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workbookProtection workbookAlgorithmName="SHA-512" workbookHashValue="II+C2BQsEaHJgulYVho5AF66jd3EOGwcwMRauHBPCpep8abpF/F7X+LH7SD8fZqDr7sEnPmEiMrT4s+SwiEt0g==" workbookSaltValue="5z2Qao8K4dKCOAfbNh7XiA==" workbookSpinCount="100000" lockStructure="1"/>
  <bookViews>
    <workbookView xWindow="0" yWindow="0" windowWidth="20490" windowHeight="7650"/>
  </bookViews>
  <sheets>
    <sheet name="HOW TO USE" sheetId="12" r:id="rId1"/>
    <sheet name="Master" sheetId="2" r:id="rId2"/>
    <sheet name="Bills" sheetId="1" r:id="rId3"/>
    <sheet name="Extra deduc" sheetId="9" r:id="rId4"/>
    <sheet name="GA55 Summry" sheetId="3" r:id="rId5"/>
    <sheet name="DV-IDENTITY-0" sheetId="4" state="veryHidden" r:id="rId6"/>
    <sheet name="COMPUTATION" sheetId="10" r:id="rId7"/>
    <sheet name="Form No. 16" sheetId="6" r:id="rId8"/>
  </sheets>
  <definedNames>
    <definedName name="_xlnm.Print_Area" localSheetId="6" xml:space="preserve">                                                                                                                                                                                                                                  COMPUTATION!$A$1:$O$63</definedName>
    <definedName name="_xlnm.Print_Area" localSheetId="3" xml:space="preserve">                                                                                                                                                                                                    'Extra deduc'!$E$2:$K$20</definedName>
    <definedName name="_xlnm.Print_Area" localSheetId="7" xml:space="preserve">                                                                                                                                                                                                                                                   'Form No. 16'!$A$1:$N$125</definedName>
    <definedName name="_xlnm.Print_Area" localSheetId="4">'GA55 Summry'!$A$1:$AA$29</definedName>
    <definedName name="_xlnm.Print_Area" localSheetId="1">Master!$B$1:$I$26</definedName>
  </definedNames>
  <calcPr calcId="162913"/>
</workbook>
</file>

<file path=xl/calcChain.xml><?xml version="1.0" encoding="utf-8"?>
<calcChain xmlns="http://schemas.openxmlformats.org/spreadsheetml/2006/main">
  <c r="O23" i="1" l="1"/>
  <c r="O24" i="1"/>
  <c r="O25" i="1"/>
  <c r="L15" i="6"/>
  <c r="X7" i="1" l="1"/>
  <c r="B26" i="2" s="1"/>
  <c r="B59" i="2"/>
  <c r="B60" i="2"/>
  <c r="B61" i="2"/>
  <c r="B58" i="2"/>
  <c r="I7" i="1"/>
  <c r="BA8" i="1"/>
  <c r="L6" i="1" s="1"/>
  <c r="AZ8" i="1"/>
  <c r="I6" i="2"/>
  <c r="M20" i="1" l="1"/>
  <c r="M21" i="1"/>
  <c r="S20" i="1"/>
  <c r="M9" i="1"/>
  <c r="M11" i="1"/>
  <c r="M13" i="1"/>
  <c r="M15" i="1"/>
  <c r="M17" i="1"/>
  <c r="M7" i="1"/>
  <c r="M16" i="1"/>
  <c r="S7" i="1"/>
  <c r="M8" i="1"/>
  <c r="M10" i="1"/>
  <c r="M12" i="1"/>
  <c r="M14" i="1"/>
  <c r="M18" i="1"/>
  <c r="R6" i="1"/>
  <c r="X8" i="1"/>
  <c r="B27" i="2" s="1"/>
  <c r="B46" i="2"/>
  <c r="G27" i="10"/>
  <c r="C124" i="6"/>
  <c r="X9" i="1" l="1"/>
  <c r="B47" i="2"/>
  <c r="F47" i="2"/>
  <c r="F48" i="2"/>
  <c r="F49" i="2"/>
  <c r="F50" i="2"/>
  <c r="F51" i="2"/>
  <c r="F52" i="2"/>
  <c r="F53" i="2"/>
  <c r="F54" i="2"/>
  <c r="F55" i="2"/>
  <c r="F56" i="2"/>
  <c r="F57" i="2"/>
  <c r="F58" i="2"/>
  <c r="F59" i="2"/>
  <c r="F60" i="2"/>
  <c r="F61" i="2"/>
  <c r="F46" i="2"/>
  <c r="B48" i="2" l="1"/>
  <c r="B28" i="2"/>
  <c r="X10" i="1"/>
  <c r="C28" i="3"/>
  <c r="R28" i="3"/>
  <c r="B39" i="9"/>
  <c r="B29" i="2" l="1"/>
  <c r="B49" i="2"/>
  <c r="M28" i="6"/>
  <c r="M36" i="6"/>
  <c r="M40" i="6"/>
  <c r="K27" i="6"/>
  <c r="K28" i="6"/>
  <c r="K29" i="6"/>
  <c r="K30" i="6"/>
  <c r="K31" i="6"/>
  <c r="K32" i="6"/>
  <c r="K33" i="6"/>
  <c r="K34" i="6"/>
  <c r="K35" i="6"/>
  <c r="K36" i="6"/>
  <c r="K37" i="6"/>
  <c r="K38" i="6"/>
  <c r="K39" i="6"/>
  <c r="K40" i="6"/>
  <c r="K41" i="6"/>
  <c r="I27" i="6"/>
  <c r="I28" i="6"/>
  <c r="I29" i="6"/>
  <c r="I30" i="6"/>
  <c r="I31" i="6"/>
  <c r="I32" i="6"/>
  <c r="I33" i="6"/>
  <c r="I34" i="6"/>
  <c r="I35" i="6"/>
  <c r="I36" i="6"/>
  <c r="I37" i="6"/>
  <c r="I38" i="6"/>
  <c r="I39" i="6"/>
  <c r="I40" i="6"/>
  <c r="I41" i="6"/>
  <c r="F27" i="6"/>
  <c r="F28" i="6"/>
  <c r="F29" i="6"/>
  <c r="F30" i="6"/>
  <c r="F31" i="6"/>
  <c r="F32" i="6"/>
  <c r="F33" i="6"/>
  <c r="F34" i="6"/>
  <c r="F35" i="6"/>
  <c r="F36" i="6"/>
  <c r="F37" i="6"/>
  <c r="F38" i="6"/>
  <c r="F39" i="6"/>
  <c r="F40" i="6"/>
  <c r="F41" i="6"/>
  <c r="C29" i="6"/>
  <c r="F38" i="2"/>
  <c r="M38" i="6" s="1"/>
  <c r="F39" i="2"/>
  <c r="M39" i="6" s="1"/>
  <c r="F40" i="2"/>
  <c r="F41" i="2"/>
  <c r="M41" i="6" s="1"/>
  <c r="F27" i="2"/>
  <c r="M27" i="6" s="1"/>
  <c r="F28" i="2"/>
  <c r="F29" i="2"/>
  <c r="M29" i="6" s="1"/>
  <c r="F30" i="2"/>
  <c r="M30" i="6" s="1"/>
  <c r="F31" i="2"/>
  <c r="M31" i="6" s="1"/>
  <c r="F32" i="2"/>
  <c r="M32" i="6" s="1"/>
  <c r="F33" i="2"/>
  <c r="M33" i="6" s="1"/>
  <c r="F34" i="2"/>
  <c r="M34" i="6" s="1"/>
  <c r="F35" i="2"/>
  <c r="M35" i="6" s="1"/>
  <c r="F36" i="2"/>
  <c r="F37" i="2"/>
  <c r="M37" i="6" s="1"/>
  <c r="F26" i="2"/>
  <c r="M26" i="10"/>
  <c r="B50" i="2" l="1"/>
  <c r="B30" i="2"/>
  <c r="C30" i="6" s="1"/>
  <c r="X12" i="1"/>
  <c r="F24" i="6"/>
  <c r="A23" i="6"/>
  <c r="K125" i="6"/>
  <c r="K51" i="6"/>
  <c r="D125" i="6"/>
  <c r="D51" i="6"/>
  <c r="F121" i="6"/>
  <c r="E45" i="6"/>
  <c r="K120" i="6"/>
  <c r="B120" i="6"/>
  <c r="B44" i="6"/>
  <c r="K10" i="10"/>
  <c r="G28" i="10"/>
  <c r="N3" i="10"/>
  <c r="J3" i="10"/>
  <c r="D3" i="10"/>
  <c r="A1" i="10"/>
  <c r="O57" i="10"/>
  <c r="W55" i="10"/>
  <c r="G14" i="10"/>
  <c r="M20" i="10"/>
  <c r="O35" i="10"/>
  <c r="I103" i="6" s="1"/>
  <c r="K103" i="6" s="1"/>
  <c r="O36" i="10"/>
  <c r="I104" i="6" s="1"/>
  <c r="K104" i="6" s="1"/>
  <c r="O37" i="10"/>
  <c r="I105" i="6" s="1"/>
  <c r="K105" i="6" s="1"/>
  <c r="O38" i="10"/>
  <c r="I106" i="6" s="1"/>
  <c r="O39" i="10"/>
  <c r="I107" i="6" s="1"/>
  <c r="O40" i="10"/>
  <c r="I108" i="6" s="1"/>
  <c r="K108" i="6" s="1"/>
  <c r="O41" i="10"/>
  <c r="O34" i="10"/>
  <c r="O31" i="10"/>
  <c r="M27" i="10"/>
  <c r="M25" i="10"/>
  <c r="M24" i="10"/>
  <c r="M23" i="10"/>
  <c r="M22" i="10"/>
  <c r="M21" i="10"/>
  <c r="G26" i="10"/>
  <c r="G23" i="10"/>
  <c r="G22" i="10"/>
  <c r="G21" i="10"/>
  <c r="G15" i="10"/>
  <c r="I12" i="10"/>
  <c r="D12" i="10" s="1"/>
  <c r="F12" i="10"/>
  <c r="K8" i="10"/>
  <c r="K7" i="10"/>
  <c r="H9" i="6"/>
  <c r="H8" i="6"/>
  <c r="A7" i="6"/>
  <c r="H7" i="6"/>
  <c r="L11" i="6"/>
  <c r="H11" i="6"/>
  <c r="E11" i="6"/>
  <c r="C50" i="6"/>
  <c r="K44" i="6"/>
  <c r="M26" i="6"/>
  <c r="K26" i="6"/>
  <c r="I26" i="6"/>
  <c r="F26" i="6"/>
  <c r="C24" i="6"/>
  <c r="K12" i="10" l="1"/>
  <c r="O13" i="10"/>
  <c r="X13" i="1"/>
  <c r="B51" i="2"/>
  <c r="B31" i="2"/>
  <c r="C31" i="6" s="1"/>
  <c r="K107" i="6"/>
  <c r="N107" i="6"/>
  <c r="O42" i="10"/>
  <c r="I102" i="6"/>
  <c r="K106" i="6"/>
  <c r="N106" i="6"/>
  <c r="O8" i="10"/>
  <c r="I95" i="6"/>
  <c r="I93" i="6"/>
  <c r="I90" i="6"/>
  <c r="I92" i="6"/>
  <c r="I94" i="6"/>
  <c r="I91" i="6"/>
  <c r="I89" i="6"/>
  <c r="K89" i="6" s="1"/>
  <c r="N115" i="6"/>
  <c r="H72" i="6"/>
  <c r="I63" i="6"/>
  <c r="H77" i="6"/>
  <c r="I87" i="6"/>
  <c r="I97" i="6"/>
  <c r="H73" i="6"/>
  <c r="I65" i="6"/>
  <c r="H78" i="6"/>
  <c r="N78" i="6" s="1"/>
  <c r="M25" i="6"/>
  <c r="K25" i="6"/>
  <c r="I25" i="6"/>
  <c r="F25" i="6"/>
  <c r="K19" i="1"/>
  <c r="O19" i="1" s="1"/>
  <c r="Y1" i="3"/>
  <c r="D2" i="3"/>
  <c r="B6" i="3"/>
  <c r="C3" i="3"/>
  <c r="T2" i="3"/>
  <c r="L2" i="3"/>
  <c r="E1" i="1"/>
  <c r="B52" i="2" l="1"/>
  <c r="B32" i="2"/>
  <c r="C32" i="6" s="1"/>
  <c r="X14" i="1"/>
  <c r="N102" i="6"/>
  <c r="K102" i="6"/>
  <c r="H74" i="6"/>
  <c r="N94" i="6"/>
  <c r="K94" i="6"/>
  <c r="N90" i="6"/>
  <c r="K90" i="6"/>
  <c r="K95" i="6"/>
  <c r="N95" i="6"/>
  <c r="N97" i="6"/>
  <c r="K97" i="6"/>
  <c r="K91" i="6"/>
  <c r="N91" i="6"/>
  <c r="N92" i="6"/>
  <c r="K92" i="6"/>
  <c r="K93" i="6"/>
  <c r="N93" i="6"/>
  <c r="Y8" i="1"/>
  <c r="X15" i="1" l="1"/>
  <c r="B53" i="2"/>
  <c r="B33" i="2"/>
  <c r="C33" i="6" s="1"/>
  <c r="Q7" i="1"/>
  <c r="Q8" i="1" s="1"/>
  <c r="Q9" i="1" s="1"/>
  <c r="Q10" i="1" s="1"/>
  <c r="Q11" i="1" s="1"/>
  <c r="Q12" i="1" s="1"/>
  <c r="Q13" i="1" s="1"/>
  <c r="Q14" i="1" s="1"/>
  <c r="Q15" i="1" s="1"/>
  <c r="Q16" i="1" s="1"/>
  <c r="Q17" i="1" s="1"/>
  <c r="Q18" i="1" s="1"/>
  <c r="R7" i="1"/>
  <c r="R8" i="1" s="1"/>
  <c r="P7" i="1"/>
  <c r="Z7" i="1"/>
  <c r="W7" i="1"/>
  <c r="V7" i="1"/>
  <c r="U7" i="1"/>
  <c r="T7" i="1"/>
  <c r="N7" i="1"/>
  <c r="L7" i="1"/>
  <c r="J7" i="1"/>
  <c r="I8" i="1"/>
  <c r="F7" i="1"/>
  <c r="AE6" i="1"/>
  <c r="H7" i="1" l="1"/>
  <c r="G20" i="1"/>
  <c r="O20" i="1" s="1"/>
  <c r="B54" i="2"/>
  <c r="B34" i="2"/>
  <c r="C34" i="6" s="1"/>
  <c r="X16" i="1"/>
  <c r="AB26" i="1"/>
  <c r="AA26" i="1"/>
  <c r="Q20" i="1"/>
  <c r="X17" i="1" l="1"/>
  <c r="B55" i="2"/>
  <c r="B35" i="2"/>
  <c r="C35" i="6" s="1"/>
  <c r="Z8" i="1"/>
  <c r="Z9" i="1" s="1"/>
  <c r="Z10" i="1" s="1"/>
  <c r="Z11" i="1" s="1"/>
  <c r="Z12" i="1" s="1"/>
  <c r="Z13" i="1" s="1"/>
  <c r="Z14" i="1" s="1"/>
  <c r="Z15" i="1" s="1"/>
  <c r="Z16" i="1" s="1"/>
  <c r="Z17" i="1" s="1"/>
  <c r="Z18" i="1" s="1"/>
  <c r="J8" i="1"/>
  <c r="J9" i="1" s="1"/>
  <c r="J10" i="1" s="1"/>
  <c r="J11" i="1" s="1"/>
  <c r="J12" i="1" s="1"/>
  <c r="J13" i="1" s="1"/>
  <c r="J14" i="1" s="1"/>
  <c r="J15" i="1" s="1"/>
  <c r="J16" i="1" s="1"/>
  <c r="J17" i="1" s="1"/>
  <c r="J18" i="1" s="1"/>
  <c r="I10" i="1"/>
  <c r="I11" i="1" s="1"/>
  <c r="I12" i="1" s="1"/>
  <c r="I13" i="1" s="1"/>
  <c r="I14" i="1" s="1"/>
  <c r="I15" i="1" s="1"/>
  <c r="I16" i="1" s="1"/>
  <c r="I17" i="1" s="1"/>
  <c r="I18" i="1" s="1"/>
  <c r="N8" i="1"/>
  <c r="N9" i="1" s="1"/>
  <c r="N10" i="1" s="1"/>
  <c r="N11" i="1" s="1"/>
  <c r="N12" i="1" s="1"/>
  <c r="N13" i="1" s="1"/>
  <c r="N14" i="1" s="1"/>
  <c r="N15" i="1" s="1"/>
  <c r="N16" i="1" s="1"/>
  <c r="N17" i="1" s="1"/>
  <c r="N18" i="1" s="1"/>
  <c r="L8" i="1"/>
  <c r="L9" i="1" s="1"/>
  <c r="L10" i="1" s="1"/>
  <c r="L11" i="1" s="1"/>
  <c r="T8" i="1"/>
  <c r="T9" i="1" s="1"/>
  <c r="T10" i="1" s="1"/>
  <c r="T11" i="1" s="1"/>
  <c r="T12" i="1" s="1"/>
  <c r="T13" i="1" s="1"/>
  <c r="T14" i="1" s="1"/>
  <c r="T15" i="1" s="1"/>
  <c r="T16" i="1" s="1"/>
  <c r="T17" i="1" s="1"/>
  <c r="T18" i="1" s="1"/>
  <c r="U8" i="1"/>
  <c r="U9" i="1" s="1"/>
  <c r="U10" i="1" s="1"/>
  <c r="U11" i="1" s="1"/>
  <c r="U12" i="1" s="1"/>
  <c r="U13" i="1" s="1"/>
  <c r="U14" i="1" s="1"/>
  <c r="U15" i="1" s="1"/>
  <c r="U16" i="1" s="1"/>
  <c r="U17" i="1" s="1"/>
  <c r="U18" i="1" s="1"/>
  <c r="V8" i="1"/>
  <c r="V9" i="1" s="1"/>
  <c r="V10" i="1" s="1"/>
  <c r="V11" i="1" s="1"/>
  <c r="V12" i="1" s="1"/>
  <c r="V13" i="1" s="1"/>
  <c r="V14" i="1" s="1"/>
  <c r="V15" i="1" s="1"/>
  <c r="V16" i="1" s="1"/>
  <c r="V17" i="1" s="1"/>
  <c r="V18" i="1" s="1"/>
  <c r="W8" i="1"/>
  <c r="W9" i="1" s="1"/>
  <c r="W10" i="1" s="1"/>
  <c r="W11" i="1" s="1"/>
  <c r="W12" i="1" s="1"/>
  <c r="W13" i="1" s="1"/>
  <c r="W14" i="1" s="1"/>
  <c r="W15" i="1" s="1"/>
  <c r="W16" i="1" s="1"/>
  <c r="W17" i="1" s="1"/>
  <c r="W18" i="1" s="1"/>
  <c r="P8" i="1"/>
  <c r="P9" i="1" s="1"/>
  <c r="P10" i="1" s="1"/>
  <c r="P11" i="1" s="1"/>
  <c r="P12" i="1" s="1"/>
  <c r="P13" i="1" s="1"/>
  <c r="P14" i="1" s="1"/>
  <c r="P15" i="1" s="1"/>
  <c r="P16" i="1" s="1"/>
  <c r="P17" i="1" s="1"/>
  <c r="P18" i="1" s="1"/>
  <c r="F44" i="1"/>
  <c r="F47" i="1" s="1"/>
  <c r="D47" i="1" s="1"/>
  <c r="B56" i="2" l="1"/>
  <c r="B36" i="2"/>
  <c r="C36" i="6" s="1"/>
  <c r="X18" i="1"/>
  <c r="L12" i="1"/>
  <c r="L13" i="1" s="1"/>
  <c r="L14" i="1" s="1"/>
  <c r="F46" i="1"/>
  <c r="D46" i="1" s="1"/>
  <c r="F48" i="1"/>
  <c r="D48" i="1" s="1"/>
  <c r="F49" i="1"/>
  <c r="D49" i="1" s="1"/>
  <c r="F50" i="1"/>
  <c r="D50" i="1" s="1"/>
  <c r="F51" i="1"/>
  <c r="D51" i="1" s="1"/>
  <c r="F52" i="1"/>
  <c r="D52" i="1" s="1"/>
  <c r="F53" i="1"/>
  <c r="D53" i="1" s="1"/>
  <c r="F54" i="1"/>
  <c r="D54" i="1" s="1"/>
  <c r="F55" i="1"/>
  <c r="D55" i="1" s="1"/>
  <c r="F56" i="1"/>
  <c r="D56" i="1" s="1"/>
  <c r="F57" i="1"/>
  <c r="D57" i="1" s="1"/>
  <c r="F58" i="1"/>
  <c r="D58" i="1" s="1"/>
  <c r="F59" i="1"/>
  <c r="D59" i="1" s="1"/>
  <c r="F60" i="1"/>
  <c r="D60" i="1" s="1"/>
  <c r="F61" i="1"/>
  <c r="D61" i="1" s="1"/>
  <c r="F62" i="1"/>
  <c r="D62" i="1" s="1"/>
  <c r="F63" i="1"/>
  <c r="D63" i="1" s="1"/>
  <c r="F64" i="1"/>
  <c r="D64" i="1" s="1"/>
  <c r="F65" i="1"/>
  <c r="D65" i="1" s="1"/>
  <c r="F66" i="1"/>
  <c r="D66" i="1" s="1"/>
  <c r="F67" i="1"/>
  <c r="D67" i="1" s="1"/>
  <c r="F68" i="1"/>
  <c r="D68" i="1" s="1"/>
  <c r="F69" i="1"/>
  <c r="D69" i="1" s="1"/>
  <c r="F70" i="1"/>
  <c r="D70" i="1" s="1"/>
  <c r="F71" i="1"/>
  <c r="D71" i="1" s="1"/>
  <c r="F72" i="1"/>
  <c r="D72" i="1" s="1"/>
  <c r="F73" i="1"/>
  <c r="D73" i="1" s="1"/>
  <c r="F74" i="1"/>
  <c r="D74" i="1" s="1"/>
  <c r="F75" i="1"/>
  <c r="D75" i="1" s="1"/>
  <c r="F76" i="1"/>
  <c r="D76" i="1" s="1"/>
  <c r="F77" i="1"/>
  <c r="D77" i="1" s="1"/>
  <c r="F78" i="1"/>
  <c r="D78" i="1" s="1"/>
  <c r="F79" i="1"/>
  <c r="D79" i="1" s="1"/>
  <c r="F80" i="1"/>
  <c r="D80" i="1" s="1"/>
  <c r="F81" i="1"/>
  <c r="D81" i="1" s="1"/>
  <c r="F82" i="1"/>
  <c r="D82" i="1" s="1"/>
  <c r="F83" i="1"/>
  <c r="D83" i="1" s="1"/>
  <c r="F84" i="1"/>
  <c r="D84" i="1" s="1"/>
  <c r="F85" i="1"/>
  <c r="D85" i="1" s="1"/>
  <c r="B37" i="2" l="1"/>
  <c r="C37" i="6" s="1"/>
  <c r="B57" i="2"/>
  <c r="B62" i="2" s="1"/>
  <c r="F8" i="1"/>
  <c r="G8" i="1"/>
  <c r="S8" i="1" s="1"/>
  <c r="G7" i="1"/>
  <c r="AA20" i="1"/>
  <c r="L18" i="3"/>
  <c r="K3" i="3"/>
  <c r="O26" i="1"/>
  <c r="AA19" i="1"/>
  <c r="X18" i="3" s="1"/>
  <c r="AA22" i="1"/>
  <c r="X21" i="3" s="1"/>
  <c r="Y25" i="3"/>
  <c r="X25" i="3"/>
  <c r="CG3" i="3"/>
  <c r="AD14" i="3" s="1"/>
  <c r="Y3" i="3"/>
  <c r="AA4" i="3"/>
  <c r="Z4" i="3"/>
  <c r="Y4" i="3"/>
  <c r="Z7" i="3"/>
  <c r="AA7" i="3"/>
  <c r="Z8" i="3"/>
  <c r="AA8" i="3"/>
  <c r="Z9" i="3"/>
  <c r="AA9" i="3"/>
  <c r="Z10" i="3"/>
  <c r="AA10" i="3"/>
  <c r="Z11" i="3"/>
  <c r="AA11" i="3"/>
  <c r="Z12" i="3"/>
  <c r="AA12" i="3"/>
  <c r="Z13" i="3"/>
  <c r="AA13" i="3"/>
  <c r="Z14" i="3"/>
  <c r="AA14" i="3"/>
  <c r="Z15" i="3"/>
  <c r="AA15" i="3"/>
  <c r="Z16" i="3"/>
  <c r="AA16" i="3"/>
  <c r="Z17" i="3"/>
  <c r="AA17" i="3"/>
  <c r="Z18" i="3"/>
  <c r="AA18" i="3"/>
  <c r="Z19" i="3"/>
  <c r="AA19" i="3"/>
  <c r="Z20" i="3"/>
  <c r="AA20" i="3"/>
  <c r="Z21" i="3"/>
  <c r="AA21" i="3"/>
  <c r="Z22" i="3"/>
  <c r="AA22" i="3"/>
  <c r="Z23" i="3"/>
  <c r="AA23" i="3"/>
  <c r="Z24" i="3"/>
  <c r="AA24" i="3"/>
  <c r="Z25" i="3"/>
  <c r="AA25" i="3"/>
  <c r="C7" i="3"/>
  <c r="C28" i="9" s="1"/>
  <c r="F7" i="3"/>
  <c r="G7" i="3"/>
  <c r="H7" i="3"/>
  <c r="I7" i="3"/>
  <c r="J7" i="3"/>
  <c r="K7" i="3"/>
  <c r="M7" i="3"/>
  <c r="N7" i="3"/>
  <c r="O7" i="3"/>
  <c r="Q7" i="3"/>
  <c r="R7" i="3"/>
  <c r="S7" i="3"/>
  <c r="T7" i="3"/>
  <c r="V7" i="3"/>
  <c r="W7" i="3"/>
  <c r="F8" i="3"/>
  <c r="G8" i="3"/>
  <c r="H8" i="3"/>
  <c r="I8" i="3"/>
  <c r="J8" i="3"/>
  <c r="K8" i="3"/>
  <c r="M8" i="3"/>
  <c r="N8" i="3"/>
  <c r="Q8" i="3"/>
  <c r="R8" i="3"/>
  <c r="S8" i="3"/>
  <c r="T8" i="3"/>
  <c r="V8" i="3"/>
  <c r="W8" i="3"/>
  <c r="F9" i="3"/>
  <c r="G9" i="3"/>
  <c r="H9" i="3"/>
  <c r="I9" i="3"/>
  <c r="J9" i="3"/>
  <c r="K9" i="3"/>
  <c r="M9" i="3"/>
  <c r="N9" i="3"/>
  <c r="Q9" i="3"/>
  <c r="R9" i="3"/>
  <c r="S9" i="3"/>
  <c r="T9" i="3"/>
  <c r="U9" i="3"/>
  <c r="V9" i="3"/>
  <c r="W9" i="3"/>
  <c r="F10" i="3"/>
  <c r="G10" i="3"/>
  <c r="H10" i="3"/>
  <c r="I10" i="3"/>
  <c r="J10" i="3"/>
  <c r="K10" i="3"/>
  <c r="M10" i="3"/>
  <c r="N10" i="3"/>
  <c r="Q10" i="3"/>
  <c r="R10" i="3"/>
  <c r="S10" i="3"/>
  <c r="T10" i="3"/>
  <c r="U10" i="3"/>
  <c r="V10" i="3"/>
  <c r="W10" i="3"/>
  <c r="F11" i="3"/>
  <c r="G11" i="3"/>
  <c r="H11" i="3"/>
  <c r="I11" i="3"/>
  <c r="J11" i="3"/>
  <c r="K11" i="3"/>
  <c r="M11" i="3"/>
  <c r="N11" i="3"/>
  <c r="Q11" i="3"/>
  <c r="R11" i="3"/>
  <c r="S11" i="3"/>
  <c r="T11" i="3"/>
  <c r="U11" i="3"/>
  <c r="V11" i="3"/>
  <c r="W11" i="3"/>
  <c r="F12" i="3"/>
  <c r="G12" i="3"/>
  <c r="H12" i="3"/>
  <c r="I12" i="3"/>
  <c r="J12" i="3"/>
  <c r="K12" i="3"/>
  <c r="M12" i="3"/>
  <c r="N12" i="3"/>
  <c r="Q12" i="3"/>
  <c r="R12" i="3"/>
  <c r="S12" i="3"/>
  <c r="T12" i="3"/>
  <c r="U12" i="3"/>
  <c r="V12" i="3"/>
  <c r="W12" i="3"/>
  <c r="F13" i="3"/>
  <c r="G13" i="3"/>
  <c r="H13" i="3"/>
  <c r="I13" i="3"/>
  <c r="J13" i="3"/>
  <c r="K13" i="3"/>
  <c r="M13" i="3"/>
  <c r="N13" i="3"/>
  <c r="Q13" i="3"/>
  <c r="R13" i="3"/>
  <c r="S13" i="3"/>
  <c r="T13" i="3"/>
  <c r="U13" i="3"/>
  <c r="V13" i="3"/>
  <c r="W13" i="3"/>
  <c r="F14" i="3"/>
  <c r="G14" i="3"/>
  <c r="H14" i="3"/>
  <c r="J14" i="3"/>
  <c r="K14" i="3"/>
  <c r="M14" i="3"/>
  <c r="N14" i="3"/>
  <c r="Q14" i="3"/>
  <c r="R14" i="3"/>
  <c r="S14" i="3"/>
  <c r="T14" i="3"/>
  <c r="U14" i="3"/>
  <c r="V14" i="3"/>
  <c r="W14" i="3"/>
  <c r="F15" i="3"/>
  <c r="G15" i="3"/>
  <c r="H15" i="3"/>
  <c r="J15" i="3"/>
  <c r="K15" i="3"/>
  <c r="M15" i="3"/>
  <c r="N15" i="3"/>
  <c r="Q15" i="3"/>
  <c r="R15" i="3"/>
  <c r="S15" i="3"/>
  <c r="T15" i="3"/>
  <c r="U15" i="3"/>
  <c r="V15" i="3"/>
  <c r="W15" i="3"/>
  <c r="F16" i="3"/>
  <c r="G16" i="3"/>
  <c r="H16" i="3"/>
  <c r="J16" i="3"/>
  <c r="K16" i="3"/>
  <c r="M16" i="3"/>
  <c r="N16" i="3"/>
  <c r="Q16" i="3"/>
  <c r="R16" i="3"/>
  <c r="S16" i="3"/>
  <c r="T16" i="3"/>
  <c r="U16" i="3"/>
  <c r="V16" i="3"/>
  <c r="W16" i="3"/>
  <c r="F17" i="3"/>
  <c r="G17" i="3"/>
  <c r="H17" i="3"/>
  <c r="J17" i="3"/>
  <c r="K17" i="3"/>
  <c r="M17" i="3"/>
  <c r="N17" i="3"/>
  <c r="Q17" i="3"/>
  <c r="R17" i="3"/>
  <c r="S17" i="3"/>
  <c r="T17" i="3"/>
  <c r="U17" i="3"/>
  <c r="V17" i="3"/>
  <c r="W17" i="3"/>
  <c r="C18" i="3"/>
  <c r="D18" i="3"/>
  <c r="E18" i="3"/>
  <c r="F18" i="3"/>
  <c r="G18" i="3"/>
  <c r="H18" i="3"/>
  <c r="I18" i="3"/>
  <c r="J18" i="3"/>
  <c r="K18" i="3"/>
  <c r="M18" i="3"/>
  <c r="N18" i="3"/>
  <c r="O18" i="3"/>
  <c r="P18" i="3"/>
  <c r="Q18" i="3"/>
  <c r="R18" i="3"/>
  <c r="S18" i="3"/>
  <c r="T18" i="3"/>
  <c r="U18" i="3"/>
  <c r="V18" i="3"/>
  <c r="W18" i="3"/>
  <c r="C19" i="3"/>
  <c r="D19" i="3"/>
  <c r="E19" i="3"/>
  <c r="F19" i="3"/>
  <c r="G19" i="3"/>
  <c r="H19" i="3"/>
  <c r="I19" i="3"/>
  <c r="J19" i="3"/>
  <c r="K19" i="3"/>
  <c r="L19" i="3"/>
  <c r="M19" i="3"/>
  <c r="N19" i="3"/>
  <c r="O19" i="3"/>
  <c r="P19" i="3"/>
  <c r="Q19" i="3"/>
  <c r="R19" i="3"/>
  <c r="S19" i="3"/>
  <c r="T19" i="3"/>
  <c r="U19" i="3"/>
  <c r="V19" i="3"/>
  <c r="W19" i="3"/>
  <c r="C20" i="3"/>
  <c r="E20" i="3"/>
  <c r="F20" i="3"/>
  <c r="G20" i="3"/>
  <c r="H20" i="3"/>
  <c r="I20" i="3"/>
  <c r="J20" i="3"/>
  <c r="K20" i="3"/>
  <c r="M20" i="3"/>
  <c r="O20" i="3"/>
  <c r="Q20" i="3"/>
  <c r="R20" i="3"/>
  <c r="S20" i="3"/>
  <c r="T20" i="3"/>
  <c r="U20" i="3"/>
  <c r="V20" i="3"/>
  <c r="W20" i="3"/>
  <c r="E21" i="3"/>
  <c r="F21" i="3"/>
  <c r="G21" i="3"/>
  <c r="H21" i="3"/>
  <c r="I21" i="3"/>
  <c r="J21" i="3"/>
  <c r="K21" i="3"/>
  <c r="M21" i="3"/>
  <c r="N21" i="3"/>
  <c r="O21" i="3"/>
  <c r="P21" i="3"/>
  <c r="Q21" i="3"/>
  <c r="R21" i="3"/>
  <c r="S21" i="3"/>
  <c r="T21" i="3"/>
  <c r="U21" i="3"/>
  <c r="V21" i="3"/>
  <c r="W21" i="3"/>
  <c r="C22" i="3"/>
  <c r="D22" i="3"/>
  <c r="E22" i="3"/>
  <c r="F22" i="3"/>
  <c r="G22" i="3"/>
  <c r="H22" i="3"/>
  <c r="I22" i="3"/>
  <c r="J22" i="3"/>
  <c r="K22" i="3"/>
  <c r="L22" i="3"/>
  <c r="M22" i="3"/>
  <c r="N22" i="3"/>
  <c r="O22" i="3"/>
  <c r="P22" i="3"/>
  <c r="Q22" i="3"/>
  <c r="R22" i="3"/>
  <c r="S22" i="3"/>
  <c r="T22" i="3"/>
  <c r="V22" i="3"/>
  <c r="W22" i="3"/>
  <c r="C23" i="3"/>
  <c r="D23" i="3"/>
  <c r="E23" i="3"/>
  <c r="F23" i="3"/>
  <c r="G23" i="3"/>
  <c r="H23" i="3"/>
  <c r="I23" i="3"/>
  <c r="J23" i="3"/>
  <c r="K23" i="3"/>
  <c r="L23" i="3"/>
  <c r="M23" i="3"/>
  <c r="N23" i="3"/>
  <c r="O23" i="3"/>
  <c r="P23" i="3"/>
  <c r="Q23" i="3"/>
  <c r="R23" i="3"/>
  <c r="S23" i="3"/>
  <c r="T23" i="3"/>
  <c r="V23" i="3"/>
  <c r="W23" i="3"/>
  <c r="C24" i="3"/>
  <c r="D24" i="3"/>
  <c r="E24" i="3"/>
  <c r="F24" i="3"/>
  <c r="G24" i="3"/>
  <c r="H24" i="3"/>
  <c r="I24" i="3"/>
  <c r="J24" i="3"/>
  <c r="K24" i="3"/>
  <c r="L24" i="3"/>
  <c r="M24" i="3"/>
  <c r="N24" i="3"/>
  <c r="O24" i="3"/>
  <c r="P24" i="3"/>
  <c r="Q24" i="3"/>
  <c r="R24" i="3"/>
  <c r="S24" i="3"/>
  <c r="T24" i="3"/>
  <c r="V24" i="3"/>
  <c r="W24" i="3"/>
  <c r="C25" i="3"/>
  <c r="D25" i="3"/>
  <c r="E25" i="3"/>
  <c r="F25" i="3"/>
  <c r="G25" i="3"/>
  <c r="H25" i="3"/>
  <c r="I25" i="3"/>
  <c r="J25" i="3"/>
  <c r="K25" i="3"/>
  <c r="L25" i="3"/>
  <c r="M25" i="3"/>
  <c r="N25" i="3"/>
  <c r="O25" i="3"/>
  <c r="P25" i="3"/>
  <c r="Q25" i="3"/>
  <c r="R25" i="3"/>
  <c r="S25" i="3"/>
  <c r="T25" i="3"/>
  <c r="V25" i="3"/>
  <c r="W25" i="3"/>
  <c r="C6" i="3"/>
  <c r="D6" i="3"/>
  <c r="E6" i="3"/>
  <c r="F6" i="3"/>
  <c r="G6" i="3"/>
  <c r="H6" i="3"/>
  <c r="I6" i="3"/>
  <c r="J6" i="3"/>
  <c r="K6" i="3"/>
  <c r="M6" i="3"/>
  <c r="N6" i="3"/>
  <c r="O6" i="3"/>
  <c r="Q6" i="3"/>
  <c r="R6" i="3"/>
  <c r="S6" i="3"/>
  <c r="T6" i="3"/>
  <c r="V6" i="3"/>
  <c r="W6" i="3"/>
  <c r="X5" i="3"/>
  <c r="M5" i="3"/>
  <c r="N5" i="3"/>
  <c r="O5" i="3"/>
  <c r="P5" i="3"/>
  <c r="Q5" i="3"/>
  <c r="R5" i="3"/>
  <c r="S5" i="3"/>
  <c r="T5" i="3"/>
  <c r="U5" i="3"/>
  <c r="V5" i="3"/>
  <c r="W5" i="3"/>
  <c r="D5" i="3"/>
  <c r="E5" i="3"/>
  <c r="F5" i="3"/>
  <c r="G5" i="3"/>
  <c r="H5" i="3"/>
  <c r="I5" i="3"/>
  <c r="J5" i="3"/>
  <c r="K5" i="3"/>
  <c r="L5" i="3"/>
  <c r="C5" i="3"/>
  <c r="B5" i="3"/>
  <c r="A5" i="3"/>
  <c r="B19" i="3"/>
  <c r="H8" i="1" l="1"/>
  <c r="O8" i="1"/>
  <c r="W26" i="3"/>
  <c r="P6" i="3"/>
  <c r="O7" i="1"/>
  <c r="L6" i="3" s="1"/>
  <c r="J26" i="3"/>
  <c r="D27" i="9"/>
  <c r="C27" i="9"/>
  <c r="I20" i="6"/>
  <c r="I21" i="6"/>
  <c r="I19" i="6"/>
  <c r="P7" i="3"/>
  <c r="AB20" i="1"/>
  <c r="Y19" i="3" s="1"/>
  <c r="X19" i="3"/>
  <c r="AD9" i="3"/>
  <c r="E7" i="3"/>
  <c r="D28" i="9" s="1"/>
  <c r="F9" i="1"/>
  <c r="D7" i="3"/>
  <c r="AB19" i="1"/>
  <c r="Y18" i="3" s="1"/>
  <c r="M2" i="10"/>
  <c r="H2" i="10"/>
  <c r="R9" i="1" l="1"/>
  <c r="R10" i="1" s="1"/>
  <c r="R11" i="1" s="1"/>
  <c r="R12" i="1" s="1"/>
  <c r="R13" i="1" s="1"/>
  <c r="R14" i="1" s="1"/>
  <c r="H9" i="1"/>
  <c r="G9" i="1"/>
  <c r="S9" i="1" s="1"/>
  <c r="L7" i="3"/>
  <c r="F10" i="1"/>
  <c r="C8" i="3"/>
  <c r="J15" i="6"/>
  <c r="H15" i="6"/>
  <c r="AA6" i="3"/>
  <c r="Z6" i="3"/>
  <c r="Q3" i="3"/>
  <c r="G3" i="3"/>
  <c r="B7" i="3"/>
  <c r="B8" i="3"/>
  <c r="B9" i="3"/>
  <c r="B10" i="3"/>
  <c r="B11" i="3"/>
  <c r="B12" i="3"/>
  <c r="B13" i="3"/>
  <c r="B14" i="3"/>
  <c r="B15" i="3"/>
  <c r="B16" i="3"/>
  <c r="B17" i="3"/>
  <c r="B18" i="3"/>
  <c r="B20" i="3"/>
  <c r="B21" i="3"/>
  <c r="B22" i="3"/>
  <c r="B23" i="3"/>
  <c r="B24" i="3"/>
  <c r="B25" i="3"/>
  <c r="F11" i="1" l="1"/>
  <c r="O9" i="1"/>
  <c r="C29" i="9"/>
  <c r="M26" i="3"/>
  <c r="Q26" i="3"/>
  <c r="G20" i="10" s="1"/>
  <c r="I84" i="6" s="1"/>
  <c r="D8" i="3"/>
  <c r="P8" i="3"/>
  <c r="G10" i="1"/>
  <c r="S10" i="1" s="1"/>
  <c r="H10" i="1"/>
  <c r="E9" i="3" s="1"/>
  <c r="D30" i="9" s="1"/>
  <c r="O8" i="3"/>
  <c r="E8" i="3"/>
  <c r="C9" i="3"/>
  <c r="C30" i="9" s="1"/>
  <c r="F26" i="3"/>
  <c r="V26" i="3"/>
  <c r="G25" i="10" s="1"/>
  <c r="I86" i="6" s="1"/>
  <c r="T26" i="3"/>
  <c r="R26" i="3"/>
  <c r="S26" i="3"/>
  <c r="K26" i="3"/>
  <c r="H26" i="3"/>
  <c r="O10" i="1" l="1"/>
  <c r="D29" i="9"/>
  <c r="G19" i="10"/>
  <c r="I83" i="6" s="1"/>
  <c r="AA10" i="1"/>
  <c r="X9" i="3" s="1"/>
  <c r="P9" i="3"/>
  <c r="O9" i="3"/>
  <c r="G21" i="1"/>
  <c r="H11" i="1"/>
  <c r="E10" i="3" s="1"/>
  <c r="D31" i="9" s="1"/>
  <c r="G11" i="1"/>
  <c r="S11" i="1" s="1"/>
  <c r="F12" i="1"/>
  <c r="C10" i="3"/>
  <c r="C31" i="9" s="1"/>
  <c r="L8" i="3"/>
  <c r="D9" i="3"/>
  <c r="Q21" i="1" l="1"/>
  <c r="O21" i="1"/>
  <c r="F22" i="1"/>
  <c r="O11" i="1"/>
  <c r="S21" i="1"/>
  <c r="N20" i="3"/>
  <c r="N26" i="3" s="1"/>
  <c r="G24" i="10" s="1"/>
  <c r="P10" i="3"/>
  <c r="D20" i="3"/>
  <c r="L20" i="3"/>
  <c r="O10" i="3"/>
  <c r="AA11" i="1"/>
  <c r="X10" i="3" s="1"/>
  <c r="H12" i="1"/>
  <c r="E11" i="3" s="1"/>
  <c r="D32" i="9" s="1"/>
  <c r="G12" i="1"/>
  <c r="S12" i="1" s="1"/>
  <c r="F13" i="1"/>
  <c r="C11" i="3"/>
  <c r="C32" i="9" s="1"/>
  <c r="AB10" i="1"/>
  <c r="Y9" i="3" s="1"/>
  <c r="L9" i="3"/>
  <c r="D10" i="3"/>
  <c r="N103" i="6"/>
  <c r="N104" i="6"/>
  <c r="N105" i="6"/>
  <c r="O12" i="1" l="1"/>
  <c r="L11" i="3" s="1"/>
  <c r="I85" i="6"/>
  <c r="P11" i="3"/>
  <c r="P20" i="3"/>
  <c r="AA21" i="1"/>
  <c r="O11" i="3"/>
  <c r="D11" i="3"/>
  <c r="AA12" i="1"/>
  <c r="X11" i="3" s="1"/>
  <c r="G13" i="1"/>
  <c r="S13" i="1" s="1"/>
  <c r="H13" i="1"/>
  <c r="E12" i="3" s="1"/>
  <c r="D33" i="9" s="1"/>
  <c r="F14" i="1"/>
  <c r="C12" i="3"/>
  <c r="C33" i="9" s="1"/>
  <c r="L10" i="3"/>
  <c r="AB11" i="1"/>
  <c r="Y10" i="3" s="1"/>
  <c r="D12" i="3" l="1"/>
  <c r="O13" i="1"/>
  <c r="C21" i="3"/>
  <c r="O12" i="3"/>
  <c r="AB21" i="1"/>
  <c r="Y20" i="3" s="1"/>
  <c r="X20" i="3"/>
  <c r="AB12" i="1"/>
  <c r="Y11" i="3" s="1"/>
  <c r="P12" i="3"/>
  <c r="AA13" i="1"/>
  <c r="X12" i="3" s="1"/>
  <c r="E46" i="1"/>
  <c r="H14" i="1"/>
  <c r="E13" i="3" s="1"/>
  <c r="D34" i="9" s="1"/>
  <c r="G14" i="1"/>
  <c r="O14" i="1" s="1"/>
  <c r="C13" i="3"/>
  <c r="C34" i="9" s="1"/>
  <c r="G26" i="3"/>
  <c r="S14" i="1" l="1"/>
  <c r="P13" i="3" s="1"/>
  <c r="G22" i="1"/>
  <c r="O22" i="1" s="1"/>
  <c r="D13" i="3"/>
  <c r="O13" i="3"/>
  <c r="AA14" i="1"/>
  <c r="X13" i="3" s="1"/>
  <c r="C48" i="1"/>
  <c r="E47" i="1"/>
  <c r="AB13" i="1"/>
  <c r="Y12" i="3" s="1"/>
  <c r="L12" i="3"/>
  <c r="F17" i="1" l="1"/>
  <c r="F15" i="1"/>
  <c r="F18" i="1"/>
  <c r="F16" i="1"/>
  <c r="D21" i="3"/>
  <c r="L13" i="3"/>
  <c r="AB14" i="1"/>
  <c r="Y13" i="3" s="1"/>
  <c r="A251" i="4"/>
  <c r="B251" i="4"/>
  <c r="C251" i="4"/>
  <c r="D251" i="4"/>
  <c r="E251" i="4"/>
  <c r="F251" i="4"/>
  <c r="G251" i="4"/>
  <c r="H251" i="4"/>
  <c r="I251" i="4"/>
  <c r="J251" i="4"/>
  <c r="K251" i="4"/>
  <c r="L251" i="4"/>
  <c r="M251" i="4"/>
  <c r="N251" i="4"/>
  <c r="O251" i="4"/>
  <c r="P251" i="4"/>
  <c r="Q251" i="4"/>
  <c r="R251" i="4"/>
  <c r="S251" i="4"/>
  <c r="T251" i="4"/>
  <c r="U251" i="4"/>
  <c r="V251" i="4"/>
  <c r="W251" i="4"/>
  <c r="X251" i="4"/>
  <c r="Y251" i="4"/>
  <c r="Z251" i="4"/>
  <c r="AA251" i="4"/>
  <c r="AB251" i="4"/>
  <c r="AC251" i="4"/>
  <c r="AD251" i="4"/>
  <c r="AE251" i="4"/>
  <c r="AF251" i="4"/>
  <c r="AG251" i="4"/>
  <c r="AH251" i="4"/>
  <c r="AI251" i="4"/>
  <c r="AJ251" i="4"/>
  <c r="AK251" i="4"/>
  <c r="AL251" i="4"/>
  <c r="AM251" i="4"/>
  <c r="AN251" i="4"/>
  <c r="AO251" i="4"/>
  <c r="AP251" i="4"/>
  <c r="AQ251" i="4"/>
  <c r="AR251" i="4"/>
  <c r="AS251" i="4"/>
  <c r="AT251" i="4"/>
  <c r="AU251" i="4"/>
  <c r="AV251" i="4"/>
  <c r="AW251" i="4"/>
  <c r="AX251" i="4"/>
  <c r="AY251" i="4"/>
  <c r="AZ251" i="4"/>
  <c r="BA251" i="4"/>
  <c r="BB251" i="4"/>
  <c r="BC251" i="4"/>
  <c r="BD251" i="4"/>
  <c r="BE251" i="4"/>
  <c r="BF251" i="4"/>
  <c r="BG251" i="4"/>
  <c r="BH251" i="4"/>
  <c r="BI251" i="4"/>
  <c r="BJ251" i="4"/>
  <c r="BK251" i="4"/>
  <c r="BL251" i="4"/>
  <c r="BM251" i="4"/>
  <c r="BN251" i="4"/>
  <c r="BO251" i="4"/>
  <c r="BP251" i="4"/>
  <c r="BQ251" i="4"/>
  <c r="BR251" i="4"/>
  <c r="BS251" i="4"/>
  <c r="BT251" i="4"/>
  <c r="BU251" i="4"/>
  <c r="BV251" i="4"/>
  <c r="BW251" i="4"/>
  <c r="BX251" i="4"/>
  <c r="BY251" i="4"/>
  <c r="BZ251" i="4"/>
  <c r="CA251" i="4"/>
  <c r="CB251" i="4"/>
  <c r="CC251" i="4"/>
  <c r="CD251" i="4"/>
  <c r="CE251" i="4"/>
  <c r="CF251" i="4"/>
  <c r="CG251" i="4"/>
  <c r="CH251" i="4"/>
  <c r="CI251" i="4"/>
  <c r="CJ251" i="4"/>
  <c r="CK251" i="4"/>
  <c r="CL251" i="4"/>
  <c r="CM251" i="4"/>
  <c r="CN251" i="4"/>
  <c r="CO251" i="4"/>
  <c r="CP251" i="4"/>
  <c r="CQ251" i="4"/>
  <c r="CR251" i="4"/>
  <c r="CS251" i="4"/>
  <c r="CT251" i="4"/>
  <c r="CU251" i="4"/>
  <c r="CV251" i="4"/>
  <c r="CW251" i="4"/>
  <c r="CX251" i="4"/>
  <c r="CZ251" i="4"/>
  <c r="A250" i="4"/>
  <c r="B250" i="4"/>
  <c r="C250" i="4"/>
  <c r="D250" i="4"/>
  <c r="E250" i="4"/>
  <c r="F250" i="4"/>
  <c r="G250" i="4"/>
  <c r="H250" i="4"/>
  <c r="I250" i="4"/>
  <c r="J250" i="4"/>
  <c r="K250" i="4"/>
  <c r="L250" i="4"/>
  <c r="M250" i="4"/>
  <c r="N250" i="4"/>
  <c r="O250" i="4"/>
  <c r="P250" i="4"/>
  <c r="Q250" i="4"/>
  <c r="R250" i="4"/>
  <c r="S250" i="4"/>
  <c r="T250" i="4"/>
  <c r="U250" i="4"/>
  <c r="V250" i="4"/>
  <c r="W250" i="4"/>
  <c r="X250" i="4"/>
  <c r="Y250" i="4"/>
  <c r="Z250" i="4"/>
  <c r="AA250" i="4"/>
  <c r="AB250" i="4"/>
  <c r="AC250" i="4"/>
  <c r="AD250" i="4"/>
  <c r="AE250" i="4"/>
  <c r="AF250" i="4"/>
  <c r="AG250" i="4"/>
  <c r="AH250" i="4"/>
  <c r="AI250" i="4"/>
  <c r="AJ250" i="4"/>
  <c r="AK250" i="4"/>
  <c r="AL250" i="4"/>
  <c r="AM250" i="4"/>
  <c r="AN250" i="4"/>
  <c r="AO250" i="4"/>
  <c r="AP250" i="4"/>
  <c r="AQ250" i="4"/>
  <c r="AR250" i="4"/>
  <c r="AS250" i="4"/>
  <c r="AT250" i="4"/>
  <c r="AU250" i="4"/>
  <c r="AV250" i="4"/>
  <c r="AW250" i="4"/>
  <c r="AX250" i="4"/>
  <c r="AY250" i="4"/>
  <c r="AZ250" i="4"/>
  <c r="BA250" i="4"/>
  <c r="BB250" i="4"/>
  <c r="BC250" i="4"/>
  <c r="BD250" i="4"/>
  <c r="BE250" i="4"/>
  <c r="BF250" i="4"/>
  <c r="BG250" i="4"/>
  <c r="BH250" i="4"/>
  <c r="BI250" i="4"/>
  <c r="BJ250" i="4"/>
  <c r="BK250" i="4"/>
  <c r="BL250" i="4"/>
  <c r="BM250" i="4"/>
  <c r="BN250" i="4"/>
  <c r="BO250" i="4"/>
  <c r="BP250" i="4"/>
  <c r="BQ250" i="4"/>
  <c r="BR250" i="4"/>
  <c r="BS250" i="4"/>
  <c r="BT250" i="4"/>
  <c r="BU250" i="4"/>
  <c r="BV250" i="4"/>
  <c r="BW250" i="4"/>
  <c r="BX250" i="4"/>
  <c r="BY250" i="4"/>
  <c r="BZ250" i="4"/>
  <c r="CA250" i="4"/>
  <c r="CB250" i="4"/>
  <c r="CC250" i="4"/>
  <c r="CD250" i="4"/>
  <c r="CE250" i="4"/>
  <c r="CF250" i="4"/>
  <c r="CG250" i="4"/>
  <c r="CH250" i="4"/>
  <c r="CI250" i="4"/>
  <c r="CJ250" i="4"/>
  <c r="CK250" i="4"/>
  <c r="CL250" i="4"/>
  <c r="CM250" i="4"/>
  <c r="CN250" i="4"/>
  <c r="CO250" i="4"/>
  <c r="CP250" i="4"/>
  <c r="CQ250" i="4"/>
  <c r="CR250" i="4"/>
  <c r="CS250" i="4"/>
  <c r="CT250" i="4"/>
  <c r="CU250" i="4"/>
  <c r="CV250" i="4"/>
  <c r="CW250" i="4"/>
  <c r="CX250" i="4"/>
  <c r="CY250" i="4"/>
  <c r="CZ250" i="4"/>
  <c r="DA250" i="4"/>
  <c r="DB250" i="4"/>
  <c r="DC250" i="4"/>
  <c r="DD250" i="4"/>
  <c r="DE250" i="4"/>
  <c r="DF250" i="4"/>
  <c r="DG250" i="4"/>
  <c r="DH250" i="4"/>
  <c r="DI250" i="4"/>
  <c r="DJ250" i="4"/>
  <c r="DK250" i="4"/>
  <c r="DL250" i="4"/>
  <c r="DM250" i="4"/>
  <c r="DN250" i="4"/>
  <c r="DO250" i="4"/>
  <c r="DP250" i="4"/>
  <c r="DQ250" i="4"/>
  <c r="DR250" i="4"/>
  <c r="DS250" i="4"/>
  <c r="DT250" i="4"/>
  <c r="DU250" i="4"/>
  <c r="DV250" i="4"/>
  <c r="DW250" i="4"/>
  <c r="DX250" i="4"/>
  <c r="DY250" i="4"/>
  <c r="DZ250" i="4"/>
  <c r="EA250" i="4"/>
  <c r="EB250" i="4"/>
  <c r="EC250" i="4"/>
  <c r="ED250" i="4"/>
  <c r="EE250" i="4"/>
  <c r="EF250" i="4"/>
  <c r="EG250" i="4"/>
  <c r="EH250" i="4"/>
  <c r="EI250" i="4"/>
  <c r="EJ250" i="4"/>
  <c r="EK250" i="4"/>
  <c r="EL250" i="4"/>
  <c r="EM250" i="4"/>
  <c r="EN250" i="4"/>
  <c r="EO250" i="4"/>
  <c r="EP250" i="4"/>
  <c r="EQ250" i="4"/>
  <c r="ER250" i="4"/>
  <c r="ES250" i="4"/>
  <c r="ET250" i="4"/>
  <c r="EU250" i="4"/>
  <c r="EV250" i="4"/>
  <c r="EW250" i="4"/>
  <c r="EX250" i="4"/>
  <c r="EY250" i="4"/>
  <c r="EZ250" i="4"/>
  <c r="FA250" i="4"/>
  <c r="FB250" i="4"/>
  <c r="FC250" i="4"/>
  <c r="FD250" i="4"/>
  <c r="FE250" i="4"/>
  <c r="FF250" i="4"/>
  <c r="FG250" i="4"/>
  <c r="FH250" i="4"/>
  <c r="FI250" i="4"/>
  <c r="FJ250" i="4"/>
  <c r="FK250" i="4"/>
  <c r="FL250" i="4"/>
  <c r="FM250" i="4"/>
  <c r="FN250" i="4"/>
  <c r="FO250" i="4"/>
  <c r="FP250" i="4"/>
  <c r="FQ250" i="4"/>
  <c r="FR250" i="4"/>
  <c r="FS250" i="4"/>
  <c r="FT250" i="4"/>
  <c r="FU250" i="4"/>
  <c r="FV250" i="4"/>
  <c r="FW250" i="4"/>
  <c r="FX250" i="4"/>
  <c r="FY250" i="4"/>
  <c r="FZ250" i="4"/>
  <c r="GA250" i="4"/>
  <c r="GB250" i="4"/>
  <c r="GC250" i="4"/>
  <c r="GD250" i="4"/>
  <c r="GE250" i="4"/>
  <c r="GF250" i="4"/>
  <c r="GG250" i="4"/>
  <c r="GH250" i="4"/>
  <c r="GI250" i="4"/>
  <c r="GJ250" i="4"/>
  <c r="GK250" i="4"/>
  <c r="GL250" i="4"/>
  <c r="GM250" i="4"/>
  <c r="GN250" i="4"/>
  <c r="GO250" i="4"/>
  <c r="GP250" i="4"/>
  <c r="GQ250" i="4"/>
  <c r="GR250" i="4"/>
  <c r="GS250" i="4"/>
  <c r="GT250" i="4"/>
  <c r="GU250" i="4"/>
  <c r="GV250" i="4"/>
  <c r="GW250" i="4"/>
  <c r="GX250" i="4"/>
  <c r="GY250" i="4"/>
  <c r="GZ250" i="4"/>
  <c r="HA250" i="4"/>
  <c r="HB250" i="4"/>
  <c r="HC250" i="4"/>
  <c r="HD250" i="4"/>
  <c r="HE250" i="4"/>
  <c r="HF250" i="4"/>
  <c r="HG250" i="4"/>
  <c r="HH250" i="4"/>
  <c r="HI250" i="4"/>
  <c r="HJ250" i="4"/>
  <c r="HK250" i="4"/>
  <c r="HL250" i="4"/>
  <c r="HM250" i="4"/>
  <c r="HN250" i="4"/>
  <c r="HO250" i="4"/>
  <c r="HP250" i="4"/>
  <c r="HQ250" i="4"/>
  <c r="HR250" i="4"/>
  <c r="HS250" i="4"/>
  <c r="HT250" i="4"/>
  <c r="HU250" i="4"/>
  <c r="HV250" i="4"/>
  <c r="HW250" i="4"/>
  <c r="HX250" i="4"/>
  <c r="HY250" i="4"/>
  <c r="HZ250" i="4"/>
  <c r="IA250" i="4"/>
  <c r="IB250" i="4"/>
  <c r="IC250" i="4"/>
  <c r="ID250" i="4"/>
  <c r="IE250" i="4"/>
  <c r="IF250" i="4"/>
  <c r="IG250" i="4"/>
  <c r="IH250" i="4"/>
  <c r="II250" i="4"/>
  <c r="IJ250" i="4"/>
  <c r="IK250" i="4"/>
  <c r="IL250" i="4"/>
  <c r="IM250" i="4"/>
  <c r="IN250" i="4"/>
  <c r="IO250" i="4"/>
  <c r="IP250" i="4"/>
  <c r="IQ250" i="4"/>
  <c r="IR250" i="4"/>
  <c r="IS250" i="4"/>
  <c r="IT250" i="4"/>
  <c r="IU250" i="4"/>
  <c r="IV250" i="4"/>
  <c r="A249" i="4"/>
  <c r="B249" i="4"/>
  <c r="C249" i="4"/>
  <c r="D249" i="4"/>
  <c r="E249" i="4"/>
  <c r="F249" i="4"/>
  <c r="G249" i="4"/>
  <c r="H249" i="4"/>
  <c r="I249" i="4"/>
  <c r="J249" i="4"/>
  <c r="K249" i="4"/>
  <c r="L249" i="4"/>
  <c r="M249" i="4"/>
  <c r="N249" i="4"/>
  <c r="O249" i="4"/>
  <c r="P249" i="4"/>
  <c r="Q249" i="4"/>
  <c r="R249" i="4"/>
  <c r="S249" i="4"/>
  <c r="T249" i="4"/>
  <c r="U249" i="4"/>
  <c r="V249" i="4"/>
  <c r="W249" i="4"/>
  <c r="X249" i="4"/>
  <c r="Y249" i="4"/>
  <c r="Z249" i="4"/>
  <c r="AA249" i="4"/>
  <c r="AB249" i="4"/>
  <c r="AC249" i="4"/>
  <c r="AD249" i="4"/>
  <c r="AE249" i="4"/>
  <c r="AF249" i="4"/>
  <c r="AG249" i="4"/>
  <c r="AH249" i="4"/>
  <c r="AI249" i="4"/>
  <c r="AJ249" i="4"/>
  <c r="AK249" i="4"/>
  <c r="AL249" i="4"/>
  <c r="AM249" i="4"/>
  <c r="AN249" i="4"/>
  <c r="AO249" i="4"/>
  <c r="AP249" i="4"/>
  <c r="AQ249" i="4"/>
  <c r="AR249" i="4"/>
  <c r="AS249" i="4"/>
  <c r="AT249" i="4"/>
  <c r="AU249" i="4"/>
  <c r="AV249" i="4"/>
  <c r="AW249" i="4"/>
  <c r="AX249" i="4"/>
  <c r="AY249" i="4"/>
  <c r="AZ249" i="4"/>
  <c r="BA249" i="4"/>
  <c r="BB249" i="4"/>
  <c r="BC249" i="4"/>
  <c r="BD249" i="4"/>
  <c r="BE249" i="4"/>
  <c r="BF249" i="4"/>
  <c r="BG249" i="4"/>
  <c r="BH249" i="4"/>
  <c r="BI249" i="4"/>
  <c r="BJ249" i="4"/>
  <c r="BK249" i="4"/>
  <c r="BL249" i="4"/>
  <c r="BM249" i="4"/>
  <c r="BN249" i="4"/>
  <c r="BO249" i="4"/>
  <c r="BP249" i="4"/>
  <c r="BQ249" i="4"/>
  <c r="BR249" i="4"/>
  <c r="BS249" i="4"/>
  <c r="BT249" i="4"/>
  <c r="BU249" i="4"/>
  <c r="BV249" i="4"/>
  <c r="BW249" i="4"/>
  <c r="BX249" i="4"/>
  <c r="BY249" i="4"/>
  <c r="BZ249" i="4"/>
  <c r="CA249" i="4"/>
  <c r="CB249" i="4"/>
  <c r="CC249" i="4"/>
  <c r="CD249" i="4"/>
  <c r="CE249" i="4"/>
  <c r="CF249" i="4"/>
  <c r="CG249" i="4"/>
  <c r="CH249" i="4"/>
  <c r="CI249" i="4"/>
  <c r="CJ249" i="4"/>
  <c r="CK249" i="4"/>
  <c r="CL249" i="4"/>
  <c r="CM249" i="4"/>
  <c r="CN249" i="4"/>
  <c r="CO249" i="4"/>
  <c r="CP249" i="4"/>
  <c r="CQ249" i="4"/>
  <c r="CR249" i="4"/>
  <c r="CS249" i="4"/>
  <c r="CT249" i="4"/>
  <c r="CU249" i="4"/>
  <c r="CV249" i="4"/>
  <c r="CW249" i="4"/>
  <c r="CX249" i="4"/>
  <c r="CY249" i="4"/>
  <c r="CZ249" i="4"/>
  <c r="DA249" i="4"/>
  <c r="DB249" i="4"/>
  <c r="DC249" i="4"/>
  <c r="DD249" i="4"/>
  <c r="DE249" i="4"/>
  <c r="DF249" i="4"/>
  <c r="DG249" i="4"/>
  <c r="DH249" i="4"/>
  <c r="DI249" i="4"/>
  <c r="DJ249" i="4"/>
  <c r="DK249" i="4"/>
  <c r="DL249" i="4"/>
  <c r="DM249" i="4"/>
  <c r="DN249" i="4"/>
  <c r="DO249" i="4"/>
  <c r="DP249" i="4"/>
  <c r="DQ249" i="4"/>
  <c r="DR249" i="4"/>
  <c r="DS249" i="4"/>
  <c r="DT249" i="4"/>
  <c r="DU249" i="4"/>
  <c r="DV249" i="4"/>
  <c r="DW249" i="4"/>
  <c r="DX249" i="4"/>
  <c r="DY249" i="4"/>
  <c r="DZ249" i="4"/>
  <c r="EA249" i="4"/>
  <c r="EB249" i="4"/>
  <c r="EC249" i="4"/>
  <c r="ED249" i="4"/>
  <c r="EE249" i="4"/>
  <c r="EF249" i="4"/>
  <c r="EG249" i="4"/>
  <c r="EH249" i="4"/>
  <c r="EI249" i="4"/>
  <c r="EJ249" i="4"/>
  <c r="EK249" i="4"/>
  <c r="EL249" i="4"/>
  <c r="EM249" i="4"/>
  <c r="EN249" i="4"/>
  <c r="EO249" i="4"/>
  <c r="EP249" i="4"/>
  <c r="EQ249" i="4"/>
  <c r="ER249" i="4"/>
  <c r="ES249" i="4"/>
  <c r="ET249" i="4"/>
  <c r="EU249" i="4"/>
  <c r="EV249" i="4"/>
  <c r="EW249" i="4"/>
  <c r="EX249" i="4"/>
  <c r="EY249" i="4"/>
  <c r="EZ249" i="4"/>
  <c r="FA249" i="4"/>
  <c r="FB249" i="4"/>
  <c r="FC249" i="4"/>
  <c r="FD249" i="4"/>
  <c r="FE249" i="4"/>
  <c r="FF249" i="4"/>
  <c r="FG249" i="4"/>
  <c r="FH249" i="4"/>
  <c r="FI249" i="4"/>
  <c r="FJ249" i="4"/>
  <c r="FK249" i="4"/>
  <c r="FL249" i="4"/>
  <c r="FM249" i="4"/>
  <c r="FN249" i="4"/>
  <c r="FO249" i="4"/>
  <c r="FP249" i="4"/>
  <c r="FQ249" i="4"/>
  <c r="FR249" i="4"/>
  <c r="FS249" i="4"/>
  <c r="FT249" i="4"/>
  <c r="FU249" i="4"/>
  <c r="FV249" i="4"/>
  <c r="FW249" i="4"/>
  <c r="FX249" i="4"/>
  <c r="FY249" i="4"/>
  <c r="FZ249" i="4"/>
  <c r="GA249" i="4"/>
  <c r="GB249" i="4"/>
  <c r="GC249" i="4"/>
  <c r="GD249" i="4"/>
  <c r="GE249" i="4"/>
  <c r="GF249" i="4"/>
  <c r="GG249" i="4"/>
  <c r="GH249" i="4"/>
  <c r="GI249" i="4"/>
  <c r="GJ249" i="4"/>
  <c r="GK249" i="4"/>
  <c r="GL249" i="4"/>
  <c r="GM249" i="4"/>
  <c r="GN249" i="4"/>
  <c r="GO249" i="4"/>
  <c r="GP249" i="4"/>
  <c r="GQ249" i="4"/>
  <c r="GR249" i="4"/>
  <c r="GS249" i="4"/>
  <c r="GT249" i="4"/>
  <c r="GU249" i="4"/>
  <c r="GV249" i="4"/>
  <c r="GW249" i="4"/>
  <c r="GX249" i="4"/>
  <c r="GY249" i="4"/>
  <c r="GZ249" i="4"/>
  <c r="HA249" i="4"/>
  <c r="HB249" i="4"/>
  <c r="HC249" i="4"/>
  <c r="HD249" i="4"/>
  <c r="HE249" i="4"/>
  <c r="HF249" i="4"/>
  <c r="HG249" i="4"/>
  <c r="HH249" i="4"/>
  <c r="HI249" i="4"/>
  <c r="HJ249" i="4"/>
  <c r="HK249" i="4"/>
  <c r="HL249" i="4"/>
  <c r="HM249" i="4"/>
  <c r="HN249" i="4"/>
  <c r="HO249" i="4"/>
  <c r="HP249" i="4"/>
  <c r="HQ249" i="4"/>
  <c r="HR249" i="4"/>
  <c r="HS249" i="4"/>
  <c r="HT249" i="4"/>
  <c r="HU249" i="4"/>
  <c r="HV249" i="4"/>
  <c r="HW249" i="4"/>
  <c r="HX249" i="4"/>
  <c r="HY249" i="4"/>
  <c r="HZ249" i="4"/>
  <c r="IA249" i="4"/>
  <c r="IB249" i="4"/>
  <c r="IC249" i="4"/>
  <c r="ID249" i="4"/>
  <c r="IE249" i="4"/>
  <c r="IF249" i="4"/>
  <c r="IG249" i="4"/>
  <c r="IH249" i="4"/>
  <c r="II249" i="4"/>
  <c r="IJ249" i="4"/>
  <c r="IK249" i="4"/>
  <c r="IL249" i="4"/>
  <c r="IM249" i="4"/>
  <c r="IN249" i="4"/>
  <c r="IO249" i="4"/>
  <c r="IP249" i="4"/>
  <c r="IQ249" i="4"/>
  <c r="IR249" i="4"/>
  <c r="IS249" i="4"/>
  <c r="IT249" i="4"/>
  <c r="IU249" i="4"/>
  <c r="IV249" i="4"/>
  <c r="A248" i="4"/>
  <c r="B248" i="4"/>
  <c r="C248" i="4"/>
  <c r="D248" i="4"/>
  <c r="E248" i="4"/>
  <c r="F248" i="4"/>
  <c r="G248" i="4"/>
  <c r="H248" i="4"/>
  <c r="I248" i="4"/>
  <c r="J248" i="4"/>
  <c r="K248" i="4"/>
  <c r="L248" i="4"/>
  <c r="M248" i="4"/>
  <c r="N248" i="4"/>
  <c r="O248" i="4"/>
  <c r="P248" i="4"/>
  <c r="Q248" i="4"/>
  <c r="R248" i="4"/>
  <c r="S248" i="4"/>
  <c r="T248" i="4"/>
  <c r="U248" i="4"/>
  <c r="V248" i="4"/>
  <c r="W248" i="4"/>
  <c r="X248" i="4"/>
  <c r="Y248" i="4"/>
  <c r="Z248" i="4"/>
  <c r="AA248" i="4"/>
  <c r="AB248" i="4"/>
  <c r="AC248" i="4"/>
  <c r="AD248" i="4"/>
  <c r="AE248" i="4"/>
  <c r="AF248" i="4"/>
  <c r="AG248" i="4"/>
  <c r="AH248" i="4"/>
  <c r="AI248" i="4"/>
  <c r="AJ248" i="4"/>
  <c r="AK248" i="4"/>
  <c r="AL248" i="4"/>
  <c r="AM248" i="4"/>
  <c r="AN248" i="4"/>
  <c r="AO248" i="4"/>
  <c r="AP248" i="4"/>
  <c r="AQ248" i="4"/>
  <c r="AR248" i="4"/>
  <c r="AS248" i="4"/>
  <c r="AT248" i="4"/>
  <c r="AU248" i="4"/>
  <c r="AV248" i="4"/>
  <c r="AW248" i="4"/>
  <c r="AX248" i="4"/>
  <c r="AY248" i="4"/>
  <c r="AZ248" i="4"/>
  <c r="BB248" i="4"/>
  <c r="BC248" i="4"/>
  <c r="BD248" i="4"/>
  <c r="BE248" i="4"/>
  <c r="BF248" i="4"/>
  <c r="BG248" i="4"/>
  <c r="BH248" i="4"/>
  <c r="BI248" i="4"/>
  <c r="BJ248" i="4"/>
  <c r="BK248" i="4"/>
  <c r="BL248" i="4"/>
  <c r="BM248" i="4"/>
  <c r="BN248" i="4"/>
  <c r="BO248" i="4"/>
  <c r="BP248" i="4"/>
  <c r="BQ248" i="4"/>
  <c r="BR248" i="4"/>
  <c r="BS248" i="4"/>
  <c r="BT248" i="4"/>
  <c r="BU248" i="4"/>
  <c r="BV248" i="4"/>
  <c r="BW248" i="4"/>
  <c r="BX248" i="4"/>
  <c r="BY248" i="4"/>
  <c r="BZ248" i="4"/>
  <c r="CA248" i="4"/>
  <c r="CB248" i="4"/>
  <c r="CC248" i="4"/>
  <c r="CD248" i="4"/>
  <c r="CE248" i="4"/>
  <c r="CF248" i="4"/>
  <c r="CG248" i="4"/>
  <c r="CH248" i="4"/>
  <c r="CI248" i="4"/>
  <c r="CJ248" i="4"/>
  <c r="CK248" i="4"/>
  <c r="CL248" i="4"/>
  <c r="CM248" i="4"/>
  <c r="CN248" i="4"/>
  <c r="CO248" i="4"/>
  <c r="CP248" i="4"/>
  <c r="CQ248" i="4"/>
  <c r="CR248" i="4"/>
  <c r="CS248" i="4"/>
  <c r="CT248" i="4"/>
  <c r="CU248" i="4"/>
  <c r="CV248" i="4"/>
  <c r="CW248" i="4"/>
  <c r="CX248" i="4"/>
  <c r="CY248" i="4"/>
  <c r="CZ248" i="4"/>
  <c r="DA248" i="4"/>
  <c r="DB248" i="4"/>
  <c r="DC248" i="4"/>
  <c r="DD248" i="4"/>
  <c r="DE248" i="4"/>
  <c r="DF248" i="4"/>
  <c r="DG248" i="4"/>
  <c r="DH248" i="4"/>
  <c r="DI248" i="4"/>
  <c r="DJ248" i="4"/>
  <c r="DK248" i="4"/>
  <c r="DL248" i="4"/>
  <c r="DM248" i="4"/>
  <c r="DN248" i="4"/>
  <c r="DO248" i="4"/>
  <c r="DP248" i="4"/>
  <c r="DQ248" i="4"/>
  <c r="DR248" i="4"/>
  <c r="DS248" i="4"/>
  <c r="DT248" i="4"/>
  <c r="DU248" i="4"/>
  <c r="DV248" i="4"/>
  <c r="DW248" i="4"/>
  <c r="DX248" i="4"/>
  <c r="DY248" i="4"/>
  <c r="DZ248" i="4"/>
  <c r="EA248" i="4"/>
  <c r="EB248" i="4"/>
  <c r="EC248" i="4"/>
  <c r="ED248" i="4"/>
  <c r="EE248" i="4"/>
  <c r="EF248" i="4"/>
  <c r="EG248" i="4"/>
  <c r="EH248" i="4"/>
  <c r="EI248" i="4"/>
  <c r="EJ248" i="4"/>
  <c r="EK248" i="4"/>
  <c r="EL248" i="4"/>
  <c r="EM248" i="4"/>
  <c r="EN248" i="4"/>
  <c r="EO248" i="4"/>
  <c r="EP248" i="4"/>
  <c r="EQ248" i="4"/>
  <c r="ER248" i="4"/>
  <c r="ES248" i="4"/>
  <c r="ET248" i="4"/>
  <c r="EU248" i="4"/>
  <c r="EV248" i="4"/>
  <c r="EW248" i="4"/>
  <c r="EX248" i="4"/>
  <c r="EY248" i="4"/>
  <c r="EZ248" i="4"/>
  <c r="FA248" i="4"/>
  <c r="FB248" i="4"/>
  <c r="FC248" i="4"/>
  <c r="FD248" i="4"/>
  <c r="FE248" i="4"/>
  <c r="FF248" i="4"/>
  <c r="FG248" i="4"/>
  <c r="FH248" i="4"/>
  <c r="FI248" i="4"/>
  <c r="FJ248" i="4"/>
  <c r="FK248" i="4"/>
  <c r="FL248" i="4"/>
  <c r="FM248" i="4"/>
  <c r="FN248" i="4"/>
  <c r="FO248" i="4"/>
  <c r="FP248" i="4"/>
  <c r="FQ248" i="4"/>
  <c r="FR248" i="4"/>
  <c r="FS248" i="4"/>
  <c r="FT248" i="4"/>
  <c r="FU248" i="4"/>
  <c r="FV248" i="4"/>
  <c r="FW248" i="4"/>
  <c r="FX248" i="4"/>
  <c r="FY248" i="4"/>
  <c r="FZ248" i="4"/>
  <c r="GA248" i="4"/>
  <c r="GB248" i="4"/>
  <c r="GC248" i="4"/>
  <c r="GD248" i="4"/>
  <c r="GE248" i="4"/>
  <c r="GF248" i="4"/>
  <c r="GG248" i="4"/>
  <c r="GH248" i="4"/>
  <c r="GI248" i="4"/>
  <c r="GJ248" i="4"/>
  <c r="GK248" i="4"/>
  <c r="GL248" i="4"/>
  <c r="GM248" i="4"/>
  <c r="GN248" i="4"/>
  <c r="GO248" i="4"/>
  <c r="GP248" i="4"/>
  <c r="GQ248" i="4"/>
  <c r="GR248" i="4"/>
  <c r="GS248" i="4"/>
  <c r="GT248" i="4"/>
  <c r="GU248" i="4"/>
  <c r="GV248" i="4"/>
  <c r="GW248" i="4"/>
  <c r="GX248" i="4"/>
  <c r="GY248" i="4"/>
  <c r="GZ248" i="4"/>
  <c r="HA248" i="4"/>
  <c r="HB248" i="4"/>
  <c r="HC248" i="4"/>
  <c r="HD248" i="4"/>
  <c r="HE248" i="4"/>
  <c r="HF248" i="4"/>
  <c r="HG248" i="4"/>
  <c r="HH248" i="4"/>
  <c r="HI248" i="4"/>
  <c r="HJ248" i="4"/>
  <c r="HK248" i="4"/>
  <c r="HL248" i="4"/>
  <c r="HM248" i="4"/>
  <c r="HN248" i="4"/>
  <c r="HO248" i="4"/>
  <c r="HP248" i="4"/>
  <c r="HQ248" i="4"/>
  <c r="HR248" i="4"/>
  <c r="HS248" i="4"/>
  <c r="HT248" i="4"/>
  <c r="HU248" i="4"/>
  <c r="HV248" i="4"/>
  <c r="HW248" i="4"/>
  <c r="HX248" i="4"/>
  <c r="HY248" i="4"/>
  <c r="HZ248" i="4"/>
  <c r="IA248" i="4"/>
  <c r="IB248" i="4"/>
  <c r="IC248" i="4"/>
  <c r="ID248" i="4"/>
  <c r="IE248" i="4"/>
  <c r="IF248" i="4"/>
  <c r="IG248" i="4"/>
  <c r="IH248" i="4"/>
  <c r="II248" i="4"/>
  <c r="IJ248" i="4"/>
  <c r="IK248" i="4"/>
  <c r="IL248" i="4"/>
  <c r="IM248" i="4"/>
  <c r="IN248" i="4"/>
  <c r="IO248" i="4"/>
  <c r="IP248" i="4"/>
  <c r="IQ248" i="4"/>
  <c r="IR248" i="4"/>
  <c r="IS248" i="4"/>
  <c r="IT248" i="4"/>
  <c r="IU248" i="4"/>
  <c r="IV248" i="4"/>
  <c r="A247" i="4"/>
  <c r="B247" i="4"/>
  <c r="C247" i="4"/>
  <c r="D247" i="4"/>
  <c r="E247" i="4"/>
  <c r="F247" i="4"/>
  <c r="G247" i="4"/>
  <c r="H247" i="4"/>
  <c r="J247" i="4"/>
  <c r="K247" i="4"/>
  <c r="L247" i="4"/>
  <c r="M247" i="4"/>
  <c r="N247" i="4"/>
  <c r="O247" i="4"/>
  <c r="P247" i="4"/>
  <c r="Q247" i="4"/>
  <c r="R247" i="4"/>
  <c r="S247" i="4"/>
  <c r="T247" i="4"/>
  <c r="U247" i="4"/>
  <c r="V247" i="4"/>
  <c r="W247" i="4"/>
  <c r="X247" i="4"/>
  <c r="Y247" i="4"/>
  <c r="Z247" i="4"/>
  <c r="AA247" i="4"/>
  <c r="AB247" i="4"/>
  <c r="AC247" i="4"/>
  <c r="AD247" i="4"/>
  <c r="AE247" i="4"/>
  <c r="AF247" i="4"/>
  <c r="AG247" i="4"/>
  <c r="AH247" i="4"/>
  <c r="AI247" i="4"/>
  <c r="AJ247" i="4"/>
  <c r="AK247" i="4"/>
  <c r="AL247" i="4"/>
  <c r="AM247" i="4"/>
  <c r="AN247" i="4"/>
  <c r="AO247" i="4"/>
  <c r="AP247" i="4"/>
  <c r="AQ247" i="4"/>
  <c r="AR247" i="4"/>
  <c r="AS247" i="4"/>
  <c r="AT247" i="4"/>
  <c r="AU247" i="4"/>
  <c r="AV247" i="4"/>
  <c r="AW247" i="4"/>
  <c r="AX247" i="4"/>
  <c r="AY247" i="4"/>
  <c r="AZ247" i="4"/>
  <c r="BA247" i="4"/>
  <c r="BB247" i="4"/>
  <c r="BC247" i="4"/>
  <c r="BD247" i="4"/>
  <c r="BE247" i="4"/>
  <c r="BF247" i="4"/>
  <c r="BG247" i="4"/>
  <c r="BH247" i="4"/>
  <c r="BI247" i="4"/>
  <c r="BJ247" i="4"/>
  <c r="BK247" i="4"/>
  <c r="BL247" i="4"/>
  <c r="BM247" i="4"/>
  <c r="BN247" i="4"/>
  <c r="BO247" i="4"/>
  <c r="BP247" i="4"/>
  <c r="BQ247" i="4"/>
  <c r="BR247" i="4"/>
  <c r="BS247" i="4"/>
  <c r="BT247" i="4"/>
  <c r="BU247" i="4"/>
  <c r="BV247" i="4"/>
  <c r="BW247" i="4"/>
  <c r="BX247" i="4"/>
  <c r="BY247" i="4"/>
  <c r="BZ247" i="4"/>
  <c r="CA247" i="4"/>
  <c r="CB247" i="4"/>
  <c r="CC247" i="4"/>
  <c r="CD247" i="4"/>
  <c r="CE247" i="4"/>
  <c r="CF247" i="4"/>
  <c r="CG247" i="4"/>
  <c r="CH247" i="4"/>
  <c r="CI247" i="4"/>
  <c r="CJ247" i="4"/>
  <c r="CK247" i="4"/>
  <c r="CL247" i="4"/>
  <c r="CM247" i="4"/>
  <c r="CN247" i="4"/>
  <c r="CO247" i="4"/>
  <c r="CP247" i="4"/>
  <c r="CQ247" i="4"/>
  <c r="CR247" i="4"/>
  <c r="CS247" i="4"/>
  <c r="CT247" i="4"/>
  <c r="CU247" i="4"/>
  <c r="CV247" i="4"/>
  <c r="CW247" i="4"/>
  <c r="CX247" i="4"/>
  <c r="CY247" i="4"/>
  <c r="CZ247" i="4"/>
  <c r="DA247" i="4"/>
  <c r="DB247" i="4"/>
  <c r="DC247" i="4"/>
  <c r="DD247" i="4"/>
  <c r="DE247" i="4"/>
  <c r="DF247" i="4"/>
  <c r="DG247" i="4"/>
  <c r="DH247" i="4"/>
  <c r="DI247" i="4"/>
  <c r="DJ247" i="4"/>
  <c r="DK247" i="4"/>
  <c r="DL247" i="4"/>
  <c r="DM247" i="4"/>
  <c r="DN247" i="4"/>
  <c r="DO247" i="4"/>
  <c r="DP247" i="4"/>
  <c r="DQ247" i="4"/>
  <c r="DR247" i="4"/>
  <c r="DS247" i="4"/>
  <c r="DT247" i="4"/>
  <c r="DU247" i="4"/>
  <c r="DV247" i="4"/>
  <c r="DW247" i="4"/>
  <c r="DX247" i="4"/>
  <c r="DY247" i="4"/>
  <c r="DZ247" i="4"/>
  <c r="EA247" i="4"/>
  <c r="EB247" i="4"/>
  <c r="EC247" i="4"/>
  <c r="ED247" i="4"/>
  <c r="EE247" i="4"/>
  <c r="EF247" i="4"/>
  <c r="EG247" i="4"/>
  <c r="EH247" i="4"/>
  <c r="EI247" i="4"/>
  <c r="EJ247" i="4"/>
  <c r="EK247" i="4"/>
  <c r="EL247" i="4"/>
  <c r="EM247" i="4"/>
  <c r="EN247" i="4"/>
  <c r="EO247" i="4"/>
  <c r="EP247" i="4"/>
  <c r="EQ247" i="4"/>
  <c r="ER247" i="4"/>
  <c r="ES247" i="4"/>
  <c r="ET247" i="4"/>
  <c r="EU247" i="4"/>
  <c r="EV247" i="4"/>
  <c r="EW247" i="4"/>
  <c r="EX247" i="4"/>
  <c r="EY247" i="4"/>
  <c r="EZ247" i="4"/>
  <c r="FA247" i="4"/>
  <c r="FB247" i="4"/>
  <c r="FC247" i="4"/>
  <c r="FD247" i="4"/>
  <c r="FE247" i="4"/>
  <c r="FF247" i="4"/>
  <c r="FG247" i="4"/>
  <c r="FH247" i="4"/>
  <c r="FI247" i="4"/>
  <c r="FJ247" i="4"/>
  <c r="FK247" i="4"/>
  <c r="FL247" i="4"/>
  <c r="FM247" i="4"/>
  <c r="FN247" i="4"/>
  <c r="FO247" i="4"/>
  <c r="FP247" i="4"/>
  <c r="FQ247" i="4"/>
  <c r="FR247" i="4"/>
  <c r="FS247" i="4"/>
  <c r="FT247" i="4"/>
  <c r="FU247" i="4"/>
  <c r="FV247" i="4"/>
  <c r="FW247" i="4"/>
  <c r="FX247" i="4"/>
  <c r="FY247" i="4"/>
  <c r="FZ247" i="4"/>
  <c r="GA247" i="4"/>
  <c r="GB247" i="4"/>
  <c r="GC247" i="4"/>
  <c r="GD247" i="4"/>
  <c r="GE247" i="4"/>
  <c r="GF247" i="4"/>
  <c r="GG247" i="4"/>
  <c r="GH247" i="4"/>
  <c r="GI247" i="4"/>
  <c r="GJ247" i="4"/>
  <c r="GK247" i="4"/>
  <c r="GL247" i="4"/>
  <c r="GM247" i="4"/>
  <c r="GN247" i="4"/>
  <c r="GO247" i="4"/>
  <c r="GP247" i="4"/>
  <c r="GQ247" i="4"/>
  <c r="GR247" i="4"/>
  <c r="GS247" i="4"/>
  <c r="GT247" i="4"/>
  <c r="GU247" i="4"/>
  <c r="GV247" i="4"/>
  <c r="GW247" i="4"/>
  <c r="GX247" i="4"/>
  <c r="GY247" i="4"/>
  <c r="GZ247" i="4"/>
  <c r="HA247" i="4"/>
  <c r="HB247" i="4"/>
  <c r="HC247" i="4"/>
  <c r="HD247" i="4"/>
  <c r="HE247" i="4"/>
  <c r="HF247" i="4"/>
  <c r="HG247" i="4"/>
  <c r="HH247" i="4"/>
  <c r="HI247" i="4"/>
  <c r="HJ247" i="4"/>
  <c r="HK247" i="4"/>
  <c r="HL247" i="4"/>
  <c r="HM247" i="4"/>
  <c r="HN247" i="4"/>
  <c r="HO247" i="4"/>
  <c r="HP247" i="4"/>
  <c r="HQ247" i="4"/>
  <c r="HR247" i="4"/>
  <c r="HS247" i="4"/>
  <c r="HT247" i="4"/>
  <c r="HU247" i="4"/>
  <c r="HV247" i="4"/>
  <c r="HW247" i="4"/>
  <c r="HX247" i="4"/>
  <c r="HY247" i="4"/>
  <c r="HZ247" i="4"/>
  <c r="IA247" i="4"/>
  <c r="IB247" i="4"/>
  <c r="IC247" i="4"/>
  <c r="ID247" i="4"/>
  <c r="IE247" i="4"/>
  <c r="IF247" i="4"/>
  <c r="IG247" i="4"/>
  <c r="IH247" i="4"/>
  <c r="II247" i="4"/>
  <c r="IJ247" i="4"/>
  <c r="IK247" i="4"/>
  <c r="IL247" i="4"/>
  <c r="IM247" i="4"/>
  <c r="IN247" i="4"/>
  <c r="IO247" i="4"/>
  <c r="IP247" i="4"/>
  <c r="IQ247" i="4"/>
  <c r="IR247" i="4"/>
  <c r="IS247" i="4"/>
  <c r="IT247" i="4"/>
  <c r="IU247" i="4"/>
  <c r="IV247" i="4"/>
  <c r="A246" i="4"/>
  <c r="B246" i="4"/>
  <c r="C246" i="4"/>
  <c r="D246" i="4"/>
  <c r="E246" i="4"/>
  <c r="F246" i="4"/>
  <c r="G246" i="4"/>
  <c r="H246" i="4"/>
  <c r="I246" i="4"/>
  <c r="J246" i="4"/>
  <c r="K246" i="4"/>
  <c r="L246" i="4"/>
  <c r="M246" i="4"/>
  <c r="N246" i="4"/>
  <c r="O246" i="4"/>
  <c r="P246" i="4"/>
  <c r="Q246" i="4"/>
  <c r="R246" i="4"/>
  <c r="S246" i="4"/>
  <c r="T246" i="4"/>
  <c r="U246" i="4"/>
  <c r="V246" i="4"/>
  <c r="W246" i="4"/>
  <c r="X246" i="4"/>
  <c r="Y246" i="4"/>
  <c r="Z246" i="4"/>
  <c r="AA246" i="4"/>
  <c r="AB246" i="4"/>
  <c r="AC246" i="4"/>
  <c r="AD246" i="4"/>
  <c r="AE246" i="4"/>
  <c r="AF246" i="4"/>
  <c r="AG246" i="4"/>
  <c r="AH246" i="4"/>
  <c r="AI246" i="4"/>
  <c r="AJ246" i="4"/>
  <c r="AK246" i="4"/>
  <c r="AL246" i="4"/>
  <c r="AM246" i="4"/>
  <c r="AO246" i="4"/>
  <c r="AP246" i="4"/>
  <c r="AQ246" i="4"/>
  <c r="AR246" i="4"/>
  <c r="AS246" i="4"/>
  <c r="AT246" i="4"/>
  <c r="AU246" i="4"/>
  <c r="AV246" i="4"/>
  <c r="AW246" i="4"/>
  <c r="AX246" i="4"/>
  <c r="AY246" i="4"/>
  <c r="AZ246" i="4"/>
  <c r="BA246" i="4"/>
  <c r="BB246" i="4"/>
  <c r="BC246" i="4"/>
  <c r="BD246" i="4"/>
  <c r="BE246" i="4"/>
  <c r="BF246" i="4"/>
  <c r="BG246" i="4"/>
  <c r="BH246" i="4"/>
  <c r="BI246" i="4"/>
  <c r="BJ246" i="4"/>
  <c r="BK246" i="4"/>
  <c r="BL246" i="4"/>
  <c r="BM246" i="4"/>
  <c r="BN246" i="4"/>
  <c r="BO246" i="4"/>
  <c r="BP246" i="4"/>
  <c r="BQ246" i="4"/>
  <c r="BR246" i="4"/>
  <c r="BS246" i="4"/>
  <c r="BT246" i="4"/>
  <c r="BU246" i="4"/>
  <c r="BV246" i="4"/>
  <c r="BW246" i="4"/>
  <c r="BX246" i="4"/>
  <c r="BY246" i="4"/>
  <c r="BZ246" i="4"/>
  <c r="CA246" i="4"/>
  <c r="CB246" i="4"/>
  <c r="CC246" i="4"/>
  <c r="CD246" i="4"/>
  <c r="CE246" i="4"/>
  <c r="CF246" i="4"/>
  <c r="CG246" i="4"/>
  <c r="CH246" i="4"/>
  <c r="CI246" i="4"/>
  <c r="CJ246" i="4"/>
  <c r="CK246" i="4"/>
  <c r="CL246" i="4"/>
  <c r="CM246" i="4"/>
  <c r="CN246" i="4"/>
  <c r="CO246" i="4"/>
  <c r="CP246" i="4"/>
  <c r="CQ246" i="4"/>
  <c r="CR246" i="4"/>
  <c r="CS246" i="4"/>
  <c r="CT246" i="4"/>
  <c r="CU246" i="4"/>
  <c r="CV246" i="4"/>
  <c r="CW246" i="4"/>
  <c r="CX246" i="4"/>
  <c r="CY246" i="4"/>
  <c r="CZ246" i="4"/>
  <c r="DA246" i="4"/>
  <c r="DB246" i="4"/>
  <c r="DC246" i="4"/>
  <c r="DD246" i="4"/>
  <c r="DE246" i="4"/>
  <c r="DF246" i="4"/>
  <c r="DG246" i="4"/>
  <c r="DH246" i="4"/>
  <c r="DI246" i="4"/>
  <c r="DJ246" i="4"/>
  <c r="DK246" i="4"/>
  <c r="DL246" i="4"/>
  <c r="DM246" i="4"/>
  <c r="DN246" i="4"/>
  <c r="DO246" i="4"/>
  <c r="DP246" i="4"/>
  <c r="DQ246" i="4"/>
  <c r="DR246" i="4"/>
  <c r="DS246" i="4"/>
  <c r="DT246" i="4"/>
  <c r="DU246" i="4"/>
  <c r="DV246" i="4"/>
  <c r="DW246" i="4"/>
  <c r="DX246" i="4"/>
  <c r="DY246" i="4"/>
  <c r="DZ246" i="4"/>
  <c r="EA246" i="4"/>
  <c r="EB246" i="4"/>
  <c r="EC246" i="4"/>
  <c r="ED246" i="4"/>
  <c r="EE246" i="4"/>
  <c r="EF246" i="4"/>
  <c r="EG246" i="4"/>
  <c r="EH246" i="4"/>
  <c r="EI246" i="4"/>
  <c r="EJ246" i="4"/>
  <c r="EK246" i="4"/>
  <c r="EL246" i="4"/>
  <c r="EM246" i="4"/>
  <c r="EN246" i="4"/>
  <c r="EO246" i="4"/>
  <c r="EP246" i="4"/>
  <c r="EQ246" i="4"/>
  <c r="ER246" i="4"/>
  <c r="ES246" i="4"/>
  <c r="ET246" i="4"/>
  <c r="EU246" i="4"/>
  <c r="EV246" i="4"/>
  <c r="EW246" i="4"/>
  <c r="EX246" i="4"/>
  <c r="EY246" i="4"/>
  <c r="EZ246" i="4"/>
  <c r="FA246" i="4"/>
  <c r="FB246" i="4"/>
  <c r="FC246" i="4"/>
  <c r="FD246" i="4"/>
  <c r="FE246" i="4"/>
  <c r="FF246" i="4"/>
  <c r="FG246" i="4"/>
  <c r="FH246" i="4"/>
  <c r="FI246" i="4"/>
  <c r="FJ246" i="4"/>
  <c r="FK246" i="4"/>
  <c r="FL246" i="4"/>
  <c r="FM246" i="4"/>
  <c r="FN246" i="4"/>
  <c r="FO246" i="4"/>
  <c r="FP246" i="4"/>
  <c r="FQ246" i="4"/>
  <c r="FR246" i="4"/>
  <c r="FS246" i="4"/>
  <c r="FT246" i="4"/>
  <c r="FU246" i="4"/>
  <c r="FV246" i="4"/>
  <c r="FW246" i="4"/>
  <c r="FX246" i="4"/>
  <c r="FY246" i="4"/>
  <c r="FZ246" i="4"/>
  <c r="GA246" i="4"/>
  <c r="GB246" i="4"/>
  <c r="GC246" i="4"/>
  <c r="GD246" i="4"/>
  <c r="GE246" i="4"/>
  <c r="GF246" i="4"/>
  <c r="GG246" i="4"/>
  <c r="GH246" i="4"/>
  <c r="GI246" i="4"/>
  <c r="GJ246" i="4"/>
  <c r="GK246" i="4"/>
  <c r="GL246" i="4"/>
  <c r="GM246" i="4"/>
  <c r="GN246" i="4"/>
  <c r="GO246" i="4"/>
  <c r="GP246" i="4"/>
  <c r="GQ246" i="4"/>
  <c r="GR246" i="4"/>
  <c r="GS246" i="4"/>
  <c r="GT246" i="4"/>
  <c r="GU246" i="4"/>
  <c r="GV246" i="4"/>
  <c r="GW246" i="4"/>
  <c r="GX246" i="4"/>
  <c r="GY246" i="4"/>
  <c r="GZ246" i="4"/>
  <c r="HA246" i="4"/>
  <c r="HB246" i="4"/>
  <c r="HC246" i="4"/>
  <c r="HD246" i="4"/>
  <c r="HE246" i="4"/>
  <c r="HF246" i="4"/>
  <c r="HG246" i="4"/>
  <c r="HH246" i="4"/>
  <c r="HI246" i="4"/>
  <c r="HJ246" i="4"/>
  <c r="HK246" i="4"/>
  <c r="HL246" i="4"/>
  <c r="HM246" i="4"/>
  <c r="HN246" i="4"/>
  <c r="HO246" i="4"/>
  <c r="HP246" i="4"/>
  <c r="HQ246" i="4"/>
  <c r="HR246" i="4"/>
  <c r="HS246" i="4"/>
  <c r="HT246" i="4"/>
  <c r="HU246" i="4"/>
  <c r="HV246" i="4"/>
  <c r="HW246" i="4"/>
  <c r="HX246" i="4"/>
  <c r="HY246" i="4"/>
  <c r="HZ246" i="4"/>
  <c r="IA246" i="4"/>
  <c r="IB246" i="4"/>
  <c r="IC246" i="4"/>
  <c r="ID246" i="4"/>
  <c r="IE246" i="4"/>
  <c r="IF246" i="4"/>
  <c r="IG246" i="4"/>
  <c r="IH246" i="4"/>
  <c r="II246" i="4"/>
  <c r="IJ246" i="4"/>
  <c r="IK246" i="4"/>
  <c r="IL246" i="4"/>
  <c r="IM246" i="4"/>
  <c r="IN246" i="4"/>
  <c r="IO246" i="4"/>
  <c r="IP246" i="4"/>
  <c r="IQ246" i="4"/>
  <c r="IR246" i="4"/>
  <c r="IS246" i="4"/>
  <c r="IT246" i="4"/>
  <c r="IU246" i="4"/>
  <c r="IV246" i="4"/>
  <c r="A245" i="4"/>
  <c r="B245" i="4"/>
  <c r="C245" i="4"/>
  <c r="D245" i="4"/>
  <c r="E245" i="4"/>
  <c r="F245" i="4"/>
  <c r="G245" i="4"/>
  <c r="H245" i="4"/>
  <c r="I245" i="4"/>
  <c r="J245" i="4"/>
  <c r="K245" i="4"/>
  <c r="L245" i="4"/>
  <c r="M245" i="4"/>
  <c r="N245" i="4"/>
  <c r="O245" i="4"/>
  <c r="P245" i="4"/>
  <c r="Q245" i="4"/>
  <c r="R245" i="4"/>
  <c r="S245" i="4"/>
  <c r="T245" i="4"/>
  <c r="U245" i="4"/>
  <c r="V245" i="4"/>
  <c r="W245" i="4"/>
  <c r="X245" i="4"/>
  <c r="Y245" i="4"/>
  <c r="Z245" i="4"/>
  <c r="AA245" i="4"/>
  <c r="AB245" i="4"/>
  <c r="AC245" i="4"/>
  <c r="AD245" i="4"/>
  <c r="AE245" i="4"/>
  <c r="AF245" i="4"/>
  <c r="AG245" i="4"/>
  <c r="AH245" i="4"/>
  <c r="AI245" i="4"/>
  <c r="AJ245" i="4"/>
  <c r="AK245" i="4"/>
  <c r="AL245" i="4"/>
  <c r="AM245" i="4"/>
  <c r="AN245" i="4"/>
  <c r="AO245" i="4"/>
  <c r="AP245" i="4"/>
  <c r="AQ245" i="4"/>
  <c r="AR245" i="4"/>
  <c r="AS245" i="4"/>
  <c r="AT245" i="4"/>
  <c r="AU245" i="4"/>
  <c r="AV245" i="4"/>
  <c r="AW245" i="4"/>
  <c r="AX245" i="4"/>
  <c r="AY245" i="4"/>
  <c r="AZ245" i="4"/>
  <c r="BA245" i="4"/>
  <c r="BB245" i="4"/>
  <c r="BC245" i="4"/>
  <c r="BD245" i="4"/>
  <c r="BE245" i="4"/>
  <c r="BF245" i="4"/>
  <c r="BG245" i="4"/>
  <c r="BH245" i="4"/>
  <c r="BI245" i="4"/>
  <c r="BJ245" i="4"/>
  <c r="BK245" i="4"/>
  <c r="BL245" i="4"/>
  <c r="BM245" i="4"/>
  <c r="BN245" i="4"/>
  <c r="BO245" i="4"/>
  <c r="BP245" i="4"/>
  <c r="BQ245" i="4"/>
  <c r="BR245" i="4"/>
  <c r="BT245" i="4"/>
  <c r="BU245" i="4"/>
  <c r="BV245" i="4"/>
  <c r="BW245" i="4"/>
  <c r="BX245" i="4"/>
  <c r="BY245" i="4"/>
  <c r="BZ245" i="4"/>
  <c r="CA245" i="4"/>
  <c r="CB245" i="4"/>
  <c r="CC245" i="4"/>
  <c r="CD245" i="4"/>
  <c r="CE245" i="4"/>
  <c r="CF245" i="4"/>
  <c r="CG245" i="4"/>
  <c r="CH245" i="4"/>
  <c r="CI245" i="4"/>
  <c r="CJ245" i="4"/>
  <c r="CK245" i="4"/>
  <c r="CL245" i="4"/>
  <c r="CM245" i="4"/>
  <c r="CN245" i="4"/>
  <c r="CO245" i="4"/>
  <c r="CP245" i="4"/>
  <c r="CQ245" i="4"/>
  <c r="CR245" i="4"/>
  <c r="CS245" i="4"/>
  <c r="CT245" i="4"/>
  <c r="CU245" i="4"/>
  <c r="CV245" i="4"/>
  <c r="CW245" i="4"/>
  <c r="CX245" i="4"/>
  <c r="CY245" i="4"/>
  <c r="CZ245" i="4"/>
  <c r="DA245" i="4"/>
  <c r="DB245" i="4"/>
  <c r="DC245" i="4"/>
  <c r="DD245" i="4"/>
  <c r="DE245" i="4"/>
  <c r="DF245" i="4"/>
  <c r="DG245" i="4"/>
  <c r="DH245" i="4"/>
  <c r="DI245" i="4"/>
  <c r="DJ245" i="4"/>
  <c r="DK245" i="4"/>
  <c r="DL245" i="4"/>
  <c r="DM245" i="4"/>
  <c r="DN245" i="4"/>
  <c r="DO245" i="4"/>
  <c r="DP245" i="4"/>
  <c r="DQ245" i="4"/>
  <c r="DR245" i="4"/>
  <c r="DS245" i="4"/>
  <c r="DT245" i="4"/>
  <c r="DU245" i="4"/>
  <c r="DV245" i="4"/>
  <c r="DW245" i="4"/>
  <c r="DX245" i="4"/>
  <c r="DY245" i="4"/>
  <c r="DZ245" i="4"/>
  <c r="EA245" i="4"/>
  <c r="EB245" i="4"/>
  <c r="EC245" i="4"/>
  <c r="ED245" i="4"/>
  <c r="EE245" i="4"/>
  <c r="EF245" i="4"/>
  <c r="EG245" i="4"/>
  <c r="EH245" i="4"/>
  <c r="EI245" i="4"/>
  <c r="EJ245" i="4"/>
  <c r="EK245" i="4"/>
  <c r="EL245" i="4"/>
  <c r="EM245" i="4"/>
  <c r="EN245" i="4"/>
  <c r="EO245" i="4"/>
  <c r="EP245" i="4"/>
  <c r="EQ245" i="4"/>
  <c r="ER245" i="4"/>
  <c r="ES245" i="4"/>
  <c r="ET245" i="4"/>
  <c r="EU245" i="4"/>
  <c r="EV245" i="4"/>
  <c r="EW245" i="4"/>
  <c r="EX245" i="4"/>
  <c r="EY245" i="4"/>
  <c r="EZ245" i="4"/>
  <c r="FA245" i="4"/>
  <c r="FB245" i="4"/>
  <c r="FC245" i="4"/>
  <c r="FD245" i="4"/>
  <c r="FE245" i="4"/>
  <c r="FF245" i="4"/>
  <c r="FG245" i="4"/>
  <c r="FH245" i="4"/>
  <c r="FI245" i="4"/>
  <c r="FJ245" i="4"/>
  <c r="FK245" i="4"/>
  <c r="FL245" i="4"/>
  <c r="FM245" i="4"/>
  <c r="FN245" i="4"/>
  <c r="FO245" i="4"/>
  <c r="FP245" i="4"/>
  <c r="FQ245" i="4"/>
  <c r="FR245" i="4"/>
  <c r="FS245" i="4"/>
  <c r="FT245" i="4"/>
  <c r="FU245" i="4"/>
  <c r="FV245" i="4"/>
  <c r="FW245" i="4"/>
  <c r="FX245" i="4"/>
  <c r="FY245" i="4"/>
  <c r="FZ245" i="4"/>
  <c r="GA245" i="4"/>
  <c r="GB245" i="4"/>
  <c r="GC245" i="4"/>
  <c r="GD245" i="4"/>
  <c r="GE245" i="4"/>
  <c r="GF245" i="4"/>
  <c r="GG245" i="4"/>
  <c r="GH245" i="4"/>
  <c r="GI245" i="4"/>
  <c r="GJ245" i="4"/>
  <c r="GK245" i="4"/>
  <c r="GL245" i="4"/>
  <c r="GM245" i="4"/>
  <c r="GN245" i="4"/>
  <c r="GO245" i="4"/>
  <c r="GP245" i="4"/>
  <c r="GQ245" i="4"/>
  <c r="GR245" i="4"/>
  <c r="GS245" i="4"/>
  <c r="GT245" i="4"/>
  <c r="GU245" i="4"/>
  <c r="GV245" i="4"/>
  <c r="GW245" i="4"/>
  <c r="GX245" i="4"/>
  <c r="GY245" i="4"/>
  <c r="GZ245" i="4"/>
  <c r="HA245" i="4"/>
  <c r="HB245" i="4"/>
  <c r="HC245" i="4"/>
  <c r="HD245" i="4"/>
  <c r="HE245" i="4"/>
  <c r="HF245" i="4"/>
  <c r="HG245" i="4"/>
  <c r="HH245" i="4"/>
  <c r="HI245" i="4"/>
  <c r="HJ245" i="4"/>
  <c r="HK245" i="4"/>
  <c r="HL245" i="4"/>
  <c r="HM245" i="4"/>
  <c r="HN245" i="4"/>
  <c r="HO245" i="4"/>
  <c r="HP245" i="4"/>
  <c r="HQ245" i="4"/>
  <c r="HR245" i="4"/>
  <c r="HS245" i="4"/>
  <c r="HT245" i="4"/>
  <c r="HU245" i="4"/>
  <c r="HV245" i="4"/>
  <c r="HW245" i="4"/>
  <c r="HX245" i="4"/>
  <c r="HY245" i="4"/>
  <c r="HZ245" i="4"/>
  <c r="IA245" i="4"/>
  <c r="IB245" i="4"/>
  <c r="IC245" i="4"/>
  <c r="ID245" i="4"/>
  <c r="IE245" i="4"/>
  <c r="IF245" i="4"/>
  <c r="IG245" i="4"/>
  <c r="IH245" i="4"/>
  <c r="II245" i="4"/>
  <c r="IJ245" i="4"/>
  <c r="IK245" i="4"/>
  <c r="IL245" i="4"/>
  <c r="IM245" i="4"/>
  <c r="IN245" i="4"/>
  <c r="IO245" i="4"/>
  <c r="IP245" i="4"/>
  <c r="IQ245" i="4"/>
  <c r="IR245" i="4"/>
  <c r="IS245" i="4"/>
  <c r="IT245" i="4"/>
  <c r="IU245" i="4"/>
  <c r="IV245" i="4"/>
  <c r="A244" i="4"/>
  <c r="B244" i="4"/>
  <c r="C244" i="4"/>
  <c r="D244" i="4"/>
  <c r="E244" i="4"/>
  <c r="F244" i="4"/>
  <c r="G244" i="4"/>
  <c r="H244" i="4"/>
  <c r="I244" i="4"/>
  <c r="J244" i="4"/>
  <c r="K244" i="4"/>
  <c r="L244" i="4"/>
  <c r="M244" i="4"/>
  <c r="N244" i="4"/>
  <c r="O244" i="4"/>
  <c r="P244" i="4"/>
  <c r="Q244" i="4"/>
  <c r="R244" i="4"/>
  <c r="S244" i="4"/>
  <c r="T244" i="4"/>
  <c r="U244" i="4"/>
  <c r="V244" i="4"/>
  <c r="W244" i="4"/>
  <c r="X244" i="4"/>
  <c r="Y244" i="4"/>
  <c r="Z244" i="4"/>
  <c r="AB244" i="4"/>
  <c r="AC244" i="4"/>
  <c r="AD244" i="4"/>
  <c r="AE244" i="4"/>
  <c r="AF244" i="4"/>
  <c r="AG244" i="4"/>
  <c r="AH244" i="4"/>
  <c r="AI244" i="4"/>
  <c r="AJ244" i="4"/>
  <c r="AK244" i="4"/>
  <c r="AL244" i="4"/>
  <c r="AM244" i="4"/>
  <c r="AN244" i="4"/>
  <c r="AO244" i="4"/>
  <c r="AP244" i="4"/>
  <c r="AQ244" i="4"/>
  <c r="AR244" i="4"/>
  <c r="AS244" i="4"/>
  <c r="AT244" i="4"/>
  <c r="AU244" i="4"/>
  <c r="AV244" i="4"/>
  <c r="AW244" i="4"/>
  <c r="AX244" i="4"/>
  <c r="AY244" i="4"/>
  <c r="AZ244" i="4"/>
  <c r="BA244" i="4"/>
  <c r="BB244" i="4"/>
  <c r="BC244" i="4"/>
  <c r="BD244" i="4"/>
  <c r="BE244" i="4"/>
  <c r="BF244" i="4"/>
  <c r="BG244" i="4"/>
  <c r="BH244" i="4"/>
  <c r="BI244" i="4"/>
  <c r="BJ244" i="4"/>
  <c r="BK244" i="4"/>
  <c r="BL244" i="4"/>
  <c r="BM244" i="4"/>
  <c r="BN244" i="4"/>
  <c r="BO244" i="4"/>
  <c r="BP244" i="4"/>
  <c r="BQ244" i="4"/>
  <c r="BR244" i="4"/>
  <c r="BS244" i="4"/>
  <c r="BT244" i="4"/>
  <c r="BU244" i="4"/>
  <c r="BV244" i="4"/>
  <c r="BW244" i="4"/>
  <c r="BX244" i="4"/>
  <c r="BY244" i="4"/>
  <c r="BZ244" i="4"/>
  <c r="CA244" i="4"/>
  <c r="CB244" i="4"/>
  <c r="CC244" i="4"/>
  <c r="CD244" i="4"/>
  <c r="CE244" i="4"/>
  <c r="CF244" i="4"/>
  <c r="CG244" i="4"/>
  <c r="CH244" i="4"/>
  <c r="CI244" i="4"/>
  <c r="CJ244" i="4"/>
  <c r="CK244" i="4"/>
  <c r="CL244" i="4"/>
  <c r="CM244" i="4"/>
  <c r="CN244" i="4"/>
  <c r="CO244" i="4"/>
  <c r="CP244" i="4"/>
  <c r="CQ244" i="4"/>
  <c r="CR244" i="4"/>
  <c r="CS244" i="4"/>
  <c r="CT244" i="4"/>
  <c r="CU244" i="4"/>
  <c r="CV244" i="4"/>
  <c r="CW244" i="4"/>
  <c r="CX244" i="4"/>
  <c r="CY244" i="4"/>
  <c r="CZ244" i="4"/>
  <c r="DA244" i="4"/>
  <c r="DB244" i="4"/>
  <c r="DC244" i="4"/>
  <c r="DD244" i="4"/>
  <c r="DE244" i="4"/>
  <c r="DF244" i="4"/>
  <c r="DG244" i="4"/>
  <c r="DH244" i="4"/>
  <c r="DI244" i="4"/>
  <c r="DJ244" i="4"/>
  <c r="DK244" i="4"/>
  <c r="DL244" i="4"/>
  <c r="DM244" i="4"/>
  <c r="DN244" i="4"/>
  <c r="DO244" i="4"/>
  <c r="DP244" i="4"/>
  <c r="DQ244" i="4"/>
  <c r="DR244" i="4"/>
  <c r="DS244" i="4"/>
  <c r="DT244" i="4"/>
  <c r="DU244" i="4"/>
  <c r="DV244" i="4"/>
  <c r="DW244" i="4"/>
  <c r="DX244" i="4"/>
  <c r="DY244" i="4"/>
  <c r="DZ244" i="4"/>
  <c r="EA244" i="4"/>
  <c r="EB244" i="4"/>
  <c r="EC244" i="4"/>
  <c r="ED244" i="4"/>
  <c r="EE244" i="4"/>
  <c r="EF244" i="4"/>
  <c r="EG244" i="4"/>
  <c r="EH244" i="4"/>
  <c r="EI244" i="4"/>
  <c r="EJ244" i="4"/>
  <c r="EK244" i="4"/>
  <c r="EL244" i="4"/>
  <c r="EM244" i="4"/>
  <c r="EN244" i="4"/>
  <c r="EO244" i="4"/>
  <c r="EP244" i="4"/>
  <c r="EQ244" i="4"/>
  <c r="ER244" i="4"/>
  <c r="ES244" i="4"/>
  <c r="ET244" i="4"/>
  <c r="EU244" i="4"/>
  <c r="EV244" i="4"/>
  <c r="EW244" i="4"/>
  <c r="EX244" i="4"/>
  <c r="EY244" i="4"/>
  <c r="EZ244" i="4"/>
  <c r="FA244" i="4"/>
  <c r="FB244" i="4"/>
  <c r="FC244" i="4"/>
  <c r="FD244" i="4"/>
  <c r="FE244" i="4"/>
  <c r="FF244" i="4"/>
  <c r="FG244" i="4"/>
  <c r="FH244" i="4"/>
  <c r="FI244" i="4"/>
  <c r="FJ244" i="4"/>
  <c r="FK244" i="4"/>
  <c r="FL244" i="4"/>
  <c r="FM244" i="4"/>
  <c r="FN244" i="4"/>
  <c r="FO244" i="4"/>
  <c r="FP244" i="4"/>
  <c r="FQ244" i="4"/>
  <c r="FR244" i="4"/>
  <c r="FS244" i="4"/>
  <c r="FT244" i="4"/>
  <c r="FU244" i="4"/>
  <c r="FV244" i="4"/>
  <c r="FW244" i="4"/>
  <c r="FX244" i="4"/>
  <c r="FY244" i="4"/>
  <c r="FZ244" i="4"/>
  <c r="GA244" i="4"/>
  <c r="GB244" i="4"/>
  <c r="GC244" i="4"/>
  <c r="GD244" i="4"/>
  <c r="GE244" i="4"/>
  <c r="GF244" i="4"/>
  <c r="GG244" i="4"/>
  <c r="GH244" i="4"/>
  <c r="GI244" i="4"/>
  <c r="GJ244" i="4"/>
  <c r="GK244" i="4"/>
  <c r="GL244" i="4"/>
  <c r="GM244" i="4"/>
  <c r="GN244" i="4"/>
  <c r="GO244" i="4"/>
  <c r="GP244" i="4"/>
  <c r="GQ244" i="4"/>
  <c r="GR244" i="4"/>
  <c r="GS244" i="4"/>
  <c r="GT244" i="4"/>
  <c r="GU244" i="4"/>
  <c r="GV244" i="4"/>
  <c r="GW244" i="4"/>
  <c r="GX244" i="4"/>
  <c r="GY244" i="4"/>
  <c r="GZ244" i="4"/>
  <c r="HA244" i="4"/>
  <c r="HB244" i="4"/>
  <c r="HC244" i="4"/>
  <c r="HD244" i="4"/>
  <c r="HE244" i="4"/>
  <c r="HF244" i="4"/>
  <c r="HG244" i="4"/>
  <c r="HH244" i="4"/>
  <c r="HI244" i="4"/>
  <c r="HJ244" i="4"/>
  <c r="HK244" i="4"/>
  <c r="HL244" i="4"/>
  <c r="HM244" i="4"/>
  <c r="HN244" i="4"/>
  <c r="HO244" i="4"/>
  <c r="HP244" i="4"/>
  <c r="HQ244" i="4"/>
  <c r="HR244" i="4"/>
  <c r="HS244" i="4"/>
  <c r="HT244" i="4"/>
  <c r="HU244" i="4"/>
  <c r="HV244" i="4"/>
  <c r="HW244" i="4"/>
  <c r="HX244" i="4"/>
  <c r="HY244" i="4"/>
  <c r="HZ244" i="4"/>
  <c r="IA244" i="4"/>
  <c r="IB244" i="4"/>
  <c r="IC244" i="4"/>
  <c r="ID244" i="4"/>
  <c r="IE244" i="4"/>
  <c r="IF244" i="4"/>
  <c r="IG244" i="4"/>
  <c r="IH244" i="4"/>
  <c r="II244" i="4"/>
  <c r="IJ244" i="4"/>
  <c r="IK244" i="4"/>
  <c r="IL244" i="4"/>
  <c r="IM244" i="4"/>
  <c r="IN244" i="4"/>
  <c r="IO244" i="4"/>
  <c r="IP244" i="4"/>
  <c r="IQ244" i="4"/>
  <c r="IR244" i="4"/>
  <c r="IS244" i="4"/>
  <c r="IT244" i="4"/>
  <c r="IU244" i="4"/>
  <c r="IV244" i="4"/>
  <c r="A243" i="4"/>
  <c r="B243" i="4"/>
  <c r="C243" i="4"/>
  <c r="D243" i="4"/>
  <c r="E243" i="4"/>
  <c r="F243" i="4"/>
  <c r="G243" i="4"/>
  <c r="H243" i="4"/>
  <c r="I243" i="4"/>
  <c r="J243" i="4"/>
  <c r="K243" i="4"/>
  <c r="L243" i="4"/>
  <c r="M243" i="4"/>
  <c r="N243" i="4"/>
  <c r="O243" i="4"/>
  <c r="P243" i="4"/>
  <c r="Q243" i="4"/>
  <c r="R243" i="4"/>
  <c r="S243" i="4"/>
  <c r="T243" i="4"/>
  <c r="U243" i="4"/>
  <c r="V243" i="4"/>
  <c r="W243" i="4"/>
  <c r="X243" i="4"/>
  <c r="Y243" i="4"/>
  <c r="Z243" i="4"/>
  <c r="AA243" i="4"/>
  <c r="AB243" i="4"/>
  <c r="AC243" i="4"/>
  <c r="AD243" i="4"/>
  <c r="AE243" i="4"/>
  <c r="AF243" i="4"/>
  <c r="AG243" i="4"/>
  <c r="AH243" i="4"/>
  <c r="AI243" i="4"/>
  <c r="AJ243" i="4"/>
  <c r="AK243" i="4"/>
  <c r="AL243" i="4"/>
  <c r="AM243" i="4"/>
  <c r="AN243" i="4"/>
  <c r="AO243" i="4"/>
  <c r="AP243" i="4"/>
  <c r="AQ243" i="4"/>
  <c r="AR243" i="4"/>
  <c r="AS243" i="4"/>
  <c r="AT243" i="4"/>
  <c r="AU243" i="4"/>
  <c r="AV243" i="4"/>
  <c r="AW243" i="4"/>
  <c r="AX243" i="4"/>
  <c r="AY243" i="4"/>
  <c r="AZ243" i="4"/>
  <c r="BA243" i="4"/>
  <c r="BB243" i="4"/>
  <c r="BC243" i="4"/>
  <c r="BD243" i="4"/>
  <c r="BE243" i="4"/>
  <c r="BG243" i="4"/>
  <c r="BH243" i="4"/>
  <c r="BI243" i="4"/>
  <c r="BJ243" i="4"/>
  <c r="BK243" i="4"/>
  <c r="BL243" i="4"/>
  <c r="BM243" i="4"/>
  <c r="BN243" i="4"/>
  <c r="BO243" i="4"/>
  <c r="BP243" i="4"/>
  <c r="BQ243" i="4"/>
  <c r="BR243" i="4"/>
  <c r="BS243" i="4"/>
  <c r="BT243" i="4"/>
  <c r="BU243" i="4"/>
  <c r="BV243" i="4"/>
  <c r="BW243" i="4"/>
  <c r="BX243" i="4"/>
  <c r="BY243" i="4"/>
  <c r="BZ243" i="4"/>
  <c r="CA243" i="4"/>
  <c r="CB243" i="4"/>
  <c r="CC243" i="4"/>
  <c r="CD243" i="4"/>
  <c r="CE243" i="4"/>
  <c r="CF243" i="4"/>
  <c r="CG243" i="4"/>
  <c r="CH243" i="4"/>
  <c r="CI243" i="4"/>
  <c r="CJ243" i="4"/>
  <c r="CK243" i="4"/>
  <c r="CL243" i="4"/>
  <c r="CM243" i="4"/>
  <c r="CN243" i="4"/>
  <c r="CO243" i="4"/>
  <c r="CP243" i="4"/>
  <c r="CQ243" i="4"/>
  <c r="CR243" i="4"/>
  <c r="CS243" i="4"/>
  <c r="CT243" i="4"/>
  <c r="CU243" i="4"/>
  <c r="CV243" i="4"/>
  <c r="CW243" i="4"/>
  <c r="CX243" i="4"/>
  <c r="CY243" i="4"/>
  <c r="CZ243" i="4"/>
  <c r="DA243" i="4"/>
  <c r="DB243" i="4"/>
  <c r="DC243" i="4"/>
  <c r="DD243" i="4"/>
  <c r="DE243" i="4"/>
  <c r="DF243" i="4"/>
  <c r="DG243" i="4"/>
  <c r="DH243" i="4"/>
  <c r="DI243" i="4"/>
  <c r="DJ243" i="4"/>
  <c r="DK243" i="4"/>
  <c r="DL243" i="4"/>
  <c r="DM243" i="4"/>
  <c r="DN243" i="4"/>
  <c r="DO243" i="4"/>
  <c r="DP243" i="4"/>
  <c r="DQ243" i="4"/>
  <c r="DR243" i="4"/>
  <c r="DS243" i="4"/>
  <c r="DT243" i="4"/>
  <c r="DU243" i="4"/>
  <c r="DV243" i="4"/>
  <c r="DW243" i="4"/>
  <c r="DX243" i="4"/>
  <c r="DY243" i="4"/>
  <c r="DZ243" i="4"/>
  <c r="EA243" i="4"/>
  <c r="EB243" i="4"/>
  <c r="EC243" i="4"/>
  <c r="ED243" i="4"/>
  <c r="EE243" i="4"/>
  <c r="EF243" i="4"/>
  <c r="EG243" i="4"/>
  <c r="EH243" i="4"/>
  <c r="EI243" i="4"/>
  <c r="EJ243" i="4"/>
  <c r="EK243" i="4"/>
  <c r="EL243" i="4"/>
  <c r="EM243" i="4"/>
  <c r="EN243" i="4"/>
  <c r="EO243" i="4"/>
  <c r="EP243" i="4"/>
  <c r="EQ243" i="4"/>
  <c r="ER243" i="4"/>
  <c r="ES243" i="4"/>
  <c r="ET243" i="4"/>
  <c r="EU243" i="4"/>
  <c r="EV243" i="4"/>
  <c r="EW243" i="4"/>
  <c r="EX243" i="4"/>
  <c r="EY243" i="4"/>
  <c r="EZ243" i="4"/>
  <c r="FA243" i="4"/>
  <c r="FB243" i="4"/>
  <c r="FC243" i="4"/>
  <c r="FD243" i="4"/>
  <c r="FE243" i="4"/>
  <c r="FF243" i="4"/>
  <c r="FG243" i="4"/>
  <c r="FH243" i="4"/>
  <c r="FI243" i="4"/>
  <c r="FJ243" i="4"/>
  <c r="FK243" i="4"/>
  <c r="FL243" i="4"/>
  <c r="FM243" i="4"/>
  <c r="FN243" i="4"/>
  <c r="FO243" i="4"/>
  <c r="FP243" i="4"/>
  <c r="FQ243" i="4"/>
  <c r="FR243" i="4"/>
  <c r="FS243" i="4"/>
  <c r="FT243" i="4"/>
  <c r="FU243" i="4"/>
  <c r="FV243" i="4"/>
  <c r="FW243" i="4"/>
  <c r="FX243" i="4"/>
  <c r="FY243" i="4"/>
  <c r="FZ243" i="4"/>
  <c r="GA243" i="4"/>
  <c r="GB243" i="4"/>
  <c r="GC243" i="4"/>
  <c r="GD243" i="4"/>
  <c r="GE243" i="4"/>
  <c r="GF243" i="4"/>
  <c r="GG243" i="4"/>
  <c r="GH243" i="4"/>
  <c r="GI243" i="4"/>
  <c r="GJ243" i="4"/>
  <c r="GK243" i="4"/>
  <c r="GL243" i="4"/>
  <c r="GM243" i="4"/>
  <c r="GN243" i="4"/>
  <c r="GO243" i="4"/>
  <c r="GP243" i="4"/>
  <c r="GQ243" i="4"/>
  <c r="GR243" i="4"/>
  <c r="GS243" i="4"/>
  <c r="GT243" i="4"/>
  <c r="GU243" i="4"/>
  <c r="GV243" i="4"/>
  <c r="GW243" i="4"/>
  <c r="GX243" i="4"/>
  <c r="GY243" i="4"/>
  <c r="GZ243" i="4"/>
  <c r="HA243" i="4"/>
  <c r="HB243" i="4"/>
  <c r="HC243" i="4"/>
  <c r="HD243" i="4"/>
  <c r="HE243" i="4"/>
  <c r="HF243" i="4"/>
  <c r="HG243" i="4"/>
  <c r="HH243" i="4"/>
  <c r="HI243" i="4"/>
  <c r="HJ243" i="4"/>
  <c r="HK243" i="4"/>
  <c r="HL243" i="4"/>
  <c r="HM243" i="4"/>
  <c r="HN243" i="4"/>
  <c r="HO243" i="4"/>
  <c r="HP243" i="4"/>
  <c r="HQ243" i="4"/>
  <c r="HR243" i="4"/>
  <c r="HS243" i="4"/>
  <c r="HT243" i="4"/>
  <c r="HU243" i="4"/>
  <c r="HV243" i="4"/>
  <c r="HW243" i="4"/>
  <c r="HX243" i="4"/>
  <c r="HY243" i="4"/>
  <c r="HZ243" i="4"/>
  <c r="IA243" i="4"/>
  <c r="IB243" i="4"/>
  <c r="IC243" i="4"/>
  <c r="ID243" i="4"/>
  <c r="IE243" i="4"/>
  <c r="IF243" i="4"/>
  <c r="IG243" i="4"/>
  <c r="IH243" i="4"/>
  <c r="II243" i="4"/>
  <c r="IJ243" i="4"/>
  <c r="IK243" i="4"/>
  <c r="IL243" i="4"/>
  <c r="IM243" i="4"/>
  <c r="IN243" i="4"/>
  <c r="IO243" i="4"/>
  <c r="IP243" i="4"/>
  <c r="IQ243" i="4"/>
  <c r="IR243" i="4"/>
  <c r="IS243" i="4"/>
  <c r="IT243" i="4"/>
  <c r="IU243" i="4"/>
  <c r="IV243" i="4"/>
  <c r="A242" i="4"/>
  <c r="B242" i="4"/>
  <c r="C242" i="4"/>
  <c r="D242" i="4"/>
  <c r="E242" i="4"/>
  <c r="F242" i="4"/>
  <c r="G242" i="4"/>
  <c r="H242" i="4"/>
  <c r="I242" i="4"/>
  <c r="J242" i="4"/>
  <c r="K242" i="4"/>
  <c r="L242" i="4"/>
  <c r="M242" i="4"/>
  <c r="O242" i="4"/>
  <c r="P242" i="4"/>
  <c r="Q242" i="4"/>
  <c r="R242" i="4"/>
  <c r="S242" i="4"/>
  <c r="T242" i="4"/>
  <c r="U242" i="4"/>
  <c r="V242" i="4"/>
  <c r="W242" i="4"/>
  <c r="X242" i="4"/>
  <c r="Y242" i="4"/>
  <c r="Z242" i="4"/>
  <c r="AA242" i="4"/>
  <c r="AB242" i="4"/>
  <c r="AC242" i="4"/>
  <c r="AD242" i="4"/>
  <c r="AE242" i="4"/>
  <c r="AF242" i="4"/>
  <c r="AG242" i="4"/>
  <c r="AH242" i="4"/>
  <c r="AI242" i="4"/>
  <c r="AJ242" i="4"/>
  <c r="AK242" i="4"/>
  <c r="AL242" i="4"/>
  <c r="AM242" i="4"/>
  <c r="AN242" i="4"/>
  <c r="AO242" i="4"/>
  <c r="AP242" i="4"/>
  <c r="AQ242" i="4"/>
  <c r="AR242" i="4"/>
  <c r="AS242" i="4"/>
  <c r="AT242" i="4"/>
  <c r="AU242" i="4"/>
  <c r="AV242" i="4"/>
  <c r="AW242" i="4"/>
  <c r="AX242" i="4"/>
  <c r="AY242" i="4"/>
  <c r="AZ242" i="4"/>
  <c r="BA242" i="4"/>
  <c r="BB242" i="4"/>
  <c r="BC242" i="4"/>
  <c r="BD242" i="4"/>
  <c r="BE242" i="4"/>
  <c r="BF242" i="4"/>
  <c r="BG242" i="4"/>
  <c r="BH242" i="4"/>
  <c r="BI242" i="4"/>
  <c r="BJ242" i="4"/>
  <c r="BK242" i="4"/>
  <c r="BL242" i="4"/>
  <c r="BM242" i="4"/>
  <c r="BN242" i="4"/>
  <c r="BO242" i="4"/>
  <c r="BP242" i="4"/>
  <c r="BQ242" i="4"/>
  <c r="BR242" i="4"/>
  <c r="BS242" i="4"/>
  <c r="BT242" i="4"/>
  <c r="BU242" i="4"/>
  <c r="BV242" i="4"/>
  <c r="BW242" i="4"/>
  <c r="BX242" i="4"/>
  <c r="BY242" i="4"/>
  <c r="BZ242" i="4"/>
  <c r="CA242" i="4"/>
  <c r="CB242" i="4"/>
  <c r="CC242" i="4"/>
  <c r="CD242" i="4"/>
  <c r="CE242" i="4"/>
  <c r="CF242" i="4"/>
  <c r="CG242" i="4"/>
  <c r="CH242" i="4"/>
  <c r="CI242" i="4"/>
  <c r="CJ242" i="4"/>
  <c r="CK242" i="4"/>
  <c r="CL242" i="4"/>
  <c r="CM242" i="4"/>
  <c r="CN242" i="4"/>
  <c r="CO242" i="4"/>
  <c r="CP242" i="4"/>
  <c r="CQ242" i="4"/>
  <c r="CR242" i="4"/>
  <c r="CS242" i="4"/>
  <c r="CT242" i="4"/>
  <c r="CU242" i="4"/>
  <c r="CV242" i="4"/>
  <c r="CW242" i="4"/>
  <c r="CX242" i="4"/>
  <c r="CY242" i="4"/>
  <c r="CZ242" i="4"/>
  <c r="DA242" i="4"/>
  <c r="DB242" i="4"/>
  <c r="DC242" i="4"/>
  <c r="DD242" i="4"/>
  <c r="DE242" i="4"/>
  <c r="DF242" i="4"/>
  <c r="DG242" i="4"/>
  <c r="DH242" i="4"/>
  <c r="DI242" i="4"/>
  <c r="DJ242" i="4"/>
  <c r="DK242" i="4"/>
  <c r="DL242" i="4"/>
  <c r="DM242" i="4"/>
  <c r="DN242" i="4"/>
  <c r="DO242" i="4"/>
  <c r="DP242" i="4"/>
  <c r="DQ242" i="4"/>
  <c r="DR242" i="4"/>
  <c r="DS242" i="4"/>
  <c r="DT242" i="4"/>
  <c r="DU242" i="4"/>
  <c r="DV242" i="4"/>
  <c r="DW242" i="4"/>
  <c r="DX242" i="4"/>
  <c r="DY242" i="4"/>
  <c r="DZ242" i="4"/>
  <c r="EA242" i="4"/>
  <c r="EB242" i="4"/>
  <c r="EC242" i="4"/>
  <c r="ED242" i="4"/>
  <c r="EE242" i="4"/>
  <c r="EF242" i="4"/>
  <c r="EG242" i="4"/>
  <c r="EH242" i="4"/>
  <c r="EI242" i="4"/>
  <c r="EJ242" i="4"/>
  <c r="EK242" i="4"/>
  <c r="EL242" i="4"/>
  <c r="EM242" i="4"/>
  <c r="EN242" i="4"/>
  <c r="EO242" i="4"/>
  <c r="EP242" i="4"/>
  <c r="EQ242" i="4"/>
  <c r="ER242" i="4"/>
  <c r="ES242" i="4"/>
  <c r="ET242" i="4"/>
  <c r="EU242" i="4"/>
  <c r="EV242" i="4"/>
  <c r="EW242" i="4"/>
  <c r="EX242" i="4"/>
  <c r="EY242" i="4"/>
  <c r="EZ242" i="4"/>
  <c r="FA242" i="4"/>
  <c r="FB242" i="4"/>
  <c r="FC242" i="4"/>
  <c r="FD242" i="4"/>
  <c r="FE242" i="4"/>
  <c r="FF242" i="4"/>
  <c r="FG242" i="4"/>
  <c r="FH242" i="4"/>
  <c r="FI242" i="4"/>
  <c r="FJ242" i="4"/>
  <c r="FK242" i="4"/>
  <c r="FL242" i="4"/>
  <c r="FM242" i="4"/>
  <c r="FN242" i="4"/>
  <c r="FO242" i="4"/>
  <c r="FP242" i="4"/>
  <c r="FQ242" i="4"/>
  <c r="FR242" i="4"/>
  <c r="FS242" i="4"/>
  <c r="FT242" i="4"/>
  <c r="FU242" i="4"/>
  <c r="FV242" i="4"/>
  <c r="FW242" i="4"/>
  <c r="FX242" i="4"/>
  <c r="FY242" i="4"/>
  <c r="FZ242" i="4"/>
  <c r="GA242" i="4"/>
  <c r="GB242" i="4"/>
  <c r="GC242" i="4"/>
  <c r="GD242" i="4"/>
  <c r="GE242" i="4"/>
  <c r="GF242" i="4"/>
  <c r="GG242" i="4"/>
  <c r="GH242" i="4"/>
  <c r="GI242" i="4"/>
  <c r="GJ242" i="4"/>
  <c r="GK242" i="4"/>
  <c r="GL242" i="4"/>
  <c r="GM242" i="4"/>
  <c r="GN242" i="4"/>
  <c r="GO242" i="4"/>
  <c r="GP242" i="4"/>
  <c r="GQ242" i="4"/>
  <c r="GR242" i="4"/>
  <c r="GS242" i="4"/>
  <c r="GT242" i="4"/>
  <c r="GU242" i="4"/>
  <c r="GV242" i="4"/>
  <c r="GW242" i="4"/>
  <c r="GX242" i="4"/>
  <c r="GY242" i="4"/>
  <c r="GZ242" i="4"/>
  <c r="HA242" i="4"/>
  <c r="HB242" i="4"/>
  <c r="HC242" i="4"/>
  <c r="HD242" i="4"/>
  <c r="HE242" i="4"/>
  <c r="HF242" i="4"/>
  <c r="HG242" i="4"/>
  <c r="HH242" i="4"/>
  <c r="HI242" i="4"/>
  <c r="HJ242" i="4"/>
  <c r="HK242" i="4"/>
  <c r="HL242" i="4"/>
  <c r="HM242" i="4"/>
  <c r="HN242" i="4"/>
  <c r="HO242" i="4"/>
  <c r="HP242" i="4"/>
  <c r="HQ242" i="4"/>
  <c r="HR242" i="4"/>
  <c r="HS242" i="4"/>
  <c r="HT242" i="4"/>
  <c r="HU242" i="4"/>
  <c r="HV242" i="4"/>
  <c r="HW242" i="4"/>
  <c r="HX242" i="4"/>
  <c r="HY242" i="4"/>
  <c r="HZ242" i="4"/>
  <c r="IA242" i="4"/>
  <c r="IB242" i="4"/>
  <c r="IC242" i="4"/>
  <c r="ID242" i="4"/>
  <c r="IE242" i="4"/>
  <c r="IF242" i="4"/>
  <c r="IG242" i="4"/>
  <c r="IH242" i="4"/>
  <c r="II242" i="4"/>
  <c r="IJ242" i="4"/>
  <c r="IK242" i="4"/>
  <c r="IL242" i="4"/>
  <c r="IM242" i="4"/>
  <c r="IN242" i="4"/>
  <c r="IO242" i="4"/>
  <c r="IP242" i="4"/>
  <c r="IQ242" i="4"/>
  <c r="IR242" i="4"/>
  <c r="IS242" i="4"/>
  <c r="IT242" i="4"/>
  <c r="IU242" i="4"/>
  <c r="IV242" i="4"/>
  <c r="A241" i="4"/>
  <c r="B241" i="4"/>
  <c r="C241" i="4"/>
  <c r="D241" i="4"/>
  <c r="E241" i="4"/>
  <c r="F241" i="4"/>
  <c r="G241" i="4"/>
  <c r="H241" i="4"/>
  <c r="I241" i="4"/>
  <c r="J241" i="4"/>
  <c r="K241" i="4"/>
  <c r="L241" i="4"/>
  <c r="M241" i="4"/>
  <c r="N241" i="4"/>
  <c r="O241" i="4"/>
  <c r="P241" i="4"/>
  <c r="Q241" i="4"/>
  <c r="R241" i="4"/>
  <c r="S241" i="4"/>
  <c r="T241" i="4"/>
  <c r="U241" i="4"/>
  <c r="V241" i="4"/>
  <c r="W241" i="4"/>
  <c r="X241" i="4"/>
  <c r="Y241" i="4"/>
  <c r="Z241" i="4"/>
  <c r="AA241" i="4"/>
  <c r="AB241" i="4"/>
  <c r="AC241" i="4"/>
  <c r="AD241" i="4"/>
  <c r="AE241" i="4"/>
  <c r="AF241" i="4"/>
  <c r="AG241" i="4"/>
  <c r="AH241" i="4"/>
  <c r="AI241" i="4"/>
  <c r="AJ241" i="4"/>
  <c r="AK241" i="4"/>
  <c r="AL241" i="4"/>
  <c r="AM241" i="4"/>
  <c r="AN241" i="4"/>
  <c r="AO241" i="4"/>
  <c r="AP241" i="4"/>
  <c r="AQ241" i="4"/>
  <c r="AR241" i="4"/>
  <c r="AT241" i="4"/>
  <c r="AU241" i="4"/>
  <c r="AV241" i="4"/>
  <c r="AW241" i="4"/>
  <c r="AX241" i="4"/>
  <c r="AY241" i="4"/>
  <c r="AZ241" i="4"/>
  <c r="BA241" i="4"/>
  <c r="BB241" i="4"/>
  <c r="BC241" i="4"/>
  <c r="BD241" i="4"/>
  <c r="BE241" i="4"/>
  <c r="BF241" i="4"/>
  <c r="BG241" i="4"/>
  <c r="BH241" i="4"/>
  <c r="BI241" i="4"/>
  <c r="BJ241" i="4"/>
  <c r="BK241" i="4"/>
  <c r="BL241" i="4"/>
  <c r="BM241" i="4"/>
  <c r="BN241" i="4"/>
  <c r="BO241" i="4"/>
  <c r="BP241" i="4"/>
  <c r="BQ241" i="4"/>
  <c r="BR241" i="4"/>
  <c r="BS241" i="4"/>
  <c r="BT241" i="4"/>
  <c r="BU241" i="4"/>
  <c r="BV241" i="4"/>
  <c r="BW241" i="4"/>
  <c r="BX241" i="4"/>
  <c r="BY241" i="4"/>
  <c r="BZ241" i="4"/>
  <c r="CA241" i="4"/>
  <c r="CB241" i="4"/>
  <c r="CC241" i="4"/>
  <c r="CD241" i="4"/>
  <c r="CE241" i="4"/>
  <c r="CF241" i="4"/>
  <c r="CG241" i="4"/>
  <c r="CH241" i="4"/>
  <c r="CI241" i="4"/>
  <c r="CJ241" i="4"/>
  <c r="CK241" i="4"/>
  <c r="CL241" i="4"/>
  <c r="CM241" i="4"/>
  <c r="CN241" i="4"/>
  <c r="CO241" i="4"/>
  <c r="CP241" i="4"/>
  <c r="CQ241" i="4"/>
  <c r="CR241" i="4"/>
  <c r="CS241" i="4"/>
  <c r="CT241" i="4"/>
  <c r="CU241" i="4"/>
  <c r="CV241" i="4"/>
  <c r="CW241" i="4"/>
  <c r="CX241" i="4"/>
  <c r="CY241" i="4"/>
  <c r="CZ241" i="4"/>
  <c r="DA241" i="4"/>
  <c r="DB241" i="4"/>
  <c r="DC241" i="4"/>
  <c r="DD241" i="4"/>
  <c r="DE241" i="4"/>
  <c r="DF241" i="4"/>
  <c r="DG241" i="4"/>
  <c r="DH241" i="4"/>
  <c r="DI241" i="4"/>
  <c r="DJ241" i="4"/>
  <c r="DK241" i="4"/>
  <c r="DL241" i="4"/>
  <c r="DM241" i="4"/>
  <c r="DN241" i="4"/>
  <c r="DO241" i="4"/>
  <c r="DP241" i="4"/>
  <c r="DQ241" i="4"/>
  <c r="DR241" i="4"/>
  <c r="DS241" i="4"/>
  <c r="DT241" i="4"/>
  <c r="DU241" i="4"/>
  <c r="DV241" i="4"/>
  <c r="DW241" i="4"/>
  <c r="DX241" i="4"/>
  <c r="DY241" i="4"/>
  <c r="DZ241" i="4"/>
  <c r="EA241" i="4"/>
  <c r="EB241" i="4"/>
  <c r="EC241" i="4"/>
  <c r="ED241" i="4"/>
  <c r="EE241" i="4"/>
  <c r="EF241" i="4"/>
  <c r="EG241" i="4"/>
  <c r="EH241" i="4"/>
  <c r="EI241" i="4"/>
  <c r="EJ241" i="4"/>
  <c r="EK241" i="4"/>
  <c r="EL241" i="4"/>
  <c r="EM241" i="4"/>
  <c r="EN241" i="4"/>
  <c r="EO241" i="4"/>
  <c r="EP241" i="4"/>
  <c r="EQ241" i="4"/>
  <c r="ER241" i="4"/>
  <c r="ES241" i="4"/>
  <c r="ET241" i="4"/>
  <c r="EU241" i="4"/>
  <c r="EV241" i="4"/>
  <c r="EW241" i="4"/>
  <c r="EX241" i="4"/>
  <c r="EY241" i="4"/>
  <c r="EZ241" i="4"/>
  <c r="FA241" i="4"/>
  <c r="FB241" i="4"/>
  <c r="FC241" i="4"/>
  <c r="FD241" i="4"/>
  <c r="FE241" i="4"/>
  <c r="FF241" i="4"/>
  <c r="FG241" i="4"/>
  <c r="FH241" i="4"/>
  <c r="FI241" i="4"/>
  <c r="FJ241" i="4"/>
  <c r="FK241" i="4"/>
  <c r="FL241" i="4"/>
  <c r="FM241" i="4"/>
  <c r="FN241" i="4"/>
  <c r="FO241" i="4"/>
  <c r="FP241" i="4"/>
  <c r="FQ241" i="4"/>
  <c r="FR241" i="4"/>
  <c r="FS241" i="4"/>
  <c r="FT241" i="4"/>
  <c r="FU241" i="4"/>
  <c r="FV241" i="4"/>
  <c r="FW241" i="4"/>
  <c r="FX241" i="4"/>
  <c r="FY241" i="4"/>
  <c r="FZ241" i="4"/>
  <c r="GA241" i="4"/>
  <c r="GB241" i="4"/>
  <c r="GC241" i="4"/>
  <c r="GD241" i="4"/>
  <c r="GE241" i="4"/>
  <c r="GF241" i="4"/>
  <c r="GG241" i="4"/>
  <c r="GH241" i="4"/>
  <c r="GI241" i="4"/>
  <c r="GJ241" i="4"/>
  <c r="GK241" i="4"/>
  <c r="GL241" i="4"/>
  <c r="GM241" i="4"/>
  <c r="GN241" i="4"/>
  <c r="GO241" i="4"/>
  <c r="GP241" i="4"/>
  <c r="GQ241" i="4"/>
  <c r="GR241" i="4"/>
  <c r="GS241" i="4"/>
  <c r="GT241" i="4"/>
  <c r="GU241" i="4"/>
  <c r="GV241" i="4"/>
  <c r="GW241" i="4"/>
  <c r="GX241" i="4"/>
  <c r="GY241" i="4"/>
  <c r="GZ241" i="4"/>
  <c r="HA241" i="4"/>
  <c r="HB241" i="4"/>
  <c r="HC241" i="4"/>
  <c r="HD241" i="4"/>
  <c r="HE241" i="4"/>
  <c r="HF241" i="4"/>
  <c r="HG241" i="4"/>
  <c r="HH241" i="4"/>
  <c r="HI241" i="4"/>
  <c r="HJ241" i="4"/>
  <c r="HK241" i="4"/>
  <c r="HL241" i="4"/>
  <c r="HM241" i="4"/>
  <c r="HN241" i="4"/>
  <c r="HO241" i="4"/>
  <c r="HP241" i="4"/>
  <c r="HQ241" i="4"/>
  <c r="HR241" i="4"/>
  <c r="HS241" i="4"/>
  <c r="HT241" i="4"/>
  <c r="HU241" i="4"/>
  <c r="HV241" i="4"/>
  <c r="HW241" i="4"/>
  <c r="HX241" i="4"/>
  <c r="HY241" i="4"/>
  <c r="HZ241" i="4"/>
  <c r="IA241" i="4"/>
  <c r="IB241" i="4"/>
  <c r="IC241" i="4"/>
  <c r="ID241" i="4"/>
  <c r="IE241" i="4"/>
  <c r="IF241" i="4"/>
  <c r="IG241" i="4"/>
  <c r="IH241" i="4"/>
  <c r="II241" i="4"/>
  <c r="IJ241" i="4"/>
  <c r="IK241" i="4"/>
  <c r="IL241" i="4"/>
  <c r="IM241" i="4"/>
  <c r="IN241" i="4"/>
  <c r="IO241" i="4"/>
  <c r="IP241" i="4"/>
  <c r="IQ241" i="4"/>
  <c r="IR241" i="4"/>
  <c r="IS241" i="4"/>
  <c r="IT241" i="4"/>
  <c r="IU241" i="4"/>
  <c r="IV241" i="4"/>
  <c r="A240" i="4"/>
  <c r="B240" i="4"/>
  <c r="C240" i="4"/>
  <c r="D240" i="4"/>
  <c r="E240" i="4"/>
  <c r="F240" i="4"/>
  <c r="G240" i="4"/>
  <c r="H240" i="4"/>
  <c r="I240" i="4"/>
  <c r="J240" i="4"/>
  <c r="K240" i="4"/>
  <c r="L240" i="4"/>
  <c r="M240" i="4"/>
  <c r="N240" i="4"/>
  <c r="O240" i="4"/>
  <c r="P240" i="4"/>
  <c r="Q240" i="4"/>
  <c r="R240" i="4"/>
  <c r="S240" i="4"/>
  <c r="T240" i="4"/>
  <c r="U240" i="4"/>
  <c r="V240" i="4"/>
  <c r="W240" i="4"/>
  <c r="X240" i="4"/>
  <c r="Y240" i="4"/>
  <c r="Z240" i="4"/>
  <c r="AA240" i="4"/>
  <c r="AB240" i="4"/>
  <c r="AC240" i="4"/>
  <c r="AD240" i="4"/>
  <c r="AE240" i="4"/>
  <c r="AF240" i="4"/>
  <c r="AG240" i="4"/>
  <c r="AH240" i="4"/>
  <c r="AI240" i="4"/>
  <c r="AJ240" i="4"/>
  <c r="AK240" i="4"/>
  <c r="AL240" i="4"/>
  <c r="AM240" i="4"/>
  <c r="AN240" i="4"/>
  <c r="AO240" i="4"/>
  <c r="AP240" i="4"/>
  <c r="AQ240" i="4"/>
  <c r="AR240" i="4"/>
  <c r="AS240" i="4"/>
  <c r="AT240" i="4"/>
  <c r="AU240" i="4"/>
  <c r="AV240" i="4"/>
  <c r="AW240" i="4"/>
  <c r="AX240" i="4"/>
  <c r="AY240" i="4"/>
  <c r="AZ240" i="4"/>
  <c r="BA240" i="4"/>
  <c r="BB240" i="4"/>
  <c r="BC240" i="4"/>
  <c r="BD240" i="4"/>
  <c r="BE240" i="4"/>
  <c r="BF240" i="4"/>
  <c r="BG240" i="4"/>
  <c r="BH240" i="4"/>
  <c r="BI240" i="4"/>
  <c r="BJ240" i="4"/>
  <c r="BK240" i="4"/>
  <c r="BL240" i="4"/>
  <c r="BM240" i="4"/>
  <c r="BN240" i="4"/>
  <c r="BO240" i="4"/>
  <c r="BP240" i="4"/>
  <c r="BQ240" i="4"/>
  <c r="BR240" i="4"/>
  <c r="BS240" i="4"/>
  <c r="BT240" i="4"/>
  <c r="BU240" i="4"/>
  <c r="BV240" i="4"/>
  <c r="BW240" i="4"/>
  <c r="BX240" i="4"/>
  <c r="BY240" i="4"/>
  <c r="BZ240" i="4"/>
  <c r="CA240" i="4"/>
  <c r="CB240" i="4"/>
  <c r="CC240" i="4"/>
  <c r="CD240" i="4"/>
  <c r="CE240" i="4"/>
  <c r="CF240" i="4"/>
  <c r="CG240" i="4"/>
  <c r="CH240" i="4"/>
  <c r="CI240" i="4"/>
  <c r="CJ240" i="4"/>
  <c r="CK240" i="4"/>
  <c r="CL240" i="4"/>
  <c r="CM240" i="4"/>
  <c r="CN240" i="4"/>
  <c r="CO240" i="4"/>
  <c r="CP240" i="4"/>
  <c r="CQ240" i="4"/>
  <c r="CR240" i="4"/>
  <c r="CS240" i="4"/>
  <c r="CT240" i="4"/>
  <c r="CU240" i="4"/>
  <c r="CV240" i="4"/>
  <c r="CW240" i="4"/>
  <c r="CX240" i="4"/>
  <c r="CY240" i="4"/>
  <c r="CZ240" i="4"/>
  <c r="DA240" i="4"/>
  <c r="DB240" i="4"/>
  <c r="DC240" i="4"/>
  <c r="DD240" i="4"/>
  <c r="DE240" i="4"/>
  <c r="DF240" i="4"/>
  <c r="DG240" i="4"/>
  <c r="DH240" i="4"/>
  <c r="DI240" i="4"/>
  <c r="DJ240" i="4"/>
  <c r="DK240" i="4"/>
  <c r="DL240" i="4"/>
  <c r="DM240" i="4"/>
  <c r="DN240" i="4"/>
  <c r="DO240" i="4"/>
  <c r="DP240" i="4"/>
  <c r="DQ240" i="4"/>
  <c r="DR240" i="4"/>
  <c r="DS240" i="4"/>
  <c r="DT240" i="4"/>
  <c r="DU240" i="4"/>
  <c r="DV240" i="4"/>
  <c r="DW240" i="4"/>
  <c r="DX240" i="4"/>
  <c r="DY240" i="4"/>
  <c r="DZ240" i="4"/>
  <c r="EA240" i="4"/>
  <c r="EB240" i="4"/>
  <c r="EC240" i="4"/>
  <c r="ED240" i="4"/>
  <c r="EE240" i="4"/>
  <c r="EF240" i="4"/>
  <c r="EG240" i="4"/>
  <c r="EH240" i="4"/>
  <c r="EI240" i="4"/>
  <c r="EJ240" i="4"/>
  <c r="EK240" i="4"/>
  <c r="EL240" i="4"/>
  <c r="EM240" i="4"/>
  <c r="EN240" i="4"/>
  <c r="EO240" i="4"/>
  <c r="EP240" i="4"/>
  <c r="EQ240" i="4"/>
  <c r="ER240" i="4"/>
  <c r="ES240" i="4"/>
  <c r="ET240" i="4"/>
  <c r="EU240" i="4"/>
  <c r="EV240" i="4"/>
  <c r="EW240" i="4"/>
  <c r="EX240" i="4"/>
  <c r="EY240" i="4"/>
  <c r="EZ240" i="4"/>
  <c r="FA240" i="4"/>
  <c r="FB240" i="4"/>
  <c r="FC240" i="4"/>
  <c r="FD240" i="4"/>
  <c r="FE240" i="4"/>
  <c r="FF240" i="4"/>
  <c r="FG240" i="4"/>
  <c r="FH240" i="4"/>
  <c r="FI240" i="4"/>
  <c r="FJ240" i="4"/>
  <c r="FK240" i="4"/>
  <c r="FL240" i="4"/>
  <c r="FM240" i="4"/>
  <c r="FN240" i="4"/>
  <c r="FO240" i="4"/>
  <c r="FP240" i="4"/>
  <c r="FQ240" i="4"/>
  <c r="FR240" i="4"/>
  <c r="FS240" i="4"/>
  <c r="FT240" i="4"/>
  <c r="FU240" i="4"/>
  <c r="FV240" i="4"/>
  <c r="FW240" i="4"/>
  <c r="FX240" i="4"/>
  <c r="FY240" i="4"/>
  <c r="FZ240" i="4"/>
  <c r="GA240" i="4"/>
  <c r="GB240" i="4"/>
  <c r="GC240" i="4"/>
  <c r="GD240" i="4"/>
  <c r="GE240" i="4"/>
  <c r="GF240" i="4"/>
  <c r="GG240" i="4"/>
  <c r="GH240" i="4"/>
  <c r="GI240" i="4"/>
  <c r="GJ240" i="4"/>
  <c r="GK240" i="4"/>
  <c r="GL240" i="4"/>
  <c r="GM240" i="4"/>
  <c r="GN240" i="4"/>
  <c r="GO240" i="4"/>
  <c r="GP240" i="4"/>
  <c r="GQ240" i="4"/>
  <c r="GR240" i="4"/>
  <c r="GS240" i="4"/>
  <c r="GT240" i="4"/>
  <c r="GU240" i="4"/>
  <c r="GV240" i="4"/>
  <c r="GW240" i="4"/>
  <c r="GX240" i="4"/>
  <c r="GY240" i="4"/>
  <c r="GZ240" i="4"/>
  <c r="HA240" i="4"/>
  <c r="HB240" i="4"/>
  <c r="HC240" i="4"/>
  <c r="HD240" i="4"/>
  <c r="HE240" i="4"/>
  <c r="HF240" i="4"/>
  <c r="HG240" i="4"/>
  <c r="HH240" i="4"/>
  <c r="HI240" i="4"/>
  <c r="HJ240" i="4"/>
  <c r="HK240" i="4"/>
  <c r="HL240" i="4"/>
  <c r="HM240" i="4"/>
  <c r="HN240" i="4"/>
  <c r="HO240" i="4"/>
  <c r="HP240" i="4"/>
  <c r="HQ240" i="4"/>
  <c r="HR240" i="4"/>
  <c r="HS240" i="4"/>
  <c r="HT240" i="4"/>
  <c r="HU240" i="4"/>
  <c r="HV240" i="4"/>
  <c r="HW240" i="4"/>
  <c r="HX240" i="4"/>
  <c r="HY240" i="4"/>
  <c r="HZ240" i="4"/>
  <c r="IA240" i="4"/>
  <c r="IB240" i="4"/>
  <c r="IC240" i="4"/>
  <c r="ID240" i="4"/>
  <c r="IE240" i="4"/>
  <c r="IF240" i="4"/>
  <c r="IG240" i="4"/>
  <c r="IH240" i="4"/>
  <c r="II240" i="4"/>
  <c r="IJ240" i="4"/>
  <c r="IK240" i="4"/>
  <c r="IL240" i="4"/>
  <c r="IM240" i="4"/>
  <c r="IN240" i="4"/>
  <c r="IO240" i="4"/>
  <c r="IP240" i="4"/>
  <c r="IQ240" i="4"/>
  <c r="IR240" i="4"/>
  <c r="IS240" i="4"/>
  <c r="IT240" i="4"/>
  <c r="IU240" i="4"/>
  <c r="IV240" i="4"/>
  <c r="A239" i="4"/>
  <c r="B239" i="4"/>
  <c r="C239" i="4"/>
  <c r="D239" i="4"/>
  <c r="E239" i="4"/>
  <c r="F239" i="4"/>
  <c r="G239" i="4"/>
  <c r="H239" i="4"/>
  <c r="I239" i="4"/>
  <c r="J239" i="4"/>
  <c r="K239" i="4"/>
  <c r="L239" i="4"/>
  <c r="M239" i="4"/>
  <c r="N239" i="4"/>
  <c r="O239" i="4"/>
  <c r="P239" i="4"/>
  <c r="Q239" i="4"/>
  <c r="R239" i="4"/>
  <c r="S239" i="4"/>
  <c r="T239" i="4"/>
  <c r="U239" i="4"/>
  <c r="V239" i="4"/>
  <c r="W239" i="4"/>
  <c r="X239" i="4"/>
  <c r="Y239" i="4"/>
  <c r="Z239" i="4"/>
  <c r="AA239" i="4"/>
  <c r="AB239" i="4"/>
  <c r="AC239" i="4"/>
  <c r="AD239" i="4"/>
  <c r="AE239" i="4"/>
  <c r="AF239" i="4"/>
  <c r="AG239" i="4"/>
  <c r="AH239" i="4"/>
  <c r="AI239" i="4"/>
  <c r="AJ239" i="4"/>
  <c r="AK239" i="4"/>
  <c r="AL239" i="4"/>
  <c r="AM239" i="4"/>
  <c r="AN239" i="4"/>
  <c r="AO239" i="4"/>
  <c r="AP239" i="4"/>
  <c r="AQ239" i="4"/>
  <c r="AR239" i="4"/>
  <c r="AS239" i="4"/>
  <c r="AT239" i="4"/>
  <c r="AU239" i="4"/>
  <c r="AV239" i="4"/>
  <c r="AW239" i="4"/>
  <c r="AX239" i="4"/>
  <c r="AY239" i="4"/>
  <c r="AZ239" i="4"/>
  <c r="BA239" i="4"/>
  <c r="BB239" i="4"/>
  <c r="BC239" i="4"/>
  <c r="BD239" i="4"/>
  <c r="BE239" i="4"/>
  <c r="BF239" i="4"/>
  <c r="BG239" i="4"/>
  <c r="BH239" i="4"/>
  <c r="BI239" i="4"/>
  <c r="BJ239" i="4"/>
  <c r="BK239" i="4"/>
  <c r="BL239" i="4"/>
  <c r="BM239" i="4"/>
  <c r="BN239" i="4"/>
  <c r="BO239" i="4"/>
  <c r="BP239" i="4"/>
  <c r="BQ239" i="4"/>
  <c r="BR239" i="4"/>
  <c r="BS239" i="4"/>
  <c r="BT239" i="4"/>
  <c r="BU239" i="4"/>
  <c r="BV239" i="4"/>
  <c r="BW239" i="4"/>
  <c r="BX239" i="4"/>
  <c r="BY239" i="4"/>
  <c r="BZ239" i="4"/>
  <c r="CA239" i="4"/>
  <c r="CB239" i="4"/>
  <c r="CC239" i="4"/>
  <c r="CD239" i="4"/>
  <c r="CE239" i="4"/>
  <c r="CF239" i="4"/>
  <c r="CG239" i="4"/>
  <c r="CH239" i="4"/>
  <c r="CI239" i="4"/>
  <c r="CJ239" i="4"/>
  <c r="CK239" i="4"/>
  <c r="CL239" i="4"/>
  <c r="CM239" i="4"/>
  <c r="CN239" i="4"/>
  <c r="CO239" i="4"/>
  <c r="CP239" i="4"/>
  <c r="CQ239" i="4"/>
  <c r="CR239" i="4"/>
  <c r="CS239" i="4"/>
  <c r="CT239" i="4"/>
  <c r="CU239" i="4"/>
  <c r="CV239" i="4"/>
  <c r="CW239" i="4"/>
  <c r="CX239" i="4"/>
  <c r="CY239" i="4"/>
  <c r="CZ239" i="4"/>
  <c r="DA239" i="4"/>
  <c r="DB239" i="4"/>
  <c r="DC239" i="4"/>
  <c r="DD239" i="4"/>
  <c r="DE239" i="4"/>
  <c r="DF239" i="4"/>
  <c r="DG239" i="4"/>
  <c r="DH239" i="4"/>
  <c r="DI239" i="4"/>
  <c r="DJ239" i="4"/>
  <c r="DK239" i="4"/>
  <c r="DL239" i="4"/>
  <c r="DM239" i="4"/>
  <c r="DN239" i="4"/>
  <c r="DO239" i="4"/>
  <c r="DP239" i="4"/>
  <c r="DQ239" i="4"/>
  <c r="DR239" i="4"/>
  <c r="DS239" i="4"/>
  <c r="DT239" i="4"/>
  <c r="DU239" i="4"/>
  <c r="DV239" i="4"/>
  <c r="DW239" i="4"/>
  <c r="DX239" i="4"/>
  <c r="DY239" i="4"/>
  <c r="DZ239" i="4"/>
  <c r="EA239" i="4"/>
  <c r="EB239" i="4"/>
  <c r="EC239" i="4"/>
  <c r="ED239" i="4"/>
  <c r="EE239" i="4"/>
  <c r="EF239" i="4"/>
  <c r="EG239" i="4"/>
  <c r="EH239" i="4"/>
  <c r="EI239" i="4"/>
  <c r="EJ239" i="4"/>
  <c r="EK239" i="4"/>
  <c r="EL239" i="4"/>
  <c r="EM239" i="4"/>
  <c r="EN239" i="4"/>
  <c r="EO239" i="4"/>
  <c r="EP239" i="4"/>
  <c r="EQ239" i="4"/>
  <c r="ER239" i="4"/>
  <c r="ES239" i="4"/>
  <c r="ET239" i="4"/>
  <c r="EU239" i="4"/>
  <c r="EV239" i="4"/>
  <c r="EW239" i="4"/>
  <c r="EX239" i="4"/>
  <c r="EY239" i="4"/>
  <c r="EZ239" i="4"/>
  <c r="FA239" i="4"/>
  <c r="FB239" i="4"/>
  <c r="FC239" i="4"/>
  <c r="FD239" i="4"/>
  <c r="FE239" i="4"/>
  <c r="FF239" i="4"/>
  <c r="FG239" i="4"/>
  <c r="FH239" i="4"/>
  <c r="FI239" i="4"/>
  <c r="FJ239" i="4"/>
  <c r="FK239" i="4"/>
  <c r="FL239" i="4"/>
  <c r="FM239" i="4"/>
  <c r="FN239" i="4"/>
  <c r="FO239" i="4"/>
  <c r="FP239" i="4"/>
  <c r="FQ239" i="4"/>
  <c r="FR239" i="4"/>
  <c r="FS239" i="4"/>
  <c r="FT239" i="4"/>
  <c r="FU239" i="4"/>
  <c r="FV239" i="4"/>
  <c r="FW239" i="4"/>
  <c r="FX239" i="4"/>
  <c r="FY239" i="4"/>
  <c r="FZ239" i="4"/>
  <c r="GA239" i="4"/>
  <c r="GB239" i="4"/>
  <c r="GC239" i="4"/>
  <c r="GD239" i="4"/>
  <c r="GE239" i="4"/>
  <c r="GF239" i="4"/>
  <c r="GG239" i="4"/>
  <c r="GH239" i="4"/>
  <c r="GI239" i="4"/>
  <c r="GJ239" i="4"/>
  <c r="GK239" i="4"/>
  <c r="GL239" i="4"/>
  <c r="GM239" i="4"/>
  <c r="GN239" i="4"/>
  <c r="GO239" i="4"/>
  <c r="GP239" i="4"/>
  <c r="GQ239" i="4"/>
  <c r="GR239" i="4"/>
  <c r="GS239" i="4"/>
  <c r="GT239" i="4"/>
  <c r="GU239" i="4"/>
  <c r="GV239" i="4"/>
  <c r="GW239" i="4"/>
  <c r="GX239" i="4"/>
  <c r="GZ239" i="4"/>
  <c r="HA239" i="4"/>
  <c r="HB239" i="4"/>
  <c r="HC239" i="4"/>
  <c r="HD239" i="4"/>
  <c r="HE239" i="4"/>
  <c r="HG239" i="4"/>
  <c r="HH239" i="4"/>
  <c r="HI239" i="4"/>
  <c r="HJ239" i="4"/>
  <c r="HK239" i="4"/>
  <c r="HL239" i="4"/>
  <c r="HM239" i="4"/>
  <c r="HN239" i="4"/>
  <c r="HO239" i="4"/>
  <c r="HP239" i="4"/>
  <c r="HQ239" i="4"/>
  <c r="HS239" i="4"/>
  <c r="HT239" i="4"/>
  <c r="HU239" i="4"/>
  <c r="HV239" i="4"/>
  <c r="HW239" i="4"/>
  <c r="HX239" i="4"/>
  <c r="HY239" i="4"/>
  <c r="HZ239" i="4"/>
  <c r="IA239" i="4"/>
  <c r="IB239" i="4"/>
  <c r="IC239" i="4"/>
  <c r="ID239" i="4"/>
  <c r="IE239" i="4"/>
  <c r="IF239" i="4"/>
  <c r="IG239" i="4"/>
  <c r="IH239" i="4"/>
  <c r="II239" i="4"/>
  <c r="IJ239" i="4"/>
  <c r="IK239" i="4"/>
  <c r="IL239" i="4"/>
  <c r="IM239" i="4"/>
  <c r="IN239" i="4"/>
  <c r="IQ239" i="4"/>
  <c r="IR239" i="4"/>
  <c r="IS239" i="4"/>
  <c r="IT239" i="4"/>
  <c r="IU239" i="4"/>
  <c r="A238" i="4"/>
  <c r="B238" i="4"/>
  <c r="C238" i="4"/>
  <c r="D238" i="4"/>
  <c r="E238" i="4"/>
  <c r="F238" i="4"/>
  <c r="H238" i="4"/>
  <c r="I238" i="4"/>
  <c r="J238" i="4"/>
  <c r="K238" i="4"/>
  <c r="L238" i="4"/>
  <c r="M238" i="4"/>
  <c r="N238" i="4"/>
  <c r="O238" i="4"/>
  <c r="P238" i="4"/>
  <c r="Q238" i="4"/>
  <c r="R238" i="4"/>
  <c r="S238" i="4"/>
  <c r="T238" i="4"/>
  <c r="U238" i="4"/>
  <c r="V238" i="4"/>
  <c r="W238" i="4"/>
  <c r="X238" i="4"/>
  <c r="Y238" i="4"/>
  <c r="Z238" i="4"/>
  <c r="AA238" i="4"/>
  <c r="AB238" i="4"/>
  <c r="AC238" i="4"/>
  <c r="AD238" i="4"/>
  <c r="AE238" i="4"/>
  <c r="AF238" i="4"/>
  <c r="AG238" i="4"/>
  <c r="AH238" i="4"/>
  <c r="AI238" i="4"/>
  <c r="AJ238" i="4"/>
  <c r="AK238" i="4"/>
  <c r="AL238" i="4"/>
  <c r="AM238" i="4"/>
  <c r="AN238" i="4"/>
  <c r="AO238" i="4"/>
  <c r="AP238" i="4"/>
  <c r="AQ238" i="4"/>
  <c r="AR238" i="4"/>
  <c r="AS238" i="4"/>
  <c r="AT238" i="4"/>
  <c r="AU238" i="4"/>
  <c r="AV238" i="4"/>
  <c r="AW238" i="4"/>
  <c r="AX238" i="4"/>
  <c r="AY238" i="4"/>
  <c r="AZ238" i="4"/>
  <c r="BA238" i="4"/>
  <c r="BB238" i="4"/>
  <c r="BC238" i="4"/>
  <c r="BD238" i="4"/>
  <c r="BE238" i="4"/>
  <c r="BF238" i="4"/>
  <c r="BG238" i="4"/>
  <c r="BH238" i="4"/>
  <c r="BI238" i="4"/>
  <c r="BJ238" i="4"/>
  <c r="BK238" i="4"/>
  <c r="BL238" i="4"/>
  <c r="BM238" i="4"/>
  <c r="BN238" i="4"/>
  <c r="BO238" i="4"/>
  <c r="BP238" i="4"/>
  <c r="BQ238" i="4"/>
  <c r="BR238" i="4"/>
  <c r="BS238" i="4"/>
  <c r="BT238" i="4"/>
  <c r="BU238" i="4"/>
  <c r="BV238" i="4"/>
  <c r="BW238" i="4"/>
  <c r="BX238" i="4"/>
  <c r="BY238" i="4"/>
  <c r="BZ238" i="4"/>
  <c r="CA238" i="4"/>
  <c r="CB238" i="4"/>
  <c r="CC238" i="4"/>
  <c r="CD238" i="4"/>
  <c r="CE238" i="4"/>
  <c r="CF238" i="4"/>
  <c r="CG238" i="4"/>
  <c r="CH238" i="4"/>
  <c r="CI238" i="4"/>
  <c r="CJ238" i="4"/>
  <c r="CK238" i="4"/>
  <c r="CL238" i="4"/>
  <c r="CM238" i="4"/>
  <c r="CN238" i="4"/>
  <c r="CO238" i="4"/>
  <c r="CP238" i="4"/>
  <c r="CQ238" i="4"/>
  <c r="CR238" i="4"/>
  <c r="CS238" i="4"/>
  <c r="CT238" i="4"/>
  <c r="CU238" i="4"/>
  <c r="CV238" i="4"/>
  <c r="CW238" i="4"/>
  <c r="CX238" i="4"/>
  <c r="CY238" i="4"/>
  <c r="CZ238" i="4"/>
  <c r="DA238" i="4"/>
  <c r="DB238" i="4"/>
  <c r="DC238" i="4"/>
  <c r="DD238" i="4"/>
  <c r="DE238" i="4"/>
  <c r="DF238" i="4"/>
  <c r="DG238" i="4"/>
  <c r="DH238" i="4"/>
  <c r="DI238" i="4"/>
  <c r="DJ238" i="4"/>
  <c r="DK238" i="4"/>
  <c r="DL238" i="4"/>
  <c r="DM238" i="4"/>
  <c r="DN238" i="4"/>
  <c r="DO238" i="4"/>
  <c r="DP238" i="4"/>
  <c r="DQ238" i="4"/>
  <c r="DR238" i="4"/>
  <c r="DS238" i="4"/>
  <c r="DT238" i="4"/>
  <c r="DU238" i="4"/>
  <c r="DV238" i="4"/>
  <c r="DW238" i="4"/>
  <c r="DX238" i="4"/>
  <c r="DY238" i="4"/>
  <c r="DZ238" i="4"/>
  <c r="EA238" i="4"/>
  <c r="EB238" i="4"/>
  <c r="EC238" i="4"/>
  <c r="ED238" i="4"/>
  <c r="EE238" i="4"/>
  <c r="EF238" i="4"/>
  <c r="EG238" i="4"/>
  <c r="EH238" i="4"/>
  <c r="EI238" i="4"/>
  <c r="EJ238" i="4"/>
  <c r="EK238" i="4"/>
  <c r="EL238" i="4"/>
  <c r="EM238" i="4"/>
  <c r="EN238" i="4"/>
  <c r="EO238" i="4"/>
  <c r="EP238" i="4"/>
  <c r="EQ238" i="4"/>
  <c r="ER238" i="4"/>
  <c r="ES238" i="4"/>
  <c r="ET238" i="4"/>
  <c r="EU238" i="4"/>
  <c r="EV238" i="4"/>
  <c r="EW238" i="4"/>
  <c r="EX238" i="4"/>
  <c r="EY238" i="4"/>
  <c r="EZ238" i="4"/>
  <c r="FA238" i="4"/>
  <c r="FB238" i="4"/>
  <c r="FC238" i="4"/>
  <c r="FD238" i="4"/>
  <c r="FE238" i="4"/>
  <c r="FF238" i="4"/>
  <c r="FG238" i="4"/>
  <c r="FH238" i="4"/>
  <c r="FI238" i="4"/>
  <c r="FJ238" i="4"/>
  <c r="FK238" i="4"/>
  <c r="FL238" i="4"/>
  <c r="FM238" i="4"/>
  <c r="FN238" i="4"/>
  <c r="FO238" i="4"/>
  <c r="FP238" i="4"/>
  <c r="FQ238" i="4"/>
  <c r="FR238" i="4"/>
  <c r="FS238" i="4"/>
  <c r="FT238" i="4"/>
  <c r="FU238" i="4"/>
  <c r="FV238" i="4"/>
  <c r="FW238" i="4"/>
  <c r="FX238" i="4"/>
  <c r="FY238" i="4"/>
  <c r="FZ238" i="4"/>
  <c r="GA238" i="4"/>
  <c r="GB238" i="4"/>
  <c r="GC238" i="4"/>
  <c r="GD238" i="4"/>
  <c r="GE238" i="4"/>
  <c r="GF238" i="4"/>
  <c r="GG238" i="4"/>
  <c r="GH238" i="4"/>
  <c r="GI238" i="4"/>
  <c r="GJ238" i="4"/>
  <c r="GK238" i="4"/>
  <c r="GL238" i="4"/>
  <c r="GM238" i="4"/>
  <c r="GN238" i="4"/>
  <c r="GO238" i="4"/>
  <c r="GP238" i="4"/>
  <c r="GQ238" i="4"/>
  <c r="GR238" i="4"/>
  <c r="GS238" i="4"/>
  <c r="GT238" i="4"/>
  <c r="GU238" i="4"/>
  <c r="GV238" i="4"/>
  <c r="GW238" i="4"/>
  <c r="GX238" i="4"/>
  <c r="GY238" i="4"/>
  <c r="GZ238" i="4"/>
  <c r="HA238" i="4"/>
  <c r="HB238" i="4"/>
  <c r="HC238" i="4"/>
  <c r="HD238" i="4"/>
  <c r="HE238" i="4"/>
  <c r="HF238" i="4"/>
  <c r="HG238" i="4"/>
  <c r="HH238" i="4"/>
  <c r="HI238" i="4"/>
  <c r="HJ238" i="4"/>
  <c r="HK238" i="4"/>
  <c r="HL238" i="4"/>
  <c r="HM238" i="4"/>
  <c r="HN238" i="4"/>
  <c r="HO238" i="4"/>
  <c r="HP238" i="4"/>
  <c r="HQ238" i="4"/>
  <c r="HR238" i="4"/>
  <c r="HS238" i="4"/>
  <c r="HT238" i="4"/>
  <c r="HU238" i="4"/>
  <c r="HV238" i="4"/>
  <c r="HW238" i="4"/>
  <c r="HX238" i="4"/>
  <c r="HY238" i="4"/>
  <c r="HZ238" i="4"/>
  <c r="IA238" i="4"/>
  <c r="IB238" i="4"/>
  <c r="IC238" i="4"/>
  <c r="ID238" i="4"/>
  <c r="IE238" i="4"/>
  <c r="IF238" i="4"/>
  <c r="IG238" i="4"/>
  <c r="IH238" i="4"/>
  <c r="II238" i="4"/>
  <c r="IJ238" i="4"/>
  <c r="IK238" i="4"/>
  <c r="IL238" i="4"/>
  <c r="IM238" i="4"/>
  <c r="IN238" i="4"/>
  <c r="IO238" i="4"/>
  <c r="IP238" i="4"/>
  <c r="IQ238" i="4"/>
  <c r="IR238" i="4"/>
  <c r="IS238" i="4"/>
  <c r="IT238" i="4"/>
  <c r="IU238" i="4"/>
  <c r="IV238" i="4"/>
  <c r="A237" i="4"/>
  <c r="B237" i="4"/>
  <c r="C237" i="4"/>
  <c r="D237" i="4"/>
  <c r="E237" i="4"/>
  <c r="F237" i="4"/>
  <c r="G237" i="4"/>
  <c r="I237" i="4"/>
  <c r="J237" i="4"/>
  <c r="K237" i="4"/>
  <c r="L237" i="4"/>
  <c r="M237" i="4"/>
  <c r="N237" i="4"/>
  <c r="O237" i="4"/>
  <c r="P237" i="4"/>
  <c r="Q237" i="4"/>
  <c r="R237" i="4"/>
  <c r="S237" i="4"/>
  <c r="T237" i="4"/>
  <c r="U237" i="4"/>
  <c r="V237" i="4"/>
  <c r="W237" i="4"/>
  <c r="X237" i="4"/>
  <c r="Y237" i="4"/>
  <c r="Z237" i="4"/>
  <c r="AA237" i="4"/>
  <c r="AB237" i="4"/>
  <c r="AC237" i="4"/>
  <c r="AD237" i="4"/>
  <c r="AE237" i="4"/>
  <c r="AF237" i="4"/>
  <c r="AG237" i="4"/>
  <c r="AH237" i="4"/>
  <c r="AI237" i="4"/>
  <c r="AJ237" i="4"/>
  <c r="AK237" i="4"/>
  <c r="AL237" i="4"/>
  <c r="AM237" i="4"/>
  <c r="AN237" i="4"/>
  <c r="AO237" i="4"/>
  <c r="AP237" i="4"/>
  <c r="AQ237" i="4"/>
  <c r="AR237" i="4"/>
  <c r="AS237" i="4"/>
  <c r="AT237" i="4"/>
  <c r="AU237" i="4"/>
  <c r="AV237" i="4"/>
  <c r="AW237" i="4"/>
  <c r="AX237" i="4"/>
  <c r="AY237" i="4"/>
  <c r="AZ237" i="4"/>
  <c r="BA237" i="4"/>
  <c r="BB237" i="4"/>
  <c r="BC237" i="4"/>
  <c r="BD237" i="4"/>
  <c r="BE237" i="4"/>
  <c r="BF237" i="4"/>
  <c r="BG237" i="4"/>
  <c r="BH237" i="4"/>
  <c r="BI237" i="4"/>
  <c r="BJ237" i="4"/>
  <c r="BK237" i="4"/>
  <c r="BL237" i="4"/>
  <c r="BM237" i="4"/>
  <c r="BN237" i="4"/>
  <c r="BO237" i="4"/>
  <c r="BP237" i="4"/>
  <c r="BQ237" i="4"/>
  <c r="BR237" i="4"/>
  <c r="BS237" i="4"/>
  <c r="BT237" i="4"/>
  <c r="BU237" i="4"/>
  <c r="BV237" i="4"/>
  <c r="BW237" i="4"/>
  <c r="BX237" i="4"/>
  <c r="BY237" i="4"/>
  <c r="BZ237" i="4"/>
  <c r="CA237" i="4"/>
  <c r="CB237" i="4"/>
  <c r="CC237" i="4"/>
  <c r="CD237" i="4"/>
  <c r="CE237" i="4"/>
  <c r="CF237" i="4"/>
  <c r="CG237" i="4"/>
  <c r="CH237" i="4"/>
  <c r="CI237" i="4"/>
  <c r="CJ237" i="4"/>
  <c r="CK237" i="4"/>
  <c r="CL237" i="4"/>
  <c r="CM237" i="4"/>
  <c r="CN237" i="4"/>
  <c r="CO237" i="4"/>
  <c r="CP237" i="4"/>
  <c r="CQ237" i="4"/>
  <c r="CR237" i="4"/>
  <c r="CS237" i="4"/>
  <c r="CT237" i="4"/>
  <c r="CU237" i="4"/>
  <c r="CV237" i="4"/>
  <c r="CW237" i="4"/>
  <c r="CX237" i="4"/>
  <c r="CY237" i="4"/>
  <c r="CZ237" i="4"/>
  <c r="DA237" i="4"/>
  <c r="DB237" i="4"/>
  <c r="DC237" i="4"/>
  <c r="DD237" i="4"/>
  <c r="DE237" i="4"/>
  <c r="DF237" i="4"/>
  <c r="DG237" i="4"/>
  <c r="DH237" i="4"/>
  <c r="DI237" i="4"/>
  <c r="DJ237" i="4"/>
  <c r="DK237" i="4"/>
  <c r="DL237" i="4"/>
  <c r="DM237" i="4"/>
  <c r="DN237" i="4"/>
  <c r="DO237" i="4"/>
  <c r="DP237" i="4"/>
  <c r="DQ237" i="4"/>
  <c r="DR237" i="4"/>
  <c r="DS237" i="4"/>
  <c r="DT237" i="4"/>
  <c r="DU237" i="4"/>
  <c r="DV237" i="4"/>
  <c r="DW237" i="4"/>
  <c r="DX237" i="4"/>
  <c r="DY237" i="4"/>
  <c r="DZ237" i="4"/>
  <c r="EA237" i="4"/>
  <c r="EB237" i="4"/>
  <c r="EC237" i="4"/>
  <c r="ED237" i="4"/>
  <c r="EE237" i="4"/>
  <c r="EF237" i="4"/>
  <c r="EG237" i="4"/>
  <c r="EH237" i="4"/>
  <c r="EI237" i="4"/>
  <c r="EJ237" i="4"/>
  <c r="EK237" i="4"/>
  <c r="EL237" i="4"/>
  <c r="EM237" i="4"/>
  <c r="EN237" i="4"/>
  <c r="EO237" i="4"/>
  <c r="EP237" i="4"/>
  <c r="EQ237" i="4"/>
  <c r="ER237" i="4"/>
  <c r="ES237" i="4"/>
  <c r="ET237" i="4"/>
  <c r="EU237" i="4"/>
  <c r="EV237" i="4"/>
  <c r="EW237" i="4"/>
  <c r="EX237" i="4"/>
  <c r="EY237" i="4"/>
  <c r="EZ237" i="4"/>
  <c r="FA237" i="4"/>
  <c r="FB237" i="4"/>
  <c r="FC237" i="4"/>
  <c r="FD237" i="4"/>
  <c r="FE237" i="4"/>
  <c r="FF237" i="4"/>
  <c r="FG237" i="4"/>
  <c r="FH237" i="4"/>
  <c r="FI237" i="4"/>
  <c r="FJ237" i="4"/>
  <c r="FK237" i="4"/>
  <c r="FL237" i="4"/>
  <c r="FM237" i="4"/>
  <c r="FN237" i="4"/>
  <c r="FO237" i="4"/>
  <c r="FP237" i="4"/>
  <c r="FQ237" i="4"/>
  <c r="FR237" i="4"/>
  <c r="FS237" i="4"/>
  <c r="FT237" i="4"/>
  <c r="FU237" i="4"/>
  <c r="FV237" i="4"/>
  <c r="FW237" i="4"/>
  <c r="FX237" i="4"/>
  <c r="FY237" i="4"/>
  <c r="FZ237" i="4"/>
  <c r="GA237" i="4"/>
  <c r="GB237" i="4"/>
  <c r="GC237" i="4"/>
  <c r="GD237" i="4"/>
  <c r="GE237" i="4"/>
  <c r="GF237" i="4"/>
  <c r="GG237" i="4"/>
  <c r="GH237" i="4"/>
  <c r="GI237" i="4"/>
  <c r="GJ237" i="4"/>
  <c r="GK237" i="4"/>
  <c r="GL237" i="4"/>
  <c r="GM237" i="4"/>
  <c r="GN237" i="4"/>
  <c r="GO237" i="4"/>
  <c r="GP237" i="4"/>
  <c r="GQ237" i="4"/>
  <c r="GR237" i="4"/>
  <c r="GS237" i="4"/>
  <c r="GT237" i="4"/>
  <c r="GU237" i="4"/>
  <c r="GV237" i="4"/>
  <c r="GW237" i="4"/>
  <c r="GX237" i="4"/>
  <c r="GY237" i="4"/>
  <c r="GZ237" i="4"/>
  <c r="HA237" i="4"/>
  <c r="HB237" i="4"/>
  <c r="HC237" i="4"/>
  <c r="HD237" i="4"/>
  <c r="HE237" i="4"/>
  <c r="HF237" i="4"/>
  <c r="HG237" i="4"/>
  <c r="HH237" i="4"/>
  <c r="HI237" i="4"/>
  <c r="HJ237" i="4"/>
  <c r="HK237" i="4"/>
  <c r="HL237" i="4"/>
  <c r="HM237" i="4"/>
  <c r="HN237" i="4"/>
  <c r="HO237" i="4"/>
  <c r="HP237" i="4"/>
  <c r="HQ237" i="4"/>
  <c r="HR237" i="4"/>
  <c r="HS237" i="4"/>
  <c r="HT237" i="4"/>
  <c r="HU237" i="4"/>
  <c r="HV237" i="4"/>
  <c r="HW237" i="4"/>
  <c r="HX237" i="4"/>
  <c r="HY237" i="4"/>
  <c r="HZ237" i="4"/>
  <c r="IA237" i="4"/>
  <c r="IB237" i="4"/>
  <c r="IC237" i="4"/>
  <c r="ID237" i="4"/>
  <c r="IE237" i="4"/>
  <c r="IF237" i="4"/>
  <c r="IG237" i="4"/>
  <c r="IH237" i="4"/>
  <c r="II237" i="4"/>
  <c r="IJ237" i="4"/>
  <c r="IK237" i="4"/>
  <c r="IL237" i="4"/>
  <c r="IM237" i="4"/>
  <c r="IN237" i="4"/>
  <c r="IO237" i="4"/>
  <c r="IP237" i="4"/>
  <c r="IQ237" i="4"/>
  <c r="IR237" i="4"/>
  <c r="IS237" i="4"/>
  <c r="IT237" i="4"/>
  <c r="IU237" i="4"/>
  <c r="IV237" i="4"/>
  <c r="A236" i="4"/>
  <c r="B236" i="4"/>
  <c r="C236" i="4"/>
  <c r="D236" i="4"/>
  <c r="E236" i="4"/>
  <c r="F236" i="4"/>
  <c r="G236" i="4"/>
  <c r="H236" i="4"/>
  <c r="I236" i="4"/>
  <c r="J236" i="4"/>
  <c r="K236" i="4"/>
  <c r="L236" i="4"/>
  <c r="M236" i="4"/>
  <c r="N236" i="4"/>
  <c r="O236" i="4"/>
  <c r="P236" i="4"/>
  <c r="Q236" i="4"/>
  <c r="R236" i="4"/>
  <c r="S236" i="4"/>
  <c r="T236" i="4"/>
  <c r="U236" i="4"/>
  <c r="V236" i="4"/>
  <c r="W236" i="4"/>
  <c r="X236" i="4"/>
  <c r="Y236" i="4"/>
  <c r="Z236" i="4"/>
  <c r="AA236" i="4"/>
  <c r="AB236" i="4"/>
  <c r="AC236" i="4"/>
  <c r="AD236" i="4"/>
  <c r="AE236" i="4"/>
  <c r="AF236" i="4"/>
  <c r="AG236" i="4"/>
  <c r="AH236" i="4"/>
  <c r="AI236" i="4"/>
  <c r="AJ236" i="4"/>
  <c r="AK236" i="4"/>
  <c r="AL236" i="4"/>
  <c r="AM236" i="4"/>
  <c r="AN236" i="4"/>
  <c r="AO236" i="4"/>
  <c r="AP236" i="4"/>
  <c r="AQ236" i="4"/>
  <c r="AR236" i="4"/>
  <c r="AS236" i="4"/>
  <c r="AT236" i="4"/>
  <c r="AU236" i="4"/>
  <c r="AV236" i="4"/>
  <c r="AW236" i="4"/>
  <c r="AX236" i="4"/>
  <c r="AY236" i="4"/>
  <c r="AZ236" i="4"/>
  <c r="BA236" i="4"/>
  <c r="BB236" i="4"/>
  <c r="BC236" i="4"/>
  <c r="BD236" i="4"/>
  <c r="BE236" i="4"/>
  <c r="BF236" i="4"/>
  <c r="BG236" i="4"/>
  <c r="BH236" i="4"/>
  <c r="BI236" i="4"/>
  <c r="BJ236" i="4"/>
  <c r="BK236" i="4"/>
  <c r="BL236" i="4"/>
  <c r="BM236" i="4"/>
  <c r="BN236" i="4"/>
  <c r="BO236" i="4"/>
  <c r="BP236" i="4"/>
  <c r="BQ236" i="4"/>
  <c r="BR236" i="4"/>
  <c r="BS236" i="4"/>
  <c r="BT236" i="4"/>
  <c r="BU236" i="4"/>
  <c r="BV236" i="4"/>
  <c r="BW236" i="4"/>
  <c r="BX236" i="4"/>
  <c r="BY236" i="4"/>
  <c r="BZ236" i="4"/>
  <c r="CA236" i="4"/>
  <c r="CB236" i="4"/>
  <c r="CC236" i="4"/>
  <c r="CD236" i="4"/>
  <c r="CE236" i="4"/>
  <c r="CF236" i="4"/>
  <c r="CG236" i="4"/>
  <c r="CH236" i="4"/>
  <c r="CI236" i="4"/>
  <c r="CJ236" i="4"/>
  <c r="CK236" i="4"/>
  <c r="CL236" i="4"/>
  <c r="CM236" i="4"/>
  <c r="CN236" i="4"/>
  <c r="CO236" i="4"/>
  <c r="CP236" i="4"/>
  <c r="CQ236" i="4"/>
  <c r="CR236" i="4"/>
  <c r="CS236" i="4"/>
  <c r="CT236" i="4"/>
  <c r="CU236" i="4"/>
  <c r="CV236" i="4"/>
  <c r="CW236" i="4"/>
  <c r="CX236" i="4"/>
  <c r="CY236" i="4"/>
  <c r="CZ236" i="4"/>
  <c r="DA236" i="4"/>
  <c r="DB236" i="4"/>
  <c r="DC236" i="4"/>
  <c r="DD236" i="4"/>
  <c r="DE236" i="4"/>
  <c r="DF236" i="4"/>
  <c r="DG236" i="4"/>
  <c r="DH236" i="4"/>
  <c r="DI236" i="4"/>
  <c r="DJ236" i="4"/>
  <c r="DK236" i="4"/>
  <c r="DL236" i="4"/>
  <c r="DM236" i="4"/>
  <c r="DN236" i="4"/>
  <c r="DO236" i="4"/>
  <c r="DP236" i="4"/>
  <c r="DQ236" i="4"/>
  <c r="DR236" i="4"/>
  <c r="DS236" i="4"/>
  <c r="DT236" i="4"/>
  <c r="DU236" i="4"/>
  <c r="DV236" i="4"/>
  <c r="DW236" i="4"/>
  <c r="DX236" i="4"/>
  <c r="DY236" i="4"/>
  <c r="DZ236" i="4"/>
  <c r="EA236" i="4"/>
  <c r="EB236" i="4"/>
  <c r="EC236" i="4"/>
  <c r="ED236" i="4"/>
  <c r="EE236" i="4"/>
  <c r="EF236" i="4"/>
  <c r="EG236" i="4"/>
  <c r="EH236" i="4"/>
  <c r="EI236" i="4"/>
  <c r="EJ236" i="4"/>
  <c r="EK236" i="4"/>
  <c r="EL236" i="4"/>
  <c r="EM236" i="4"/>
  <c r="EN236" i="4"/>
  <c r="EO236" i="4"/>
  <c r="EP236" i="4"/>
  <c r="EQ236" i="4"/>
  <c r="ER236" i="4"/>
  <c r="ES236" i="4"/>
  <c r="ET236" i="4"/>
  <c r="EU236" i="4"/>
  <c r="EV236" i="4"/>
  <c r="EW236" i="4"/>
  <c r="EX236" i="4"/>
  <c r="EY236" i="4"/>
  <c r="EZ236" i="4"/>
  <c r="FA236" i="4"/>
  <c r="FB236" i="4"/>
  <c r="FC236" i="4"/>
  <c r="FD236" i="4"/>
  <c r="FE236" i="4"/>
  <c r="FF236" i="4"/>
  <c r="FG236" i="4"/>
  <c r="FH236" i="4"/>
  <c r="FI236" i="4"/>
  <c r="FJ236" i="4"/>
  <c r="FK236" i="4"/>
  <c r="FL236" i="4"/>
  <c r="FM236" i="4"/>
  <c r="FN236" i="4"/>
  <c r="FO236" i="4"/>
  <c r="FP236" i="4"/>
  <c r="FQ236" i="4"/>
  <c r="FR236" i="4"/>
  <c r="FS236" i="4"/>
  <c r="FT236" i="4"/>
  <c r="FU236" i="4"/>
  <c r="FV236" i="4"/>
  <c r="FW236" i="4"/>
  <c r="FX236" i="4"/>
  <c r="FY236" i="4"/>
  <c r="FZ236" i="4"/>
  <c r="GA236" i="4"/>
  <c r="GB236" i="4"/>
  <c r="GC236" i="4"/>
  <c r="GD236" i="4"/>
  <c r="GE236" i="4"/>
  <c r="GF236" i="4"/>
  <c r="GG236" i="4"/>
  <c r="GH236" i="4"/>
  <c r="GI236" i="4"/>
  <c r="GJ236" i="4"/>
  <c r="GK236" i="4"/>
  <c r="GL236" i="4"/>
  <c r="GM236" i="4"/>
  <c r="GN236" i="4"/>
  <c r="GO236" i="4"/>
  <c r="GP236" i="4"/>
  <c r="GQ236" i="4"/>
  <c r="GR236" i="4"/>
  <c r="GS236" i="4"/>
  <c r="GT236" i="4"/>
  <c r="GU236" i="4"/>
  <c r="GV236" i="4"/>
  <c r="GW236" i="4"/>
  <c r="GX236" i="4"/>
  <c r="GY236" i="4"/>
  <c r="GZ236" i="4"/>
  <c r="HA236" i="4"/>
  <c r="HB236" i="4"/>
  <c r="HC236" i="4"/>
  <c r="HD236" i="4"/>
  <c r="HE236" i="4"/>
  <c r="HF236" i="4"/>
  <c r="HG236" i="4"/>
  <c r="HH236" i="4"/>
  <c r="HI236" i="4"/>
  <c r="HJ236" i="4"/>
  <c r="HK236" i="4"/>
  <c r="HL236" i="4"/>
  <c r="HM236" i="4"/>
  <c r="HN236" i="4"/>
  <c r="HO236" i="4"/>
  <c r="HP236" i="4"/>
  <c r="HQ236" i="4"/>
  <c r="HR236" i="4"/>
  <c r="HS236" i="4"/>
  <c r="HT236" i="4"/>
  <c r="HU236" i="4"/>
  <c r="HV236" i="4"/>
  <c r="HW236" i="4"/>
  <c r="HX236" i="4"/>
  <c r="HY236" i="4"/>
  <c r="HZ236" i="4"/>
  <c r="IA236" i="4"/>
  <c r="IB236" i="4"/>
  <c r="IC236" i="4"/>
  <c r="ID236" i="4"/>
  <c r="IE236" i="4"/>
  <c r="IF236" i="4"/>
  <c r="IG236" i="4"/>
  <c r="IH236" i="4"/>
  <c r="II236" i="4"/>
  <c r="IJ236" i="4"/>
  <c r="IK236" i="4"/>
  <c r="IL236" i="4"/>
  <c r="IM236" i="4"/>
  <c r="IN236" i="4"/>
  <c r="IO236" i="4"/>
  <c r="IP236" i="4"/>
  <c r="IQ236" i="4"/>
  <c r="IR236" i="4"/>
  <c r="IS236" i="4"/>
  <c r="IT236" i="4"/>
  <c r="IU236" i="4"/>
  <c r="IV236" i="4"/>
  <c r="A235" i="4"/>
  <c r="B235" i="4"/>
  <c r="C235" i="4"/>
  <c r="D235" i="4"/>
  <c r="E235" i="4"/>
  <c r="F235" i="4"/>
  <c r="G235" i="4"/>
  <c r="H235" i="4"/>
  <c r="I235" i="4"/>
  <c r="J235" i="4"/>
  <c r="K235" i="4"/>
  <c r="L235" i="4"/>
  <c r="M235" i="4"/>
  <c r="N235" i="4"/>
  <c r="O235" i="4"/>
  <c r="P235" i="4"/>
  <c r="Q235" i="4"/>
  <c r="R235" i="4"/>
  <c r="S235" i="4"/>
  <c r="T235" i="4"/>
  <c r="U235" i="4"/>
  <c r="V235" i="4"/>
  <c r="W235" i="4"/>
  <c r="X235" i="4"/>
  <c r="Y235" i="4"/>
  <c r="Z235" i="4"/>
  <c r="AA235" i="4"/>
  <c r="AB235" i="4"/>
  <c r="AC235" i="4"/>
  <c r="AD235" i="4"/>
  <c r="AE235" i="4"/>
  <c r="AF235" i="4"/>
  <c r="AG235" i="4"/>
  <c r="AH235" i="4"/>
  <c r="AI235" i="4"/>
  <c r="AJ235" i="4"/>
  <c r="AK235" i="4"/>
  <c r="AL235" i="4"/>
  <c r="AM235" i="4"/>
  <c r="AN235" i="4"/>
  <c r="AO235" i="4"/>
  <c r="AP235" i="4"/>
  <c r="AQ235" i="4"/>
  <c r="AR235" i="4"/>
  <c r="AS235" i="4"/>
  <c r="AT235" i="4"/>
  <c r="AU235" i="4"/>
  <c r="AV235" i="4"/>
  <c r="AW235" i="4"/>
  <c r="AX235" i="4"/>
  <c r="AY235" i="4"/>
  <c r="AZ235" i="4"/>
  <c r="BA235" i="4"/>
  <c r="BB235" i="4"/>
  <c r="BC235" i="4"/>
  <c r="BD235" i="4"/>
  <c r="BE235" i="4"/>
  <c r="BF235" i="4"/>
  <c r="BG235" i="4"/>
  <c r="BH235" i="4"/>
  <c r="BI235" i="4"/>
  <c r="BJ235" i="4"/>
  <c r="BK235" i="4"/>
  <c r="BL235" i="4"/>
  <c r="BM235" i="4"/>
  <c r="BN235" i="4"/>
  <c r="BO235" i="4"/>
  <c r="BP235" i="4"/>
  <c r="BQ235" i="4"/>
  <c r="BR235" i="4"/>
  <c r="BS235" i="4"/>
  <c r="BT235" i="4"/>
  <c r="BU235" i="4"/>
  <c r="BV235" i="4"/>
  <c r="BW235" i="4"/>
  <c r="BX235" i="4"/>
  <c r="BY235" i="4"/>
  <c r="BZ235" i="4"/>
  <c r="CA235" i="4"/>
  <c r="CB235" i="4"/>
  <c r="CC235" i="4"/>
  <c r="CD235" i="4"/>
  <c r="CE235" i="4"/>
  <c r="CF235" i="4"/>
  <c r="CG235" i="4"/>
  <c r="CH235" i="4"/>
  <c r="CI235" i="4"/>
  <c r="CJ235" i="4"/>
  <c r="CK235" i="4"/>
  <c r="CL235" i="4"/>
  <c r="CM235" i="4"/>
  <c r="CN235" i="4"/>
  <c r="CO235" i="4"/>
  <c r="CP235" i="4"/>
  <c r="CQ235" i="4"/>
  <c r="CR235" i="4"/>
  <c r="CS235" i="4"/>
  <c r="CT235" i="4"/>
  <c r="CU235" i="4"/>
  <c r="CV235" i="4"/>
  <c r="CW235" i="4"/>
  <c r="CX235" i="4"/>
  <c r="CY235" i="4"/>
  <c r="CZ235" i="4"/>
  <c r="DA235" i="4"/>
  <c r="DB235" i="4"/>
  <c r="DC235" i="4"/>
  <c r="DD235" i="4"/>
  <c r="DE235" i="4"/>
  <c r="DF235" i="4"/>
  <c r="DG235" i="4"/>
  <c r="DH235" i="4"/>
  <c r="DI235" i="4"/>
  <c r="DJ235" i="4"/>
  <c r="DK235" i="4"/>
  <c r="DL235" i="4"/>
  <c r="DM235" i="4"/>
  <c r="DN235" i="4"/>
  <c r="DO235" i="4"/>
  <c r="DP235" i="4"/>
  <c r="DQ235" i="4"/>
  <c r="DR235" i="4"/>
  <c r="DS235" i="4"/>
  <c r="DT235" i="4"/>
  <c r="DU235" i="4"/>
  <c r="DV235" i="4"/>
  <c r="DW235" i="4"/>
  <c r="DX235" i="4"/>
  <c r="DY235" i="4"/>
  <c r="DZ235" i="4"/>
  <c r="EA235" i="4"/>
  <c r="EB235" i="4"/>
  <c r="EC235" i="4"/>
  <c r="ED235" i="4"/>
  <c r="EE235" i="4"/>
  <c r="EF235" i="4"/>
  <c r="EG235" i="4"/>
  <c r="EH235" i="4"/>
  <c r="EI235" i="4"/>
  <c r="EJ235" i="4"/>
  <c r="EK235" i="4"/>
  <c r="EL235" i="4"/>
  <c r="EM235" i="4"/>
  <c r="EN235" i="4"/>
  <c r="EO235" i="4"/>
  <c r="EP235" i="4"/>
  <c r="EQ235" i="4"/>
  <c r="ER235" i="4"/>
  <c r="ES235" i="4"/>
  <c r="ET235" i="4"/>
  <c r="EU235" i="4"/>
  <c r="EV235" i="4"/>
  <c r="EW235" i="4"/>
  <c r="EX235" i="4"/>
  <c r="EY235" i="4"/>
  <c r="EZ235" i="4"/>
  <c r="FA235" i="4"/>
  <c r="FB235" i="4"/>
  <c r="FC235" i="4"/>
  <c r="FD235" i="4"/>
  <c r="FE235" i="4"/>
  <c r="FF235" i="4"/>
  <c r="FG235" i="4"/>
  <c r="FH235" i="4"/>
  <c r="FI235" i="4"/>
  <c r="FJ235" i="4"/>
  <c r="FK235" i="4"/>
  <c r="FL235" i="4"/>
  <c r="FM235" i="4"/>
  <c r="FN235" i="4"/>
  <c r="FO235" i="4"/>
  <c r="FP235" i="4"/>
  <c r="FQ235" i="4"/>
  <c r="FR235" i="4"/>
  <c r="FS235" i="4"/>
  <c r="FT235" i="4"/>
  <c r="FU235" i="4"/>
  <c r="FV235" i="4"/>
  <c r="FW235" i="4"/>
  <c r="FX235" i="4"/>
  <c r="FY235" i="4"/>
  <c r="FZ235" i="4"/>
  <c r="GA235" i="4"/>
  <c r="GB235" i="4"/>
  <c r="GC235" i="4"/>
  <c r="GD235" i="4"/>
  <c r="GE235" i="4"/>
  <c r="GF235" i="4"/>
  <c r="GG235" i="4"/>
  <c r="GH235" i="4"/>
  <c r="GI235" i="4"/>
  <c r="GJ235" i="4"/>
  <c r="GK235" i="4"/>
  <c r="GL235" i="4"/>
  <c r="GM235" i="4"/>
  <c r="GN235" i="4"/>
  <c r="GO235" i="4"/>
  <c r="GP235" i="4"/>
  <c r="GQ235" i="4"/>
  <c r="GR235" i="4"/>
  <c r="GS235" i="4"/>
  <c r="GT235" i="4"/>
  <c r="GU235" i="4"/>
  <c r="GV235" i="4"/>
  <c r="GW235" i="4"/>
  <c r="GX235" i="4"/>
  <c r="GY235" i="4"/>
  <c r="GZ235" i="4"/>
  <c r="HA235" i="4"/>
  <c r="HB235" i="4"/>
  <c r="HC235" i="4"/>
  <c r="HD235" i="4"/>
  <c r="HE235" i="4"/>
  <c r="HF235" i="4"/>
  <c r="HG235" i="4"/>
  <c r="HH235" i="4"/>
  <c r="HI235" i="4"/>
  <c r="HJ235" i="4"/>
  <c r="HK235" i="4"/>
  <c r="HL235" i="4"/>
  <c r="HM235" i="4"/>
  <c r="HN235" i="4"/>
  <c r="HO235" i="4"/>
  <c r="HP235" i="4"/>
  <c r="HQ235" i="4"/>
  <c r="HR235" i="4"/>
  <c r="HS235" i="4"/>
  <c r="HT235" i="4"/>
  <c r="HU235" i="4"/>
  <c r="HV235" i="4"/>
  <c r="HW235" i="4"/>
  <c r="HX235" i="4"/>
  <c r="HY235" i="4"/>
  <c r="HZ235" i="4"/>
  <c r="IA235" i="4"/>
  <c r="IB235" i="4"/>
  <c r="IC235" i="4"/>
  <c r="ID235" i="4"/>
  <c r="IE235" i="4"/>
  <c r="IF235" i="4"/>
  <c r="IG235" i="4"/>
  <c r="IH235" i="4"/>
  <c r="II235" i="4"/>
  <c r="IJ235" i="4"/>
  <c r="IK235" i="4"/>
  <c r="IL235" i="4"/>
  <c r="IM235" i="4"/>
  <c r="IN235" i="4"/>
  <c r="IO235" i="4"/>
  <c r="IP235" i="4"/>
  <c r="IQ235" i="4"/>
  <c r="IR235" i="4"/>
  <c r="IS235" i="4"/>
  <c r="IT235" i="4"/>
  <c r="IU235" i="4"/>
  <c r="IV235" i="4"/>
  <c r="A234" i="4"/>
  <c r="B234" i="4"/>
  <c r="C234" i="4"/>
  <c r="D234" i="4"/>
  <c r="E234" i="4"/>
  <c r="F234" i="4"/>
  <c r="G234" i="4"/>
  <c r="H234" i="4"/>
  <c r="I234" i="4"/>
  <c r="J234" i="4"/>
  <c r="K234" i="4"/>
  <c r="L234" i="4"/>
  <c r="M234" i="4"/>
  <c r="N234" i="4"/>
  <c r="O234" i="4"/>
  <c r="P234" i="4"/>
  <c r="Q234" i="4"/>
  <c r="R234" i="4"/>
  <c r="S234" i="4"/>
  <c r="T234" i="4"/>
  <c r="U234" i="4"/>
  <c r="V234" i="4"/>
  <c r="W234" i="4"/>
  <c r="X234" i="4"/>
  <c r="Y234" i="4"/>
  <c r="Z234" i="4"/>
  <c r="AA234" i="4"/>
  <c r="AB234" i="4"/>
  <c r="AC234" i="4"/>
  <c r="AD234" i="4"/>
  <c r="AE234" i="4"/>
  <c r="AF234" i="4"/>
  <c r="AG234" i="4"/>
  <c r="AH234" i="4"/>
  <c r="AI234" i="4"/>
  <c r="AJ234" i="4"/>
  <c r="AK234" i="4"/>
  <c r="AL234" i="4"/>
  <c r="AM234" i="4"/>
  <c r="AN234" i="4"/>
  <c r="AO234" i="4"/>
  <c r="AP234" i="4"/>
  <c r="AQ234" i="4"/>
  <c r="AR234" i="4"/>
  <c r="AS234" i="4"/>
  <c r="AT234" i="4"/>
  <c r="AU234" i="4"/>
  <c r="AV234" i="4"/>
  <c r="AW234" i="4"/>
  <c r="AX234" i="4"/>
  <c r="AY234" i="4"/>
  <c r="AZ234" i="4"/>
  <c r="BA234" i="4"/>
  <c r="BB234" i="4"/>
  <c r="BC234" i="4"/>
  <c r="BD234" i="4"/>
  <c r="BE234" i="4"/>
  <c r="BF234" i="4"/>
  <c r="BG234" i="4"/>
  <c r="BH234" i="4"/>
  <c r="BI234" i="4"/>
  <c r="BJ234" i="4"/>
  <c r="BK234" i="4"/>
  <c r="BL234" i="4"/>
  <c r="BM234" i="4"/>
  <c r="BN234" i="4"/>
  <c r="BO234" i="4"/>
  <c r="BP234" i="4"/>
  <c r="BQ234" i="4"/>
  <c r="BR234" i="4"/>
  <c r="BS234" i="4"/>
  <c r="BT234" i="4"/>
  <c r="BU234" i="4"/>
  <c r="BV234" i="4"/>
  <c r="BW234" i="4"/>
  <c r="BX234" i="4"/>
  <c r="BY234" i="4"/>
  <c r="BZ234" i="4"/>
  <c r="CA234" i="4"/>
  <c r="CB234" i="4"/>
  <c r="CC234" i="4"/>
  <c r="CD234" i="4"/>
  <c r="CE234" i="4"/>
  <c r="CF234" i="4"/>
  <c r="CG234" i="4"/>
  <c r="CH234" i="4"/>
  <c r="CI234" i="4"/>
  <c r="CJ234" i="4"/>
  <c r="CK234" i="4"/>
  <c r="CL234" i="4"/>
  <c r="CM234" i="4"/>
  <c r="CN234" i="4"/>
  <c r="CO234" i="4"/>
  <c r="CP234" i="4"/>
  <c r="CQ234" i="4"/>
  <c r="CR234" i="4"/>
  <c r="CS234" i="4"/>
  <c r="CT234" i="4"/>
  <c r="CU234" i="4"/>
  <c r="CV234" i="4"/>
  <c r="CW234" i="4"/>
  <c r="CX234" i="4"/>
  <c r="CY234" i="4"/>
  <c r="CZ234" i="4"/>
  <c r="DA234" i="4"/>
  <c r="DB234" i="4"/>
  <c r="DC234" i="4"/>
  <c r="DD234" i="4"/>
  <c r="DE234" i="4"/>
  <c r="DF234" i="4"/>
  <c r="DG234" i="4"/>
  <c r="DH234" i="4"/>
  <c r="DI234" i="4"/>
  <c r="DJ234" i="4"/>
  <c r="DK234" i="4"/>
  <c r="DL234" i="4"/>
  <c r="DM234" i="4"/>
  <c r="DN234" i="4"/>
  <c r="DO234" i="4"/>
  <c r="DP234" i="4"/>
  <c r="DQ234" i="4"/>
  <c r="DR234" i="4"/>
  <c r="DS234" i="4"/>
  <c r="DT234" i="4"/>
  <c r="DU234" i="4"/>
  <c r="DV234" i="4"/>
  <c r="DW234" i="4"/>
  <c r="DX234" i="4"/>
  <c r="DY234" i="4"/>
  <c r="DZ234" i="4"/>
  <c r="EA234" i="4"/>
  <c r="EB234" i="4"/>
  <c r="EC234" i="4"/>
  <c r="ED234" i="4"/>
  <c r="EE234" i="4"/>
  <c r="EF234" i="4"/>
  <c r="EG234" i="4"/>
  <c r="EH234" i="4"/>
  <c r="EI234" i="4"/>
  <c r="EJ234" i="4"/>
  <c r="EK234" i="4"/>
  <c r="EL234" i="4"/>
  <c r="EM234" i="4"/>
  <c r="EN234" i="4"/>
  <c r="EO234" i="4"/>
  <c r="EP234" i="4"/>
  <c r="EQ234" i="4"/>
  <c r="ER234" i="4"/>
  <c r="ES234" i="4"/>
  <c r="ET234" i="4"/>
  <c r="EU234" i="4"/>
  <c r="EV234" i="4"/>
  <c r="EW234" i="4"/>
  <c r="EX234" i="4"/>
  <c r="EY234" i="4"/>
  <c r="EZ234" i="4"/>
  <c r="FA234" i="4"/>
  <c r="FB234" i="4"/>
  <c r="FC234" i="4"/>
  <c r="FD234" i="4"/>
  <c r="FE234" i="4"/>
  <c r="FF234" i="4"/>
  <c r="FG234" i="4"/>
  <c r="FH234" i="4"/>
  <c r="FI234" i="4"/>
  <c r="FJ234" i="4"/>
  <c r="FK234" i="4"/>
  <c r="FL234" i="4"/>
  <c r="FM234" i="4"/>
  <c r="FN234" i="4"/>
  <c r="FO234" i="4"/>
  <c r="FP234" i="4"/>
  <c r="FQ234" i="4"/>
  <c r="FR234" i="4"/>
  <c r="FS234" i="4"/>
  <c r="FT234" i="4"/>
  <c r="FU234" i="4"/>
  <c r="FV234" i="4"/>
  <c r="FW234" i="4"/>
  <c r="FX234" i="4"/>
  <c r="FY234" i="4"/>
  <c r="FZ234" i="4"/>
  <c r="GA234" i="4"/>
  <c r="GB234" i="4"/>
  <c r="GC234" i="4"/>
  <c r="GD234" i="4"/>
  <c r="GE234" i="4"/>
  <c r="GF234" i="4"/>
  <c r="GG234" i="4"/>
  <c r="GH234" i="4"/>
  <c r="GI234" i="4"/>
  <c r="GJ234" i="4"/>
  <c r="GK234" i="4"/>
  <c r="GL234" i="4"/>
  <c r="GM234" i="4"/>
  <c r="GN234" i="4"/>
  <c r="GO234" i="4"/>
  <c r="GP234" i="4"/>
  <c r="GQ234" i="4"/>
  <c r="GR234" i="4"/>
  <c r="GS234" i="4"/>
  <c r="GT234" i="4"/>
  <c r="GU234" i="4"/>
  <c r="GV234" i="4"/>
  <c r="GW234" i="4"/>
  <c r="GX234" i="4"/>
  <c r="GY234" i="4"/>
  <c r="GZ234" i="4"/>
  <c r="HA234" i="4"/>
  <c r="HB234" i="4"/>
  <c r="HC234" i="4"/>
  <c r="HD234" i="4"/>
  <c r="HE234" i="4"/>
  <c r="HF234" i="4"/>
  <c r="HG234" i="4"/>
  <c r="HH234" i="4"/>
  <c r="HI234" i="4"/>
  <c r="HJ234" i="4"/>
  <c r="HK234" i="4"/>
  <c r="HL234" i="4"/>
  <c r="HM234" i="4"/>
  <c r="HN234" i="4"/>
  <c r="HO234" i="4"/>
  <c r="HP234" i="4"/>
  <c r="HQ234" i="4"/>
  <c r="HR234" i="4"/>
  <c r="HS234" i="4"/>
  <c r="HT234" i="4"/>
  <c r="HU234" i="4"/>
  <c r="HV234" i="4"/>
  <c r="HW234" i="4"/>
  <c r="HX234" i="4"/>
  <c r="HY234" i="4"/>
  <c r="HZ234" i="4"/>
  <c r="IA234" i="4"/>
  <c r="IB234" i="4"/>
  <c r="IC234" i="4"/>
  <c r="ID234" i="4"/>
  <c r="IE234" i="4"/>
  <c r="IF234" i="4"/>
  <c r="IG234" i="4"/>
  <c r="IH234" i="4"/>
  <c r="II234" i="4"/>
  <c r="IJ234" i="4"/>
  <c r="IK234" i="4"/>
  <c r="IL234" i="4"/>
  <c r="IM234" i="4"/>
  <c r="IN234" i="4"/>
  <c r="IO234" i="4"/>
  <c r="IP234" i="4"/>
  <c r="IQ234" i="4"/>
  <c r="IR234" i="4"/>
  <c r="IS234" i="4"/>
  <c r="IT234" i="4"/>
  <c r="IU234" i="4"/>
  <c r="IV234" i="4"/>
  <c r="A233" i="4"/>
  <c r="B233" i="4"/>
  <c r="C233" i="4"/>
  <c r="D233" i="4"/>
  <c r="E233" i="4"/>
  <c r="F233" i="4"/>
  <c r="G233" i="4"/>
  <c r="H233" i="4"/>
  <c r="I233" i="4"/>
  <c r="J233" i="4"/>
  <c r="K233" i="4"/>
  <c r="L233" i="4"/>
  <c r="M233" i="4"/>
  <c r="N233" i="4"/>
  <c r="O233" i="4"/>
  <c r="P233" i="4"/>
  <c r="Q233" i="4"/>
  <c r="R233" i="4"/>
  <c r="S233" i="4"/>
  <c r="T233" i="4"/>
  <c r="U233" i="4"/>
  <c r="V233" i="4"/>
  <c r="W233" i="4"/>
  <c r="X233" i="4"/>
  <c r="Y233" i="4"/>
  <c r="Z233" i="4"/>
  <c r="AA233" i="4"/>
  <c r="AB233" i="4"/>
  <c r="AC233" i="4"/>
  <c r="AD233" i="4"/>
  <c r="AE233" i="4"/>
  <c r="AF233" i="4"/>
  <c r="AG233" i="4"/>
  <c r="AH233" i="4"/>
  <c r="AI233" i="4"/>
  <c r="AJ233" i="4"/>
  <c r="AK233" i="4"/>
  <c r="AL233" i="4"/>
  <c r="AM233" i="4"/>
  <c r="AN233" i="4"/>
  <c r="AO233" i="4"/>
  <c r="AP233" i="4"/>
  <c r="AQ233" i="4"/>
  <c r="AR233" i="4"/>
  <c r="AS233" i="4"/>
  <c r="AT233" i="4"/>
  <c r="AU233" i="4"/>
  <c r="AV233" i="4"/>
  <c r="AW233" i="4"/>
  <c r="AX233" i="4"/>
  <c r="AY233" i="4"/>
  <c r="AZ233" i="4"/>
  <c r="BA233" i="4"/>
  <c r="BB233" i="4"/>
  <c r="BC233" i="4"/>
  <c r="BD233" i="4"/>
  <c r="BE233" i="4"/>
  <c r="BF233" i="4"/>
  <c r="BG233" i="4"/>
  <c r="BH233" i="4"/>
  <c r="BI233" i="4"/>
  <c r="BJ233" i="4"/>
  <c r="BK233" i="4"/>
  <c r="BL233" i="4"/>
  <c r="BM233" i="4"/>
  <c r="BN233" i="4"/>
  <c r="BO233" i="4"/>
  <c r="BP233" i="4"/>
  <c r="BQ233" i="4"/>
  <c r="BR233" i="4"/>
  <c r="BS233" i="4"/>
  <c r="BT233" i="4"/>
  <c r="BU233" i="4"/>
  <c r="BV233" i="4"/>
  <c r="BW233" i="4"/>
  <c r="BX233" i="4"/>
  <c r="BY233" i="4"/>
  <c r="BZ233" i="4"/>
  <c r="CA233" i="4"/>
  <c r="CB233" i="4"/>
  <c r="CC233" i="4"/>
  <c r="CD233" i="4"/>
  <c r="CE233" i="4"/>
  <c r="CF233" i="4"/>
  <c r="CG233" i="4"/>
  <c r="CH233" i="4"/>
  <c r="CI233" i="4"/>
  <c r="CJ233" i="4"/>
  <c r="CK233" i="4"/>
  <c r="CL233" i="4"/>
  <c r="CM233" i="4"/>
  <c r="CN233" i="4"/>
  <c r="CO233" i="4"/>
  <c r="CP233" i="4"/>
  <c r="CQ233" i="4"/>
  <c r="CR233" i="4"/>
  <c r="CS233" i="4"/>
  <c r="CT233" i="4"/>
  <c r="CU233" i="4"/>
  <c r="CV233" i="4"/>
  <c r="CW233" i="4"/>
  <c r="CX233" i="4"/>
  <c r="CY233" i="4"/>
  <c r="CZ233" i="4"/>
  <c r="DA233" i="4"/>
  <c r="DB233" i="4"/>
  <c r="DC233" i="4"/>
  <c r="DD233" i="4"/>
  <c r="DE233" i="4"/>
  <c r="DF233" i="4"/>
  <c r="DG233" i="4"/>
  <c r="DH233" i="4"/>
  <c r="DI233" i="4"/>
  <c r="DJ233" i="4"/>
  <c r="DK233" i="4"/>
  <c r="DL233" i="4"/>
  <c r="DM233" i="4"/>
  <c r="DN233" i="4"/>
  <c r="DO233" i="4"/>
  <c r="DP233" i="4"/>
  <c r="DQ233" i="4"/>
  <c r="DR233" i="4"/>
  <c r="DS233" i="4"/>
  <c r="DT233" i="4"/>
  <c r="DU233" i="4"/>
  <c r="DV233" i="4"/>
  <c r="DW233" i="4"/>
  <c r="DX233" i="4"/>
  <c r="DY233" i="4"/>
  <c r="DZ233" i="4"/>
  <c r="EA233" i="4"/>
  <c r="EB233" i="4"/>
  <c r="EC233" i="4"/>
  <c r="ED233" i="4"/>
  <c r="EE233" i="4"/>
  <c r="EF233" i="4"/>
  <c r="EG233" i="4"/>
  <c r="EH233" i="4"/>
  <c r="EI233" i="4"/>
  <c r="EJ233" i="4"/>
  <c r="EK233" i="4"/>
  <c r="EL233" i="4"/>
  <c r="EM233" i="4"/>
  <c r="EN233" i="4"/>
  <c r="EO233" i="4"/>
  <c r="EP233" i="4"/>
  <c r="EQ233" i="4"/>
  <c r="ER233" i="4"/>
  <c r="ES233" i="4"/>
  <c r="ET233" i="4"/>
  <c r="EU233" i="4"/>
  <c r="EV233" i="4"/>
  <c r="EW233" i="4"/>
  <c r="EX233" i="4"/>
  <c r="EY233" i="4"/>
  <c r="EZ233" i="4"/>
  <c r="FA233" i="4"/>
  <c r="FB233" i="4"/>
  <c r="FC233" i="4"/>
  <c r="FD233" i="4"/>
  <c r="FE233" i="4"/>
  <c r="FF233" i="4"/>
  <c r="FG233" i="4"/>
  <c r="FH233" i="4"/>
  <c r="FI233" i="4"/>
  <c r="FJ233" i="4"/>
  <c r="FK233" i="4"/>
  <c r="FL233" i="4"/>
  <c r="FM233" i="4"/>
  <c r="FN233" i="4"/>
  <c r="FO233" i="4"/>
  <c r="FP233" i="4"/>
  <c r="FQ233" i="4"/>
  <c r="FR233" i="4"/>
  <c r="FS233" i="4"/>
  <c r="FT233" i="4"/>
  <c r="FU233" i="4"/>
  <c r="FV233" i="4"/>
  <c r="FW233" i="4"/>
  <c r="FX233" i="4"/>
  <c r="FY233" i="4"/>
  <c r="FZ233" i="4"/>
  <c r="GA233" i="4"/>
  <c r="GB233" i="4"/>
  <c r="GC233" i="4"/>
  <c r="GD233" i="4"/>
  <c r="GE233" i="4"/>
  <c r="GF233" i="4"/>
  <c r="GG233" i="4"/>
  <c r="GH233" i="4"/>
  <c r="GI233" i="4"/>
  <c r="GJ233" i="4"/>
  <c r="GK233" i="4"/>
  <c r="GL233" i="4"/>
  <c r="GM233" i="4"/>
  <c r="GN233" i="4"/>
  <c r="GO233" i="4"/>
  <c r="GP233" i="4"/>
  <c r="GQ233" i="4"/>
  <c r="GR233" i="4"/>
  <c r="GS233" i="4"/>
  <c r="GT233" i="4"/>
  <c r="GU233" i="4"/>
  <c r="GV233" i="4"/>
  <c r="GW233" i="4"/>
  <c r="GX233" i="4"/>
  <c r="GY233" i="4"/>
  <c r="GZ233" i="4"/>
  <c r="HA233" i="4"/>
  <c r="HB233" i="4"/>
  <c r="HC233" i="4"/>
  <c r="HD233" i="4"/>
  <c r="HE233" i="4"/>
  <c r="HF233" i="4"/>
  <c r="HG233" i="4"/>
  <c r="HH233" i="4"/>
  <c r="HI233" i="4"/>
  <c r="HJ233" i="4"/>
  <c r="HK233" i="4"/>
  <c r="HL233" i="4"/>
  <c r="HM233" i="4"/>
  <c r="HN233" i="4"/>
  <c r="HO233" i="4"/>
  <c r="HP233" i="4"/>
  <c r="HQ233" i="4"/>
  <c r="HR233" i="4"/>
  <c r="HS233" i="4"/>
  <c r="HT233" i="4"/>
  <c r="HU233" i="4"/>
  <c r="HV233" i="4"/>
  <c r="HW233" i="4"/>
  <c r="HX233" i="4"/>
  <c r="HY233" i="4"/>
  <c r="HZ233" i="4"/>
  <c r="IA233" i="4"/>
  <c r="IB233" i="4"/>
  <c r="IC233" i="4"/>
  <c r="ID233" i="4"/>
  <c r="IE233" i="4"/>
  <c r="IF233" i="4"/>
  <c r="IG233" i="4"/>
  <c r="IH233" i="4"/>
  <c r="II233" i="4"/>
  <c r="IJ233" i="4"/>
  <c r="IK233" i="4"/>
  <c r="IL233" i="4"/>
  <c r="IM233" i="4"/>
  <c r="IN233" i="4"/>
  <c r="IO233" i="4"/>
  <c r="IP233" i="4"/>
  <c r="IQ233" i="4"/>
  <c r="IR233" i="4"/>
  <c r="IS233" i="4"/>
  <c r="IT233" i="4"/>
  <c r="IU233" i="4"/>
  <c r="IV233" i="4"/>
  <c r="A232" i="4"/>
  <c r="B232" i="4"/>
  <c r="C232" i="4"/>
  <c r="D232" i="4"/>
  <c r="E232" i="4"/>
  <c r="F232" i="4"/>
  <c r="G232" i="4"/>
  <c r="H232" i="4"/>
  <c r="I232" i="4"/>
  <c r="J232" i="4"/>
  <c r="K232" i="4"/>
  <c r="L232" i="4"/>
  <c r="M232" i="4"/>
  <c r="N232" i="4"/>
  <c r="O232" i="4"/>
  <c r="P232" i="4"/>
  <c r="Q232" i="4"/>
  <c r="R232" i="4"/>
  <c r="S232" i="4"/>
  <c r="T232" i="4"/>
  <c r="U232" i="4"/>
  <c r="V232" i="4"/>
  <c r="W232" i="4"/>
  <c r="X232" i="4"/>
  <c r="Y232" i="4"/>
  <c r="Z232" i="4"/>
  <c r="AA232" i="4"/>
  <c r="AB232" i="4"/>
  <c r="AC232" i="4"/>
  <c r="AD232" i="4"/>
  <c r="AE232" i="4"/>
  <c r="AF232" i="4"/>
  <c r="AG232" i="4"/>
  <c r="AH232" i="4"/>
  <c r="AI232" i="4"/>
  <c r="AJ232" i="4"/>
  <c r="AK232" i="4"/>
  <c r="AL232" i="4"/>
  <c r="AM232" i="4"/>
  <c r="AN232" i="4"/>
  <c r="AO232" i="4"/>
  <c r="AP232" i="4"/>
  <c r="AQ232" i="4"/>
  <c r="AR232" i="4"/>
  <c r="AS232" i="4"/>
  <c r="AT232" i="4"/>
  <c r="AU232" i="4"/>
  <c r="AV232" i="4"/>
  <c r="AW232" i="4"/>
  <c r="AX232" i="4"/>
  <c r="AY232" i="4"/>
  <c r="AZ232" i="4"/>
  <c r="BA232" i="4"/>
  <c r="BB232" i="4"/>
  <c r="BC232" i="4"/>
  <c r="BD232" i="4"/>
  <c r="BE232" i="4"/>
  <c r="BF232" i="4"/>
  <c r="BG232" i="4"/>
  <c r="BH232" i="4"/>
  <c r="BI232" i="4"/>
  <c r="BJ232" i="4"/>
  <c r="BK232" i="4"/>
  <c r="BL232" i="4"/>
  <c r="BM232" i="4"/>
  <c r="BN232" i="4"/>
  <c r="BO232" i="4"/>
  <c r="BP232" i="4"/>
  <c r="BQ232" i="4"/>
  <c r="BR232" i="4"/>
  <c r="BS232" i="4"/>
  <c r="BT232" i="4"/>
  <c r="BU232" i="4"/>
  <c r="BV232" i="4"/>
  <c r="BW232" i="4"/>
  <c r="BX232" i="4"/>
  <c r="BY232" i="4"/>
  <c r="BZ232" i="4"/>
  <c r="CA232" i="4"/>
  <c r="CB232" i="4"/>
  <c r="CC232" i="4"/>
  <c r="CD232" i="4"/>
  <c r="CE232" i="4"/>
  <c r="CF232" i="4"/>
  <c r="CG232" i="4"/>
  <c r="CH232" i="4"/>
  <c r="CI232" i="4"/>
  <c r="CJ232" i="4"/>
  <c r="CK232" i="4"/>
  <c r="CL232" i="4"/>
  <c r="CM232" i="4"/>
  <c r="CN232" i="4"/>
  <c r="CO232" i="4"/>
  <c r="CP232" i="4"/>
  <c r="CQ232" i="4"/>
  <c r="CR232" i="4"/>
  <c r="CS232" i="4"/>
  <c r="CT232" i="4"/>
  <c r="CU232" i="4"/>
  <c r="CV232" i="4"/>
  <c r="CW232" i="4"/>
  <c r="CX232" i="4"/>
  <c r="CY232" i="4"/>
  <c r="CZ232" i="4"/>
  <c r="DA232" i="4"/>
  <c r="DB232" i="4"/>
  <c r="DC232" i="4"/>
  <c r="DD232" i="4"/>
  <c r="DE232" i="4"/>
  <c r="DF232" i="4"/>
  <c r="DG232" i="4"/>
  <c r="DH232" i="4"/>
  <c r="DI232" i="4"/>
  <c r="DJ232" i="4"/>
  <c r="DK232" i="4"/>
  <c r="DL232" i="4"/>
  <c r="DM232" i="4"/>
  <c r="DN232" i="4"/>
  <c r="DO232" i="4"/>
  <c r="DP232" i="4"/>
  <c r="DQ232" i="4"/>
  <c r="DR232" i="4"/>
  <c r="DS232" i="4"/>
  <c r="DT232" i="4"/>
  <c r="DU232" i="4"/>
  <c r="DV232" i="4"/>
  <c r="DW232" i="4"/>
  <c r="DX232" i="4"/>
  <c r="DY232" i="4"/>
  <c r="DZ232" i="4"/>
  <c r="EA232" i="4"/>
  <c r="EB232" i="4"/>
  <c r="EC232" i="4"/>
  <c r="ED232" i="4"/>
  <c r="EE232" i="4"/>
  <c r="EF232" i="4"/>
  <c r="EG232" i="4"/>
  <c r="EH232" i="4"/>
  <c r="EI232" i="4"/>
  <c r="EJ232" i="4"/>
  <c r="EK232" i="4"/>
  <c r="EL232" i="4"/>
  <c r="EM232" i="4"/>
  <c r="EN232" i="4"/>
  <c r="EO232" i="4"/>
  <c r="EP232" i="4"/>
  <c r="EQ232" i="4"/>
  <c r="ER232" i="4"/>
  <c r="ES232" i="4"/>
  <c r="ET232" i="4"/>
  <c r="EU232" i="4"/>
  <c r="EV232" i="4"/>
  <c r="EW232" i="4"/>
  <c r="EX232" i="4"/>
  <c r="EY232" i="4"/>
  <c r="EZ232" i="4"/>
  <c r="FA232" i="4"/>
  <c r="FB232" i="4"/>
  <c r="FC232" i="4"/>
  <c r="FD232" i="4"/>
  <c r="FE232" i="4"/>
  <c r="FF232" i="4"/>
  <c r="FG232" i="4"/>
  <c r="FH232" i="4"/>
  <c r="FI232" i="4"/>
  <c r="FJ232" i="4"/>
  <c r="FK232" i="4"/>
  <c r="FL232" i="4"/>
  <c r="FM232" i="4"/>
  <c r="FN232" i="4"/>
  <c r="FO232" i="4"/>
  <c r="FP232" i="4"/>
  <c r="FQ232" i="4"/>
  <c r="FR232" i="4"/>
  <c r="FS232" i="4"/>
  <c r="FT232" i="4"/>
  <c r="FU232" i="4"/>
  <c r="FV232" i="4"/>
  <c r="FW232" i="4"/>
  <c r="FX232" i="4"/>
  <c r="FY232" i="4"/>
  <c r="FZ232" i="4"/>
  <c r="GA232" i="4"/>
  <c r="GB232" i="4"/>
  <c r="GC232" i="4"/>
  <c r="GD232" i="4"/>
  <c r="GE232" i="4"/>
  <c r="GF232" i="4"/>
  <c r="GG232" i="4"/>
  <c r="GH232" i="4"/>
  <c r="GI232" i="4"/>
  <c r="GJ232" i="4"/>
  <c r="GK232" i="4"/>
  <c r="GL232" i="4"/>
  <c r="GM232" i="4"/>
  <c r="GN232" i="4"/>
  <c r="GO232" i="4"/>
  <c r="GP232" i="4"/>
  <c r="GQ232" i="4"/>
  <c r="GR232" i="4"/>
  <c r="GS232" i="4"/>
  <c r="GT232" i="4"/>
  <c r="GU232" i="4"/>
  <c r="GV232" i="4"/>
  <c r="GW232" i="4"/>
  <c r="GX232" i="4"/>
  <c r="GY232" i="4"/>
  <c r="GZ232" i="4"/>
  <c r="HA232" i="4"/>
  <c r="HB232" i="4"/>
  <c r="HC232" i="4"/>
  <c r="HD232" i="4"/>
  <c r="HE232" i="4"/>
  <c r="HF232" i="4"/>
  <c r="HG232" i="4"/>
  <c r="HH232" i="4"/>
  <c r="HI232" i="4"/>
  <c r="HJ232" i="4"/>
  <c r="HK232" i="4"/>
  <c r="HL232" i="4"/>
  <c r="HM232" i="4"/>
  <c r="HN232" i="4"/>
  <c r="HO232" i="4"/>
  <c r="HP232" i="4"/>
  <c r="HQ232" i="4"/>
  <c r="HR232" i="4"/>
  <c r="HS232" i="4"/>
  <c r="HT232" i="4"/>
  <c r="HU232" i="4"/>
  <c r="HV232" i="4"/>
  <c r="HW232" i="4"/>
  <c r="HX232" i="4"/>
  <c r="HY232" i="4"/>
  <c r="HZ232" i="4"/>
  <c r="IA232" i="4"/>
  <c r="IB232" i="4"/>
  <c r="IC232" i="4"/>
  <c r="ID232" i="4"/>
  <c r="IE232" i="4"/>
  <c r="IF232" i="4"/>
  <c r="IG232" i="4"/>
  <c r="IH232" i="4"/>
  <c r="II232" i="4"/>
  <c r="IJ232" i="4"/>
  <c r="IK232" i="4"/>
  <c r="IL232" i="4"/>
  <c r="IM232" i="4"/>
  <c r="IN232" i="4"/>
  <c r="IO232" i="4"/>
  <c r="IP232" i="4"/>
  <c r="IQ232" i="4"/>
  <c r="IR232" i="4"/>
  <c r="IS232" i="4"/>
  <c r="IT232" i="4"/>
  <c r="IU232" i="4"/>
  <c r="IV232" i="4"/>
  <c r="A231" i="4"/>
  <c r="B231" i="4"/>
  <c r="C231" i="4"/>
  <c r="D231" i="4"/>
  <c r="E231" i="4"/>
  <c r="F231" i="4"/>
  <c r="G231" i="4"/>
  <c r="H231" i="4"/>
  <c r="I231" i="4"/>
  <c r="J231" i="4"/>
  <c r="K231" i="4"/>
  <c r="L231" i="4"/>
  <c r="M231" i="4"/>
  <c r="O231" i="4"/>
  <c r="P231" i="4"/>
  <c r="Q231" i="4"/>
  <c r="R231" i="4"/>
  <c r="S231" i="4"/>
  <c r="T231" i="4"/>
  <c r="U231" i="4"/>
  <c r="V231" i="4"/>
  <c r="W231" i="4"/>
  <c r="X231" i="4"/>
  <c r="Y231" i="4"/>
  <c r="Z231" i="4"/>
  <c r="AA231" i="4"/>
  <c r="AB231" i="4"/>
  <c r="AC231" i="4"/>
  <c r="AD231" i="4"/>
  <c r="AE231" i="4"/>
  <c r="AF231" i="4"/>
  <c r="AG231" i="4"/>
  <c r="AH231" i="4"/>
  <c r="AI231" i="4"/>
  <c r="AJ231" i="4"/>
  <c r="AK231" i="4"/>
  <c r="AL231" i="4"/>
  <c r="AM231" i="4"/>
  <c r="AN231" i="4"/>
  <c r="AO231" i="4"/>
  <c r="AP231" i="4"/>
  <c r="AQ231" i="4"/>
  <c r="AR231" i="4"/>
  <c r="AS231" i="4"/>
  <c r="AT231" i="4"/>
  <c r="AU231" i="4"/>
  <c r="AV231" i="4"/>
  <c r="AW231" i="4"/>
  <c r="AX231" i="4"/>
  <c r="AY231" i="4"/>
  <c r="AZ231" i="4"/>
  <c r="BA231" i="4"/>
  <c r="BB231" i="4"/>
  <c r="BC231" i="4"/>
  <c r="BD231" i="4"/>
  <c r="BE231" i="4"/>
  <c r="BF231" i="4"/>
  <c r="BG231" i="4"/>
  <c r="BH231" i="4"/>
  <c r="BI231" i="4"/>
  <c r="BJ231" i="4"/>
  <c r="BK231" i="4"/>
  <c r="BL231" i="4"/>
  <c r="BM231" i="4"/>
  <c r="BN231" i="4"/>
  <c r="BO231" i="4"/>
  <c r="BP231" i="4"/>
  <c r="BQ231" i="4"/>
  <c r="BR231" i="4"/>
  <c r="BS231" i="4"/>
  <c r="BT231" i="4"/>
  <c r="BU231" i="4"/>
  <c r="BV231" i="4"/>
  <c r="BW231" i="4"/>
  <c r="BX231" i="4"/>
  <c r="BY231" i="4"/>
  <c r="BZ231" i="4"/>
  <c r="CA231" i="4"/>
  <c r="CB231" i="4"/>
  <c r="CC231" i="4"/>
  <c r="CD231" i="4"/>
  <c r="CE231" i="4"/>
  <c r="CF231" i="4"/>
  <c r="CG231" i="4"/>
  <c r="CH231" i="4"/>
  <c r="CI231" i="4"/>
  <c r="CJ231" i="4"/>
  <c r="CK231" i="4"/>
  <c r="CL231" i="4"/>
  <c r="CM231" i="4"/>
  <c r="CN231" i="4"/>
  <c r="CO231" i="4"/>
  <c r="CP231" i="4"/>
  <c r="CQ231" i="4"/>
  <c r="CR231" i="4"/>
  <c r="CS231" i="4"/>
  <c r="CT231" i="4"/>
  <c r="CU231" i="4"/>
  <c r="CV231" i="4"/>
  <c r="CW231" i="4"/>
  <c r="CX231" i="4"/>
  <c r="CY231" i="4"/>
  <c r="CZ231" i="4"/>
  <c r="DA231" i="4"/>
  <c r="DB231" i="4"/>
  <c r="DC231" i="4"/>
  <c r="DD231" i="4"/>
  <c r="DE231" i="4"/>
  <c r="DF231" i="4"/>
  <c r="DG231" i="4"/>
  <c r="DH231" i="4"/>
  <c r="DI231" i="4"/>
  <c r="DJ231" i="4"/>
  <c r="DK231" i="4"/>
  <c r="DL231" i="4"/>
  <c r="DM231" i="4"/>
  <c r="DN231" i="4"/>
  <c r="DO231" i="4"/>
  <c r="DP231" i="4"/>
  <c r="DQ231" i="4"/>
  <c r="DR231" i="4"/>
  <c r="DS231" i="4"/>
  <c r="DT231" i="4"/>
  <c r="DU231" i="4"/>
  <c r="DV231" i="4"/>
  <c r="DW231" i="4"/>
  <c r="DX231" i="4"/>
  <c r="DY231" i="4"/>
  <c r="DZ231" i="4"/>
  <c r="EA231" i="4"/>
  <c r="EB231" i="4"/>
  <c r="EC231" i="4"/>
  <c r="ED231" i="4"/>
  <c r="EE231" i="4"/>
  <c r="EF231" i="4"/>
  <c r="EG231" i="4"/>
  <c r="EH231" i="4"/>
  <c r="EI231" i="4"/>
  <c r="EJ231" i="4"/>
  <c r="EK231" i="4"/>
  <c r="EL231" i="4"/>
  <c r="EM231" i="4"/>
  <c r="EN231" i="4"/>
  <c r="EO231" i="4"/>
  <c r="EP231" i="4"/>
  <c r="EQ231" i="4"/>
  <c r="ER231" i="4"/>
  <c r="ES231" i="4"/>
  <c r="ET231" i="4"/>
  <c r="EU231" i="4"/>
  <c r="EV231" i="4"/>
  <c r="EW231" i="4"/>
  <c r="EX231" i="4"/>
  <c r="EY231" i="4"/>
  <c r="EZ231" i="4"/>
  <c r="FA231" i="4"/>
  <c r="FB231" i="4"/>
  <c r="FC231" i="4"/>
  <c r="FD231" i="4"/>
  <c r="FE231" i="4"/>
  <c r="FF231" i="4"/>
  <c r="FG231" i="4"/>
  <c r="FH231" i="4"/>
  <c r="FI231" i="4"/>
  <c r="FJ231" i="4"/>
  <c r="FK231" i="4"/>
  <c r="FL231" i="4"/>
  <c r="FM231" i="4"/>
  <c r="FN231" i="4"/>
  <c r="FO231" i="4"/>
  <c r="FP231" i="4"/>
  <c r="FQ231" i="4"/>
  <c r="FR231" i="4"/>
  <c r="FS231" i="4"/>
  <c r="FT231" i="4"/>
  <c r="FU231" i="4"/>
  <c r="FV231" i="4"/>
  <c r="FW231" i="4"/>
  <c r="FX231" i="4"/>
  <c r="FY231" i="4"/>
  <c r="FZ231" i="4"/>
  <c r="GA231" i="4"/>
  <c r="GB231" i="4"/>
  <c r="GC231" i="4"/>
  <c r="GD231" i="4"/>
  <c r="GE231" i="4"/>
  <c r="GF231" i="4"/>
  <c r="GG231" i="4"/>
  <c r="GH231" i="4"/>
  <c r="GI231" i="4"/>
  <c r="GJ231" i="4"/>
  <c r="GK231" i="4"/>
  <c r="GL231" i="4"/>
  <c r="GM231" i="4"/>
  <c r="GN231" i="4"/>
  <c r="GO231" i="4"/>
  <c r="GP231" i="4"/>
  <c r="GQ231" i="4"/>
  <c r="GR231" i="4"/>
  <c r="GS231" i="4"/>
  <c r="GT231" i="4"/>
  <c r="GU231" i="4"/>
  <c r="GV231" i="4"/>
  <c r="GW231" i="4"/>
  <c r="GX231" i="4"/>
  <c r="GY231" i="4"/>
  <c r="GZ231" i="4"/>
  <c r="HA231" i="4"/>
  <c r="HB231" i="4"/>
  <c r="HC231" i="4"/>
  <c r="HD231" i="4"/>
  <c r="HE231" i="4"/>
  <c r="HF231" i="4"/>
  <c r="HG231" i="4"/>
  <c r="HH231" i="4"/>
  <c r="HI231" i="4"/>
  <c r="HJ231" i="4"/>
  <c r="HK231" i="4"/>
  <c r="HL231" i="4"/>
  <c r="HM231" i="4"/>
  <c r="HN231" i="4"/>
  <c r="HO231" i="4"/>
  <c r="HP231" i="4"/>
  <c r="HQ231" i="4"/>
  <c r="HR231" i="4"/>
  <c r="HS231" i="4"/>
  <c r="HT231" i="4"/>
  <c r="HU231" i="4"/>
  <c r="HV231" i="4"/>
  <c r="HW231" i="4"/>
  <c r="HX231" i="4"/>
  <c r="HY231" i="4"/>
  <c r="HZ231" i="4"/>
  <c r="IA231" i="4"/>
  <c r="IB231" i="4"/>
  <c r="IC231" i="4"/>
  <c r="ID231" i="4"/>
  <c r="IE231" i="4"/>
  <c r="IF231" i="4"/>
  <c r="IG231" i="4"/>
  <c r="IH231" i="4"/>
  <c r="II231" i="4"/>
  <c r="IJ231" i="4"/>
  <c r="IK231" i="4"/>
  <c r="IL231" i="4"/>
  <c r="IM231" i="4"/>
  <c r="IN231" i="4"/>
  <c r="IO231" i="4"/>
  <c r="IP231" i="4"/>
  <c r="IQ231" i="4"/>
  <c r="IR231" i="4"/>
  <c r="IS231" i="4"/>
  <c r="IT231" i="4"/>
  <c r="IU231" i="4"/>
  <c r="IV231" i="4"/>
  <c r="A230" i="4"/>
  <c r="B230" i="4"/>
  <c r="C230" i="4"/>
  <c r="D230" i="4"/>
  <c r="E230" i="4"/>
  <c r="F230" i="4"/>
  <c r="G230" i="4"/>
  <c r="H230" i="4"/>
  <c r="I230" i="4"/>
  <c r="J230" i="4"/>
  <c r="K230" i="4"/>
  <c r="L230" i="4"/>
  <c r="M230" i="4"/>
  <c r="N230" i="4"/>
  <c r="P230" i="4"/>
  <c r="Q230" i="4"/>
  <c r="R230" i="4"/>
  <c r="S230" i="4"/>
  <c r="T230" i="4"/>
  <c r="U230" i="4"/>
  <c r="V230" i="4"/>
  <c r="W230" i="4"/>
  <c r="X230" i="4"/>
  <c r="Y230" i="4"/>
  <c r="Z230" i="4"/>
  <c r="AA230" i="4"/>
  <c r="AB230" i="4"/>
  <c r="AC230" i="4"/>
  <c r="AD230" i="4"/>
  <c r="AE230" i="4"/>
  <c r="AF230" i="4"/>
  <c r="AG230" i="4"/>
  <c r="AH230" i="4"/>
  <c r="AI230" i="4"/>
  <c r="AJ230" i="4"/>
  <c r="AK230" i="4"/>
  <c r="AL230" i="4"/>
  <c r="AM230" i="4"/>
  <c r="AN230" i="4"/>
  <c r="AO230" i="4"/>
  <c r="AP230" i="4"/>
  <c r="AQ230" i="4"/>
  <c r="AR230" i="4"/>
  <c r="AS230" i="4"/>
  <c r="AT230" i="4"/>
  <c r="AU230" i="4"/>
  <c r="AV230" i="4"/>
  <c r="AW230" i="4"/>
  <c r="AX230" i="4"/>
  <c r="AY230" i="4"/>
  <c r="AZ230" i="4"/>
  <c r="BA230" i="4"/>
  <c r="BB230" i="4"/>
  <c r="BC230" i="4"/>
  <c r="BD230" i="4"/>
  <c r="BE230" i="4"/>
  <c r="BF230" i="4"/>
  <c r="BG230" i="4"/>
  <c r="BH230" i="4"/>
  <c r="BI230" i="4"/>
  <c r="BJ230" i="4"/>
  <c r="BK230" i="4"/>
  <c r="BL230" i="4"/>
  <c r="BM230" i="4"/>
  <c r="BN230" i="4"/>
  <c r="BO230" i="4"/>
  <c r="BP230" i="4"/>
  <c r="BQ230" i="4"/>
  <c r="BR230" i="4"/>
  <c r="BS230" i="4"/>
  <c r="BT230" i="4"/>
  <c r="BU230" i="4"/>
  <c r="BV230" i="4"/>
  <c r="BW230" i="4"/>
  <c r="BX230" i="4"/>
  <c r="BY230" i="4"/>
  <c r="BZ230" i="4"/>
  <c r="CA230" i="4"/>
  <c r="CB230" i="4"/>
  <c r="CC230" i="4"/>
  <c r="CD230" i="4"/>
  <c r="CE230" i="4"/>
  <c r="CF230" i="4"/>
  <c r="CG230" i="4"/>
  <c r="CH230" i="4"/>
  <c r="CI230" i="4"/>
  <c r="CJ230" i="4"/>
  <c r="CK230" i="4"/>
  <c r="CL230" i="4"/>
  <c r="CM230" i="4"/>
  <c r="CN230" i="4"/>
  <c r="CO230" i="4"/>
  <c r="CP230" i="4"/>
  <c r="CQ230" i="4"/>
  <c r="CR230" i="4"/>
  <c r="CS230" i="4"/>
  <c r="CT230" i="4"/>
  <c r="CU230" i="4"/>
  <c r="CV230" i="4"/>
  <c r="CW230" i="4"/>
  <c r="CX230" i="4"/>
  <c r="CY230" i="4"/>
  <c r="CZ230" i="4"/>
  <c r="DA230" i="4"/>
  <c r="DB230" i="4"/>
  <c r="DC230" i="4"/>
  <c r="DD230" i="4"/>
  <c r="DE230" i="4"/>
  <c r="DF230" i="4"/>
  <c r="DG230" i="4"/>
  <c r="DH230" i="4"/>
  <c r="DI230" i="4"/>
  <c r="DJ230" i="4"/>
  <c r="DK230" i="4"/>
  <c r="DL230" i="4"/>
  <c r="DM230" i="4"/>
  <c r="DN230" i="4"/>
  <c r="DO230" i="4"/>
  <c r="DP230" i="4"/>
  <c r="DQ230" i="4"/>
  <c r="DR230" i="4"/>
  <c r="DS230" i="4"/>
  <c r="DT230" i="4"/>
  <c r="DU230" i="4"/>
  <c r="DV230" i="4"/>
  <c r="DW230" i="4"/>
  <c r="DX230" i="4"/>
  <c r="DY230" i="4"/>
  <c r="DZ230" i="4"/>
  <c r="EA230" i="4"/>
  <c r="EB230" i="4"/>
  <c r="EC230" i="4"/>
  <c r="ED230" i="4"/>
  <c r="EE230" i="4"/>
  <c r="EF230" i="4"/>
  <c r="EG230" i="4"/>
  <c r="EH230" i="4"/>
  <c r="EI230" i="4"/>
  <c r="EJ230" i="4"/>
  <c r="EK230" i="4"/>
  <c r="EL230" i="4"/>
  <c r="EM230" i="4"/>
  <c r="EN230" i="4"/>
  <c r="EO230" i="4"/>
  <c r="EP230" i="4"/>
  <c r="EQ230" i="4"/>
  <c r="ER230" i="4"/>
  <c r="ES230" i="4"/>
  <c r="ET230" i="4"/>
  <c r="EU230" i="4"/>
  <c r="EV230" i="4"/>
  <c r="EW230" i="4"/>
  <c r="EX230" i="4"/>
  <c r="EY230" i="4"/>
  <c r="EZ230" i="4"/>
  <c r="FA230" i="4"/>
  <c r="FB230" i="4"/>
  <c r="FC230" i="4"/>
  <c r="FD230" i="4"/>
  <c r="FE230" i="4"/>
  <c r="FF230" i="4"/>
  <c r="FG230" i="4"/>
  <c r="FH230" i="4"/>
  <c r="FI230" i="4"/>
  <c r="FJ230" i="4"/>
  <c r="FK230" i="4"/>
  <c r="FL230" i="4"/>
  <c r="FM230" i="4"/>
  <c r="FN230" i="4"/>
  <c r="FO230" i="4"/>
  <c r="FP230" i="4"/>
  <c r="FQ230" i="4"/>
  <c r="FR230" i="4"/>
  <c r="FS230" i="4"/>
  <c r="FT230" i="4"/>
  <c r="FU230" i="4"/>
  <c r="FV230" i="4"/>
  <c r="FW230" i="4"/>
  <c r="FX230" i="4"/>
  <c r="FY230" i="4"/>
  <c r="FZ230" i="4"/>
  <c r="GA230" i="4"/>
  <c r="GB230" i="4"/>
  <c r="GC230" i="4"/>
  <c r="GD230" i="4"/>
  <c r="GE230" i="4"/>
  <c r="GF230" i="4"/>
  <c r="GG230" i="4"/>
  <c r="GH230" i="4"/>
  <c r="GI230" i="4"/>
  <c r="GJ230" i="4"/>
  <c r="GK230" i="4"/>
  <c r="GL230" i="4"/>
  <c r="GM230" i="4"/>
  <c r="GN230" i="4"/>
  <c r="GO230" i="4"/>
  <c r="GP230" i="4"/>
  <c r="GQ230" i="4"/>
  <c r="GR230" i="4"/>
  <c r="GS230" i="4"/>
  <c r="GT230" i="4"/>
  <c r="GU230" i="4"/>
  <c r="GV230" i="4"/>
  <c r="GW230" i="4"/>
  <c r="GX230" i="4"/>
  <c r="GY230" i="4"/>
  <c r="GZ230" i="4"/>
  <c r="HA230" i="4"/>
  <c r="HB230" i="4"/>
  <c r="HC230" i="4"/>
  <c r="HD230" i="4"/>
  <c r="HE230" i="4"/>
  <c r="HF230" i="4"/>
  <c r="HG230" i="4"/>
  <c r="HH230" i="4"/>
  <c r="HI230" i="4"/>
  <c r="HJ230" i="4"/>
  <c r="HK230" i="4"/>
  <c r="HL230" i="4"/>
  <c r="HM230" i="4"/>
  <c r="HN230" i="4"/>
  <c r="HO230" i="4"/>
  <c r="HP230" i="4"/>
  <c r="HQ230" i="4"/>
  <c r="HR230" i="4"/>
  <c r="HS230" i="4"/>
  <c r="HT230" i="4"/>
  <c r="HU230" i="4"/>
  <c r="HV230" i="4"/>
  <c r="HW230" i="4"/>
  <c r="HX230" i="4"/>
  <c r="HY230" i="4"/>
  <c r="HZ230" i="4"/>
  <c r="IA230" i="4"/>
  <c r="IB230" i="4"/>
  <c r="IC230" i="4"/>
  <c r="ID230" i="4"/>
  <c r="IE230" i="4"/>
  <c r="IF230" i="4"/>
  <c r="IG230" i="4"/>
  <c r="IH230" i="4"/>
  <c r="II230" i="4"/>
  <c r="IJ230" i="4"/>
  <c r="IK230" i="4"/>
  <c r="IL230" i="4"/>
  <c r="IM230" i="4"/>
  <c r="IN230" i="4"/>
  <c r="IO230" i="4"/>
  <c r="IP230" i="4"/>
  <c r="IQ230" i="4"/>
  <c r="IR230" i="4"/>
  <c r="IS230" i="4"/>
  <c r="IT230" i="4"/>
  <c r="IU230" i="4"/>
  <c r="IV230" i="4"/>
  <c r="A229" i="4"/>
  <c r="B229" i="4"/>
  <c r="C229" i="4"/>
  <c r="D229" i="4"/>
  <c r="E229" i="4"/>
  <c r="F229" i="4"/>
  <c r="G229" i="4"/>
  <c r="H229" i="4"/>
  <c r="I229" i="4"/>
  <c r="J229" i="4"/>
  <c r="K229" i="4"/>
  <c r="L229" i="4"/>
  <c r="M229" i="4"/>
  <c r="N229" i="4"/>
  <c r="O229" i="4"/>
  <c r="Q229" i="4"/>
  <c r="R229" i="4"/>
  <c r="S229" i="4"/>
  <c r="T229" i="4"/>
  <c r="U229" i="4"/>
  <c r="V229" i="4"/>
  <c r="W229" i="4"/>
  <c r="X229" i="4"/>
  <c r="Y229" i="4"/>
  <c r="Z229" i="4"/>
  <c r="AA229" i="4"/>
  <c r="AB229" i="4"/>
  <c r="AC229" i="4"/>
  <c r="AD229" i="4"/>
  <c r="AE229" i="4"/>
  <c r="AF229" i="4"/>
  <c r="AG229" i="4"/>
  <c r="AH229" i="4"/>
  <c r="AI229" i="4"/>
  <c r="AJ229" i="4"/>
  <c r="AK229" i="4"/>
  <c r="AL229" i="4"/>
  <c r="AM229" i="4"/>
  <c r="AN229" i="4"/>
  <c r="AO229" i="4"/>
  <c r="AP229" i="4"/>
  <c r="AQ229" i="4"/>
  <c r="AR229" i="4"/>
  <c r="AS229" i="4"/>
  <c r="AT229" i="4"/>
  <c r="AU229" i="4"/>
  <c r="AV229" i="4"/>
  <c r="AW229" i="4"/>
  <c r="AX229" i="4"/>
  <c r="AY229" i="4"/>
  <c r="AZ229" i="4"/>
  <c r="BA229" i="4"/>
  <c r="BB229" i="4"/>
  <c r="BC229" i="4"/>
  <c r="BD229" i="4"/>
  <c r="BE229" i="4"/>
  <c r="BF229" i="4"/>
  <c r="BG229" i="4"/>
  <c r="BH229" i="4"/>
  <c r="BI229" i="4"/>
  <c r="BJ229" i="4"/>
  <c r="BK229" i="4"/>
  <c r="BL229" i="4"/>
  <c r="BM229" i="4"/>
  <c r="BN229" i="4"/>
  <c r="BO229" i="4"/>
  <c r="BP229" i="4"/>
  <c r="BQ229" i="4"/>
  <c r="BR229" i="4"/>
  <c r="BS229" i="4"/>
  <c r="BT229" i="4"/>
  <c r="BU229" i="4"/>
  <c r="BV229" i="4"/>
  <c r="BW229" i="4"/>
  <c r="BX229" i="4"/>
  <c r="BY229" i="4"/>
  <c r="BZ229" i="4"/>
  <c r="CA229" i="4"/>
  <c r="CB229" i="4"/>
  <c r="CC229" i="4"/>
  <c r="CD229" i="4"/>
  <c r="CE229" i="4"/>
  <c r="CF229" i="4"/>
  <c r="CG229" i="4"/>
  <c r="CH229" i="4"/>
  <c r="CI229" i="4"/>
  <c r="CJ229" i="4"/>
  <c r="CK229" i="4"/>
  <c r="CL229" i="4"/>
  <c r="CM229" i="4"/>
  <c r="CN229" i="4"/>
  <c r="CO229" i="4"/>
  <c r="CP229" i="4"/>
  <c r="CQ229" i="4"/>
  <c r="CR229" i="4"/>
  <c r="CS229" i="4"/>
  <c r="CT229" i="4"/>
  <c r="CU229" i="4"/>
  <c r="CV229" i="4"/>
  <c r="CW229" i="4"/>
  <c r="CX229" i="4"/>
  <c r="CY229" i="4"/>
  <c r="CZ229" i="4"/>
  <c r="DA229" i="4"/>
  <c r="DB229" i="4"/>
  <c r="DC229" i="4"/>
  <c r="DD229" i="4"/>
  <c r="DE229" i="4"/>
  <c r="DF229" i="4"/>
  <c r="DG229" i="4"/>
  <c r="DH229" i="4"/>
  <c r="DI229" i="4"/>
  <c r="DJ229" i="4"/>
  <c r="DK229" i="4"/>
  <c r="DL229" i="4"/>
  <c r="DM229" i="4"/>
  <c r="DN229" i="4"/>
  <c r="DO229" i="4"/>
  <c r="DP229" i="4"/>
  <c r="DQ229" i="4"/>
  <c r="DR229" i="4"/>
  <c r="DS229" i="4"/>
  <c r="DT229" i="4"/>
  <c r="DU229" i="4"/>
  <c r="DV229" i="4"/>
  <c r="DW229" i="4"/>
  <c r="DX229" i="4"/>
  <c r="DY229" i="4"/>
  <c r="DZ229" i="4"/>
  <c r="EA229" i="4"/>
  <c r="EB229" i="4"/>
  <c r="EC229" i="4"/>
  <c r="ED229" i="4"/>
  <c r="EE229" i="4"/>
  <c r="EF229" i="4"/>
  <c r="EG229" i="4"/>
  <c r="EH229" i="4"/>
  <c r="EI229" i="4"/>
  <c r="EJ229" i="4"/>
  <c r="EK229" i="4"/>
  <c r="EL229" i="4"/>
  <c r="EM229" i="4"/>
  <c r="EN229" i="4"/>
  <c r="EO229" i="4"/>
  <c r="EP229" i="4"/>
  <c r="EQ229" i="4"/>
  <c r="ER229" i="4"/>
  <c r="ES229" i="4"/>
  <c r="ET229" i="4"/>
  <c r="EU229" i="4"/>
  <c r="EV229" i="4"/>
  <c r="EW229" i="4"/>
  <c r="EX229" i="4"/>
  <c r="EY229" i="4"/>
  <c r="EZ229" i="4"/>
  <c r="FA229" i="4"/>
  <c r="FB229" i="4"/>
  <c r="FC229" i="4"/>
  <c r="FD229" i="4"/>
  <c r="FE229" i="4"/>
  <c r="FF229" i="4"/>
  <c r="FG229" i="4"/>
  <c r="FH229" i="4"/>
  <c r="FI229" i="4"/>
  <c r="FJ229" i="4"/>
  <c r="FK229" i="4"/>
  <c r="FL229" i="4"/>
  <c r="FM229" i="4"/>
  <c r="FN229" i="4"/>
  <c r="FO229" i="4"/>
  <c r="FP229" i="4"/>
  <c r="FQ229" i="4"/>
  <c r="FR229" i="4"/>
  <c r="FS229" i="4"/>
  <c r="FT229" i="4"/>
  <c r="FU229" i="4"/>
  <c r="FV229" i="4"/>
  <c r="FW229" i="4"/>
  <c r="FX229" i="4"/>
  <c r="FY229" i="4"/>
  <c r="FZ229" i="4"/>
  <c r="GA229" i="4"/>
  <c r="GB229" i="4"/>
  <c r="GC229" i="4"/>
  <c r="GD229" i="4"/>
  <c r="GE229" i="4"/>
  <c r="GF229" i="4"/>
  <c r="GG229" i="4"/>
  <c r="GH229" i="4"/>
  <c r="GI229" i="4"/>
  <c r="GJ229" i="4"/>
  <c r="GK229" i="4"/>
  <c r="GL229" i="4"/>
  <c r="GM229" i="4"/>
  <c r="GN229" i="4"/>
  <c r="GO229" i="4"/>
  <c r="GP229" i="4"/>
  <c r="GQ229" i="4"/>
  <c r="GR229" i="4"/>
  <c r="GS229" i="4"/>
  <c r="GT229" i="4"/>
  <c r="GU229" i="4"/>
  <c r="GV229" i="4"/>
  <c r="GW229" i="4"/>
  <c r="GX229" i="4"/>
  <c r="GY229" i="4"/>
  <c r="GZ229" i="4"/>
  <c r="HA229" i="4"/>
  <c r="HB229" i="4"/>
  <c r="HC229" i="4"/>
  <c r="HD229" i="4"/>
  <c r="HE229" i="4"/>
  <c r="HF229" i="4"/>
  <c r="HG229" i="4"/>
  <c r="HH229" i="4"/>
  <c r="HI229" i="4"/>
  <c r="HJ229" i="4"/>
  <c r="HK229" i="4"/>
  <c r="HL229" i="4"/>
  <c r="HM229" i="4"/>
  <c r="HN229" i="4"/>
  <c r="HO229" i="4"/>
  <c r="HP229" i="4"/>
  <c r="HQ229" i="4"/>
  <c r="HR229" i="4"/>
  <c r="HS229" i="4"/>
  <c r="HT229" i="4"/>
  <c r="HU229" i="4"/>
  <c r="HV229" i="4"/>
  <c r="HW229" i="4"/>
  <c r="HX229" i="4"/>
  <c r="HY229" i="4"/>
  <c r="HZ229" i="4"/>
  <c r="IA229" i="4"/>
  <c r="IB229" i="4"/>
  <c r="IC229" i="4"/>
  <c r="ID229" i="4"/>
  <c r="IE229" i="4"/>
  <c r="IF229" i="4"/>
  <c r="IG229" i="4"/>
  <c r="IH229" i="4"/>
  <c r="II229" i="4"/>
  <c r="IJ229" i="4"/>
  <c r="IK229" i="4"/>
  <c r="IL229" i="4"/>
  <c r="IM229" i="4"/>
  <c r="IN229" i="4"/>
  <c r="IO229" i="4"/>
  <c r="IP229" i="4"/>
  <c r="IQ229" i="4"/>
  <c r="IR229" i="4"/>
  <c r="IS229" i="4"/>
  <c r="IT229" i="4"/>
  <c r="IU229" i="4"/>
  <c r="IV229" i="4"/>
  <c r="A228" i="4"/>
  <c r="B228" i="4"/>
  <c r="C228" i="4"/>
  <c r="D228" i="4"/>
  <c r="E228" i="4"/>
  <c r="F228" i="4"/>
  <c r="G228" i="4"/>
  <c r="H228" i="4"/>
  <c r="I228" i="4"/>
  <c r="J228" i="4"/>
  <c r="K228" i="4"/>
  <c r="L228" i="4"/>
  <c r="M228" i="4"/>
  <c r="N228" i="4"/>
  <c r="O228" i="4"/>
  <c r="P228" i="4"/>
  <c r="R228" i="4"/>
  <c r="S228" i="4"/>
  <c r="T228" i="4"/>
  <c r="U228" i="4"/>
  <c r="V228" i="4"/>
  <c r="W228" i="4"/>
  <c r="X228" i="4"/>
  <c r="Y228" i="4"/>
  <c r="Z228" i="4"/>
  <c r="AA228" i="4"/>
  <c r="AB228" i="4"/>
  <c r="AC228" i="4"/>
  <c r="AD228" i="4"/>
  <c r="AE228" i="4"/>
  <c r="AF228" i="4"/>
  <c r="AG228" i="4"/>
  <c r="AH228" i="4"/>
  <c r="AI228" i="4"/>
  <c r="AJ228" i="4"/>
  <c r="AK228" i="4"/>
  <c r="AL228" i="4"/>
  <c r="AM228" i="4"/>
  <c r="AN228" i="4"/>
  <c r="AO228" i="4"/>
  <c r="AP228" i="4"/>
  <c r="AQ228" i="4"/>
  <c r="AR228" i="4"/>
  <c r="AS228" i="4"/>
  <c r="AT228" i="4"/>
  <c r="AU228" i="4"/>
  <c r="AV228" i="4"/>
  <c r="AW228" i="4"/>
  <c r="AX228" i="4"/>
  <c r="AY228" i="4"/>
  <c r="AZ228" i="4"/>
  <c r="BA228" i="4"/>
  <c r="BB228" i="4"/>
  <c r="BC228" i="4"/>
  <c r="BD228" i="4"/>
  <c r="BE228" i="4"/>
  <c r="BF228" i="4"/>
  <c r="BG228" i="4"/>
  <c r="BH228" i="4"/>
  <c r="BI228" i="4"/>
  <c r="BJ228" i="4"/>
  <c r="BK228" i="4"/>
  <c r="BL228" i="4"/>
  <c r="BM228" i="4"/>
  <c r="BN228" i="4"/>
  <c r="BO228" i="4"/>
  <c r="BP228" i="4"/>
  <c r="BQ228" i="4"/>
  <c r="BR228" i="4"/>
  <c r="BS228" i="4"/>
  <c r="BT228" i="4"/>
  <c r="BU228" i="4"/>
  <c r="BV228" i="4"/>
  <c r="BW228" i="4"/>
  <c r="BX228" i="4"/>
  <c r="BY228" i="4"/>
  <c r="BZ228" i="4"/>
  <c r="CA228" i="4"/>
  <c r="CB228" i="4"/>
  <c r="CC228" i="4"/>
  <c r="CD228" i="4"/>
  <c r="CE228" i="4"/>
  <c r="CF228" i="4"/>
  <c r="CG228" i="4"/>
  <c r="CH228" i="4"/>
  <c r="CI228" i="4"/>
  <c r="CJ228" i="4"/>
  <c r="CK228" i="4"/>
  <c r="CL228" i="4"/>
  <c r="CM228" i="4"/>
  <c r="CN228" i="4"/>
  <c r="CO228" i="4"/>
  <c r="CP228" i="4"/>
  <c r="CQ228" i="4"/>
  <c r="CR228" i="4"/>
  <c r="CS228" i="4"/>
  <c r="CT228" i="4"/>
  <c r="CU228" i="4"/>
  <c r="CV228" i="4"/>
  <c r="CW228" i="4"/>
  <c r="CX228" i="4"/>
  <c r="CY228" i="4"/>
  <c r="CZ228" i="4"/>
  <c r="DA228" i="4"/>
  <c r="DB228" i="4"/>
  <c r="DC228" i="4"/>
  <c r="DD228" i="4"/>
  <c r="DE228" i="4"/>
  <c r="DF228" i="4"/>
  <c r="DG228" i="4"/>
  <c r="DH228" i="4"/>
  <c r="DI228" i="4"/>
  <c r="DJ228" i="4"/>
  <c r="DK228" i="4"/>
  <c r="DL228" i="4"/>
  <c r="DM228" i="4"/>
  <c r="DN228" i="4"/>
  <c r="DO228" i="4"/>
  <c r="DP228" i="4"/>
  <c r="DQ228" i="4"/>
  <c r="DR228" i="4"/>
  <c r="DS228" i="4"/>
  <c r="DT228" i="4"/>
  <c r="DU228" i="4"/>
  <c r="DV228" i="4"/>
  <c r="DW228" i="4"/>
  <c r="DX228" i="4"/>
  <c r="DY228" i="4"/>
  <c r="DZ228" i="4"/>
  <c r="EA228" i="4"/>
  <c r="EB228" i="4"/>
  <c r="EC228" i="4"/>
  <c r="ED228" i="4"/>
  <c r="EE228" i="4"/>
  <c r="EF228" i="4"/>
  <c r="EG228" i="4"/>
  <c r="EH228" i="4"/>
  <c r="EI228" i="4"/>
  <c r="EJ228" i="4"/>
  <c r="EK228" i="4"/>
  <c r="EL228" i="4"/>
  <c r="EM228" i="4"/>
  <c r="EN228" i="4"/>
  <c r="EO228" i="4"/>
  <c r="EP228" i="4"/>
  <c r="EQ228" i="4"/>
  <c r="ER228" i="4"/>
  <c r="ES228" i="4"/>
  <c r="ET228" i="4"/>
  <c r="EU228" i="4"/>
  <c r="EV228" i="4"/>
  <c r="EW228" i="4"/>
  <c r="EX228" i="4"/>
  <c r="EY228" i="4"/>
  <c r="EZ228" i="4"/>
  <c r="FA228" i="4"/>
  <c r="FB228" i="4"/>
  <c r="FC228" i="4"/>
  <c r="FD228" i="4"/>
  <c r="FE228" i="4"/>
  <c r="FF228" i="4"/>
  <c r="FG228" i="4"/>
  <c r="FH228" i="4"/>
  <c r="FI228" i="4"/>
  <c r="FJ228" i="4"/>
  <c r="FK228" i="4"/>
  <c r="FL228" i="4"/>
  <c r="FM228" i="4"/>
  <c r="FN228" i="4"/>
  <c r="FO228" i="4"/>
  <c r="FP228" i="4"/>
  <c r="FQ228" i="4"/>
  <c r="FR228" i="4"/>
  <c r="FS228" i="4"/>
  <c r="FT228" i="4"/>
  <c r="FU228" i="4"/>
  <c r="FV228" i="4"/>
  <c r="FW228" i="4"/>
  <c r="FX228" i="4"/>
  <c r="FY228" i="4"/>
  <c r="FZ228" i="4"/>
  <c r="GA228" i="4"/>
  <c r="GB228" i="4"/>
  <c r="GC228" i="4"/>
  <c r="GD228" i="4"/>
  <c r="GE228" i="4"/>
  <c r="GF228" i="4"/>
  <c r="GG228" i="4"/>
  <c r="GH228" i="4"/>
  <c r="GI228" i="4"/>
  <c r="GJ228" i="4"/>
  <c r="GK228" i="4"/>
  <c r="GL228" i="4"/>
  <c r="GM228" i="4"/>
  <c r="GN228" i="4"/>
  <c r="GO228" i="4"/>
  <c r="GP228" i="4"/>
  <c r="GQ228" i="4"/>
  <c r="GR228" i="4"/>
  <c r="GS228" i="4"/>
  <c r="GT228" i="4"/>
  <c r="GU228" i="4"/>
  <c r="GV228" i="4"/>
  <c r="GW228" i="4"/>
  <c r="GX228" i="4"/>
  <c r="GY228" i="4"/>
  <c r="GZ228" i="4"/>
  <c r="HA228" i="4"/>
  <c r="HB228" i="4"/>
  <c r="HC228" i="4"/>
  <c r="HD228" i="4"/>
  <c r="HE228" i="4"/>
  <c r="HF228" i="4"/>
  <c r="HG228" i="4"/>
  <c r="HH228" i="4"/>
  <c r="HI228" i="4"/>
  <c r="HJ228" i="4"/>
  <c r="HK228" i="4"/>
  <c r="HL228" i="4"/>
  <c r="HM228" i="4"/>
  <c r="HN228" i="4"/>
  <c r="HO228" i="4"/>
  <c r="HP228" i="4"/>
  <c r="HQ228" i="4"/>
  <c r="HR228" i="4"/>
  <c r="HS228" i="4"/>
  <c r="HT228" i="4"/>
  <c r="HU228" i="4"/>
  <c r="HV228" i="4"/>
  <c r="HW228" i="4"/>
  <c r="HX228" i="4"/>
  <c r="HY228" i="4"/>
  <c r="HZ228" i="4"/>
  <c r="IA228" i="4"/>
  <c r="IB228" i="4"/>
  <c r="IC228" i="4"/>
  <c r="ID228" i="4"/>
  <c r="IE228" i="4"/>
  <c r="IF228" i="4"/>
  <c r="IG228" i="4"/>
  <c r="IH228" i="4"/>
  <c r="II228" i="4"/>
  <c r="IJ228" i="4"/>
  <c r="IK228" i="4"/>
  <c r="IL228" i="4"/>
  <c r="IM228" i="4"/>
  <c r="IN228" i="4"/>
  <c r="IO228" i="4"/>
  <c r="IP228" i="4"/>
  <c r="IQ228" i="4"/>
  <c r="IR228" i="4"/>
  <c r="IS228" i="4"/>
  <c r="IT228" i="4"/>
  <c r="IU228" i="4"/>
  <c r="IV228" i="4"/>
  <c r="A227" i="4"/>
  <c r="B227" i="4"/>
  <c r="C227" i="4"/>
  <c r="D227" i="4"/>
  <c r="E227" i="4"/>
  <c r="F227" i="4"/>
  <c r="G227" i="4"/>
  <c r="H227" i="4"/>
  <c r="I227" i="4"/>
  <c r="J227" i="4"/>
  <c r="K227" i="4"/>
  <c r="L227" i="4"/>
  <c r="M227" i="4"/>
  <c r="N227" i="4"/>
  <c r="O227" i="4"/>
  <c r="P227" i="4"/>
  <c r="Q227" i="4"/>
  <c r="R227" i="4"/>
  <c r="S227" i="4"/>
  <c r="T227" i="4"/>
  <c r="U227" i="4"/>
  <c r="V227" i="4"/>
  <c r="W227" i="4"/>
  <c r="X227" i="4"/>
  <c r="Y227" i="4"/>
  <c r="Z227" i="4"/>
  <c r="AA227" i="4"/>
  <c r="AB227" i="4"/>
  <c r="AC227" i="4"/>
  <c r="AD227" i="4"/>
  <c r="AE227" i="4"/>
  <c r="AF227" i="4"/>
  <c r="AG227" i="4"/>
  <c r="AH227" i="4"/>
  <c r="AI227" i="4"/>
  <c r="AJ227" i="4"/>
  <c r="AK227" i="4"/>
  <c r="AL227" i="4"/>
  <c r="AM227" i="4"/>
  <c r="AN227" i="4"/>
  <c r="AO227" i="4"/>
  <c r="AP227" i="4"/>
  <c r="AQ227" i="4"/>
  <c r="AR227" i="4"/>
  <c r="AS227" i="4"/>
  <c r="AT227" i="4"/>
  <c r="AU227" i="4"/>
  <c r="AV227" i="4"/>
  <c r="AW227" i="4"/>
  <c r="AX227" i="4"/>
  <c r="AY227" i="4"/>
  <c r="AZ227" i="4"/>
  <c r="BA227" i="4"/>
  <c r="BB227" i="4"/>
  <c r="BC227" i="4"/>
  <c r="BD227" i="4"/>
  <c r="BE227" i="4"/>
  <c r="BF227" i="4"/>
  <c r="BG227" i="4"/>
  <c r="BH227" i="4"/>
  <c r="BI227" i="4"/>
  <c r="BJ227" i="4"/>
  <c r="BK227" i="4"/>
  <c r="BL227" i="4"/>
  <c r="BM227" i="4"/>
  <c r="BN227" i="4"/>
  <c r="BO227" i="4"/>
  <c r="BP227" i="4"/>
  <c r="BQ227" i="4"/>
  <c r="BR227" i="4"/>
  <c r="BS227" i="4"/>
  <c r="BT227" i="4"/>
  <c r="BU227" i="4"/>
  <c r="BV227" i="4"/>
  <c r="BW227" i="4"/>
  <c r="BX227" i="4"/>
  <c r="BY227" i="4"/>
  <c r="BZ227" i="4"/>
  <c r="CA227" i="4"/>
  <c r="CB227" i="4"/>
  <c r="CC227" i="4"/>
  <c r="CD227" i="4"/>
  <c r="CE227" i="4"/>
  <c r="CF227" i="4"/>
  <c r="CG227" i="4"/>
  <c r="CH227" i="4"/>
  <c r="CI227" i="4"/>
  <c r="CJ227" i="4"/>
  <c r="CK227" i="4"/>
  <c r="CL227" i="4"/>
  <c r="CM227" i="4"/>
  <c r="CN227" i="4"/>
  <c r="CO227" i="4"/>
  <c r="CP227" i="4"/>
  <c r="CQ227" i="4"/>
  <c r="CR227" i="4"/>
  <c r="CS227" i="4"/>
  <c r="CT227" i="4"/>
  <c r="CU227" i="4"/>
  <c r="CV227" i="4"/>
  <c r="CW227" i="4"/>
  <c r="CX227" i="4"/>
  <c r="CY227" i="4"/>
  <c r="CZ227" i="4"/>
  <c r="DA227" i="4"/>
  <c r="DB227" i="4"/>
  <c r="DC227" i="4"/>
  <c r="DD227" i="4"/>
  <c r="DE227" i="4"/>
  <c r="DF227" i="4"/>
  <c r="DG227" i="4"/>
  <c r="DH227" i="4"/>
  <c r="DI227" i="4"/>
  <c r="DJ227" i="4"/>
  <c r="DK227" i="4"/>
  <c r="DL227" i="4"/>
  <c r="DM227" i="4"/>
  <c r="DN227" i="4"/>
  <c r="DO227" i="4"/>
  <c r="DP227" i="4"/>
  <c r="DQ227" i="4"/>
  <c r="DR227" i="4"/>
  <c r="DS227" i="4"/>
  <c r="DT227" i="4"/>
  <c r="DU227" i="4"/>
  <c r="DV227" i="4"/>
  <c r="DW227" i="4"/>
  <c r="DX227" i="4"/>
  <c r="DY227" i="4"/>
  <c r="DZ227" i="4"/>
  <c r="EA227" i="4"/>
  <c r="EB227" i="4"/>
  <c r="EC227" i="4"/>
  <c r="ED227" i="4"/>
  <c r="EE227" i="4"/>
  <c r="EF227" i="4"/>
  <c r="EG227" i="4"/>
  <c r="EH227" i="4"/>
  <c r="EI227" i="4"/>
  <c r="EJ227" i="4"/>
  <c r="EK227" i="4"/>
  <c r="EL227" i="4"/>
  <c r="EM227" i="4"/>
  <c r="EN227" i="4"/>
  <c r="EO227" i="4"/>
  <c r="EP227" i="4"/>
  <c r="EQ227" i="4"/>
  <c r="ER227" i="4"/>
  <c r="ES227" i="4"/>
  <c r="ET227" i="4"/>
  <c r="EU227" i="4"/>
  <c r="EV227" i="4"/>
  <c r="EW227" i="4"/>
  <c r="EX227" i="4"/>
  <c r="EY227" i="4"/>
  <c r="EZ227" i="4"/>
  <c r="FA227" i="4"/>
  <c r="FB227" i="4"/>
  <c r="FC227" i="4"/>
  <c r="FD227" i="4"/>
  <c r="FE227" i="4"/>
  <c r="FF227" i="4"/>
  <c r="FG227" i="4"/>
  <c r="FH227" i="4"/>
  <c r="FI227" i="4"/>
  <c r="FJ227" i="4"/>
  <c r="FK227" i="4"/>
  <c r="FL227" i="4"/>
  <c r="FM227" i="4"/>
  <c r="FN227" i="4"/>
  <c r="FO227" i="4"/>
  <c r="FP227" i="4"/>
  <c r="FQ227" i="4"/>
  <c r="FR227" i="4"/>
  <c r="FS227" i="4"/>
  <c r="FT227" i="4"/>
  <c r="FU227" i="4"/>
  <c r="FV227" i="4"/>
  <c r="FW227" i="4"/>
  <c r="FX227" i="4"/>
  <c r="FY227" i="4"/>
  <c r="FZ227" i="4"/>
  <c r="GA227" i="4"/>
  <c r="GB227" i="4"/>
  <c r="GC227" i="4"/>
  <c r="GD227" i="4"/>
  <c r="GE227" i="4"/>
  <c r="GF227" i="4"/>
  <c r="GG227" i="4"/>
  <c r="GH227" i="4"/>
  <c r="GI227" i="4"/>
  <c r="GJ227" i="4"/>
  <c r="GK227" i="4"/>
  <c r="GL227" i="4"/>
  <c r="GM227" i="4"/>
  <c r="GN227" i="4"/>
  <c r="GO227" i="4"/>
  <c r="GP227" i="4"/>
  <c r="GQ227" i="4"/>
  <c r="GR227" i="4"/>
  <c r="GS227" i="4"/>
  <c r="GT227" i="4"/>
  <c r="GU227" i="4"/>
  <c r="GV227" i="4"/>
  <c r="GW227" i="4"/>
  <c r="GX227" i="4"/>
  <c r="GY227" i="4"/>
  <c r="GZ227" i="4"/>
  <c r="HA227" i="4"/>
  <c r="HB227" i="4"/>
  <c r="HC227" i="4"/>
  <c r="HD227" i="4"/>
  <c r="HE227" i="4"/>
  <c r="HF227" i="4"/>
  <c r="HG227" i="4"/>
  <c r="HH227" i="4"/>
  <c r="HI227" i="4"/>
  <c r="HJ227" i="4"/>
  <c r="HK227" i="4"/>
  <c r="HL227" i="4"/>
  <c r="HM227" i="4"/>
  <c r="HN227" i="4"/>
  <c r="HO227" i="4"/>
  <c r="HP227" i="4"/>
  <c r="HQ227" i="4"/>
  <c r="HR227" i="4"/>
  <c r="HS227" i="4"/>
  <c r="HT227" i="4"/>
  <c r="HU227" i="4"/>
  <c r="HV227" i="4"/>
  <c r="HW227" i="4"/>
  <c r="HX227" i="4"/>
  <c r="HY227" i="4"/>
  <c r="HZ227" i="4"/>
  <c r="IA227" i="4"/>
  <c r="IB227" i="4"/>
  <c r="IC227" i="4"/>
  <c r="ID227" i="4"/>
  <c r="IE227" i="4"/>
  <c r="IF227" i="4"/>
  <c r="IG227" i="4"/>
  <c r="IH227" i="4"/>
  <c r="II227" i="4"/>
  <c r="IJ227" i="4"/>
  <c r="IK227" i="4"/>
  <c r="IL227" i="4"/>
  <c r="IM227" i="4"/>
  <c r="IN227" i="4"/>
  <c r="IO227" i="4"/>
  <c r="IP227" i="4"/>
  <c r="IQ227" i="4"/>
  <c r="IR227" i="4"/>
  <c r="IS227" i="4"/>
  <c r="IT227" i="4"/>
  <c r="IU227" i="4"/>
  <c r="IV227" i="4"/>
  <c r="A226" i="4"/>
  <c r="B226" i="4"/>
  <c r="C226" i="4"/>
  <c r="D226" i="4"/>
  <c r="E226" i="4"/>
  <c r="F226" i="4"/>
  <c r="G226" i="4"/>
  <c r="H226" i="4"/>
  <c r="I226" i="4"/>
  <c r="J226" i="4"/>
  <c r="K226" i="4"/>
  <c r="L226" i="4"/>
  <c r="M226" i="4"/>
  <c r="N226" i="4"/>
  <c r="O226" i="4"/>
  <c r="P226" i="4"/>
  <c r="Q226" i="4"/>
  <c r="R226" i="4"/>
  <c r="T226" i="4"/>
  <c r="U226" i="4"/>
  <c r="V226" i="4"/>
  <c r="W226" i="4"/>
  <c r="X226" i="4"/>
  <c r="Y226" i="4"/>
  <c r="Z226" i="4"/>
  <c r="AA226" i="4"/>
  <c r="AB226" i="4"/>
  <c r="AC226" i="4"/>
  <c r="AD226" i="4"/>
  <c r="AE226" i="4"/>
  <c r="AF226" i="4"/>
  <c r="AG226" i="4"/>
  <c r="AH226" i="4"/>
  <c r="AI226" i="4"/>
  <c r="AJ226" i="4"/>
  <c r="AK226" i="4"/>
  <c r="AL226" i="4"/>
  <c r="AM226" i="4"/>
  <c r="AN226" i="4"/>
  <c r="AO226" i="4"/>
  <c r="AP226" i="4"/>
  <c r="AQ226" i="4"/>
  <c r="AR226" i="4"/>
  <c r="AS226" i="4"/>
  <c r="AT226" i="4"/>
  <c r="AU226" i="4"/>
  <c r="AV226" i="4"/>
  <c r="AW226" i="4"/>
  <c r="AX226" i="4"/>
  <c r="AY226" i="4"/>
  <c r="AZ226" i="4"/>
  <c r="BA226" i="4"/>
  <c r="BB226" i="4"/>
  <c r="BC226" i="4"/>
  <c r="BD226" i="4"/>
  <c r="BE226" i="4"/>
  <c r="BF226" i="4"/>
  <c r="BG226" i="4"/>
  <c r="BH226" i="4"/>
  <c r="BI226" i="4"/>
  <c r="BJ226" i="4"/>
  <c r="BK226" i="4"/>
  <c r="BL226" i="4"/>
  <c r="BM226" i="4"/>
  <c r="BN226" i="4"/>
  <c r="BO226" i="4"/>
  <c r="BP226" i="4"/>
  <c r="BQ226" i="4"/>
  <c r="BR226" i="4"/>
  <c r="BS226" i="4"/>
  <c r="BT226" i="4"/>
  <c r="BU226" i="4"/>
  <c r="BV226" i="4"/>
  <c r="BW226" i="4"/>
  <c r="BX226" i="4"/>
  <c r="BY226" i="4"/>
  <c r="BZ226" i="4"/>
  <c r="CA226" i="4"/>
  <c r="CB226" i="4"/>
  <c r="CC226" i="4"/>
  <c r="CD226" i="4"/>
  <c r="CE226" i="4"/>
  <c r="CF226" i="4"/>
  <c r="CG226" i="4"/>
  <c r="CH226" i="4"/>
  <c r="CI226" i="4"/>
  <c r="CJ226" i="4"/>
  <c r="CK226" i="4"/>
  <c r="CL226" i="4"/>
  <c r="CM226" i="4"/>
  <c r="CN226" i="4"/>
  <c r="CO226" i="4"/>
  <c r="CP226" i="4"/>
  <c r="CQ226" i="4"/>
  <c r="CR226" i="4"/>
  <c r="CS226" i="4"/>
  <c r="CT226" i="4"/>
  <c r="CU226" i="4"/>
  <c r="CV226" i="4"/>
  <c r="CW226" i="4"/>
  <c r="CX226" i="4"/>
  <c r="CY226" i="4"/>
  <c r="CZ226" i="4"/>
  <c r="DA226" i="4"/>
  <c r="DB226" i="4"/>
  <c r="DC226" i="4"/>
  <c r="DD226" i="4"/>
  <c r="DE226" i="4"/>
  <c r="DF226" i="4"/>
  <c r="DG226" i="4"/>
  <c r="DH226" i="4"/>
  <c r="DI226" i="4"/>
  <c r="DJ226" i="4"/>
  <c r="DK226" i="4"/>
  <c r="DL226" i="4"/>
  <c r="DM226" i="4"/>
  <c r="DN226" i="4"/>
  <c r="DO226" i="4"/>
  <c r="DP226" i="4"/>
  <c r="DQ226" i="4"/>
  <c r="DR226" i="4"/>
  <c r="DS226" i="4"/>
  <c r="DT226" i="4"/>
  <c r="DU226" i="4"/>
  <c r="DV226" i="4"/>
  <c r="DW226" i="4"/>
  <c r="DX226" i="4"/>
  <c r="DY226" i="4"/>
  <c r="DZ226" i="4"/>
  <c r="EA226" i="4"/>
  <c r="EB226" i="4"/>
  <c r="EC226" i="4"/>
  <c r="ED226" i="4"/>
  <c r="EE226" i="4"/>
  <c r="EF226" i="4"/>
  <c r="EG226" i="4"/>
  <c r="EH226" i="4"/>
  <c r="EI226" i="4"/>
  <c r="EJ226" i="4"/>
  <c r="EK226" i="4"/>
  <c r="EL226" i="4"/>
  <c r="EM226" i="4"/>
  <c r="EN226" i="4"/>
  <c r="EO226" i="4"/>
  <c r="EP226" i="4"/>
  <c r="EQ226" i="4"/>
  <c r="ER226" i="4"/>
  <c r="ES226" i="4"/>
  <c r="ET226" i="4"/>
  <c r="EU226" i="4"/>
  <c r="EV226" i="4"/>
  <c r="EW226" i="4"/>
  <c r="EX226" i="4"/>
  <c r="EY226" i="4"/>
  <c r="EZ226" i="4"/>
  <c r="FA226" i="4"/>
  <c r="FB226" i="4"/>
  <c r="FC226" i="4"/>
  <c r="FD226" i="4"/>
  <c r="FE226" i="4"/>
  <c r="FF226" i="4"/>
  <c r="FG226" i="4"/>
  <c r="FH226" i="4"/>
  <c r="FI226" i="4"/>
  <c r="FJ226" i="4"/>
  <c r="FK226" i="4"/>
  <c r="FL226" i="4"/>
  <c r="FM226" i="4"/>
  <c r="FN226" i="4"/>
  <c r="FO226" i="4"/>
  <c r="FP226" i="4"/>
  <c r="FQ226" i="4"/>
  <c r="FR226" i="4"/>
  <c r="FS226" i="4"/>
  <c r="FT226" i="4"/>
  <c r="FU226" i="4"/>
  <c r="FV226" i="4"/>
  <c r="FW226" i="4"/>
  <c r="FX226" i="4"/>
  <c r="FY226" i="4"/>
  <c r="FZ226" i="4"/>
  <c r="GA226" i="4"/>
  <c r="GB226" i="4"/>
  <c r="GC226" i="4"/>
  <c r="GD226" i="4"/>
  <c r="GE226" i="4"/>
  <c r="GF226" i="4"/>
  <c r="GG226" i="4"/>
  <c r="GH226" i="4"/>
  <c r="GI226" i="4"/>
  <c r="GJ226" i="4"/>
  <c r="GK226" i="4"/>
  <c r="GL226" i="4"/>
  <c r="GM226" i="4"/>
  <c r="GN226" i="4"/>
  <c r="GO226" i="4"/>
  <c r="GP226" i="4"/>
  <c r="GQ226" i="4"/>
  <c r="GR226" i="4"/>
  <c r="GS226" i="4"/>
  <c r="GT226" i="4"/>
  <c r="GU226" i="4"/>
  <c r="GV226" i="4"/>
  <c r="GW226" i="4"/>
  <c r="GX226" i="4"/>
  <c r="GY226" i="4"/>
  <c r="GZ226" i="4"/>
  <c r="HA226" i="4"/>
  <c r="HB226" i="4"/>
  <c r="HC226" i="4"/>
  <c r="HD226" i="4"/>
  <c r="HE226" i="4"/>
  <c r="HF226" i="4"/>
  <c r="HG226" i="4"/>
  <c r="HH226" i="4"/>
  <c r="HI226" i="4"/>
  <c r="HJ226" i="4"/>
  <c r="HK226" i="4"/>
  <c r="HL226" i="4"/>
  <c r="HM226" i="4"/>
  <c r="HN226" i="4"/>
  <c r="HO226" i="4"/>
  <c r="HP226" i="4"/>
  <c r="HQ226" i="4"/>
  <c r="HR226" i="4"/>
  <c r="HS226" i="4"/>
  <c r="HT226" i="4"/>
  <c r="HU226" i="4"/>
  <c r="HV226" i="4"/>
  <c r="HW226" i="4"/>
  <c r="HX226" i="4"/>
  <c r="HY226" i="4"/>
  <c r="HZ226" i="4"/>
  <c r="IA226" i="4"/>
  <c r="IB226" i="4"/>
  <c r="IC226" i="4"/>
  <c r="ID226" i="4"/>
  <c r="IE226" i="4"/>
  <c r="IF226" i="4"/>
  <c r="IG226" i="4"/>
  <c r="IH226" i="4"/>
  <c r="II226" i="4"/>
  <c r="IJ226" i="4"/>
  <c r="IK226" i="4"/>
  <c r="IL226" i="4"/>
  <c r="IM226" i="4"/>
  <c r="IN226" i="4"/>
  <c r="IO226" i="4"/>
  <c r="IP226" i="4"/>
  <c r="IQ226" i="4"/>
  <c r="IR226" i="4"/>
  <c r="IS226" i="4"/>
  <c r="IT226" i="4"/>
  <c r="IU226" i="4"/>
  <c r="IV226" i="4"/>
  <c r="A225" i="4"/>
  <c r="B225" i="4"/>
  <c r="C225" i="4"/>
  <c r="D225" i="4"/>
  <c r="E225" i="4"/>
  <c r="F225" i="4"/>
  <c r="G225" i="4"/>
  <c r="H225" i="4"/>
  <c r="I225" i="4"/>
  <c r="J225" i="4"/>
  <c r="K225" i="4"/>
  <c r="L225" i="4"/>
  <c r="M225" i="4"/>
  <c r="N225" i="4"/>
  <c r="O225" i="4"/>
  <c r="P225" i="4"/>
  <c r="Q225" i="4"/>
  <c r="R225" i="4"/>
  <c r="S225" i="4"/>
  <c r="U225" i="4"/>
  <c r="V225" i="4"/>
  <c r="W225" i="4"/>
  <c r="X225" i="4"/>
  <c r="Y225" i="4"/>
  <c r="Z225" i="4"/>
  <c r="AA225" i="4"/>
  <c r="AB225" i="4"/>
  <c r="AC225" i="4"/>
  <c r="AD225" i="4"/>
  <c r="AE225" i="4"/>
  <c r="AF225" i="4"/>
  <c r="AG225" i="4"/>
  <c r="AH225" i="4"/>
  <c r="AI225" i="4"/>
  <c r="AJ225" i="4"/>
  <c r="AK225" i="4"/>
  <c r="AL225" i="4"/>
  <c r="AM225" i="4"/>
  <c r="AN225" i="4"/>
  <c r="AO225" i="4"/>
  <c r="AP225" i="4"/>
  <c r="AQ225" i="4"/>
  <c r="AR225" i="4"/>
  <c r="AS225" i="4"/>
  <c r="AT225" i="4"/>
  <c r="AU225" i="4"/>
  <c r="AV225" i="4"/>
  <c r="AW225" i="4"/>
  <c r="AX225" i="4"/>
  <c r="AY225" i="4"/>
  <c r="AZ225" i="4"/>
  <c r="BA225" i="4"/>
  <c r="BB225" i="4"/>
  <c r="BC225" i="4"/>
  <c r="BD225" i="4"/>
  <c r="BE225" i="4"/>
  <c r="BF225" i="4"/>
  <c r="BG225" i="4"/>
  <c r="BH225" i="4"/>
  <c r="BI225" i="4"/>
  <c r="BJ225" i="4"/>
  <c r="BK225" i="4"/>
  <c r="BL225" i="4"/>
  <c r="BM225" i="4"/>
  <c r="BN225" i="4"/>
  <c r="BO225" i="4"/>
  <c r="BP225" i="4"/>
  <c r="BQ225" i="4"/>
  <c r="BR225" i="4"/>
  <c r="BS225" i="4"/>
  <c r="BT225" i="4"/>
  <c r="BU225" i="4"/>
  <c r="BV225" i="4"/>
  <c r="BW225" i="4"/>
  <c r="BX225" i="4"/>
  <c r="BY225" i="4"/>
  <c r="BZ225" i="4"/>
  <c r="CA225" i="4"/>
  <c r="CB225" i="4"/>
  <c r="CC225" i="4"/>
  <c r="CD225" i="4"/>
  <c r="CE225" i="4"/>
  <c r="CF225" i="4"/>
  <c r="CG225" i="4"/>
  <c r="CH225" i="4"/>
  <c r="CI225" i="4"/>
  <c r="CJ225" i="4"/>
  <c r="CK225" i="4"/>
  <c r="CL225" i="4"/>
  <c r="CM225" i="4"/>
  <c r="CN225" i="4"/>
  <c r="CO225" i="4"/>
  <c r="CP225" i="4"/>
  <c r="CQ225" i="4"/>
  <c r="CR225" i="4"/>
  <c r="CS225" i="4"/>
  <c r="CT225" i="4"/>
  <c r="CU225" i="4"/>
  <c r="CV225" i="4"/>
  <c r="CW225" i="4"/>
  <c r="CX225" i="4"/>
  <c r="CY225" i="4"/>
  <c r="CZ225" i="4"/>
  <c r="DA225" i="4"/>
  <c r="DB225" i="4"/>
  <c r="DC225" i="4"/>
  <c r="DD225" i="4"/>
  <c r="DE225" i="4"/>
  <c r="DF225" i="4"/>
  <c r="DG225" i="4"/>
  <c r="DH225" i="4"/>
  <c r="DI225" i="4"/>
  <c r="DJ225" i="4"/>
  <c r="DK225" i="4"/>
  <c r="DL225" i="4"/>
  <c r="DM225" i="4"/>
  <c r="DN225" i="4"/>
  <c r="DO225" i="4"/>
  <c r="DP225" i="4"/>
  <c r="DQ225" i="4"/>
  <c r="DR225" i="4"/>
  <c r="DS225" i="4"/>
  <c r="DT225" i="4"/>
  <c r="DU225" i="4"/>
  <c r="DV225" i="4"/>
  <c r="DW225" i="4"/>
  <c r="DX225" i="4"/>
  <c r="DY225" i="4"/>
  <c r="DZ225" i="4"/>
  <c r="EA225" i="4"/>
  <c r="EB225" i="4"/>
  <c r="EC225" i="4"/>
  <c r="ED225" i="4"/>
  <c r="EE225" i="4"/>
  <c r="EF225" i="4"/>
  <c r="EG225" i="4"/>
  <c r="EH225" i="4"/>
  <c r="EI225" i="4"/>
  <c r="EJ225" i="4"/>
  <c r="EK225" i="4"/>
  <c r="EL225" i="4"/>
  <c r="EM225" i="4"/>
  <c r="EN225" i="4"/>
  <c r="EO225" i="4"/>
  <c r="EP225" i="4"/>
  <c r="EQ225" i="4"/>
  <c r="ER225" i="4"/>
  <c r="ES225" i="4"/>
  <c r="ET225" i="4"/>
  <c r="EU225" i="4"/>
  <c r="EV225" i="4"/>
  <c r="EW225" i="4"/>
  <c r="EX225" i="4"/>
  <c r="EY225" i="4"/>
  <c r="EZ225" i="4"/>
  <c r="FA225" i="4"/>
  <c r="FB225" i="4"/>
  <c r="FC225" i="4"/>
  <c r="FD225" i="4"/>
  <c r="FE225" i="4"/>
  <c r="FF225" i="4"/>
  <c r="FG225" i="4"/>
  <c r="FH225" i="4"/>
  <c r="FI225" i="4"/>
  <c r="FJ225" i="4"/>
  <c r="FK225" i="4"/>
  <c r="FL225" i="4"/>
  <c r="FM225" i="4"/>
  <c r="FN225" i="4"/>
  <c r="FO225" i="4"/>
  <c r="FP225" i="4"/>
  <c r="FQ225" i="4"/>
  <c r="FR225" i="4"/>
  <c r="FS225" i="4"/>
  <c r="FT225" i="4"/>
  <c r="FU225" i="4"/>
  <c r="FV225" i="4"/>
  <c r="FW225" i="4"/>
  <c r="FX225" i="4"/>
  <c r="FY225" i="4"/>
  <c r="FZ225" i="4"/>
  <c r="GA225" i="4"/>
  <c r="GB225" i="4"/>
  <c r="GC225" i="4"/>
  <c r="GD225" i="4"/>
  <c r="GE225" i="4"/>
  <c r="GF225" i="4"/>
  <c r="GG225" i="4"/>
  <c r="GH225" i="4"/>
  <c r="GI225" i="4"/>
  <c r="GJ225" i="4"/>
  <c r="GK225" i="4"/>
  <c r="GL225" i="4"/>
  <c r="GM225" i="4"/>
  <c r="GN225" i="4"/>
  <c r="GO225" i="4"/>
  <c r="GP225" i="4"/>
  <c r="GQ225" i="4"/>
  <c r="GR225" i="4"/>
  <c r="GS225" i="4"/>
  <c r="GT225" i="4"/>
  <c r="GU225" i="4"/>
  <c r="GV225" i="4"/>
  <c r="GW225" i="4"/>
  <c r="GX225" i="4"/>
  <c r="GY225" i="4"/>
  <c r="GZ225" i="4"/>
  <c r="HA225" i="4"/>
  <c r="HB225" i="4"/>
  <c r="HC225" i="4"/>
  <c r="HD225" i="4"/>
  <c r="HE225" i="4"/>
  <c r="HF225" i="4"/>
  <c r="HG225" i="4"/>
  <c r="HH225" i="4"/>
  <c r="HI225" i="4"/>
  <c r="HJ225" i="4"/>
  <c r="HK225" i="4"/>
  <c r="HL225" i="4"/>
  <c r="HM225" i="4"/>
  <c r="HN225" i="4"/>
  <c r="HO225" i="4"/>
  <c r="HP225" i="4"/>
  <c r="HQ225" i="4"/>
  <c r="HR225" i="4"/>
  <c r="HS225" i="4"/>
  <c r="HT225" i="4"/>
  <c r="HU225" i="4"/>
  <c r="HV225" i="4"/>
  <c r="HW225" i="4"/>
  <c r="HX225" i="4"/>
  <c r="HY225" i="4"/>
  <c r="HZ225" i="4"/>
  <c r="IA225" i="4"/>
  <c r="IB225" i="4"/>
  <c r="IC225" i="4"/>
  <c r="ID225" i="4"/>
  <c r="IE225" i="4"/>
  <c r="IF225" i="4"/>
  <c r="IG225" i="4"/>
  <c r="IH225" i="4"/>
  <c r="II225" i="4"/>
  <c r="IJ225" i="4"/>
  <c r="IK225" i="4"/>
  <c r="IL225" i="4"/>
  <c r="IM225" i="4"/>
  <c r="IN225" i="4"/>
  <c r="IO225" i="4"/>
  <c r="IP225" i="4"/>
  <c r="IQ225" i="4"/>
  <c r="IR225" i="4"/>
  <c r="IS225" i="4"/>
  <c r="IT225" i="4"/>
  <c r="IU225" i="4"/>
  <c r="IV225" i="4"/>
  <c r="A224" i="4"/>
  <c r="B224" i="4"/>
  <c r="C224" i="4"/>
  <c r="D224" i="4"/>
  <c r="E224" i="4"/>
  <c r="F224" i="4"/>
  <c r="G224" i="4"/>
  <c r="H224" i="4"/>
  <c r="I224" i="4"/>
  <c r="J224" i="4"/>
  <c r="K224" i="4"/>
  <c r="L224" i="4"/>
  <c r="M224" i="4"/>
  <c r="N224" i="4"/>
  <c r="O224" i="4"/>
  <c r="P224" i="4"/>
  <c r="Q224" i="4"/>
  <c r="R224" i="4"/>
  <c r="S224" i="4"/>
  <c r="T224" i="4"/>
  <c r="U224" i="4"/>
  <c r="V224" i="4"/>
  <c r="W224" i="4"/>
  <c r="X224" i="4"/>
  <c r="Y224" i="4"/>
  <c r="Z224" i="4"/>
  <c r="AA224" i="4"/>
  <c r="AB224" i="4"/>
  <c r="AC224" i="4"/>
  <c r="AD224" i="4"/>
  <c r="AE224" i="4"/>
  <c r="AF224" i="4"/>
  <c r="AG224" i="4"/>
  <c r="AH224" i="4"/>
  <c r="AI224" i="4"/>
  <c r="AJ224" i="4"/>
  <c r="AK224" i="4"/>
  <c r="AL224" i="4"/>
  <c r="AM224" i="4"/>
  <c r="AN224" i="4"/>
  <c r="AO224" i="4"/>
  <c r="AP224" i="4"/>
  <c r="AQ224" i="4"/>
  <c r="AR224" i="4"/>
  <c r="AS224" i="4"/>
  <c r="AT224" i="4"/>
  <c r="AU224" i="4"/>
  <c r="AV224" i="4"/>
  <c r="AW224" i="4"/>
  <c r="AX224" i="4"/>
  <c r="AY224" i="4"/>
  <c r="AZ224" i="4"/>
  <c r="BA224" i="4"/>
  <c r="BB224" i="4"/>
  <c r="BC224" i="4"/>
  <c r="BD224" i="4"/>
  <c r="BE224" i="4"/>
  <c r="BF224" i="4"/>
  <c r="BG224" i="4"/>
  <c r="BH224" i="4"/>
  <c r="BI224" i="4"/>
  <c r="BJ224" i="4"/>
  <c r="BK224" i="4"/>
  <c r="BL224" i="4"/>
  <c r="BM224" i="4"/>
  <c r="BN224" i="4"/>
  <c r="BO224" i="4"/>
  <c r="BP224" i="4"/>
  <c r="BQ224" i="4"/>
  <c r="BR224" i="4"/>
  <c r="BS224" i="4"/>
  <c r="BT224" i="4"/>
  <c r="BU224" i="4"/>
  <c r="BV224" i="4"/>
  <c r="BW224" i="4"/>
  <c r="BX224" i="4"/>
  <c r="BY224" i="4"/>
  <c r="BZ224" i="4"/>
  <c r="CA224" i="4"/>
  <c r="CB224" i="4"/>
  <c r="CC224" i="4"/>
  <c r="CD224" i="4"/>
  <c r="CE224" i="4"/>
  <c r="CF224" i="4"/>
  <c r="CG224" i="4"/>
  <c r="CH224" i="4"/>
  <c r="CI224" i="4"/>
  <c r="CJ224" i="4"/>
  <c r="CK224" i="4"/>
  <c r="CL224" i="4"/>
  <c r="CM224" i="4"/>
  <c r="CN224" i="4"/>
  <c r="CO224" i="4"/>
  <c r="CP224" i="4"/>
  <c r="CQ224" i="4"/>
  <c r="CR224" i="4"/>
  <c r="CS224" i="4"/>
  <c r="CT224" i="4"/>
  <c r="CU224" i="4"/>
  <c r="CV224" i="4"/>
  <c r="CW224" i="4"/>
  <c r="CX224" i="4"/>
  <c r="CY224" i="4"/>
  <c r="CZ224" i="4"/>
  <c r="DA224" i="4"/>
  <c r="DB224" i="4"/>
  <c r="DC224" i="4"/>
  <c r="DD224" i="4"/>
  <c r="DE224" i="4"/>
  <c r="DF224" i="4"/>
  <c r="DG224" i="4"/>
  <c r="DH224" i="4"/>
  <c r="DI224" i="4"/>
  <c r="DJ224" i="4"/>
  <c r="DK224" i="4"/>
  <c r="DL224" i="4"/>
  <c r="DM224" i="4"/>
  <c r="DN224" i="4"/>
  <c r="DO224" i="4"/>
  <c r="DP224" i="4"/>
  <c r="DQ224" i="4"/>
  <c r="DR224" i="4"/>
  <c r="DS224" i="4"/>
  <c r="DT224" i="4"/>
  <c r="DU224" i="4"/>
  <c r="DV224" i="4"/>
  <c r="DW224" i="4"/>
  <c r="DX224" i="4"/>
  <c r="DY224" i="4"/>
  <c r="DZ224" i="4"/>
  <c r="EA224" i="4"/>
  <c r="EB224" i="4"/>
  <c r="EC224" i="4"/>
  <c r="ED224" i="4"/>
  <c r="EE224" i="4"/>
  <c r="EF224" i="4"/>
  <c r="EG224" i="4"/>
  <c r="EH224" i="4"/>
  <c r="EI224" i="4"/>
  <c r="EJ224" i="4"/>
  <c r="EK224" i="4"/>
  <c r="EL224" i="4"/>
  <c r="EM224" i="4"/>
  <c r="EN224" i="4"/>
  <c r="EO224" i="4"/>
  <c r="EP224" i="4"/>
  <c r="EQ224" i="4"/>
  <c r="ER224" i="4"/>
  <c r="ES224" i="4"/>
  <c r="ET224" i="4"/>
  <c r="EU224" i="4"/>
  <c r="EV224" i="4"/>
  <c r="EW224" i="4"/>
  <c r="EX224" i="4"/>
  <c r="EY224" i="4"/>
  <c r="EZ224" i="4"/>
  <c r="FA224" i="4"/>
  <c r="FB224" i="4"/>
  <c r="FC224" i="4"/>
  <c r="FD224" i="4"/>
  <c r="FE224" i="4"/>
  <c r="FF224" i="4"/>
  <c r="FG224" i="4"/>
  <c r="FH224" i="4"/>
  <c r="FI224" i="4"/>
  <c r="FJ224" i="4"/>
  <c r="FK224" i="4"/>
  <c r="FL224" i="4"/>
  <c r="FM224" i="4"/>
  <c r="FN224" i="4"/>
  <c r="FO224" i="4"/>
  <c r="FP224" i="4"/>
  <c r="FQ224" i="4"/>
  <c r="FR224" i="4"/>
  <c r="FS224" i="4"/>
  <c r="FT224" i="4"/>
  <c r="FU224" i="4"/>
  <c r="FV224" i="4"/>
  <c r="FW224" i="4"/>
  <c r="FX224" i="4"/>
  <c r="FY224" i="4"/>
  <c r="FZ224" i="4"/>
  <c r="GA224" i="4"/>
  <c r="GB224" i="4"/>
  <c r="GC224" i="4"/>
  <c r="GD224" i="4"/>
  <c r="GE224" i="4"/>
  <c r="GF224" i="4"/>
  <c r="GG224" i="4"/>
  <c r="GH224" i="4"/>
  <c r="GI224" i="4"/>
  <c r="GJ224" i="4"/>
  <c r="GK224" i="4"/>
  <c r="GL224" i="4"/>
  <c r="GM224" i="4"/>
  <c r="GN224" i="4"/>
  <c r="GO224" i="4"/>
  <c r="GP224" i="4"/>
  <c r="GQ224" i="4"/>
  <c r="GR224" i="4"/>
  <c r="GS224" i="4"/>
  <c r="GT224" i="4"/>
  <c r="GU224" i="4"/>
  <c r="GV224" i="4"/>
  <c r="GW224" i="4"/>
  <c r="GX224" i="4"/>
  <c r="GY224" i="4"/>
  <c r="GZ224" i="4"/>
  <c r="HA224" i="4"/>
  <c r="HB224" i="4"/>
  <c r="HC224" i="4"/>
  <c r="HD224" i="4"/>
  <c r="HE224" i="4"/>
  <c r="HF224" i="4"/>
  <c r="HG224" i="4"/>
  <c r="HH224" i="4"/>
  <c r="HI224" i="4"/>
  <c r="HJ224" i="4"/>
  <c r="HK224" i="4"/>
  <c r="HL224" i="4"/>
  <c r="HM224" i="4"/>
  <c r="HN224" i="4"/>
  <c r="HO224" i="4"/>
  <c r="HP224" i="4"/>
  <c r="HQ224" i="4"/>
  <c r="HR224" i="4"/>
  <c r="HS224" i="4"/>
  <c r="HT224" i="4"/>
  <c r="HU224" i="4"/>
  <c r="HV224" i="4"/>
  <c r="HW224" i="4"/>
  <c r="HX224" i="4"/>
  <c r="HY224" i="4"/>
  <c r="HZ224" i="4"/>
  <c r="IA224" i="4"/>
  <c r="IB224" i="4"/>
  <c r="IC224" i="4"/>
  <c r="ID224" i="4"/>
  <c r="IE224" i="4"/>
  <c r="IF224" i="4"/>
  <c r="IG224" i="4"/>
  <c r="IH224" i="4"/>
  <c r="II224" i="4"/>
  <c r="IJ224" i="4"/>
  <c r="IK224" i="4"/>
  <c r="IL224" i="4"/>
  <c r="IM224" i="4"/>
  <c r="IN224" i="4"/>
  <c r="IO224" i="4"/>
  <c r="IP224" i="4"/>
  <c r="IQ224" i="4"/>
  <c r="IR224" i="4"/>
  <c r="IS224" i="4"/>
  <c r="IT224" i="4"/>
  <c r="IU224" i="4"/>
  <c r="IV224" i="4"/>
  <c r="A223" i="4"/>
  <c r="B223" i="4"/>
  <c r="C223" i="4"/>
  <c r="D223" i="4"/>
  <c r="E223" i="4"/>
  <c r="F223" i="4"/>
  <c r="G223" i="4"/>
  <c r="H223" i="4"/>
  <c r="I223" i="4"/>
  <c r="J223" i="4"/>
  <c r="K223" i="4"/>
  <c r="L223" i="4"/>
  <c r="M223" i="4"/>
  <c r="N223" i="4"/>
  <c r="O223" i="4"/>
  <c r="P223" i="4"/>
  <c r="Q223" i="4"/>
  <c r="R223" i="4"/>
  <c r="S223" i="4"/>
  <c r="T223" i="4"/>
  <c r="U223" i="4"/>
  <c r="V223" i="4"/>
  <c r="W223" i="4"/>
  <c r="X223" i="4"/>
  <c r="Y223" i="4"/>
  <c r="Z223" i="4"/>
  <c r="AA223" i="4"/>
  <c r="AB223" i="4"/>
  <c r="AC223" i="4"/>
  <c r="AD223" i="4"/>
  <c r="AE223" i="4"/>
  <c r="AF223" i="4"/>
  <c r="AG223" i="4"/>
  <c r="AH223" i="4"/>
  <c r="AI223" i="4"/>
  <c r="AJ223" i="4"/>
  <c r="AK223" i="4"/>
  <c r="AL223" i="4"/>
  <c r="AM223" i="4"/>
  <c r="AN223" i="4"/>
  <c r="AO223" i="4"/>
  <c r="AP223" i="4"/>
  <c r="AQ223" i="4"/>
  <c r="AR223" i="4"/>
  <c r="AS223" i="4"/>
  <c r="AT223" i="4"/>
  <c r="AU223" i="4"/>
  <c r="AV223" i="4"/>
  <c r="AW223" i="4"/>
  <c r="AX223" i="4"/>
  <c r="AY223" i="4"/>
  <c r="AZ223" i="4"/>
  <c r="BA223" i="4"/>
  <c r="BB223" i="4"/>
  <c r="BC223" i="4"/>
  <c r="BD223" i="4"/>
  <c r="BE223" i="4"/>
  <c r="BF223" i="4"/>
  <c r="BG223" i="4"/>
  <c r="BH223" i="4"/>
  <c r="BI223" i="4"/>
  <c r="BJ223" i="4"/>
  <c r="BK223" i="4"/>
  <c r="BL223" i="4"/>
  <c r="BM223" i="4"/>
  <c r="BN223" i="4"/>
  <c r="BO223" i="4"/>
  <c r="BP223" i="4"/>
  <c r="BQ223" i="4"/>
  <c r="BR223" i="4"/>
  <c r="BS223" i="4"/>
  <c r="BT223" i="4"/>
  <c r="BU223" i="4"/>
  <c r="BV223" i="4"/>
  <c r="BW223" i="4"/>
  <c r="BX223" i="4"/>
  <c r="BY223" i="4"/>
  <c r="BZ223" i="4"/>
  <c r="CA223" i="4"/>
  <c r="CB223" i="4"/>
  <c r="CC223" i="4"/>
  <c r="CD223" i="4"/>
  <c r="CE223" i="4"/>
  <c r="CF223" i="4"/>
  <c r="CG223" i="4"/>
  <c r="CH223" i="4"/>
  <c r="CI223" i="4"/>
  <c r="CJ223" i="4"/>
  <c r="CK223" i="4"/>
  <c r="CL223" i="4"/>
  <c r="CM223" i="4"/>
  <c r="CN223" i="4"/>
  <c r="CO223" i="4"/>
  <c r="CP223" i="4"/>
  <c r="CQ223" i="4"/>
  <c r="CR223" i="4"/>
  <c r="CS223" i="4"/>
  <c r="CT223" i="4"/>
  <c r="CU223" i="4"/>
  <c r="CV223" i="4"/>
  <c r="CW223" i="4"/>
  <c r="CX223" i="4"/>
  <c r="CY223" i="4"/>
  <c r="CZ223" i="4"/>
  <c r="DA223" i="4"/>
  <c r="DB223" i="4"/>
  <c r="DC223" i="4"/>
  <c r="DD223" i="4"/>
  <c r="DE223" i="4"/>
  <c r="DF223" i="4"/>
  <c r="DG223" i="4"/>
  <c r="DH223" i="4"/>
  <c r="DI223" i="4"/>
  <c r="DJ223" i="4"/>
  <c r="DK223" i="4"/>
  <c r="DL223" i="4"/>
  <c r="DM223" i="4"/>
  <c r="DN223" i="4"/>
  <c r="DO223" i="4"/>
  <c r="DP223" i="4"/>
  <c r="DQ223" i="4"/>
  <c r="DR223" i="4"/>
  <c r="DS223" i="4"/>
  <c r="DT223" i="4"/>
  <c r="DU223" i="4"/>
  <c r="DV223" i="4"/>
  <c r="DW223" i="4"/>
  <c r="DX223" i="4"/>
  <c r="DY223" i="4"/>
  <c r="DZ223" i="4"/>
  <c r="EA223" i="4"/>
  <c r="EB223" i="4"/>
  <c r="EC223" i="4"/>
  <c r="ED223" i="4"/>
  <c r="EE223" i="4"/>
  <c r="EF223" i="4"/>
  <c r="EG223" i="4"/>
  <c r="EH223" i="4"/>
  <c r="EI223" i="4"/>
  <c r="EJ223" i="4"/>
  <c r="EK223" i="4"/>
  <c r="EL223" i="4"/>
  <c r="EM223" i="4"/>
  <c r="EN223" i="4"/>
  <c r="EO223" i="4"/>
  <c r="EP223" i="4"/>
  <c r="EQ223" i="4"/>
  <c r="ER223" i="4"/>
  <c r="ES223" i="4"/>
  <c r="ET223" i="4"/>
  <c r="EU223" i="4"/>
  <c r="EV223" i="4"/>
  <c r="EW223" i="4"/>
  <c r="EX223" i="4"/>
  <c r="EY223" i="4"/>
  <c r="EZ223" i="4"/>
  <c r="FA223" i="4"/>
  <c r="FB223" i="4"/>
  <c r="FC223" i="4"/>
  <c r="FD223" i="4"/>
  <c r="FE223" i="4"/>
  <c r="FF223" i="4"/>
  <c r="FG223" i="4"/>
  <c r="FH223" i="4"/>
  <c r="FI223" i="4"/>
  <c r="FJ223" i="4"/>
  <c r="FK223" i="4"/>
  <c r="FL223" i="4"/>
  <c r="FM223" i="4"/>
  <c r="FN223" i="4"/>
  <c r="FO223" i="4"/>
  <c r="FP223" i="4"/>
  <c r="FQ223" i="4"/>
  <c r="FR223" i="4"/>
  <c r="FS223" i="4"/>
  <c r="FT223" i="4"/>
  <c r="FU223" i="4"/>
  <c r="FV223" i="4"/>
  <c r="FW223" i="4"/>
  <c r="FX223" i="4"/>
  <c r="FY223" i="4"/>
  <c r="FZ223" i="4"/>
  <c r="GA223" i="4"/>
  <c r="GB223" i="4"/>
  <c r="GC223" i="4"/>
  <c r="GD223" i="4"/>
  <c r="GE223" i="4"/>
  <c r="GF223" i="4"/>
  <c r="GG223" i="4"/>
  <c r="GH223" i="4"/>
  <c r="GI223" i="4"/>
  <c r="GJ223" i="4"/>
  <c r="GK223" i="4"/>
  <c r="GL223" i="4"/>
  <c r="GM223" i="4"/>
  <c r="GN223" i="4"/>
  <c r="GO223" i="4"/>
  <c r="GP223" i="4"/>
  <c r="GQ223" i="4"/>
  <c r="GR223" i="4"/>
  <c r="GS223" i="4"/>
  <c r="GT223" i="4"/>
  <c r="GU223" i="4"/>
  <c r="GV223" i="4"/>
  <c r="GW223" i="4"/>
  <c r="GX223" i="4"/>
  <c r="GY223" i="4"/>
  <c r="GZ223" i="4"/>
  <c r="HA223" i="4"/>
  <c r="HB223" i="4"/>
  <c r="HC223" i="4"/>
  <c r="HD223" i="4"/>
  <c r="HE223" i="4"/>
  <c r="HF223" i="4"/>
  <c r="HG223" i="4"/>
  <c r="HH223" i="4"/>
  <c r="HI223" i="4"/>
  <c r="HJ223" i="4"/>
  <c r="HK223" i="4"/>
  <c r="HL223" i="4"/>
  <c r="HM223" i="4"/>
  <c r="HN223" i="4"/>
  <c r="HO223" i="4"/>
  <c r="HP223" i="4"/>
  <c r="HQ223" i="4"/>
  <c r="HR223" i="4"/>
  <c r="HS223" i="4"/>
  <c r="HT223" i="4"/>
  <c r="HU223" i="4"/>
  <c r="HV223" i="4"/>
  <c r="HW223" i="4"/>
  <c r="HX223" i="4"/>
  <c r="HY223" i="4"/>
  <c r="HZ223" i="4"/>
  <c r="IA223" i="4"/>
  <c r="IB223" i="4"/>
  <c r="IC223" i="4"/>
  <c r="ID223" i="4"/>
  <c r="IE223" i="4"/>
  <c r="IF223" i="4"/>
  <c r="IG223" i="4"/>
  <c r="IH223" i="4"/>
  <c r="II223" i="4"/>
  <c r="IJ223" i="4"/>
  <c r="IK223" i="4"/>
  <c r="IL223" i="4"/>
  <c r="IM223" i="4"/>
  <c r="IN223" i="4"/>
  <c r="IO223" i="4"/>
  <c r="IP223" i="4"/>
  <c r="IQ223" i="4"/>
  <c r="IR223" i="4"/>
  <c r="IS223" i="4"/>
  <c r="IT223" i="4"/>
  <c r="IU223" i="4"/>
  <c r="IV223" i="4"/>
  <c r="A222" i="4"/>
  <c r="B222" i="4"/>
  <c r="C222" i="4"/>
  <c r="D222" i="4"/>
  <c r="E222" i="4"/>
  <c r="F222" i="4"/>
  <c r="G222" i="4"/>
  <c r="H222" i="4"/>
  <c r="I222" i="4"/>
  <c r="J222" i="4"/>
  <c r="K222" i="4"/>
  <c r="L222" i="4"/>
  <c r="M222" i="4"/>
  <c r="N222" i="4"/>
  <c r="O222" i="4"/>
  <c r="P222" i="4"/>
  <c r="Q222" i="4"/>
  <c r="R222" i="4"/>
  <c r="S222" i="4"/>
  <c r="T222" i="4"/>
  <c r="U222" i="4"/>
  <c r="V222" i="4"/>
  <c r="W222" i="4"/>
  <c r="X222" i="4"/>
  <c r="Y222" i="4"/>
  <c r="Z222" i="4"/>
  <c r="AA222" i="4"/>
  <c r="AB222" i="4"/>
  <c r="AC222" i="4"/>
  <c r="AD222" i="4"/>
  <c r="AE222" i="4"/>
  <c r="AF222" i="4"/>
  <c r="AG222" i="4"/>
  <c r="AH222" i="4"/>
  <c r="AI222" i="4"/>
  <c r="AJ222" i="4"/>
  <c r="AK222" i="4"/>
  <c r="AL222" i="4"/>
  <c r="AM222" i="4"/>
  <c r="AN222" i="4"/>
  <c r="AO222" i="4"/>
  <c r="AP222" i="4"/>
  <c r="AQ222" i="4"/>
  <c r="AR222" i="4"/>
  <c r="AS222" i="4"/>
  <c r="AT222" i="4"/>
  <c r="AU222" i="4"/>
  <c r="AV222" i="4"/>
  <c r="AW222" i="4"/>
  <c r="AX222" i="4"/>
  <c r="AY222" i="4"/>
  <c r="AZ222" i="4"/>
  <c r="BA222" i="4"/>
  <c r="BB222" i="4"/>
  <c r="BC222" i="4"/>
  <c r="BD222" i="4"/>
  <c r="BE222" i="4"/>
  <c r="BF222" i="4"/>
  <c r="BG222" i="4"/>
  <c r="BH222" i="4"/>
  <c r="BI222" i="4"/>
  <c r="BJ222" i="4"/>
  <c r="BK222" i="4"/>
  <c r="BL222" i="4"/>
  <c r="BM222" i="4"/>
  <c r="BN222" i="4"/>
  <c r="BO222" i="4"/>
  <c r="BP222" i="4"/>
  <c r="BQ222" i="4"/>
  <c r="BR222" i="4"/>
  <c r="BS222" i="4"/>
  <c r="BT222" i="4"/>
  <c r="BU222" i="4"/>
  <c r="BV222" i="4"/>
  <c r="BW222" i="4"/>
  <c r="BX222" i="4"/>
  <c r="BY222" i="4"/>
  <c r="BZ222" i="4"/>
  <c r="CA222" i="4"/>
  <c r="CB222" i="4"/>
  <c r="CC222" i="4"/>
  <c r="CD222" i="4"/>
  <c r="CE222" i="4"/>
  <c r="CF222" i="4"/>
  <c r="CG222" i="4"/>
  <c r="CH222" i="4"/>
  <c r="CI222" i="4"/>
  <c r="CJ222" i="4"/>
  <c r="CK222" i="4"/>
  <c r="CL222" i="4"/>
  <c r="CM222" i="4"/>
  <c r="CN222" i="4"/>
  <c r="CO222" i="4"/>
  <c r="CP222" i="4"/>
  <c r="CQ222" i="4"/>
  <c r="CR222" i="4"/>
  <c r="CS222" i="4"/>
  <c r="CT222" i="4"/>
  <c r="CU222" i="4"/>
  <c r="CV222" i="4"/>
  <c r="CW222" i="4"/>
  <c r="CX222" i="4"/>
  <c r="CY222" i="4"/>
  <c r="CZ222" i="4"/>
  <c r="DA222" i="4"/>
  <c r="DB222" i="4"/>
  <c r="DC222" i="4"/>
  <c r="DD222" i="4"/>
  <c r="DE222" i="4"/>
  <c r="DF222" i="4"/>
  <c r="DG222" i="4"/>
  <c r="DH222" i="4"/>
  <c r="DI222" i="4"/>
  <c r="DJ222" i="4"/>
  <c r="DK222" i="4"/>
  <c r="DL222" i="4"/>
  <c r="DM222" i="4"/>
  <c r="DN222" i="4"/>
  <c r="DO222" i="4"/>
  <c r="DP222" i="4"/>
  <c r="DQ222" i="4"/>
  <c r="DR222" i="4"/>
  <c r="DS222" i="4"/>
  <c r="DT222" i="4"/>
  <c r="DU222" i="4"/>
  <c r="DV222" i="4"/>
  <c r="DW222" i="4"/>
  <c r="DX222" i="4"/>
  <c r="DY222" i="4"/>
  <c r="DZ222" i="4"/>
  <c r="EA222" i="4"/>
  <c r="EB222" i="4"/>
  <c r="EC222" i="4"/>
  <c r="ED222" i="4"/>
  <c r="EE222" i="4"/>
  <c r="EF222" i="4"/>
  <c r="EG222" i="4"/>
  <c r="EH222" i="4"/>
  <c r="EI222" i="4"/>
  <c r="EJ222" i="4"/>
  <c r="EK222" i="4"/>
  <c r="EL222" i="4"/>
  <c r="EM222" i="4"/>
  <c r="EN222" i="4"/>
  <c r="EO222" i="4"/>
  <c r="EP222" i="4"/>
  <c r="EQ222" i="4"/>
  <c r="ER222" i="4"/>
  <c r="ES222" i="4"/>
  <c r="ET222" i="4"/>
  <c r="EU222" i="4"/>
  <c r="EV222" i="4"/>
  <c r="EW222" i="4"/>
  <c r="EX222" i="4"/>
  <c r="EY222" i="4"/>
  <c r="EZ222" i="4"/>
  <c r="FA222" i="4"/>
  <c r="FB222" i="4"/>
  <c r="FC222" i="4"/>
  <c r="FD222" i="4"/>
  <c r="FE222" i="4"/>
  <c r="FF222" i="4"/>
  <c r="FG222" i="4"/>
  <c r="FH222" i="4"/>
  <c r="FI222" i="4"/>
  <c r="FJ222" i="4"/>
  <c r="FK222" i="4"/>
  <c r="FL222" i="4"/>
  <c r="FM222" i="4"/>
  <c r="FN222" i="4"/>
  <c r="FO222" i="4"/>
  <c r="FP222" i="4"/>
  <c r="FQ222" i="4"/>
  <c r="FR222" i="4"/>
  <c r="FS222" i="4"/>
  <c r="FT222" i="4"/>
  <c r="FU222" i="4"/>
  <c r="FV222" i="4"/>
  <c r="FW222" i="4"/>
  <c r="FX222" i="4"/>
  <c r="FY222" i="4"/>
  <c r="FZ222" i="4"/>
  <c r="GA222" i="4"/>
  <c r="GB222" i="4"/>
  <c r="GC222" i="4"/>
  <c r="GD222" i="4"/>
  <c r="GE222" i="4"/>
  <c r="GF222" i="4"/>
  <c r="GG222" i="4"/>
  <c r="GH222" i="4"/>
  <c r="GI222" i="4"/>
  <c r="GJ222" i="4"/>
  <c r="GK222" i="4"/>
  <c r="GL222" i="4"/>
  <c r="GM222" i="4"/>
  <c r="GN222" i="4"/>
  <c r="GO222" i="4"/>
  <c r="GP222" i="4"/>
  <c r="GQ222" i="4"/>
  <c r="GR222" i="4"/>
  <c r="GS222" i="4"/>
  <c r="GT222" i="4"/>
  <c r="GU222" i="4"/>
  <c r="GV222" i="4"/>
  <c r="GW222" i="4"/>
  <c r="GX222" i="4"/>
  <c r="GY222" i="4"/>
  <c r="GZ222" i="4"/>
  <c r="HA222" i="4"/>
  <c r="HB222" i="4"/>
  <c r="HC222" i="4"/>
  <c r="HD222" i="4"/>
  <c r="HE222" i="4"/>
  <c r="HF222" i="4"/>
  <c r="HG222" i="4"/>
  <c r="HH222" i="4"/>
  <c r="HI222" i="4"/>
  <c r="HJ222" i="4"/>
  <c r="HK222" i="4"/>
  <c r="HL222" i="4"/>
  <c r="HM222" i="4"/>
  <c r="HN222" i="4"/>
  <c r="HO222" i="4"/>
  <c r="HP222" i="4"/>
  <c r="HQ222" i="4"/>
  <c r="HR222" i="4"/>
  <c r="HS222" i="4"/>
  <c r="HT222" i="4"/>
  <c r="HU222" i="4"/>
  <c r="HV222" i="4"/>
  <c r="HW222" i="4"/>
  <c r="HX222" i="4"/>
  <c r="HY222" i="4"/>
  <c r="HZ222" i="4"/>
  <c r="IA222" i="4"/>
  <c r="IB222" i="4"/>
  <c r="IC222" i="4"/>
  <c r="ID222" i="4"/>
  <c r="IE222" i="4"/>
  <c r="IF222" i="4"/>
  <c r="IG222" i="4"/>
  <c r="IH222" i="4"/>
  <c r="II222" i="4"/>
  <c r="IJ222" i="4"/>
  <c r="IK222" i="4"/>
  <c r="IL222" i="4"/>
  <c r="IM222" i="4"/>
  <c r="IN222" i="4"/>
  <c r="IO222" i="4"/>
  <c r="IP222" i="4"/>
  <c r="IQ222" i="4"/>
  <c r="IR222" i="4"/>
  <c r="IS222" i="4"/>
  <c r="IT222" i="4"/>
  <c r="IU222" i="4"/>
  <c r="IV222" i="4"/>
  <c r="A221" i="4"/>
  <c r="B221" i="4"/>
  <c r="C221" i="4"/>
  <c r="D221" i="4"/>
  <c r="E221" i="4"/>
  <c r="F221" i="4"/>
  <c r="G221" i="4"/>
  <c r="H221" i="4"/>
  <c r="I221" i="4"/>
  <c r="J221" i="4"/>
  <c r="K221" i="4"/>
  <c r="L221" i="4"/>
  <c r="M221" i="4"/>
  <c r="N221" i="4"/>
  <c r="O221" i="4"/>
  <c r="P221" i="4"/>
  <c r="Q221" i="4"/>
  <c r="R221" i="4"/>
  <c r="S221" i="4"/>
  <c r="T221" i="4"/>
  <c r="U221" i="4"/>
  <c r="V221" i="4"/>
  <c r="W221" i="4"/>
  <c r="X221" i="4"/>
  <c r="Y221" i="4"/>
  <c r="Z221" i="4"/>
  <c r="AA221" i="4"/>
  <c r="AB221" i="4"/>
  <c r="AC221" i="4"/>
  <c r="AD221" i="4"/>
  <c r="AE221" i="4"/>
  <c r="AF221" i="4"/>
  <c r="AG221" i="4"/>
  <c r="AH221" i="4"/>
  <c r="AI221" i="4"/>
  <c r="AJ221" i="4"/>
  <c r="AK221" i="4"/>
  <c r="AL221" i="4"/>
  <c r="AM221" i="4"/>
  <c r="AN221" i="4"/>
  <c r="AO221" i="4"/>
  <c r="AP221" i="4"/>
  <c r="AQ221" i="4"/>
  <c r="AR221" i="4"/>
  <c r="AS221" i="4"/>
  <c r="AT221" i="4"/>
  <c r="AU221" i="4"/>
  <c r="AV221" i="4"/>
  <c r="AW221" i="4"/>
  <c r="AX221" i="4"/>
  <c r="AY221" i="4"/>
  <c r="AZ221" i="4"/>
  <c r="BA221" i="4"/>
  <c r="BB221" i="4"/>
  <c r="BC221" i="4"/>
  <c r="BD221" i="4"/>
  <c r="BE221" i="4"/>
  <c r="BF221" i="4"/>
  <c r="BG221" i="4"/>
  <c r="BH221" i="4"/>
  <c r="BI221" i="4"/>
  <c r="BJ221" i="4"/>
  <c r="BK221" i="4"/>
  <c r="BL221" i="4"/>
  <c r="BM221" i="4"/>
  <c r="BN221" i="4"/>
  <c r="BO221" i="4"/>
  <c r="BP221" i="4"/>
  <c r="BQ221" i="4"/>
  <c r="BR221" i="4"/>
  <c r="BS221" i="4"/>
  <c r="BT221" i="4"/>
  <c r="BU221" i="4"/>
  <c r="BV221" i="4"/>
  <c r="BW221" i="4"/>
  <c r="BX221" i="4"/>
  <c r="BY221" i="4"/>
  <c r="BZ221" i="4"/>
  <c r="CA221" i="4"/>
  <c r="CB221" i="4"/>
  <c r="CC221" i="4"/>
  <c r="CD221" i="4"/>
  <c r="CE221" i="4"/>
  <c r="CF221" i="4"/>
  <c r="CG221" i="4"/>
  <c r="CH221" i="4"/>
  <c r="CI221" i="4"/>
  <c r="CJ221" i="4"/>
  <c r="CK221" i="4"/>
  <c r="CL221" i="4"/>
  <c r="CM221" i="4"/>
  <c r="CN221" i="4"/>
  <c r="CO221" i="4"/>
  <c r="CP221" i="4"/>
  <c r="CQ221" i="4"/>
  <c r="CR221" i="4"/>
  <c r="CS221" i="4"/>
  <c r="CT221" i="4"/>
  <c r="CU221" i="4"/>
  <c r="CV221" i="4"/>
  <c r="CW221" i="4"/>
  <c r="CX221" i="4"/>
  <c r="CY221" i="4"/>
  <c r="CZ221" i="4"/>
  <c r="DA221" i="4"/>
  <c r="DB221" i="4"/>
  <c r="DC221" i="4"/>
  <c r="DD221" i="4"/>
  <c r="DE221" i="4"/>
  <c r="DF221" i="4"/>
  <c r="DG221" i="4"/>
  <c r="DH221" i="4"/>
  <c r="DI221" i="4"/>
  <c r="DJ221" i="4"/>
  <c r="DK221" i="4"/>
  <c r="DL221" i="4"/>
  <c r="DM221" i="4"/>
  <c r="DN221" i="4"/>
  <c r="DO221" i="4"/>
  <c r="DP221" i="4"/>
  <c r="DQ221" i="4"/>
  <c r="DR221" i="4"/>
  <c r="DS221" i="4"/>
  <c r="DT221" i="4"/>
  <c r="DU221" i="4"/>
  <c r="DV221" i="4"/>
  <c r="DW221" i="4"/>
  <c r="DX221" i="4"/>
  <c r="DY221" i="4"/>
  <c r="DZ221" i="4"/>
  <c r="EA221" i="4"/>
  <c r="EB221" i="4"/>
  <c r="EC221" i="4"/>
  <c r="ED221" i="4"/>
  <c r="EE221" i="4"/>
  <c r="EF221" i="4"/>
  <c r="EG221" i="4"/>
  <c r="EH221" i="4"/>
  <c r="EI221" i="4"/>
  <c r="EJ221" i="4"/>
  <c r="EK221" i="4"/>
  <c r="EL221" i="4"/>
  <c r="EM221" i="4"/>
  <c r="EN221" i="4"/>
  <c r="EO221" i="4"/>
  <c r="EP221" i="4"/>
  <c r="EQ221" i="4"/>
  <c r="ER221" i="4"/>
  <c r="ES221" i="4"/>
  <c r="ET221" i="4"/>
  <c r="EU221" i="4"/>
  <c r="EV221" i="4"/>
  <c r="EW221" i="4"/>
  <c r="EX221" i="4"/>
  <c r="EY221" i="4"/>
  <c r="EZ221" i="4"/>
  <c r="FA221" i="4"/>
  <c r="FB221" i="4"/>
  <c r="FC221" i="4"/>
  <c r="FD221" i="4"/>
  <c r="FE221" i="4"/>
  <c r="FF221" i="4"/>
  <c r="FG221" i="4"/>
  <c r="FH221" i="4"/>
  <c r="FI221" i="4"/>
  <c r="FJ221" i="4"/>
  <c r="FK221" i="4"/>
  <c r="FL221" i="4"/>
  <c r="FM221" i="4"/>
  <c r="FN221" i="4"/>
  <c r="FO221" i="4"/>
  <c r="FP221" i="4"/>
  <c r="FQ221" i="4"/>
  <c r="FR221" i="4"/>
  <c r="FS221" i="4"/>
  <c r="FT221" i="4"/>
  <c r="FU221" i="4"/>
  <c r="FV221" i="4"/>
  <c r="FW221" i="4"/>
  <c r="FX221" i="4"/>
  <c r="FY221" i="4"/>
  <c r="FZ221" i="4"/>
  <c r="GA221" i="4"/>
  <c r="GB221" i="4"/>
  <c r="GC221" i="4"/>
  <c r="GD221" i="4"/>
  <c r="GE221" i="4"/>
  <c r="GF221" i="4"/>
  <c r="GG221" i="4"/>
  <c r="GH221" i="4"/>
  <c r="GI221" i="4"/>
  <c r="GJ221" i="4"/>
  <c r="GK221" i="4"/>
  <c r="GL221" i="4"/>
  <c r="GM221" i="4"/>
  <c r="GN221" i="4"/>
  <c r="GO221" i="4"/>
  <c r="GP221" i="4"/>
  <c r="GQ221" i="4"/>
  <c r="GR221" i="4"/>
  <c r="GS221" i="4"/>
  <c r="GT221" i="4"/>
  <c r="GU221" i="4"/>
  <c r="GV221" i="4"/>
  <c r="GW221" i="4"/>
  <c r="GX221" i="4"/>
  <c r="GY221" i="4"/>
  <c r="GZ221" i="4"/>
  <c r="HA221" i="4"/>
  <c r="HB221" i="4"/>
  <c r="HC221" i="4"/>
  <c r="HD221" i="4"/>
  <c r="HE221" i="4"/>
  <c r="HF221" i="4"/>
  <c r="HG221" i="4"/>
  <c r="HH221" i="4"/>
  <c r="HI221" i="4"/>
  <c r="HJ221" i="4"/>
  <c r="HK221" i="4"/>
  <c r="HL221" i="4"/>
  <c r="HM221" i="4"/>
  <c r="HN221" i="4"/>
  <c r="HO221" i="4"/>
  <c r="HP221" i="4"/>
  <c r="HQ221" i="4"/>
  <c r="HR221" i="4"/>
  <c r="HS221" i="4"/>
  <c r="HT221" i="4"/>
  <c r="HU221" i="4"/>
  <c r="HV221" i="4"/>
  <c r="HW221" i="4"/>
  <c r="HX221" i="4"/>
  <c r="HY221" i="4"/>
  <c r="HZ221" i="4"/>
  <c r="IA221" i="4"/>
  <c r="IB221" i="4"/>
  <c r="IC221" i="4"/>
  <c r="ID221" i="4"/>
  <c r="IE221" i="4"/>
  <c r="IF221" i="4"/>
  <c r="IG221" i="4"/>
  <c r="IH221" i="4"/>
  <c r="II221" i="4"/>
  <c r="IJ221" i="4"/>
  <c r="IK221" i="4"/>
  <c r="IL221" i="4"/>
  <c r="IM221" i="4"/>
  <c r="IN221" i="4"/>
  <c r="IO221" i="4"/>
  <c r="IP221" i="4"/>
  <c r="IQ221" i="4"/>
  <c r="IR221" i="4"/>
  <c r="IS221" i="4"/>
  <c r="IT221" i="4"/>
  <c r="IU221" i="4"/>
  <c r="IV221" i="4"/>
  <c r="A220" i="4"/>
  <c r="B220" i="4"/>
  <c r="C220" i="4"/>
  <c r="D220" i="4"/>
  <c r="E220" i="4"/>
  <c r="F220" i="4"/>
  <c r="G220" i="4"/>
  <c r="H220" i="4"/>
  <c r="I220" i="4"/>
  <c r="J220" i="4"/>
  <c r="K220" i="4"/>
  <c r="L220" i="4"/>
  <c r="M220" i="4"/>
  <c r="N220" i="4"/>
  <c r="O220" i="4"/>
  <c r="P220" i="4"/>
  <c r="Q220" i="4"/>
  <c r="R220" i="4"/>
  <c r="S220" i="4"/>
  <c r="T220" i="4"/>
  <c r="U220" i="4"/>
  <c r="V220" i="4"/>
  <c r="W220" i="4"/>
  <c r="X220" i="4"/>
  <c r="Y220" i="4"/>
  <c r="Z220" i="4"/>
  <c r="AA220" i="4"/>
  <c r="AB220" i="4"/>
  <c r="AC220" i="4"/>
  <c r="AD220" i="4"/>
  <c r="AE220" i="4"/>
  <c r="AF220" i="4"/>
  <c r="AG220" i="4"/>
  <c r="AH220" i="4"/>
  <c r="AI220" i="4"/>
  <c r="AJ220" i="4"/>
  <c r="AK220" i="4"/>
  <c r="AL220" i="4"/>
  <c r="AM220" i="4"/>
  <c r="AN220" i="4"/>
  <c r="AO220" i="4"/>
  <c r="AP220" i="4"/>
  <c r="AQ220" i="4"/>
  <c r="AR220" i="4"/>
  <c r="AS220" i="4"/>
  <c r="AT220" i="4"/>
  <c r="AU220" i="4"/>
  <c r="AV220" i="4"/>
  <c r="AW220" i="4"/>
  <c r="AX220" i="4"/>
  <c r="AY220" i="4"/>
  <c r="AZ220" i="4"/>
  <c r="BA220" i="4"/>
  <c r="BB220" i="4"/>
  <c r="BC220" i="4"/>
  <c r="BD220" i="4"/>
  <c r="BE220" i="4"/>
  <c r="BF220" i="4"/>
  <c r="BG220" i="4"/>
  <c r="BH220" i="4"/>
  <c r="BI220" i="4"/>
  <c r="BJ220" i="4"/>
  <c r="BK220" i="4"/>
  <c r="BL220" i="4"/>
  <c r="BM220" i="4"/>
  <c r="BN220" i="4"/>
  <c r="BO220" i="4"/>
  <c r="BP220" i="4"/>
  <c r="BQ220" i="4"/>
  <c r="BR220" i="4"/>
  <c r="BS220" i="4"/>
  <c r="BT220" i="4"/>
  <c r="BU220" i="4"/>
  <c r="BV220" i="4"/>
  <c r="BW220" i="4"/>
  <c r="BX220" i="4"/>
  <c r="BY220" i="4"/>
  <c r="BZ220" i="4"/>
  <c r="CA220" i="4"/>
  <c r="CB220" i="4"/>
  <c r="CC220" i="4"/>
  <c r="CD220" i="4"/>
  <c r="CE220" i="4"/>
  <c r="CF220" i="4"/>
  <c r="CG220" i="4"/>
  <c r="CH220" i="4"/>
  <c r="CI220" i="4"/>
  <c r="CJ220" i="4"/>
  <c r="CK220" i="4"/>
  <c r="CL220" i="4"/>
  <c r="CM220" i="4"/>
  <c r="CN220" i="4"/>
  <c r="CO220" i="4"/>
  <c r="CP220" i="4"/>
  <c r="CQ220" i="4"/>
  <c r="CR220" i="4"/>
  <c r="CS220" i="4"/>
  <c r="CT220" i="4"/>
  <c r="CU220" i="4"/>
  <c r="CV220" i="4"/>
  <c r="CW220" i="4"/>
  <c r="CX220" i="4"/>
  <c r="CY220" i="4"/>
  <c r="CZ220" i="4"/>
  <c r="DA220" i="4"/>
  <c r="DB220" i="4"/>
  <c r="DC220" i="4"/>
  <c r="DD220" i="4"/>
  <c r="DE220" i="4"/>
  <c r="DF220" i="4"/>
  <c r="DG220" i="4"/>
  <c r="DH220" i="4"/>
  <c r="DI220" i="4"/>
  <c r="DJ220" i="4"/>
  <c r="DK220" i="4"/>
  <c r="DL220" i="4"/>
  <c r="DM220" i="4"/>
  <c r="DN220" i="4"/>
  <c r="DO220" i="4"/>
  <c r="DP220" i="4"/>
  <c r="DQ220" i="4"/>
  <c r="DR220" i="4"/>
  <c r="DS220" i="4"/>
  <c r="DT220" i="4"/>
  <c r="DU220" i="4"/>
  <c r="DV220" i="4"/>
  <c r="DW220" i="4"/>
  <c r="DX220" i="4"/>
  <c r="DY220" i="4"/>
  <c r="DZ220" i="4"/>
  <c r="EA220" i="4"/>
  <c r="EB220" i="4"/>
  <c r="EC220" i="4"/>
  <c r="ED220" i="4"/>
  <c r="EE220" i="4"/>
  <c r="EF220" i="4"/>
  <c r="EG220" i="4"/>
  <c r="EH220" i="4"/>
  <c r="EI220" i="4"/>
  <c r="EJ220" i="4"/>
  <c r="EK220" i="4"/>
  <c r="EL220" i="4"/>
  <c r="EM220" i="4"/>
  <c r="EN220" i="4"/>
  <c r="EO220" i="4"/>
  <c r="EP220" i="4"/>
  <c r="EQ220" i="4"/>
  <c r="ER220" i="4"/>
  <c r="ES220" i="4"/>
  <c r="ET220" i="4"/>
  <c r="EU220" i="4"/>
  <c r="EV220" i="4"/>
  <c r="EW220" i="4"/>
  <c r="EX220" i="4"/>
  <c r="EY220" i="4"/>
  <c r="EZ220" i="4"/>
  <c r="FA220" i="4"/>
  <c r="FB220" i="4"/>
  <c r="FC220" i="4"/>
  <c r="FD220" i="4"/>
  <c r="FE220" i="4"/>
  <c r="FF220" i="4"/>
  <c r="FG220" i="4"/>
  <c r="FH220" i="4"/>
  <c r="FI220" i="4"/>
  <c r="FJ220" i="4"/>
  <c r="FK220" i="4"/>
  <c r="FL220" i="4"/>
  <c r="FM220" i="4"/>
  <c r="FN220" i="4"/>
  <c r="FO220" i="4"/>
  <c r="FP220" i="4"/>
  <c r="FQ220" i="4"/>
  <c r="FR220" i="4"/>
  <c r="FS220" i="4"/>
  <c r="FT220" i="4"/>
  <c r="FU220" i="4"/>
  <c r="FV220" i="4"/>
  <c r="FW220" i="4"/>
  <c r="FX220" i="4"/>
  <c r="FY220" i="4"/>
  <c r="FZ220" i="4"/>
  <c r="GA220" i="4"/>
  <c r="GB220" i="4"/>
  <c r="GC220" i="4"/>
  <c r="GD220" i="4"/>
  <c r="GE220" i="4"/>
  <c r="GF220" i="4"/>
  <c r="GG220" i="4"/>
  <c r="GH220" i="4"/>
  <c r="GI220" i="4"/>
  <c r="GJ220" i="4"/>
  <c r="GK220" i="4"/>
  <c r="GL220" i="4"/>
  <c r="GM220" i="4"/>
  <c r="GN220" i="4"/>
  <c r="GO220" i="4"/>
  <c r="GP220" i="4"/>
  <c r="GQ220" i="4"/>
  <c r="GR220" i="4"/>
  <c r="GS220" i="4"/>
  <c r="GT220" i="4"/>
  <c r="GU220" i="4"/>
  <c r="GV220" i="4"/>
  <c r="GW220" i="4"/>
  <c r="GX220" i="4"/>
  <c r="GY220" i="4"/>
  <c r="GZ220" i="4"/>
  <c r="HA220" i="4"/>
  <c r="HB220" i="4"/>
  <c r="HC220" i="4"/>
  <c r="HD220" i="4"/>
  <c r="HE220" i="4"/>
  <c r="HF220" i="4"/>
  <c r="HG220" i="4"/>
  <c r="HH220" i="4"/>
  <c r="HI220" i="4"/>
  <c r="HJ220" i="4"/>
  <c r="HK220" i="4"/>
  <c r="HL220" i="4"/>
  <c r="HM220" i="4"/>
  <c r="HN220" i="4"/>
  <c r="HO220" i="4"/>
  <c r="HP220" i="4"/>
  <c r="HQ220" i="4"/>
  <c r="HR220" i="4"/>
  <c r="HS220" i="4"/>
  <c r="HT220" i="4"/>
  <c r="HU220" i="4"/>
  <c r="HV220" i="4"/>
  <c r="HW220" i="4"/>
  <c r="HX220" i="4"/>
  <c r="HY220" i="4"/>
  <c r="HZ220" i="4"/>
  <c r="IA220" i="4"/>
  <c r="IB220" i="4"/>
  <c r="IC220" i="4"/>
  <c r="ID220" i="4"/>
  <c r="IE220" i="4"/>
  <c r="IF220" i="4"/>
  <c r="IG220" i="4"/>
  <c r="IH220" i="4"/>
  <c r="II220" i="4"/>
  <c r="IJ220" i="4"/>
  <c r="IK220" i="4"/>
  <c r="IL220" i="4"/>
  <c r="IM220" i="4"/>
  <c r="IN220" i="4"/>
  <c r="IO220" i="4"/>
  <c r="IP220" i="4"/>
  <c r="IQ220" i="4"/>
  <c r="IR220" i="4"/>
  <c r="IS220" i="4"/>
  <c r="IT220" i="4"/>
  <c r="IU220" i="4"/>
  <c r="IV220" i="4"/>
  <c r="A219" i="4"/>
  <c r="B219" i="4"/>
  <c r="C219" i="4"/>
  <c r="D219" i="4"/>
  <c r="E219" i="4"/>
  <c r="F219" i="4"/>
  <c r="G219" i="4"/>
  <c r="H219" i="4"/>
  <c r="I219" i="4"/>
  <c r="J219" i="4"/>
  <c r="K219" i="4"/>
  <c r="L219" i="4"/>
  <c r="M219" i="4"/>
  <c r="N219" i="4"/>
  <c r="O219" i="4"/>
  <c r="P219" i="4"/>
  <c r="Q219" i="4"/>
  <c r="R219" i="4"/>
  <c r="S219" i="4"/>
  <c r="T219" i="4"/>
  <c r="U219" i="4"/>
  <c r="V219" i="4"/>
  <c r="W219" i="4"/>
  <c r="X219" i="4"/>
  <c r="Y219" i="4"/>
  <c r="AA219" i="4"/>
  <c r="AB219" i="4"/>
  <c r="AC219" i="4"/>
  <c r="AD219" i="4"/>
  <c r="AE219" i="4"/>
  <c r="AF219" i="4"/>
  <c r="AG219" i="4"/>
  <c r="AH219" i="4"/>
  <c r="AI219" i="4"/>
  <c r="AJ219" i="4"/>
  <c r="AK219" i="4"/>
  <c r="AL219" i="4"/>
  <c r="AM219" i="4"/>
  <c r="AN219" i="4"/>
  <c r="AO219" i="4"/>
  <c r="AP219" i="4"/>
  <c r="AQ219" i="4"/>
  <c r="AR219" i="4"/>
  <c r="AS219" i="4"/>
  <c r="AT219" i="4"/>
  <c r="AU219" i="4"/>
  <c r="AV219" i="4"/>
  <c r="AW219" i="4"/>
  <c r="AX219" i="4"/>
  <c r="AY219" i="4"/>
  <c r="AZ219" i="4"/>
  <c r="BA219" i="4"/>
  <c r="BB219" i="4"/>
  <c r="BC219" i="4"/>
  <c r="BD219" i="4"/>
  <c r="BE219" i="4"/>
  <c r="BF219" i="4"/>
  <c r="BG219" i="4"/>
  <c r="BH219" i="4"/>
  <c r="BI219" i="4"/>
  <c r="BJ219" i="4"/>
  <c r="BK219" i="4"/>
  <c r="BL219" i="4"/>
  <c r="BM219" i="4"/>
  <c r="BN219" i="4"/>
  <c r="BO219" i="4"/>
  <c r="BP219" i="4"/>
  <c r="BQ219" i="4"/>
  <c r="BR219" i="4"/>
  <c r="BS219" i="4"/>
  <c r="BT219" i="4"/>
  <c r="BU219" i="4"/>
  <c r="BV219" i="4"/>
  <c r="BW219" i="4"/>
  <c r="BX219" i="4"/>
  <c r="BY219" i="4"/>
  <c r="BZ219" i="4"/>
  <c r="CA219" i="4"/>
  <c r="CB219" i="4"/>
  <c r="CC219" i="4"/>
  <c r="CD219" i="4"/>
  <c r="CE219" i="4"/>
  <c r="CF219" i="4"/>
  <c r="CG219" i="4"/>
  <c r="CH219" i="4"/>
  <c r="CI219" i="4"/>
  <c r="CJ219" i="4"/>
  <c r="CK219" i="4"/>
  <c r="CL219" i="4"/>
  <c r="CM219" i="4"/>
  <c r="CN219" i="4"/>
  <c r="CO219" i="4"/>
  <c r="CP219" i="4"/>
  <c r="CQ219" i="4"/>
  <c r="CR219" i="4"/>
  <c r="CS219" i="4"/>
  <c r="CT219" i="4"/>
  <c r="CU219" i="4"/>
  <c r="CV219" i="4"/>
  <c r="CW219" i="4"/>
  <c r="CX219" i="4"/>
  <c r="CY219" i="4"/>
  <c r="CZ219" i="4"/>
  <c r="DA219" i="4"/>
  <c r="DB219" i="4"/>
  <c r="DC219" i="4"/>
  <c r="DD219" i="4"/>
  <c r="DE219" i="4"/>
  <c r="DF219" i="4"/>
  <c r="DG219" i="4"/>
  <c r="DH219" i="4"/>
  <c r="DI219" i="4"/>
  <c r="DJ219" i="4"/>
  <c r="DK219" i="4"/>
  <c r="DL219" i="4"/>
  <c r="DM219" i="4"/>
  <c r="DN219" i="4"/>
  <c r="DO219" i="4"/>
  <c r="DP219" i="4"/>
  <c r="DQ219" i="4"/>
  <c r="DR219" i="4"/>
  <c r="DS219" i="4"/>
  <c r="DT219" i="4"/>
  <c r="DU219" i="4"/>
  <c r="DV219" i="4"/>
  <c r="DW219" i="4"/>
  <c r="DX219" i="4"/>
  <c r="DY219" i="4"/>
  <c r="DZ219" i="4"/>
  <c r="EA219" i="4"/>
  <c r="EB219" i="4"/>
  <c r="EC219" i="4"/>
  <c r="ED219" i="4"/>
  <c r="EE219" i="4"/>
  <c r="EF219" i="4"/>
  <c r="EG219" i="4"/>
  <c r="EH219" i="4"/>
  <c r="EI219" i="4"/>
  <c r="EJ219" i="4"/>
  <c r="EK219" i="4"/>
  <c r="EL219" i="4"/>
  <c r="EM219" i="4"/>
  <c r="EN219" i="4"/>
  <c r="EO219" i="4"/>
  <c r="EP219" i="4"/>
  <c r="EQ219" i="4"/>
  <c r="ER219" i="4"/>
  <c r="ES219" i="4"/>
  <c r="ET219" i="4"/>
  <c r="EU219" i="4"/>
  <c r="EV219" i="4"/>
  <c r="EW219" i="4"/>
  <c r="EX219" i="4"/>
  <c r="EY219" i="4"/>
  <c r="EZ219" i="4"/>
  <c r="FA219" i="4"/>
  <c r="FB219" i="4"/>
  <c r="FC219" i="4"/>
  <c r="FD219" i="4"/>
  <c r="FE219" i="4"/>
  <c r="FF219" i="4"/>
  <c r="FG219" i="4"/>
  <c r="FH219" i="4"/>
  <c r="FI219" i="4"/>
  <c r="FJ219" i="4"/>
  <c r="FK219" i="4"/>
  <c r="FL219" i="4"/>
  <c r="FM219" i="4"/>
  <c r="FN219" i="4"/>
  <c r="FO219" i="4"/>
  <c r="FP219" i="4"/>
  <c r="FQ219" i="4"/>
  <c r="FR219" i="4"/>
  <c r="FS219" i="4"/>
  <c r="FT219" i="4"/>
  <c r="FU219" i="4"/>
  <c r="FV219" i="4"/>
  <c r="FW219" i="4"/>
  <c r="FX219" i="4"/>
  <c r="FY219" i="4"/>
  <c r="FZ219" i="4"/>
  <c r="GA219" i="4"/>
  <c r="GB219" i="4"/>
  <c r="GC219" i="4"/>
  <c r="GD219" i="4"/>
  <c r="GE219" i="4"/>
  <c r="GF219" i="4"/>
  <c r="GG219" i="4"/>
  <c r="GH219" i="4"/>
  <c r="GI219" i="4"/>
  <c r="GJ219" i="4"/>
  <c r="GK219" i="4"/>
  <c r="GL219" i="4"/>
  <c r="GM219" i="4"/>
  <c r="GN219" i="4"/>
  <c r="GO219" i="4"/>
  <c r="GP219" i="4"/>
  <c r="GQ219" i="4"/>
  <c r="GR219" i="4"/>
  <c r="GS219" i="4"/>
  <c r="GT219" i="4"/>
  <c r="GU219" i="4"/>
  <c r="GV219" i="4"/>
  <c r="GW219" i="4"/>
  <c r="GX219" i="4"/>
  <c r="GY219" i="4"/>
  <c r="GZ219" i="4"/>
  <c r="HA219" i="4"/>
  <c r="HB219" i="4"/>
  <c r="HC219" i="4"/>
  <c r="HD219" i="4"/>
  <c r="HE219" i="4"/>
  <c r="HF219" i="4"/>
  <c r="HG219" i="4"/>
  <c r="HH219" i="4"/>
  <c r="HI219" i="4"/>
  <c r="HJ219" i="4"/>
  <c r="HK219" i="4"/>
  <c r="HL219" i="4"/>
  <c r="HM219" i="4"/>
  <c r="HN219" i="4"/>
  <c r="HO219" i="4"/>
  <c r="HP219" i="4"/>
  <c r="HQ219" i="4"/>
  <c r="HR219" i="4"/>
  <c r="HS219" i="4"/>
  <c r="HT219" i="4"/>
  <c r="HU219" i="4"/>
  <c r="HV219" i="4"/>
  <c r="HW219" i="4"/>
  <c r="HX219" i="4"/>
  <c r="HY219" i="4"/>
  <c r="HZ219" i="4"/>
  <c r="IA219" i="4"/>
  <c r="IB219" i="4"/>
  <c r="IC219" i="4"/>
  <c r="ID219" i="4"/>
  <c r="IE219" i="4"/>
  <c r="IF219" i="4"/>
  <c r="IG219" i="4"/>
  <c r="IH219" i="4"/>
  <c r="II219" i="4"/>
  <c r="IJ219" i="4"/>
  <c r="IK219" i="4"/>
  <c r="IL219" i="4"/>
  <c r="IM219" i="4"/>
  <c r="IN219" i="4"/>
  <c r="IO219" i="4"/>
  <c r="IP219" i="4"/>
  <c r="IQ219" i="4"/>
  <c r="IR219" i="4"/>
  <c r="IS219" i="4"/>
  <c r="IT219" i="4"/>
  <c r="IU219" i="4"/>
  <c r="IV219" i="4"/>
  <c r="A218" i="4"/>
  <c r="B218" i="4"/>
  <c r="C218" i="4"/>
  <c r="D218" i="4"/>
  <c r="E218" i="4"/>
  <c r="F218" i="4"/>
  <c r="G218" i="4"/>
  <c r="H218" i="4"/>
  <c r="I218" i="4"/>
  <c r="J218" i="4"/>
  <c r="K218" i="4"/>
  <c r="L218" i="4"/>
  <c r="M218" i="4"/>
  <c r="N218" i="4"/>
  <c r="O218" i="4"/>
  <c r="P218" i="4"/>
  <c r="Q218" i="4"/>
  <c r="R218" i="4"/>
  <c r="S218" i="4"/>
  <c r="T218" i="4"/>
  <c r="U218" i="4"/>
  <c r="V218" i="4"/>
  <c r="W218" i="4"/>
  <c r="X218" i="4"/>
  <c r="Y218" i="4"/>
  <c r="Z218" i="4"/>
  <c r="AB218" i="4"/>
  <c r="AC218" i="4"/>
  <c r="AD218" i="4"/>
  <c r="AE218" i="4"/>
  <c r="AF218" i="4"/>
  <c r="AG218" i="4"/>
  <c r="AH218" i="4"/>
  <c r="AI218" i="4"/>
  <c r="AJ218" i="4"/>
  <c r="AK218" i="4"/>
  <c r="AL218" i="4"/>
  <c r="AM218" i="4"/>
  <c r="AN218" i="4"/>
  <c r="AO218" i="4"/>
  <c r="AP218" i="4"/>
  <c r="AQ218" i="4"/>
  <c r="AR218" i="4"/>
  <c r="AS218" i="4"/>
  <c r="AT218" i="4"/>
  <c r="AU218" i="4"/>
  <c r="AV218" i="4"/>
  <c r="AW218" i="4"/>
  <c r="AX218" i="4"/>
  <c r="AY218" i="4"/>
  <c r="AZ218" i="4"/>
  <c r="BA218" i="4"/>
  <c r="BB218" i="4"/>
  <c r="BC218" i="4"/>
  <c r="BD218" i="4"/>
  <c r="BE218" i="4"/>
  <c r="BF218" i="4"/>
  <c r="BG218" i="4"/>
  <c r="BH218" i="4"/>
  <c r="BI218" i="4"/>
  <c r="BJ218" i="4"/>
  <c r="BK218" i="4"/>
  <c r="BL218" i="4"/>
  <c r="BM218" i="4"/>
  <c r="BN218" i="4"/>
  <c r="BO218" i="4"/>
  <c r="BP218" i="4"/>
  <c r="BQ218" i="4"/>
  <c r="BR218" i="4"/>
  <c r="BS218" i="4"/>
  <c r="BT218" i="4"/>
  <c r="BU218" i="4"/>
  <c r="BV218" i="4"/>
  <c r="BW218" i="4"/>
  <c r="BX218" i="4"/>
  <c r="BY218" i="4"/>
  <c r="BZ218" i="4"/>
  <c r="CA218" i="4"/>
  <c r="CB218" i="4"/>
  <c r="CC218" i="4"/>
  <c r="CD218" i="4"/>
  <c r="CE218" i="4"/>
  <c r="CF218" i="4"/>
  <c r="CG218" i="4"/>
  <c r="CH218" i="4"/>
  <c r="CI218" i="4"/>
  <c r="CJ218" i="4"/>
  <c r="CK218" i="4"/>
  <c r="CL218" i="4"/>
  <c r="CM218" i="4"/>
  <c r="CN218" i="4"/>
  <c r="CO218" i="4"/>
  <c r="CP218" i="4"/>
  <c r="CQ218" i="4"/>
  <c r="CR218" i="4"/>
  <c r="CS218" i="4"/>
  <c r="CT218" i="4"/>
  <c r="CU218" i="4"/>
  <c r="CV218" i="4"/>
  <c r="CW218" i="4"/>
  <c r="CX218" i="4"/>
  <c r="CY218" i="4"/>
  <c r="CZ218" i="4"/>
  <c r="DA218" i="4"/>
  <c r="DB218" i="4"/>
  <c r="DC218" i="4"/>
  <c r="DD218" i="4"/>
  <c r="DE218" i="4"/>
  <c r="DF218" i="4"/>
  <c r="DG218" i="4"/>
  <c r="DH218" i="4"/>
  <c r="DI218" i="4"/>
  <c r="DJ218" i="4"/>
  <c r="DK218" i="4"/>
  <c r="DL218" i="4"/>
  <c r="DM218" i="4"/>
  <c r="DN218" i="4"/>
  <c r="DO218" i="4"/>
  <c r="DP218" i="4"/>
  <c r="DQ218" i="4"/>
  <c r="DR218" i="4"/>
  <c r="DS218" i="4"/>
  <c r="DT218" i="4"/>
  <c r="DU218" i="4"/>
  <c r="DV218" i="4"/>
  <c r="DW218" i="4"/>
  <c r="DX218" i="4"/>
  <c r="DY218" i="4"/>
  <c r="DZ218" i="4"/>
  <c r="EA218" i="4"/>
  <c r="EB218" i="4"/>
  <c r="EC218" i="4"/>
  <c r="ED218" i="4"/>
  <c r="EE218" i="4"/>
  <c r="EF218" i="4"/>
  <c r="EG218" i="4"/>
  <c r="EH218" i="4"/>
  <c r="EI218" i="4"/>
  <c r="EJ218" i="4"/>
  <c r="EK218" i="4"/>
  <c r="EL218" i="4"/>
  <c r="EM218" i="4"/>
  <c r="EN218" i="4"/>
  <c r="EO218" i="4"/>
  <c r="EP218" i="4"/>
  <c r="EQ218" i="4"/>
  <c r="ER218" i="4"/>
  <c r="ES218" i="4"/>
  <c r="ET218" i="4"/>
  <c r="EU218" i="4"/>
  <c r="EV218" i="4"/>
  <c r="EW218" i="4"/>
  <c r="EX218" i="4"/>
  <c r="EY218" i="4"/>
  <c r="EZ218" i="4"/>
  <c r="FA218" i="4"/>
  <c r="FB218" i="4"/>
  <c r="FC218" i="4"/>
  <c r="FD218" i="4"/>
  <c r="FE218" i="4"/>
  <c r="FF218" i="4"/>
  <c r="FG218" i="4"/>
  <c r="FH218" i="4"/>
  <c r="FI218" i="4"/>
  <c r="FJ218" i="4"/>
  <c r="FK218" i="4"/>
  <c r="FL218" i="4"/>
  <c r="FM218" i="4"/>
  <c r="FN218" i="4"/>
  <c r="FO218" i="4"/>
  <c r="FP218" i="4"/>
  <c r="FQ218" i="4"/>
  <c r="FR218" i="4"/>
  <c r="FS218" i="4"/>
  <c r="FT218" i="4"/>
  <c r="FU218" i="4"/>
  <c r="FV218" i="4"/>
  <c r="FW218" i="4"/>
  <c r="FX218" i="4"/>
  <c r="FY218" i="4"/>
  <c r="FZ218" i="4"/>
  <c r="GA218" i="4"/>
  <c r="GB218" i="4"/>
  <c r="GC218" i="4"/>
  <c r="GD218" i="4"/>
  <c r="GE218" i="4"/>
  <c r="GF218" i="4"/>
  <c r="GG218" i="4"/>
  <c r="GH218" i="4"/>
  <c r="GI218" i="4"/>
  <c r="GJ218" i="4"/>
  <c r="GK218" i="4"/>
  <c r="GL218" i="4"/>
  <c r="GM218" i="4"/>
  <c r="GN218" i="4"/>
  <c r="GO218" i="4"/>
  <c r="GP218" i="4"/>
  <c r="GQ218" i="4"/>
  <c r="GR218" i="4"/>
  <c r="GS218" i="4"/>
  <c r="GT218" i="4"/>
  <c r="GU218" i="4"/>
  <c r="GV218" i="4"/>
  <c r="GW218" i="4"/>
  <c r="GX218" i="4"/>
  <c r="GY218" i="4"/>
  <c r="GZ218" i="4"/>
  <c r="HA218" i="4"/>
  <c r="HB218" i="4"/>
  <c r="HC218" i="4"/>
  <c r="HD218" i="4"/>
  <c r="HE218" i="4"/>
  <c r="HF218" i="4"/>
  <c r="HG218" i="4"/>
  <c r="HH218" i="4"/>
  <c r="HI218" i="4"/>
  <c r="HJ218" i="4"/>
  <c r="HK218" i="4"/>
  <c r="HL218" i="4"/>
  <c r="HM218" i="4"/>
  <c r="HN218" i="4"/>
  <c r="HO218" i="4"/>
  <c r="HP218" i="4"/>
  <c r="HQ218" i="4"/>
  <c r="HR218" i="4"/>
  <c r="HS218" i="4"/>
  <c r="HT218" i="4"/>
  <c r="HU218" i="4"/>
  <c r="HV218" i="4"/>
  <c r="HW218" i="4"/>
  <c r="HX218" i="4"/>
  <c r="HY218" i="4"/>
  <c r="HZ218" i="4"/>
  <c r="IA218" i="4"/>
  <c r="IB218" i="4"/>
  <c r="IC218" i="4"/>
  <c r="ID218" i="4"/>
  <c r="IE218" i="4"/>
  <c r="IF218" i="4"/>
  <c r="IG218" i="4"/>
  <c r="IH218" i="4"/>
  <c r="II218" i="4"/>
  <c r="IJ218" i="4"/>
  <c r="IK218" i="4"/>
  <c r="IL218" i="4"/>
  <c r="IM218" i="4"/>
  <c r="IN218" i="4"/>
  <c r="IO218" i="4"/>
  <c r="IP218" i="4"/>
  <c r="IQ218" i="4"/>
  <c r="IR218" i="4"/>
  <c r="IS218" i="4"/>
  <c r="IT218" i="4"/>
  <c r="IU218" i="4"/>
  <c r="IV218" i="4"/>
  <c r="A217" i="4"/>
  <c r="B217" i="4"/>
  <c r="C217" i="4"/>
  <c r="D217" i="4"/>
  <c r="E217" i="4"/>
  <c r="F217" i="4"/>
  <c r="G217" i="4"/>
  <c r="H217" i="4"/>
  <c r="I217" i="4"/>
  <c r="J217" i="4"/>
  <c r="K217" i="4"/>
  <c r="L217" i="4"/>
  <c r="M217" i="4"/>
  <c r="N217" i="4"/>
  <c r="O217" i="4"/>
  <c r="P217" i="4"/>
  <c r="Q217" i="4"/>
  <c r="R217" i="4"/>
  <c r="S217" i="4"/>
  <c r="T217" i="4"/>
  <c r="U217" i="4"/>
  <c r="V217" i="4"/>
  <c r="W217" i="4"/>
  <c r="X217" i="4"/>
  <c r="Y217" i="4"/>
  <c r="Z217" i="4"/>
  <c r="AA217" i="4"/>
  <c r="AC217" i="4"/>
  <c r="AD217" i="4"/>
  <c r="AE217" i="4"/>
  <c r="AF217" i="4"/>
  <c r="AG217" i="4"/>
  <c r="AH217" i="4"/>
  <c r="AI217" i="4"/>
  <c r="AJ217" i="4"/>
  <c r="AK217" i="4"/>
  <c r="AL217" i="4"/>
  <c r="AM217" i="4"/>
  <c r="AN217" i="4"/>
  <c r="AO217" i="4"/>
  <c r="AP217" i="4"/>
  <c r="AQ217" i="4"/>
  <c r="AR217" i="4"/>
  <c r="AS217" i="4"/>
  <c r="AT217" i="4"/>
  <c r="AU217" i="4"/>
  <c r="AV217" i="4"/>
  <c r="AW217" i="4"/>
  <c r="AX217" i="4"/>
  <c r="AY217" i="4"/>
  <c r="AZ217" i="4"/>
  <c r="BA217" i="4"/>
  <c r="BB217" i="4"/>
  <c r="BC217" i="4"/>
  <c r="BD217" i="4"/>
  <c r="BE217" i="4"/>
  <c r="BF217" i="4"/>
  <c r="BG217" i="4"/>
  <c r="BH217" i="4"/>
  <c r="BI217" i="4"/>
  <c r="BJ217" i="4"/>
  <c r="BK217" i="4"/>
  <c r="BL217" i="4"/>
  <c r="BM217" i="4"/>
  <c r="BN217" i="4"/>
  <c r="BO217" i="4"/>
  <c r="BP217" i="4"/>
  <c r="BQ217" i="4"/>
  <c r="BR217" i="4"/>
  <c r="BS217" i="4"/>
  <c r="BT217" i="4"/>
  <c r="BU217" i="4"/>
  <c r="BV217" i="4"/>
  <c r="BW217" i="4"/>
  <c r="BX217" i="4"/>
  <c r="BY217" i="4"/>
  <c r="BZ217" i="4"/>
  <c r="CA217" i="4"/>
  <c r="CB217" i="4"/>
  <c r="CC217" i="4"/>
  <c r="CD217" i="4"/>
  <c r="CE217" i="4"/>
  <c r="CF217" i="4"/>
  <c r="CG217" i="4"/>
  <c r="CH217" i="4"/>
  <c r="CI217" i="4"/>
  <c r="CJ217" i="4"/>
  <c r="CK217" i="4"/>
  <c r="CL217" i="4"/>
  <c r="CM217" i="4"/>
  <c r="CN217" i="4"/>
  <c r="CO217" i="4"/>
  <c r="CP217" i="4"/>
  <c r="CQ217" i="4"/>
  <c r="CR217" i="4"/>
  <c r="CS217" i="4"/>
  <c r="CT217" i="4"/>
  <c r="CU217" i="4"/>
  <c r="CV217" i="4"/>
  <c r="CW217" i="4"/>
  <c r="CX217" i="4"/>
  <c r="CY217" i="4"/>
  <c r="CZ217" i="4"/>
  <c r="DA217" i="4"/>
  <c r="DB217" i="4"/>
  <c r="DC217" i="4"/>
  <c r="DD217" i="4"/>
  <c r="DE217" i="4"/>
  <c r="DF217" i="4"/>
  <c r="DG217" i="4"/>
  <c r="DH217" i="4"/>
  <c r="DI217" i="4"/>
  <c r="DJ217" i="4"/>
  <c r="DK217" i="4"/>
  <c r="DL217" i="4"/>
  <c r="DM217" i="4"/>
  <c r="DN217" i="4"/>
  <c r="DO217" i="4"/>
  <c r="DP217" i="4"/>
  <c r="DQ217" i="4"/>
  <c r="DR217" i="4"/>
  <c r="DS217" i="4"/>
  <c r="DT217" i="4"/>
  <c r="DU217" i="4"/>
  <c r="DV217" i="4"/>
  <c r="DW217" i="4"/>
  <c r="DX217" i="4"/>
  <c r="DY217" i="4"/>
  <c r="DZ217" i="4"/>
  <c r="EA217" i="4"/>
  <c r="EB217" i="4"/>
  <c r="EC217" i="4"/>
  <c r="ED217" i="4"/>
  <c r="EE217" i="4"/>
  <c r="EF217" i="4"/>
  <c r="EG217" i="4"/>
  <c r="EH217" i="4"/>
  <c r="EI217" i="4"/>
  <c r="EJ217" i="4"/>
  <c r="EK217" i="4"/>
  <c r="EL217" i="4"/>
  <c r="EM217" i="4"/>
  <c r="EN217" i="4"/>
  <c r="EO217" i="4"/>
  <c r="EP217" i="4"/>
  <c r="EQ217" i="4"/>
  <c r="ER217" i="4"/>
  <c r="ES217" i="4"/>
  <c r="ET217" i="4"/>
  <c r="EU217" i="4"/>
  <c r="EV217" i="4"/>
  <c r="EW217" i="4"/>
  <c r="EX217" i="4"/>
  <c r="EY217" i="4"/>
  <c r="EZ217" i="4"/>
  <c r="FA217" i="4"/>
  <c r="FB217" i="4"/>
  <c r="FC217" i="4"/>
  <c r="FD217" i="4"/>
  <c r="FE217" i="4"/>
  <c r="FF217" i="4"/>
  <c r="FG217" i="4"/>
  <c r="FH217" i="4"/>
  <c r="FI217" i="4"/>
  <c r="FJ217" i="4"/>
  <c r="FK217" i="4"/>
  <c r="FL217" i="4"/>
  <c r="FM217" i="4"/>
  <c r="FN217" i="4"/>
  <c r="FO217" i="4"/>
  <c r="FP217" i="4"/>
  <c r="FQ217" i="4"/>
  <c r="FR217" i="4"/>
  <c r="FS217" i="4"/>
  <c r="FT217" i="4"/>
  <c r="FU217" i="4"/>
  <c r="FV217" i="4"/>
  <c r="FW217" i="4"/>
  <c r="FX217" i="4"/>
  <c r="FY217" i="4"/>
  <c r="FZ217" i="4"/>
  <c r="GA217" i="4"/>
  <c r="GB217" i="4"/>
  <c r="GC217" i="4"/>
  <c r="GD217" i="4"/>
  <c r="GE217" i="4"/>
  <c r="GF217" i="4"/>
  <c r="GG217" i="4"/>
  <c r="GH217" i="4"/>
  <c r="GI217" i="4"/>
  <c r="GJ217" i="4"/>
  <c r="GK217" i="4"/>
  <c r="GL217" i="4"/>
  <c r="GM217" i="4"/>
  <c r="GN217" i="4"/>
  <c r="GO217" i="4"/>
  <c r="GP217" i="4"/>
  <c r="GQ217" i="4"/>
  <c r="GR217" i="4"/>
  <c r="GS217" i="4"/>
  <c r="GT217" i="4"/>
  <c r="GU217" i="4"/>
  <c r="GV217" i="4"/>
  <c r="GW217" i="4"/>
  <c r="GX217" i="4"/>
  <c r="GY217" i="4"/>
  <c r="GZ217" i="4"/>
  <c r="HA217" i="4"/>
  <c r="HB217" i="4"/>
  <c r="HC217" i="4"/>
  <c r="HD217" i="4"/>
  <c r="HE217" i="4"/>
  <c r="HF217" i="4"/>
  <c r="HG217" i="4"/>
  <c r="HH217" i="4"/>
  <c r="HI217" i="4"/>
  <c r="HJ217" i="4"/>
  <c r="HK217" i="4"/>
  <c r="HL217" i="4"/>
  <c r="HM217" i="4"/>
  <c r="HN217" i="4"/>
  <c r="HO217" i="4"/>
  <c r="HP217" i="4"/>
  <c r="HQ217" i="4"/>
  <c r="HR217" i="4"/>
  <c r="HS217" i="4"/>
  <c r="HT217" i="4"/>
  <c r="HU217" i="4"/>
  <c r="HV217" i="4"/>
  <c r="HW217" i="4"/>
  <c r="HX217" i="4"/>
  <c r="HY217" i="4"/>
  <c r="HZ217" i="4"/>
  <c r="IA217" i="4"/>
  <c r="IB217" i="4"/>
  <c r="IC217" i="4"/>
  <c r="ID217" i="4"/>
  <c r="IE217" i="4"/>
  <c r="IF217" i="4"/>
  <c r="IG217" i="4"/>
  <c r="IH217" i="4"/>
  <c r="II217" i="4"/>
  <c r="IJ217" i="4"/>
  <c r="IK217" i="4"/>
  <c r="IL217" i="4"/>
  <c r="IM217" i="4"/>
  <c r="IN217" i="4"/>
  <c r="IO217" i="4"/>
  <c r="IP217" i="4"/>
  <c r="IQ217" i="4"/>
  <c r="IR217" i="4"/>
  <c r="IS217" i="4"/>
  <c r="IT217" i="4"/>
  <c r="IU217" i="4"/>
  <c r="IV217" i="4"/>
  <c r="A216" i="4"/>
  <c r="B216" i="4"/>
  <c r="C216" i="4"/>
  <c r="D216" i="4"/>
  <c r="E216" i="4"/>
  <c r="F216" i="4"/>
  <c r="G216" i="4"/>
  <c r="H216" i="4"/>
  <c r="I216" i="4"/>
  <c r="J216" i="4"/>
  <c r="K216" i="4"/>
  <c r="L216" i="4"/>
  <c r="M216" i="4"/>
  <c r="N216" i="4"/>
  <c r="O216" i="4"/>
  <c r="P216" i="4"/>
  <c r="Q216" i="4"/>
  <c r="R216" i="4"/>
  <c r="S216" i="4"/>
  <c r="T216" i="4"/>
  <c r="U216" i="4"/>
  <c r="V216" i="4"/>
  <c r="W216" i="4"/>
  <c r="X216" i="4"/>
  <c r="Y216" i="4"/>
  <c r="Z216" i="4"/>
  <c r="AA216" i="4"/>
  <c r="AB216" i="4"/>
  <c r="AD216" i="4"/>
  <c r="AE216" i="4"/>
  <c r="AF216" i="4"/>
  <c r="AG216" i="4"/>
  <c r="AH216" i="4"/>
  <c r="AI216" i="4"/>
  <c r="AJ216" i="4"/>
  <c r="AK216" i="4"/>
  <c r="AL216" i="4"/>
  <c r="AM216" i="4"/>
  <c r="AN216" i="4"/>
  <c r="AO216" i="4"/>
  <c r="AP216" i="4"/>
  <c r="AQ216" i="4"/>
  <c r="AR216" i="4"/>
  <c r="AS216" i="4"/>
  <c r="AT216" i="4"/>
  <c r="AU216" i="4"/>
  <c r="AV216" i="4"/>
  <c r="AW216" i="4"/>
  <c r="AX216" i="4"/>
  <c r="AY216" i="4"/>
  <c r="AZ216" i="4"/>
  <c r="BA216" i="4"/>
  <c r="BB216" i="4"/>
  <c r="BC216" i="4"/>
  <c r="BD216" i="4"/>
  <c r="BE216" i="4"/>
  <c r="BF216" i="4"/>
  <c r="BG216" i="4"/>
  <c r="BH216" i="4"/>
  <c r="BI216" i="4"/>
  <c r="BJ216" i="4"/>
  <c r="BK216" i="4"/>
  <c r="BL216" i="4"/>
  <c r="BM216" i="4"/>
  <c r="BN216" i="4"/>
  <c r="BO216" i="4"/>
  <c r="BP216" i="4"/>
  <c r="BQ216" i="4"/>
  <c r="BR216" i="4"/>
  <c r="BS216" i="4"/>
  <c r="BT216" i="4"/>
  <c r="BU216" i="4"/>
  <c r="BV216" i="4"/>
  <c r="BW216" i="4"/>
  <c r="BX216" i="4"/>
  <c r="BY216" i="4"/>
  <c r="BZ216" i="4"/>
  <c r="CA216" i="4"/>
  <c r="CB216" i="4"/>
  <c r="CC216" i="4"/>
  <c r="CD216" i="4"/>
  <c r="CE216" i="4"/>
  <c r="CF216" i="4"/>
  <c r="CG216" i="4"/>
  <c r="CH216" i="4"/>
  <c r="CI216" i="4"/>
  <c r="CJ216" i="4"/>
  <c r="CK216" i="4"/>
  <c r="CL216" i="4"/>
  <c r="CM216" i="4"/>
  <c r="CN216" i="4"/>
  <c r="CO216" i="4"/>
  <c r="CP216" i="4"/>
  <c r="CQ216" i="4"/>
  <c r="CR216" i="4"/>
  <c r="CS216" i="4"/>
  <c r="CT216" i="4"/>
  <c r="CU216" i="4"/>
  <c r="CV216" i="4"/>
  <c r="CW216" i="4"/>
  <c r="CX216" i="4"/>
  <c r="CY216" i="4"/>
  <c r="CZ216" i="4"/>
  <c r="DA216" i="4"/>
  <c r="DB216" i="4"/>
  <c r="DC216" i="4"/>
  <c r="DD216" i="4"/>
  <c r="DE216" i="4"/>
  <c r="DF216" i="4"/>
  <c r="DG216" i="4"/>
  <c r="DH216" i="4"/>
  <c r="DI216" i="4"/>
  <c r="DJ216" i="4"/>
  <c r="DK216" i="4"/>
  <c r="DL216" i="4"/>
  <c r="DM216" i="4"/>
  <c r="DN216" i="4"/>
  <c r="DO216" i="4"/>
  <c r="DP216" i="4"/>
  <c r="DQ216" i="4"/>
  <c r="DR216" i="4"/>
  <c r="DS216" i="4"/>
  <c r="DT216" i="4"/>
  <c r="DU216" i="4"/>
  <c r="DV216" i="4"/>
  <c r="DW216" i="4"/>
  <c r="DX216" i="4"/>
  <c r="DY216" i="4"/>
  <c r="DZ216" i="4"/>
  <c r="EA216" i="4"/>
  <c r="EB216" i="4"/>
  <c r="EC216" i="4"/>
  <c r="ED216" i="4"/>
  <c r="EE216" i="4"/>
  <c r="EF216" i="4"/>
  <c r="EG216" i="4"/>
  <c r="EH216" i="4"/>
  <c r="EI216" i="4"/>
  <c r="EJ216" i="4"/>
  <c r="EK216" i="4"/>
  <c r="EL216" i="4"/>
  <c r="EM216" i="4"/>
  <c r="EN216" i="4"/>
  <c r="EO216" i="4"/>
  <c r="EP216" i="4"/>
  <c r="EQ216" i="4"/>
  <c r="ER216" i="4"/>
  <c r="ES216" i="4"/>
  <c r="ET216" i="4"/>
  <c r="EU216" i="4"/>
  <c r="EV216" i="4"/>
  <c r="EW216" i="4"/>
  <c r="EX216" i="4"/>
  <c r="EY216" i="4"/>
  <c r="EZ216" i="4"/>
  <c r="FA216" i="4"/>
  <c r="FB216" i="4"/>
  <c r="FC216" i="4"/>
  <c r="FD216" i="4"/>
  <c r="FE216" i="4"/>
  <c r="FF216" i="4"/>
  <c r="FG216" i="4"/>
  <c r="FH216" i="4"/>
  <c r="FI216" i="4"/>
  <c r="FJ216" i="4"/>
  <c r="FK216" i="4"/>
  <c r="FL216" i="4"/>
  <c r="FM216" i="4"/>
  <c r="FN216" i="4"/>
  <c r="FO216" i="4"/>
  <c r="FP216" i="4"/>
  <c r="FQ216" i="4"/>
  <c r="FR216" i="4"/>
  <c r="FS216" i="4"/>
  <c r="FT216" i="4"/>
  <c r="FU216" i="4"/>
  <c r="FV216" i="4"/>
  <c r="FW216" i="4"/>
  <c r="FX216" i="4"/>
  <c r="FY216" i="4"/>
  <c r="FZ216" i="4"/>
  <c r="GA216" i="4"/>
  <c r="GB216" i="4"/>
  <c r="GC216" i="4"/>
  <c r="GD216" i="4"/>
  <c r="GE216" i="4"/>
  <c r="GF216" i="4"/>
  <c r="GG216" i="4"/>
  <c r="GH216" i="4"/>
  <c r="GI216" i="4"/>
  <c r="GJ216" i="4"/>
  <c r="GK216" i="4"/>
  <c r="GL216" i="4"/>
  <c r="GM216" i="4"/>
  <c r="GN216" i="4"/>
  <c r="GO216" i="4"/>
  <c r="GP216" i="4"/>
  <c r="GQ216" i="4"/>
  <c r="GR216" i="4"/>
  <c r="GS216" i="4"/>
  <c r="GT216" i="4"/>
  <c r="GU216" i="4"/>
  <c r="GV216" i="4"/>
  <c r="GW216" i="4"/>
  <c r="GX216" i="4"/>
  <c r="GY216" i="4"/>
  <c r="GZ216" i="4"/>
  <c r="HA216" i="4"/>
  <c r="HB216" i="4"/>
  <c r="HC216" i="4"/>
  <c r="HD216" i="4"/>
  <c r="HE216" i="4"/>
  <c r="HF216" i="4"/>
  <c r="HG216" i="4"/>
  <c r="HH216" i="4"/>
  <c r="HI216" i="4"/>
  <c r="HJ216" i="4"/>
  <c r="HK216" i="4"/>
  <c r="HL216" i="4"/>
  <c r="HM216" i="4"/>
  <c r="HN216" i="4"/>
  <c r="HO216" i="4"/>
  <c r="HP216" i="4"/>
  <c r="HQ216" i="4"/>
  <c r="HR216" i="4"/>
  <c r="HS216" i="4"/>
  <c r="HT216" i="4"/>
  <c r="HU216" i="4"/>
  <c r="HV216" i="4"/>
  <c r="HW216" i="4"/>
  <c r="HX216" i="4"/>
  <c r="HY216" i="4"/>
  <c r="HZ216" i="4"/>
  <c r="IA216" i="4"/>
  <c r="IB216" i="4"/>
  <c r="IC216" i="4"/>
  <c r="ID216" i="4"/>
  <c r="IE216" i="4"/>
  <c r="IF216" i="4"/>
  <c r="IG216" i="4"/>
  <c r="IH216" i="4"/>
  <c r="II216" i="4"/>
  <c r="IJ216" i="4"/>
  <c r="IK216" i="4"/>
  <c r="IL216" i="4"/>
  <c r="IM216" i="4"/>
  <c r="IN216" i="4"/>
  <c r="IO216" i="4"/>
  <c r="IP216" i="4"/>
  <c r="IQ216" i="4"/>
  <c r="IR216" i="4"/>
  <c r="IS216" i="4"/>
  <c r="IT216" i="4"/>
  <c r="IU216" i="4"/>
  <c r="IV216" i="4"/>
  <c r="A215" i="4"/>
  <c r="B215" i="4"/>
  <c r="C215" i="4"/>
  <c r="D215" i="4"/>
  <c r="E215" i="4"/>
  <c r="F215" i="4"/>
  <c r="G215" i="4"/>
  <c r="H215" i="4"/>
  <c r="I215" i="4"/>
  <c r="J215" i="4"/>
  <c r="K215" i="4"/>
  <c r="L215" i="4"/>
  <c r="M215" i="4"/>
  <c r="N215" i="4"/>
  <c r="O215" i="4"/>
  <c r="P215" i="4"/>
  <c r="Q215" i="4"/>
  <c r="R215" i="4"/>
  <c r="S215" i="4"/>
  <c r="T215" i="4"/>
  <c r="U215" i="4"/>
  <c r="V215" i="4"/>
  <c r="W215" i="4"/>
  <c r="X215" i="4"/>
  <c r="Y215" i="4"/>
  <c r="Z215" i="4"/>
  <c r="AA215" i="4"/>
  <c r="AB215" i="4"/>
  <c r="AC215" i="4"/>
  <c r="AE215" i="4"/>
  <c r="AF215" i="4"/>
  <c r="AG215" i="4"/>
  <c r="AH215" i="4"/>
  <c r="AI215" i="4"/>
  <c r="AJ215" i="4"/>
  <c r="AK215" i="4"/>
  <c r="AL215" i="4"/>
  <c r="AM215" i="4"/>
  <c r="AN215" i="4"/>
  <c r="AO215" i="4"/>
  <c r="AP215" i="4"/>
  <c r="AQ215" i="4"/>
  <c r="AR215" i="4"/>
  <c r="AS215" i="4"/>
  <c r="AT215" i="4"/>
  <c r="AU215" i="4"/>
  <c r="AV215" i="4"/>
  <c r="AW215" i="4"/>
  <c r="AX215" i="4"/>
  <c r="AY215" i="4"/>
  <c r="AZ215" i="4"/>
  <c r="BA215" i="4"/>
  <c r="BB215" i="4"/>
  <c r="BC215" i="4"/>
  <c r="BD215" i="4"/>
  <c r="BE215" i="4"/>
  <c r="BF215" i="4"/>
  <c r="BG215" i="4"/>
  <c r="BH215" i="4"/>
  <c r="BI215" i="4"/>
  <c r="BJ215" i="4"/>
  <c r="BK215" i="4"/>
  <c r="BL215" i="4"/>
  <c r="BM215" i="4"/>
  <c r="BN215" i="4"/>
  <c r="BO215" i="4"/>
  <c r="BP215" i="4"/>
  <c r="BQ215" i="4"/>
  <c r="BR215" i="4"/>
  <c r="BS215" i="4"/>
  <c r="BT215" i="4"/>
  <c r="BU215" i="4"/>
  <c r="BV215" i="4"/>
  <c r="BW215" i="4"/>
  <c r="BX215" i="4"/>
  <c r="BY215" i="4"/>
  <c r="BZ215" i="4"/>
  <c r="CA215" i="4"/>
  <c r="CB215" i="4"/>
  <c r="CC215" i="4"/>
  <c r="CD215" i="4"/>
  <c r="CE215" i="4"/>
  <c r="CF215" i="4"/>
  <c r="CG215" i="4"/>
  <c r="CH215" i="4"/>
  <c r="CI215" i="4"/>
  <c r="CJ215" i="4"/>
  <c r="CK215" i="4"/>
  <c r="CL215" i="4"/>
  <c r="CM215" i="4"/>
  <c r="CN215" i="4"/>
  <c r="CO215" i="4"/>
  <c r="CP215" i="4"/>
  <c r="CQ215" i="4"/>
  <c r="CR215" i="4"/>
  <c r="CS215" i="4"/>
  <c r="CT215" i="4"/>
  <c r="CU215" i="4"/>
  <c r="CV215" i="4"/>
  <c r="CW215" i="4"/>
  <c r="CX215" i="4"/>
  <c r="CY215" i="4"/>
  <c r="CZ215" i="4"/>
  <c r="DA215" i="4"/>
  <c r="DB215" i="4"/>
  <c r="DC215" i="4"/>
  <c r="DD215" i="4"/>
  <c r="DE215" i="4"/>
  <c r="DF215" i="4"/>
  <c r="DG215" i="4"/>
  <c r="DH215" i="4"/>
  <c r="DI215" i="4"/>
  <c r="DJ215" i="4"/>
  <c r="DK215" i="4"/>
  <c r="DL215" i="4"/>
  <c r="DM215" i="4"/>
  <c r="DN215" i="4"/>
  <c r="DO215" i="4"/>
  <c r="DP215" i="4"/>
  <c r="DQ215" i="4"/>
  <c r="DR215" i="4"/>
  <c r="DS215" i="4"/>
  <c r="DT215" i="4"/>
  <c r="DU215" i="4"/>
  <c r="DV215" i="4"/>
  <c r="DW215" i="4"/>
  <c r="DX215" i="4"/>
  <c r="DY215" i="4"/>
  <c r="DZ215" i="4"/>
  <c r="EA215" i="4"/>
  <c r="EB215" i="4"/>
  <c r="EC215" i="4"/>
  <c r="ED215" i="4"/>
  <c r="EE215" i="4"/>
  <c r="EF215" i="4"/>
  <c r="EG215" i="4"/>
  <c r="EH215" i="4"/>
  <c r="EI215" i="4"/>
  <c r="EJ215" i="4"/>
  <c r="EK215" i="4"/>
  <c r="EL215" i="4"/>
  <c r="EM215" i="4"/>
  <c r="EN215" i="4"/>
  <c r="EO215" i="4"/>
  <c r="EP215" i="4"/>
  <c r="EQ215" i="4"/>
  <c r="ER215" i="4"/>
  <c r="ES215" i="4"/>
  <c r="ET215" i="4"/>
  <c r="EU215" i="4"/>
  <c r="EV215" i="4"/>
  <c r="EW215" i="4"/>
  <c r="EX215" i="4"/>
  <c r="EY215" i="4"/>
  <c r="EZ215" i="4"/>
  <c r="FA215" i="4"/>
  <c r="FB215" i="4"/>
  <c r="FC215" i="4"/>
  <c r="FD215" i="4"/>
  <c r="FE215" i="4"/>
  <c r="FF215" i="4"/>
  <c r="FG215" i="4"/>
  <c r="FH215" i="4"/>
  <c r="FI215" i="4"/>
  <c r="FJ215" i="4"/>
  <c r="FK215" i="4"/>
  <c r="FL215" i="4"/>
  <c r="FM215" i="4"/>
  <c r="FN215" i="4"/>
  <c r="FO215" i="4"/>
  <c r="FP215" i="4"/>
  <c r="FQ215" i="4"/>
  <c r="FR215" i="4"/>
  <c r="FS215" i="4"/>
  <c r="FT215" i="4"/>
  <c r="FU215" i="4"/>
  <c r="FV215" i="4"/>
  <c r="FW215" i="4"/>
  <c r="FX215" i="4"/>
  <c r="FY215" i="4"/>
  <c r="FZ215" i="4"/>
  <c r="GA215" i="4"/>
  <c r="GB215" i="4"/>
  <c r="GC215" i="4"/>
  <c r="GD215" i="4"/>
  <c r="GE215" i="4"/>
  <c r="GF215" i="4"/>
  <c r="GG215" i="4"/>
  <c r="GH215" i="4"/>
  <c r="GI215" i="4"/>
  <c r="GJ215" i="4"/>
  <c r="GK215" i="4"/>
  <c r="GL215" i="4"/>
  <c r="GM215" i="4"/>
  <c r="GN215" i="4"/>
  <c r="GO215" i="4"/>
  <c r="GP215" i="4"/>
  <c r="GQ215" i="4"/>
  <c r="GR215" i="4"/>
  <c r="GS215" i="4"/>
  <c r="GT215" i="4"/>
  <c r="GU215" i="4"/>
  <c r="GV215" i="4"/>
  <c r="GW215" i="4"/>
  <c r="GX215" i="4"/>
  <c r="GY215" i="4"/>
  <c r="GZ215" i="4"/>
  <c r="HA215" i="4"/>
  <c r="HB215" i="4"/>
  <c r="HC215" i="4"/>
  <c r="HD215" i="4"/>
  <c r="HE215" i="4"/>
  <c r="HF215" i="4"/>
  <c r="HG215" i="4"/>
  <c r="HH215" i="4"/>
  <c r="HI215" i="4"/>
  <c r="HJ215" i="4"/>
  <c r="HK215" i="4"/>
  <c r="HL215" i="4"/>
  <c r="HM215" i="4"/>
  <c r="HN215" i="4"/>
  <c r="HO215" i="4"/>
  <c r="HP215" i="4"/>
  <c r="HQ215" i="4"/>
  <c r="HR215" i="4"/>
  <c r="HS215" i="4"/>
  <c r="HT215" i="4"/>
  <c r="HU215" i="4"/>
  <c r="HV215" i="4"/>
  <c r="HW215" i="4"/>
  <c r="HX215" i="4"/>
  <c r="HY215" i="4"/>
  <c r="HZ215" i="4"/>
  <c r="IA215" i="4"/>
  <c r="IB215" i="4"/>
  <c r="IC215" i="4"/>
  <c r="ID215" i="4"/>
  <c r="IE215" i="4"/>
  <c r="IF215" i="4"/>
  <c r="IG215" i="4"/>
  <c r="IH215" i="4"/>
  <c r="II215" i="4"/>
  <c r="IJ215" i="4"/>
  <c r="IK215" i="4"/>
  <c r="IL215" i="4"/>
  <c r="IM215" i="4"/>
  <c r="IN215" i="4"/>
  <c r="IO215" i="4"/>
  <c r="IP215" i="4"/>
  <c r="IQ215" i="4"/>
  <c r="IR215" i="4"/>
  <c r="IS215" i="4"/>
  <c r="IT215" i="4"/>
  <c r="IU215" i="4"/>
  <c r="IV215" i="4"/>
  <c r="A214" i="4"/>
  <c r="B214" i="4"/>
  <c r="C214" i="4"/>
  <c r="D214" i="4"/>
  <c r="E214" i="4"/>
  <c r="F214" i="4"/>
  <c r="G214" i="4"/>
  <c r="H214" i="4"/>
  <c r="I214" i="4"/>
  <c r="J214" i="4"/>
  <c r="K214" i="4"/>
  <c r="L214" i="4"/>
  <c r="M214" i="4"/>
  <c r="N214" i="4"/>
  <c r="O214" i="4"/>
  <c r="P214" i="4"/>
  <c r="Q214" i="4"/>
  <c r="R214" i="4"/>
  <c r="S214" i="4"/>
  <c r="T214" i="4"/>
  <c r="U214" i="4"/>
  <c r="V214" i="4"/>
  <c r="W214" i="4"/>
  <c r="X214" i="4"/>
  <c r="Y214" i="4"/>
  <c r="Z214" i="4"/>
  <c r="AA214" i="4"/>
  <c r="AB214" i="4"/>
  <c r="AC214" i="4"/>
  <c r="AD214" i="4"/>
  <c r="AF214" i="4"/>
  <c r="AG214" i="4"/>
  <c r="AH214" i="4"/>
  <c r="AI214" i="4"/>
  <c r="AJ214" i="4"/>
  <c r="AK214" i="4"/>
  <c r="AL214" i="4"/>
  <c r="AM214" i="4"/>
  <c r="AN214" i="4"/>
  <c r="AO214" i="4"/>
  <c r="AP214" i="4"/>
  <c r="AQ214" i="4"/>
  <c r="AR214" i="4"/>
  <c r="AS214" i="4"/>
  <c r="AT214" i="4"/>
  <c r="AU214" i="4"/>
  <c r="AV214" i="4"/>
  <c r="AW214" i="4"/>
  <c r="AX214" i="4"/>
  <c r="AY214" i="4"/>
  <c r="AZ214" i="4"/>
  <c r="BA214" i="4"/>
  <c r="BB214" i="4"/>
  <c r="BC214" i="4"/>
  <c r="BD214" i="4"/>
  <c r="BE214" i="4"/>
  <c r="BF214" i="4"/>
  <c r="BG214" i="4"/>
  <c r="BH214" i="4"/>
  <c r="BI214" i="4"/>
  <c r="BJ214" i="4"/>
  <c r="BK214" i="4"/>
  <c r="BL214" i="4"/>
  <c r="BM214" i="4"/>
  <c r="BN214" i="4"/>
  <c r="BO214" i="4"/>
  <c r="BP214" i="4"/>
  <c r="BQ214" i="4"/>
  <c r="BR214" i="4"/>
  <c r="BS214" i="4"/>
  <c r="BT214" i="4"/>
  <c r="BU214" i="4"/>
  <c r="BV214" i="4"/>
  <c r="BW214" i="4"/>
  <c r="BX214" i="4"/>
  <c r="BY214" i="4"/>
  <c r="BZ214" i="4"/>
  <c r="CA214" i="4"/>
  <c r="CB214" i="4"/>
  <c r="CC214" i="4"/>
  <c r="CD214" i="4"/>
  <c r="CE214" i="4"/>
  <c r="CF214" i="4"/>
  <c r="CG214" i="4"/>
  <c r="CH214" i="4"/>
  <c r="CI214" i="4"/>
  <c r="CJ214" i="4"/>
  <c r="CK214" i="4"/>
  <c r="CL214" i="4"/>
  <c r="CM214" i="4"/>
  <c r="CN214" i="4"/>
  <c r="CO214" i="4"/>
  <c r="CP214" i="4"/>
  <c r="CQ214" i="4"/>
  <c r="CR214" i="4"/>
  <c r="CS214" i="4"/>
  <c r="CT214" i="4"/>
  <c r="CU214" i="4"/>
  <c r="CV214" i="4"/>
  <c r="CW214" i="4"/>
  <c r="CX214" i="4"/>
  <c r="CY214" i="4"/>
  <c r="CZ214" i="4"/>
  <c r="DA214" i="4"/>
  <c r="DB214" i="4"/>
  <c r="DC214" i="4"/>
  <c r="DD214" i="4"/>
  <c r="DE214" i="4"/>
  <c r="DF214" i="4"/>
  <c r="DG214" i="4"/>
  <c r="DH214" i="4"/>
  <c r="DI214" i="4"/>
  <c r="DJ214" i="4"/>
  <c r="DK214" i="4"/>
  <c r="DL214" i="4"/>
  <c r="DM214" i="4"/>
  <c r="DN214" i="4"/>
  <c r="DO214" i="4"/>
  <c r="DP214" i="4"/>
  <c r="DQ214" i="4"/>
  <c r="DR214" i="4"/>
  <c r="DS214" i="4"/>
  <c r="DT214" i="4"/>
  <c r="DU214" i="4"/>
  <c r="DV214" i="4"/>
  <c r="DW214" i="4"/>
  <c r="DX214" i="4"/>
  <c r="DY214" i="4"/>
  <c r="DZ214" i="4"/>
  <c r="EA214" i="4"/>
  <c r="EB214" i="4"/>
  <c r="EC214" i="4"/>
  <c r="ED214" i="4"/>
  <c r="EE214" i="4"/>
  <c r="EF214" i="4"/>
  <c r="EG214" i="4"/>
  <c r="EH214" i="4"/>
  <c r="EI214" i="4"/>
  <c r="EJ214" i="4"/>
  <c r="EK214" i="4"/>
  <c r="EL214" i="4"/>
  <c r="EM214" i="4"/>
  <c r="EN214" i="4"/>
  <c r="EO214" i="4"/>
  <c r="EP214" i="4"/>
  <c r="EQ214" i="4"/>
  <c r="ER214" i="4"/>
  <c r="ES214" i="4"/>
  <c r="ET214" i="4"/>
  <c r="EU214" i="4"/>
  <c r="EV214" i="4"/>
  <c r="EW214" i="4"/>
  <c r="EX214" i="4"/>
  <c r="EY214" i="4"/>
  <c r="EZ214" i="4"/>
  <c r="FA214" i="4"/>
  <c r="FB214" i="4"/>
  <c r="FC214" i="4"/>
  <c r="FD214" i="4"/>
  <c r="FE214" i="4"/>
  <c r="FF214" i="4"/>
  <c r="FG214" i="4"/>
  <c r="FH214" i="4"/>
  <c r="FI214" i="4"/>
  <c r="FJ214" i="4"/>
  <c r="FK214" i="4"/>
  <c r="FL214" i="4"/>
  <c r="FM214" i="4"/>
  <c r="FN214" i="4"/>
  <c r="FO214" i="4"/>
  <c r="FP214" i="4"/>
  <c r="FQ214" i="4"/>
  <c r="FR214" i="4"/>
  <c r="FS214" i="4"/>
  <c r="FT214" i="4"/>
  <c r="FU214" i="4"/>
  <c r="FV214" i="4"/>
  <c r="FW214" i="4"/>
  <c r="FX214" i="4"/>
  <c r="FY214" i="4"/>
  <c r="FZ214" i="4"/>
  <c r="GA214" i="4"/>
  <c r="GB214" i="4"/>
  <c r="GC214" i="4"/>
  <c r="GD214" i="4"/>
  <c r="GE214" i="4"/>
  <c r="GF214" i="4"/>
  <c r="GG214" i="4"/>
  <c r="GH214" i="4"/>
  <c r="GI214" i="4"/>
  <c r="GJ214" i="4"/>
  <c r="GK214" i="4"/>
  <c r="GL214" i="4"/>
  <c r="GM214" i="4"/>
  <c r="GN214" i="4"/>
  <c r="GO214" i="4"/>
  <c r="GP214" i="4"/>
  <c r="GQ214" i="4"/>
  <c r="GR214" i="4"/>
  <c r="GS214" i="4"/>
  <c r="GT214" i="4"/>
  <c r="GU214" i="4"/>
  <c r="GV214" i="4"/>
  <c r="GW214" i="4"/>
  <c r="GX214" i="4"/>
  <c r="GY214" i="4"/>
  <c r="GZ214" i="4"/>
  <c r="HA214" i="4"/>
  <c r="HB214" i="4"/>
  <c r="HC214" i="4"/>
  <c r="HD214" i="4"/>
  <c r="HE214" i="4"/>
  <c r="HF214" i="4"/>
  <c r="HG214" i="4"/>
  <c r="HH214" i="4"/>
  <c r="HI214" i="4"/>
  <c r="HJ214" i="4"/>
  <c r="HK214" i="4"/>
  <c r="HL214" i="4"/>
  <c r="HM214" i="4"/>
  <c r="HN214" i="4"/>
  <c r="HO214" i="4"/>
  <c r="HP214" i="4"/>
  <c r="HQ214" i="4"/>
  <c r="HR214" i="4"/>
  <c r="HS214" i="4"/>
  <c r="HT214" i="4"/>
  <c r="HU214" i="4"/>
  <c r="HV214" i="4"/>
  <c r="HW214" i="4"/>
  <c r="HX214" i="4"/>
  <c r="HY214" i="4"/>
  <c r="HZ214" i="4"/>
  <c r="IA214" i="4"/>
  <c r="IB214" i="4"/>
  <c r="IC214" i="4"/>
  <c r="ID214" i="4"/>
  <c r="IE214" i="4"/>
  <c r="IF214" i="4"/>
  <c r="IG214" i="4"/>
  <c r="IH214" i="4"/>
  <c r="II214" i="4"/>
  <c r="IJ214" i="4"/>
  <c r="IK214" i="4"/>
  <c r="IL214" i="4"/>
  <c r="IM214" i="4"/>
  <c r="IN214" i="4"/>
  <c r="IO214" i="4"/>
  <c r="IP214" i="4"/>
  <c r="IQ214" i="4"/>
  <c r="IR214" i="4"/>
  <c r="IS214" i="4"/>
  <c r="IT214" i="4"/>
  <c r="IU214" i="4"/>
  <c r="IV214" i="4"/>
  <c r="A213" i="4"/>
  <c r="B213" i="4"/>
  <c r="C213" i="4"/>
  <c r="D213" i="4"/>
  <c r="E213" i="4"/>
  <c r="F213" i="4"/>
  <c r="G213" i="4"/>
  <c r="H213" i="4"/>
  <c r="I213" i="4"/>
  <c r="J213" i="4"/>
  <c r="K213" i="4"/>
  <c r="L213" i="4"/>
  <c r="M213" i="4"/>
  <c r="N213" i="4"/>
  <c r="O213" i="4"/>
  <c r="P213" i="4"/>
  <c r="Q213" i="4"/>
  <c r="R213" i="4"/>
  <c r="S213" i="4"/>
  <c r="T213" i="4"/>
  <c r="U213" i="4"/>
  <c r="V213" i="4"/>
  <c r="W213" i="4"/>
  <c r="X213" i="4"/>
  <c r="Y213" i="4"/>
  <c r="Z213" i="4"/>
  <c r="AA213" i="4"/>
  <c r="AB213" i="4"/>
  <c r="AC213" i="4"/>
  <c r="AD213" i="4"/>
  <c r="AE213" i="4"/>
  <c r="AG213" i="4"/>
  <c r="AH213" i="4"/>
  <c r="AI213" i="4"/>
  <c r="AJ213" i="4"/>
  <c r="AK213" i="4"/>
  <c r="AL213" i="4"/>
  <c r="AM213" i="4"/>
  <c r="AN213" i="4"/>
  <c r="AO213" i="4"/>
  <c r="AP213" i="4"/>
  <c r="AQ213" i="4"/>
  <c r="AR213" i="4"/>
  <c r="AS213" i="4"/>
  <c r="AT213" i="4"/>
  <c r="AU213" i="4"/>
  <c r="AV213" i="4"/>
  <c r="AW213" i="4"/>
  <c r="AX213" i="4"/>
  <c r="AY213" i="4"/>
  <c r="AZ213" i="4"/>
  <c r="BA213" i="4"/>
  <c r="BB213" i="4"/>
  <c r="BC213" i="4"/>
  <c r="BD213" i="4"/>
  <c r="BE213" i="4"/>
  <c r="BF213" i="4"/>
  <c r="BG213" i="4"/>
  <c r="BH213" i="4"/>
  <c r="BI213" i="4"/>
  <c r="BJ213" i="4"/>
  <c r="BK213" i="4"/>
  <c r="BL213" i="4"/>
  <c r="BM213" i="4"/>
  <c r="BN213" i="4"/>
  <c r="BO213" i="4"/>
  <c r="BP213" i="4"/>
  <c r="BQ213" i="4"/>
  <c r="BR213" i="4"/>
  <c r="BS213" i="4"/>
  <c r="BT213" i="4"/>
  <c r="BU213" i="4"/>
  <c r="BV213" i="4"/>
  <c r="BW213" i="4"/>
  <c r="BX213" i="4"/>
  <c r="BY213" i="4"/>
  <c r="BZ213" i="4"/>
  <c r="CA213" i="4"/>
  <c r="CB213" i="4"/>
  <c r="CC213" i="4"/>
  <c r="CD213" i="4"/>
  <c r="CE213" i="4"/>
  <c r="CF213" i="4"/>
  <c r="CG213" i="4"/>
  <c r="CH213" i="4"/>
  <c r="CI213" i="4"/>
  <c r="CJ213" i="4"/>
  <c r="CK213" i="4"/>
  <c r="CL213" i="4"/>
  <c r="CM213" i="4"/>
  <c r="CN213" i="4"/>
  <c r="CO213" i="4"/>
  <c r="CP213" i="4"/>
  <c r="CQ213" i="4"/>
  <c r="CR213" i="4"/>
  <c r="CS213" i="4"/>
  <c r="CT213" i="4"/>
  <c r="CU213" i="4"/>
  <c r="CV213" i="4"/>
  <c r="CW213" i="4"/>
  <c r="CX213" i="4"/>
  <c r="CY213" i="4"/>
  <c r="CZ213" i="4"/>
  <c r="DA213" i="4"/>
  <c r="DB213" i="4"/>
  <c r="DC213" i="4"/>
  <c r="DD213" i="4"/>
  <c r="DE213" i="4"/>
  <c r="DF213" i="4"/>
  <c r="DG213" i="4"/>
  <c r="DH213" i="4"/>
  <c r="DI213" i="4"/>
  <c r="DJ213" i="4"/>
  <c r="DK213" i="4"/>
  <c r="DL213" i="4"/>
  <c r="DM213" i="4"/>
  <c r="DN213" i="4"/>
  <c r="DO213" i="4"/>
  <c r="DP213" i="4"/>
  <c r="DQ213" i="4"/>
  <c r="DR213" i="4"/>
  <c r="DS213" i="4"/>
  <c r="DT213" i="4"/>
  <c r="DU213" i="4"/>
  <c r="DV213" i="4"/>
  <c r="DW213" i="4"/>
  <c r="DX213" i="4"/>
  <c r="DY213" i="4"/>
  <c r="DZ213" i="4"/>
  <c r="EA213" i="4"/>
  <c r="EB213" i="4"/>
  <c r="EC213" i="4"/>
  <c r="ED213" i="4"/>
  <c r="EE213" i="4"/>
  <c r="EF213" i="4"/>
  <c r="EG213" i="4"/>
  <c r="EH213" i="4"/>
  <c r="EI213" i="4"/>
  <c r="EJ213" i="4"/>
  <c r="EK213" i="4"/>
  <c r="EL213" i="4"/>
  <c r="EM213" i="4"/>
  <c r="EN213" i="4"/>
  <c r="EO213" i="4"/>
  <c r="EP213" i="4"/>
  <c r="EQ213" i="4"/>
  <c r="ER213" i="4"/>
  <c r="ES213" i="4"/>
  <c r="ET213" i="4"/>
  <c r="EU213" i="4"/>
  <c r="EV213" i="4"/>
  <c r="EW213" i="4"/>
  <c r="EX213" i="4"/>
  <c r="EY213" i="4"/>
  <c r="EZ213" i="4"/>
  <c r="FA213" i="4"/>
  <c r="FB213" i="4"/>
  <c r="FC213" i="4"/>
  <c r="FD213" i="4"/>
  <c r="FE213" i="4"/>
  <c r="FF213" i="4"/>
  <c r="FG213" i="4"/>
  <c r="FH213" i="4"/>
  <c r="FI213" i="4"/>
  <c r="FJ213" i="4"/>
  <c r="FK213" i="4"/>
  <c r="FL213" i="4"/>
  <c r="FM213" i="4"/>
  <c r="FN213" i="4"/>
  <c r="FO213" i="4"/>
  <c r="FP213" i="4"/>
  <c r="FQ213" i="4"/>
  <c r="FR213" i="4"/>
  <c r="FS213" i="4"/>
  <c r="FT213" i="4"/>
  <c r="FU213" i="4"/>
  <c r="FV213" i="4"/>
  <c r="FW213" i="4"/>
  <c r="FX213" i="4"/>
  <c r="FY213" i="4"/>
  <c r="FZ213" i="4"/>
  <c r="GA213" i="4"/>
  <c r="GB213" i="4"/>
  <c r="GC213" i="4"/>
  <c r="GD213" i="4"/>
  <c r="GE213" i="4"/>
  <c r="GF213" i="4"/>
  <c r="GG213" i="4"/>
  <c r="GH213" i="4"/>
  <c r="GI213" i="4"/>
  <c r="GJ213" i="4"/>
  <c r="GK213" i="4"/>
  <c r="GL213" i="4"/>
  <c r="GM213" i="4"/>
  <c r="GN213" i="4"/>
  <c r="GO213" i="4"/>
  <c r="GP213" i="4"/>
  <c r="GQ213" i="4"/>
  <c r="GR213" i="4"/>
  <c r="GS213" i="4"/>
  <c r="GT213" i="4"/>
  <c r="GU213" i="4"/>
  <c r="GV213" i="4"/>
  <c r="GW213" i="4"/>
  <c r="GX213" i="4"/>
  <c r="GY213" i="4"/>
  <c r="GZ213" i="4"/>
  <c r="HA213" i="4"/>
  <c r="HB213" i="4"/>
  <c r="HC213" i="4"/>
  <c r="HD213" i="4"/>
  <c r="HE213" i="4"/>
  <c r="HF213" i="4"/>
  <c r="HG213" i="4"/>
  <c r="HH213" i="4"/>
  <c r="HI213" i="4"/>
  <c r="HJ213" i="4"/>
  <c r="HK213" i="4"/>
  <c r="HL213" i="4"/>
  <c r="HM213" i="4"/>
  <c r="HN213" i="4"/>
  <c r="HO213" i="4"/>
  <c r="HP213" i="4"/>
  <c r="HQ213" i="4"/>
  <c r="HR213" i="4"/>
  <c r="HS213" i="4"/>
  <c r="HT213" i="4"/>
  <c r="HU213" i="4"/>
  <c r="HV213" i="4"/>
  <c r="HW213" i="4"/>
  <c r="HX213" i="4"/>
  <c r="HY213" i="4"/>
  <c r="HZ213" i="4"/>
  <c r="IA213" i="4"/>
  <c r="IB213" i="4"/>
  <c r="IC213" i="4"/>
  <c r="ID213" i="4"/>
  <c r="IE213" i="4"/>
  <c r="IF213" i="4"/>
  <c r="IG213" i="4"/>
  <c r="IH213" i="4"/>
  <c r="II213" i="4"/>
  <c r="IJ213" i="4"/>
  <c r="IK213" i="4"/>
  <c r="IL213" i="4"/>
  <c r="IM213" i="4"/>
  <c r="IN213" i="4"/>
  <c r="IO213" i="4"/>
  <c r="IP213" i="4"/>
  <c r="IQ213" i="4"/>
  <c r="IR213" i="4"/>
  <c r="IS213" i="4"/>
  <c r="IT213" i="4"/>
  <c r="IU213" i="4"/>
  <c r="IV213" i="4"/>
  <c r="A212" i="4"/>
  <c r="B212" i="4"/>
  <c r="C212" i="4"/>
  <c r="D212" i="4"/>
  <c r="E212" i="4"/>
  <c r="F212" i="4"/>
  <c r="G212" i="4"/>
  <c r="H212" i="4"/>
  <c r="I212" i="4"/>
  <c r="J212" i="4"/>
  <c r="K212" i="4"/>
  <c r="L212" i="4"/>
  <c r="M212" i="4"/>
  <c r="N212" i="4"/>
  <c r="O212" i="4"/>
  <c r="P212" i="4"/>
  <c r="Q212" i="4"/>
  <c r="R212" i="4"/>
  <c r="S212" i="4"/>
  <c r="T212" i="4"/>
  <c r="U212" i="4"/>
  <c r="V212" i="4"/>
  <c r="W212" i="4"/>
  <c r="X212" i="4"/>
  <c r="Y212" i="4"/>
  <c r="Z212" i="4"/>
  <c r="AA212" i="4"/>
  <c r="AB212" i="4"/>
  <c r="AC212" i="4"/>
  <c r="AD212" i="4"/>
  <c r="AE212" i="4"/>
  <c r="AF212" i="4"/>
  <c r="AH212" i="4"/>
  <c r="AI212" i="4"/>
  <c r="AJ212" i="4"/>
  <c r="AK212" i="4"/>
  <c r="AL212" i="4"/>
  <c r="AM212" i="4"/>
  <c r="AN212" i="4"/>
  <c r="AO212" i="4"/>
  <c r="AP212" i="4"/>
  <c r="AQ212" i="4"/>
  <c r="AR212" i="4"/>
  <c r="AS212" i="4"/>
  <c r="AT212" i="4"/>
  <c r="AU212" i="4"/>
  <c r="AV212" i="4"/>
  <c r="AW212" i="4"/>
  <c r="AX212" i="4"/>
  <c r="AY212" i="4"/>
  <c r="AZ212" i="4"/>
  <c r="BA212" i="4"/>
  <c r="BB212" i="4"/>
  <c r="BC212" i="4"/>
  <c r="BD212" i="4"/>
  <c r="BE212" i="4"/>
  <c r="BF212" i="4"/>
  <c r="BG212" i="4"/>
  <c r="BH212" i="4"/>
  <c r="BI212" i="4"/>
  <c r="BJ212" i="4"/>
  <c r="BK212" i="4"/>
  <c r="BL212" i="4"/>
  <c r="BM212" i="4"/>
  <c r="BN212" i="4"/>
  <c r="BO212" i="4"/>
  <c r="BP212" i="4"/>
  <c r="BQ212" i="4"/>
  <c r="BR212" i="4"/>
  <c r="BS212" i="4"/>
  <c r="BT212" i="4"/>
  <c r="BU212" i="4"/>
  <c r="BV212" i="4"/>
  <c r="BW212" i="4"/>
  <c r="BX212" i="4"/>
  <c r="BY212" i="4"/>
  <c r="BZ212" i="4"/>
  <c r="CA212" i="4"/>
  <c r="CB212" i="4"/>
  <c r="CC212" i="4"/>
  <c r="CD212" i="4"/>
  <c r="CE212" i="4"/>
  <c r="CF212" i="4"/>
  <c r="CG212" i="4"/>
  <c r="CH212" i="4"/>
  <c r="CI212" i="4"/>
  <c r="CJ212" i="4"/>
  <c r="CK212" i="4"/>
  <c r="CL212" i="4"/>
  <c r="CM212" i="4"/>
  <c r="CN212" i="4"/>
  <c r="CO212" i="4"/>
  <c r="CP212" i="4"/>
  <c r="CQ212" i="4"/>
  <c r="CR212" i="4"/>
  <c r="CS212" i="4"/>
  <c r="CT212" i="4"/>
  <c r="CU212" i="4"/>
  <c r="CV212" i="4"/>
  <c r="CW212" i="4"/>
  <c r="CX212" i="4"/>
  <c r="CY212" i="4"/>
  <c r="CZ212" i="4"/>
  <c r="DA212" i="4"/>
  <c r="DB212" i="4"/>
  <c r="DC212" i="4"/>
  <c r="DD212" i="4"/>
  <c r="DE212" i="4"/>
  <c r="DF212" i="4"/>
  <c r="DG212" i="4"/>
  <c r="DH212" i="4"/>
  <c r="DI212" i="4"/>
  <c r="DJ212" i="4"/>
  <c r="DK212" i="4"/>
  <c r="DL212" i="4"/>
  <c r="DM212" i="4"/>
  <c r="DN212" i="4"/>
  <c r="DO212" i="4"/>
  <c r="DP212" i="4"/>
  <c r="DQ212" i="4"/>
  <c r="DR212" i="4"/>
  <c r="DS212" i="4"/>
  <c r="DT212" i="4"/>
  <c r="DU212" i="4"/>
  <c r="DV212" i="4"/>
  <c r="DW212" i="4"/>
  <c r="DX212" i="4"/>
  <c r="DY212" i="4"/>
  <c r="DZ212" i="4"/>
  <c r="EA212" i="4"/>
  <c r="EB212" i="4"/>
  <c r="EC212" i="4"/>
  <c r="ED212" i="4"/>
  <c r="EE212" i="4"/>
  <c r="EF212" i="4"/>
  <c r="EG212" i="4"/>
  <c r="EH212" i="4"/>
  <c r="EI212" i="4"/>
  <c r="EJ212" i="4"/>
  <c r="EK212" i="4"/>
  <c r="EL212" i="4"/>
  <c r="EM212" i="4"/>
  <c r="EN212" i="4"/>
  <c r="EO212" i="4"/>
  <c r="EP212" i="4"/>
  <c r="EQ212" i="4"/>
  <c r="ER212" i="4"/>
  <c r="ES212" i="4"/>
  <c r="ET212" i="4"/>
  <c r="EU212" i="4"/>
  <c r="EV212" i="4"/>
  <c r="EW212" i="4"/>
  <c r="EX212" i="4"/>
  <c r="EY212" i="4"/>
  <c r="EZ212" i="4"/>
  <c r="FA212" i="4"/>
  <c r="FB212" i="4"/>
  <c r="FC212" i="4"/>
  <c r="FD212" i="4"/>
  <c r="FE212" i="4"/>
  <c r="FF212" i="4"/>
  <c r="FG212" i="4"/>
  <c r="FH212" i="4"/>
  <c r="FI212" i="4"/>
  <c r="FJ212" i="4"/>
  <c r="FK212" i="4"/>
  <c r="FL212" i="4"/>
  <c r="FM212" i="4"/>
  <c r="FN212" i="4"/>
  <c r="FO212" i="4"/>
  <c r="FP212" i="4"/>
  <c r="FQ212" i="4"/>
  <c r="FR212" i="4"/>
  <c r="FS212" i="4"/>
  <c r="FT212" i="4"/>
  <c r="FU212" i="4"/>
  <c r="FV212" i="4"/>
  <c r="FW212" i="4"/>
  <c r="FX212" i="4"/>
  <c r="FY212" i="4"/>
  <c r="FZ212" i="4"/>
  <c r="GA212" i="4"/>
  <c r="GB212" i="4"/>
  <c r="GC212" i="4"/>
  <c r="GD212" i="4"/>
  <c r="GE212" i="4"/>
  <c r="GF212" i="4"/>
  <c r="GG212" i="4"/>
  <c r="GH212" i="4"/>
  <c r="GI212" i="4"/>
  <c r="GJ212" i="4"/>
  <c r="GK212" i="4"/>
  <c r="GL212" i="4"/>
  <c r="GM212" i="4"/>
  <c r="GN212" i="4"/>
  <c r="GO212" i="4"/>
  <c r="GP212" i="4"/>
  <c r="GQ212" i="4"/>
  <c r="GR212" i="4"/>
  <c r="GS212" i="4"/>
  <c r="GT212" i="4"/>
  <c r="GU212" i="4"/>
  <c r="GV212" i="4"/>
  <c r="GW212" i="4"/>
  <c r="GX212" i="4"/>
  <c r="GY212" i="4"/>
  <c r="GZ212" i="4"/>
  <c r="HA212" i="4"/>
  <c r="HB212" i="4"/>
  <c r="HC212" i="4"/>
  <c r="HD212" i="4"/>
  <c r="HE212" i="4"/>
  <c r="HF212" i="4"/>
  <c r="HG212" i="4"/>
  <c r="HH212" i="4"/>
  <c r="HI212" i="4"/>
  <c r="HJ212" i="4"/>
  <c r="HK212" i="4"/>
  <c r="HL212" i="4"/>
  <c r="HM212" i="4"/>
  <c r="HN212" i="4"/>
  <c r="HO212" i="4"/>
  <c r="HP212" i="4"/>
  <c r="HQ212" i="4"/>
  <c r="HR212" i="4"/>
  <c r="HS212" i="4"/>
  <c r="HT212" i="4"/>
  <c r="HU212" i="4"/>
  <c r="HV212" i="4"/>
  <c r="HW212" i="4"/>
  <c r="HX212" i="4"/>
  <c r="HY212" i="4"/>
  <c r="HZ212" i="4"/>
  <c r="IA212" i="4"/>
  <c r="IB212" i="4"/>
  <c r="IC212" i="4"/>
  <c r="ID212" i="4"/>
  <c r="IE212" i="4"/>
  <c r="IF212" i="4"/>
  <c r="IG212" i="4"/>
  <c r="IH212" i="4"/>
  <c r="II212" i="4"/>
  <c r="IJ212" i="4"/>
  <c r="IK212" i="4"/>
  <c r="IL212" i="4"/>
  <c r="IM212" i="4"/>
  <c r="IN212" i="4"/>
  <c r="IO212" i="4"/>
  <c r="IP212" i="4"/>
  <c r="IQ212" i="4"/>
  <c r="IR212" i="4"/>
  <c r="IS212" i="4"/>
  <c r="IT212" i="4"/>
  <c r="IU212" i="4"/>
  <c r="IV212" i="4"/>
  <c r="A211" i="4"/>
  <c r="B211" i="4"/>
  <c r="C211" i="4"/>
  <c r="D211" i="4"/>
  <c r="E211" i="4"/>
  <c r="F211" i="4"/>
  <c r="G211" i="4"/>
  <c r="H211" i="4"/>
  <c r="I211" i="4"/>
  <c r="J211" i="4"/>
  <c r="K211" i="4"/>
  <c r="L211" i="4"/>
  <c r="M211" i="4"/>
  <c r="N211" i="4"/>
  <c r="O211" i="4"/>
  <c r="P211" i="4"/>
  <c r="Q211" i="4"/>
  <c r="R211" i="4"/>
  <c r="S211" i="4"/>
  <c r="T211" i="4"/>
  <c r="U211" i="4"/>
  <c r="V211" i="4"/>
  <c r="W211" i="4"/>
  <c r="X211" i="4"/>
  <c r="Y211" i="4"/>
  <c r="Z211" i="4"/>
  <c r="AA211" i="4"/>
  <c r="AB211" i="4"/>
  <c r="AC211" i="4"/>
  <c r="AD211" i="4"/>
  <c r="AE211" i="4"/>
  <c r="AF211" i="4"/>
  <c r="AG211" i="4"/>
  <c r="AI211" i="4"/>
  <c r="AJ211" i="4"/>
  <c r="AK211" i="4"/>
  <c r="AL211" i="4"/>
  <c r="AM211" i="4"/>
  <c r="AN211" i="4"/>
  <c r="AO211" i="4"/>
  <c r="AP211" i="4"/>
  <c r="AQ211" i="4"/>
  <c r="AR211" i="4"/>
  <c r="AS211" i="4"/>
  <c r="AT211" i="4"/>
  <c r="AU211" i="4"/>
  <c r="AV211" i="4"/>
  <c r="AW211" i="4"/>
  <c r="AX211" i="4"/>
  <c r="AY211" i="4"/>
  <c r="AZ211" i="4"/>
  <c r="BA211" i="4"/>
  <c r="BB211" i="4"/>
  <c r="BC211" i="4"/>
  <c r="BD211" i="4"/>
  <c r="BE211" i="4"/>
  <c r="BF211" i="4"/>
  <c r="BG211" i="4"/>
  <c r="BH211" i="4"/>
  <c r="BI211" i="4"/>
  <c r="BJ211" i="4"/>
  <c r="BK211" i="4"/>
  <c r="BL211" i="4"/>
  <c r="BM211" i="4"/>
  <c r="BN211" i="4"/>
  <c r="BO211" i="4"/>
  <c r="BP211" i="4"/>
  <c r="BQ211" i="4"/>
  <c r="BR211" i="4"/>
  <c r="BS211" i="4"/>
  <c r="BT211" i="4"/>
  <c r="BU211" i="4"/>
  <c r="BV211" i="4"/>
  <c r="BW211" i="4"/>
  <c r="BX211" i="4"/>
  <c r="BY211" i="4"/>
  <c r="BZ211" i="4"/>
  <c r="CA211" i="4"/>
  <c r="CB211" i="4"/>
  <c r="CC211" i="4"/>
  <c r="CD211" i="4"/>
  <c r="CE211" i="4"/>
  <c r="CF211" i="4"/>
  <c r="CG211" i="4"/>
  <c r="CH211" i="4"/>
  <c r="CI211" i="4"/>
  <c r="CJ211" i="4"/>
  <c r="CK211" i="4"/>
  <c r="CL211" i="4"/>
  <c r="CM211" i="4"/>
  <c r="CN211" i="4"/>
  <c r="CO211" i="4"/>
  <c r="CP211" i="4"/>
  <c r="CQ211" i="4"/>
  <c r="CR211" i="4"/>
  <c r="CS211" i="4"/>
  <c r="CT211" i="4"/>
  <c r="CU211" i="4"/>
  <c r="CV211" i="4"/>
  <c r="CW211" i="4"/>
  <c r="CX211" i="4"/>
  <c r="CY211" i="4"/>
  <c r="CZ211" i="4"/>
  <c r="DA211" i="4"/>
  <c r="DB211" i="4"/>
  <c r="DC211" i="4"/>
  <c r="DD211" i="4"/>
  <c r="DE211" i="4"/>
  <c r="DF211" i="4"/>
  <c r="DG211" i="4"/>
  <c r="DH211" i="4"/>
  <c r="DI211" i="4"/>
  <c r="DJ211" i="4"/>
  <c r="DK211" i="4"/>
  <c r="DL211" i="4"/>
  <c r="DM211" i="4"/>
  <c r="DN211" i="4"/>
  <c r="DO211" i="4"/>
  <c r="DP211" i="4"/>
  <c r="DQ211" i="4"/>
  <c r="DR211" i="4"/>
  <c r="DS211" i="4"/>
  <c r="DT211" i="4"/>
  <c r="DU211" i="4"/>
  <c r="DV211" i="4"/>
  <c r="DW211" i="4"/>
  <c r="DX211" i="4"/>
  <c r="DY211" i="4"/>
  <c r="DZ211" i="4"/>
  <c r="EA211" i="4"/>
  <c r="EB211" i="4"/>
  <c r="EC211" i="4"/>
  <c r="ED211" i="4"/>
  <c r="EE211" i="4"/>
  <c r="EF211" i="4"/>
  <c r="EG211" i="4"/>
  <c r="EH211" i="4"/>
  <c r="EI211" i="4"/>
  <c r="EJ211" i="4"/>
  <c r="EK211" i="4"/>
  <c r="EL211" i="4"/>
  <c r="EM211" i="4"/>
  <c r="EN211" i="4"/>
  <c r="EO211" i="4"/>
  <c r="EP211" i="4"/>
  <c r="EQ211" i="4"/>
  <c r="ER211" i="4"/>
  <c r="ES211" i="4"/>
  <c r="ET211" i="4"/>
  <c r="EU211" i="4"/>
  <c r="EV211" i="4"/>
  <c r="EW211" i="4"/>
  <c r="EX211" i="4"/>
  <c r="EY211" i="4"/>
  <c r="EZ211" i="4"/>
  <c r="FA211" i="4"/>
  <c r="FB211" i="4"/>
  <c r="FC211" i="4"/>
  <c r="FD211" i="4"/>
  <c r="FE211" i="4"/>
  <c r="FF211" i="4"/>
  <c r="FG211" i="4"/>
  <c r="FH211" i="4"/>
  <c r="FI211" i="4"/>
  <c r="FJ211" i="4"/>
  <c r="FK211" i="4"/>
  <c r="FL211" i="4"/>
  <c r="FM211" i="4"/>
  <c r="FN211" i="4"/>
  <c r="FO211" i="4"/>
  <c r="FP211" i="4"/>
  <c r="FQ211" i="4"/>
  <c r="FR211" i="4"/>
  <c r="FS211" i="4"/>
  <c r="FT211" i="4"/>
  <c r="FU211" i="4"/>
  <c r="FV211" i="4"/>
  <c r="FW211" i="4"/>
  <c r="FX211" i="4"/>
  <c r="FY211" i="4"/>
  <c r="FZ211" i="4"/>
  <c r="GA211" i="4"/>
  <c r="GB211" i="4"/>
  <c r="GC211" i="4"/>
  <c r="GD211" i="4"/>
  <c r="GE211" i="4"/>
  <c r="GF211" i="4"/>
  <c r="GG211" i="4"/>
  <c r="GH211" i="4"/>
  <c r="GI211" i="4"/>
  <c r="GJ211" i="4"/>
  <c r="GK211" i="4"/>
  <c r="GL211" i="4"/>
  <c r="GM211" i="4"/>
  <c r="GN211" i="4"/>
  <c r="GO211" i="4"/>
  <c r="GP211" i="4"/>
  <c r="GQ211" i="4"/>
  <c r="GR211" i="4"/>
  <c r="GS211" i="4"/>
  <c r="GT211" i="4"/>
  <c r="GU211" i="4"/>
  <c r="GV211" i="4"/>
  <c r="GW211" i="4"/>
  <c r="GX211" i="4"/>
  <c r="GY211" i="4"/>
  <c r="GZ211" i="4"/>
  <c r="HA211" i="4"/>
  <c r="HB211" i="4"/>
  <c r="HC211" i="4"/>
  <c r="HD211" i="4"/>
  <c r="HE211" i="4"/>
  <c r="HF211" i="4"/>
  <c r="HG211" i="4"/>
  <c r="HH211" i="4"/>
  <c r="HI211" i="4"/>
  <c r="HJ211" i="4"/>
  <c r="HK211" i="4"/>
  <c r="HL211" i="4"/>
  <c r="HM211" i="4"/>
  <c r="HN211" i="4"/>
  <c r="HO211" i="4"/>
  <c r="HP211" i="4"/>
  <c r="HQ211" i="4"/>
  <c r="HR211" i="4"/>
  <c r="HS211" i="4"/>
  <c r="HT211" i="4"/>
  <c r="HU211" i="4"/>
  <c r="HV211" i="4"/>
  <c r="HW211" i="4"/>
  <c r="HX211" i="4"/>
  <c r="HY211" i="4"/>
  <c r="HZ211" i="4"/>
  <c r="IA211" i="4"/>
  <c r="IB211" i="4"/>
  <c r="IC211" i="4"/>
  <c r="ID211" i="4"/>
  <c r="IE211" i="4"/>
  <c r="IF211" i="4"/>
  <c r="IG211" i="4"/>
  <c r="IH211" i="4"/>
  <c r="II211" i="4"/>
  <c r="IJ211" i="4"/>
  <c r="IK211" i="4"/>
  <c r="IL211" i="4"/>
  <c r="IM211" i="4"/>
  <c r="IN211" i="4"/>
  <c r="IO211" i="4"/>
  <c r="IP211" i="4"/>
  <c r="IQ211" i="4"/>
  <c r="IR211" i="4"/>
  <c r="IS211" i="4"/>
  <c r="IT211" i="4"/>
  <c r="IU211" i="4"/>
  <c r="IV211" i="4"/>
  <c r="A210" i="4"/>
  <c r="B210" i="4"/>
  <c r="C210" i="4"/>
  <c r="D210" i="4"/>
  <c r="E210" i="4"/>
  <c r="F210" i="4"/>
  <c r="G210" i="4"/>
  <c r="H210" i="4"/>
  <c r="I210" i="4"/>
  <c r="J210" i="4"/>
  <c r="K210" i="4"/>
  <c r="L210" i="4"/>
  <c r="M210" i="4"/>
  <c r="N210" i="4"/>
  <c r="O210" i="4"/>
  <c r="P210" i="4"/>
  <c r="Q210" i="4"/>
  <c r="R210" i="4"/>
  <c r="S210" i="4"/>
  <c r="T210" i="4"/>
  <c r="U210" i="4"/>
  <c r="V210" i="4"/>
  <c r="W210" i="4"/>
  <c r="X210" i="4"/>
  <c r="Y210" i="4"/>
  <c r="Z210" i="4"/>
  <c r="AA210" i="4"/>
  <c r="AB210" i="4"/>
  <c r="AC210" i="4"/>
  <c r="AD210" i="4"/>
  <c r="AE210" i="4"/>
  <c r="AF210" i="4"/>
  <c r="AG210" i="4"/>
  <c r="AH210" i="4"/>
  <c r="AJ210" i="4"/>
  <c r="AK210" i="4"/>
  <c r="AL210" i="4"/>
  <c r="AM210" i="4"/>
  <c r="AN210" i="4"/>
  <c r="AO210" i="4"/>
  <c r="AP210" i="4"/>
  <c r="AQ210" i="4"/>
  <c r="AR210" i="4"/>
  <c r="AS210" i="4"/>
  <c r="AT210" i="4"/>
  <c r="AU210" i="4"/>
  <c r="AV210" i="4"/>
  <c r="AW210" i="4"/>
  <c r="AX210" i="4"/>
  <c r="AY210" i="4"/>
  <c r="AZ210" i="4"/>
  <c r="BA210" i="4"/>
  <c r="BB210" i="4"/>
  <c r="BC210" i="4"/>
  <c r="BD210" i="4"/>
  <c r="BE210" i="4"/>
  <c r="BF210" i="4"/>
  <c r="BG210" i="4"/>
  <c r="BH210" i="4"/>
  <c r="BI210" i="4"/>
  <c r="BJ210" i="4"/>
  <c r="BK210" i="4"/>
  <c r="BL210" i="4"/>
  <c r="BM210" i="4"/>
  <c r="BN210" i="4"/>
  <c r="BO210" i="4"/>
  <c r="BP210" i="4"/>
  <c r="BQ210" i="4"/>
  <c r="BR210" i="4"/>
  <c r="BS210" i="4"/>
  <c r="BT210" i="4"/>
  <c r="BU210" i="4"/>
  <c r="BV210" i="4"/>
  <c r="BW210" i="4"/>
  <c r="BX210" i="4"/>
  <c r="BY210" i="4"/>
  <c r="BZ210" i="4"/>
  <c r="CA210" i="4"/>
  <c r="CB210" i="4"/>
  <c r="CC210" i="4"/>
  <c r="CD210" i="4"/>
  <c r="CE210" i="4"/>
  <c r="CF210" i="4"/>
  <c r="CG210" i="4"/>
  <c r="CH210" i="4"/>
  <c r="CI210" i="4"/>
  <c r="CJ210" i="4"/>
  <c r="CK210" i="4"/>
  <c r="CL210" i="4"/>
  <c r="CM210" i="4"/>
  <c r="CN210" i="4"/>
  <c r="CO210" i="4"/>
  <c r="CP210" i="4"/>
  <c r="CQ210" i="4"/>
  <c r="CR210" i="4"/>
  <c r="CS210" i="4"/>
  <c r="CT210" i="4"/>
  <c r="CU210" i="4"/>
  <c r="CV210" i="4"/>
  <c r="CW210" i="4"/>
  <c r="CX210" i="4"/>
  <c r="CY210" i="4"/>
  <c r="CZ210" i="4"/>
  <c r="DA210" i="4"/>
  <c r="DB210" i="4"/>
  <c r="DC210" i="4"/>
  <c r="DD210" i="4"/>
  <c r="DE210" i="4"/>
  <c r="DF210" i="4"/>
  <c r="DG210" i="4"/>
  <c r="DH210" i="4"/>
  <c r="DI210" i="4"/>
  <c r="DJ210" i="4"/>
  <c r="DK210" i="4"/>
  <c r="DL210" i="4"/>
  <c r="DM210" i="4"/>
  <c r="DN210" i="4"/>
  <c r="DO210" i="4"/>
  <c r="DP210" i="4"/>
  <c r="DQ210" i="4"/>
  <c r="DR210" i="4"/>
  <c r="DS210" i="4"/>
  <c r="DT210" i="4"/>
  <c r="DU210" i="4"/>
  <c r="DV210" i="4"/>
  <c r="DW210" i="4"/>
  <c r="DX210" i="4"/>
  <c r="DY210" i="4"/>
  <c r="DZ210" i="4"/>
  <c r="EA210" i="4"/>
  <c r="EB210" i="4"/>
  <c r="EC210" i="4"/>
  <c r="ED210" i="4"/>
  <c r="EE210" i="4"/>
  <c r="EF210" i="4"/>
  <c r="EG210" i="4"/>
  <c r="EH210" i="4"/>
  <c r="EI210" i="4"/>
  <c r="EJ210" i="4"/>
  <c r="EK210" i="4"/>
  <c r="EL210" i="4"/>
  <c r="EM210" i="4"/>
  <c r="EN210" i="4"/>
  <c r="EO210" i="4"/>
  <c r="EP210" i="4"/>
  <c r="EQ210" i="4"/>
  <c r="ER210" i="4"/>
  <c r="ES210" i="4"/>
  <c r="ET210" i="4"/>
  <c r="EU210" i="4"/>
  <c r="EV210" i="4"/>
  <c r="EW210" i="4"/>
  <c r="EX210" i="4"/>
  <c r="EY210" i="4"/>
  <c r="EZ210" i="4"/>
  <c r="FA210" i="4"/>
  <c r="FB210" i="4"/>
  <c r="FC210" i="4"/>
  <c r="FD210" i="4"/>
  <c r="FE210" i="4"/>
  <c r="FF210" i="4"/>
  <c r="FG210" i="4"/>
  <c r="FH210" i="4"/>
  <c r="FI210" i="4"/>
  <c r="FJ210" i="4"/>
  <c r="FK210" i="4"/>
  <c r="FL210" i="4"/>
  <c r="FM210" i="4"/>
  <c r="FN210" i="4"/>
  <c r="FO210" i="4"/>
  <c r="FP210" i="4"/>
  <c r="FQ210" i="4"/>
  <c r="FR210" i="4"/>
  <c r="FS210" i="4"/>
  <c r="FT210" i="4"/>
  <c r="FU210" i="4"/>
  <c r="FV210" i="4"/>
  <c r="FW210" i="4"/>
  <c r="FX210" i="4"/>
  <c r="FY210" i="4"/>
  <c r="FZ210" i="4"/>
  <c r="GA210" i="4"/>
  <c r="GB210" i="4"/>
  <c r="GC210" i="4"/>
  <c r="GD210" i="4"/>
  <c r="GE210" i="4"/>
  <c r="GF210" i="4"/>
  <c r="GG210" i="4"/>
  <c r="GH210" i="4"/>
  <c r="GI210" i="4"/>
  <c r="GJ210" i="4"/>
  <c r="GK210" i="4"/>
  <c r="GL210" i="4"/>
  <c r="GM210" i="4"/>
  <c r="GN210" i="4"/>
  <c r="GO210" i="4"/>
  <c r="GP210" i="4"/>
  <c r="GQ210" i="4"/>
  <c r="GR210" i="4"/>
  <c r="GS210" i="4"/>
  <c r="GT210" i="4"/>
  <c r="GU210" i="4"/>
  <c r="GV210" i="4"/>
  <c r="GW210" i="4"/>
  <c r="GX210" i="4"/>
  <c r="GY210" i="4"/>
  <c r="GZ210" i="4"/>
  <c r="HA210" i="4"/>
  <c r="HB210" i="4"/>
  <c r="HC210" i="4"/>
  <c r="HD210" i="4"/>
  <c r="HE210" i="4"/>
  <c r="HF210" i="4"/>
  <c r="HG210" i="4"/>
  <c r="HH210" i="4"/>
  <c r="HI210" i="4"/>
  <c r="HJ210" i="4"/>
  <c r="HK210" i="4"/>
  <c r="HL210" i="4"/>
  <c r="HM210" i="4"/>
  <c r="HN210" i="4"/>
  <c r="HO210" i="4"/>
  <c r="HP210" i="4"/>
  <c r="HQ210" i="4"/>
  <c r="HR210" i="4"/>
  <c r="HS210" i="4"/>
  <c r="HT210" i="4"/>
  <c r="HU210" i="4"/>
  <c r="HV210" i="4"/>
  <c r="HW210" i="4"/>
  <c r="HX210" i="4"/>
  <c r="HY210" i="4"/>
  <c r="HZ210" i="4"/>
  <c r="IA210" i="4"/>
  <c r="IB210" i="4"/>
  <c r="IC210" i="4"/>
  <c r="ID210" i="4"/>
  <c r="IE210" i="4"/>
  <c r="IF210" i="4"/>
  <c r="IG210" i="4"/>
  <c r="IH210" i="4"/>
  <c r="II210" i="4"/>
  <c r="IJ210" i="4"/>
  <c r="IK210" i="4"/>
  <c r="IL210" i="4"/>
  <c r="IM210" i="4"/>
  <c r="IN210" i="4"/>
  <c r="IO210" i="4"/>
  <c r="IP210" i="4"/>
  <c r="IQ210" i="4"/>
  <c r="IR210" i="4"/>
  <c r="IS210" i="4"/>
  <c r="IT210" i="4"/>
  <c r="IU210" i="4"/>
  <c r="IV210" i="4"/>
  <c r="A209" i="4"/>
  <c r="B209" i="4"/>
  <c r="C209" i="4"/>
  <c r="D209" i="4"/>
  <c r="E209" i="4"/>
  <c r="F209" i="4"/>
  <c r="G209" i="4"/>
  <c r="H209" i="4"/>
  <c r="I209" i="4"/>
  <c r="J209" i="4"/>
  <c r="K209" i="4"/>
  <c r="L209" i="4"/>
  <c r="M209" i="4"/>
  <c r="N209" i="4"/>
  <c r="O209" i="4"/>
  <c r="P209" i="4"/>
  <c r="Q209" i="4"/>
  <c r="R209" i="4"/>
  <c r="S209" i="4"/>
  <c r="T209" i="4"/>
  <c r="U209" i="4"/>
  <c r="V209" i="4"/>
  <c r="W209" i="4"/>
  <c r="X209" i="4"/>
  <c r="Y209" i="4"/>
  <c r="Z209" i="4"/>
  <c r="AA209" i="4"/>
  <c r="AB209" i="4"/>
  <c r="AC209" i="4"/>
  <c r="AD209" i="4"/>
  <c r="AE209" i="4"/>
  <c r="AF209" i="4"/>
  <c r="AG209" i="4"/>
  <c r="AH209" i="4"/>
  <c r="AI209" i="4"/>
  <c r="AK209" i="4"/>
  <c r="AL209" i="4"/>
  <c r="AM209" i="4"/>
  <c r="AN209" i="4"/>
  <c r="AO209" i="4"/>
  <c r="AP209" i="4"/>
  <c r="AQ209" i="4"/>
  <c r="AR209" i="4"/>
  <c r="AS209" i="4"/>
  <c r="AT209" i="4"/>
  <c r="AU209" i="4"/>
  <c r="AV209" i="4"/>
  <c r="AW209" i="4"/>
  <c r="AX209" i="4"/>
  <c r="AY209" i="4"/>
  <c r="AZ209" i="4"/>
  <c r="BA209" i="4"/>
  <c r="BB209" i="4"/>
  <c r="BC209" i="4"/>
  <c r="BD209" i="4"/>
  <c r="BE209" i="4"/>
  <c r="BF209" i="4"/>
  <c r="BG209" i="4"/>
  <c r="BH209" i="4"/>
  <c r="BI209" i="4"/>
  <c r="BJ209" i="4"/>
  <c r="BK209" i="4"/>
  <c r="BL209" i="4"/>
  <c r="BM209" i="4"/>
  <c r="BN209" i="4"/>
  <c r="BO209" i="4"/>
  <c r="BP209" i="4"/>
  <c r="BQ209" i="4"/>
  <c r="BR209" i="4"/>
  <c r="BS209" i="4"/>
  <c r="BT209" i="4"/>
  <c r="BU209" i="4"/>
  <c r="BV209" i="4"/>
  <c r="BW209" i="4"/>
  <c r="BX209" i="4"/>
  <c r="BY209" i="4"/>
  <c r="BZ209" i="4"/>
  <c r="CA209" i="4"/>
  <c r="CB209" i="4"/>
  <c r="CC209" i="4"/>
  <c r="CD209" i="4"/>
  <c r="CE209" i="4"/>
  <c r="CF209" i="4"/>
  <c r="CG209" i="4"/>
  <c r="CH209" i="4"/>
  <c r="CI209" i="4"/>
  <c r="CJ209" i="4"/>
  <c r="CK209" i="4"/>
  <c r="CL209" i="4"/>
  <c r="CM209" i="4"/>
  <c r="CN209" i="4"/>
  <c r="CO209" i="4"/>
  <c r="CP209" i="4"/>
  <c r="CQ209" i="4"/>
  <c r="CR209" i="4"/>
  <c r="CS209" i="4"/>
  <c r="CT209" i="4"/>
  <c r="CU209" i="4"/>
  <c r="CV209" i="4"/>
  <c r="CW209" i="4"/>
  <c r="CX209" i="4"/>
  <c r="CY209" i="4"/>
  <c r="CZ209" i="4"/>
  <c r="DA209" i="4"/>
  <c r="DB209" i="4"/>
  <c r="DC209" i="4"/>
  <c r="DD209" i="4"/>
  <c r="DE209" i="4"/>
  <c r="DF209" i="4"/>
  <c r="DG209" i="4"/>
  <c r="DH209" i="4"/>
  <c r="DI209" i="4"/>
  <c r="DJ209" i="4"/>
  <c r="DK209" i="4"/>
  <c r="DL209" i="4"/>
  <c r="DM209" i="4"/>
  <c r="DN209" i="4"/>
  <c r="DO209" i="4"/>
  <c r="DP209" i="4"/>
  <c r="DQ209" i="4"/>
  <c r="DR209" i="4"/>
  <c r="DS209" i="4"/>
  <c r="DT209" i="4"/>
  <c r="DU209" i="4"/>
  <c r="DV209" i="4"/>
  <c r="DW209" i="4"/>
  <c r="DX209" i="4"/>
  <c r="DY209" i="4"/>
  <c r="DZ209" i="4"/>
  <c r="EA209" i="4"/>
  <c r="EB209" i="4"/>
  <c r="EC209" i="4"/>
  <c r="ED209" i="4"/>
  <c r="EE209" i="4"/>
  <c r="EF209" i="4"/>
  <c r="EG209" i="4"/>
  <c r="EH209" i="4"/>
  <c r="EI209" i="4"/>
  <c r="EJ209" i="4"/>
  <c r="EK209" i="4"/>
  <c r="EL209" i="4"/>
  <c r="EM209" i="4"/>
  <c r="EN209" i="4"/>
  <c r="EO209" i="4"/>
  <c r="EP209" i="4"/>
  <c r="EQ209" i="4"/>
  <c r="ER209" i="4"/>
  <c r="ES209" i="4"/>
  <c r="ET209" i="4"/>
  <c r="EU209" i="4"/>
  <c r="EV209" i="4"/>
  <c r="EW209" i="4"/>
  <c r="EX209" i="4"/>
  <c r="EY209" i="4"/>
  <c r="EZ209" i="4"/>
  <c r="FA209" i="4"/>
  <c r="FB209" i="4"/>
  <c r="FC209" i="4"/>
  <c r="FD209" i="4"/>
  <c r="FE209" i="4"/>
  <c r="FF209" i="4"/>
  <c r="FG209" i="4"/>
  <c r="FH209" i="4"/>
  <c r="FI209" i="4"/>
  <c r="FJ209" i="4"/>
  <c r="FK209" i="4"/>
  <c r="FL209" i="4"/>
  <c r="FM209" i="4"/>
  <c r="FN209" i="4"/>
  <c r="FO209" i="4"/>
  <c r="FP209" i="4"/>
  <c r="FQ209" i="4"/>
  <c r="FR209" i="4"/>
  <c r="FS209" i="4"/>
  <c r="FT209" i="4"/>
  <c r="FU209" i="4"/>
  <c r="FV209" i="4"/>
  <c r="FW209" i="4"/>
  <c r="FX209" i="4"/>
  <c r="FY209" i="4"/>
  <c r="FZ209" i="4"/>
  <c r="GA209" i="4"/>
  <c r="GB209" i="4"/>
  <c r="GC209" i="4"/>
  <c r="GD209" i="4"/>
  <c r="GE209" i="4"/>
  <c r="GF209" i="4"/>
  <c r="GG209" i="4"/>
  <c r="GH209" i="4"/>
  <c r="GI209" i="4"/>
  <c r="GJ209" i="4"/>
  <c r="GK209" i="4"/>
  <c r="GL209" i="4"/>
  <c r="GM209" i="4"/>
  <c r="GN209" i="4"/>
  <c r="GO209" i="4"/>
  <c r="GP209" i="4"/>
  <c r="GQ209" i="4"/>
  <c r="GR209" i="4"/>
  <c r="GS209" i="4"/>
  <c r="GT209" i="4"/>
  <c r="GU209" i="4"/>
  <c r="GV209" i="4"/>
  <c r="GW209" i="4"/>
  <c r="GX209" i="4"/>
  <c r="GY209" i="4"/>
  <c r="GZ209" i="4"/>
  <c r="HA209" i="4"/>
  <c r="HB209" i="4"/>
  <c r="HC209" i="4"/>
  <c r="HD209" i="4"/>
  <c r="HE209" i="4"/>
  <c r="HF209" i="4"/>
  <c r="HG209" i="4"/>
  <c r="HH209" i="4"/>
  <c r="HI209" i="4"/>
  <c r="HJ209" i="4"/>
  <c r="HK209" i="4"/>
  <c r="HL209" i="4"/>
  <c r="HM209" i="4"/>
  <c r="HN209" i="4"/>
  <c r="HO209" i="4"/>
  <c r="HP209" i="4"/>
  <c r="HQ209" i="4"/>
  <c r="HR209" i="4"/>
  <c r="HS209" i="4"/>
  <c r="HT209" i="4"/>
  <c r="HU209" i="4"/>
  <c r="HV209" i="4"/>
  <c r="HW209" i="4"/>
  <c r="HX209" i="4"/>
  <c r="HY209" i="4"/>
  <c r="HZ209" i="4"/>
  <c r="IA209" i="4"/>
  <c r="IB209" i="4"/>
  <c r="IC209" i="4"/>
  <c r="ID209" i="4"/>
  <c r="IE209" i="4"/>
  <c r="IF209" i="4"/>
  <c r="IG209" i="4"/>
  <c r="IH209" i="4"/>
  <c r="II209" i="4"/>
  <c r="IJ209" i="4"/>
  <c r="IK209" i="4"/>
  <c r="IL209" i="4"/>
  <c r="IM209" i="4"/>
  <c r="IN209" i="4"/>
  <c r="IO209" i="4"/>
  <c r="IP209" i="4"/>
  <c r="IQ209" i="4"/>
  <c r="IR209" i="4"/>
  <c r="IS209" i="4"/>
  <c r="IT209" i="4"/>
  <c r="IU209" i="4"/>
  <c r="IV209" i="4"/>
  <c r="A208" i="4"/>
  <c r="B208" i="4"/>
  <c r="C208" i="4"/>
  <c r="D208" i="4"/>
  <c r="E208" i="4"/>
  <c r="F208" i="4"/>
  <c r="G208" i="4"/>
  <c r="H208" i="4"/>
  <c r="I208" i="4"/>
  <c r="J208" i="4"/>
  <c r="K208" i="4"/>
  <c r="L208" i="4"/>
  <c r="M208" i="4"/>
  <c r="N208" i="4"/>
  <c r="O208" i="4"/>
  <c r="P208" i="4"/>
  <c r="Q208" i="4"/>
  <c r="R208" i="4"/>
  <c r="S208" i="4"/>
  <c r="T208" i="4"/>
  <c r="U208" i="4"/>
  <c r="V208" i="4"/>
  <c r="W208" i="4"/>
  <c r="X208" i="4"/>
  <c r="Y208" i="4"/>
  <c r="Z208" i="4"/>
  <c r="AA208" i="4"/>
  <c r="AB208" i="4"/>
  <c r="AC208" i="4"/>
  <c r="AD208" i="4"/>
  <c r="AE208" i="4"/>
  <c r="AF208" i="4"/>
  <c r="AG208" i="4"/>
  <c r="AH208" i="4"/>
  <c r="AI208" i="4"/>
  <c r="AJ208" i="4"/>
  <c r="AL208" i="4"/>
  <c r="AM208" i="4"/>
  <c r="AN208" i="4"/>
  <c r="AO208" i="4"/>
  <c r="AP208" i="4"/>
  <c r="AQ208" i="4"/>
  <c r="AR208" i="4"/>
  <c r="AS208" i="4"/>
  <c r="AT208" i="4"/>
  <c r="AU208" i="4"/>
  <c r="AV208" i="4"/>
  <c r="AW208" i="4"/>
  <c r="AX208" i="4"/>
  <c r="AY208" i="4"/>
  <c r="AZ208" i="4"/>
  <c r="BA208" i="4"/>
  <c r="BB208" i="4"/>
  <c r="BC208" i="4"/>
  <c r="BD208" i="4"/>
  <c r="BE208" i="4"/>
  <c r="BF208" i="4"/>
  <c r="BG208" i="4"/>
  <c r="BH208" i="4"/>
  <c r="BI208" i="4"/>
  <c r="BJ208" i="4"/>
  <c r="BK208" i="4"/>
  <c r="BL208" i="4"/>
  <c r="BM208" i="4"/>
  <c r="BN208" i="4"/>
  <c r="BO208" i="4"/>
  <c r="BP208" i="4"/>
  <c r="BQ208" i="4"/>
  <c r="BR208" i="4"/>
  <c r="BS208" i="4"/>
  <c r="BT208" i="4"/>
  <c r="BU208" i="4"/>
  <c r="BV208" i="4"/>
  <c r="BW208" i="4"/>
  <c r="BX208" i="4"/>
  <c r="BY208" i="4"/>
  <c r="BZ208" i="4"/>
  <c r="CA208" i="4"/>
  <c r="CB208" i="4"/>
  <c r="CC208" i="4"/>
  <c r="CD208" i="4"/>
  <c r="CE208" i="4"/>
  <c r="CF208" i="4"/>
  <c r="CG208" i="4"/>
  <c r="CH208" i="4"/>
  <c r="CI208" i="4"/>
  <c r="CJ208" i="4"/>
  <c r="CK208" i="4"/>
  <c r="CL208" i="4"/>
  <c r="CM208" i="4"/>
  <c r="CN208" i="4"/>
  <c r="CO208" i="4"/>
  <c r="CP208" i="4"/>
  <c r="CQ208" i="4"/>
  <c r="CR208" i="4"/>
  <c r="CS208" i="4"/>
  <c r="CT208" i="4"/>
  <c r="CU208" i="4"/>
  <c r="CV208" i="4"/>
  <c r="CW208" i="4"/>
  <c r="CX208" i="4"/>
  <c r="CY208" i="4"/>
  <c r="CZ208" i="4"/>
  <c r="DA208" i="4"/>
  <c r="DB208" i="4"/>
  <c r="DC208" i="4"/>
  <c r="DD208" i="4"/>
  <c r="DE208" i="4"/>
  <c r="DF208" i="4"/>
  <c r="DG208" i="4"/>
  <c r="DH208" i="4"/>
  <c r="DI208" i="4"/>
  <c r="DJ208" i="4"/>
  <c r="DK208" i="4"/>
  <c r="DL208" i="4"/>
  <c r="DM208" i="4"/>
  <c r="DN208" i="4"/>
  <c r="DO208" i="4"/>
  <c r="DP208" i="4"/>
  <c r="DQ208" i="4"/>
  <c r="DR208" i="4"/>
  <c r="DS208" i="4"/>
  <c r="DT208" i="4"/>
  <c r="DU208" i="4"/>
  <c r="DV208" i="4"/>
  <c r="DW208" i="4"/>
  <c r="DX208" i="4"/>
  <c r="DY208" i="4"/>
  <c r="DZ208" i="4"/>
  <c r="EA208" i="4"/>
  <c r="EB208" i="4"/>
  <c r="EC208" i="4"/>
  <c r="ED208" i="4"/>
  <c r="EE208" i="4"/>
  <c r="EF208" i="4"/>
  <c r="EG208" i="4"/>
  <c r="EH208" i="4"/>
  <c r="EI208" i="4"/>
  <c r="EJ208" i="4"/>
  <c r="EK208" i="4"/>
  <c r="EL208" i="4"/>
  <c r="EM208" i="4"/>
  <c r="EN208" i="4"/>
  <c r="EO208" i="4"/>
  <c r="EP208" i="4"/>
  <c r="EQ208" i="4"/>
  <c r="ER208" i="4"/>
  <c r="ES208" i="4"/>
  <c r="ET208" i="4"/>
  <c r="EU208" i="4"/>
  <c r="EV208" i="4"/>
  <c r="EW208" i="4"/>
  <c r="EX208" i="4"/>
  <c r="EY208" i="4"/>
  <c r="EZ208" i="4"/>
  <c r="FA208" i="4"/>
  <c r="FB208" i="4"/>
  <c r="FC208" i="4"/>
  <c r="FD208" i="4"/>
  <c r="FE208" i="4"/>
  <c r="FF208" i="4"/>
  <c r="FG208" i="4"/>
  <c r="FH208" i="4"/>
  <c r="FI208" i="4"/>
  <c r="FJ208" i="4"/>
  <c r="FK208" i="4"/>
  <c r="FL208" i="4"/>
  <c r="FM208" i="4"/>
  <c r="FN208" i="4"/>
  <c r="FO208" i="4"/>
  <c r="FP208" i="4"/>
  <c r="FQ208" i="4"/>
  <c r="FR208" i="4"/>
  <c r="FS208" i="4"/>
  <c r="FT208" i="4"/>
  <c r="FU208" i="4"/>
  <c r="FV208" i="4"/>
  <c r="FW208" i="4"/>
  <c r="FX208" i="4"/>
  <c r="FY208" i="4"/>
  <c r="FZ208" i="4"/>
  <c r="GA208" i="4"/>
  <c r="GB208" i="4"/>
  <c r="GC208" i="4"/>
  <c r="GD208" i="4"/>
  <c r="GE208" i="4"/>
  <c r="GF208" i="4"/>
  <c r="GG208" i="4"/>
  <c r="GH208" i="4"/>
  <c r="GI208" i="4"/>
  <c r="GJ208" i="4"/>
  <c r="GK208" i="4"/>
  <c r="GL208" i="4"/>
  <c r="GM208" i="4"/>
  <c r="GN208" i="4"/>
  <c r="GO208" i="4"/>
  <c r="GP208" i="4"/>
  <c r="GQ208" i="4"/>
  <c r="GR208" i="4"/>
  <c r="GS208" i="4"/>
  <c r="GT208" i="4"/>
  <c r="GU208" i="4"/>
  <c r="GV208" i="4"/>
  <c r="GW208" i="4"/>
  <c r="GX208" i="4"/>
  <c r="GY208" i="4"/>
  <c r="GZ208" i="4"/>
  <c r="HA208" i="4"/>
  <c r="HB208" i="4"/>
  <c r="HC208" i="4"/>
  <c r="HD208" i="4"/>
  <c r="HE208" i="4"/>
  <c r="HF208" i="4"/>
  <c r="HG208" i="4"/>
  <c r="HH208" i="4"/>
  <c r="HI208" i="4"/>
  <c r="HJ208" i="4"/>
  <c r="HK208" i="4"/>
  <c r="HL208" i="4"/>
  <c r="HM208" i="4"/>
  <c r="HN208" i="4"/>
  <c r="HO208" i="4"/>
  <c r="HP208" i="4"/>
  <c r="HQ208" i="4"/>
  <c r="HR208" i="4"/>
  <c r="HS208" i="4"/>
  <c r="HT208" i="4"/>
  <c r="HU208" i="4"/>
  <c r="HV208" i="4"/>
  <c r="HW208" i="4"/>
  <c r="HX208" i="4"/>
  <c r="HY208" i="4"/>
  <c r="HZ208" i="4"/>
  <c r="IA208" i="4"/>
  <c r="IB208" i="4"/>
  <c r="IC208" i="4"/>
  <c r="ID208" i="4"/>
  <c r="IE208" i="4"/>
  <c r="IF208" i="4"/>
  <c r="IG208" i="4"/>
  <c r="IH208" i="4"/>
  <c r="II208" i="4"/>
  <c r="IJ208" i="4"/>
  <c r="IK208" i="4"/>
  <c r="IL208" i="4"/>
  <c r="IM208" i="4"/>
  <c r="IN208" i="4"/>
  <c r="IO208" i="4"/>
  <c r="IP208" i="4"/>
  <c r="IQ208" i="4"/>
  <c r="IR208" i="4"/>
  <c r="IS208" i="4"/>
  <c r="IT208" i="4"/>
  <c r="IU208" i="4"/>
  <c r="IV208" i="4"/>
  <c r="A207" i="4"/>
  <c r="B207" i="4"/>
  <c r="C207" i="4"/>
  <c r="D207" i="4"/>
  <c r="E207" i="4"/>
  <c r="F207" i="4"/>
  <c r="G207" i="4"/>
  <c r="H207" i="4"/>
  <c r="I207" i="4"/>
  <c r="J207" i="4"/>
  <c r="K207" i="4"/>
  <c r="L207" i="4"/>
  <c r="M207" i="4"/>
  <c r="N207" i="4"/>
  <c r="O207" i="4"/>
  <c r="P207" i="4"/>
  <c r="Q207" i="4"/>
  <c r="R207" i="4"/>
  <c r="S207" i="4"/>
  <c r="T207" i="4"/>
  <c r="U207" i="4"/>
  <c r="V207" i="4"/>
  <c r="W207" i="4"/>
  <c r="X207" i="4"/>
  <c r="Y207" i="4"/>
  <c r="Z207" i="4"/>
  <c r="AA207" i="4"/>
  <c r="AB207" i="4"/>
  <c r="AC207" i="4"/>
  <c r="AD207" i="4"/>
  <c r="AE207" i="4"/>
  <c r="AF207" i="4"/>
  <c r="AG207" i="4"/>
  <c r="AH207" i="4"/>
  <c r="AI207" i="4"/>
  <c r="AJ207" i="4"/>
  <c r="AK207" i="4"/>
  <c r="AM207" i="4"/>
  <c r="AN207" i="4"/>
  <c r="AO207" i="4"/>
  <c r="AP207" i="4"/>
  <c r="AQ207" i="4"/>
  <c r="AR207" i="4"/>
  <c r="AS207" i="4"/>
  <c r="AT207" i="4"/>
  <c r="AU207" i="4"/>
  <c r="AV207" i="4"/>
  <c r="AW207" i="4"/>
  <c r="AX207" i="4"/>
  <c r="AY207" i="4"/>
  <c r="AZ207" i="4"/>
  <c r="BA207" i="4"/>
  <c r="BB207" i="4"/>
  <c r="BC207" i="4"/>
  <c r="BD207" i="4"/>
  <c r="BE207" i="4"/>
  <c r="BF207" i="4"/>
  <c r="BG207" i="4"/>
  <c r="BH207" i="4"/>
  <c r="BI207" i="4"/>
  <c r="BJ207" i="4"/>
  <c r="BK207" i="4"/>
  <c r="BL207" i="4"/>
  <c r="BM207" i="4"/>
  <c r="BN207" i="4"/>
  <c r="BO207" i="4"/>
  <c r="BP207" i="4"/>
  <c r="BQ207" i="4"/>
  <c r="BR207" i="4"/>
  <c r="BS207" i="4"/>
  <c r="BT207" i="4"/>
  <c r="BU207" i="4"/>
  <c r="BV207" i="4"/>
  <c r="BW207" i="4"/>
  <c r="BX207" i="4"/>
  <c r="BY207" i="4"/>
  <c r="BZ207" i="4"/>
  <c r="CA207" i="4"/>
  <c r="CB207" i="4"/>
  <c r="CC207" i="4"/>
  <c r="CD207" i="4"/>
  <c r="CE207" i="4"/>
  <c r="CF207" i="4"/>
  <c r="CG207" i="4"/>
  <c r="CH207" i="4"/>
  <c r="CI207" i="4"/>
  <c r="CJ207" i="4"/>
  <c r="CK207" i="4"/>
  <c r="CL207" i="4"/>
  <c r="CM207" i="4"/>
  <c r="CN207" i="4"/>
  <c r="CO207" i="4"/>
  <c r="CP207" i="4"/>
  <c r="CQ207" i="4"/>
  <c r="CR207" i="4"/>
  <c r="CS207" i="4"/>
  <c r="CT207" i="4"/>
  <c r="CU207" i="4"/>
  <c r="CV207" i="4"/>
  <c r="CW207" i="4"/>
  <c r="CX207" i="4"/>
  <c r="CY207" i="4"/>
  <c r="CZ207" i="4"/>
  <c r="DA207" i="4"/>
  <c r="DB207" i="4"/>
  <c r="DC207" i="4"/>
  <c r="DD207" i="4"/>
  <c r="DE207" i="4"/>
  <c r="DF207" i="4"/>
  <c r="DG207" i="4"/>
  <c r="DH207" i="4"/>
  <c r="DI207" i="4"/>
  <c r="DJ207" i="4"/>
  <c r="DK207" i="4"/>
  <c r="DL207" i="4"/>
  <c r="DM207" i="4"/>
  <c r="DN207" i="4"/>
  <c r="DO207" i="4"/>
  <c r="DP207" i="4"/>
  <c r="DQ207" i="4"/>
  <c r="DR207" i="4"/>
  <c r="DS207" i="4"/>
  <c r="DT207" i="4"/>
  <c r="DU207" i="4"/>
  <c r="DV207" i="4"/>
  <c r="DW207" i="4"/>
  <c r="DX207" i="4"/>
  <c r="DY207" i="4"/>
  <c r="DZ207" i="4"/>
  <c r="EA207" i="4"/>
  <c r="EB207" i="4"/>
  <c r="EC207" i="4"/>
  <c r="ED207" i="4"/>
  <c r="EE207" i="4"/>
  <c r="EF207" i="4"/>
  <c r="EG207" i="4"/>
  <c r="EH207" i="4"/>
  <c r="EI207" i="4"/>
  <c r="EJ207" i="4"/>
  <c r="EK207" i="4"/>
  <c r="EL207" i="4"/>
  <c r="EM207" i="4"/>
  <c r="EN207" i="4"/>
  <c r="EO207" i="4"/>
  <c r="EP207" i="4"/>
  <c r="EQ207" i="4"/>
  <c r="ER207" i="4"/>
  <c r="ES207" i="4"/>
  <c r="ET207" i="4"/>
  <c r="EU207" i="4"/>
  <c r="EV207" i="4"/>
  <c r="EW207" i="4"/>
  <c r="EX207" i="4"/>
  <c r="EY207" i="4"/>
  <c r="EZ207" i="4"/>
  <c r="FA207" i="4"/>
  <c r="FB207" i="4"/>
  <c r="FC207" i="4"/>
  <c r="FD207" i="4"/>
  <c r="FE207" i="4"/>
  <c r="FF207" i="4"/>
  <c r="FG207" i="4"/>
  <c r="FH207" i="4"/>
  <c r="FI207" i="4"/>
  <c r="FJ207" i="4"/>
  <c r="FK207" i="4"/>
  <c r="FL207" i="4"/>
  <c r="FM207" i="4"/>
  <c r="FN207" i="4"/>
  <c r="FO207" i="4"/>
  <c r="FP207" i="4"/>
  <c r="FQ207" i="4"/>
  <c r="FR207" i="4"/>
  <c r="FS207" i="4"/>
  <c r="FT207" i="4"/>
  <c r="FU207" i="4"/>
  <c r="FV207" i="4"/>
  <c r="FW207" i="4"/>
  <c r="FX207" i="4"/>
  <c r="FY207" i="4"/>
  <c r="FZ207" i="4"/>
  <c r="GA207" i="4"/>
  <c r="GB207" i="4"/>
  <c r="GC207" i="4"/>
  <c r="GD207" i="4"/>
  <c r="GE207" i="4"/>
  <c r="GF207" i="4"/>
  <c r="GG207" i="4"/>
  <c r="GH207" i="4"/>
  <c r="GI207" i="4"/>
  <c r="GJ207" i="4"/>
  <c r="GK207" i="4"/>
  <c r="GL207" i="4"/>
  <c r="GM207" i="4"/>
  <c r="GN207" i="4"/>
  <c r="GO207" i="4"/>
  <c r="GP207" i="4"/>
  <c r="GQ207" i="4"/>
  <c r="GR207" i="4"/>
  <c r="GS207" i="4"/>
  <c r="GT207" i="4"/>
  <c r="GU207" i="4"/>
  <c r="GV207" i="4"/>
  <c r="GW207" i="4"/>
  <c r="GX207" i="4"/>
  <c r="GY207" i="4"/>
  <c r="GZ207" i="4"/>
  <c r="HA207" i="4"/>
  <c r="HB207" i="4"/>
  <c r="HC207" i="4"/>
  <c r="HD207" i="4"/>
  <c r="HE207" i="4"/>
  <c r="HF207" i="4"/>
  <c r="HG207" i="4"/>
  <c r="HH207" i="4"/>
  <c r="HI207" i="4"/>
  <c r="HJ207" i="4"/>
  <c r="HK207" i="4"/>
  <c r="HL207" i="4"/>
  <c r="HM207" i="4"/>
  <c r="HN207" i="4"/>
  <c r="HO207" i="4"/>
  <c r="HP207" i="4"/>
  <c r="HQ207" i="4"/>
  <c r="HR207" i="4"/>
  <c r="HS207" i="4"/>
  <c r="HT207" i="4"/>
  <c r="HU207" i="4"/>
  <c r="HV207" i="4"/>
  <c r="HW207" i="4"/>
  <c r="HX207" i="4"/>
  <c r="HY207" i="4"/>
  <c r="HZ207" i="4"/>
  <c r="IA207" i="4"/>
  <c r="IB207" i="4"/>
  <c r="IC207" i="4"/>
  <c r="ID207" i="4"/>
  <c r="IE207" i="4"/>
  <c r="IF207" i="4"/>
  <c r="IG207" i="4"/>
  <c r="IH207" i="4"/>
  <c r="II207" i="4"/>
  <c r="IJ207" i="4"/>
  <c r="IK207" i="4"/>
  <c r="IL207" i="4"/>
  <c r="IM207" i="4"/>
  <c r="IN207" i="4"/>
  <c r="IO207" i="4"/>
  <c r="IP207" i="4"/>
  <c r="IQ207" i="4"/>
  <c r="IR207" i="4"/>
  <c r="IS207" i="4"/>
  <c r="IT207" i="4"/>
  <c r="IU207" i="4"/>
  <c r="IV207" i="4"/>
  <c r="A206" i="4"/>
  <c r="B206" i="4"/>
  <c r="C206" i="4"/>
  <c r="D206" i="4"/>
  <c r="E206" i="4"/>
  <c r="F206" i="4"/>
  <c r="G206" i="4"/>
  <c r="H206" i="4"/>
  <c r="I206" i="4"/>
  <c r="J206" i="4"/>
  <c r="K206" i="4"/>
  <c r="L206" i="4"/>
  <c r="M206" i="4"/>
  <c r="N206" i="4"/>
  <c r="O206" i="4"/>
  <c r="P206" i="4"/>
  <c r="Q206" i="4"/>
  <c r="R206" i="4"/>
  <c r="S206" i="4"/>
  <c r="T206" i="4"/>
  <c r="U206" i="4"/>
  <c r="V206" i="4"/>
  <c r="W206" i="4"/>
  <c r="X206" i="4"/>
  <c r="Y206" i="4"/>
  <c r="Z206" i="4"/>
  <c r="AA206" i="4"/>
  <c r="AB206" i="4"/>
  <c r="AC206" i="4"/>
  <c r="AD206" i="4"/>
  <c r="AE206" i="4"/>
  <c r="AF206" i="4"/>
  <c r="AG206" i="4"/>
  <c r="AH206" i="4"/>
  <c r="AI206" i="4"/>
  <c r="AJ206" i="4"/>
  <c r="AK206" i="4"/>
  <c r="AL206" i="4"/>
  <c r="AN206" i="4"/>
  <c r="AO206" i="4"/>
  <c r="AP206" i="4"/>
  <c r="AQ206" i="4"/>
  <c r="AR206" i="4"/>
  <c r="AS206" i="4"/>
  <c r="AT206" i="4"/>
  <c r="AU206" i="4"/>
  <c r="AV206" i="4"/>
  <c r="AW206" i="4"/>
  <c r="AX206" i="4"/>
  <c r="AY206" i="4"/>
  <c r="AZ206" i="4"/>
  <c r="BA206" i="4"/>
  <c r="BB206" i="4"/>
  <c r="BC206" i="4"/>
  <c r="BD206" i="4"/>
  <c r="BE206" i="4"/>
  <c r="BF206" i="4"/>
  <c r="BG206" i="4"/>
  <c r="BH206" i="4"/>
  <c r="BI206" i="4"/>
  <c r="BJ206" i="4"/>
  <c r="BK206" i="4"/>
  <c r="BL206" i="4"/>
  <c r="BM206" i="4"/>
  <c r="BN206" i="4"/>
  <c r="BO206" i="4"/>
  <c r="BP206" i="4"/>
  <c r="BQ206" i="4"/>
  <c r="BR206" i="4"/>
  <c r="BS206" i="4"/>
  <c r="BT206" i="4"/>
  <c r="BU206" i="4"/>
  <c r="BV206" i="4"/>
  <c r="BW206" i="4"/>
  <c r="BX206" i="4"/>
  <c r="BY206" i="4"/>
  <c r="BZ206" i="4"/>
  <c r="CA206" i="4"/>
  <c r="CB206" i="4"/>
  <c r="CC206" i="4"/>
  <c r="CD206" i="4"/>
  <c r="CE206" i="4"/>
  <c r="CF206" i="4"/>
  <c r="CG206" i="4"/>
  <c r="CH206" i="4"/>
  <c r="CI206" i="4"/>
  <c r="CJ206" i="4"/>
  <c r="CK206" i="4"/>
  <c r="CL206" i="4"/>
  <c r="CM206" i="4"/>
  <c r="CN206" i="4"/>
  <c r="CO206" i="4"/>
  <c r="CP206" i="4"/>
  <c r="CQ206" i="4"/>
  <c r="CR206" i="4"/>
  <c r="CS206" i="4"/>
  <c r="CT206" i="4"/>
  <c r="CU206" i="4"/>
  <c r="CV206" i="4"/>
  <c r="CW206" i="4"/>
  <c r="CX206" i="4"/>
  <c r="CY206" i="4"/>
  <c r="CZ206" i="4"/>
  <c r="DA206" i="4"/>
  <c r="DB206" i="4"/>
  <c r="DC206" i="4"/>
  <c r="DD206" i="4"/>
  <c r="DE206" i="4"/>
  <c r="DF206" i="4"/>
  <c r="DG206" i="4"/>
  <c r="DH206" i="4"/>
  <c r="DI206" i="4"/>
  <c r="DJ206" i="4"/>
  <c r="DK206" i="4"/>
  <c r="DL206" i="4"/>
  <c r="DM206" i="4"/>
  <c r="DN206" i="4"/>
  <c r="DO206" i="4"/>
  <c r="DP206" i="4"/>
  <c r="DQ206" i="4"/>
  <c r="DR206" i="4"/>
  <c r="DS206" i="4"/>
  <c r="DT206" i="4"/>
  <c r="DU206" i="4"/>
  <c r="DV206" i="4"/>
  <c r="DW206" i="4"/>
  <c r="DX206" i="4"/>
  <c r="DY206" i="4"/>
  <c r="DZ206" i="4"/>
  <c r="EA206" i="4"/>
  <c r="EB206" i="4"/>
  <c r="EC206" i="4"/>
  <c r="ED206" i="4"/>
  <c r="EE206" i="4"/>
  <c r="EF206" i="4"/>
  <c r="EG206" i="4"/>
  <c r="EH206" i="4"/>
  <c r="EI206" i="4"/>
  <c r="EJ206" i="4"/>
  <c r="EK206" i="4"/>
  <c r="EL206" i="4"/>
  <c r="EM206" i="4"/>
  <c r="EN206" i="4"/>
  <c r="EO206" i="4"/>
  <c r="EP206" i="4"/>
  <c r="EQ206" i="4"/>
  <c r="ER206" i="4"/>
  <c r="ES206" i="4"/>
  <c r="ET206" i="4"/>
  <c r="EU206" i="4"/>
  <c r="EV206" i="4"/>
  <c r="EW206" i="4"/>
  <c r="EX206" i="4"/>
  <c r="EY206" i="4"/>
  <c r="EZ206" i="4"/>
  <c r="FA206" i="4"/>
  <c r="FB206" i="4"/>
  <c r="FC206" i="4"/>
  <c r="FD206" i="4"/>
  <c r="FE206" i="4"/>
  <c r="FF206" i="4"/>
  <c r="FG206" i="4"/>
  <c r="FH206" i="4"/>
  <c r="FI206" i="4"/>
  <c r="FJ206" i="4"/>
  <c r="FK206" i="4"/>
  <c r="FL206" i="4"/>
  <c r="FM206" i="4"/>
  <c r="FN206" i="4"/>
  <c r="FO206" i="4"/>
  <c r="FP206" i="4"/>
  <c r="FQ206" i="4"/>
  <c r="FR206" i="4"/>
  <c r="FS206" i="4"/>
  <c r="FT206" i="4"/>
  <c r="FU206" i="4"/>
  <c r="FV206" i="4"/>
  <c r="FW206" i="4"/>
  <c r="FX206" i="4"/>
  <c r="FY206" i="4"/>
  <c r="FZ206" i="4"/>
  <c r="GA206" i="4"/>
  <c r="GB206" i="4"/>
  <c r="GC206" i="4"/>
  <c r="GD206" i="4"/>
  <c r="GE206" i="4"/>
  <c r="GF206" i="4"/>
  <c r="GG206" i="4"/>
  <c r="GH206" i="4"/>
  <c r="GI206" i="4"/>
  <c r="GJ206" i="4"/>
  <c r="GK206" i="4"/>
  <c r="GL206" i="4"/>
  <c r="GM206" i="4"/>
  <c r="GN206" i="4"/>
  <c r="GO206" i="4"/>
  <c r="GP206" i="4"/>
  <c r="GQ206" i="4"/>
  <c r="GR206" i="4"/>
  <c r="GS206" i="4"/>
  <c r="GT206" i="4"/>
  <c r="GU206" i="4"/>
  <c r="GV206" i="4"/>
  <c r="GW206" i="4"/>
  <c r="GX206" i="4"/>
  <c r="GY206" i="4"/>
  <c r="GZ206" i="4"/>
  <c r="HA206" i="4"/>
  <c r="HB206" i="4"/>
  <c r="HC206" i="4"/>
  <c r="HD206" i="4"/>
  <c r="HE206" i="4"/>
  <c r="HF206" i="4"/>
  <c r="HG206" i="4"/>
  <c r="HH206" i="4"/>
  <c r="HI206" i="4"/>
  <c r="HJ206" i="4"/>
  <c r="HK206" i="4"/>
  <c r="HL206" i="4"/>
  <c r="HM206" i="4"/>
  <c r="HN206" i="4"/>
  <c r="HO206" i="4"/>
  <c r="HP206" i="4"/>
  <c r="HQ206" i="4"/>
  <c r="HR206" i="4"/>
  <c r="HS206" i="4"/>
  <c r="HT206" i="4"/>
  <c r="HU206" i="4"/>
  <c r="HV206" i="4"/>
  <c r="HW206" i="4"/>
  <c r="HX206" i="4"/>
  <c r="HY206" i="4"/>
  <c r="HZ206" i="4"/>
  <c r="IA206" i="4"/>
  <c r="IB206" i="4"/>
  <c r="IC206" i="4"/>
  <c r="ID206" i="4"/>
  <c r="IE206" i="4"/>
  <c r="IF206" i="4"/>
  <c r="IG206" i="4"/>
  <c r="IH206" i="4"/>
  <c r="II206" i="4"/>
  <c r="IJ206" i="4"/>
  <c r="IK206" i="4"/>
  <c r="IL206" i="4"/>
  <c r="IM206" i="4"/>
  <c r="IN206" i="4"/>
  <c r="IO206" i="4"/>
  <c r="IP206" i="4"/>
  <c r="IQ206" i="4"/>
  <c r="IR206" i="4"/>
  <c r="IS206" i="4"/>
  <c r="IT206" i="4"/>
  <c r="IU206" i="4"/>
  <c r="IV206" i="4"/>
  <c r="A205" i="4"/>
  <c r="B205" i="4"/>
  <c r="C205" i="4"/>
  <c r="D205" i="4"/>
  <c r="E205" i="4"/>
  <c r="F205" i="4"/>
  <c r="G205" i="4"/>
  <c r="H205" i="4"/>
  <c r="I205" i="4"/>
  <c r="J205" i="4"/>
  <c r="K205" i="4"/>
  <c r="L205" i="4"/>
  <c r="M205" i="4"/>
  <c r="N205" i="4"/>
  <c r="O205" i="4"/>
  <c r="P205" i="4"/>
  <c r="Q205" i="4"/>
  <c r="R205" i="4"/>
  <c r="S205" i="4"/>
  <c r="T205" i="4"/>
  <c r="U205" i="4"/>
  <c r="V205" i="4"/>
  <c r="W205" i="4"/>
  <c r="X205" i="4"/>
  <c r="Y205" i="4"/>
  <c r="Z205" i="4"/>
  <c r="AA205" i="4"/>
  <c r="AB205" i="4"/>
  <c r="AC205" i="4"/>
  <c r="AD205" i="4"/>
  <c r="AE205" i="4"/>
  <c r="AF205" i="4"/>
  <c r="AG205" i="4"/>
  <c r="AH205" i="4"/>
  <c r="AI205" i="4"/>
  <c r="AJ205" i="4"/>
  <c r="AK205" i="4"/>
  <c r="AL205" i="4"/>
  <c r="AM205" i="4"/>
  <c r="AN205" i="4"/>
  <c r="AO205" i="4"/>
  <c r="AP205" i="4"/>
  <c r="AQ205" i="4"/>
  <c r="AR205" i="4"/>
  <c r="AS205" i="4"/>
  <c r="AT205" i="4"/>
  <c r="AU205" i="4"/>
  <c r="AV205" i="4"/>
  <c r="AW205" i="4"/>
  <c r="AX205" i="4"/>
  <c r="AY205" i="4"/>
  <c r="AZ205" i="4"/>
  <c r="BA205" i="4"/>
  <c r="BB205" i="4"/>
  <c r="BC205" i="4"/>
  <c r="BD205" i="4"/>
  <c r="BE205" i="4"/>
  <c r="BF205" i="4"/>
  <c r="BG205" i="4"/>
  <c r="BH205" i="4"/>
  <c r="BI205" i="4"/>
  <c r="BJ205" i="4"/>
  <c r="BK205" i="4"/>
  <c r="BL205" i="4"/>
  <c r="BM205" i="4"/>
  <c r="BN205" i="4"/>
  <c r="BO205" i="4"/>
  <c r="BP205" i="4"/>
  <c r="BQ205" i="4"/>
  <c r="BR205" i="4"/>
  <c r="BS205" i="4"/>
  <c r="BT205" i="4"/>
  <c r="BU205" i="4"/>
  <c r="BV205" i="4"/>
  <c r="BW205" i="4"/>
  <c r="BX205" i="4"/>
  <c r="BY205" i="4"/>
  <c r="BZ205" i="4"/>
  <c r="CA205" i="4"/>
  <c r="CB205" i="4"/>
  <c r="CC205" i="4"/>
  <c r="CD205" i="4"/>
  <c r="CE205" i="4"/>
  <c r="CF205" i="4"/>
  <c r="CG205" i="4"/>
  <c r="CH205" i="4"/>
  <c r="CI205" i="4"/>
  <c r="CJ205" i="4"/>
  <c r="CK205" i="4"/>
  <c r="CL205" i="4"/>
  <c r="CM205" i="4"/>
  <c r="CN205" i="4"/>
  <c r="CO205" i="4"/>
  <c r="CP205" i="4"/>
  <c r="CQ205" i="4"/>
  <c r="CR205" i="4"/>
  <c r="CS205" i="4"/>
  <c r="CT205" i="4"/>
  <c r="CU205" i="4"/>
  <c r="CV205" i="4"/>
  <c r="CW205" i="4"/>
  <c r="CX205" i="4"/>
  <c r="CY205" i="4"/>
  <c r="CZ205" i="4"/>
  <c r="DA205" i="4"/>
  <c r="DB205" i="4"/>
  <c r="DC205" i="4"/>
  <c r="DD205" i="4"/>
  <c r="DE205" i="4"/>
  <c r="DF205" i="4"/>
  <c r="DG205" i="4"/>
  <c r="DH205" i="4"/>
  <c r="DI205" i="4"/>
  <c r="DJ205" i="4"/>
  <c r="DK205" i="4"/>
  <c r="DL205" i="4"/>
  <c r="DM205" i="4"/>
  <c r="DN205" i="4"/>
  <c r="DO205" i="4"/>
  <c r="DP205" i="4"/>
  <c r="DQ205" i="4"/>
  <c r="DR205" i="4"/>
  <c r="DS205" i="4"/>
  <c r="DT205" i="4"/>
  <c r="DU205" i="4"/>
  <c r="DV205" i="4"/>
  <c r="DW205" i="4"/>
  <c r="DX205" i="4"/>
  <c r="DY205" i="4"/>
  <c r="DZ205" i="4"/>
  <c r="EA205" i="4"/>
  <c r="EB205" i="4"/>
  <c r="EC205" i="4"/>
  <c r="ED205" i="4"/>
  <c r="EE205" i="4"/>
  <c r="EF205" i="4"/>
  <c r="EG205" i="4"/>
  <c r="EH205" i="4"/>
  <c r="EI205" i="4"/>
  <c r="EJ205" i="4"/>
  <c r="EK205" i="4"/>
  <c r="EL205" i="4"/>
  <c r="EM205" i="4"/>
  <c r="EN205" i="4"/>
  <c r="EO205" i="4"/>
  <c r="EP205" i="4"/>
  <c r="EQ205" i="4"/>
  <c r="ER205" i="4"/>
  <c r="ES205" i="4"/>
  <c r="ET205" i="4"/>
  <c r="EU205" i="4"/>
  <c r="EV205" i="4"/>
  <c r="EW205" i="4"/>
  <c r="EX205" i="4"/>
  <c r="EY205" i="4"/>
  <c r="EZ205" i="4"/>
  <c r="FA205" i="4"/>
  <c r="FB205" i="4"/>
  <c r="FC205" i="4"/>
  <c r="FD205" i="4"/>
  <c r="FE205" i="4"/>
  <c r="FF205" i="4"/>
  <c r="FG205" i="4"/>
  <c r="FH205" i="4"/>
  <c r="FI205" i="4"/>
  <c r="FJ205" i="4"/>
  <c r="FK205" i="4"/>
  <c r="FL205" i="4"/>
  <c r="FM205" i="4"/>
  <c r="FN205" i="4"/>
  <c r="FO205" i="4"/>
  <c r="FP205" i="4"/>
  <c r="FQ205" i="4"/>
  <c r="FR205" i="4"/>
  <c r="FS205" i="4"/>
  <c r="FT205" i="4"/>
  <c r="FU205" i="4"/>
  <c r="FV205" i="4"/>
  <c r="FW205" i="4"/>
  <c r="FX205" i="4"/>
  <c r="FY205" i="4"/>
  <c r="FZ205" i="4"/>
  <c r="GA205" i="4"/>
  <c r="GB205" i="4"/>
  <c r="GC205" i="4"/>
  <c r="GD205" i="4"/>
  <c r="GE205" i="4"/>
  <c r="GF205" i="4"/>
  <c r="GG205" i="4"/>
  <c r="GH205" i="4"/>
  <c r="GI205" i="4"/>
  <c r="GJ205" i="4"/>
  <c r="GK205" i="4"/>
  <c r="GL205" i="4"/>
  <c r="GM205" i="4"/>
  <c r="GN205" i="4"/>
  <c r="GO205" i="4"/>
  <c r="GP205" i="4"/>
  <c r="GQ205" i="4"/>
  <c r="GR205" i="4"/>
  <c r="GS205" i="4"/>
  <c r="GT205" i="4"/>
  <c r="GU205" i="4"/>
  <c r="GV205" i="4"/>
  <c r="GW205" i="4"/>
  <c r="GX205" i="4"/>
  <c r="GY205" i="4"/>
  <c r="GZ205" i="4"/>
  <c r="HA205" i="4"/>
  <c r="HB205" i="4"/>
  <c r="HC205" i="4"/>
  <c r="HD205" i="4"/>
  <c r="HE205" i="4"/>
  <c r="HF205" i="4"/>
  <c r="HG205" i="4"/>
  <c r="HH205" i="4"/>
  <c r="HI205" i="4"/>
  <c r="HJ205" i="4"/>
  <c r="HK205" i="4"/>
  <c r="HL205" i="4"/>
  <c r="HM205" i="4"/>
  <c r="HN205" i="4"/>
  <c r="HO205" i="4"/>
  <c r="HP205" i="4"/>
  <c r="HQ205" i="4"/>
  <c r="HR205" i="4"/>
  <c r="HS205" i="4"/>
  <c r="HT205" i="4"/>
  <c r="HU205" i="4"/>
  <c r="HV205" i="4"/>
  <c r="HW205" i="4"/>
  <c r="HX205" i="4"/>
  <c r="HY205" i="4"/>
  <c r="HZ205" i="4"/>
  <c r="IA205" i="4"/>
  <c r="IB205" i="4"/>
  <c r="IC205" i="4"/>
  <c r="ID205" i="4"/>
  <c r="IE205" i="4"/>
  <c r="IF205" i="4"/>
  <c r="IG205" i="4"/>
  <c r="IH205" i="4"/>
  <c r="II205" i="4"/>
  <c r="IJ205" i="4"/>
  <c r="IK205" i="4"/>
  <c r="IL205" i="4"/>
  <c r="IM205" i="4"/>
  <c r="IN205" i="4"/>
  <c r="IO205" i="4"/>
  <c r="IP205" i="4"/>
  <c r="IQ205" i="4"/>
  <c r="IR205" i="4"/>
  <c r="IS205" i="4"/>
  <c r="IT205" i="4"/>
  <c r="IU205" i="4"/>
  <c r="IV205" i="4"/>
  <c r="A204" i="4"/>
  <c r="B204" i="4"/>
  <c r="C204" i="4"/>
  <c r="D204" i="4"/>
  <c r="E204" i="4"/>
  <c r="F204" i="4"/>
  <c r="G204" i="4"/>
  <c r="H204" i="4"/>
  <c r="I204" i="4"/>
  <c r="J204" i="4"/>
  <c r="K204" i="4"/>
  <c r="L204" i="4"/>
  <c r="M204" i="4"/>
  <c r="N204" i="4"/>
  <c r="O204" i="4"/>
  <c r="P204" i="4"/>
  <c r="Q204" i="4"/>
  <c r="R204" i="4"/>
  <c r="S204" i="4"/>
  <c r="T204" i="4"/>
  <c r="U204" i="4"/>
  <c r="V204" i="4"/>
  <c r="W204" i="4"/>
  <c r="X204" i="4"/>
  <c r="Y204" i="4"/>
  <c r="Z204" i="4"/>
  <c r="AA204" i="4"/>
  <c r="AB204" i="4"/>
  <c r="AC204" i="4"/>
  <c r="AD204" i="4"/>
  <c r="AE204" i="4"/>
  <c r="AF204" i="4"/>
  <c r="AG204" i="4"/>
  <c r="AH204" i="4"/>
  <c r="AI204" i="4"/>
  <c r="AJ204" i="4"/>
  <c r="AK204" i="4"/>
  <c r="AL204" i="4"/>
  <c r="AM204" i="4"/>
  <c r="AN204" i="4"/>
  <c r="AO204" i="4"/>
  <c r="AP204" i="4"/>
  <c r="AQ204" i="4"/>
  <c r="AR204" i="4"/>
  <c r="AS204" i="4"/>
  <c r="AT204" i="4"/>
  <c r="AU204" i="4"/>
  <c r="AV204" i="4"/>
  <c r="AW204" i="4"/>
  <c r="AX204" i="4"/>
  <c r="AY204" i="4"/>
  <c r="AZ204" i="4"/>
  <c r="BA204" i="4"/>
  <c r="BB204" i="4"/>
  <c r="BC204" i="4"/>
  <c r="BD204" i="4"/>
  <c r="BE204" i="4"/>
  <c r="BF204" i="4"/>
  <c r="BG204" i="4"/>
  <c r="BH204" i="4"/>
  <c r="BI204" i="4"/>
  <c r="BJ204" i="4"/>
  <c r="BK204" i="4"/>
  <c r="BL204" i="4"/>
  <c r="BM204" i="4"/>
  <c r="BN204" i="4"/>
  <c r="BO204" i="4"/>
  <c r="BP204" i="4"/>
  <c r="BQ204" i="4"/>
  <c r="BR204" i="4"/>
  <c r="BS204" i="4"/>
  <c r="BT204" i="4"/>
  <c r="BU204" i="4"/>
  <c r="BV204" i="4"/>
  <c r="BW204" i="4"/>
  <c r="BX204" i="4"/>
  <c r="BY204" i="4"/>
  <c r="BZ204" i="4"/>
  <c r="CA204" i="4"/>
  <c r="CB204" i="4"/>
  <c r="CC204" i="4"/>
  <c r="CD204" i="4"/>
  <c r="CE204" i="4"/>
  <c r="CF204" i="4"/>
  <c r="CG204" i="4"/>
  <c r="CH204" i="4"/>
  <c r="CI204" i="4"/>
  <c r="CJ204" i="4"/>
  <c r="CK204" i="4"/>
  <c r="CL204" i="4"/>
  <c r="CM204" i="4"/>
  <c r="CN204" i="4"/>
  <c r="CO204" i="4"/>
  <c r="CP204" i="4"/>
  <c r="CQ204" i="4"/>
  <c r="CR204" i="4"/>
  <c r="CS204" i="4"/>
  <c r="CT204" i="4"/>
  <c r="CU204" i="4"/>
  <c r="CV204" i="4"/>
  <c r="CW204" i="4"/>
  <c r="CX204" i="4"/>
  <c r="CY204" i="4"/>
  <c r="CZ204" i="4"/>
  <c r="DA204" i="4"/>
  <c r="DB204" i="4"/>
  <c r="DC204" i="4"/>
  <c r="DD204" i="4"/>
  <c r="DE204" i="4"/>
  <c r="DF204" i="4"/>
  <c r="DG204" i="4"/>
  <c r="DH204" i="4"/>
  <c r="DI204" i="4"/>
  <c r="DJ204" i="4"/>
  <c r="DK204" i="4"/>
  <c r="DL204" i="4"/>
  <c r="DM204" i="4"/>
  <c r="DN204" i="4"/>
  <c r="DO204" i="4"/>
  <c r="DP204" i="4"/>
  <c r="DQ204" i="4"/>
  <c r="DR204" i="4"/>
  <c r="DS204" i="4"/>
  <c r="DT204" i="4"/>
  <c r="DU204" i="4"/>
  <c r="DV204" i="4"/>
  <c r="DW204" i="4"/>
  <c r="DX204" i="4"/>
  <c r="DY204" i="4"/>
  <c r="DZ204" i="4"/>
  <c r="EA204" i="4"/>
  <c r="EB204" i="4"/>
  <c r="EC204" i="4"/>
  <c r="ED204" i="4"/>
  <c r="EE204" i="4"/>
  <c r="EF204" i="4"/>
  <c r="EG204" i="4"/>
  <c r="EH204" i="4"/>
  <c r="EI204" i="4"/>
  <c r="EJ204" i="4"/>
  <c r="EK204" i="4"/>
  <c r="EL204" i="4"/>
  <c r="EM204" i="4"/>
  <c r="EN204" i="4"/>
  <c r="EO204" i="4"/>
  <c r="EP204" i="4"/>
  <c r="EQ204" i="4"/>
  <c r="ER204" i="4"/>
  <c r="ES204" i="4"/>
  <c r="ET204" i="4"/>
  <c r="EU204" i="4"/>
  <c r="EV204" i="4"/>
  <c r="EW204" i="4"/>
  <c r="EX204" i="4"/>
  <c r="EY204" i="4"/>
  <c r="EZ204" i="4"/>
  <c r="FA204" i="4"/>
  <c r="FB204" i="4"/>
  <c r="FC204" i="4"/>
  <c r="FD204" i="4"/>
  <c r="FE204" i="4"/>
  <c r="FF204" i="4"/>
  <c r="FG204" i="4"/>
  <c r="FH204" i="4"/>
  <c r="FI204" i="4"/>
  <c r="FJ204" i="4"/>
  <c r="FK204" i="4"/>
  <c r="FL204" i="4"/>
  <c r="FM204" i="4"/>
  <c r="FN204" i="4"/>
  <c r="FO204" i="4"/>
  <c r="FP204" i="4"/>
  <c r="FQ204" i="4"/>
  <c r="FR204" i="4"/>
  <c r="FS204" i="4"/>
  <c r="FT204" i="4"/>
  <c r="FU204" i="4"/>
  <c r="FV204" i="4"/>
  <c r="FW204" i="4"/>
  <c r="FX204" i="4"/>
  <c r="FY204" i="4"/>
  <c r="FZ204" i="4"/>
  <c r="GA204" i="4"/>
  <c r="GB204" i="4"/>
  <c r="GC204" i="4"/>
  <c r="GD204" i="4"/>
  <c r="GE204" i="4"/>
  <c r="GF204" i="4"/>
  <c r="GG204" i="4"/>
  <c r="GH204" i="4"/>
  <c r="GI204" i="4"/>
  <c r="GJ204" i="4"/>
  <c r="GK204" i="4"/>
  <c r="GL204" i="4"/>
  <c r="GM204" i="4"/>
  <c r="GN204" i="4"/>
  <c r="GO204" i="4"/>
  <c r="GP204" i="4"/>
  <c r="GQ204" i="4"/>
  <c r="GR204" i="4"/>
  <c r="GS204" i="4"/>
  <c r="GT204" i="4"/>
  <c r="GU204" i="4"/>
  <c r="GV204" i="4"/>
  <c r="GW204" i="4"/>
  <c r="GX204" i="4"/>
  <c r="GY204" i="4"/>
  <c r="GZ204" i="4"/>
  <c r="HA204" i="4"/>
  <c r="HB204" i="4"/>
  <c r="HC204" i="4"/>
  <c r="HD204" i="4"/>
  <c r="HE204" i="4"/>
  <c r="HF204" i="4"/>
  <c r="HG204" i="4"/>
  <c r="HH204" i="4"/>
  <c r="HI204" i="4"/>
  <c r="HJ204" i="4"/>
  <c r="HK204" i="4"/>
  <c r="HL204" i="4"/>
  <c r="HM204" i="4"/>
  <c r="HN204" i="4"/>
  <c r="HO204" i="4"/>
  <c r="HP204" i="4"/>
  <c r="HQ204" i="4"/>
  <c r="HR204" i="4"/>
  <c r="HS204" i="4"/>
  <c r="HT204" i="4"/>
  <c r="HU204" i="4"/>
  <c r="HV204" i="4"/>
  <c r="HW204" i="4"/>
  <c r="HX204" i="4"/>
  <c r="HY204" i="4"/>
  <c r="HZ204" i="4"/>
  <c r="IA204" i="4"/>
  <c r="IB204" i="4"/>
  <c r="IC204" i="4"/>
  <c r="ID204" i="4"/>
  <c r="IE204" i="4"/>
  <c r="IF204" i="4"/>
  <c r="IG204" i="4"/>
  <c r="IH204" i="4"/>
  <c r="II204" i="4"/>
  <c r="IJ204" i="4"/>
  <c r="IK204" i="4"/>
  <c r="IL204" i="4"/>
  <c r="IM204" i="4"/>
  <c r="IN204" i="4"/>
  <c r="IO204" i="4"/>
  <c r="IP204" i="4"/>
  <c r="IQ204" i="4"/>
  <c r="IR204" i="4"/>
  <c r="IS204" i="4"/>
  <c r="IT204" i="4"/>
  <c r="IU204" i="4"/>
  <c r="IV204" i="4"/>
  <c r="A203" i="4"/>
  <c r="B203" i="4"/>
  <c r="C203" i="4"/>
  <c r="D203" i="4"/>
  <c r="E203" i="4"/>
  <c r="F203" i="4"/>
  <c r="G203" i="4"/>
  <c r="H203" i="4"/>
  <c r="I203" i="4"/>
  <c r="J203" i="4"/>
  <c r="K203" i="4"/>
  <c r="L203" i="4"/>
  <c r="M203" i="4"/>
  <c r="N203" i="4"/>
  <c r="O203" i="4"/>
  <c r="P203" i="4"/>
  <c r="Q203" i="4"/>
  <c r="R203" i="4"/>
  <c r="S203" i="4"/>
  <c r="T203" i="4"/>
  <c r="U203" i="4"/>
  <c r="V203" i="4"/>
  <c r="W203" i="4"/>
  <c r="X203" i="4"/>
  <c r="Y203" i="4"/>
  <c r="Z203" i="4"/>
  <c r="AA203" i="4"/>
  <c r="AB203" i="4"/>
  <c r="AC203" i="4"/>
  <c r="AD203" i="4"/>
  <c r="AE203" i="4"/>
  <c r="AF203" i="4"/>
  <c r="AG203" i="4"/>
  <c r="AH203" i="4"/>
  <c r="AI203" i="4"/>
  <c r="AJ203" i="4"/>
  <c r="AK203" i="4"/>
  <c r="AL203" i="4"/>
  <c r="AM203" i="4"/>
  <c r="AN203" i="4"/>
  <c r="AO203" i="4"/>
  <c r="AP203" i="4"/>
  <c r="AQ203" i="4"/>
  <c r="AR203" i="4"/>
  <c r="AS203" i="4"/>
  <c r="AT203" i="4"/>
  <c r="AU203" i="4"/>
  <c r="AV203" i="4"/>
  <c r="AW203" i="4"/>
  <c r="AX203" i="4"/>
  <c r="AY203" i="4"/>
  <c r="AZ203" i="4"/>
  <c r="BA203" i="4"/>
  <c r="BB203" i="4"/>
  <c r="BC203" i="4"/>
  <c r="BD203" i="4"/>
  <c r="BE203" i="4"/>
  <c r="BF203" i="4"/>
  <c r="BG203" i="4"/>
  <c r="BH203" i="4"/>
  <c r="BI203" i="4"/>
  <c r="BJ203" i="4"/>
  <c r="BK203" i="4"/>
  <c r="BL203" i="4"/>
  <c r="BM203" i="4"/>
  <c r="BN203" i="4"/>
  <c r="BO203" i="4"/>
  <c r="BP203" i="4"/>
  <c r="BQ203" i="4"/>
  <c r="BR203" i="4"/>
  <c r="BS203" i="4"/>
  <c r="BT203" i="4"/>
  <c r="BU203" i="4"/>
  <c r="BV203" i="4"/>
  <c r="BW203" i="4"/>
  <c r="BX203" i="4"/>
  <c r="BY203" i="4"/>
  <c r="BZ203" i="4"/>
  <c r="CA203" i="4"/>
  <c r="CB203" i="4"/>
  <c r="CC203" i="4"/>
  <c r="CD203" i="4"/>
  <c r="CE203" i="4"/>
  <c r="CF203" i="4"/>
  <c r="CG203" i="4"/>
  <c r="CH203" i="4"/>
  <c r="CI203" i="4"/>
  <c r="CJ203" i="4"/>
  <c r="CK203" i="4"/>
  <c r="CL203" i="4"/>
  <c r="CM203" i="4"/>
  <c r="CN203" i="4"/>
  <c r="CO203" i="4"/>
  <c r="CP203" i="4"/>
  <c r="CQ203" i="4"/>
  <c r="CR203" i="4"/>
  <c r="CS203" i="4"/>
  <c r="CT203" i="4"/>
  <c r="CU203" i="4"/>
  <c r="CV203" i="4"/>
  <c r="CW203" i="4"/>
  <c r="CX203" i="4"/>
  <c r="CY203" i="4"/>
  <c r="CZ203" i="4"/>
  <c r="DA203" i="4"/>
  <c r="DB203" i="4"/>
  <c r="DC203" i="4"/>
  <c r="DD203" i="4"/>
  <c r="DE203" i="4"/>
  <c r="DF203" i="4"/>
  <c r="DG203" i="4"/>
  <c r="DH203" i="4"/>
  <c r="DI203" i="4"/>
  <c r="DJ203" i="4"/>
  <c r="DK203" i="4"/>
  <c r="DL203" i="4"/>
  <c r="DM203" i="4"/>
  <c r="DN203" i="4"/>
  <c r="DO203" i="4"/>
  <c r="DP203" i="4"/>
  <c r="DQ203" i="4"/>
  <c r="DR203" i="4"/>
  <c r="DS203" i="4"/>
  <c r="DT203" i="4"/>
  <c r="DU203" i="4"/>
  <c r="DV203" i="4"/>
  <c r="DW203" i="4"/>
  <c r="DX203" i="4"/>
  <c r="DY203" i="4"/>
  <c r="DZ203" i="4"/>
  <c r="EA203" i="4"/>
  <c r="EB203" i="4"/>
  <c r="EC203" i="4"/>
  <c r="ED203" i="4"/>
  <c r="EE203" i="4"/>
  <c r="EF203" i="4"/>
  <c r="EG203" i="4"/>
  <c r="EH203" i="4"/>
  <c r="EI203" i="4"/>
  <c r="EJ203" i="4"/>
  <c r="EK203" i="4"/>
  <c r="EL203" i="4"/>
  <c r="EM203" i="4"/>
  <c r="EN203" i="4"/>
  <c r="EO203" i="4"/>
  <c r="EP203" i="4"/>
  <c r="EQ203" i="4"/>
  <c r="ER203" i="4"/>
  <c r="ES203" i="4"/>
  <c r="ET203" i="4"/>
  <c r="EU203" i="4"/>
  <c r="EV203" i="4"/>
  <c r="EW203" i="4"/>
  <c r="EX203" i="4"/>
  <c r="EY203" i="4"/>
  <c r="EZ203" i="4"/>
  <c r="FA203" i="4"/>
  <c r="FB203" i="4"/>
  <c r="FC203" i="4"/>
  <c r="FD203" i="4"/>
  <c r="FE203" i="4"/>
  <c r="FF203" i="4"/>
  <c r="FG203" i="4"/>
  <c r="FH203" i="4"/>
  <c r="FI203" i="4"/>
  <c r="FJ203" i="4"/>
  <c r="FK203" i="4"/>
  <c r="FL203" i="4"/>
  <c r="FM203" i="4"/>
  <c r="FN203" i="4"/>
  <c r="FO203" i="4"/>
  <c r="FP203" i="4"/>
  <c r="FQ203" i="4"/>
  <c r="FR203" i="4"/>
  <c r="FS203" i="4"/>
  <c r="FT203" i="4"/>
  <c r="FU203" i="4"/>
  <c r="FV203" i="4"/>
  <c r="FW203" i="4"/>
  <c r="FX203" i="4"/>
  <c r="FY203" i="4"/>
  <c r="FZ203" i="4"/>
  <c r="GA203" i="4"/>
  <c r="GB203" i="4"/>
  <c r="GC203" i="4"/>
  <c r="GD203" i="4"/>
  <c r="GE203" i="4"/>
  <c r="GF203" i="4"/>
  <c r="GG203" i="4"/>
  <c r="GH203" i="4"/>
  <c r="GI203" i="4"/>
  <c r="GJ203" i="4"/>
  <c r="GK203" i="4"/>
  <c r="GL203" i="4"/>
  <c r="GM203" i="4"/>
  <c r="GN203" i="4"/>
  <c r="GO203" i="4"/>
  <c r="GP203" i="4"/>
  <c r="GQ203" i="4"/>
  <c r="GR203" i="4"/>
  <c r="GS203" i="4"/>
  <c r="GT203" i="4"/>
  <c r="GU203" i="4"/>
  <c r="GV203" i="4"/>
  <c r="GW203" i="4"/>
  <c r="GX203" i="4"/>
  <c r="GY203" i="4"/>
  <c r="GZ203" i="4"/>
  <c r="HA203" i="4"/>
  <c r="HB203" i="4"/>
  <c r="HC203" i="4"/>
  <c r="HD203" i="4"/>
  <c r="HE203" i="4"/>
  <c r="HF203" i="4"/>
  <c r="HG203" i="4"/>
  <c r="HH203" i="4"/>
  <c r="HI203" i="4"/>
  <c r="HJ203" i="4"/>
  <c r="HK203" i="4"/>
  <c r="HL203" i="4"/>
  <c r="HM203" i="4"/>
  <c r="HN203" i="4"/>
  <c r="HO203" i="4"/>
  <c r="HP203" i="4"/>
  <c r="HQ203" i="4"/>
  <c r="HR203" i="4"/>
  <c r="HS203" i="4"/>
  <c r="HT203" i="4"/>
  <c r="HU203" i="4"/>
  <c r="HV203" i="4"/>
  <c r="HW203" i="4"/>
  <c r="HX203" i="4"/>
  <c r="HY203" i="4"/>
  <c r="HZ203" i="4"/>
  <c r="IA203" i="4"/>
  <c r="IB203" i="4"/>
  <c r="IC203" i="4"/>
  <c r="ID203" i="4"/>
  <c r="IE203" i="4"/>
  <c r="IF203" i="4"/>
  <c r="IG203" i="4"/>
  <c r="IH203" i="4"/>
  <c r="II203" i="4"/>
  <c r="IJ203" i="4"/>
  <c r="IK203" i="4"/>
  <c r="IL203" i="4"/>
  <c r="IM203" i="4"/>
  <c r="IN203" i="4"/>
  <c r="IO203" i="4"/>
  <c r="IP203" i="4"/>
  <c r="IQ203" i="4"/>
  <c r="IR203" i="4"/>
  <c r="IS203" i="4"/>
  <c r="IT203" i="4"/>
  <c r="IU203" i="4"/>
  <c r="IV203" i="4"/>
  <c r="A202" i="4"/>
  <c r="B202" i="4"/>
  <c r="C202" i="4"/>
  <c r="D202" i="4"/>
  <c r="E202" i="4"/>
  <c r="F202" i="4"/>
  <c r="G202" i="4"/>
  <c r="H202" i="4"/>
  <c r="I202" i="4"/>
  <c r="J202" i="4"/>
  <c r="K202" i="4"/>
  <c r="L202" i="4"/>
  <c r="M202" i="4"/>
  <c r="N202" i="4"/>
  <c r="O202" i="4"/>
  <c r="P202" i="4"/>
  <c r="Q202" i="4"/>
  <c r="R202" i="4"/>
  <c r="S202" i="4"/>
  <c r="T202" i="4"/>
  <c r="U202" i="4"/>
  <c r="V202" i="4"/>
  <c r="W202" i="4"/>
  <c r="X202" i="4"/>
  <c r="Y202" i="4"/>
  <c r="Z202" i="4"/>
  <c r="AA202" i="4"/>
  <c r="AB202" i="4"/>
  <c r="AC202" i="4"/>
  <c r="AD202" i="4"/>
  <c r="AE202" i="4"/>
  <c r="AF202" i="4"/>
  <c r="AG202" i="4"/>
  <c r="AH202" i="4"/>
  <c r="AI202" i="4"/>
  <c r="AJ202" i="4"/>
  <c r="AK202" i="4"/>
  <c r="AL202" i="4"/>
  <c r="AM202" i="4"/>
  <c r="AN202" i="4"/>
  <c r="AO202" i="4"/>
  <c r="AP202" i="4"/>
  <c r="AR202" i="4"/>
  <c r="AS202" i="4"/>
  <c r="AT202" i="4"/>
  <c r="AU202" i="4"/>
  <c r="AV202" i="4"/>
  <c r="AW202" i="4"/>
  <c r="AX202" i="4"/>
  <c r="AY202" i="4"/>
  <c r="AZ202" i="4"/>
  <c r="BA202" i="4"/>
  <c r="BB202" i="4"/>
  <c r="BC202" i="4"/>
  <c r="BD202" i="4"/>
  <c r="BE202" i="4"/>
  <c r="BF202" i="4"/>
  <c r="BG202" i="4"/>
  <c r="BH202" i="4"/>
  <c r="BI202" i="4"/>
  <c r="BJ202" i="4"/>
  <c r="BK202" i="4"/>
  <c r="BL202" i="4"/>
  <c r="BM202" i="4"/>
  <c r="BN202" i="4"/>
  <c r="BO202" i="4"/>
  <c r="BP202" i="4"/>
  <c r="BQ202" i="4"/>
  <c r="BR202" i="4"/>
  <c r="BS202" i="4"/>
  <c r="BT202" i="4"/>
  <c r="BU202" i="4"/>
  <c r="BV202" i="4"/>
  <c r="BW202" i="4"/>
  <c r="BX202" i="4"/>
  <c r="BY202" i="4"/>
  <c r="BZ202" i="4"/>
  <c r="CA202" i="4"/>
  <c r="CB202" i="4"/>
  <c r="CC202" i="4"/>
  <c r="CD202" i="4"/>
  <c r="CE202" i="4"/>
  <c r="CF202" i="4"/>
  <c r="CG202" i="4"/>
  <c r="CH202" i="4"/>
  <c r="CI202" i="4"/>
  <c r="CJ202" i="4"/>
  <c r="CK202" i="4"/>
  <c r="CL202" i="4"/>
  <c r="CM202" i="4"/>
  <c r="CN202" i="4"/>
  <c r="CO202" i="4"/>
  <c r="CP202" i="4"/>
  <c r="CQ202" i="4"/>
  <c r="CR202" i="4"/>
  <c r="CS202" i="4"/>
  <c r="CT202" i="4"/>
  <c r="CU202" i="4"/>
  <c r="CV202" i="4"/>
  <c r="CW202" i="4"/>
  <c r="CX202" i="4"/>
  <c r="CY202" i="4"/>
  <c r="CZ202" i="4"/>
  <c r="DA202" i="4"/>
  <c r="DB202" i="4"/>
  <c r="DC202" i="4"/>
  <c r="DD202" i="4"/>
  <c r="DE202" i="4"/>
  <c r="DF202" i="4"/>
  <c r="DG202" i="4"/>
  <c r="DH202" i="4"/>
  <c r="DI202" i="4"/>
  <c r="DJ202" i="4"/>
  <c r="DK202" i="4"/>
  <c r="DL202" i="4"/>
  <c r="DM202" i="4"/>
  <c r="DN202" i="4"/>
  <c r="DO202" i="4"/>
  <c r="DP202" i="4"/>
  <c r="DQ202" i="4"/>
  <c r="DR202" i="4"/>
  <c r="DS202" i="4"/>
  <c r="DT202" i="4"/>
  <c r="DU202" i="4"/>
  <c r="DV202" i="4"/>
  <c r="DW202" i="4"/>
  <c r="DX202" i="4"/>
  <c r="DY202" i="4"/>
  <c r="DZ202" i="4"/>
  <c r="EA202" i="4"/>
  <c r="EB202" i="4"/>
  <c r="EC202" i="4"/>
  <c r="ED202" i="4"/>
  <c r="EE202" i="4"/>
  <c r="EF202" i="4"/>
  <c r="EG202" i="4"/>
  <c r="EH202" i="4"/>
  <c r="EI202" i="4"/>
  <c r="EJ202" i="4"/>
  <c r="EK202" i="4"/>
  <c r="EL202" i="4"/>
  <c r="EM202" i="4"/>
  <c r="EN202" i="4"/>
  <c r="EO202" i="4"/>
  <c r="EP202" i="4"/>
  <c r="EQ202" i="4"/>
  <c r="ER202" i="4"/>
  <c r="ES202" i="4"/>
  <c r="ET202" i="4"/>
  <c r="EU202" i="4"/>
  <c r="EV202" i="4"/>
  <c r="EW202" i="4"/>
  <c r="EX202" i="4"/>
  <c r="EY202" i="4"/>
  <c r="EZ202" i="4"/>
  <c r="FA202" i="4"/>
  <c r="FB202" i="4"/>
  <c r="FC202" i="4"/>
  <c r="FD202" i="4"/>
  <c r="FE202" i="4"/>
  <c r="FF202" i="4"/>
  <c r="FG202" i="4"/>
  <c r="FH202" i="4"/>
  <c r="FI202" i="4"/>
  <c r="FJ202" i="4"/>
  <c r="FK202" i="4"/>
  <c r="FL202" i="4"/>
  <c r="FM202" i="4"/>
  <c r="FN202" i="4"/>
  <c r="FO202" i="4"/>
  <c r="FP202" i="4"/>
  <c r="FQ202" i="4"/>
  <c r="FR202" i="4"/>
  <c r="FS202" i="4"/>
  <c r="FT202" i="4"/>
  <c r="FU202" i="4"/>
  <c r="FV202" i="4"/>
  <c r="FW202" i="4"/>
  <c r="FX202" i="4"/>
  <c r="FY202" i="4"/>
  <c r="FZ202" i="4"/>
  <c r="GA202" i="4"/>
  <c r="GB202" i="4"/>
  <c r="GC202" i="4"/>
  <c r="GD202" i="4"/>
  <c r="GE202" i="4"/>
  <c r="GF202" i="4"/>
  <c r="GG202" i="4"/>
  <c r="GH202" i="4"/>
  <c r="GI202" i="4"/>
  <c r="GJ202" i="4"/>
  <c r="GK202" i="4"/>
  <c r="GL202" i="4"/>
  <c r="GM202" i="4"/>
  <c r="GN202" i="4"/>
  <c r="GO202" i="4"/>
  <c r="GP202" i="4"/>
  <c r="GQ202" i="4"/>
  <c r="GR202" i="4"/>
  <c r="GS202" i="4"/>
  <c r="GT202" i="4"/>
  <c r="GU202" i="4"/>
  <c r="GV202" i="4"/>
  <c r="GW202" i="4"/>
  <c r="GX202" i="4"/>
  <c r="GY202" i="4"/>
  <c r="GZ202" i="4"/>
  <c r="HA202" i="4"/>
  <c r="HB202" i="4"/>
  <c r="HC202" i="4"/>
  <c r="HD202" i="4"/>
  <c r="HE202" i="4"/>
  <c r="HF202" i="4"/>
  <c r="HG202" i="4"/>
  <c r="HH202" i="4"/>
  <c r="HI202" i="4"/>
  <c r="HJ202" i="4"/>
  <c r="HK202" i="4"/>
  <c r="HL202" i="4"/>
  <c r="HM202" i="4"/>
  <c r="HN202" i="4"/>
  <c r="HO202" i="4"/>
  <c r="HP202" i="4"/>
  <c r="HQ202" i="4"/>
  <c r="HR202" i="4"/>
  <c r="HS202" i="4"/>
  <c r="HT202" i="4"/>
  <c r="HU202" i="4"/>
  <c r="HV202" i="4"/>
  <c r="HW202" i="4"/>
  <c r="HX202" i="4"/>
  <c r="HY202" i="4"/>
  <c r="HZ202" i="4"/>
  <c r="IA202" i="4"/>
  <c r="IB202" i="4"/>
  <c r="IC202" i="4"/>
  <c r="ID202" i="4"/>
  <c r="IE202" i="4"/>
  <c r="IF202" i="4"/>
  <c r="IG202" i="4"/>
  <c r="IH202" i="4"/>
  <c r="II202" i="4"/>
  <c r="IJ202" i="4"/>
  <c r="IK202" i="4"/>
  <c r="IL202" i="4"/>
  <c r="IM202" i="4"/>
  <c r="IN202" i="4"/>
  <c r="IO202" i="4"/>
  <c r="IP202" i="4"/>
  <c r="IQ202" i="4"/>
  <c r="IR202" i="4"/>
  <c r="IS202" i="4"/>
  <c r="IT202" i="4"/>
  <c r="IU202" i="4"/>
  <c r="IV202" i="4"/>
  <c r="A201" i="4"/>
  <c r="B201" i="4"/>
  <c r="C201" i="4"/>
  <c r="D201" i="4"/>
  <c r="E201" i="4"/>
  <c r="F201" i="4"/>
  <c r="G201" i="4"/>
  <c r="H201" i="4"/>
  <c r="I201" i="4"/>
  <c r="J201" i="4"/>
  <c r="K201" i="4"/>
  <c r="L201" i="4"/>
  <c r="M201" i="4"/>
  <c r="N201" i="4"/>
  <c r="O201" i="4"/>
  <c r="P201" i="4"/>
  <c r="Q201" i="4"/>
  <c r="R201" i="4"/>
  <c r="S201" i="4"/>
  <c r="T201" i="4"/>
  <c r="U201" i="4"/>
  <c r="V201" i="4"/>
  <c r="W201" i="4"/>
  <c r="X201" i="4"/>
  <c r="Y201" i="4"/>
  <c r="Z201" i="4"/>
  <c r="AA201" i="4"/>
  <c r="AB201" i="4"/>
  <c r="AC201" i="4"/>
  <c r="AD201" i="4"/>
  <c r="AE201" i="4"/>
  <c r="AF201" i="4"/>
  <c r="AG201" i="4"/>
  <c r="AH201" i="4"/>
  <c r="AI201" i="4"/>
  <c r="AJ201" i="4"/>
  <c r="AK201" i="4"/>
  <c r="AL201" i="4"/>
  <c r="AM201" i="4"/>
  <c r="AN201" i="4"/>
  <c r="AO201" i="4"/>
  <c r="AP201" i="4"/>
  <c r="AQ201" i="4"/>
  <c r="AS201" i="4"/>
  <c r="AT201" i="4"/>
  <c r="AU201" i="4"/>
  <c r="AV201" i="4"/>
  <c r="AW201" i="4"/>
  <c r="AX201" i="4"/>
  <c r="AY201" i="4"/>
  <c r="AZ201" i="4"/>
  <c r="BA201" i="4"/>
  <c r="BB201" i="4"/>
  <c r="BC201" i="4"/>
  <c r="BD201" i="4"/>
  <c r="BE201" i="4"/>
  <c r="BF201" i="4"/>
  <c r="BG201" i="4"/>
  <c r="BH201" i="4"/>
  <c r="BI201" i="4"/>
  <c r="BJ201" i="4"/>
  <c r="BK201" i="4"/>
  <c r="BL201" i="4"/>
  <c r="BM201" i="4"/>
  <c r="BN201" i="4"/>
  <c r="BO201" i="4"/>
  <c r="BP201" i="4"/>
  <c r="BQ201" i="4"/>
  <c r="BR201" i="4"/>
  <c r="BS201" i="4"/>
  <c r="BT201" i="4"/>
  <c r="BU201" i="4"/>
  <c r="BV201" i="4"/>
  <c r="BW201" i="4"/>
  <c r="BX201" i="4"/>
  <c r="BY201" i="4"/>
  <c r="BZ201" i="4"/>
  <c r="CA201" i="4"/>
  <c r="CB201" i="4"/>
  <c r="CC201" i="4"/>
  <c r="CD201" i="4"/>
  <c r="CE201" i="4"/>
  <c r="CF201" i="4"/>
  <c r="CG201" i="4"/>
  <c r="CH201" i="4"/>
  <c r="CI201" i="4"/>
  <c r="CJ201" i="4"/>
  <c r="CK201" i="4"/>
  <c r="CL201" i="4"/>
  <c r="CM201" i="4"/>
  <c r="CN201" i="4"/>
  <c r="CO201" i="4"/>
  <c r="CP201" i="4"/>
  <c r="CQ201" i="4"/>
  <c r="CR201" i="4"/>
  <c r="CS201" i="4"/>
  <c r="CT201" i="4"/>
  <c r="CU201" i="4"/>
  <c r="CV201" i="4"/>
  <c r="CW201" i="4"/>
  <c r="CX201" i="4"/>
  <c r="CY201" i="4"/>
  <c r="CZ201" i="4"/>
  <c r="DA201" i="4"/>
  <c r="DB201" i="4"/>
  <c r="DC201" i="4"/>
  <c r="DD201" i="4"/>
  <c r="DE201" i="4"/>
  <c r="DF201" i="4"/>
  <c r="DG201" i="4"/>
  <c r="DH201" i="4"/>
  <c r="DI201" i="4"/>
  <c r="DJ201" i="4"/>
  <c r="DK201" i="4"/>
  <c r="DL201" i="4"/>
  <c r="DM201" i="4"/>
  <c r="DN201" i="4"/>
  <c r="DO201" i="4"/>
  <c r="DP201" i="4"/>
  <c r="DQ201" i="4"/>
  <c r="DR201" i="4"/>
  <c r="DS201" i="4"/>
  <c r="DT201" i="4"/>
  <c r="DU201" i="4"/>
  <c r="DV201" i="4"/>
  <c r="DW201" i="4"/>
  <c r="DX201" i="4"/>
  <c r="DY201" i="4"/>
  <c r="DZ201" i="4"/>
  <c r="EA201" i="4"/>
  <c r="EB201" i="4"/>
  <c r="EC201" i="4"/>
  <c r="ED201" i="4"/>
  <c r="EE201" i="4"/>
  <c r="EF201" i="4"/>
  <c r="EG201" i="4"/>
  <c r="EH201" i="4"/>
  <c r="EI201" i="4"/>
  <c r="EJ201" i="4"/>
  <c r="EK201" i="4"/>
  <c r="EL201" i="4"/>
  <c r="EM201" i="4"/>
  <c r="EN201" i="4"/>
  <c r="EO201" i="4"/>
  <c r="EP201" i="4"/>
  <c r="EQ201" i="4"/>
  <c r="ER201" i="4"/>
  <c r="ES201" i="4"/>
  <c r="ET201" i="4"/>
  <c r="EU201" i="4"/>
  <c r="EV201" i="4"/>
  <c r="EW201" i="4"/>
  <c r="EX201" i="4"/>
  <c r="EY201" i="4"/>
  <c r="EZ201" i="4"/>
  <c r="FA201" i="4"/>
  <c r="FB201" i="4"/>
  <c r="FC201" i="4"/>
  <c r="FD201" i="4"/>
  <c r="FE201" i="4"/>
  <c r="FF201" i="4"/>
  <c r="FG201" i="4"/>
  <c r="FH201" i="4"/>
  <c r="FI201" i="4"/>
  <c r="FJ201" i="4"/>
  <c r="FK201" i="4"/>
  <c r="FL201" i="4"/>
  <c r="FM201" i="4"/>
  <c r="FN201" i="4"/>
  <c r="FO201" i="4"/>
  <c r="FP201" i="4"/>
  <c r="FQ201" i="4"/>
  <c r="FR201" i="4"/>
  <c r="FS201" i="4"/>
  <c r="FT201" i="4"/>
  <c r="FU201" i="4"/>
  <c r="FV201" i="4"/>
  <c r="FW201" i="4"/>
  <c r="FX201" i="4"/>
  <c r="FY201" i="4"/>
  <c r="FZ201" i="4"/>
  <c r="GA201" i="4"/>
  <c r="GB201" i="4"/>
  <c r="GC201" i="4"/>
  <c r="GD201" i="4"/>
  <c r="GE201" i="4"/>
  <c r="GF201" i="4"/>
  <c r="GG201" i="4"/>
  <c r="GH201" i="4"/>
  <c r="GI201" i="4"/>
  <c r="GJ201" i="4"/>
  <c r="GK201" i="4"/>
  <c r="GL201" i="4"/>
  <c r="GM201" i="4"/>
  <c r="GN201" i="4"/>
  <c r="GO201" i="4"/>
  <c r="GP201" i="4"/>
  <c r="GQ201" i="4"/>
  <c r="GR201" i="4"/>
  <c r="GS201" i="4"/>
  <c r="GT201" i="4"/>
  <c r="GU201" i="4"/>
  <c r="GV201" i="4"/>
  <c r="GW201" i="4"/>
  <c r="GX201" i="4"/>
  <c r="GY201" i="4"/>
  <c r="GZ201" i="4"/>
  <c r="HA201" i="4"/>
  <c r="HB201" i="4"/>
  <c r="HC201" i="4"/>
  <c r="HD201" i="4"/>
  <c r="HE201" i="4"/>
  <c r="HF201" i="4"/>
  <c r="HG201" i="4"/>
  <c r="HH201" i="4"/>
  <c r="HI201" i="4"/>
  <c r="HJ201" i="4"/>
  <c r="HK201" i="4"/>
  <c r="HL201" i="4"/>
  <c r="HM201" i="4"/>
  <c r="HN201" i="4"/>
  <c r="HO201" i="4"/>
  <c r="HP201" i="4"/>
  <c r="HQ201" i="4"/>
  <c r="HR201" i="4"/>
  <c r="HS201" i="4"/>
  <c r="HT201" i="4"/>
  <c r="HU201" i="4"/>
  <c r="HV201" i="4"/>
  <c r="HW201" i="4"/>
  <c r="HX201" i="4"/>
  <c r="HY201" i="4"/>
  <c r="HZ201" i="4"/>
  <c r="IA201" i="4"/>
  <c r="IB201" i="4"/>
  <c r="IC201" i="4"/>
  <c r="ID201" i="4"/>
  <c r="IE201" i="4"/>
  <c r="IF201" i="4"/>
  <c r="IG201" i="4"/>
  <c r="IH201" i="4"/>
  <c r="II201" i="4"/>
  <c r="IJ201" i="4"/>
  <c r="IK201" i="4"/>
  <c r="IL201" i="4"/>
  <c r="IM201" i="4"/>
  <c r="IN201" i="4"/>
  <c r="IO201" i="4"/>
  <c r="IP201" i="4"/>
  <c r="IQ201" i="4"/>
  <c r="IR201" i="4"/>
  <c r="IS201" i="4"/>
  <c r="IT201" i="4"/>
  <c r="IU201" i="4"/>
  <c r="IV201" i="4"/>
  <c r="A200" i="4"/>
  <c r="B200" i="4"/>
  <c r="C200" i="4"/>
  <c r="D200" i="4"/>
  <c r="E200" i="4"/>
  <c r="F200" i="4"/>
  <c r="G200" i="4"/>
  <c r="H200" i="4"/>
  <c r="I200" i="4"/>
  <c r="J200" i="4"/>
  <c r="K200" i="4"/>
  <c r="L200" i="4"/>
  <c r="M200" i="4"/>
  <c r="N200" i="4"/>
  <c r="O200" i="4"/>
  <c r="P200" i="4"/>
  <c r="Q200" i="4"/>
  <c r="R200" i="4"/>
  <c r="S200" i="4"/>
  <c r="T200" i="4"/>
  <c r="U200" i="4"/>
  <c r="V200" i="4"/>
  <c r="W200" i="4"/>
  <c r="X200" i="4"/>
  <c r="Y200" i="4"/>
  <c r="Z200" i="4"/>
  <c r="AA200" i="4"/>
  <c r="AB200" i="4"/>
  <c r="AC200" i="4"/>
  <c r="AD200" i="4"/>
  <c r="AE200" i="4"/>
  <c r="AF200" i="4"/>
  <c r="AG200" i="4"/>
  <c r="AH200" i="4"/>
  <c r="AI200" i="4"/>
  <c r="AJ200" i="4"/>
  <c r="AK200" i="4"/>
  <c r="AL200" i="4"/>
  <c r="AM200" i="4"/>
  <c r="AN200" i="4"/>
  <c r="AO200" i="4"/>
  <c r="AP200" i="4"/>
  <c r="AQ200" i="4"/>
  <c r="AR200" i="4"/>
  <c r="AS200" i="4"/>
  <c r="AT200" i="4"/>
  <c r="AU200" i="4"/>
  <c r="AV200" i="4"/>
  <c r="AW200" i="4"/>
  <c r="AX200" i="4"/>
  <c r="AY200" i="4"/>
  <c r="AZ200" i="4"/>
  <c r="BA200" i="4"/>
  <c r="BB200" i="4"/>
  <c r="BC200" i="4"/>
  <c r="BD200" i="4"/>
  <c r="BE200" i="4"/>
  <c r="BF200" i="4"/>
  <c r="BG200" i="4"/>
  <c r="BH200" i="4"/>
  <c r="BI200" i="4"/>
  <c r="BJ200" i="4"/>
  <c r="BK200" i="4"/>
  <c r="BL200" i="4"/>
  <c r="BM200" i="4"/>
  <c r="BN200" i="4"/>
  <c r="BO200" i="4"/>
  <c r="BP200" i="4"/>
  <c r="BQ200" i="4"/>
  <c r="BR200" i="4"/>
  <c r="BS200" i="4"/>
  <c r="BT200" i="4"/>
  <c r="BU200" i="4"/>
  <c r="BV200" i="4"/>
  <c r="BW200" i="4"/>
  <c r="BX200" i="4"/>
  <c r="BY200" i="4"/>
  <c r="BZ200" i="4"/>
  <c r="CA200" i="4"/>
  <c r="CB200" i="4"/>
  <c r="CC200" i="4"/>
  <c r="CD200" i="4"/>
  <c r="CE200" i="4"/>
  <c r="CF200" i="4"/>
  <c r="CG200" i="4"/>
  <c r="CH200" i="4"/>
  <c r="CI200" i="4"/>
  <c r="CJ200" i="4"/>
  <c r="CK200" i="4"/>
  <c r="CL200" i="4"/>
  <c r="CM200" i="4"/>
  <c r="CN200" i="4"/>
  <c r="CO200" i="4"/>
  <c r="CP200" i="4"/>
  <c r="CQ200" i="4"/>
  <c r="CR200" i="4"/>
  <c r="CS200" i="4"/>
  <c r="CT200" i="4"/>
  <c r="CU200" i="4"/>
  <c r="CV200" i="4"/>
  <c r="CW200" i="4"/>
  <c r="CX200" i="4"/>
  <c r="CY200" i="4"/>
  <c r="CZ200" i="4"/>
  <c r="DA200" i="4"/>
  <c r="DB200" i="4"/>
  <c r="DC200" i="4"/>
  <c r="DD200" i="4"/>
  <c r="DE200" i="4"/>
  <c r="DF200" i="4"/>
  <c r="DG200" i="4"/>
  <c r="DH200" i="4"/>
  <c r="DI200" i="4"/>
  <c r="DJ200" i="4"/>
  <c r="DK200" i="4"/>
  <c r="DL200" i="4"/>
  <c r="DM200" i="4"/>
  <c r="DN200" i="4"/>
  <c r="DO200" i="4"/>
  <c r="DP200" i="4"/>
  <c r="DQ200" i="4"/>
  <c r="DR200" i="4"/>
  <c r="DS200" i="4"/>
  <c r="DT200" i="4"/>
  <c r="DU200" i="4"/>
  <c r="DV200" i="4"/>
  <c r="DW200" i="4"/>
  <c r="DX200" i="4"/>
  <c r="DY200" i="4"/>
  <c r="DZ200" i="4"/>
  <c r="EA200" i="4"/>
  <c r="EB200" i="4"/>
  <c r="EC200" i="4"/>
  <c r="ED200" i="4"/>
  <c r="EE200" i="4"/>
  <c r="EF200" i="4"/>
  <c r="EG200" i="4"/>
  <c r="EH200" i="4"/>
  <c r="EI200" i="4"/>
  <c r="EJ200" i="4"/>
  <c r="EK200" i="4"/>
  <c r="EL200" i="4"/>
  <c r="EM200" i="4"/>
  <c r="EN200" i="4"/>
  <c r="EO200" i="4"/>
  <c r="EP200" i="4"/>
  <c r="EQ200" i="4"/>
  <c r="ER200" i="4"/>
  <c r="ES200" i="4"/>
  <c r="ET200" i="4"/>
  <c r="EU200" i="4"/>
  <c r="EV200" i="4"/>
  <c r="EW200" i="4"/>
  <c r="EX200" i="4"/>
  <c r="EY200" i="4"/>
  <c r="EZ200" i="4"/>
  <c r="FA200" i="4"/>
  <c r="FB200" i="4"/>
  <c r="FC200" i="4"/>
  <c r="FD200" i="4"/>
  <c r="FE200" i="4"/>
  <c r="FF200" i="4"/>
  <c r="FG200" i="4"/>
  <c r="FH200" i="4"/>
  <c r="FI200" i="4"/>
  <c r="FJ200" i="4"/>
  <c r="FK200" i="4"/>
  <c r="FL200" i="4"/>
  <c r="FM200" i="4"/>
  <c r="FN200" i="4"/>
  <c r="FO200" i="4"/>
  <c r="FP200" i="4"/>
  <c r="FQ200" i="4"/>
  <c r="FR200" i="4"/>
  <c r="FS200" i="4"/>
  <c r="FT200" i="4"/>
  <c r="FU200" i="4"/>
  <c r="FV200" i="4"/>
  <c r="FW200" i="4"/>
  <c r="FX200" i="4"/>
  <c r="FY200" i="4"/>
  <c r="FZ200" i="4"/>
  <c r="GA200" i="4"/>
  <c r="GB200" i="4"/>
  <c r="GC200" i="4"/>
  <c r="GD200" i="4"/>
  <c r="GE200" i="4"/>
  <c r="GF200" i="4"/>
  <c r="GG200" i="4"/>
  <c r="GH200" i="4"/>
  <c r="GI200" i="4"/>
  <c r="GJ200" i="4"/>
  <c r="GK200" i="4"/>
  <c r="GL200" i="4"/>
  <c r="GM200" i="4"/>
  <c r="GN200" i="4"/>
  <c r="GO200" i="4"/>
  <c r="GP200" i="4"/>
  <c r="GQ200" i="4"/>
  <c r="GR200" i="4"/>
  <c r="GS200" i="4"/>
  <c r="GT200" i="4"/>
  <c r="GU200" i="4"/>
  <c r="GV200" i="4"/>
  <c r="GW200" i="4"/>
  <c r="GX200" i="4"/>
  <c r="GY200" i="4"/>
  <c r="GZ200" i="4"/>
  <c r="HA200" i="4"/>
  <c r="HB200" i="4"/>
  <c r="HC200" i="4"/>
  <c r="HD200" i="4"/>
  <c r="HE200" i="4"/>
  <c r="HF200" i="4"/>
  <c r="HG200" i="4"/>
  <c r="HH200" i="4"/>
  <c r="HI200" i="4"/>
  <c r="HJ200" i="4"/>
  <c r="HK200" i="4"/>
  <c r="HL200" i="4"/>
  <c r="HM200" i="4"/>
  <c r="HN200" i="4"/>
  <c r="HO200" i="4"/>
  <c r="HP200" i="4"/>
  <c r="HQ200" i="4"/>
  <c r="HR200" i="4"/>
  <c r="HS200" i="4"/>
  <c r="HT200" i="4"/>
  <c r="HU200" i="4"/>
  <c r="HV200" i="4"/>
  <c r="HW200" i="4"/>
  <c r="HX200" i="4"/>
  <c r="HY200" i="4"/>
  <c r="HZ200" i="4"/>
  <c r="IA200" i="4"/>
  <c r="IB200" i="4"/>
  <c r="IC200" i="4"/>
  <c r="ID200" i="4"/>
  <c r="IE200" i="4"/>
  <c r="IF200" i="4"/>
  <c r="IG200" i="4"/>
  <c r="IH200" i="4"/>
  <c r="II200" i="4"/>
  <c r="IJ200" i="4"/>
  <c r="IK200" i="4"/>
  <c r="IL200" i="4"/>
  <c r="IM200" i="4"/>
  <c r="IN200" i="4"/>
  <c r="IO200" i="4"/>
  <c r="IP200" i="4"/>
  <c r="IQ200" i="4"/>
  <c r="IR200" i="4"/>
  <c r="IS200" i="4"/>
  <c r="IT200" i="4"/>
  <c r="IU200" i="4"/>
  <c r="IV200" i="4"/>
  <c r="A199" i="4"/>
  <c r="B199" i="4"/>
  <c r="C199" i="4"/>
  <c r="D199" i="4"/>
  <c r="E199" i="4"/>
  <c r="F199" i="4"/>
  <c r="G199" i="4"/>
  <c r="H199" i="4"/>
  <c r="I199" i="4"/>
  <c r="J199" i="4"/>
  <c r="K199" i="4"/>
  <c r="L199" i="4"/>
  <c r="M199" i="4"/>
  <c r="N199" i="4"/>
  <c r="O199" i="4"/>
  <c r="P199" i="4"/>
  <c r="Q199" i="4"/>
  <c r="R199" i="4"/>
  <c r="S199" i="4"/>
  <c r="T199" i="4"/>
  <c r="U199" i="4"/>
  <c r="V199" i="4"/>
  <c r="W199" i="4"/>
  <c r="X199" i="4"/>
  <c r="Y199" i="4"/>
  <c r="Z199" i="4"/>
  <c r="AA199" i="4"/>
  <c r="AB199" i="4"/>
  <c r="AC199" i="4"/>
  <c r="AD199" i="4"/>
  <c r="AE199" i="4"/>
  <c r="AF199" i="4"/>
  <c r="AG199" i="4"/>
  <c r="AH199" i="4"/>
  <c r="AI199" i="4"/>
  <c r="AJ199" i="4"/>
  <c r="AK199" i="4"/>
  <c r="AL199" i="4"/>
  <c r="AM199" i="4"/>
  <c r="AN199" i="4"/>
  <c r="AO199" i="4"/>
  <c r="AP199" i="4"/>
  <c r="AQ199" i="4"/>
  <c r="AR199" i="4"/>
  <c r="AS199" i="4"/>
  <c r="AT199" i="4"/>
  <c r="AU199" i="4"/>
  <c r="AV199" i="4"/>
  <c r="AW199" i="4"/>
  <c r="AX199" i="4"/>
  <c r="AY199" i="4"/>
  <c r="AZ199" i="4"/>
  <c r="BA199" i="4"/>
  <c r="BB199" i="4"/>
  <c r="BC199" i="4"/>
  <c r="BD199" i="4"/>
  <c r="BE199" i="4"/>
  <c r="BF199" i="4"/>
  <c r="BG199" i="4"/>
  <c r="BH199" i="4"/>
  <c r="BI199" i="4"/>
  <c r="BJ199" i="4"/>
  <c r="BK199" i="4"/>
  <c r="BL199" i="4"/>
  <c r="BM199" i="4"/>
  <c r="BN199" i="4"/>
  <c r="BO199" i="4"/>
  <c r="BP199" i="4"/>
  <c r="BQ199" i="4"/>
  <c r="BR199" i="4"/>
  <c r="BS199" i="4"/>
  <c r="BT199" i="4"/>
  <c r="BU199" i="4"/>
  <c r="BV199" i="4"/>
  <c r="BW199" i="4"/>
  <c r="BX199" i="4"/>
  <c r="BY199" i="4"/>
  <c r="BZ199" i="4"/>
  <c r="CA199" i="4"/>
  <c r="CB199" i="4"/>
  <c r="CC199" i="4"/>
  <c r="CD199" i="4"/>
  <c r="CE199" i="4"/>
  <c r="CF199" i="4"/>
  <c r="CG199" i="4"/>
  <c r="CH199" i="4"/>
  <c r="CI199" i="4"/>
  <c r="CJ199" i="4"/>
  <c r="CK199" i="4"/>
  <c r="CL199" i="4"/>
  <c r="CM199" i="4"/>
  <c r="CN199" i="4"/>
  <c r="CO199" i="4"/>
  <c r="CP199" i="4"/>
  <c r="CQ199" i="4"/>
  <c r="CR199" i="4"/>
  <c r="CS199" i="4"/>
  <c r="CT199" i="4"/>
  <c r="CU199" i="4"/>
  <c r="CV199" i="4"/>
  <c r="CW199" i="4"/>
  <c r="CX199" i="4"/>
  <c r="CY199" i="4"/>
  <c r="CZ199" i="4"/>
  <c r="DA199" i="4"/>
  <c r="DB199" i="4"/>
  <c r="DC199" i="4"/>
  <c r="DD199" i="4"/>
  <c r="DE199" i="4"/>
  <c r="DF199" i="4"/>
  <c r="DG199" i="4"/>
  <c r="DH199" i="4"/>
  <c r="DI199" i="4"/>
  <c r="DJ199" i="4"/>
  <c r="DK199" i="4"/>
  <c r="DL199" i="4"/>
  <c r="DM199" i="4"/>
  <c r="DN199" i="4"/>
  <c r="DO199" i="4"/>
  <c r="DP199" i="4"/>
  <c r="DQ199" i="4"/>
  <c r="DR199" i="4"/>
  <c r="DS199" i="4"/>
  <c r="DT199" i="4"/>
  <c r="DU199" i="4"/>
  <c r="DV199" i="4"/>
  <c r="DW199" i="4"/>
  <c r="DX199" i="4"/>
  <c r="DY199" i="4"/>
  <c r="DZ199" i="4"/>
  <c r="EA199" i="4"/>
  <c r="EB199" i="4"/>
  <c r="EC199" i="4"/>
  <c r="ED199" i="4"/>
  <c r="EE199" i="4"/>
  <c r="EF199" i="4"/>
  <c r="EG199" i="4"/>
  <c r="EH199" i="4"/>
  <c r="EI199" i="4"/>
  <c r="EJ199" i="4"/>
  <c r="EK199" i="4"/>
  <c r="EL199" i="4"/>
  <c r="EM199" i="4"/>
  <c r="EN199" i="4"/>
  <c r="EO199" i="4"/>
  <c r="EP199" i="4"/>
  <c r="EQ199" i="4"/>
  <c r="ER199" i="4"/>
  <c r="ES199" i="4"/>
  <c r="ET199" i="4"/>
  <c r="EU199" i="4"/>
  <c r="EV199" i="4"/>
  <c r="EW199" i="4"/>
  <c r="EX199" i="4"/>
  <c r="EY199" i="4"/>
  <c r="EZ199" i="4"/>
  <c r="FA199" i="4"/>
  <c r="FB199" i="4"/>
  <c r="FC199" i="4"/>
  <c r="FD199" i="4"/>
  <c r="FE199" i="4"/>
  <c r="FF199" i="4"/>
  <c r="FG199" i="4"/>
  <c r="FH199" i="4"/>
  <c r="FI199" i="4"/>
  <c r="FJ199" i="4"/>
  <c r="FK199" i="4"/>
  <c r="FL199" i="4"/>
  <c r="FM199" i="4"/>
  <c r="FN199" i="4"/>
  <c r="FO199" i="4"/>
  <c r="FP199" i="4"/>
  <c r="FQ199" i="4"/>
  <c r="FR199" i="4"/>
  <c r="FS199" i="4"/>
  <c r="FT199" i="4"/>
  <c r="FU199" i="4"/>
  <c r="FV199" i="4"/>
  <c r="FW199" i="4"/>
  <c r="FX199" i="4"/>
  <c r="FY199" i="4"/>
  <c r="FZ199" i="4"/>
  <c r="GA199" i="4"/>
  <c r="GB199" i="4"/>
  <c r="GC199" i="4"/>
  <c r="GD199" i="4"/>
  <c r="GE199" i="4"/>
  <c r="GF199" i="4"/>
  <c r="GG199" i="4"/>
  <c r="GH199" i="4"/>
  <c r="GI199" i="4"/>
  <c r="GJ199" i="4"/>
  <c r="GK199" i="4"/>
  <c r="GL199" i="4"/>
  <c r="GM199" i="4"/>
  <c r="GN199" i="4"/>
  <c r="GO199" i="4"/>
  <c r="GP199" i="4"/>
  <c r="GQ199" i="4"/>
  <c r="GR199" i="4"/>
  <c r="GS199" i="4"/>
  <c r="GT199" i="4"/>
  <c r="GU199" i="4"/>
  <c r="GV199" i="4"/>
  <c r="GW199" i="4"/>
  <c r="GX199" i="4"/>
  <c r="GY199" i="4"/>
  <c r="GZ199" i="4"/>
  <c r="HA199" i="4"/>
  <c r="HB199" i="4"/>
  <c r="HC199" i="4"/>
  <c r="HD199" i="4"/>
  <c r="HE199" i="4"/>
  <c r="HF199" i="4"/>
  <c r="HG199" i="4"/>
  <c r="HH199" i="4"/>
  <c r="HI199" i="4"/>
  <c r="HJ199" i="4"/>
  <c r="HK199" i="4"/>
  <c r="HL199" i="4"/>
  <c r="HM199" i="4"/>
  <c r="HN199" i="4"/>
  <c r="HO199" i="4"/>
  <c r="HP199" i="4"/>
  <c r="HQ199" i="4"/>
  <c r="HR199" i="4"/>
  <c r="HS199" i="4"/>
  <c r="HT199" i="4"/>
  <c r="HU199" i="4"/>
  <c r="HV199" i="4"/>
  <c r="HW199" i="4"/>
  <c r="HX199" i="4"/>
  <c r="HY199" i="4"/>
  <c r="HZ199" i="4"/>
  <c r="IA199" i="4"/>
  <c r="IB199" i="4"/>
  <c r="IC199" i="4"/>
  <c r="ID199" i="4"/>
  <c r="IE199" i="4"/>
  <c r="IF199" i="4"/>
  <c r="IG199" i="4"/>
  <c r="IH199" i="4"/>
  <c r="II199" i="4"/>
  <c r="IJ199" i="4"/>
  <c r="IK199" i="4"/>
  <c r="IL199" i="4"/>
  <c r="IM199" i="4"/>
  <c r="IN199" i="4"/>
  <c r="IO199" i="4"/>
  <c r="IP199" i="4"/>
  <c r="IQ199" i="4"/>
  <c r="IR199" i="4"/>
  <c r="IS199" i="4"/>
  <c r="IT199" i="4"/>
  <c r="IU199" i="4"/>
  <c r="IV199" i="4"/>
  <c r="A198" i="4"/>
  <c r="B198" i="4"/>
  <c r="C198" i="4"/>
  <c r="D198" i="4"/>
  <c r="E198" i="4"/>
  <c r="F198" i="4"/>
  <c r="G198" i="4"/>
  <c r="H198" i="4"/>
  <c r="I198" i="4"/>
  <c r="J198" i="4"/>
  <c r="K198" i="4"/>
  <c r="L198" i="4"/>
  <c r="M198" i="4"/>
  <c r="N198" i="4"/>
  <c r="O198" i="4"/>
  <c r="P198" i="4"/>
  <c r="Q198" i="4"/>
  <c r="R198" i="4"/>
  <c r="S198" i="4"/>
  <c r="T198" i="4"/>
  <c r="U198" i="4"/>
  <c r="V198" i="4"/>
  <c r="W198" i="4"/>
  <c r="X198" i="4"/>
  <c r="Y198" i="4"/>
  <c r="Z198" i="4"/>
  <c r="AA198" i="4"/>
  <c r="AB198" i="4"/>
  <c r="AC198" i="4"/>
  <c r="AD198" i="4"/>
  <c r="AE198" i="4"/>
  <c r="AF198" i="4"/>
  <c r="AG198" i="4"/>
  <c r="AH198" i="4"/>
  <c r="AI198" i="4"/>
  <c r="AJ198" i="4"/>
  <c r="AK198" i="4"/>
  <c r="AL198" i="4"/>
  <c r="AM198" i="4"/>
  <c r="AN198" i="4"/>
  <c r="AO198" i="4"/>
  <c r="AP198" i="4"/>
  <c r="AQ198" i="4"/>
  <c r="AR198" i="4"/>
  <c r="AS198" i="4"/>
  <c r="AT198" i="4"/>
  <c r="AV198" i="4"/>
  <c r="AW198" i="4"/>
  <c r="AX198" i="4"/>
  <c r="AY198" i="4"/>
  <c r="AZ198" i="4"/>
  <c r="BA198" i="4"/>
  <c r="BB198" i="4"/>
  <c r="BC198" i="4"/>
  <c r="BD198" i="4"/>
  <c r="BE198" i="4"/>
  <c r="BF198" i="4"/>
  <c r="BG198" i="4"/>
  <c r="BH198" i="4"/>
  <c r="BI198" i="4"/>
  <c r="BJ198" i="4"/>
  <c r="BK198" i="4"/>
  <c r="BL198" i="4"/>
  <c r="BM198" i="4"/>
  <c r="BN198" i="4"/>
  <c r="BO198" i="4"/>
  <c r="BP198" i="4"/>
  <c r="BQ198" i="4"/>
  <c r="BR198" i="4"/>
  <c r="BS198" i="4"/>
  <c r="BT198" i="4"/>
  <c r="BU198" i="4"/>
  <c r="BV198" i="4"/>
  <c r="BW198" i="4"/>
  <c r="BX198" i="4"/>
  <c r="BY198" i="4"/>
  <c r="BZ198" i="4"/>
  <c r="CA198" i="4"/>
  <c r="CB198" i="4"/>
  <c r="CC198" i="4"/>
  <c r="CD198" i="4"/>
  <c r="CE198" i="4"/>
  <c r="CF198" i="4"/>
  <c r="CG198" i="4"/>
  <c r="CH198" i="4"/>
  <c r="CI198" i="4"/>
  <c r="CJ198" i="4"/>
  <c r="CK198" i="4"/>
  <c r="CL198" i="4"/>
  <c r="CM198" i="4"/>
  <c r="CN198" i="4"/>
  <c r="CO198" i="4"/>
  <c r="CP198" i="4"/>
  <c r="CQ198" i="4"/>
  <c r="CR198" i="4"/>
  <c r="CS198" i="4"/>
  <c r="CT198" i="4"/>
  <c r="CU198" i="4"/>
  <c r="CV198" i="4"/>
  <c r="CW198" i="4"/>
  <c r="CX198" i="4"/>
  <c r="CY198" i="4"/>
  <c r="CZ198" i="4"/>
  <c r="DA198" i="4"/>
  <c r="DB198" i="4"/>
  <c r="DC198" i="4"/>
  <c r="DD198" i="4"/>
  <c r="DE198" i="4"/>
  <c r="DF198" i="4"/>
  <c r="DG198" i="4"/>
  <c r="DH198" i="4"/>
  <c r="DI198" i="4"/>
  <c r="DJ198" i="4"/>
  <c r="DK198" i="4"/>
  <c r="DL198" i="4"/>
  <c r="DM198" i="4"/>
  <c r="DN198" i="4"/>
  <c r="DO198" i="4"/>
  <c r="DP198" i="4"/>
  <c r="DQ198" i="4"/>
  <c r="DR198" i="4"/>
  <c r="DS198" i="4"/>
  <c r="DT198" i="4"/>
  <c r="DU198" i="4"/>
  <c r="DV198" i="4"/>
  <c r="DW198" i="4"/>
  <c r="DX198" i="4"/>
  <c r="DY198" i="4"/>
  <c r="DZ198" i="4"/>
  <c r="EA198" i="4"/>
  <c r="EB198" i="4"/>
  <c r="EC198" i="4"/>
  <c r="ED198" i="4"/>
  <c r="EE198" i="4"/>
  <c r="EF198" i="4"/>
  <c r="EG198" i="4"/>
  <c r="EH198" i="4"/>
  <c r="EI198" i="4"/>
  <c r="EJ198" i="4"/>
  <c r="EK198" i="4"/>
  <c r="EL198" i="4"/>
  <c r="EM198" i="4"/>
  <c r="EN198" i="4"/>
  <c r="EO198" i="4"/>
  <c r="EP198" i="4"/>
  <c r="EQ198" i="4"/>
  <c r="ER198" i="4"/>
  <c r="ES198" i="4"/>
  <c r="ET198" i="4"/>
  <c r="EU198" i="4"/>
  <c r="EV198" i="4"/>
  <c r="EW198" i="4"/>
  <c r="EX198" i="4"/>
  <c r="EY198" i="4"/>
  <c r="EZ198" i="4"/>
  <c r="FA198" i="4"/>
  <c r="FB198" i="4"/>
  <c r="FC198" i="4"/>
  <c r="FD198" i="4"/>
  <c r="FE198" i="4"/>
  <c r="FF198" i="4"/>
  <c r="FG198" i="4"/>
  <c r="FH198" i="4"/>
  <c r="FI198" i="4"/>
  <c r="FJ198" i="4"/>
  <c r="FK198" i="4"/>
  <c r="FL198" i="4"/>
  <c r="FM198" i="4"/>
  <c r="FN198" i="4"/>
  <c r="FO198" i="4"/>
  <c r="FP198" i="4"/>
  <c r="FQ198" i="4"/>
  <c r="FR198" i="4"/>
  <c r="FS198" i="4"/>
  <c r="FT198" i="4"/>
  <c r="FU198" i="4"/>
  <c r="FV198" i="4"/>
  <c r="FW198" i="4"/>
  <c r="FX198" i="4"/>
  <c r="FY198" i="4"/>
  <c r="FZ198" i="4"/>
  <c r="GA198" i="4"/>
  <c r="GB198" i="4"/>
  <c r="GC198" i="4"/>
  <c r="GD198" i="4"/>
  <c r="GE198" i="4"/>
  <c r="GF198" i="4"/>
  <c r="GG198" i="4"/>
  <c r="GH198" i="4"/>
  <c r="GI198" i="4"/>
  <c r="GJ198" i="4"/>
  <c r="GK198" i="4"/>
  <c r="GL198" i="4"/>
  <c r="GM198" i="4"/>
  <c r="GN198" i="4"/>
  <c r="GO198" i="4"/>
  <c r="GP198" i="4"/>
  <c r="GQ198" i="4"/>
  <c r="GR198" i="4"/>
  <c r="GS198" i="4"/>
  <c r="GT198" i="4"/>
  <c r="GU198" i="4"/>
  <c r="GV198" i="4"/>
  <c r="GW198" i="4"/>
  <c r="GX198" i="4"/>
  <c r="GY198" i="4"/>
  <c r="GZ198" i="4"/>
  <c r="HA198" i="4"/>
  <c r="HB198" i="4"/>
  <c r="HC198" i="4"/>
  <c r="HD198" i="4"/>
  <c r="HE198" i="4"/>
  <c r="HF198" i="4"/>
  <c r="HG198" i="4"/>
  <c r="HH198" i="4"/>
  <c r="HI198" i="4"/>
  <c r="HJ198" i="4"/>
  <c r="HK198" i="4"/>
  <c r="HL198" i="4"/>
  <c r="HM198" i="4"/>
  <c r="HN198" i="4"/>
  <c r="HO198" i="4"/>
  <c r="HP198" i="4"/>
  <c r="HQ198" i="4"/>
  <c r="HR198" i="4"/>
  <c r="HS198" i="4"/>
  <c r="HT198" i="4"/>
  <c r="HU198" i="4"/>
  <c r="HV198" i="4"/>
  <c r="HW198" i="4"/>
  <c r="HX198" i="4"/>
  <c r="HY198" i="4"/>
  <c r="HZ198" i="4"/>
  <c r="IA198" i="4"/>
  <c r="IB198" i="4"/>
  <c r="IC198" i="4"/>
  <c r="ID198" i="4"/>
  <c r="IE198" i="4"/>
  <c r="IF198" i="4"/>
  <c r="IG198" i="4"/>
  <c r="IH198" i="4"/>
  <c r="II198" i="4"/>
  <c r="IJ198" i="4"/>
  <c r="IK198" i="4"/>
  <c r="IL198" i="4"/>
  <c r="IM198" i="4"/>
  <c r="IN198" i="4"/>
  <c r="IO198" i="4"/>
  <c r="IP198" i="4"/>
  <c r="IQ198" i="4"/>
  <c r="IR198" i="4"/>
  <c r="IS198" i="4"/>
  <c r="IT198" i="4"/>
  <c r="IU198" i="4"/>
  <c r="IV198" i="4"/>
  <c r="A197" i="4"/>
  <c r="B197" i="4"/>
  <c r="C197" i="4"/>
  <c r="D197" i="4"/>
  <c r="E197" i="4"/>
  <c r="F197" i="4"/>
  <c r="G197" i="4"/>
  <c r="H197" i="4"/>
  <c r="I197" i="4"/>
  <c r="J197" i="4"/>
  <c r="K197" i="4"/>
  <c r="L197" i="4"/>
  <c r="M197" i="4"/>
  <c r="N197" i="4"/>
  <c r="O197" i="4"/>
  <c r="P197" i="4"/>
  <c r="Q197" i="4"/>
  <c r="R197" i="4"/>
  <c r="S197" i="4"/>
  <c r="T197" i="4"/>
  <c r="U197" i="4"/>
  <c r="V197" i="4"/>
  <c r="W197" i="4"/>
  <c r="X197" i="4"/>
  <c r="Y197" i="4"/>
  <c r="Z197" i="4"/>
  <c r="AA197" i="4"/>
  <c r="AB197" i="4"/>
  <c r="AC197" i="4"/>
  <c r="AD197" i="4"/>
  <c r="AE197" i="4"/>
  <c r="AF197" i="4"/>
  <c r="AG197" i="4"/>
  <c r="AH197" i="4"/>
  <c r="AI197" i="4"/>
  <c r="AJ197" i="4"/>
  <c r="AK197" i="4"/>
  <c r="AL197" i="4"/>
  <c r="AM197" i="4"/>
  <c r="AN197" i="4"/>
  <c r="AO197" i="4"/>
  <c r="AP197" i="4"/>
  <c r="AQ197" i="4"/>
  <c r="AR197" i="4"/>
  <c r="AS197" i="4"/>
  <c r="AT197" i="4"/>
  <c r="AU197" i="4"/>
  <c r="AV197" i="4"/>
  <c r="AW197" i="4"/>
  <c r="AX197" i="4"/>
  <c r="AY197" i="4"/>
  <c r="AZ197" i="4"/>
  <c r="BA197" i="4"/>
  <c r="BB197" i="4"/>
  <c r="BC197" i="4"/>
  <c r="BD197" i="4"/>
  <c r="BE197" i="4"/>
  <c r="BF197" i="4"/>
  <c r="BG197" i="4"/>
  <c r="BH197" i="4"/>
  <c r="BI197" i="4"/>
  <c r="BJ197" i="4"/>
  <c r="BK197" i="4"/>
  <c r="BL197" i="4"/>
  <c r="BM197" i="4"/>
  <c r="BN197" i="4"/>
  <c r="BO197" i="4"/>
  <c r="BP197" i="4"/>
  <c r="BQ197" i="4"/>
  <c r="BR197" i="4"/>
  <c r="BS197" i="4"/>
  <c r="BT197" i="4"/>
  <c r="BU197" i="4"/>
  <c r="BV197" i="4"/>
  <c r="BW197" i="4"/>
  <c r="BX197" i="4"/>
  <c r="BY197" i="4"/>
  <c r="BZ197" i="4"/>
  <c r="CA197" i="4"/>
  <c r="CB197" i="4"/>
  <c r="CC197" i="4"/>
  <c r="CD197" i="4"/>
  <c r="CE197" i="4"/>
  <c r="CF197" i="4"/>
  <c r="CG197" i="4"/>
  <c r="CH197" i="4"/>
  <c r="CI197" i="4"/>
  <c r="CJ197" i="4"/>
  <c r="CK197" i="4"/>
  <c r="CL197" i="4"/>
  <c r="CM197" i="4"/>
  <c r="CN197" i="4"/>
  <c r="CO197" i="4"/>
  <c r="CP197" i="4"/>
  <c r="CQ197" i="4"/>
  <c r="CR197" i="4"/>
  <c r="CS197" i="4"/>
  <c r="CT197" i="4"/>
  <c r="CU197" i="4"/>
  <c r="CV197" i="4"/>
  <c r="CW197" i="4"/>
  <c r="CX197" i="4"/>
  <c r="CY197" i="4"/>
  <c r="CZ197" i="4"/>
  <c r="DA197" i="4"/>
  <c r="DB197" i="4"/>
  <c r="DC197" i="4"/>
  <c r="DD197" i="4"/>
  <c r="DE197" i="4"/>
  <c r="DF197" i="4"/>
  <c r="DG197" i="4"/>
  <c r="DH197" i="4"/>
  <c r="DI197" i="4"/>
  <c r="DJ197" i="4"/>
  <c r="DK197" i="4"/>
  <c r="DL197" i="4"/>
  <c r="DM197" i="4"/>
  <c r="DN197" i="4"/>
  <c r="DO197" i="4"/>
  <c r="DP197" i="4"/>
  <c r="DQ197" i="4"/>
  <c r="DR197" i="4"/>
  <c r="DS197" i="4"/>
  <c r="DT197" i="4"/>
  <c r="DU197" i="4"/>
  <c r="DV197" i="4"/>
  <c r="DW197" i="4"/>
  <c r="DX197" i="4"/>
  <c r="DY197" i="4"/>
  <c r="DZ197" i="4"/>
  <c r="EA197" i="4"/>
  <c r="EB197" i="4"/>
  <c r="EC197" i="4"/>
  <c r="ED197" i="4"/>
  <c r="EE197" i="4"/>
  <c r="EF197" i="4"/>
  <c r="EG197" i="4"/>
  <c r="EH197" i="4"/>
  <c r="EI197" i="4"/>
  <c r="EJ197" i="4"/>
  <c r="EK197" i="4"/>
  <c r="EL197" i="4"/>
  <c r="EM197" i="4"/>
  <c r="EN197" i="4"/>
  <c r="EO197" i="4"/>
  <c r="EP197" i="4"/>
  <c r="EQ197" i="4"/>
  <c r="ER197" i="4"/>
  <c r="ES197" i="4"/>
  <c r="ET197" i="4"/>
  <c r="EU197" i="4"/>
  <c r="EV197" i="4"/>
  <c r="EW197" i="4"/>
  <c r="EX197" i="4"/>
  <c r="EY197" i="4"/>
  <c r="EZ197" i="4"/>
  <c r="FA197" i="4"/>
  <c r="FB197" i="4"/>
  <c r="FC197" i="4"/>
  <c r="FD197" i="4"/>
  <c r="FE197" i="4"/>
  <c r="FF197" i="4"/>
  <c r="FG197" i="4"/>
  <c r="FH197" i="4"/>
  <c r="FI197" i="4"/>
  <c r="FJ197" i="4"/>
  <c r="FK197" i="4"/>
  <c r="FL197" i="4"/>
  <c r="FM197" i="4"/>
  <c r="FN197" i="4"/>
  <c r="FO197" i="4"/>
  <c r="FP197" i="4"/>
  <c r="FQ197" i="4"/>
  <c r="FR197" i="4"/>
  <c r="FS197" i="4"/>
  <c r="FT197" i="4"/>
  <c r="FU197" i="4"/>
  <c r="FV197" i="4"/>
  <c r="FW197" i="4"/>
  <c r="FX197" i="4"/>
  <c r="FY197" i="4"/>
  <c r="FZ197" i="4"/>
  <c r="GA197" i="4"/>
  <c r="GB197" i="4"/>
  <c r="GC197" i="4"/>
  <c r="GD197" i="4"/>
  <c r="GE197" i="4"/>
  <c r="GF197" i="4"/>
  <c r="GG197" i="4"/>
  <c r="GH197" i="4"/>
  <c r="GI197" i="4"/>
  <c r="GJ197" i="4"/>
  <c r="GK197" i="4"/>
  <c r="GL197" i="4"/>
  <c r="GM197" i="4"/>
  <c r="GN197" i="4"/>
  <c r="GO197" i="4"/>
  <c r="GP197" i="4"/>
  <c r="GQ197" i="4"/>
  <c r="GR197" i="4"/>
  <c r="GS197" i="4"/>
  <c r="GT197" i="4"/>
  <c r="GU197" i="4"/>
  <c r="GV197" i="4"/>
  <c r="GW197" i="4"/>
  <c r="GX197" i="4"/>
  <c r="GY197" i="4"/>
  <c r="GZ197" i="4"/>
  <c r="HA197" i="4"/>
  <c r="HB197" i="4"/>
  <c r="HC197" i="4"/>
  <c r="HD197" i="4"/>
  <c r="HE197" i="4"/>
  <c r="HF197" i="4"/>
  <c r="HG197" i="4"/>
  <c r="HH197" i="4"/>
  <c r="HI197" i="4"/>
  <c r="HJ197" i="4"/>
  <c r="HK197" i="4"/>
  <c r="HL197" i="4"/>
  <c r="HM197" i="4"/>
  <c r="HN197" i="4"/>
  <c r="HO197" i="4"/>
  <c r="HP197" i="4"/>
  <c r="HQ197" i="4"/>
  <c r="HR197" i="4"/>
  <c r="HS197" i="4"/>
  <c r="HT197" i="4"/>
  <c r="HU197" i="4"/>
  <c r="HV197" i="4"/>
  <c r="HW197" i="4"/>
  <c r="HX197" i="4"/>
  <c r="HY197" i="4"/>
  <c r="HZ197" i="4"/>
  <c r="IA197" i="4"/>
  <c r="IB197" i="4"/>
  <c r="IC197" i="4"/>
  <c r="ID197" i="4"/>
  <c r="IE197" i="4"/>
  <c r="IF197" i="4"/>
  <c r="IG197" i="4"/>
  <c r="IH197" i="4"/>
  <c r="II197" i="4"/>
  <c r="IJ197" i="4"/>
  <c r="IK197" i="4"/>
  <c r="IL197" i="4"/>
  <c r="IM197" i="4"/>
  <c r="IN197" i="4"/>
  <c r="IO197" i="4"/>
  <c r="IP197" i="4"/>
  <c r="IQ197" i="4"/>
  <c r="IR197" i="4"/>
  <c r="IS197" i="4"/>
  <c r="IT197" i="4"/>
  <c r="IU197" i="4"/>
  <c r="IV197" i="4"/>
  <c r="A196" i="4"/>
  <c r="B196" i="4"/>
  <c r="C196" i="4"/>
  <c r="D196" i="4"/>
  <c r="E196" i="4"/>
  <c r="F196" i="4"/>
  <c r="G196" i="4"/>
  <c r="H196" i="4"/>
  <c r="I196" i="4"/>
  <c r="J196" i="4"/>
  <c r="K196" i="4"/>
  <c r="L196" i="4"/>
  <c r="M196" i="4"/>
  <c r="N196" i="4"/>
  <c r="O196" i="4"/>
  <c r="P196" i="4"/>
  <c r="Q196" i="4"/>
  <c r="R196" i="4"/>
  <c r="S196" i="4"/>
  <c r="T196" i="4"/>
  <c r="U196" i="4"/>
  <c r="V196" i="4"/>
  <c r="W196" i="4"/>
  <c r="X196" i="4"/>
  <c r="Y196" i="4"/>
  <c r="Z196" i="4"/>
  <c r="AA196" i="4"/>
  <c r="AB196" i="4"/>
  <c r="AC196" i="4"/>
  <c r="AD196" i="4"/>
  <c r="AE196" i="4"/>
  <c r="AF196" i="4"/>
  <c r="AG196" i="4"/>
  <c r="AH196" i="4"/>
  <c r="AI196" i="4"/>
  <c r="AJ196" i="4"/>
  <c r="AK196" i="4"/>
  <c r="AL196" i="4"/>
  <c r="AM196" i="4"/>
  <c r="AN196" i="4"/>
  <c r="AO196" i="4"/>
  <c r="AP196" i="4"/>
  <c r="AQ196" i="4"/>
  <c r="AR196" i="4"/>
  <c r="AS196" i="4"/>
  <c r="AT196" i="4"/>
  <c r="AU196" i="4"/>
  <c r="AV196" i="4"/>
  <c r="AW196" i="4"/>
  <c r="AX196" i="4"/>
  <c r="AY196" i="4"/>
  <c r="AZ196" i="4"/>
  <c r="BA196" i="4"/>
  <c r="BB196" i="4"/>
  <c r="BC196" i="4"/>
  <c r="BD196" i="4"/>
  <c r="BE196" i="4"/>
  <c r="BF196" i="4"/>
  <c r="BG196" i="4"/>
  <c r="BH196" i="4"/>
  <c r="BI196" i="4"/>
  <c r="BJ196" i="4"/>
  <c r="BK196" i="4"/>
  <c r="BL196" i="4"/>
  <c r="BM196" i="4"/>
  <c r="BN196" i="4"/>
  <c r="BO196" i="4"/>
  <c r="BP196" i="4"/>
  <c r="BQ196" i="4"/>
  <c r="BR196" i="4"/>
  <c r="BS196" i="4"/>
  <c r="BT196" i="4"/>
  <c r="BU196" i="4"/>
  <c r="BV196" i="4"/>
  <c r="BW196" i="4"/>
  <c r="BX196" i="4"/>
  <c r="BY196" i="4"/>
  <c r="BZ196" i="4"/>
  <c r="CA196" i="4"/>
  <c r="CB196" i="4"/>
  <c r="CC196" i="4"/>
  <c r="CD196" i="4"/>
  <c r="CE196" i="4"/>
  <c r="CF196" i="4"/>
  <c r="CG196" i="4"/>
  <c r="CH196" i="4"/>
  <c r="CI196" i="4"/>
  <c r="CJ196" i="4"/>
  <c r="CK196" i="4"/>
  <c r="CL196" i="4"/>
  <c r="CM196" i="4"/>
  <c r="CN196" i="4"/>
  <c r="CO196" i="4"/>
  <c r="CP196" i="4"/>
  <c r="CQ196" i="4"/>
  <c r="CR196" i="4"/>
  <c r="CS196" i="4"/>
  <c r="CT196" i="4"/>
  <c r="CU196" i="4"/>
  <c r="CV196" i="4"/>
  <c r="CW196" i="4"/>
  <c r="CX196" i="4"/>
  <c r="CY196" i="4"/>
  <c r="CZ196" i="4"/>
  <c r="DA196" i="4"/>
  <c r="DB196" i="4"/>
  <c r="DC196" i="4"/>
  <c r="DD196" i="4"/>
  <c r="DE196" i="4"/>
  <c r="DF196" i="4"/>
  <c r="DG196" i="4"/>
  <c r="DH196" i="4"/>
  <c r="DI196" i="4"/>
  <c r="DJ196" i="4"/>
  <c r="DK196" i="4"/>
  <c r="DL196" i="4"/>
  <c r="DM196" i="4"/>
  <c r="DN196" i="4"/>
  <c r="DO196" i="4"/>
  <c r="DP196" i="4"/>
  <c r="DQ196" i="4"/>
  <c r="DR196" i="4"/>
  <c r="DS196" i="4"/>
  <c r="DT196" i="4"/>
  <c r="DU196" i="4"/>
  <c r="DV196" i="4"/>
  <c r="DW196" i="4"/>
  <c r="DX196" i="4"/>
  <c r="DY196" i="4"/>
  <c r="DZ196" i="4"/>
  <c r="EA196" i="4"/>
  <c r="EB196" i="4"/>
  <c r="EC196" i="4"/>
  <c r="ED196" i="4"/>
  <c r="EE196" i="4"/>
  <c r="EF196" i="4"/>
  <c r="EG196" i="4"/>
  <c r="EH196" i="4"/>
  <c r="EI196" i="4"/>
  <c r="EJ196" i="4"/>
  <c r="EK196" i="4"/>
  <c r="EL196" i="4"/>
  <c r="EM196" i="4"/>
  <c r="EN196" i="4"/>
  <c r="EO196" i="4"/>
  <c r="EP196" i="4"/>
  <c r="EQ196" i="4"/>
  <c r="ER196" i="4"/>
  <c r="ES196" i="4"/>
  <c r="ET196" i="4"/>
  <c r="EU196" i="4"/>
  <c r="EV196" i="4"/>
  <c r="EW196" i="4"/>
  <c r="EX196" i="4"/>
  <c r="EY196" i="4"/>
  <c r="EZ196" i="4"/>
  <c r="FA196" i="4"/>
  <c r="FB196" i="4"/>
  <c r="FC196" i="4"/>
  <c r="FD196" i="4"/>
  <c r="FE196" i="4"/>
  <c r="FF196" i="4"/>
  <c r="FG196" i="4"/>
  <c r="FH196" i="4"/>
  <c r="FI196" i="4"/>
  <c r="FJ196" i="4"/>
  <c r="FK196" i="4"/>
  <c r="FL196" i="4"/>
  <c r="FM196" i="4"/>
  <c r="FN196" i="4"/>
  <c r="FO196" i="4"/>
  <c r="FP196" i="4"/>
  <c r="FQ196" i="4"/>
  <c r="FR196" i="4"/>
  <c r="FS196" i="4"/>
  <c r="FT196" i="4"/>
  <c r="FU196" i="4"/>
  <c r="FV196" i="4"/>
  <c r="FW196" i="4"/>
  <c r="FX196" i="4"/>
  <c r="FY196" i="4"/>
  <c r="FZ196" i="4"/>
  <c r="GA196" i="4"/>
  <c r="GB196" i="4"/>
  <c r="GC196" i="4"/>
  <c r="GD196" i="4"/>
  <c r="GE196" i="4"/>
  <c r="GF196" i="4"/>
  <c r="GG196" i="4"/>
  <c r="GH196" i="4"/>
  <c r="GI196" i="4"/>
  <c r="GJ196" i="4"/>
  <c r="GK196" i="4"/>
  <c r="GL196" i="4"/>
  <c r="GM196" i="4"/>
  <c r="GN196" i="4"/>
  <c r="GO196" i="4"/>
  <c r="GP196" i="4"/>
  <c r="GQ196" i="4"/>
  <c r="GR196" i="4"/>
  <c r="GS196" i="4"/>
  <c r="GT196" i="4"/>
  <c r="GU196" i="4"/>
  <c r="GV196" i="4"/>
  <c r="GW196" i="4"/>
  <c r="GX196" i="4"/>
  <c r="GY196" i="4"/>
  <c r="GZ196" i="4"/>
  <c r="HA196" i="4"/>
  <c r="HB196" i="4"/>
  <c r="HC196" i="4"/>
  <c r="HD196" i="4"/>
  <c r="HE196" i="4"/>
  <c r="HF196" i="4"/>
  <c r="HG196" i="4"/>
  <c r="HH196" i="4"/>
  <c r="HI196" i="4"/>
  <c r="HJ196" i="4"/>
  <c r="HK196" i="4"/>
  <c r="HL196" i="4"/>
  <c r="HM196" i="4"/>
  <c r="HN196" i="4"/>
  <c r="HO196" i="4"/>
  <c r="HP196" i="4"/>
  <c r="HQ196" i="4"/>
  <c r="HR196" i="4"/>
  <c r="HS196" i="4"/>
  <c r="HT196" i="4"/>
  <c r="HU196" i="4"/>
  <c r="HV196" i="4"/>
  <c r="HW196" i="4"/>
  <c r="HX196" i="4"/>
  <c r="HY196" i="4"/>
  <c r="HZ196" i="4"/>
  <c r="IA196" i="4"/>
  <c r="IB196" i="4"/>
  <c r="IC196" i="4"/>
  <c r="ID196" i="4"/>
  <c r="IE196" i="4"/>
  <c r="IF196" i="4"/>
  <c r="IG196" i="4"/>
  <c r="IH196" i="4"/>
  <c r="II196" i="4"/>
  <c r="IJ196" i="4"/>
  <c r="IK196" i="4"/>
  <c r="IL196" i="4"/>
  <c r="IM196" i="4"/>
  <c r="IN196" i="4"/>
  <c r="IO196" i="4"/>
  <c r="IP196" i="4"/>
  <c r="IQ196" i="4"/>
  <c r="IR196" i="4"/>
  <c r="IS196" i="4"/>
  <c r="IT196" i="4"/>
  <c r="IU196" i="4"/>
  <c r="IV196" i="4"/>
  <c r="A195" i="4"/>
  <c r="B195" i="4"/>
  <c r="C195" i="4"/>
  <c r="D195" i="4"/>
  <c r="E195" i="4"/>
  <c r="F195" i="4"/>
  <c r="G195" i="4"/>
  <c r="H195" i="4"/>
  <c r="I195" i="4"/>
  <c r="J195" i="4"/>
  <c r="K195" i="4"/>
  <c r="L195" i="4"/>
  <c r="M195" i="4"/>
  <c r="N195" i="4"/>
  <c r="O195" i="4"/>
  <c r="P195" i="4"/>
  <c r="Q195" i="4"/>
  <c r="R195" i="4"/>
  <c r="S195" i="4"/>
  <c r="T195" i="4"/>
  <c r="U195" i="4"/>
  <c r="V195" i="4"/>
  <c r="W195" i="4"/>
  <c r="X195" i="4"/>
  <c r="Y195" i="4"/>
  <c r="Z195" i="4"/>
  <c r="AA195" i="4"/>
  <c r="AB195" i="4"/>
  <c r="AC195" i="4"/>
  <c r="AD195" i="4"/>
  <c r="AE195" i="4"/>
  <c r="AF195" i="4"/>
  <c r="AG195" i="4"/>
  <c r="AH195" i="4"/>
  <c r="AI195" i="4"/>
  <c r="AJ195" i="4"/>
  <c r="AK195" i="4"/>
  <c r="AL195" i="4"/>
  <c r="AM195" i="4"/>
  <c r="AN195" i="4"/>
  <c r="AO195" i="4"/>
  <c r="AP195" i="4"/>
  <c r="AQ195" i="4"/>
  <c r="AR195" i="4"/>
  <c r="AS195" i="4"/>
  <c r="AT195" i="4"/>
  <c r="AU195" i="4"/>
  <c r="AV195" i="4"/>
  <c r="AW195" i="4"/>
  <c r="AY195" i="4"/>
  <c r="AZ195" i="4"/>
  <c r="BA195" i="4"/>
  <c r="BB195" i="4"/>
  <c r="BC195" i="4"/>
  <c r="BD195" i="4"/>
  <c r="BE195" i="4"/>
  <c r="BF195" i="4"/>
  <c r="BG195" i="4"/>
  <c r="BH195" i="4"/>
  <c r="BI195" i="4"/>
  <c r="BJ195" i="4"/>
  <c r="BK195" i="4"/>
  <c r="BL195" i="4"/>
  <c r="BM195" i="4"/>
  <c r="BN195" i="4"/>
  <c r="BO195" i="4"/>
  <c r="BP195" i="4"/>
  <c r="BQ195" i="4"/>
  <c r="BR195" i="4"/>
  <c r="BS195" i="4"/>
  <c r="BT195" i="4"/>
  <c r="BU195" i="4"/>
  <c r="BV195" i="4"/>
  <c r="BW195" i="4"/>
  <c r="BX195" i="4"/>
  <c r="BY195" i="4"/>
  <c r="BZ195" i="4"/>
  <c r="CA195" i="4"/>
  <c r="CB195" i="4"/>
  <c r="CC195" i="4"/>
  <c r="CD195" i="4"/>
  <c r="CE195" i="4"/>
  <c r="CF195" i="4"/>
  <c r="CG195" i="4"/>
  <c r="CH195" i="4"/>
  <c r="CI195" i="4"/>
  <c r="CJ195" i="4"/>
  <c r="CK195" i="4"/>
  <c r="CL195" i="4"/>
  <c r="CM195" i="4"/>
  <c r="CN195" i="4"/>
  <c r="CO195" i="4"/>
  <c r="CP195" i="4"/>
  <c r="CQ195" i="4"/>
  <c r="CR195" i="4"/>
  <c r="CS195" i="4"/>
  <c r="CT195" i="4"/>
  <c r="CU195" i="4"/>
  <c r="CV195" i="4"/>
  <c r="CW195" i="4"/>
  <c r="CX195" i="4"/>
  <c r="CY195" i="4"/>
  <c r="CZ195" i="4"/>
  <c r="DA195" i="4"/>
  <c r="DB195" i="4"/>
  <c r="DC195" i="4"/>
  <c r="DD195" i="4"/>
  <c r="DE195" i="4"/>
  <c r="DF195" i="4"/>
  <c r="DG195" i="4"/>
  <c r="DH195" i="4"/>
  <c r="DI195" i="4"/>
  <c r="DJ195" i="4"/>
  <c r="DK195" i="4"/>
  <c r="DL195" i="4"/>
  <c r="DM195" i="4"/>
  <c r="DN195" i="4"/>
  <c r="DO195" i="4"/>
  <c r="DP195" i="4"/>
  <c r="DQ195" i="4"/>
  <c r="DR195" i="4"/>
  <c r="DS195" i="4"/>
  <c r="DT195" i="4"/>
  <c r="DU195" i="4"/>
  <c r="DV195" i="4"/>
  <c r="DW195" i="4"/>
  <c r="DX195" i="4"/>
  <c r="DY195" i="4"/>
  <c r="DZ195" i="4"/>
  <c r="EA195" i="4"/>
  <c r="EB195" i="4"/>
  <c r="EC195" i="4"/>
  <c r="ED195" i="4"/>
  <c r="EE195" i="4"/>
  <c r="EF195" i="4"/>
  <c r="EG195" i="4"/>
  <c r="EH195" i="4"/>
  <c r="EI195" i="4"/>
  <c r="EJ195" i="4"/>
  <c r="EK195" i="4"/>
  <c r="EL195" i="4"/>
  <c r="EM195" i="4"/>
  <c r="EN195" i="4"/>
  <c r="EO195" i="4"/>
  <c r="EP195" i="4"/>
  <c r="EQ195" i="4"/>
  <c r="ER195" i="4"/>
  <c r="ES195" i="4"/>
  <c r="ET195" i="4"/>
  <c r="EU195" i="4"/>
  <c r="EV195" i="4"/>
  <c r="EW195" i="4"/>
  <c r="EX195" i="4"/>
  <c r="EY195" i="4"/>
  <c r="EZ195" i="4"/>
  <c r="FA195" i="4"/>
  <c r="FB195" i="4"/>
  <c r="FC195" i="4"/>
  <c r="FD195" i="4"/>
  <c r="FE195" i="4"/>
  <c r="FF195" i="4"/>
  <c r="FG195" i="4"/>
  <c r="FH195" i="4"/>
  <c r="FI195" i="4"/>
  <c r="FJ195" i="4"/>
  <c r="FK195" i="4"/>
  <c r="FL195" i="4"/>
  <c r="FM195" i="4"/>
  <c r="FN195" i="4"/>
  <c r="FO195" i="4"/>
  <c r="FP195" i="4"/>
  <c r="FQ195" i="4"/>
  <c r="FR195" i="4"/>
  <c r="FS195" i="4"/>
  <c r="FT195" i="4"/>
  <c r="FU195" i="4"/>
  <c r="FV195" i="4"/>
  <c r="FW195" i="4"/>
  <c r="FX195" i="4"/>
  <c r="FY195" i="4"/>
  <c r="FZ195" i="4"/>
  <c r="GA195" i="4"/>
  <c r="GB195" i="4"/>
  <c r="GC195" i="4"/>
  <c r="GD195" i="4"/>
  <c r="GE195" i="4"/>
  <c r="GF195" i="4"/>
  <c r="GG195" i="4"/>
  <c r="GH195" i="4"/>
  <c r="GI195" i="4"/>
  <c r="GJ195" i="4"/>
  <c r="GK195" i="4"/>
  <c r="GL195" i="4"/>
  <c r="GM195" i="4"/>
  <c r="GN195" i="4"/>
  <c r="GO195" i="4"/>
  <c r="GP195" i="4"/>
  <c r="GQ195" i="4"/>
  <c r="GR195" i="4"/>
  <c r="GS195" i="4"/>
  <c r="GT195" i="4"/>
  <c r="GU195" i="4"/>
  <c r="GV195" i="4"/>
  <c r="GW195" i="4"/>
  <c r="GX195" i="4"/>
  <c r="GY195" i="4"/>
  <c r="GZ195" i="4"/>
  <c r="HA195" i="4"/>
  <c r="HB195" i="4"/>
  <c r="HC195" i="4"/>
  <c r="HD195" i="4"/>
  <c r="HE195" i="4"/>
  <c r="HF195" i="4"/>
  <c r="HG195" i="4"/>
  <c r="HH195" i="4"/>
  <c r="HI195" i="4"/>
  <c r="HJ195" i="4"/>
  <c r="HK195" i="4"/>
  <c r="HL195" i="4"/>
  <c r="HM195" i="4"/>
  <c r="HN195" i="4"/>
  <c r="HO195" i="4"/>
  <c r="HP195" i="4"/>
  <c r="HQ195" i="4"/>
  <c r="HR195" i="4"/>
  <c r="HS195" i="4"/>
  <c r="HT195" i="4"/>
  <c r="HU195" i="4"/>
  <c r="HV195" i="4"/>
  <c r="HW195" i="4"/>
  <c r="HX195" i="4"/>
  <c r="HY195" i="4"/>
  <c r="HZ195" i="4"/>
  <c r="IA195" i="4"/>
  <c r="IB195" i="4"/>
  <c r="IC195" i="4"/>
  <c r="ID195" i="4"/>
  <c r="IE195" i="4"/>
  <c r="IF195" i="4"/>
  <c r="IG195" i="4"/>
  <c r="IH195" i="4"/>
  <c r="II195" i="4"/>
  <c r="IJ195" i="4"/>
  <c r="IK195" i="4"/>
  <c r="IL195" i="4"/>
  <c r="IM195" i="4"/>
  <c r="IN195" i="4"/>
  <c r="IO195" i="4"/>
  <c r="IP195" i="4"/>
  <c r="IQ195" i="4"/>
  <c r="IR195" i="4"/>
  <c r="IS195" i="4"/>
  <c r="IT195" i="4"/>
  <c r="IU195" i="4"/>
  <c r="IV195" i="4"/>
  <c r="A194" i="4"/>
  <c r="B194" i="4"/>
  <c r="C194" i="4"/>
  <c r="D194" i="4"/>
  <c r="E194" i="4"/>
  <c r="F194" i="4"/>
  <c r="G194" i="4"/>
  <c r="H194" i="4"/>
  <c r="I194" i="4"/>
  <c r="J194" i="4"/>
  <c r="K194" i="4"/>
  <c r="L194" i="4"/>
  <c r="M194" i="4"/>
  <c r="N194" i="4"/>
  <c r="O194" i="4"/>
  <c r="P194" i="4"/>
  <c r="Q194" i="4"/>
  <c r="R194" i="4"/>
  <c r="S194" i="4"/>
  <c r="T194" i="4"/>
  <c r="U194" i="4"/>
  <c r="V194" i="4"/>
  <c r="W194" i="4"/>
  <c r="X194" i="4"/>
  <c r="Y194" i="4"/>
  <c r="Z194" i="4"/>
  <c r="AA194" i="4"/>
  <c r="AB194" i="4"/>
  <c r="AC194" i="4"/>
  <c r="AD194" i="4"/>
  <c r="AE194" i="4"/>
  <c r="AF194" i="4"/>
  <c r="AG194" i="4"/>
  <c r="AH194" i="4"/>
  <c r="AI194" i="4"/>
  <c r="AJ194" i="4"/>
  <c r="AK194" i="4"/>
  <c r="AL194" i="4"/>
  <c r="AM194" i="4"/>
  <c r="AN194" i="4"/>
  <c r="AO194" i="4"/>
  <c r="AP194" i="4"/>
  <c r="AQ194" i="4"/>
  <c r="AR194" i="4"/>
  <c r="AS194" i="4"/>
  <c r="AT194" i="4"/>
  <c r="AU194" i="4"/>
  <c r="AV194" i="4"/>
  <c r="AW194" i="4"/>
  <c r="AX194" i="4"/>
  <c r="AY194" i="4"/>
  <c r="AZ194" i="4"/>
  <c r="BA194" i="4"/>
  <c r="BB194" i="4"/>
  <c r="BC194" i="4"/>
  <c r="BD194" i="4"/>
  <c r="BE194" i="4"/>
  <c r="BF194" i="4"/>
  <c r="BG194" i="4"/>
  <c r="BH194" i="4"/>
  <c r="BI194" i="4"/>
  <c r="BJ194" i="4"/>
  <c r="BK194" i="4"/>
  <c r="BL194" i="4"/>
  <c r="BM194" i="4"/>
  <c r="BN194" i="4"/>
  <c r="BO194" i="4"/>
  <c r="BP194" i="4"/>
  <c r="BQ194" i="4"/>
  <c r="BR194" i="4"/>
  <c r="BS194" i="4"/>
  <c r="BT194" i="4"/>
  <c r="BU194" i="4"/>
  <c r="BV194" i="4"/>
  <c r="BW194" i="4"/>
  <c r="BX194" i="4"/>
  <c r="BY194" i="4"/>
  <c r="BZ194" i="4"/>
  <c r="CA194" i="4"/>
  <c r="CB194" i="4"/>
  <c r="CC194" i="4"/>
  <c r="CD194" i="4"/>
  <c r="CE194" i="4"/>
  <c r="CF194" i="4"/>
  <c r="CG194" i="4"/>
  <c r="CH194" i="4"/>
  <c r="CI194" i="4"/>
  <c r="CJ194" i="4"/>
  <c r="CK194" i="4"/>
  <c r="CL194" i="4"/>
  <c r="CM194" i="4"/>
  <c r="CN194" i="4"/>
  <c r="CO194" i="4"/>
  <c r="CP194" i="4"/>
  <c r="CQ194" i="4"/>
  <c r="CR194" i="4"/>
  <c r="CS194" i="4"/>
  <c r="CT194" i="4"/>
  <c r="CU194" i="4"/>
  <c r="CV194" i="4"/>
  <c r="CW194" i="4"/>
  <c r="CX194" i="4"/>
  <c r="CY194" i="4"/>
  <c r="CZ194" i="4"/>
  <c r="DA194" i="4"/>
  <c r="DB194" i="4"/>
  <c r="DC194" i="4"/>
  <c r="DD194" i="4"/>
  <c r="DE194" i="4"/>
  <c r="DF194" i="4"/>
  <c r="DG194" i="4"/>
  <c r="DH194" i="4"/>
  <c r="DI194" i="4"/>
  <c r="DJ194" i="4"/>
  <c r="DK194" i="4"/>
  <c r="DL194" i="4"/>
  <c r="DM194" i="4"/>
  <c r="DN194" i="4"/>
  <c r="DO194" i="4"/>
  <c r="DP194" i="4"/>
  <c r="DQ194" i="4"/>
  <c r="DR194" i="4"/>
  <c r="DS194" i="4"/>
  <c r="DT194" i="4"/>
  <c r="DU194" i="4"/>
  <c r="DV194" i="4"/>
  <c r="DW194" i="4"/>
  <c r="DX194" i="4"/>
  <c r="DY194" i="4"/>
  <c r="DZ194" i="4"/>
  <c r="EA194" i="4"/>
  <c r="EB194" i="4"/>
  <c r="EC194" i="4"/>
  <c r="ED194" i="4"/>
  <c r="EE194" i="4"/>
  <c r="EF194" i="4"/>
  <c r="EG194" i="4"/>
  <c r="EH194" i="4"/>
  <c r="EI194" i="4"/>
  <c r="EJ194" i="4"/>
  <c r="EK194" i="4"/>
  <c r="EL194" i="4"/>
  <c r="EM194" i="4"/>
  <c r="EN194" i="4"/>
  <c r="EO194" i="4"/>
  <c r="EP194" i="4"/>
  <c r="EQ194" i="4"/>
  <c r="ER194" i="4"/>
  <c r="ES194" i="4"/>
  <c r="ET194" i="4"/>
  <c r="EU194" i="4"/>
  <c r="EV194" i="4"/>
  <c r="EW194" i="4"/>
  <c r="EX194" i="4"/>
  <c r="EY194" i="4"/>
  <c r="EZ194" i="4"/>
  <c r="FA194" i="4"/>
  <c r="FB194" i="4"/>
  <c r="FC194" i="4"/>
  <c r="FD194" i="4"/>
  <c r="FE194" i="4"/>
  <c r="FF194" i="4"/>
  <c r="FG194" i="4"/>
  <c r="FH194" i="4"/>
  <c r="FI194" i="4"/>
  <c r="FJ194" i="4"/>
  <c r="FK194" i="4"/>
  <c r="FL194" i="4"/>
  <c r="FM194" i="4"/>
  <c r="FN194" i="4"/>
  <c r="FO194" i="4"/>
  <c r="FP194" i="4"/>
  <c r="FQ194" i="4"/>
  <c r="FR194" i="4"/>
  <c r="FS194" i="4"/>
  <c r="FT194" i="4"/>
  <c r="FU194" i="4"/>
  <c r="FV194" i="4"/>
  <c r="FW194" i="4"/>
  <c r="FX194" i="4"/>
  <c r="FY194" i="4"/>
  <c r="FZ194" i="4"/>
  <c r="GA194" i="4"/>
  <c r="GB194" i="4"/>
  <c r="GC194" i="4"/>
  <c r="GD194" i="4"/>
  <c r="GE194" i="4"/>
  <c r="GF194" i="4"/>
  <c r="GG194" i="4"/>
  <c r="GH194" i="4"/>
  <c r="GI194" i="4"/>
  <c r="GJ194" i="4"/>
  <c r="GK194" i="4"/>
  <c r="GL194" i="4"/>
  <c r="GM194" i="4"/>
  <c r="GN194" i="4"/>
  <c r="GO194" i="4"/>
  <c r="GP194" i="4"/>
  <c r="GQ194" i="4"/>
  <c r="GR194" i="4"/>
  <c r="GS194" i="4"/>
  <c r="GT194" i="4"/>
  <c r="GU194" i="4"/>
  <c r="GV194" i="4"/>
  <c r="GW194" i="4"/>
  <c r="GX194" i="4"/>
  <c r="GY194" i="4"/>
  <c r="GZ194" i="4"/>
  <c r="HA194" i="4"/>
  <c r="HB194" i="4"/>
  <c r="HC194" i="4"/>
  <c r="HD194" i="4"/>
  <c r="HE194" i="4"/>
  <c r="HF194" i="4"/>
  <c r="HG194" i="4"/>
  <c r="HH194" i="4"/>
  <c r="HI194" i="4"/>
  <c r="HJ194" i="4"/>
  <c r="HK194" i="4"/>
  <c r="HL194" i="4"/>
  <c r="HM194" i="4"/>
  <c r="HN194" i="4"/>
  <c r="HO194" i="4"/>
  <c r="HP194" i="4"/>
  <c r="HQ194" i="4"/>
  <c r="HR194" i="4"/>
  <c r="HS194" i="4"/>
  <c r="HT194" i="4"/>
  <c r="HU194" i="4"/>
  <c r="HV194" i="4"/>
  <c r="HW194" i="4"/>
  <c r="HX194" i="4"/>
  <c r="HY194" i="4"/>
  <c r="HZ194" i="4"/>
  <c r="IA194" i="4"/>
  <c r="IB194" i="4"/>
  <c r="IC194" i="4"/>
  <c r="ID194" i="4"/>
  <c r="IE194" i="4"/>
  <c r="IF194" i="4"/>
  <c r="IG194" i="4"/>
  <c r="IH194" i="4"/>
  <c r="II194" i="4"/>
  <c r="IJ194" i="4"/>
  <c r="IK194" i="4"/>
  <c r="IL194" i="4"/>
  <c r="IM194" i="4"/>
  <c r="IN194" i="4"/>
  <c r="IO194" i="4"/>
  <c r="IP194" i="4"/>
  <c r="IQ194" i="4"/>
  <c r="IR194" i="4"/>
  <c r="IS194" i="4"/>
  <c r="IT194" i="4"/>
  <c r="IU194" i="4"/>
  <c r="IV194" i="4"/>
  <c r="B193" i="4"/>
  <c r="C193" i="4"/>
  <c r="D193" i="4"/>
  <c r="E193" i="4"/>
  <c r="F193" i="4"/>
  <c r="G193" i="4"/>
  <c r="H193" i="4"/>
  <c r="I193" i="4"/>
  <c r="J193" i="4"/>
  <c r="K193" i="4"/>
  <c r="L193" i="4"/>
  <c r="M193" i="4"/>
  <c r="N193" i="4"/>
  <c r="O193" i="4"/>
  <c r="P193" i="4"/>
  <c r="Q193" i="4"/>
  <c r="R193" i="4"/>
  <c r="S193" i="4"/>
  <c r="T193" i="4"/>
  <c r="U193" i="4"/>
  <c r="V193" i="4"/>
  <c r="W193" i="4"/>
  <c r="X193" i="4"/>
  <c r="Y193" i="4"/>
  <c r="Z193" i="4"/>
  <c r="AA193" i="4"/>
  <c r="AB193" i="4"/>
  <c r="AC193" i="4"/>
  <c r="AD193" i="4"/>
  <c r="AE193" i="4"/>
  <c r="AF193" i="4"/>
  <c r="AG193" i="4"/>
  <c r="AH193" i="4"/>
  <c r="AI193" i="4"/>
  <c r="AJ193" i="4"/>
  <c r="AK193" i="4"/>
  <c r="AL193" i="4"/>
  <c r="AM193" i="4"/>
  <c r="AN193" i="4"/>
  <c r="AO193" i="4"/>
  <c r="AP193" i="4"/>
  <c r="AQ193" i="4"/>
  <c r="AR193" i="4"/>
  <c r="AS193" i="4"/>
  <c r="AT193" i="4"/>
  <c r="AU193" i="4"/>
  <c r="AV193" i="4"/>
  <c r="AW193" i="4"/>
  <c r="AX193" i="4"/>
  <c r="AY193" i="4"/>
  <c r="AZ193" i="4"/>
  <c r="BA193" i="4"/>
  <c r="BB193" i="4"/>
  <c r="BC193" i="4"/>
  <c r="BD193" i="4"/>
  <c r="BE193" i="4"/>
  <c r="BF193" i="4"/>
  <c r="BG193" i="4"/>
  <c r="BH193" i="4"/>
  <c r="BI193" i="4"/>
  <c r="BJ193" i="4"/>
  <c r="BK193" i="4"/>
  <c r="BL193" i="4"/>
  <c r="BM193" i="4"/>
  <c r="BN193" i="4"/>
  <c r="BO193" i="4"/>
  <c r="BP193" i="4"/>
  <c r="BQ193" i="4"/>
  <c r="BR193" i="4"/>
  <c r="BS193" i="4"/>
  <c r="BT193" i="4"/>
  <c r="BU193" i="4"/>
  <c r="BV193" i="4"/>
  <c r="BW193" i="4"/>
  <c r="BX193" i="4"/>
  <c r="BY193" i="4"/>
  <c r="BZ193" i="4"/>
  <c r="CA193" i="4"/>
  <c r="CB193" i="4"/>
  <c r="CC193" i="4"/>
  <c r="CD193" i="4"/>
  <c r="CE193" i="4"/>
  <c r="CF193" i="4"/>
  <c r="CG193" i="4"/>
  <c r="CH193" i="4"/>
  <c r="CI193" i="4"/>
  <c r="CJ193" i="4"/>
  <c r="CK193" i="4"/>
  <c r="CL193" i="4"/>
  <c r="CM193" i="4"/>
  <c r="CN193" i="4"/>
  <c r="CO193" i="4"/>
  <c r="CP193" i="4"/>
  <c r="CQ193" i="4"/>
  <c r="CR193" i="4"/>
  <c r="CS193" i="4"/>
  <c r="CT193" i="4"/>
  <c r="CU193" i="4"/>
  <c r="CV193" i="4"/>
  <c r="CW193" i="4"/>
  <c r="CX193" i="4"/>
  <c r="CY193" i="4"/>
  <c r="CZ193" i="4"/>
  <c r="DA193" i="4"/>
  <c r="DB193" i="4"/>
  <c r="DC193" i="4"/>
  <c r="DD193" i="4"/>
  <c r="DE193" i="4"/>
  <c r="DF193" i="4"/>
  <c r="DG193" i="4"/>
  <c r="DH193" i="4"/>
  <c r="DI193" i="4"/>
  <c r="DJ193" i="4"/>
  <c r="DK193" i="4"/>
  <c r="DL193" i="4"/>
  <c r="DM193" i="4"/>
  <c r="DN193" i="4"/>
  <c r="DO193" i="4"/>
  <c r="DP193" i="4"/>
  <c r="DQ193" i="4"/>
  <c r="DR193" i="4"/>
  <c r="DS193" i="4"/>
  <c r="DT193" i="4"/>
  <c r="DU193" i="4"/>
  <c r="DV193" i="4"/>
  <c r="DW193" i="4"/>
  <c r="DX193" i="4"/>
  <c r="DY193" i="4"/>
  <c r="DZ193" i="4"/>
  <c r="EA193" i="4"/>
  <c r="EB193" i="4"/>
  <c r="EC193" i="4"/>
  <c r="ED193" i="4"/>
  <c r="EE193" i="4"/>
  <c r="EF193" i="4"/>
  <c r="EG193" i="4"/>
  <c r="EH193" i="4"/>
  <c r="EI193" i="4"/>
  <c r="EJ193" i="4"/>
  <c r="EK193" i="4"/>
  <c r="EL193" i="4"/>
  <c r="EM193" i="4"/>
  <c r="EN193" i="4"/>
  <c r="EO193" i="4"/>
  <c r="EP193" i="4"/>
  <c r="EQ193" i="4"/>
  <c r="ER193" i="4"/>
  <c r="ES193" i="4"/>
  <c r="ET193" i="4"/>
  <c r="EU193" i="4"/>
  <c r="EV193" i="4"/>
  <c r="EW193" i="4"/>
  <c r="EX193" i="4"/>
  <c r="EY193" i="4"/>
  <c r="EZ193" i="4"/>
  <c r="FA193" i="4"/>
  <c r="FB193" i="4"/>
  <c r="FC193" i="4"/>
  <c r="FD193" i="4"/>
  <c r="FE193" i="4"/>
  <c r="FF193" i="4"/>
  <c r="FG193" i="4"/>
  <c r="FH193" i="4"/>
  <c r="FI193" i="4"/>
  <c r="FJ193" i="4"/>
  <c r="FK193" i="4"/>
  <c r="FL193" i="4"/>
  <c r="FM193" i="4"/>
  <c r="FN193" i="4"/>
  <c r="FO193" i="4"/>
  <c r="FP193" i="4"/>
  <c r="FQ193" i="4"/>
  <c r="FR193" i="4"/>
  <c r="FS193" i="4"/>
  <c r="FT193" i="4"/>
  <c r="FU193" i="4"/>
  <c r="FV193" i="4"/>
  <c r="FW193" i="4"/>
  <c r="FX193" i="4"/>
  <c r="FY193" i="4"/>
  <c r="FZ193" i="4"/>
  <c r="GA193" i="4"/>
  <c r="GB193" i="4"/>
  <c r="GC193" i="4"/>
  <c r="GD193" i="4"/>
  <c r="GE193" i="4"/>
  <c r="GF193" i="4"/>
  <c r="GG193" i="4"/>
  <c r="GH193" i="4"/>
  <c r="GI193" i="4"/>
  <c r="GJ193" i="4"/>
  <c r="GK193" i="4"/>
  <c r="GL193" i="4"/>
  <c r="GM193" i="4"/>
  <c r="GN193" i="4"/>
  <c r="GO193" i="4"/>
  <c r="GP193" i="4"/>
  <c r="GQ193" i="4"/>
  <c r="GR193" i="4"/>
  <c r="GS193" i="4"/>
  <c r="GT193" i="4"/>
  <c r="GU193" i="4"/>
  <c r="GV193" i="4"/>
  <c r="GW193" i="4"/>
  <c r="GX193" i="4"/>
  <c r="GY193" i="4"/>
  <c r="GZ193" i="4"/>
  <c r="HA193" i="4"/>
  <c r="HB193" i="4"/>
  <c r="HC193" i="4"/>
  <c r="HD193" i="4"/>
  <c r="HE193" i="4"/>
  <c r="HF193" i="4"/>
  <c r="HG193" i="4"/>
  <c r="HH193" i="4"/>
  <c r="HI193" i="4"/>
  <c r="HJ193" i="4"/>
  <c r="HK193" i="4"/>
  <c r="HL193" i="4"/>
  <c r="HM193" i="4"/>
  <c r="HN193" i="4"/>
  <c r="HO193" i="4"/>
  <c r="HP193" i="4"/>
  <c r="HQ193" i="4"/>
  <c r="HR193" i="4"/>
  <c r="HS193" i="4"/>
  <c r="HT193" i="4"/>
  <c r="HU193" i="4"/>
  <c r="HV193" i="4"/>
  <c r="HW193" i="4"/>
  <c r="HX193" i="4"/>
  <c r="HY193" i="4"/>
  <c r="HZ193" i="4"/>
  <c r="IA193" i="4"/>
  <c r="IB193" i="4"/>
  <c r="IC193" i="4"/>
  <c r="ID193" i="4"/>
  <c r="IE193" i="4"/>
  <c r="IF193" i="4"/>
  <c r="IG193" i="4"/>
  <c r="IH193" i="4"/>
  <c r="II193" i="4"/>
  <c r="IJ193" i="4"/>
  <c r="IK193" i="4"/>
  <c r="IL193" i="4"/>
  <c r="IM193" i="4"/>
  <c r="IN193" i="4"/>
  <c r="IO193" i="4"/>
  <c r="IP193" i="4"/>
  <c r="IQ193" i="4"/>
  <c r="IR193" i="4"/>
  <c r="IS193" i="4"/>
  <c r="IT193" i="4"/>
  <c r="IU193" i="4"/>
  <c r="IV193" i="4"/>
  <c r="A192" i="4"/>
  <c r="C192" i="4"/>
  <c r="D192" i="4"/>
  <c r="E192" i="4"/>
  <c r="F192" i="4"/>
  <c r="G192" i="4"/>
  <c r="H192" i="4"/>
  <c r="I192" i="4"/>
  <c r="J192" i="4"/>
  <c r="K192" i="4"/>
  <c r="L192" i="4"/>
  <c r="M192" i="4"/>
  <c r="N192" i="4"/>
  <c r="O192" i="4"/>
  <c r="P192" i="4"/>
  <c r="Q192" i="4"/>
  <c r="R192" i="4"/>
  <c r="S192" i="4"/>
  <c r="T192" i="4"/>
  <c r="U192" i="4"/>
  <c r="V192" i="4"/>
  <c r="W192" i="4"/>
  <c r="X192" i="4"/>
  <c r="Y192" i="4"/>
  <c r="Z192" i="4"/>
  <c r="AA192" i="4"/>
  <c r="AB192" i="4"/>
  <c r="AC192" i="4"/>
  <c r="AD192" i="4"/>
  <c r="AE192" i="4"/>
  <c r="AF192" i="4"/>
  <c r="AG192" i="4"/>
  <c r="AH192" i="4"/>
  <c r="AI192" i="4"/>
  <c r="AJ192" i="4"/>
  <c r="AK192" i="4"/>
  <c r="AL192" i="4"/>
  <c r="AM192" i="4"/>
  <c r="AN192" i="4"/>
  <c r="AO192" i="4"/>
  <c r="AP192" i="4"/>
  <c r="AQ192" i="4"/>
  <c r="AR192" i="4"/>
  <c r="AS192" i="4"/>
  <c r="AT192" i="4"/>
  <c r="AU192" i="4"/>
  <c r="AV192" i="4"/>
  <c r="AW192" i="4"/>
  <c r="AX192" i="4"/>
  <c r="AY192" i="4"/>
  <c r="AZ192" i="4"/>
  <c r="BA192" i="4"/>
  <c r="BB192" i="4"/>
  <c r="BC192" i="4"/>
  <c r="BD192" i="4"/>
  <c r="BE192" i="4"/>
  <c r="BF192" i="4"/>
  <c r="BG192" i="4"/>
  <c r="BH192" i="4"/>
  <c r="BI192" i="4"/>
  <c r="BJ192" i="4"/>
  <c r="BK192" i="4"/>
  <c r="BL192" i="4"/>
  <c r="BM192" i="4"/>
  <c r="BN192" i="4"/>
  <c r="BO192" i="4"/>
  <c r="BP192" i="4"/>
  <c r="BQ192" i="4"/>
  <c r="BR192" i="4"/>
  <c r="BS192" i="4"/>
  <c r="BT192" i="4"/>
  <c r="BU192" i="4"/>
  <c r="BV192" i="4"/>
  <c r="BW192" i="4"/>
  <c r="BX192" i="4"/>
  <c r="BY192" i="4"/>
  <c r="BZ192" i="4"/>
  <c r="CA192" i="4"/>
  <c r="CB192" i="4"/>
  <c r="CC192" i="4"/>
  <c r="CD192" i="4"/>
  <c r="CE192" i="4"/>
  <c r="CF192" i="4"/>
  <c r="CG192" i="4"/>
  <c r="CH192" i="4"/>
  <c r="CI192" i="4"/>
  <c r="CJ192" i="4"/>
  <c r="CK192" i="4"/>
  <c r="CL192" i="4"/>
  <c r="CM192" i="4"/>
  <c r="CN192" i="4"/>
  <c r="CO192" i="4"/>
  <c r="CP192" i="4"/>
  <c r="CQ192" i="4"/>
  <c r="CR192" i="4"/>
  <c r="CS192" i="4"/>
  <c r="CT192" i="4"/>
  <c r="CU192" i="4"/>
  <c r="CV192" i="4"/>
  <c r="CW192" i="4"/>
  <c r="CX192" i="4"/>
  <c r="CY192" i="4"/>
  <c r="CZ192" i="4"/>
  <c r="DA192" i="4"/>
  <c r="DB192" i="4"/>
  <c r="DC192" i="4"/>
  <c r="DD192" i="4"/>
  <c r="DE192" i="4"/>
  <c r="DF192" i="4"/>
  <c r="DG192" i="4"/>
  <c r="DH192" i="4"/>
  <c r="DI192" i="4"/>
  <c r="DJ192" i="4"/>
  <c r="DK192" i="4"/>
  <c r="DL192" i="4"/>
  <c r="DM192" i="4"/>
  <c r="DN192" i="4"/>
  <c r="DO192" i="4"/>
  <c r="DP192" i="4"/>
  <c r="DQ192" i="4"/>
  <c r="DR192" i="4"/>
  <c r="DS192" i="4"/>
  <c r="DT192" i="4"/>
  <c r="DU192" i="4"/>
  <c r="DV192" i="4"/>
  <c r="DW192" i="4"/>
  <c r="DX192" i="4"/>
  <c r="DY192" i="4"/>
  <c r="DZ192" i="4"/>
  <c r="EA192" i="4"/>
  <c r="EB192" i="4"/>
  <c r="EC192" i="4"/>
  <c r="ED192" i="4"/>
  <c r="EE192" i="4"/>
  <c r="EF192" i="4"/>
  <c r="EG192" i="4"/>
  <c r="EH192" i="4"/>
  <c r="EI192" i="4"/>
  <c r="EJ192" i="4"/>
  <c r="EK192" i="4"/>
  <c r="EL192" i="4"/>
  <c r="EM192" i="4"/>
  <c r="EN192" i="4"/>
  <c r="EO192" i="4"/>
  <c r="EP192" i="4"/>
  <c r="EQ192" i="4"/>
  <c r="ER192" i="4"/>
  <c r="ES192" i="4"/>
  <c r="ET192" i="4"/>
  <c r="EU192" i="4"/>
  <c r="EV192" i="4"/>
  <c r="EW192" i="4"/>
  <c r="EX192" i="4"/>
  <c r="EY192" i="4"/>
  <c r="EZ192" i="4"/>
  <c r="FA192" i="4"/>
  <c r="FB192" i="4"/>
  <c r="FC192" i="4"/>
  <c r="FD192" i="4"/>
  <c r="FE192" i="4"/>
  <c r="FF192" i="4"/>
  <c r="FG192" i="4"/>
  <c r="FH192" i="4"/>
  <c r="FI192" i="4"/>
  <c r="FJ192" i="4"/>
  <c r="FK192" i="4"/>
  <c r="FL192" i="4"/>
  <c r="FM192" i="4"/>
  <c r="FN192" i="4"/>
  <c r="FO192" i="4"/>
  <c r="FP192" i="4"/>
  <c r="FQ192" i="4"/>
  <c r="FR192" i="4"/>
  <c r="FS192" i="4"/>
  <c r="FT192" i="4"/>
  <c r="FU192" i="4"/>
  <c r="FV192" i="4"/>
  <c r="FW192" i="4"/>
  <c r="FX192" i="4"/>
  <c r="FY192" i="4"/>
  <c r="FZ192" i="4"/>
  <c r="GA192" i="4"/>
  <c r="GB192" i="4"/>
  <c r="GC192" i="4"/>
  <c r="GD192" i="4"/>
  <c r="GE192" i="4"/>
  <c r="GF192" i="4"/>
  <c r="GG192" i="4"/>
  <c r="GH192" i="4"/>
  <c r="GI192" i="4"/>
  <c r="GJ192" i="4"/>
  <c r="GK192" i="4"/>
  <c r="GL192" i="4"/>
  <c r="GM192" i="4"/>
  <c r="GN192" i="4"/>
  <c r="GO192" i="4"/>
  <c r="GP192" i="4"/>
  <c r="GQ192" i="4"/>
  <c r="GR192" i="4"/>
  <c r="GS192" i="4"/>
  <c r="GT192" i="4"/>
  <c r="GU192" i="4"/>
  <c r="GV192" i="4"/>
  <c r="GW192" i="4"/>
  <c r="GX192" i="4"/>
  <c r="GY192" i="4"/>
  <c r="GZ192" i="4"/>
  <c r="HA192" i="4"/>
  <c r="HB192" i="4"/>
  <c r="HC192" i="4"/>
  <c r="HD192" i="4"/>
  <c r="HE192" i="4"/>
  <c r="HF192" i="4"/>
  <c r="HG192" i="4"/>
  <c r="HH192" i="4"/>
  <c r="HI192" i="4"/>
  <c r="HJ192" i="4"/>
  <c r="HK192" i="4"/>
  <c r="HL192" i="4"/>
  <c r="HM192" i="4"/>
  <c r="HN192" i="4"/>
  <c r="HO192" i="4"/>
  <c r="HP192" i="4"/>
  <c r="HQ192" i="4"/>
  <c r="HR192" i="4"/>
  <c r="HS192" i="4"/>
  <c r="HT192" i="4"/>
  <c r="HU192" i="4"/>
  <c r="HV192" i="4"/>
  <c r="HW192" i="4"/>
  <c r="HX192" i="4"/>
  <c r="HY192" i="4"/>
  <c r="HZ192" i="4"/>
  <c r="IA192" i="4"/>
  <c r="IB192" i="4"/>
  <c r="IC192" i="4"/>
  <c r="ID192" i="4"/>
  <c r="IE192" i="4"/>
  <c r="IF192" i="4"/>
  <c r="IG192" i="4"/>
  <c r="IH192" i="4"/>
  <c r="II192" i="4"/>
  <c r="IJ192" i="4"/>
  <c r="IK192" i="4"/>
  <c r="IL192" i="4"/>
  <c r="IM192" i="4"/>
  <c r="IN192" i="4"/>
  <c r="IO192" i="4"/>
  <c r="IP192" i="4"/>
  <c r="IQ192" i="4"/>
  <c r="IR192" i="4"/>
  <c r="IS192" i="4"/>
  <c r="IT192" i="4"/>
  <c r="IU192" i="4"/>
  <c r="IV192" i="4"/>
  <c r="A191" i="4"/>
  <c r="B191" i="4"/>
  <c r="C191" i="4"/>
  <c r="D191" i="4"/>
  <c r="E191" i="4"/>
  <c r="F191" i="4"/>
  <c r="G191" i="4"/>
  <c r="H191" i="4"/>
  <c r="I191" i="4"/>
  <c r="J191" i="4"/>
  <c r="K191" i="4"/>
  <c r="L191" i="4"/>
  <c r="M191" i="4"/>
  <c r="N191" i="4"/>
  <c r="O191" i="4"/>
  <c r="P191" i="4"/>
  <c r="Q191" i="4"/>
  <c r="R191" i="4"/>
  <c r="S191" i="4"/>
  <c r="T191" i="4"/>
  <c r="U191" i="4"/>
  <c r="V191" i="4"/>
  <c r="W191" i="4"/>
  <c r="X191" i="4"/>
  <c r="Y191" i="4"/>
  <c r="Z191" i="4"/>
  <c r="AA191" i="4"/>
  <c r="AB191" i="4"/>
  <c r="AC191" i="4"/>
  <c r="AD191" i="4"/>
  <c r="AE191" i="4"/>
  <c r="AF191" i="4"/>
  <c r="AG191" i="4"/>
  <c r="AH191" i="4"/>
  <c r="AI191" i="4"/>
  <c r="AJ191" i="4"/>
  <c r="AK191" i="4"/>
  <c r="AL191" i="4"/>
  <c r="AM191" i="4"/>
  <c r="AN191" i="4"/>
  <c r="AO191" i="4"/>
  <c r="AP191" i="4"/>
  <c r="AQ191" i="4"/>
  <c r="AR191" i="4"/>
  <c r="AS191" i="4"/>
  <c r="AT191" i="4"/>
  <c r="AU191" i="4"/>
  <c r="AV191" i="4"/>
  <c r="AW191" i="4"/>
  <c r="AX191" i="4"/>
  <c r="AY191" i="4"/>
  <c r="AZ191" i="4"/>
  <c r="BA191" i="4"/>
  <c r="BB191" i="4"/>
  <c r="BC191" i="4"/>
  <c r="BD191" i="4"/>
  <c r="BE191" i="4"/>
  <c r="BF191" i="4"/>
  <c r="BG191" i="4"/>
  <c r="BH191" i="4"/>
  <c r="BI191" i="4"/>
  <c r="BJ191" i="4"/>
  <c r="BK191" i="4"/>
  <c r="BL191" i="4"/>
  <c r="BM191" i="4"/>
  <c r="BN191" i="4"/>
  <c r="BO191" i="4"/>
  <c r="BP191" i="4"/>
  <c r="BQ191" i="4"/>
  <c r="BR191" i="4"/>
  <c r="BS191" i="4"/>
  <c r="BT191" i="4"/>
  <c r="BU191" i="4"/>
  <c r="BV191" i="4"/>
  <c r="BW191" i="4"/>
  <c r="BX191" i="4"/>
  <c r="BY191" i="4"/>
  <c r="BZ191" i="4"/>
  <c r="CA191" i="4"/>
  <c r="CB191" i="4"/>
  <c r="CC191" i="4"/>
  <c r="CD191" i="4"/>
  <c r="CE191" i="4"/>
  <c r="CF191" i="4"/>
  <c r="CG191" i="4"/>
  <c r="CH191" i="4"/>
  <c r="CI191" i="4"/>
  <c r="CJ191" i="4"/>
  <c r="CK191" i="4"/>
  <c r="CL191" i="4"/>
  <c r="CM191" i="4"/>
  <c r="CN191" i="4"/>
  <c r="CO191" i="4"/>
  <c r="CP191" i="4"/>
  <c r="CQ191" i="4"/>
  <c r="CR191" i="4"/>
  <c r="CS191" i="4"/>
  <c r="CT191" i="4"/>
  <c r="CU191" i="4"/>
  <c r="CV191" i="4"/>
  <c r="CW191" i="4"/>
  <c r="CX191" i="4"/>
  <c r="CY191" i="4"/>
  <c r="CZ191" i="4"/>
  <c r="DA191" i="4"/>
  <c r="DB191" i="4"/>
  <c r="DC191" i="4"/>
  <c r="DD191" i="4"/>
  <c r="DE191" i="4"/>
  <c r="DF191" i="4"/>
  <c r="DG191" i="4"/>
  <c r="DH191" i="4"/>
  <c r="DI191" i="4"/>
  <c r="DJ191" i="4"/>
  <c r="DK191" i="4"/>
  <c r="DL191" i="4"/>
  <c r="DM191" i="4"/>
  <c r="DN191" i="4"/>
  <c r="DO191" i="4"/>
  <c r="DP191" i="4"/>
  <c r="DQ191" i="4"/>
  <c r="DR191" i="4"/>
  <c r="DS191" i="4"/>
  <c r="DT191" i="4"/>
  <c r="DU191" i="4"/>
  <c r="DV191" i="4"/>
  <c r="DW191" i="4"/>
  <c r="DX191" i="4"/>
  <c r="DY191" i="4"/>
  <c r="DZ191" i="4"/>
  <c r="EA191" i="4"/>
  <c r="EB191" i="4"/>
  <c r="EC191" i="4"/>
  <c r="ED191" i="4"/>
  <c r="EE191" i="4"/>
  <c r="EF191" i="4"/>
  <c r="EG191" i="4"/>
  <c r="EH191" i="4"/>
  <c r="EI191" i="4"/>
  <c r="EJ191" i="4"/>
  <c r="EK191" i="4"/>
  <c r="EL191" i="4"/>
  <c r="EM191" i="4"/>
  <c r="EN191" i="4"/>
  <c r="EO191" i="4"/>
  <c r="EP191" i="4"/>
  <c r="EQ191" i="4"/>
  <c r="ER191" i="4"/>
  <c r="ES191" i="4"/>
  <c r="ET191" i="4"/>
  <c r="EU191" i="4"/>
  <c r="EV191" i="4"/>
  <c r="EW191" i="4"/>
  <c r="EX191" i="4"/>
  <c r="EY191" i="4"/>
  <c r="EZ191" i="4"/>
  <c r="FA191" i="4"/>
  <c r="FB191" i="4"/>
  <c r="FC191" i="4"/>
  <c r="FD191" i="4"/>
  <c r="FE191" i="4"/>
  <c r="FF191" i="4"/>
  <c r="FG191" i="4"/>
  <c r="FH191" i="4"/>
  <c r="FI191" i="4"/>
  <c r="FJ191" i="4"/>
  <c r="FK191" i="4"/>
  <c r="FL191" i="4"/>
  <c r="FM191" i="4"/>
  <c r="FN191" i="4"/>
  <c r="FO191" i="4"/>
  <c r="FP191" i="4"/>
  <c r="FQ191" i="4"/>
  <c r="FR191" i="4"/>
  <c r="FS191" i="4"/>
  <c r="FT191" i="4"/>
  <c r="FU191" i="4"/>
  <c r="FV191" i="4"/>
  <c r="FW191" i="4"/>
  <c r="FX191" i="4"/>
  <c r="FY191" i="4"/>
  <c r="FZ191" i="4"/>
  <c r="GA191" i="4"/>
  <c r="GB191" i="4"/>
  <c r="GC191" i="4"/>
  <c r="GD191" i="4"/>
  <c r="GE191" i="4"/>
  <c r="GF191" i="4"/>
  <c r="GG191" i="4"/>
  <c r="GH191" i="4"/>
  <c r="GI191" i="4"/>
  <c r="GJ191" i="4"/>
  <c r="GK191" i="4"/>
  <c r="GL191" i="4"/>
  <c r="GM191" i="4"/>
  <c r="GN191" i="4"/>
  <c r="GO191" i="4"/>
  <c r="GP191" i="4"/>
  <c r="GQ191" i="4"/>
  <c r="GR191" i="4"/>
  <c r="GS191" i="4"/>
  <c r="GT191" i="4"/>
  <c r="GU191" i="4"/>
  <c r="GV191" i="4"/>
  <c r="GW191" i="4"/>
  <c r="GX191" i="4"/>
  <c r="GY191" i="4"/>
  <c r="GZ191" i="4"/>
  <c r="HA191" i="4"/>
  <c r="HB191" i="4"/>
  <c r="HC191" i="4"/>
  <c r="HD191" i="4"/>
  <c r="HE191" i="4"/>
  <c r="HF191" i="4"/>
  <c r="HG191" i="4"/>
  <c r="HH191" i="4"/>
  <c r="HI191" i="4"/>
  <c r="HJ191" i="4"/>
  <c r="HK191" i="4"/>
  <c r="HL191" i="4"/>
  <c r="HM191" i="4"/>
  <c r="HN191" i="4"/>
  <c r="HO191" i="4"/>
  <c r="HP191" i="4"/>
  <c r="HQ191" i="4"/>
  <c r="HR191" i="4"/>
  <c r="HS191" i="4"/>
  <c r="HT191" i="4"/>
  <c r="HU191" i="4"/>
  <c r="HV191" i="4"/>
  <c r="HW191" i="4"/>
  <c r="HX191" i="4"/>
  <c r="HY191" i="4"/>
  <c r="HZ191" i="4"/>
  <c r="IA191" i="4"/>
  <c r="IB191" i="4"/>
  <c r="IC191" i="4"/>
  <c r="ID191" i="4"/>
  <c r="IE191" i="4"/>
  <c r="IF191" i="4"/>
  <c r="IG191" i="4"/>
  <c r="IH191" i="4"/>
  <c r="II191" i="4"/>
  <c r="IJ191" i="4"/>
  <c r="IK191" i="4"/>
  <c r="IL191" i="4"/>
  <c r="IM191" i="4"/>
  <c r="IN191" i="4"/>
  <c r="IO191" i="4"/>
  <c r="IP191" i="4"/>
  <c r="IQ191" i="4"/>
  <c r="IR191" i="4"/>
  <c r="IS191" i="4"/>
  <c r="IT191" i="4"/>
  <c r="IU191" i="4"/>
  <c r="IV191" i="4"/>
  <c r="A190" i="4"/>
  <c r="B190" i="4"/>
  <c r="C190" i="4"/>
  <c r="D190" i="4"/>
  <c r="E190" i="4"/>
  <c r="F190" i="4"/>
  <c r="G190" i="4"/>
  <c r="H190" i="4"/>
  <c r="I190" i="4"/>
  <c r="J190" i="4"/>
  <c r="K190" i="4"/>
  <c r="L190" i="4"/>
  <c r="M190" i="4"/>
  <c r="N190" i="4"/>
  <c r="O190" i="4"/>
  <c r="P190" i="4"/>
  <c r="Q190" i="4"/>
  <c r="R190" i="4"/>
  <c r="S190" i="4"/>
  <c r="T190" i="4"/>
  <c r="U190" i="4"/>
  <c r="V190" i="4"/>
  <c r="W190" i="4"/>
  <c r="X190" i="4"/>
  <c r="Y190" i="4"/>
  <c r="Z190" i="4"/>
  <c r="AA190" i="4"/>
  <c r="AB190" i="4"/>
  <c r="AC190" i="4"/>
  <c r="AD190" i="4"/>
  <c r="AE190" i="4"/>
  <c r="AF190" i="4"/>
  <c r="AG190" i="4"/>
  <c r="AH190" i="4"/>
  <c r="AI190" i="4"/>
  <c r="AJ190" i="4"/>
  <c r="AK190" i="4"/>
  <c r="AL190" i="4"/>
  <c r="AM190" i="4"/>
  <c r="AN190" i="4"/>
  <c r="AO190" i="4"/>
  <c r="AP190" i="4"/>
  <c r="AQ190" i="4"/>
  <c r="AR190" i="4"/>
  <c r="AS190" i="4"/>
  <c r="AT190" i="4"/>
  <c r="AU190" i="4"/>
  <c r="AV190" i="4"/>
  <c r="AW190" i="4"/>
  <c r="AX190" i="4"/>
  <c r="AY190" i="4"/>
  <c r="AZ190" i="4"/>
  <c r="BA190" i="4"/>
  <c r="BB190" i="4"/>
  <c r="BC190" i="4"/>
  <c r="BD190" i="4"/>
  <c r="BE190" i="4"/>
  <c r="BF190" i="4"/>
  <c r="BG190" i="4"/>
  <c r="BH190" i="4"/>
  <c r="BI190" i="4"/>
  <c r="BJ190" i="4"/>
  <c r="BK190" i="4"/>
  <c r="BL190" i="4"/>
  <c r="BM190" i="4"/>
  <c r="BN190" i="4"/>
  <c r="BO190" i="4"/>
  <c r="BP190" i="4"/>
  <c r="BQ190" i="4"/>
  <c r="BR190" i="4"/>
  <c r="BS190" i="4"/>
  <c r="BT190" i="4"/>
  <c r="BU190" i="4"/>
  <c r="BV190" i="4"/>
  <c r="BW190" i="4"/>
  <c r="BX190" i="4"/>
  <c r="BY190" i="4"/>
  <c r="BZ190" i="4"/>
  <c r="CA190" i="4"/>
  <c r="CB190" i="4"/>
  <c r="CC190" i="4"/>
  <c r="CD190" i="4"/>
  <c r="CE190" i="4"/>
  <c r="CF190" i="4"/>
  <c r="CG190" i="4"/>
  <c r="CH190" i="4"/>
  <c r="CI190" i="4"/>
  <c r="CJ190" i="4"/>
  <c r="CK190" i="4"/>
  <c r="CL190" i="4"/>
  <c r="CM190" i="4"/>
  <c r="CN190" i="4"/>
  <c r="CO190" i="4"/>
  <c r="CP190" i="4"/>
  <c r="CQ190" i="4"/>
  <c r="CR190" i="4"/>
  <c r="CS190" i="4"/>
  <c r="CT190" i="4"/>
  <c r="CU190" i="4"/>
  <c r="CV190" i="4"/>
  <c r="CW190" i="4"/>
  <c r="CX190" i="4"/>
  <c r="CY190" i="4"/>
  <c r="CZ190" i="4"/>
  <c r="DA190" i="4"/>
  <c r="DB190" i="4"/>
  <c r="DC190" i="4"/>
  <c r="DD190" i="4"/>
  <c r="DE190" i="4"/>
  <c r="DF190" i="4"/>
  <c r="DG190" i="4"/>
  <c r="DH190" i="4"/>
  <c r="DI190" i="4"/>
  <c r="DJ190" i="4"/>
  <c r="DK190" i="4"/>
  <c r="DL190" i="4"/>
  <c r="DM190" i="4"/>
  <c r="DN190" i="4"/>
  <c r="DO190" i="4"/>
  <c r="DP190" i="4"/>
  <c r="DQ190" i="4"/>
  <c r="DR190" i="4"/>
  <c r="DS190" i="4"/>
  <c r="DT190" i="4"/>
  <c r="DU190" i="4"/>
  <c r="DV190" i="4"/>
  <c r="DW190" i="4"/>
  <c r="DX190" i="4"/>
  <c r="DY190" i="4"/>
  <c r="DZ190" i="4"/>
  <c r="EA190" i="4"/>
  <c r="EB190" i="4"/>
  <c r="EC190" i="4"/>
  <c r="ED190" i="4"/>
  <c r="EE190" i="4"/>
  <c r="EF190" i="4"/>
  <c r="EG190" i="4"/>
  <c r="EH190" i="4"/>
  <c r="EI190" i="4"/>
  <c r="EJ190" i="4"/>
  <c r="EK190" i="4"/>
  <c r="EL190" i="4"/>
  <c r="EM190" i="4"/>
  <c r="EN190" i="4"/>
  <c r="EO190" i="4"/>
  <c r="EP190" i="4"/>
  <c r="EQ190" i="4"/>
  <c r="ER190" i="4"/>
  <c r="ES190" i="4"/>
  <c r="ET190" i="4"/>
  <c r="EU190" i="4"/>
  <c r="EV190" i="4"/>
  <c r="EW190" i="4"/>
  <c r="EX190" i="4"/>
  <c r="EY190" i="4"/>
  <c r="EZ190" i="4"/>
  <c r="FA190" i="4"/>
  <c r="FB190" i="4"/>
  <c r="FC190" i="4"/>
  <c r="FD190" i="4"/>
  <c r="FE190" i="4"/>
  <c r="FF190" i="4"/>
  <c r="FG190" i="4"/>
  <c r="FH190" i="4"/>
  <c r="FI190" i="4"/>
  <c r="FJ190" i="4"/>
  <c r="FK190" i="4"/>
  <c r="FL190" i="4"/>
  <c r="FM190" i="4"/>
  <c r="FN190" i="4"/>
  <c r="FO190" i="4"/>
  <c r="FP190" i="4"/>
  <c r="FQ190" i="4"/>
  <c r="FR190" i="4"/>
  <c r="FS190" i="4"/>
  <c r="FT190" i="4"/>
  <c r="FU190" i="4"/>
  <c r="FV190" i="4"/>
  <c r="FW190" i="4"/>
  <c r="FX190" i="4"/>
  <c r="FY190" i="4"/>
  <c r="FZ190" i="4"/>
  <c r="GA190" i="4"/>
  <c r="GB190" i="4"/>
  <c r="GC190" i="4"/>
  <c r="GD190" i="4"/>
  <c r="GE190" i="4"/>
  <c r="GF190" i="4"/>
  <c r="GG190" i="4"/>
  <c r="GH190" i="4"/>
  <c r="GI190" i="4"/>
  <c r="GJ190" i="4"/>
  <c r="GK190" i="4"/>
  <c r="GL190" i="4"/>
  <c r="GM190" i="4"/>
  <c r="GN190" i="4"/>
  <c r="GO190" i="4"/>
  <c r="GP190" i="4"/>
  <c r="GQ190" i="4"/>
  <c r="GR190" i="4"/>
  <c r="GS190" i="4"/>
  <c r="GT190" i="4"/>
  <c r="GU190" i="4"/>
  <c r="GV190" i="4"/>
  <c r="GW190" i="4"/>
  <c r="GX190" i="4"/>
  <c r="GY190" i="4"/>
  <c r="GZ190" i="4"/>
  <c r="HA190" i="4"/>
  <c r="HB190" i="4"/>
  <c r="HC190" i="4"/>
  <c r="HD190" i="4"/>
  <c r="HE190" i="4"/>
  <c r="HF190" i="4"/>
  <c r="HG190" i="4"/>
  <c r="HH190" i="4"/>
  <c r="HI190" i="4"/>
  <c r="HJ190" i="4"/>
  <c r="HK190" i="4"/>
  <c r="HL190" i="4"/>
  <c r="HM190" i="4"/>
  <c r="HN190" i="4"/>
  <c r="HO190" i="4"/>
  <c r="HP190" i="4"/>
  <c r="HQ190" i="4"/>
  <c r="HR190" i="4"/>
  <c r="HS190" i="4"/>
  <c r="HT190" i="4"/>
  <c r="HU190" i="4"/>
  <c r="HV190" i="4"/>
  <c r="HW190" i="4"/>
  <c r="HX190" i="4"/>
  <c r="HY190" i="4"/>
  <c r="HZ190" i="4"/>
  <c r="IA190" i="4"/>
  <c r="IB190" i="4"/>
  <c r="IC190" i="4"/>
  <c r="ID190" i="4"/>
  <c r="IE190" i="4"/>
  <c r="IF190" i="4"/>
  <c r="IG190" i="4"/>
  <c r="IH190" i="4"/>
  <c r="II190" i="4"/>
  <c r="IJ190" i="4"/>
  <c r="IK190" i="4"/>
  <c r="IL190" i="4"/>
  <c r="IM190" i="4"/>
  <c r="IN190" i="4"/>
  <c r="IO190" i="4"/>
  <c r="IP190" i="4"/>
  <c r="IQ190" i="4"/>
  <c r="IR190" i="4"/>
  <c r="IS190" i="4"/>
  <c r="IT190" i="4"/>
  <c r="IU190" i="4"/>
  <c r="IV190" i="4"/>
  <c r="A189" i="4"/>
  <c r="B189" i="4"/>
  <c r="C189" i="4"/>
  <c r="D189" i="4"/>
  <c r="E189" i="4"/>
  <c r="F189" i="4"/>
  <c r="G189" i="4"/>
  <c r="H189" i="4"/>
  <c r="I189" i="4"/>
  <c r="J189" i="4"/>
  <c r="K189" i="4"/>
  <c r="L189" i="4"/>
  <c r="M189" i="4"/>
  <c r="N189" i="4"/>
  <c r="O189" i="4"/>
  <c r="P189" i="4"/>
  <c r="Q189" i="4"/>
  <c r="R189" i="4"/>
  <c r="S189" i="4"/>
  <c r="T189" i="4"/>
  <c r="U189" i="4"/>
  <c r="V189" i="4"/>
  <c r="W189" i="4"/>
  <c r="X189" i="4"/>
  <c r="Y189" i="4"/>
  <c r="Z189" i="4"/>
  <c r="AA189" i="4"/>
  <c r="AB189" i="4"/>
  <c r="AC189" i="4"/>
  <c r="AD189" i="4"/>
  <c r="AE189" i="4"/>
  <c r="AF189" i="4"/>
  <c r="AG189" i="4"/>
  <c r="AH189" i="4"/>
  <c r="AI189" i="4"/>
  <c r="AJ189" i="4"/>
  <c r="AK189" i="4"/>
  <c r="AL189" i="4"/>
  <c r="AM189" i="4"/>
  <c r="AN189" i="4"/>
  <c r="AO189" i="4"/>
  <c r="AP189" i="4"/>
  <c r="AQ189" i="4"/>
  <c r="AR189" i="4"/>
  <c r="AS189" i="4"/>
  <c r="AT189" i="4"/>
  <c r="AU189" i="4"/>
  <c r="AV189" i="4"/>
  <c r="AW189" i="4"/>
  <c r="AX189" i="4"/>
  <c r="AY189" i="4"/>
  <c r="AZ189" i="4"/>
  <c r="BA189" i="4"/>
  <c r="BB189" i="4"/>
  <c r="BC189" i="4"/>
  <c r="BD189" i="4"/>
  <c r="BE189" i="4"/>
  <c r="BF189" i="4"/>
  <c r="BG189" i="4"/>
  <c r="BH189" i="4"/>
  <c r="BI189" i="4"/>
  <c r="BJ189" i="4"/>
  <c r="BK189" i="4"/>
  <c r="BL189" i="4"/>
  <c r="BM189" i="4"/>
  <c r="BN189" i="4"/>
  <c r="BO189" i="4"/>
  <c r="BP189" i="4"/>
  <c r="BQ189" i="4"/>
  <c r="BR189" i="4"/>
  <c r="BS189" i="4"/>
  <c r="BT189" i="4"/>
  <c r="BU189" i="4"/>
  <c r="BV189" i="4"/>
  <c r="BW189" i="4"/>
  <c r="BX189" i="4"/>
  <c r="BY189" i="4"/>
  <c r="BZ189" i="4"/>
  <c r="CA189" i="4"/>
  <c r="CB189" i="4"/>
  <c r="CC189" i="4"/>
  <c r="CD189" i="4"/>
  <c r="CE189" i="4"/>
  <c r="CF189" i="4"/>
  <c r="CG189" i="4"/>
  <c r="CH189" i="4"/>
  <c r="CI189" i="4"/>
  <c r="CJ189" i="4"/>
  <c r="CK189" i="4"/>
  <c r="CL189" i="4"/>
  <c r="CM189" i="4"/>
  <c r="CN189" i="4"/>
  <c r="CO189" i="4"/>
  <c r="CP189" i="4"/>
  <c r="CQ189" i="4"/>
  <c r="CR189" i="4"/>
  <c r="CS189" i="4"/>
  <c r="CT189" i="4"/>
  <c r="CU189" i="4"/>
  <c r="CV189" i="4"/>
  <c r="CW189" i="4"/>
  <c r="CX189" i="4"/>
  <c r="CY189" i="4"/>
  <c r="CZ189" i="4"/>
  <c r="DA189" i="4"/>
  <c r="DB189" i="4"/>
  <c r="DC189" i="4"/>
  <c r="DD189" i="4"/>
  <c r="DE189" i="4"/>
  <c r="DF189" i="4"/>
  <c r="DG189" i="4"/>
  <c r="DH189" i="4"/>
  <c r="DI189" i="4"/>
  <c r="DJ189" i="4"/>
  <c r="DK189" i="4"/>
  <c r="DL189" i="4"/>
  <c r="DM189" i="4"/>
  <c r="DN189" i="4"/>
  <c r="DO189" i="4"/>
  <c r="DP189" i="4"/>
  <c r="DQ189" i="4"/>
  <c r="DR189" i="4"/>
  <c r="DS189" i="4"/>
  <c r="DT189" i="4"/>
  <c r="DU189" i="4"/>
  <c r="DV189" i="4"/>
  <c r="DW189" i="4"/>
  <c r="DX189" i="4"/>
  <c r="DY189" i="4"/>
  <c r="DZ189" i="4"/>
  <c r="EA189" i="4"/>
  <c r="EB189" i="4"/>
  <c r="EC189" i="4"/>
  <c r="ED189" i="4"/>
  <c r="EE189" i="4"/>
  <c r="EF189" i="4"/>
  <c r="EG189" i="4"/>
  <c r="EH189" i="4"/>
  <c r="EI189" i="4"/>
  <c r="EJ189" i="4"/>
  <c r="EK189" i="4"/>
  <c r="EL189" i="4"/>
  <c r="EM189" i="4"/>
  <c r="EN189" i="4"/>
  <c r="EO189" i="4"/>
  <c r="EP189" i="4"/>
  <c r="EQ189" i="4"/>
  <c r="ER189" i="4"/>
  <c r="ES189" i="4"/>
  <c r="ET189" i="4"/>
  <c r="EU189" i="4"/>
  <c r="EV189" i="4"/>
  <c r="EW189" i="4"/>
  <c r="EX189" i="4"/>
  <c r="EY189" i="4"/>
  <c r="EZ189" i="4"/>
  <c r="FA189" i="4"/>
  <c r="FB189" i="4"/>
  <c r="FC189" i="4"/>
  <c r="FD189" i="4"/>
  <c r="FE189" i="4"/>
  <c r="FF189" i="4"/>
  <c r="FG189" i="4"/>
  <c r="FH189" i="4"/>
  <c r="FI189" i="4"/>
  <c r="FJ189" i="4"/>
  <c r="FK189" i="4"/>
  <c r="FL189" i="4"/>
  <c r="FM189" i="4"/>
  <c r="FN189" i="4"/>
  <c r="FO189" i="4"/>
  <c r="FP189" i="4"/>
  <c r="FQ189" i="4"/>
  <c r="FR189" i="4"/>
  <c r="FS189" i="4"/>
  <c r="FT189" i="4"/>
  <c r="FU189" i="4"/>
  <c r="FV189" i="4"/>
  <c r="FW189" i="4"/>
  <c r="FX189" i="4"/>
  <c r="FY189" i="4"/>
  <c r="FZ189" i="4"/>
  <c r="GA189" i="4"/>
  <c r="GB189" i="4"/>
  <c r="GC189" i="4"/>
  <c r="GD189" i="4"/>
  <c r="GE189" i="4"/>
  <c r="GF189" i="4"/>
  <c r="GG189" i="4"/>
  <c r="GH189" i="4"/>
  <c r="GI189" i="4"/>
  <c r="GJ189" i="4"/>
  <c r="GK189" i="4"/>
  <c r="GL189" i="4"/>
  <c r="GM189" i="4"/>
  <c r="GN189" i="4"/>
  <c r="GO189" i="4"/>
  <c r="GP189" i="4"/>
  <c r="GQ189" i="4"/>
  <c r="GR189" i="4"/>
  <c r="GS189" i="4"/>
  <c r="GT189" i="4"/>
  <c r="GU189" i="4"/>
  <c r="GV189" i="4"/>
  <c r="GW189" i="4"/>
  <c r="GX189" i="4"/>
  <c r="GY189" i="4"/>
  <c r="GZ189" i="4"/>
  <c r="HA189" i="4"/>
  <c r="HB189" i="4"/>
  <c r="HC189" i="4"/>
  <c r="HD189" i="4"/>
  <c r="HE189" i="4"/>
  <c r="HF189" i="4"/>
  <c r="HG189" i="4"/>
  <c r="HH189" i="4"/>
  <c r="HI189" i="4"/>
  <c r="HJ189" i="4"/>
  <c r="HK189" i="4"/>
  <c r="HL189" i="4"/>
  <c r="HM189" i="4"/>
  <c r="HN189" i="4"/>
  <c r="HO189" i="4"/>
  <c r="HP189" i="4"/>
  <c r="HQ189" i="4"/>
  <c r="HR189" i="4"/>
  <c r="HS189" i="4"/>
  <c r="HT189" i="4"/>
  <c r="HU189" i="4"/>
  <c r="HV189" i="4"/>
  <c r="HW189" i="4"/>
  <c r="HX189" i="4"/>
  <c r="HY189" i="4"/>
  <c r="HZ189" i="4"/>
  <c r="IA189" i="4"/>
  <c r="IB189" i="4"/>
  <c r="IC189" i="4"/>
  <c r="ID189" i="4"/>
  <c r="IE189" i="4"/>
  <c r="IF189" i="4"/>
  <c r="IG189" i="4"/>
  <c r="IH189" i="4"/>
  <c r="II189" i="4"/>
  <c r="IJ189" i="4"/>
  <c r="IK189" i="4"/>
  <c r="IL189" i="4"/>
  <c r="IM189" i="4"/>
  <c r="IN189" i="4"/>
  <c r="IO189" i="4"/>
  <c r="IP189" i="4"/>
  <c r="IQ189" i="4"/>
  <c r="IR189" i="4"/>
  <c r="IS189" i="4"/>
  <c r="IT189" i="4"/>
  <c r="IU189" i="4"/>
  <c r="IV189" i="4"/>
  <c r="A188" i="4"/>
  <c r="B188" i="4"/>
  <c r="C188" i="4"/>
  <c r="D188" i="4"/>
  <c r="E188" i="4"/>
  <c r="F188" i="4"/>
  <c r="G188" i="4"/>
  <c r="H188" i="4"/>
  <c r="I188" i="4"/>
  <c r="J188" i="4"/>
  <c r="K188" i="4"/>
  <c r="L188" i="4"/>
  <c r="M188" i="4"/>
  <c r="N188" i="4"/>
  <c r="O188" i="4"/>
  <c r="P188" i="4"/>
  <c r="Q188" i="4"/>
  <c r="R188" i="4"/>
  <c r="S188" i="4"/>
  <c r="T188" i="4"/>
  <c r="U188" i="4"/>
  <c r="V188" i="4"/>
  <c r="W188" i="4"/>
  <c r="X188" i="4"/>
  <c r="Y188" i="4"/>
  <c r="Z188" i="4"/>
  <c r="AA188" i="4"/>
  <c r="AB188" i="4"/>
  <c r="AC188" i="4"/>
  <c r="AD188" i="4"/>
  <c r="AE188" i="4"/>
  <c r="AF188" i="4"/>
  <c r="AG188" i="4"/>
  <c r="AH188" i="4"/>
  <c r="AI188" i="4"/>
  <c r="AJ188" i="4"/>
  <c r="AK188" i="4"/>
  <c r="AL188" i="4"/>
  <c r="AM188" i="4"/>
  <c r="AN188" i="4"/>
  <c r="AO188" i="4"/>
  <c r="AP188" i="4"/>
  <c r="AQ188" i="4"/>
  <c r="AR188" i="4"/>
  <c r="AS188" i="4"/>
  <c r="AT188" i="4"/>
  <c r="AU188" i="4"/>
  <c r="AV188" i="4"/>
  <c r="AW188" i="4"/>
  <c r="AX188" i="4"/>
  <c r="AY188" i="4"/>
  <c r="AZ188" i="4"/>
  <c r="BA188" i="4"/>
  <c r="BB188" i="4"/>
  <c r="BC188" i="4"/>
  <c r="BD188" i="4"/>
  <c r="BE188" i="4"/>
  <c r="BF188" i="4"/>
  <c r="BG188" i="4"/>
  <c r="BH188" i="4"/>
  <c r="BI188" i="4"/>
  <c r="BJ188" i="4"/>
  <c r="BK188" i="4"/>
  <c r="BL188" i="4"/>
  <c r="BM188" i="4"/>
  <c r="BN188" i="4"/>
  <c r="BO188" i="4"/>
  <c r="BP188" i="4"/>
  <c r="BQ188" i="4"/>
  <c r="BR188" i="4"/>
  <c r="BS188" i="4"/>
  <c r="BT188" i="4"/>
  <c r="BU188" i="4"/>
  <c r="BV188" i="4"/>
  <c r="BW188" i="4"/>
  <c r="BX188" i="4"/>
  <c r="BY188" i="4"/>
  <c r="BZ188" i="4"/>
  <c r="CA188" i="4"/>
  <c r="CB188" i="4"/>
  <c r="CC188" i="4"/>
  <c r="CD188" i="4"/>
  <c r="CE188" i="4"/>
  <c r="CF188" i="4"/>
  <c r="CG188" i="4"/>
  <c r="CH188" i="4"/>
  <c r="CI188" i="4"/>
  <c r="CJ188" i="4"/>
  <c r="CK188" i="4"/>
  <c r="CL188" i="4"/>
  <c r="CM188" i="4"/>
  <c r="CN188" i="4"/>
  <c r="CO188" i="4"/>
  <c r="CP188" i="4"/>
  <c r="CQ188" i="4"/>
  <c r="CR188" i="4"/>
  <c r="CS188" i="4"/>
  <c r="CT188" i="4"/>
  <c r="CU188" i="4"/>
  <c r="CV188" i="4"/>
  <c r="CW188" i="4"/>
  <c r="CX188" i="4"/>
  <c r="CY188" i="4"/>
  <c r="CZ188" i="4"/>
  <c r="DA188" i="4"/>
  <c r="DB188" i="4"/>
  <c r="DC188" i="4"/>
  <c r="DD188" i="4"/>
  <c r="DE188" i="4"/>
  <c r="DF188" i="4"/>
  <c r="DG188" i="4"/>
  <c r="DH188" i="4"/>
  <c r="DI188" i="4"/>
  <c r="DJ188" i="4"/>
  <c r="DK188" i="4"/>
  <c r="DL188" i="4"/>
  <c r="DM188" i="4"/>
  <c r="DN188" i="4"/>
  <c r="DO188" i="4"/>
  <c r="DP188" i="4"/>
  <c r="DQ188" i="4"/>
  <c r="DR188" i="4"/>
  <c r="DS188" i="4"/>
  <c r="DT188" i="4"/>
  <c r="DU188" i="4"/>
  <c r="DV188" i="4"/>
  <c r="DW188" i="4"/>
  <c r="DX188" i="4"/>
  <c r="DY188" i="4"/>
  <c r="DZ188" i="4"/>
  <c r="EA188" i="4"/>
  <c r="EB188" i="4"/>
  <c r="EC188" i="4"/>
  <c r="ED188" i="4"/>
  <c r="EE188" i="4"/>
  <c r="EF188" i="4"/>
  <c r="EG188" i="4"/>
  <c r="EH188" i="4"/>
  <c r="EI188" i="4"/>
  <c r="EJ188" i="4"/>
  <c r="EK188" i="4"/>
  <c r="EL188" i="4"/>
  <c r="EM188" i="4"/>
  <c r="EN188" i="4"/>
  <c r="EO188" i="4"/>
  <c r="EP188" i="4"/>
  <c r="EQ188" i="4"/>
  <c r="ER188" i="4"/>
  <c r="ES188" i="4"/>
  <c r="ET188" i="4"/>
  <c r="EU188" i="4"/>
  <c r="EV188" i="4"/>
  <c r="EW188" i="4"/>
  <c r="EX188" i="4"/>
  <c r="EY188" i="4"/>
  <c r="EZ188" i="4"/>
  <c r="FA188" i="4"/>
  <c r="FB188" i="4"/>
  <c r="FC188" i="4"/>
  <c r="FD188" i="4"/>
  <c r="FE188" i="4"/>
  <c r="FF188" i="4"/>
  <c r="FG188" i="4"/>
  <c r="FH188" i="4"/>
  <c r="FI188" i="4"/>
  <c r="FJ188" i="4"/>
  <c r="FK188" i="4"/>
  <c r="FL188" i="4"/>
  <c r="FM188" i="4"/>
  <c r="FN188" i="4"/>
  <c r="FO188" i="4"/>
  <c r="FP188" i="4"/>
  <c r="FQ188" i="4"/>
  <c r="FR188" i="4"/>
  <c r="FS188" i="4"/>
  <c r="FT188" i="4"/>
  <c r="FU188" i="4"/>
  <c r="FV188" i="4"/>
  <c r="FW188" i="4"/>
  <c r="FX188" i="4"/>
  <c r="FY188" i="4"/>
  <c r="FZ188" i="4"/>
  <c r="GA188" i="4"/>
  <c r="GB188" i="4"/>
  <c r="GC188" i="4"/>
  <c r="GD188" i="4"/>
  <c r="GE188" i="4"/>
  <c r="GF188" i="4"/>
  <c r="GG188" i="4"/>
  <c r="GH188" i="4"/>
  <c r="GI188" i="4"/>
  <c r="GJ188" i="4"/>
  <c r="GK188" i="4"/>
  <c r="GL188" i="4"/>
  <c r="GM188" i="4"/>
  <c r="GN188" i="4"/>
  <c r="GO188" i="4"/>
  <c r="GP188" i="4"/>
  <c r="GQ188" i="4"/>
  <c r="GR188" i="4"/>
  <c r="GS188" i="4"/>
  <c r="GT188" i="4"/>
  <c r="GU188" i="4"/>
  <c r="GV188" i="4"/>
  <c r="GW188" i="4"/>
  <c r="GX188" i="4"/>
  <c r="GY188" i="4"/>
  <c r="GZ188" i="4"/>
  <c r="HA188" i="4"/>
  <c r="HB188" i="4"/>
  <c r="HC188" i="4"/>
  <c r="HD188" i="4"/>
  <c r="HE188" i="4"/>
  <c r="HF188" i="4"/>
  <c r="HG188" i="4"/>
  <c r="HH188" i="4"/>
  <c r="HI188" i="4"/>
  <c r="HJ188" i="4"/>
  <c r="HK188" i="4"/>
  <c r="HL188" i="4"/>
  <c r="HM188" i="4"/>
  <c r="HN188" i="4"/>
  <c r="HO188" i="4"/>
  <c r="HP188" i="4"/>
  <c r="HQ188" i="4"/>
  <c r="HR188" i="4"/>
  <c r="HS188" i="4"/>
  <c r="HT188" i="4"/>
  <c r="HU188" i="4"/>
  <c r="HV188" i="4"/>
  <c r="HW188" i="4"/>
  <c r="HX188" i="4"/>
  <c r="HY188" i="4"/>
  <c r="HZ188" i="4"/>
  <c r="IA188" i="4"/>
  <c r="IB188" i="4"/>
  <c r="IC188" i="4"/>
  <c r="ID188" i="4"/>
  <c r="IE188" i="4"/>
  <c r="IF188" i="4"/>
  <c r="IG188" i="4"/>
  <c r="IH188" i="4"/>
  <c r="II188" i="4"/>
  <c r="IJ188" i="4"/>
  <c r="IK188" i="4"/>
  <c r="IL188" i="4"/>
  <c r="IM188" i="4"/>
  <c r="IN188" i="4"/>
  <c r="IO188" i="4"/>
  <c r="IP188" i="4"/>
  <c r="IQ188" i="4"/>
  <c r="IR188" i="4"/>
  <c r="IS188" i="4"/>
  <c r="IT188" i="4"/>
  <c r="IU188" i="4"/>
  <c r="IV188" i="4"/>
  <c r="A187" i="4"/>
  <c r="B187" i="4"/>
  <c r="C187" i="4"/>
  <c r="D187" i="4"/>
  <c r="E187" i="4"/>
  <c r="F187" i="4"/>
  <c r="H187" i="4"/>
  <c r="I187" i="4"/>
  <c r="J187" i="4"/>
  <c r="K187" i="4"/>
  <c r="L187" i="4"/>
  <c r="M187" i="4"/>
  <c r="N187" i="4"/>
  <c r="O187" i="4"/>
  <c r="P187" i="4"/>
  <c r="Q187" i="4"/>
  <c r="R187" i="4"/>
  <c r="S187" i="4"/>
  <c r="T187" i="4"/>
  <c r="U187" i="4"/>
  <c r="V187" i="4"/>
  <c r="W187" i="4"/>
  <c r="X187" i="4"/>
  <c r="Y187" i="4"/>
  <c r="Z187" i="4"/>
  <c r="AA187" i="4"/>
  <c r="AB187" i="4"/>
  <c r="AC187" i="4"/>
  <c r="AD187" i="4"/>
  <c r="AE187" i="4"/>
  <c r="AF187" i="4"/>
  <c r="AG187" i="4"/>
  <c r="AH187" i="4"/>
  <c r="AI187" i="4"/>
  <c r="AJ187" i="4"/>
  <c r="AK187" i="4"/>
  <c r="AL187" i="4"/>
  <c r="AM187" i="4"/>
  <c r="AN187" i="4"/>
  <c r="AO187" i="4"/>
  <c r="AP187" i="4"/>
  <c r="AQ187" i="4"/>
  <c r="AR187" i="4"/>
  <c r="AS187" i="4"/>
  <c r="AT187" i="4"/>
  <c r="AU187" i="4"/>
  <c r="AV187" i="4"/>
  <c r="AW187" i="4"/>
  <c r="AX187" i="4"/>
  <c r="AY187" i="4"/>
  <c r="AZ187" i="4"/>
  <c r="BA187" i="4"/>
  <c r="BB187" i="4"/>
  <c r="BC187" i="4"/>
  <c r="BD187" i="4"/>
  <c r="BE187" i="4"/>
  <c r="BF187" i="4"/>
  <c r="BG187" i="4"/>
  <c r="BH187" i="4"/>
  <c r="BI187" i="4"/>
  <c r="BJ187" i="4"/>
  <c r="BK187" i="4"/>
  <c r="BL187" i="4"/>
  <c r="BM187" i="4"/>
  <c r="BN187" i="4"/>
  <c r="BO187" i="4"/>
  <c r="BP187" i="4"/>
  <c r="BQ187" i="4"/>
  <c r="BR187" i="4"/>
  <c r="BS187" i="4"/>
  <c r="BT187" i="4"/>
  <c r="BU187" i="4"/>
  <c r="BV187" i="4"/>
  <c r="BW187" i="4"/>
  <c r="BX187" i="4"/>
  <c r="BY187" i="4"/>
  <c r="BZ187" i="4"/>
  <c r="CA187" i="4"/>
  <c r="CB187" i="4"/>
  <c r="CC187" i="4"/>
  <c r="CD187" i="4"/>
  <c r="CE187" i="4"/>
  <c r="CF187" i="4"/>
  <c r="CG187" i="4"/>
  <c r="CH187" i="4"/>
  <c r="CI187" i="4"/>
  <c r="CJ187" i="4"/>
  <c r="CK187" i="4"/>
  <c r="CL187" i="4"/>
  <c r="CM187" i="4"/>
  <c r="CN187" i="4"/>
  <c r="CO187" i="4"/>
  <c r="CP187" i="4"/>
  <c r="CQ187" i="4"/>
  <c r="CR187" i="4"/>
  <c r="CS187" i="4"/>
  <c r="CT187" i="4"/>
  <c r="CU187" i="4"/>
  <c r="CV187" i="4"/>
  <c r="CW187" i="4"/>
  <c r="CX187" i="4"/>
  <c r="CY187" i="4"/>
  <c r="CZ187" i="4"/>
  <c r="DA187" i="4"/>
  <c r="DB187" i="4"/>
  <c r="DC187" i="4"/>
  <c r="DD187" i="4"/>
  <c r="DE187" i="4"/>
  <c r="DF187" i="4"/>
  <c r="DG187" i="4"/>
  <c r="DH187" i="4"/>
  <c r="DI187" i="4"/>
  <c r="DJ187" i="4"/>
  <c r="DK187" i="4"/>
  <c r="DL187" i="4"/>
  <c r="DM187" i="4"/>
  <c r="DN187" i="4"/>
  <c r="DO187" i="4"/>
  <c r="DP187" i="4"/>
  <c r="DQ187" i="4"/>
  <c r="DR187" i="4"/>
  <c r="DS187" i="4"/>
  <c r="DT187" i="4"/>
  <c r="DU187" i="4"/>
  <c r="DV187" i="4"/>
  <c r="DW187" i="4"/>
  <c r="DX187" i="4"/>
  <c r="DY187" i="4"/>
  <c r="DZ187" i="4"/>
  <c r="EA187" i="4"/>
  <c r="EB187" i="4"/>
  <c r="EC187" i="4"/>
  <c r="ED187" i="4"/>
  <c r="EE187" i="4"/>
  <c r="EF187" i="4"/>
  <c r="EG187" i="4"/>
  <c r="EH187" i="4"/>
  <c r="EI187" i="4"/>
  <c r="EJ187" i="4"/>
  <c r="EK187" i="4"/>
  <c r="EL187" i="4"/>
  <c r="EM187" i="4"/>
  <c r="EN187" i="4"/>
  <c r="EO187" i="4"/>
  <c r="EP187" i="4"/>
  <c r="EQ187" i="4"/>
  <c r="ER187" i="4"/>
  <c r="ES187" i="4"/>
  <c r="ET187" i="4"/>
  <c r="EU187" i="4"/>
  <c r="EV187" i="4"/>
  <c r="EW187" i="4"/>
  <c r="EX187" i="4"/>
  <c r="EY187" i="4"/>
  <c r="EZ187" i="4"/>
  <c r="FA187" i="4"/>
  <c r="FB187" i="4"/>
  <c r="FC187" i="4"/>
  <c r="FD187" i="4"/>
  <c r="FE187" i="4"/>
  <c r="FF187" i="4"/>
  <c r="FG187" i="4"/>
  <c r="FH187" i="4"/>
  <c r="FI187" i="4"/>
  <c r="FJ187" i="4"/>
  <c r="FK187" i="4"/>
  <c r="FL187" i="4"/>
  <c r="FM187" i="4"/>
  <c r="FN187" i="4"/>
  <c r="FO187" i="4"/>
  <c r="FP187" i="4"/>
  <c r="FQ187" i="4"/>
  <c r="FR187" i="4"/>
  <c r="FS187" i="4"/>
  <c r="FT187" i="4"/>
  <c r="FU187" i="4"/>
  <c r="FV187" i="4"/>
  <c r="FW187" i="4"/>
  <c r="FX187" i="4"/>
  <c r="FY187" i="4"/>
  <c r="FZ187" i="4"/>
  <c r="GA187" i="4"/>
  <c r="GB187" i="4"/>
  <c r="GC187" i="4"/>
  <c r="GD187" i="4"/>
  <c r="GE187" i="4"/>
  <c r="GF187" i="4"/>
  <c r="GG187" i="4"/>
  <c r="GH187" i="4"/>
  <c r="GI187" i="4"/>
  <c r="GJ187" i="4"/>
  <c r="GK187" i="4"/>
  <c r="GL187" i="4"/>
  <c r="GM187" i="4"/>
  <c r="GN187" i="4"/>
  <c r="GO187" i="4"/>
  <c r="GP187" i="4"/>
  <c r="GQ187" i="4"/>
  <c r="GR187" i="4"/>
  <c r="GS187" i="4"/>
  <c r="GT187" i="4"/>
  <c r="GU187" i="4"/>
  <c r="GV187" i="4"/>
  <c r="GW187" i="4"/>
  <c r="GX187" i="4"/>
  <c r="GY187" i="4"/>
  <c r="GZ187" i="4"/>
  <c r="HA187" i="4"/>
  <c r="HB187" i="4"/>
  <c r="HC187" i="4"/>
  <c r="HD187" i="4"/>
  <c r="HE187" i="4"/>
  <c r="HF187" i="4"/>
  <c r="HG187" i="4"/>
  <c r="HH187" i="4"/>
  <c r="HI187" i="4"/>
  <c r="HJ187" i="4"/>
  <c r="HK187" i="4"/>
  <c r="HL187" i="4"/>
  <c r="HM187" i="4"/>
  <c r="HN187" i="4"/>
  <c r="HO187" i="4"/>
  <c r="HP187" i="4"/>
  <c r="HQ187" i="4"/>
  <c r="HR187" i="4"/>
  <c r="HS187" i="4"/>
  <c r="HT187" i="4"/>
  <c r="HU187" i="4"/>
  <c r="HV187" i="4"/>
  <c r="HW187" i="4"/>
  <c r="HX187" i="4"/>
  <c r="HY187" i="4"/>
  <c r="HZ187" i="4"/>
  <c r="IA187" i="4"/>
  <c r="IB187" i="4"/>
  <c r="IC187" i="4"/>
  <c r="ID187" i="4"/>
  <c r="IE187" i="4"/>
  <c r="IF187" i="4"/>
  <c r="IG187" i="4"/>
  <c r="IH187" i="4"/>
  <c r="II187" i="4"/>
  <c r="IJ187" i="4"/>
  <c r="IK187" i="4"/>
  <c r="IL187" i="4"/>
  <c r="IM187" i="4"/>
  <c r="IN187" i="4"/>
  <c r="IO187" i="4"/>
  <c r="IP187" i="4"/>
  <c r="IQ187" i="4"/>
  <c r="IR187" i="4"/>
  <c r="IS187" i="4"/>
  <c r="IT187" i="4"/>
  <c r="IU187" i="4"/>
  <c r="IV187" i="4"/>
  <c r="A186" i="4"/>
  <c r="B186" i="4"/>
  <c r="C186" i="4"/>
  <c r="D186" i="4"/>
  <c r="E186" i="4"/>
  <c r="F186" i="4"/>
  <c r="G186" i="4"/>
  <c r="I186" i="4"/>
  <c r="J186" i="4"/>
  <c r="K186" i="4"/>
  <c r="L186" i="4"/>
  <c r="M186" i="4"/>
  <c r="N186" i="4"/>
  <c r="O186" i="4"/>
  <c r="P186" i="4"/>
  <c r="Q186" i="4"/>
  <c r="R186" i="4"/>
  <c r="S186" i="4"/>
  <c r="T186" i="4"/>
  <c r="U186" i="4"/>
  <c r="V186" i="4"/>
  <c r="W186" i="4"/>
  <c r="X186" i="4"/>
  <c r="Y186" i="4"/>
  <c r="Z186" i="4"/>
  <c r="AA186" i="4"/>
  <c r="AB186" i="4"/>
  <c r="AC186" i="4"/>
  <c r="AD186" i="4"/>
  <c r="AE186" i="4"/>
  <c r="AF186" i="4"/>
  <c r="AG186" i="4"/>
  <c r="AH186" i="4"/>
  <c r="AI186" i="4"/>
  <c r="AJ186" i="4"/>
  <c r="AK186" i="4"/>
  <c r="AL186" i="4"/>
  <c r="AM186" i="4"/>
  <c r="AN186" i="4"/>
  <c r="AO186" i="4"/>
  <c r="AP186" i="4"/>
  <c r="AQ186" i="4"/>
  <c r="AR186" i="4"/>
  <c r="AS186" i="4"/>
  <c r="AT186" i="4"/>
  <c r="AU186" i="4"/>
  <c r="AV186" i="4"/>
  <c r="AW186" i="4"/>
  <c r="AX186" i="4"/>
  <c r="AY186" i="4"/>
  <c r="AZ186" i="4"/>
  <c r="BA186" i="4"/>
  <c r="BB186" i="4"/>
  <c r="BC186" i="4"/>
  <c r="BD186" i="4"/>
  <c r="BE186" i="4"/>
  <c r="BF186" i="4"/>
  <c r="BG186" i="4"/>
  <c r="BH186" i="4"/>
  <c r="BI186" i="4"/>
  <c r="BJ186" i="4"/>
  <c r="BK186" i="4"/>
  <c r="BL186" i="4"/>
  <c r="BM186" i="4"/>
  <c r="BN186" i="4"/>
  <c r="BO186" i="4"/>
  <c r="BP186" i="4"/>
  <c r="BQ186" i="4"/>
  <c r="BR186" i="4"/>
  <c r="BS186" i="4"/>
  <c r="BT186" i="4"/>
  <c r="BU186" i="4"/>
  <c r="BV186" i="4"/>
  <c r="BW186" i="4"/>
  <c r="BX186" i="4"/>
  <c r="BY186" i="4"/>
  <c r="BZ186" i="4"/>
  <c r="CA186" i="4"/>
  <c r="CB186" i="4"/>
  <c r="CC186" i="4"/>
  <c r="CD186" i="4"/>
  <c r="CE186" i="4"/>
  <c r="CF186" i="4"/>
  <c r="CG186" i="4"/>
  <c r="CH186" i="4"/>
  <c r="CI186" i="4"/>
  <c r="CJ186" i="4"/>
  <c r="CK186" i="4"/>
  <c r="CL186" i="4"/>
  <c r="CM186" i="4"/>
  <c r="CN186" i="4"/>
  <c r="CO186" i="4"/>
  <c r="CP186" i="4"/>
  <c r="CQ186" i="4"/>
  <c r="CR186" i="4"/>
  <c r="CS186" i="4"/>
  <c r="CT186" i="4"/>
  <c r="CU186" i="4"/>
  <c r="CV186" i="4"/>
  <c r="CW186" i="4"/>
  <c r="CX186" i="4"/>
  <c r="CY186" i="4"/>
  <c r="CZ186" i="4"/>
  <c r="DA186" i="4"/>
  <c r="DB186" i="4"/>
  <c r="DC186" i="4"/>
  <c r="DD186" i="4"/>
  <c r="DE186" i="4"/>
  <c r="DF186" i="4"/>
  <c r="DG186" i="4"/>
  <c r="DH186" i="4"/>
  <c r="DI186" i="4"/>
  <c r="DJ186" i="4"/>
  <c r="DK186" i="4"/>
  <c r="DL186" i="4"/>
  <c r="DM186" i="4"/>
  <c r="DN186" i="4"/>
  <c r="DO186" i="4"/>
  <c r="DP186" i="4"/>
  <c r="DQ186" i="4"/>
  <c r="DR186" i="4"/>
  <c r="DS186" i="4"/>
  <c r="DT186" i="4"/>
  <c r="DU186" i="4"/>
  <c r="DV186" i="4"/>
  <c r="DW186" i="4"/>
  <c r="DX186" i="4"/>
  <c r="DY186" i="4"/>
  <c r="DZ186" i="4"/>
  <c r="EA186" i="4"/>
  <c r="EB186" i="4"/>
  <c r="EC186" i="4"/>
  <c r="ED186" i="4"/>
  <c r="EE186" i="4"/>
  <c r="EF186" i="4"/>
  <c r="EG186" i="4"/>
  <c r="EH186" i="4"/>
  <c r="EI186" i="4"/>
  <c r="EJ186" i="4"/>
  <c r="EK186" i="4"/>
  <c r="EL186" i="4"/>
  <c r="EM186" i="4"/>
  <c r="EN186" i="4"/>
  <c r="EO186" i="4"/>
  <c r="EP186" i="4"/>
  <c r="EQ186" i="4"/>
  <c r="ER186" i="4"/>
  <c r="ES186" i="4"/>
  <c r="ET186" i="4"/>
  <c r="EU186" i="4"/>
  <c r="EV186" i="4"/>
  <c r="EW186" i="4"/>
  <c r="EX186" i="4"/>
  <c r="EY186" i="4"/>
  <c r="EZ186" i="4"/>
  <c r="FA186" i="4"/>
  <c r="FB186" i="4"/>
  <c r="FC186" i="4"/>
  <c r="FD186" i="4"/>
  <c r="FE186" i="4"/>
  <c r="FF186" i="4"/>
  <c r="FG186" i="4"/>
  <c r="FH186" i="4"/>
  <c r="FI186" i="4"/>
  <c r="FJ186" i="4"/>
  <c r="FK186" i="4"/>
  <c r="FL186" i="4"/>
  <c r="FM186" i="4"/>
  <c r="FN186" i="4"/>
  <c r="FO186" i="4"/>
  <c r="FP186" i="4"/>
  <c r="FQ186" i="4"/>
  <c r="FR186" i="4"/>
  <c r="FS186" i="4"/>
  <c r="FT186" i="4"/>
  <c r="FU186" i="4"/>
  <c r="FV186" i="4"/>
  <c r="FW186" i="4"/>
  <c r="FX186" i="4"/>
  <c r="FY186" i="4"/>
  <c r="FZ186" i="4"/>
  <c r="GA186" i="4"/>
  <c r="GB186" i="4"/>
  <c r="GC186" i="4"/>
  <c r="GD186" i="4"/>
  <c r="GE186" i="4"/>
  <c r="GF186" i="4"/>
  <c r="GG186" i="4"/>
  <c r="GH186" i="4"/>
  <c r="GI186" i="4"/>
  <c r="GJ186" i="4"/>
  <c r="GK186" i="4"/>
  <c r="GL186" i="4"/>
  <c r="GM186" i="4"/>
  <c r="GN186" i="4"/>
  <c r="GO186" i="4"/>
  <c r="GP186" i="4"/>
  <c r="GQ186" i="4"/>
  <c r="GR186" i="4"/>
  <c r="GS186" i="4"/>
  <c r="GT186" i="4"/>
  <c r="GU186" i="4"/>
  <c r="GV186" i="4"/>
  <c r="GW186" i="4"/>
  <c r="GX186" i="4"/>
  <c r="GY186" i="4"/>
  <c r="GZ186" i="4"/>
  <c r="HA186" i="4"/>
  <c r="HB186" i="4"/>
  <c r="HC186" i="4"/>
  <c r="HD186" i="4"/>
  <c r="HE186" i="4"/>
  <c r="HF186" i="4"/>
  <c r="HG186" i="4"/>
  <c r="HH186" i="4"/>
  <c r="HI186" i="4"/>
  <c r="HJ186" i="4"/>
  <c r="HK186" i="4"/>
  <c r="HL186" i="4"/>
  <c r="HM186" i="4"/>
  <c r="HN186" i="4"/>
  <c r="HO186" i="4"/>
  <c r="HP186" i="4"/>
  <c r="HQ186" i="4"/>
  <c r="HR186" i="4"/>
  <c r="HS186" i="4"/>
  <c r="HT186" i="4"/>
  <c r="HU186" i="4"/>
  <c r="HV186" i="4"/>
  <c r="HW186" i="4"/>
  <c r="HX186" i="4"/>
  <c r="HY186" i="4"/>
  <c r="HZ186" i="4"/>
  <c r="IA186" i="4"/>
  <c r="IB186" i="4"/>
  <c r="IC186" i="4"/>
  <c r="ID186" i="4"/>
  <c r="IE186" i="4"/>
  <c r="IF186" i="4"/>
  <c r="IG186" i="4"/>
  <c r="IH186" i="4"/>
  <c r="II186" i="4"/>
  <c r="IJ186" i="4"/>
  <c r="IK186" i="4"/>
  <c r="IL186" i="4"/>
  <c r="IM186" i="4"/>
  <c r="IN186" i="4"/>
  <c r="IO186" i="4"/>
  <c r="IP186" i="4"/>
  <c r="IQ186" i="4"/>
  <c r="IR186" i="4"/>
  <c r="IS186" i="4"/>
  <c r="IT186" i="4"/>
  <c r="IU186" i="4"/>
  <c r="IV186" i="4"/>
  <c r="A185" i="4"/>
  <c r="B185" i="4"/>
  <c r="C185" i="4"/>
  <c r="D185" i="4"/>
  <c r="E185" i="4"/>
  <c r="F185" i="4"/>
  <c r="G185" i="4"/>
  <c r="H185" i="4"/>
  <c r="I185" i="4"/>
  <c r="J185" i="4"/>
  <c r="K185" i="4"/>
  <c r="L185" i="4"/>
  <c r="M185" i="4"/>
  <c r="N185" i="4"/>
  <c r="O185" i="4"/>
  <c r="P185" i="4"/>
  <c r="Q185" i="4"/>
  <c r="R185" i="4"/>
  <c r="S185" i="4"/>
  <c r="T185" i="4"/>
  <c r="U185" i="4"/>
  <c r="V185" i="4"/>
  <c r="W185" i="4"/>
  <c r="X185" i="4"/>
  <c r="Y185" i="4"/>
  <c r="Z185" i="4"/>
  <c r="AA185" i="4"/>
  <c r="AB185" i="4"/>
  <c r="AC185" i="4"/>
  <c r="AD185" i="4"/>
  <c r="AE185" i="4"/>
  <c r="AF185" i="4"/>
  <c r="AG185" i="4"/>
  <c r="AH185" i="4"/>
  <c r="AI185" i="4"/>
  <c r="AJ185" i="4"/>
  <c r="AK185" i="4"/>
  <c r="AL185" i="4"/>
  <c r="AM185" i="4"/>
  <c r="AN185" i="4"/>
  <c r="AO185" i="4"/>
  <c r="AP185" i="4"/>
  <c r="AQ185" i="4"/>
  <c r="AR185" i="4"/>
  <c r="AS185" i="4"/>
  <c r="AT185" i="4"/>
  <c r="AU185" i="4"/>
  <c r="AV185" i="4"/>
  <c r="AW185" i="4"/>
  <c r="AX185" i="4"/>
  <c r="AY185" i="4"/>
  <c r="AZ185" i="4"/>
  <c r="BA185" i="4"/>
  <c r="BB185" i="4"/>
  <c r="BC185" i="4"/>
  <c r="BD185" i="4"/>
  <c r="BE185" i="4"/>
  <c r="BF185" i="4"/>
  <c r="BG185" i="4"/>
  <c r="BH185" i="4"/>
  <c r="BI185" i="4"/>
  <c r="BJ185" i="4"/>
  <c r="BK185" i="4"/>
  <c r="BL185" i="4"/>
  <c r="BM185" i="4"/>
  <c r="BN185" i="4"/>
  <c r="BO185" i="4"/>
  <c r="BP185" i="4"/>
  <c r="BQ185" i="4"/>
  <c r="BR185" i="4"/>
  <c r="BS185" i="4"/>
  <c r="BT185" i="4"/>
  <c r="BU185" i="4"/>
  <c r="BV185" i="4"/>
  <c r="BW185" i="4"/>
  <c r="BX185" i="4"/>
  <c r="BY185" i="4"/>
  <c r="BZ185" i="4"/>
  <c r="CA185" i="4"/>
  <c r="CB185" i="4"/>
  <c r="CC185" i="4"/>
  <c r="CD185" i="4"/>
  <c r="CE185" i="4"/>
  <c r="CF185" i="4"/>
  <c r="CG185" i="4"/>
  <c r="CH185" i="4"/>
  <c r="CI185" i="4"/>
  <c r="CJ185" i="4"/>
  <c r="CK185" i="4"/>
  <c r="CL185" i="4"/>
  <c r="CM185" i="4"/>
  <c r="CN185" i="4"/>
  <c r="CO185" i="4"/>
  <c r="CP185" i="4"/>
  <c r="CQ185" i="4"/>
  <c r="CR185" i="4"/>
  <c r="CS185" i="4"/>
  <c r="CT185" i="4"/>
  <c r="CU185" i="4"/>
  <c r="CV185" i="4"/>
  <c r="CW185" i="4"/>
  <c r="CX185" i="4"/>
  <c r="CY185" i="4"/>
  <c r="CZ185" i="4"/>
  <c r="DA185" i="4"/>
  <c r="DB185" i="4"/>
  <c r="DC185" i="4"/>
  <c r="DD185" i="4"/>
  <c r="DE185" i="4"/>
  <c r="DF185" i="4"/>
  <c r="DG185" i="4"/>
  <c r="DH185" i="4"/>
  <c r="DI185" i="4"/>
  <c r="DJ185" i="4"/>
  <c r="DK185" i="4"/>
  <c r="DL185" i="4"/>
  <c r="DM185" i="4"/>
  <c r="DN185" i="4"/>
  <c r="DO185" i="4"/>
  <c r="DP185" i="4"/>
  <c r="DQ185" i="4"/>
  <c r="DR185" i="4"/>
  <c r="DS185" i="4"/>
  <c r="DT185" i="4"/>
  <c r="DU185" i="4"/>
  <c r="DV185" i="4"/>
  <c r="DW185" i="4"/>
  <c r="DX185" i="4"/>
  <c r="DY185" i="4"/>
  <c r="DZ185" i="4"/>
  <c r="EA185" i="4"/>
  <c r="EB185" i="4"/>
  <c r="EC185" i="4"/>
  <c r="ED185" i="4"/>
  <c r="EE185" i="4"/>
  <c r="EF185" i="4"/>
  <c r="EG185" i="4"/>
  <c r="EH185" i="4"/>
  <c r="EI185" i="4"/>
  <c r="EJ185" i="4"/>
  <c r="EK185" i="4"/>
  <c r="EL185" i="4"/>
  <c r="EM185" i="4"/>
  <c r="EN185" i="4"/>
  <c r="EO185" i="4"/>
  <c r="EP185" i="4"/>
  <c r="EQ185" i="4"/>
  <c r="ER185" i="4"/>
  <c r="ES185" i="4"/>
  <c r="ET185" i="4"/>
  <c r="EU185" i="4"/>
  <c r="EV185" i="4"/>
  <c r="EW185" i="4"/>
  <c r="EX185" i="4"/>
  <c r="EY185" i="4"/>
  <c r="EZ185" i="4"/>
  <c r="FA185" i="4"/>
  <c r="FB185" i="4"/>
  <c r="FC185" i="4"/>
  <c r="FD185" i="4"/>
  <c r="FE185" i="4"/>
  <c r="FF185" i="4"/>
  <c r="FG185" i="4"/>
  <c r="FH185" i="4"/>
  <c r="FI185" i="4"/>
  <c r="FJ185" i="4"/>
  <c r="FK185" i="4"/>
  <c r="FL185" i="4"/>
  <c r="FM185" i="4"/>
  <c r="FN185" i="4"/>
  <c r="FO185" i="4"/>
  <c r="FP185" i="4"/>
  <c r="FQ185" i="4"/>
  <c r="FR185" i="4"/>
  <c r="FS185" i="4"/>
  <c r="FT185" i="4"/>
  <c r="FU185" i="4"/>
  <c r="FV185" i="4"/>
  <c r="FW185" i="4"/>
  <c r="FX185" i="4"/>
  <c r="FY185" i="4"/>
  <c r="FZ185" i="4"/>
  <c r="GA185" i="4"/>
  <c r="GB185" i="4"/>
  <c r="GC185" i="4"/>
  <c r="GD185" i="4"/>
  <c r="GE185" i="4"/>
  <c r="GF185" i="4"/>
  <c r="GG185" i="4"/>
  <c r="GH185" i="4"/>
  <c r="GI185" i="4"/>
  <c r="GJ185" i="4"/>
  <c r="GK185" i="4"/>
  <c r="GL185" i="4"/>
  <c r="GM185" i="4"/>
  <c r="GN185" i="4"/>
  <c r="GO185" i="4"/>
  <c r="GP185" i="4"/>
  <c r="GQ185" i="4"/>
  <c r="GR185" i="4"/>
  <c r="GS185" i="4"/>
  <c r="GT185" i="4"/>
  <c r="GU185" i="4"/>
  <c r="GV185" i="4"/>
  <c r="GW185" i="4"/>
  <c r="GX185" i="4"/>
  <c r="GY185" i="4"/>
  <c r="GZ185" i="4"/>
  <c r="HA185" i="4"/>
  <c r="HB185" i="4"/>
  <c r="HC185" i="4"/>
  <c r="HD185" i="4"/>
  <c r="HE185" i="4"/>
  <c r="HF185" i="4"/>
  <c r="HG185" i="4"/>
  <c r="HH185" i="4"/>
  <c r="HI185" i="4"/>
  <c r="HJ185" i="4"/>
  <c r="HK185" i="4"/>
  <c r="HL185" i="4"/>
  <c r="HM185" i="4"/>
  <c r="HN185" i="4"/>
  <c r="HO185" i="4"/>
  <c r="HP185" i="4"/>
  <c r="HQ185" i="4"/>
  <c r="HR185" i="4"/>
  <c r="HS185" i="4"/>
  <c r="HT185" i="4"/>
  <c r="HU185" i="4"/>
  <c r="HV185" i="4"/>
  <c r="HW185" i="4"/>
  <c r="HX185" i="4"/>
  <c r="HY185" i="4"/>
  <c r="HZ185" i="4"/>
  <c r="IA185" i="4"/>
  <c r="IB185" i="4"/>
  <c r="IC185" i="4"/>
  <c r="ID185" i="4"/>
  <c r="IE185" i="4"/>
  <c r="IF185" i="4"/>
  <c r="IG185" i="4"/>
  <c r="IH185" i="4"/>
  <c r="II185" i="4"/>
  <c r="IJ185" i="4"/>
  <c r="IK185" i="4"/>
  <c r="IL185" i="4"/>
  <c r="IM185" i="4"/>
  <c r="IN185" i="4"/>
  <c r="IO185" i="4"/>
  <c r="IP185" i="4"/>
  <c r="IQ185" i="4"/>
  <c r="IR185" i="4"/>
  <c r="IS185" i="4"/>
  <c r="IT185" i="4"/>
  <c r="IU185" i="4"/>
  <c r="IV185" i="4"/>
  <c r="A184" i="4"/>
  <c r="B184" i="4"/>
  <c r="C184" i="4"/>
  <c r="D184" i="4"/>
  <c r="E184" i="4"/>
  <c r="F184" i="4"/>
  <c r="G184" i="4"/>
  <c r="H184" i="4"/>
  <c r="I184" i="4"/>
  <c r="J184" i="4"/>
  <c r="K184" i="4"/>
  <c r="L184" i="4"/>
  <c r="M184" i="4"/>
  <c r="N184" i="4"/>
  <c r="O184" i="4"/>
  <c r="P184" i="4"/>
  <c r="Q184" i="4"/>
  <c r="R184" i="4"/>
  <c r="S184" i="4"/>
  <c r="T184" i="4"/>
  <c r="U184" i="4"/>
  <c r="V184" i="4"/>
  <c r="W184" i="4"/>
  <c r="X184" i="4"/>
  <c r="Y184" i="4"/>
  <c r="Z184" i="4"/>
  <c r="AA184" i="4"/>
  <c r="AB184" i="4"/>
  <c r="AC184" i="4"/>
  <c r="AD184" i="4"/>
  <c r="AE184" i="4"/>
  <c r="AF184" i="4"/>
  <c r="AG184" i="4"/>
  <c r="AH184" i="4"/>
  <c r="AI184" i="4"/>
  <c r="AJ184" i="4"/>
  <c r="AK184" i="4"/>
  <c r="AL184" i="4"/>
  <c r="AM184" i="4"/>
  <c r="AN184" i="4"/>
  <c r="AO184" i="4"/>
  <c r="AP184" i="4"/>
  <c r="AQ184" i="4"/>
  <c r="AR184" i="4"/>
  <c r="AS184" i="4"/>
  <c r="AT184" i="4"/>
  <c r="AU184" i="4"/>
  <c r="AV184" i="4"/>
  <c r="AW184" i="4"/>
  <c r="AX184" i="4"/>
  <c r="AY184" i="4"/>
  <c r="AZ184" i="4"/>
  <c r="BA184" i="4"/>
  <c r="BB184" i="4"/>
  <c r="BC184" i="4"/>
  <c r="BD184" i="4"/>
  <c r="BE184" i="4"/>
  <c r="BF184" i="4"/>
  <c r="BG184" i="4"/>
  <c r="BH184" i="4"/>
  <c r="BI184" i="4"/>
  <c r="BJ184" i="4"/>
  <c r="BK184" i="4"/>
  <c r="BL184" i="4"/>
  <c r="BM184" i="4"/>
  <c r="BN184" i="4"/>
  <c r="BO184" i="4"/>
  <c r="BP184" i="4"/>
  <c r="BQ184" i="4"/>
  <c r="BR184" i="4"/>
  <c r="BS184" i="4"/>
  <c r="BT184" i="4"/>
  <c r="BU184" i="4"/>
  <c r="BV184" i="4"/>
  <c r="BW184" i="4"/>
  <c r="BX184" i="4"/>
  <c r="BY184" i="4"/>
  <c r="BZ184" i="4"/>
  <c r="CA184" i="4"/>
  <c r="CB184" i="4"/>
  <c r="CC184" i="4"/>
  <c r="CD184" i="4"/>
  <c r="CE184" i="4"/>
  <c r="CF184" i="4"/>
  <c r="CG184" i="4"/>
  <c r="CH184" i="4"/>
  <c r="CI184" i="4"/>
  <c r="CJ184" i="4"/>
  <c r="CK184" i="4"/>
  <c r="CL184" i="4"/>
  <c r="CM184" i="4"/>
  <c r="CN184" i="4"/>
  <c r="CO184" i="4"/>
  <c r="CP184" i="4"/>
  <c r="CQ184" i="4"/>
  <c r="CR184" i="4"/>
  <c r="CS184" i="4"/>
  <c r="CT184" i="4"/>
  <c r="CU184" i="4"/>
  <c r="CV184" i="4"/>
  <c r="CW184" i="4"/>
  <c r="CX184" i="4"/>
  <c r="CY184" i="4"/>
  <c r="CZ184" i="4"/>
  <c r="DA184" i="4"/>
  <c r="DB184" i="4"/>
  <c r="DC184" i="4"/>
  <c r="DD184" i="4"/>
  <c r="DE184" i="4"/>
  <c r="DF184" i="4"/>
  <c r="DG184" i="4"/>
  <c r="DH184" i="4"/>
  <c r="DI184" i="4"/>
  <c r="DJ184" i="4"/>
  <c r="DK184" i="4"/>
  <c r="DL184" i="4"/>
  <c r="DM184" i="4"/>
  <c r="DN184" i="4"/>
  <c r="DO184" i="4"/>
  <c r="DP184" i="4"/>
  <c r="DQ184" i="4"/>
  <c r="DR184" i="4"/>
  <c r="DS184" i="4"/>
  <c r="DT184" i="4"/>
  <c r="DU184" i="4"/>
  <c r="DV184" i="4"/>
  <c r="DW184" i="4"/>
  <c r="DX184" i="4"/>
  <c r="DY184" i="4"/>
  <c r="DZ184" i="4"/>
  <c r="EA184" i="4"/>
  <c r="EB184" i="4"/>
  <c r="EC184" i="4"/>
  <c r="ED184" i="4"/>
  <c r="EE184" i="4"/>
  <c r="EF184" i="4"/>
  <c r="EG184" i="4"/>
  <c r="EH184" i="4"/>
  <c r="EI184" i="4"/>
  <c r="EJ184" i="4"/>
  <c r="EK184" i="4"/>
  <c r="EL184" i="4"/>
  <c r="EM184" i="4"/>
  <c r="EN184" i="4"/>
  <c r="EO184" i="4"/>
  <c r="EP184" i="4"/>
  <c r="EQ184" i="4"/>
  <c r="ER184" i="4"/>
  <c r="ES184" i="4"/>
  <c r="ET184" i="4"/>
  <c r="EU184" i="4"/>
  <c r="EV184" i="4"/>
  <c r="EW184" i="4"/>
  <c r="EX184" i="4"/>
  <c r="EY184" i="4"/>
  <c r="EZ184" i="4"/>
  <c r="FA184" i="4"/>
  <c r="FB184" i="4"/>
  <c r="FC184" i="4"/>
  <c r="FD184" i="4"/>
  <c r="FE184" i="4"/>
  <c r="FF184" i="4"/>
  <c r="FG184" i="4"/>
  <c r="FH184" i="4"/>
  <c r="FI184" i="4"/>
  <c r="FJ184" i="4"/>
  <c r="FK184" i="4"/>
  <c r="FL184" i="4"/>
  <c r="FM184" i="4"/>
  <c r="FN184" i="4"/>
  <c r="FO184" i="4"/>
  <c r="FP184" i="4"/>
  <c r="FQ184" i="4"/>
  <c r="FR184" i="4"/>
  <c r="FS184" i="4"/>
  <c r="FT184" i="4"/>
  <c r="FU184" i="4"/>
  <c r="FV184" i="4"/>
  <c r="FW184" i="4"/>
  <c r="FX184" i="4"/>
  <c r="FY184" i="4"/>
  <c r="FZ184" i="4"/>
  <c r="GA184" i="4"/>
  <c r="GB184" i="4"/>
  <c r="GC184" i="4"/>
  <c r="GD184" i="4"/>
  <c r="GE184" i="4"/>
  <c r="GF184" i="4"/>
  <c r="GG184" i="4"/>
  <c r="GH184" i="4"/>
  <c r="GI184" i="4"/>
  <c r="GJ184" i="4"/>
  <c r="GK184" i="4"/>
  <c r="GL184" i="4"/>
  <c r="GM184" i="4"/>
  <c r="GN184" i="4"/>
  <c r="GO184" i="4"/>
  <c r="GP184" i="4"/>
  <c r="GQ184" i="4"/>
  <c r="GR184" i="4"/>
  <c r="GS184" i="4"/>
  <c r="GT184" i="4"/>
  <c r="GU184" i="4"/>
  <c r="GV184" i="4"/>
  <c r="GW184" i="4"/>
  <c r="GX184" i="4"/>
  <c r="GY184" i="4"/>
  <c r="GZ184" i="4"/>
  <c r="HA184" i="4"/>
  <c r="HB184" i="4"/>
  <c r="HC184" i="4"/>
  <c r="HD184" i="4"/>
  <c r="HE184" i="4"/>
  <c r="HF184" i="4"/>
  <c r="HG184" i="4"/>
  <c r="HH184" i="4"/>
  <c r="HI184" i="4"/>
  <c r="HJ184" i="4"/>
  <c r="HK184" i="4"/>
  <c r="HL184" i="4"/>
  <c r="HM184" i="4"/>
  <c r="HN184" i="4"/>
  <c r="HO184" i="4"/>
  <c r="HP184" i="4"/>
  <c r="HQ184" i="4"/>
  <c r="HR184" i="4"/>
  <c r="HS184" i="4"/>
  <c r="HT184" i="4"/>
  <c r="HU184" i="4"/>
  <c r="HV184" i="4"/>
  <c r="HW184" i="4"/>
  <c r="HX184" i="4"/>
  <c r="HY184" i="4"/>
  <c r="HZ184" i="4"/>
  <c r="IA184" i="4"/>
  <c r="IB184" i="4"/>
  <c r="IC184" i="4"/>
  <c r="ID184" i="4"/>
  <c r="IE184" i="4"/>
  <c r="IF184" i="4"/>
  <c r="IG184" i="4"/>
  <c r="IH184" i="4"/>
  <c r="II184" i="4"/>
  <c r="IJ184" i="4"/>
  <c r="IK184" i="4"/>
  <c r="IL184" i="4"/>
  <c r="IM184" i="4"/>
  <c r="IN184" i="4"/>
  <c r="IO184" i="4"/>
  <c r="IP184" i="4"/>
  <c r="IQ184" i="4"/>
  <c r="IR184" i="4"/>
  <c r="IS184" i="4"/>
  <c r="IT184" i="4"/>
  <c r="IU184" i="4"/>
  <c r="IV184" i="4"/>
  <c r="A183" i="4"/>
  <c r="B183" i="4"/>
  <c r="C183" i="4"/>
  <c r="D183" i="4"/>
  <c r="E183" i="4"/>
  <c r="F183" i="4"/>
  <c r="G183" i="4"/>
  <c r="H183" i="4"/>
  <c r="I183" i="4"/>
  <c r="J183" i="4"/>
  <c r="K183" i="4"/>
  <c r="L183" i="4"/>
  <c r="M183" i="4"/>
  <c r="N183" i="4"/>
  <c r="O183" i="4"/>
  <c r="P183" i="4"/>
  <c r="Q183" i="4"/>
  <c r="R183" i="4"/>
  <c r="S183" i="4"/>
  <c r="T183" i="4"/>
  <c r="U183" i="4"/>
  <c r="V183" i="4"/>
  <c r="W183" i="4"/>
  <c r="X183" i="4"/>
  <c r="Y183" i="4"/>
  <c r="Z183" i="4"/>
  <c r="AA183" i="4"/>
  <c r="AB183" i="4"/>
  <c r="AC183" i="4"/>
  <c r="AD183" i="4"/>
  <c r="AE183" i="4"/>
  <c r="AF183" i="4"/>
  <c r="AG183" i="4"/>
  <c r="AH183" i="4"/>
  <c r="AI183" i="4"/>
  <c r="AJ183" i="4"/>
  <c r="AK183" i="4"/>
  <c r="AL183" i="4"/>
  <c r="AM183" i="4"/>
  <c r="AN183" i="4"/>
  <c r="AO183" i="4"/>
  <c r="AP183" i="4"/>
  <c r="AQ183" i="4"/>
  <c r="AR183" i="4"/>
  <c r="AS183" i="4"/>
  <c r="AT183" i="4"/>
  <c r="AU183" i="4"/>
  <c r="AV183" i="4"/>
  <c r="AW183" i="4"/>
  <c r="AX183" i="4"/>
  <c r="AY183" i="4"/>
  <c r="AZ183" i="4"/>
  <c r="BA183" i="4"/>
  <c r="BB183" i="4"/>
  <c r="BC183" i="4"/>
  <c r="BD183" i="4"/>
  <c r="BE183" i="4"/>
  <c r="BF183" i="4"/>
  <c r="BG183" i="4"/>
  <c r="BH183" i="4"/>
  <c r="BI183" i="4"/>
  <c r="BJ183" i="4"/>
  <c r="BK183" i="4"/>
  <c r="BL183" i="4"/>
  <c r="BM183" i="4"/>
  <c r="BN183" i="4"/>
  <c r="BO183" i="4"/>
  <c r="BP183" i="4"/>
  <c r="BQ183" i="4"/>
  <c r="BR183" i="4"/>
  <c r="BS183" i="4"/>
  <c r="BT183" i="4"/>
  <c r="BU183" i="4"/>
  <c r="BV183" i="4"/>
  <c r="BW183" i="4"/>
  <c r="BX183" i="4"/>
  <c r="BY183" i="4"/>
  <c r="BZ183" i="4"/>
  <c r="CA183" i="4"/>
  <c r="CB183" i="4"/>
  <c r="CC183" i="4"/>
  <c r="CD183" i="4"/>
  <c r="CE183" i="4"/>
  <c r="CF183" i="4"/>
  <c r="CG183" i="4"/>
  <c r="CH183" i="4"/>
  <c r="CI183" i="4"/>
  <c r="CJ183" i="4"/>
  <c r="CK183" i="4"/>
  <c r="CL183" i="4"/>
  <c r="CM183" i="4"/>
  <c r="CN183" i="4"/>
  <c r="CO183" i="4"/>
  <c r="CP183" i="4"/>
  <c r="CQ183" i="4"/>
  <c r="CR183" i="4"/>
  <c r="CS183" i="4"/>
  <c r="CT183" i="4"/>
  <c r="CU183" i="4"/>
  <c r="CV183" i="4"/>
  <c r="CW183" i="4"/>
  <c r="CX183" i="4"/>
  <c r="CY183" i="4"/>
  <c r="CZ183" i="4"/>
  <c r="DA183" i="4"/>
  <c r="DB183" i="4"/>
  <c r="DC183" i="4"/>
  <c r="DD183" i="4"/>
  <c r="DE183" i="4"/>
  <c r="DF183" i="4"/>
  <c r="DG183" i="4"/>
  <c r="DH183" i="4"/>
  <c r="DI183" i="4"/>
  <c r="DJ183" i="4"/>
  <c r="DK183" i="4"/>
  <c r="DL183" i="4"/>
  <c r="DM183" i="4"/>
  <c r="DN183" i="4"/>
  <c r="DO183" i="4"/>
  <c r="DP183" i="4"/>
  <c r="DQ183" i="4"/>
  <c r="DR183" i="4"/>
  <c r="DS183" i="4"/>
  <c r="DT183" i="4"/>
  <c r="DU183" i="4"/>
  <c r="DV183" i="4"/>
  <c r="DW183" i="4"/>
  <c r="DX183" i="4"/>
  <c r="DY183" i="4"/>
  <c r="DZ183" i="4"/>
  <c r="EA183" i="4"/>
  <c r="EB183" i="4"/>
  <c r="EC183" i="4"/>
  <c r="ED183" i="4"/>
  <c r="EE183" i="4"/>
  <c r="EF183" i="4"/>
  <c r="EG183" i="4"/>
  <c r="EH183" i="4"/>
  <c r="EI183" i="4"/>
  <c r="EJ183" i="4"/>
  <c r="EK183" i="4"/>
  <c r="EL183" i="4"/>
  <c r="EM183" i="4"/>
  <c r="EN183" i="4"/>
  <c r="EO183" i="4"/>
  <c r="EP183" i="4"/>
  <c r="EQ183" i="4"/>
  <c r="ER183" i="4"/>
  <c r="ES183" i="4"/>
  <c r="ET183" i="4"/>
  <c r="EU183" i="4"/>
  <c r="EV183" i="4"/>
  <c r="EW183" i="4"/>
  <c r="EX183" i="4"/>
  <c r="EY183" i="4"/>
  <c r="EZ183" i="4"/>
  <c r="FA183" i="4"/>
  <c r="FB183" i="4"/>
  <c r="FC183" i="4"/>
  <c r="FD183" i="4"/>
  <c r="FE183" i="4"/>
  <c r="FF183" i="4"/>
  <c r="FG183" i="4"/>
  <c r="FH183" i="4"/>
  <c r="FI183" i="4"/>
  <c r="FJ183" i="4"/>
  <c r="FK183" i="4"/>
  <c r="FL183" i="4"/>
  <c r="FM183" i="4"/>
  <c r="FN183" i="4"/>
  <c r="FO183" i="4"/>
  <c r="FP183" i="4"/>
  <c r="FQ183" i="4"/>
  <c r="FR183" i="4"/>
  <c r="FS183" i="4"/>
  <c r="FT183" i="4"/>
  <c r="FU183" i="4"/>
  <c r="FV183" i="4"/>
  <c r="FW183" i="4"/>
  <c r="FX183" i="4"/>
  <c r="FY183" i="4"/>
  <c r="FZ183" i="4"/>
  <c r="GA183" i="4"/>
  <c r="GB183" i="4"/>
  <c r="GC183" i="4"/>
  <c r="GD183" i="4"/>
  <c r="GE183" i="4"/>
  <c r="GF183" i="4"/>
  <c r="GG183" i="4"/>
  <c r="GH183" i="4"/>
  <c r="GI183" i="4"/>
  <c r="GJ183" i="4"/>
  <c r="GK183" i="4"/>
  <c r="GL183" i="4"/>
  <c r="GM183" i="4"/>
  <c r="GN183" i="4"/>
  <c r="GO183" i="4"/>
  <c r="GP183" i="4"/>
  <c r="GQ183" i="4"/>
  <c r="GR183" i="4"/>
  <c r="GS183" i="4"/>
  <c r="GT183" i="4"/>
  <c r="GU183" i="4"/>
  <c r="GV183" i="4"/>
  <c r="GW183" i="4"/>
  <c r="GX183" i="4"/>
  <c r="GY183" i="4"/>
  <c r="GZ183" i="4"/>
  <c r="HA183" i="4"/>
  <c r="HB183" i="4"/>
  <c r="HC183" i="4"/>
  <c r="HD183" i="4"/>
  <c r="HE183" i="4"/>
  <c r="HF183" i="4"/>
  <c r="HG183" i="4"/>
  <c r="HH183" i="4"/>
  <c r="HI183" i="4"/>
  <c r="HJ183" i="4"/>
  <c r="HK183" i="4"/>
  <c r="HL183" i="4"/>
  <c r="HM183" i="4"/>
  <c r="HN183" i="4"/>
  <c r="HO183" i="4"/>
  <c r="HP183" i="4"/>
  <c r="HQ183" i="4"/>
  <c r="HR183" i="4"/>
  <c r="HS183" i="4"/>
  <c r="HT183" i="4"/>
  <c r="HU183" i="4"/>
  <c r="HV183" i="4"/>
  <c r="HW183" i="4"/>
  <c r="HX183" i="4"/>
  <c r="HY183" i="4"/>
  <c r="HZ183" i="4"/>
  <c r="IA183" i="4"/>
  <c r="IB183" i="4"/>
  <c r="IC183" i="4"/>
  <c r="ID183" i="4"/>
  <c r="IE183" i="4"/>
  <c r="IF183" i="4"/>
  <c r="IG183" i="4"/>
  <c r="IH183" i="4"/>
  <c r="II183" i="4"/>
  <c r="IJ183" i="4"/>
  <c r="IK183" i="4"/>
  <c r="IL183" i="4"/>
  <c r="IM183" i="4"/>
  <c r="IN183" i="4"/>
  <c r="IO183" i="4"/>
  <c r="IP183" i="4"/>
  <c r="IQ183" i="4"/>
  <c r="IR183" i="4"/>
  <c r="IS183" i="4"/>
  <c r="IT183" i="4"/>
  <c r="IU183" i="4"/>
  <c r="IV183" i="4"/>
  <c r="A182" i="4"/>
  <c r="B182" i="4"/>
  <c r="C182" i="4"/>
  <c r="D182" i="4"/>
  <c r="E182" i="4"/>
  <c r="F182" i="4"/>
  <c r="G182" i="4"/>
  <c r="H182" i="4"/>
  <c r="I182" i="4"/>
  <c r="J182" i="4"/>
  <c r="K182" i="4"/>
  <c r="L182" i="4"/>
  <c r="M182" i="4"/>
  <c r="N182" i="4"/>
  <c r="O182" i="4"/>
  <c r="P182" i="4"/>
  <c r="Q182" i="4"/>
  <c r="R182" i="4"/>
  <c r="S182" i="4"/>
  <c r="T182" i="4"/>
  <c r="U182" i="4"/>
  <c r="V182" i="4"/>
  <c r="W182" i="4"/>
  <c r="X182" i="4"/>
  <c r="Y182" i="4"/>
  <c r="Z182" i="4"/>
  <c r="AA182" i="4"/>
  <c r="AB182" i="4"/>
  <c r="AC182" i="4"/>
  <c r="AD182" i="4"/>
  <c r="AE182" i="4"/>
  <c r="AF182" i="4"/>
  <c r="AG182" i="4"/>
  <c r="AH182" i="4"/>
  <c r="AI182" i="4"/>
  <c r="AJ182" i="4"/>
  <c r="AK182" i="4"/>
  <c r="AL182" i="4"/>
  <c r="AM182" i="4"/>
  <c r="AN182" i="4"/>
  <c r="AO182" i="4"/>
  <c r="AP182" i="4"/>
  <c r="AQ182" i="4"/>
  <c r="AR182" i="4"/>
  <c r="AS182" i="4"/>
  <c r="AT182" i="4"/>
  <c r="AU182" i="4"/>
  <c r="AV182" i="4"/>
  <c r="AW182" i="4"/>
  <c r="AX182" i="4"/>
  <c r="AY182" i="4"/>
  <c r="AZ182" i="4"/>
  <c r="BA182" i="4"/>
  <c r="BB182" i="4"/>
  <c r="BC182" i="4"/>
  <c r="BD182" i="4"/>
  <c r="BE182" i="4"/>
  <c r="BF182" i="4"/>
  <c r="BG182" i="4"/>
  <c r="BH182" i="4"/>
  <c r="BI182" i="4"/>
  <c r="BJ182" i="4"/>
  <c r="BK182" i="4"/>
  <c r="BL182" i="4"/>
  <c r="BM182" i="4"/>
  <c r="BN182" i="4"/>
  <c r="BO182" i="4"/>
  <c r="BP182" i="4"/>
  <c r="BQ182" i="4"/>
  <c r="BR182" i="4"/>
  <c r="BS182" i="4"/>
  <c r="BT182" i="4"/>
  <c r="BU182" i="4"/>
  <c r="BV182" i="4"/>
  <c r="BW182" i="4"/>
  <c r="BX182" i="4"/>
  <c r="BY182" i="4"/>
  <c r="BZ182" i="4"/>
  <c r="CA182" i="4"/>
  <c r="CB182" i="4"/>
  <c r="CC182" i="4"/>
  <c r="CD182" i="4"/>
  <c r="CE182" i="4"/>
  <c r="CF182" i="4"/>
  <c r="CG182" i="4"/>
  <c r="CH182" i="4"/>
  <c r="CI182" i="4"/>
  <c r="CJ182" i="4"/>
  <c r="CK182" i="4"/>
  <c r="CL182" i="4"/>
  <c r="CM182" i="4"/>
  <c r="CN182" i="4"/>
  <c r="CO182" i="4"/>
  <c r="CP182" i="4"/>
  <c r="CQ182" i="4"/>
  <c r="CR182" i="4"/>
  <c r="CS182" i="4"/>
  <c r="CT182" i="4"/>
  <c r="CU182" i="4"/>
  <c r="CV182" i="4"/>
  <c r="CW182" i="4"/>
  <c r="CX182" i="4"/>
  <c r="CY182" i="4"/>
  <c r="CZ182" i="4"/>
  <c r="DA182" i="4"/>
  <c r="DB182" i="4"/>
  <c r="DC182" i="4"/>
  <c r="DD182" i="4"/>
  <c r="DE182" i="4"/>
  <c r="DF182" i="4"/>
  <c r="DG182" i="4"/>
  <c r="DH182" i="4"/>
  <c r="DI182" i="4"/>
  <c r="DJ182" i="4"/>
  <c r="DK182" i="4"/>
  <c r="DL182" i="4"/>
  <c r="DM182" i="4"/>
  <c r="DN182" i="4"/>
  <c r="DO182" i="4"/>
  <c r="DP182" i="4"/>
  <c r="DQ182" i="4"/>
  <c r="DR182" i="4"/>
  <c r="DS182" i="4"/>
  <c r="DT182" i="4"/>
  <c r="DU182" i="4"/>
  <c r="DV182" i="4"/>
  <c r="DW182" i="4"/>
  <c r="DX182" i="4"/>
  <c r="DY182" i="4"/>
  <c r="DZ182" i="4"/>
  <c r="EA182" i="4"/>
  <c r="EB182" i="4"/>
  <c r="EC182" i="4"/>
  <c r="ED182" i="4"/>
  <c r="EE182" i="4"/>
  <c r="EF182" i="4"/>
  <c r="EG182" i="4"/>
  <c r="EH182" i="4"/>
  <c r="EI182" i="4"/>
  <c r="EJ182" i="4"/>
  <c r="EK182" i="4"/>
  <c r="EL182" i="4"/>
  <c r="EM182" i="4"/>
  <c r="EN182" i="4"/>
  <c r="EO182" i="4"/>
  <c r="EP182" i="4"/>
  <c r="EQ182" i="4"/>
  <c r="ER182" i="4"/>
  <c r="ES182" i="4"/>
  <c r="ET182" i="4"/>
  <c r="EU182" i="4"/>
  <c r="EV182" i="4"/>
  <c r="EW182" i="4"/>
  <c r="EX182" i="4"/>
  <c r="EY182" i="4"/>
  <c r="EZ182" i="4"/>
  <c r="FA182" i="4"/>
  <c r="FB182" i="4"/>
  <c r="FC182" i="4"/>
  <c r="FD182" i="4"/>
  <c r="FE182" i="4"/>
  <c r="FF182" i="4"/>
  <c r="FG182" i="4"/>
  <c r="FH182" i="4"/>
  <c r="FI182" i="4"/>
  <c r="FJ182" i="4"/>
  <c r="FK182" i="4"/>
  <c r="FL182" i="4"/>
  <c r="FM182" i="4"/>
  <c r="FN182" i="4"/>
  <c r="FO182" i="4"/>
  <c r="FP182" i="4"/>
  <c r="FQ182" i="4"/>
  <c r="FR182" i="4"/>
  <c r="FS182" i="4"/>
  <c r="FT182" i="4"/>
  <c r="FU182" i="4"/>
  <c r="FV182" i="4"/>
  <c r="FW182" i="4"/>
  <c r="FX182" i="4"/>
  <c r="FY182" i="4"/>
  <c r="FZ182" i="4"/>
  <c r="GA182" i="4"/>
  <c r="GB182" i="4"/>
  <c r="GC182" i="4"/>
  <c r="GD182" i="4"/>
  <c r="GE182" i="4"/>
  <c r="GF182" i="4"/>
  <c r="GG182" i="4"/>
  <c r="GH182" i="4"/>
  <c r="GI182" i="4"/>
  <c r="GJ182" i="4"/>
  <c r="GK182" i="4"/>
  <c r="GL182" i="4"/>
  <c r="GM182" i="4"/>
  <c r="GN182" i="4"/>
  <c r="GO182" i="4"/>
  <c r="GP182" i="4"/>
  <c r="GQ182" i="4"/>
  <c r="GR182" i="4"/>
  <c r="GS182" i="4"/>
  <c r="GT182" i="4"/>
  <c r="GU182" i="4"/>
  <c r="GV182" i="4"/>
  <c r="GW182" i="4"/>
  <c r="GX182" i="4"/>
  <c r="GY182" i="4"/>
  <c r="GZ182" i="4"/>
  <c r="HA182" i="4"/>
  <c r="HB182" i="4"/>
  <c r="HC182" i="4"/>
  <c r="HD182" i="4"/>
  <c r="HE182" i="4"/>
  <c r="HF182" i="4"/>
  <c r="HG182" i="4"/>
  <c r="HH182" i="4"/>
  <c r="HI182" i="4"/>
  <c r="HJ182" i="4"/>
  <c r="HK182" i="4"/>
  <c r="HL182" i="4"/>
  <c r="HM182" i="4"/>
  <c r="HN182" i="4"/>
  <c r="HO182" i="4"/>
  <c r="HP182" i="4"/>
  <c r="HQ182" i="4"/>
  <c r="HR182" i="4"/>
  <c r="HS182" i="4"/>
  <c r="HT182" i="4"/>
  <c r="HU182" i="4"/>
  <c r="HV182" i="4"/>
  <c r="HW182" i="4"/>
  <c r="HX182" i="4"/>
  <c r="HY182" i="4"/>
  <c r="HZ182" i="4"/>
  <c r="IA182" i="4"/>
  <c r="IB182" i="4"/>
  <c r="IC182" i="4"/>
  <c r="ID182" i="4"/>
  <c r="IE182" i="4"/>
  <c r="IF182" i="4"/>
  <c r="IG182" i="4"/>
  <c r="IH182" i="4"/>
  <c r="II182" i="4"/>
  <c r="IJ182" i="4"/>
  <c r="IK182" i="4"/>
  <c r="IL182" i="4"/>
  <c r="IM182" i="4"/>
  <c r="IN182" i="4"/>
  <c r="IO182" i="4"/>
  <c r="IP182" i="4"/>
  <c r="IQ182" i="4"/>
  <c r="IR182" i="4"/>
  <c r="IS182" i="4"/>
  <c r="IT182" i="4"/>
  <c r="IU182" i="4"/>
  <c r="IV182" i="4"/>
  <c r="A181" i="4"/>
  <c r="B181" i="4"/>
  <c r="C181" i="4"/>
  <c r="D181" i="4"/>
  <c r="E181" i="4"/>
  <c r="F181" i="4"/>
  <c r="G181" i="4"/>
  <c r="H181" i="4"/>
  <c r="I181" i="4"/>
  <c r="J181" i="4"/>
  <c r="K181" i="4"/>
  <c r="L181" i="4"/>
  <c r="M181" i="4"/>
  <c r="N181" i="4"/>
  <c r="O181" i="4"/>
  <c r="P181" i="4"/>
  <c r="Q181" i="4"/>
  <c r="R181" i="4"/>
  <c r="S181" i="4"/>
  <c r="T181" i="4"/>
  <c r="U181" i="4"/>
  <c r="V181" i="4"/>
  <c r="W181" i="4"/>
  <c r="X181" i="4"/>
  <c r="Y181" i="4"/>
  <c r="Z181" i="4"/>
  <c r="AA181" i="4"/>
  <c r="AB181" i="4"/>
  <c r="AC181" i="4"/>
  <c r="AD181" i="4"/>
  <c r="AE181" i="4"/>
  <c r="AF181" i="4"/>
  <c r="AG181" i="4"/>
  <c r="AH181" i="4"/>
  <c r="AI181" i="4"/>
  <c r="AJ181" i="4"/>
  <c r="AK181" i="4"/>
  <c r="AL181" i="4"/>
  <c r="AM181" i="4"/>
  <c r="AN181" i="4"/>
  <c r="AO181" i="4"/>
  <c r="AP181" i="4"/>
  <c r="AQ181" i="4"/>
  <c r="AR181" i="4"/>
  <c r="AS181" i="4"/>
  <c r="AT181" i="4"/>
  <c r="AU181" i="4"/>
  <c r="AV181" i="4"/>
  <c r="AW181" i="4"/>
  <c r="AX181" i="4"/>
  <c r="AY181" i="4"/>
  <c r="AZ181" i="4"/>
  <c r="BA181" i="4"/>
  <c r="BB181" i="4"/>
  <c r="BC181" i="4"/>
  <c r="BD181" i="4"/>
  <c r="BE181" i="4"/>
  <c r="BF181" i="4"/>
  <c r="BG181" i="4"/>
  <c r="BH181" i="4"/>
  <c r="BI181" i="4"/>
  <c r="BJ181" i="4"/>
  <c r="BK181" i="4"/>
  <c r="BL181" i="4"/>
  <c r="BM181" i="4"/>
  <c r="BN181" i="4"/>
  <c r="BO181" i="4"/>
  <c r="BP181" i="4"/>
  <c r="BQ181" i="4"/>
  <c r="BR181" i="4"/>
  <c r="BS181" i="4"/>
  <c r="BT181" i="4"/>
  <c r="BU181" i="4"/>
  <c r="BV181" i="4"/>
  <c r="BW181" i="4"/>
  <c r="BX181" i="4"/>
  <c r="BY181" i="4"/>
  <c r="BZ181" i="4"/>
  <c r="CA181" i="4"/>
  <c r="CB181" i="4"/>
  <c r="CC181" i="4"/>
  <c r="CD181" i="4"/>
  <c r="CE181" i="4"/>
  <c r="CF181" i="4"/>
  <c r="CG181" i="4"/>
  <c r="CH181" i="4"/>
  <c r="CI181" i="4"/>
  <c r="CJ181" i="4"/>
  <c r="CK181" i="4"/>
  <c r="CL181" i="4"/>
  <c r="CM181" i="4"/>
  <c r="CN181" i="4"/>
  <c r="CO181" i="4"/>
  <c r="CP181" i="4"/>
  <c r="CQ181" i="4"/>
  <c r="CR181" i="4"/>
  <c r="CS181" i="4"/>
  <c r="CT181" i="4"/>
  <c r="CU181" i="4"/>
  <c r="CV181" i="4"/>
  <c r="CW181" i="4"/>
  <c r="CX181" i="4"/>
  <c r="CY181" i="4"/>
  <c r="CZ181" i="4"/>
  <c r="DA181" i="4"/>
  <c r="DB181" i="4"/>
  <c r="DC181" i="4"/>
  <c r="DD181" i="4"/>
  <c r="DE181" i="4"/>
  <c r="DF181" i="4"/>
  <c r="DG181" i="4"/>
  <c r="DH181" i="4"/>
  <c r="DI181" i="4"/>
  <c r="DJ181" i="4"/>
  <c r="DK181" i="4"/>
  <c r="DL181" i="4"/>
  <c r="DM181" i="4"/>
  <c r="DN181" i="4"/>
  <c r="DO181" i="4"/>
  <c r="DP181" i="4"/>
  <c r="DQ181" i="4"/>
  <c r="DR181" i="4"/>
  <c r="DS181" i="4"/>
  <c r="DT181" i="4"/>
  <c r="DU181" i="4"/>
  <c r="DV181" i="4"/>
  <c r="DW181" i="4"/>
  <c r="DX181" i="4"/>
  <c r="DY181" i="4"/>
  <c r="DZ181" i="4"/>
  <c r="EA181" i="4"/>
  <c r="EB181" i="4"/>
  <c r="EC181" i="4"/>
  <c r="ED181" i="4"/>
  <c r="EE181" i="4"/>
  <c r="EF181" i="4"/>
  <c r="EG181" i="4"/>
  <c r="EH181" i="4"/>
  <c r="EI181" i="4"/>
  <c r="EJ181" i="4"/>
  <c r="EK181" i="4"/>
  <c r="EL181" i="4"/>
  <c r="EM181" i="4"/>
  <c r="EN181" i="4"/>
  <c r="EO181" i="4"/>
  <c r="EP181" i="4"/>
  <c r="EQ181" i="4"/>
  <c r="ER181" i="4"/>
  <c r="ES181" i="4"/>
  <c r="ET181" i="4"/>
  <c r="EU181" i="4"/>
  <c r="EV181" i="4"/>
  <c r="EW181" i="4"/>
  <c r="EX181" i="4"/>
  <c r="EY181" i="4"/>
  <c r="EZ181" i="4"/>
  <c r="FA181" i="4"/>
  <c r="FB181" i="4"/>
  <c r="FC181" i="4"/>
  <c r="FD181" i="4"/>
  <c r="FE181" i="4"/>
  <c r="FF181" i="4"/>
  <c r="FG181" i="4"/>
  <c r="FH181" i="4"/>
  <c r="FI181" i="4"/>
  <c r="FJ181" i="4"/>
  <c r="FK181" i="4"/>
  <c r="FL181" i="4"/>
  <c r="FM181" i="4"/>
  <c r="FN181" i="4"/>
  <c r="FO181" i="4"/>
  <c r="FP181" i="4"/>
  <c r="FQ181" i="4"/>
  <c r="FR181" i="4"/>
  <c r="FS181" i="4"/>
  <c r="FT181" i="4"/>
  <c r="FU181" i="4"/>
  <c r="FV181" i="4"/>
  <c r="FW181" i="4"/>
  <c r="FX181" i="4"/>
  <c r="FY181" i="4"/>
  <c r="FZ181" i="4"/>
  <c r="GA181" i="4"/>
  <c r="GB181" i="4"/>
  <c r="GC181" i="4"/>
  <c r="GD181" i="4"/>
  <c r="GE181" i="4"/>
  <c r="GF181" i="4"/>
  <c r="GG181" i="4"/>
  <c r="GH181" i="4"/>
  <c r="GI181" i="4"/>
  <c r="GJ181" i="4"/>
  <c r="GK181" i="4"/>
  <c r="GL181" i="4"/>
  <c r="GM181" i="4"/>
  <c r="GN181" i="4"/>
  <c r="GO181" i="4"/>
  <c r="GP181" i="4"/>
  <c r="GQ181" i="4"/>
  <c r="GR181" i="4"/>
  <c r="GS181" i="4"/>
  <c r="GT181" i="4"/>
  <c r="GU181" i="4"/>
  <c r="GV181" i="4"/>
  <c r="GW181" i="4"/>
  <c r="GX181" i="4"/>
  <c r="GY181" i="4"/>
  <c r="GZ181" i="4"/>
  <c r="HA181" i="4"/>
  <c r="HB181" i="4"/>
  <c r="HC181" i="4"/>
  <c r="HD181" i="4"/>
  <c r="HE181" i="4"/>
  <c r="HF181" i="4"/>
  <c r="HG181" i="4"/>
  <c r="HH181" i="4"/>
  <c r="HI181" i="4"/>
  <c r="HJ181" i="4"/>
  <c r="HK181" i="4"/>
  <c r="HL181" i="4"/>
  <c r="HM181" i="4"/>
  <c r="HN181" i="4"/>
  <c r="HO181" i="4"/>
  <c r="HP181" i="4"/>
  <c r="HQ181" i="4"/>
  <c r="HR181" i="4"/>
  <c r="HS181" i="4"/>
  <c r="HT181" i="4"/>
  <c r="HU181" i="4"/>
  <c r="HV181" i="4"/>
  <c r="HW181" i="4"/>
  <c r="HX181" i="4"/>
  <c r="HY181" i="4"/>
  <c r="HZ181" i="4"/>
  <c r="IA181" i="4"/>
  <c r="IB181" i="4"/>
  <c r="IC181" i="4"/>
  <c r="ID181" i="4"/>
  <c r="IE181" i="4"/>
  <c r="IF181" i="4"/>
  <c r="IG181" i="4"/>
  <c r="IH181" i="4"/>
  <c r="II181" i="4"/>
  <c r="IJ181" i="4"/>
  <c r="IK181" i="4"/>
  <c r="IL181" i="4"/>
  <c r="IM181" i="4"/>
  <c r="IN181" i="4"/>
  <c r="IO181" i="4"/>
  <c r="IP181" i="4"/>
  <c r="IQ181" i="4"/>
  <c r="IR181" i="4"/>
  <c r="IS181" i="4"/>
  <c r="IT181" i="4"/>
  <c r="IU181" i="4"/>
  <c r="IV181" i="4"/>
  <c r="A180" i="4"/>
  <c r="B180" i="4"/>
  <c r="C180" i="4"/>
  <c r="D180" i="4"/>
  <c r="E180" i="4"/>
  <c r="F180" i="4"/>
  <c r="G180" i="4"/>
  <c r="H180" i="4"/>
  <c r="I180" i="4"/>
  <c r="J180" i="4"/>
  <c r="K180" i="4"/>
  <c r="L180" i="4"/>
  <c r="M180" i="4"/>
  <c r="O180" i="4"/>
  <c r="P180" i="4"/>
  <c r="Q180" i="4"/>
  <c r="R180" i="4"/>
  <c r="S180" i="4"/>
  <c r="T180" i="4"/>
  <c r="U180" i="4"/>
  <c r="V180" i="4"/>
  <c r="W180" i="4"/>
  <c r="X180" i="4"/>
  <c r="Y180" i="4"/>
  <c r="Z180" i="4"/>
  <c r="AA180" i="4"/>
  <c r="AB180" i="4"/>
  <c r="AC180" i="4"/>
  <c r="AD180" i="4"/>
  <c r="AE180" i="4"/>
  <c r="AF180" i="4"/>
  <c r="AG180" i="4"/>
  <c r="AH180" i="4"/>
  <c r="AI180" i="4"/>
  <c r="AJ180" i="4"/>
  <c r="AK180" i="4"/>
  <c r="AL180" i="4"/>
  <c r="AM180" i="4"/>
  <c r="AN180" i="4"/>
  <c r="AO180" i="4"/>
  <c r="AP180" i="4"/>
  <c r="AQ180" i="4"/>
  <c r="AR180" i="4"/>
  <c r="AS180" i="4"/>
  <c r="AT180" i="4"/>
  <c r="AU180" i="4"/>
  <c r="AV180" i="4"/>
  <c r="AW180" i="4"/>
  <c r="AX180" i="4"/>
  <c r="AY180" i="4"/>
  <c r="AZ180" i="4"/>
  <c r="BA180" i="4"/>
  <c r="BB180" i="4"/>
  <c r="BC180" i="4"/>
  <c r="BD180" i="4"/>
  <c r="BE180" i="4"/>
  <c r="BF180" i="4"/>
  <c r="BG180" i="4"/>
  <c r="BH180" i="4"/>
  <c r="BI180" i="4"/>
  <c r="BJ180" i="4"/>
  <c r="BK180" i="4"/>
  <c r="BL180" i="4"/>
  <c r="BM180" i="4"/>
  <c r="BN180" i="4"/>
  <c r="BO180" i="4"/>
  <c r="BP180" i="4"/>
  <c r="BQ180" i="4"/>
  <c r="BR180" i="4"/>
  <c r="BS180" i="4"/>
  <c r="BT180" i="4"/>
  <c r="BU180" i="4"/>
  <c r="BV180" i="4"/>
  <c r="BW180" i="4"/>
  <c r="BX180" i="4"/>
  <c r="BY180" i="4"/>
  <c r="BZ180" i="4"/>
  <c r="CA180" i="4"/>
  <c r="CB180" i="4"/>
  <c r="CC180" i="4"/>
  <c r="CD180" i="4"/>
  <c r="CE180" i="4"/>
  <c r="CF180" i="4"/>
  <c r="CG180" i="4"/>
  <c r="CH180" i="4"/>
  <c r="CI180" i="4"/>
  <c r="CJ180" i="4"/>
  <c r="CK180" i="4"/>
  <c r="CL180" i="4"/>
  <c r="CM180" i="4"/>
  <c r="CN180" i="4"/>
  <c r="CO180" i="4"/>
  <c r="CP180" i="4"/>
  <c r="CQ180" i="4"/>
  <c r="CR180" i="4"/>
  <c r="CS180" i="4"/>
  <c r="CT180" i="4"/>
  <c r="CU180" i="4"/>
  <c r="CV180" i="4"/>
  <c r="CW180" i="4"/>
  <c r="CX180" i="4"/>
  <c r="CY180" i="4"/>
  <c r="CZ180" i="4"/>
  <c r="DA180" i="4"/>
  <c r="DB180" i="4"/>
  <c r="DC180" i="4"/>
  <c r="DD180" i="4"/>
  <c r="DE180" i="4"/>
  <c r="DF180" i="4"/>
  <c r="DG180" i="4"/>
  <c r="DH180" i="4"/>
  <c r="DI180" i="4"/>
  <c r="DJ180" i="4"/>
  <c r="DK180" i="4"/>
  <c r="DL180" i="4"/>
  <c r="DM180" i="4"/>
  <c r="DN180" i="4"/>
  <c r="DO180" i="4"/>
  <c r="DP180" i="4"/>
  <c r="DQ180" i="4"/>
  <c r="DR180" i="4"/>
  <c r="DS180" i="4"/>
  <c r="DT180" i="4"/>
  <c r="DU180" i="4"/>
  <c r="DV180" i="4"/>
  <c r="DW180" i="4"/>
  <c r="DX180" i="4"/>
  <c r="DY180" i="4"/>
  <c r="DZ180" i="4"/>
  <c r="EA180" i="4"/>
  <c r="EB180" i="4"/>
  <c r="EC180" i="4"/>
  <c r="ED180" i="4"/>
  <c r="EE180" i="4"/>
  <c r="EF180" i="4"/>
  <c r="EG180" i="4"/>
  <c r="EH180" i="4"/>
  <c r="EI180" i="4"/>
  <c r="EJ180" i="4"/>
  <c r="EK180" i="4"/>
  <c r="EL180" i="4"/>
  <c r="EM180" i="4"/>
  <c r="EN180" i="4"/>
  <c r="EO180" i="4"/>
  <c r="EP180" i="4"/>
  <c r="EQ180" i="4"/>
  <c r="ER180" i="4"/>
  <c r="ES180" i="4"/>
  <c r="ET180" i="4"/>
  <c r="EU180" i="4"/>
  <c r="EV180" i="4"/>
  <c r="EW180" i="4"/>
  <c r="EX180" i="4"/>
  <c r="EY180" i="4"/>
  <c r="EZ180" i="4"/>
  <c r="FA180" i="4"/>
  <c r="FB180" i="4"/>
  <c r="FC180" i="4"/>
  <c r="FD180" i="4"/>
  <c r="FE180" i="4"/>
  <c r="FF180" i="4"/>
  <c r="FG180" i="4"/>
  <c r="FH180" i="4"/>
  <c r="FI180" i="4"/>
  <c r="FJ180" i="4"/>
  <c r="FK180" i="4"/>
  <c r="FL180" i="4"/>
  <c r="FM180" i="4"/>
  <c r="FN180" i="4"/>
  <c r="FO180" i="4"/>
  <c r="FP180" i="4"/>
  <c r="FQ180" i="4"/>
  <c r="FR180" i="4"/>
  <c r="FS180" i="4"/>
  <c r="FT180" i="4"/>
  <c r="FU180" i="4"/>
  <c r="FV180" i="4"/>
  <c r="FW180" i="4"/>
  <c r="FX180" i="4"/>
  <c r="FY180" i="4"/>
  <c r="FZ180" i="4"/>
  <c r="GA180" i="4"/>
  <c r="GB180" i="4"/>
  <c r="GC180" i="4"/>
  <c r="GD180" i="4"/>
  <c r="GE180" i="4"/>
  <c r="GF180" i="4"/>
  <c r="GG180" i="4"/>
  <c r="GH180" i="4"/>
  <c r="GI180" i="4"/>
  <c r="GJ180" i="4"/>
  <c r="GK180" i="4"/>
  <c r="GL180" i="4"/>
  <c r="GM180" i="4"/>
  <c r="GN180" i="4"/>
  <c r="GO180" i="4"/>
  <c r="GP180" i="4"/>
  <c r="GQ180" i="4"/>
  <c r="GR180" i="4"/>
  <c r="GS180" i="4"/>
  <c r="GT180" i="4"/>
  <c r="GU180" i="4"/>
  <c r="GV180" i="4"/>
  <c r="GW180" i="4"/>
  <c r="GX180" i="4"/>
  <c r="GY180" i="4"/>
  <c r="GZ180" i="4"/>
  <c r="HA180" i="4"/>
  <c r="HB180" i="4"/>
  <c r="HC180" i="4"/>
  <c r="HD180" i="4"/>
  <c r="HE180" i="4"/>
  <c r="HF180" i="4"/>
  <c r="HG180" i="4"/>
  <c r="HH180" i="4"/>
  <c r="HI180" i="4"/>
  <c r="HJ180" i="4"/>
  <c r="HK180" i="4"/>
  <c r="HL180" i="4"/>
  <c r="HM180" i="4"/>
  <c r="HN180" i="4"/>
  <c r="HO180" i="4"/>
  <c r="HP180" i="4"/>
  <c r="HQ180" i="4"/>
  <c r="HR180" i="4"/>
  <c r="HS180" i="4"/>
  <c r="HT180" i="4"/>
  <c r="HU180" i="4"/>
  <c r="HV180" i="4"/>
  <c r="HW180" i="4"/>
  <c r="HX180" i="4"/>
  <c r="HY180" i="4"/>
  <c r="HZ180" i="4"/>
  <c r="IA180" i="4"/>
  <c r="IB180" i="4"/>
  <c r="IC180" i="4"/>
  <c r="ID180" i="4"/>
  <c r="IE180" i="4"/>
  <c r="IF180" i="4"/>
  <c r="IG180" i="4"/>
  <c r="IH180" i="4"/>
  <c r="II180" i="4"/>
  <c r="IJ180" i="4"/>
  <c r="IK180" i="4"/>
  <c r="IL180" i="4"/>
  <c r="IM180" i="4"/>
  <c r="IN180" i="4"/>
  <c r="IO180" i="4"/>
  <c r="IP180" i="4"/>
  <c r="IQ180" i="4"/>
  <c r="IR180" i="4"/>
  <c r="IS180" i="4"/>
  <c r="IT180" i="4"/>
  <c r="IU180" i="4"/>
  <c r="IV180" i="4"/>
  <c r="A179" i="4"/>
  <c r="B179" i="4"/>
  <c r="C179" i="4"/>
  <c r="D179" i="4"/>
  <c r="E179" i="4"/>
  <c r="F179" i="4"/>
  <c r="G179" i="4"/>
  <c r="H179" i="4"/>
  <c r="I179" i="4"/>
  <c r="J179" i="4"/>
  <c r="K179" i="4"/>
  <c r="L179" i="4"/>
  <c r="M179" i="4"/>
  <c r="N179" i="4"/>
  <c r="P179" i="4"/>
  <c r="Q179" i="4"/>
  <c r="R179" i="4"/>
  <c r="S179" i="4"/>
  <c r="T179" i="4"/>
  <c r="U179" i="4"/>
  <c r="V179" i="4"/>
  <c r="W179" i="4"/>
  <c r="X179" i="4"/>
  <c r="Y179" i="4"/>
  <c r="Z179" i="4"/>
  <c r="AA179" i="4"/>
  <c r="AB179" i="4"/>
  <c r="AC179" i="4"/>
  <c r="AD179" i="4"/>
  <c r="AE179" i="4"/>
  <c r="AF179" i="4"/>
  <c r="AG179" i="4"/>
  <c r="AH179" i="4"/>
  <c r="AI179" i="4"/>
  <c r="AJ179" i="4"/>
  <c r="AK179" i="4"/>
  <c r="AL179" i="4"/>
  <c r="AM179" i="4"/>
  <c r="AN179" i="4"/>
  <c r="AO179" i="4"/>
  <c r="AP179" i="4"/>
  <c r="AQ179" i="4"/>
  <c r="AR179" i="4"/>
  <c r="AS179" i="4"/>
  <c r="AT179" i="4"/>
  <c r="AU179" i="4"/>
  <c r="AV179" i="4"/>
  <c r="AW179" i="4"/>
  <c r="AX179" i="4"/>
  <c r="AY179" i="4"/>
  <c r="AZ179" i="4"/>
  <c r="BA179" i="4"/>
  <c r="BB179" i="4"/>
  <c r="BC179" i="4"/>
  <c r="BD179" i="4"/>
  <c r="BE179" i="4"/>
  <c r="BF179" i="4"/>
  <c r="BG179" i="4"/>
  <c r="BH179" i="4"/>
  <c r="BI179" i="4"/>
  <c r="BJ179" i="4"/>
  <c r="BK179" i="4"/>
  <c r="BL179" i="4"/>
  <c r="BM179" i="4"/>
  <c r="BN179" i="4"/>
  <c r="BO179" i="4"/>
  <c r="BP179" i="4"/>
  <c r="BQ179" i="4"/>
  <c r="BR179" i="4"/>
  <c r="BS179" i="4"/>
  <c r="BT179" i="4"/>
  <c r="BU179" i="4"/>
  <c r="BV179" i="4"/>
  <c r="BW179" i="4"/>
  <c r="BX179" i="4"/>
  <c r="BY179" i="4"/>
  <c r="BZ179" i="4"/>
  <c r="CA179" i="4"/>
  <c r="CB179" i="4"/>
  <c r="CC179" i="4"/>
  <c r="CD179" i="4"/>
  <c r="CE179" i="4"/>
  <c r="CF179" i="4"/>
  <c r="CG179" i="4"/>
  <c r="CH179" i="4"/>
  <c r="CI179" i="4"/>
  <c r="CJ179" i="4"/>
  <c r="CK179" i="4"/>
  <c r="CL179" i="4"/>
  <c r="CM179" i="4"/>
  <c r="CN179" i="4"/>
  <c r="CO179" i="4"/>
  <c r="CP179" i="4"/>
  <c r="CQ179" i="4"/>
  <c r="CR179" i="4"/>
  <c r="CS179" i="4"/>
  <c r="CT179" i="4"/>
  <c r="CU179" i="4"/>
  <c r="CV179" i="4"/>
  <c r="CW179" i="4"/>
  <c r="CX179" i="4"/>
  <c r="CY179" i="4"/>
  <c r="CZ179" i="4"/>
  <c r="DA179" i="4"/>
  <c r="DB179" i="4"/>
  <c r="DC179" i="4"/>
  <c r="DD179" i="4"/>
  <c r="DE179" i="4"/>
  <c r="DF179" i="4"/>
  <c r="DG179" i="4"/>
  <c r="DH179" i="4"/>
  <c r="DI179" i="4"/>
  <c r="DJ179" i="4"/>
  <c r="DK179" i="4"/>
  <c r="DL179" i="4"/>
  <c r="DM179" i="4"/>
  <c r="DN179" i="4"/>
  <c r="DO179" i="4"/>
  <c r="DP179" i="4"/>
  <c r="DQ179" i="4"/>
  <c r="DR179" i="4"/>
  <c r="DS179" i="4"/>
  <c r="DT179" i="4"/>
  <c r="DU179" i="4"/>
  <c r="DV179" i="4"/>
  <c r="DW179" i="4"/>
  <c r="DX179" i="4"/>
  <c r="DY179" i="4"/>
  <c r="DZ179" i="4"/>
  <c r="EA179" i="4"/>
  <c r="EB179" i="4"/>
  <c r="EC179" i="4"/>
  <c r="ED179" i="4"/>
  <c r="EE179" i="4"/>
  <c r="EF179" i="4"/>
  <c r="EG179" i="4"/>
  <c r="EH179" i="4"/>
  <c r="EI179" i="4"/>
  <c r="EJ179" i="4"/>
  <c r="EK179" i="4"/>
  <c r="EL179" i="4"/>
  <c r="EM179" i="4"/>
  <c r="EN179" i="4"/>
  <c r="EO179" i="4"/>
  <c r="EP179" i="4"/>
  <c r="EQ179" i="4"/>
  <c r="ER179" i="4"/>
  <c r="ES179" i="4"/>
  <c r="ET179" i="4"/>
  <c r="EU179" i="4"/>
  <c r="EV179" i="4"/>
  <c r="EW179" i="4"/>
  <c r="EX179" i="4"/>
  <c r="EY179" i="4"/>
  <c r="EZ179" i="4"/>
  <c r="FA179" i="4"/>
  <c r="FB179" i="4"/>
  <c r="FC179" i="4"/>
  <c r="FD179" i="4"/>
  <c r="FE179" i="4"/>
  <c r="FF179" i="4"/>
  <c r="FG179" i="4"/>
  <c r="FH179" i="4"/>
  <c r="FI179" i="4"/>
  <c r="FJ179" i="4"/>
  <c r="FK179" i="4"/>
  <c r="FL179" i="4"/>
  <c r="FM179" i="4"/>
  <c r="FN179" i="4"/>
  <c r="FO179" i="4"/>
  <c r="FP179" i="4"/>
  <c r="FQ179" i="4"/>
  <c r="FR179" i="4"/>
  <c r="FS179" i="4"/>
  <c r="FT179" i="4"/>
  <c r="FU179" i="4"/>
  <c r="FV179" i="4"/>
  <c r="FW179" i="4"/>
  <c r="FX179" i="4"/>
  <c r="FY179" i="4"/>
  <c r="FZ179" i="4"/>
  <c r="GA179" i="4"/>
  <c r="GB179" i="4"/>
  <c r="GC179" i="4"/>
  <c r="GD179" i="4"/>
  <c r="GE179" i="4"/>
  <c r="GF179" i="4"/>
  <c r="GG179" i="4"/>
  <c r="GH179" i="4"/>
  <c r="GI179" i="4"/>
  <c r="GJ179" i="4"/>
  <c r="GK179" i="4"/>
  <c r="GL179" i="4"/>
  <c r="GM179" i="4"/>
  <c r="GN179" i="4"/>
  <c r="GO179" i="4"/>
  <c r="GP179" i="4"/>
  <c r="GQ179" i="4"/>
  <c r="GR179" i="4"/>
  <c r="GS179" i="4"/>
  <c r="GT179" i="4"/>
  <c r="GU179" i="4"/>
  <c r="GV179" i="4"/>
  <c r="GW179" i="4"/>
  <c r="GX179" i="4"/>
  <c r="GY179" i="4"/>
  <c r="GZ179" i="4"/>
  <c r="HA179" i="4"/>
  <c r="HB179" i="4"/>
  <c r="HC179" i="4"/>
  <c r="HD179" i="4"/>
  <c r="HE179" i="4"/>
  <c r="HF179" i="4"/>
  <c r="HG179" i="4"/>
  <c r="HH179" i="4"/>
  <c r="HI179" i="4"/>
  <c r="HJ179" i="4"/>
  <c r="HK179" i="4"/>
  <c r="HL179" i="4"/>
  <c r="HM179" i="4"/>
  <c r="HN179" i="4"/>
  <c r="HO179" i="4"/>
  <c r="HP179" i="4"/>
  <c r="HQ179" i="4"/>
  <c r="HR179" i="4"/>
  <c r="HS179" i="4"/>
  <c r="HT179" i="4"/>
  <c r="HU179" i="4"/>
  <c r="HV179" i="4"/>
  <c r="HW179" i="4"/>
  <c r="HX179" i="4"/>
  <c r="HY179" i="4"/>
  <c r="HZ179" i="4"/>
  <c r="IA179" i="4"/>
  <c r="IB179" i="4"/>
  <c r="IC179" i="4"/>
  <c r="ID179" i="4"/>
  <c r="IE179" i="4"/>
  <c r="IF179" i="4"/>
  <c r="IG179" i="4"/>
  <c r="IH179" i="4"/>
  <c r="II179" i="4"/>
  <c r="IJ179" i="4"/>
  <c r="IK179" i="4"/>
  <c r="IL179" i="4"/>
  <c r="IM179" i="4"/>
  <c r="IN179" i="4"/>
  <c r="IO179" i="4"/>
  <c r="IP179" i="4"/>
  <c r="IQ179" i="4"/>
  <c r="IR179" i="4"/>
  <c r="IS179" i="4"/>
  <c r="IT179" i="4"/>
  <c r="IU179" i="4"/>
  <c r="IV179" i="4"/>
  <c r="A178" i="4"/>
  <c r="B178" i="4"/>
  <c r="C178" i="4"/>
  <c r="D178" i="4"/>
  <c r="E178" i="4"/>
  <c r="F178" i="4"/>
  <c r="G178" i="4"/>
  <c r="H178" i="4"/>
  <c r="I178" i="4"/>
  <c r="J178" i="4"/>
  <c r="K178" i="4"/>
  <c r="L178" i="4"/>
  <c r="M178" i="4"/>
  <c r="N178" i="4"/>
  <c r="O178" i="4"/>
  <c r="Q178" i="4"/>
  <c r="R178" i="4"/>
  <c r="S178" i="4"/>
  <c r="T178" i="4"/>
  <c r="U178" i="4"/>
  <c r="V178" i="4"/>
  <c r="W178" i="4"/>
  <c r="X178" i="4"/>
  <c r="Y178" i="4"/>
  <c r="Z178" i="4"/>
  <c r="AA178" i="4"/>
  <c r="AB178" i="4"/>
  <c r="AC178" i="4"/>
  <c r="AD178" i="4"/>
  <c r="AE178" i="4"/>
  <c r="AF178" i="4"/>
  <c r="AG178" i="4"/>
  <c r="AH178" i="4"/>
  <c r="AI178" i="4"/>
  <c r="AJ178" i="4"/>
  <c r="AK178" i="4"/>
  <c r="AL178" i="4"/>
  <c r="AM178" i="4"/>
  <c r="AN178" i="4"/>
  <c r="AO178" i="4"/>
  <c r="AP178" i="4"/>
  <c r="AQ178" i="4"/>
  <c r="AR178" i="4"/>
  <c r="AS178" i="4"/>
  <c r="AT178" i="4"/>
  <c r="AU178" i="4"/>
  <c r="AV178" i="4"/>
  <c r="AW178" i="4"/>
  <c r="AX178" i="4"/>
  <c r="AY178" i="4"/>
  <c r="AZ178" i="4"/>
  <c r="BA178" i="4"/>
  <c r="BB178" i="4"/>
  <c r="BC178" i="4"/>
  <c r="BD178" i="4"/>
  <c r="BE178" i="4"/>
  <c r="BF178" i="4"/>
  <c r="BG178" i="4"/>
  <c r="BH178" i="4"/>
  <c r="BI178" i="4"/>
  <c r="BJ178" i="4"/>
  <c r="BK178" i="4"/>
  <c r="BL178" i="4"/>
  <c r="BM178" i="4"/>
  <c r="BN178" i="4"/>
  <c r="BO178" i="4"/>
  <c r="BP178" i="4"/>
  <c r="BQ178" i="4"/>
  <c r="BR178" i="4"/>
  <c r="BS178" i="4"/>
  <c r="BT178" i="4"/>
  <c r="BU178" i="4"/>
  <c r="BV178" i="4"/>
  <c r="BW178" i="4"/>
  <c r="BX178" i="4"/>
  <c r="BY178" i="4"/>
  <c r="BZ178" i="4"/>
  <c r="CA178" i="4"/>
  <c r="CB178" i="4"/>
  <c r="CC178" i="4"/>
  <c r="CD178" i="4"/>
  <c r="CE178" i="4"/>
  <c r="CF178" i="4"/>
  <c r="CG178" i="4"/>
  <c r="CH178" i="4"/>
  <c r="CI178" i="4"/>
  <c r="CJ178" i="4"/>
  <c r="CK178" i="4"/>
  <c r="CL178" i="4"/>
  <c r="CM178" i="4"/>
  <c r="CN178" i="4"/>
  <c r="CO178" i="4"/>
  <c r="CP178" i="4"/>
  <c r="CQ178" i="4"/>
  <c r="CR178" i="4"/>
  <c r="CS178" i="4"/>
  <c r="CT178" i="4"/>
  <c r="CU178" i="4"/>
  <c r="CV178" i="4"/>
  <c r="CW178" i="4"/>
  <c r="CX178" i="4"/>
  <c r="CY178" i="4"/>
  <c r="CZ178" i="4"/>
  <c r="DA178" i="4"/>
  <c r="DB178" i="4"/>
  <c r="DC178" i="4"/>
  <c r="DD178" i="4"/>
  <c r="DE178" i="4"/>
  <c r="DF178" i="4"/>
  <c r="DG178" i="4"/>
  <c r="DH178" i="4"/>
  <c r="DI178" i="4"/>
  <c r="DJ178" i="4"/>
  <c r="DK178" i="4"/>
  <c r="DL178" i="4"/>
  <c r="DM178" i="4"/>
  <c r="DN178" i="4"/>
  <c r="DO178" i="4"/>
  <c r="DP178" i="4"/>
  <c r="DQ178" i="4"/>
  <c r="DR178" i="4"/>
  <c r="DS178" i="4"/>
  <c r="DT178" i="4"/>
  <c r="DU178" i="4"/>
  <c r="DV178" i="4"/>
  <c r="DW178" i="4"/>
  <c r="DX178" i="4"/>
  <c r="DY178" i="4"/>
  <c r="DZ178" i="4"/>
  <c r="EA178" i="4"/>
  <c r="EB178" i="4"/>
  <c r="EC178" i="4"/>
  <c r="ED178" i="4"/>
  <c r="EE178" i="4"/>
  <c r="EF178" i="4"/>
  <c r="EG178" i="4"/>
  <c r="EH178" i="4"/>
  <c r="EI178" i="4"/>
  <c r="EJ178" i="4"/>
  <c r="EK178" i="4"/>
  <c r="EL178" i="4"/>
  <c r="EM178" i="4"/>
  <c r="EN178" i="4"/>
  <c r="EO178" i="4"/>
  <c r="EP178" i="4"/>
  <c r="EQ178" i="4"/>
  <c r="ER178" i="4"/>
  <c r="ES178" i="4"/>
  <c r="ET178" i="4"/>
  <c r="EU178" i="4"/>
  <c r="EV178" i="4"/>
  <c r="EW178" i="4"/>
  <c r="EX178" i="4"/>
  <c r="EY178" i="4"/>
  <c r="EZ178" i="4"/>
  <c r="FA178" i="4"/>
  <c r="FB178" i="4"/>
  <c r="FC178" i="4"/>
  <c r="FD178" i="4"/>
  <c r="FE178" i="4"/>
  <c r="FF178" i="4"/>
  <c r="FG178" i="4"/>
  <c r="FH178" i="4"/>
  <c r="FI178" i="4"/>
  <c r="FJ178" i="4"/>
  <c r="FK178" i="4"/>
  <c r="FL178" i="4"/>
  <c r="FM178" i="4"/>
  <c r="FN178" i="4"/>
  <c r="FO178" i="4"/>
  <c r="FP178" i="4"/>
  <c r="FQ178" i="4"/>
  <c r="FR178" i="4"/>
  <c r="FS178" i="4"/>
  <c r="FT178" i="4"/>
  <c r="FU178" i="4"/>
  <c r="FV178" i="4"/>
  <c r="FW178" i="4"/>
  <c r="FX178" i="4"/>
  <c r="FY178" i="4"/>
  <c r="FZ178" i="4"/>
  <c r="GA178" i="4"/>
  <c r="GB178" i="4"/>
  <c r="GC178" i="4"/>
  <c r="GD178" i="4"/>
  <c r="GE178" i="4"/>
  <c r="GF178" i="4"/>
  <c r="GG178" i="4"/>
  <c r="GH178" i="4"/>
  <c r="GI178" i="4"/>
  <c r="GJ178" i="4"/>
  <c r="GK178" i="4"/>
  <c r="GL178" i="4"/>
  <c r="GM178" i="4"/>
  <c r="GN178" i="4"/>
  <c r="GO178" i="4"/>
  <c r="GP178" i="4"/>
  <c r="GQ178" i="4"/>
  <c r="GR178" i="4"/>
  <c r="GS178" i="4"/>
  <c r="GT178" i="4"/>
  <c r="GU178" i="4"/>
  <c r="GV178" i="4"/>
  <c r="GW178" i="4"/>
  <c r="GX178" i="4"/>
  <c r="GY178" i="4"/>
  <c r="GZ178" i="4"/>
  <c r="HA178" i="4"/>
  <c r="HB178" i="4"/>
  <c r="HC178" i="4"/>
  <c r="HD178" i="4"/>
  <c r="HE178" i="4"/>
  <c r="HF178" i="4"/>
  <c r="HG178" i="4"/>
  <c r="HH178" i="4"/>
  <c r="HI178" i="4"/>
  <c r="HJ178" i="4"/>
  <c r="HK178" i="4"/>
  <c r="HL178" i="4"/>
  <c r="HM178" i="4"/>
  <c r="HN178" i="4"/>
  <c r="HO178" i="4"/>
  <c r="HP178" i="4"/>
  <c r="HQ178" i="4"/>
  <c r="HR178" i="4"/>
  <c r="HS178" i="4"/>
  <c r="HT178" i="4"/>
  <c r="HU178" i="4"/>
  <c r="HV178" i="4"/>
  <c r="HW178" i="4"/>
  <c r="HX178" i="4"/>
  <c r="HY178" i="4"/>
  <c r="HZ178" i="4"/>
  <c r="IA178" i="4"/>
  <c r="IB178" i="4"/>
  <c r="IC178" i="4"/>
  <c r="ID178" i="4"/>
  <c r="IE178" i="4"/>
  <c r="IF178" i="4"/>
  <c r="IG178" i="4"/>
  <c r="IH178" i="4"/>
  <c r="II178" i="4"/>
  <c r="IJ178" i="4"/>
  <c r="IK178" i="4"/>
  <c r="IL178" i="4"/>
  <c r="IM178" i="4"/>
  <c r="IN178" i="4"/>
  <c r="IO178" i="4"/>
  <c r="IP178" i="4"/>
  <c r="IQ178" i="4"/>
  <c r="IR178" i="4"/>
  <c r="IS178" i="4"/>
  <c r="IT178" i="4"/>
  <c r="IU178" i="4"/>
  <c r="IV178" i="4"/>
  <c r="A177" i="4"/>
  <c r="B177" i="4"/>
  <c r="C177" i="4"/>
  <c r="D177" i="4"/>
  <c r="E177" i="4"/>
  <c r="F177" i="4"/>
  <c r="G177" i="4"/>
  <c r="H177" i="4"/>
  <c r="I177" i="4"/>
  <c r="J177" i="4"/>
  <c r="K177" i="4"/>
  <c r="L177" i="4"/>
  <c r="M177" i="4"/>
  <c r="N177" i="4"/>
  <c r="O177" i="4"/>
  <c r="P177" i="4"/>
  <c r="R177" i="4"/>
  <c r="S177" i="4"/>
  <c r="T177" i="4"/>
  <c r="U177" i="4"/>
  <c r="V177" i="4"/>
  <c r="W177" i="4"/>
  <c r="X177" i="4"/>
  <c r="Y177" i="4"/>
  <c r="Z177" i="4"/>
  <c r="AA177" i="4"/>
  <c r="AB177" i="4"/>
  <c r="AC177" i="4"/>
  <c r="AD177" i="4"/>
  <c r="AE177" i="4"/>
  <c r="AF177" i="4"/>
  <c r="AG177" i="4"/>
  <c r="AH177" i="4"/>
  <c r="AI177" i="4"/>
  <c r="AJ177" i="4"/>
  <c r="AK177" i="4"/>
  <c r="AL177" i="4"/>
  <c r="AM177" i="4"/>
  <c r="AN177" i="4"/>
  <c r="AO177" i="4"/>
  <c r="AP177" i="4"/>
  <c r="AQ177" i="4"/>
  <c r="AR177" i="4"/>
  <c r="AS177" i="4"/>
  <c r="AT177" i="4"/>
  <c r="AU177" i="4"/>
  <c r="AV177" i="4"/>
  <c r="AW177" i="4"/>
  <c r="AX177" i="4"/>
  <c r="AY177" i="4"/>
  <c r="AZ177" i="4"/>
  <c r="BA177" i="4"/>
  <c r="BB177" i="4"/>
  <c r="BC177" i="4"/>
  <c r="BD177" i="4"/>
  <c r="BE177" i="4"/>
  <c r="BF177" i="4"/>
  <c r="BG177" i="4"/>
  <c r="BH177" i="4"/>
  <c r="BI177" i="4"/>
  <c r="BJ177" i="4"/>
  <c r="BK177" i="4"/>
  <c r="BL177" i="4"/>
  <c r="BM177" i="4"/>
  <c r="BN177" i="4"/>
  <c r="BO177" i="4"/>
  <c r="BP177" i="4"/>
  <c r="BQ177" i="4"/>
  <c r="BR177" i="4"/>
  <c r="BS177" i="4"/>
  <c r="BT177" i="4"/>
  <c r="BU177" i="4"/>
  <c r="BV177" i="4"/>
  <c r="BW177" i="4"/>
  <c r="BX177" i="4"/>
  <c r="BY177" i="4"/>
  <c r="BZ177" i="4"/>
  <c r="CA177" i="4"/>
  <c r="CB177" i="4"/>
  <c r="CC177" i="4"/>
  <c r="CD177" i="4"/>
  <c r="CE177" i="4"/>
  <c r="CF177" i="4"/>
  <c r="CG177" i="4"/>
  <c r="CH177" i="4"/>
  <c r="CI177" i="4"/>
  <c r="CJ177" i="4"/>
  <c r="CK177" i="4"/>
  <c r="CL177" i="4"/>
  <c r="CM177" i="4"/>
  <c r="CN177" i="4"/>
  <c r="CO177" i="4"/>
  <c r="CP177" i="4"/>
  <c r="CQ177" i="4"/>
  <c r="CR177" i="4"/>
  <c r="CS177" i="4"/>
  <c r="CT177" i="4"/>
  <c r="CU177" i="4"/>
  <c r="CV177" i="4"/>
  <c r="CW177" i="4"/>
  <c r="CX177" i="4"/>
  <c r="CY177" i="4"/>
  <c r="CZ177" i="4"/>
  <c r="DA177" i="4"/>
  <c r="DB177" i="4"/>
  <c r="DC177" i="4"/>
  <c r="DD177" i="4"/>
  <c r="DE177" i="4"/>
  <c r="DF177" i="4"/>
  <c r="DG177" i="4"/>
  <c r="DH177" i="4"/>
  <c r="DI177" i="4"/>
  <c r="DJ177" i="4"/>
  <c r="DK177" i="4"/>
  <c r="DL177" i="4"/>
  <c r="DM177" i="4"/>
  <c r="DN177" i="4"/>
  <c r="DO177" i="4"/>
  <c r="DP177" i="4"/>
  <c r="DQ177" i="4"/>
  <c r="DR177" i="4"/>
  <c r="DS177" i="4"/>
  <c r="DT177" i="4"/>
  <c r="DU177" i="4"/>
  <c r="DV177" i="4"/>
  <c r="DW177" i="4"/>
  <c r="DX177" i="4"/>
  <c r="DY177" i="4"/>
  <c r="DZ177" i="4"/>
  <c r="EA177" i="4"/>
  <c r="EB177" i="4"/>
  <c r="EC177" i="4"/>
  <c r="ED177" i="4"/>
  <c r="EE177" i="4"/>
  <c r="EF177" i="4"/>
  <c r="EG177" i="4"/>
  <c r="EH177" i="4"/>
  <c r="EI177" i="4"/>
  <c r="EJ177" i="4"/>
  <c r="EK177" i="4"/>
  <c r="EL177" i="4"/>
  <c r="EM177" i="4"/>
  <c r="EN177" i="4"/>
  <c r="EO177" i="4"/>
  <c r="EP177" i="4"/>
  <c r="EQ177" i="4"/>
  <c r="ER177" i="4"/>
  <c r="ES177" i="4"/>
  <c r="ET177" i="4"/>
  <c r="EU177" i="4"/>
  <c r="EV177" i="4"/>
  <c r="EW177" i="4"/>
  <c r="EX177" i="4"/>
  <c r="EY177" i="4"/>
  <c r="EZ177" i="4"/>
  <c r="FA177" i="4"/>
  <c r="FB177" i="4"/>
  <c r="FC177" i="4"/>
  <c r="FD177" i="4"/>
  <c r="FE177" i="4"/>
  <c r="FF177" i="4"/>
  <c r="FG177" i="4"/>
  <c r="FH177" i="4"/>
  <c r="FI177" i="4"/>
  <c r="FJ177" i="4"/>
  <c r="FK177" i="4"/>
  <c r="FL177" i="4"/>
  <c r="FM177" i="4"/>
  <c r="FN177" i="4"/>
  <c r="FO177" i="4"/>
  <c r="FP177" i="4"/>
  <c r="FQ177" i="4"/>
  <c r="FR177" i="4"/>
  <c r="FS177" i="4"/>
  <c r="FT177" i="4"/>
  <c r="FU177" i="4"/>
  <c r="FV177" i="4"/>
  <c r="FW177" i="4"/>
  <c r="FX177" i="4"/>
  <c r="FY177" i="4"/>
  <c r="FZ177" i="4"/>
  <c r="GA177" i="4"/>
  <c r="GB177" i="4"/>
  <c r="GC177" i="4"/>
  <c r="GD177" i="4"/>
  <c r="GE177" i="4"/>
  <c r="GF177" i="4"/>
  <c r="GG177" i="4"/>
  <c r="GH177" i="4"/>
  <c r="GI177" i="4"/>
  <c r="GJ177" i="4"/>
  <c r="GK177" i="4"/>
  <c r="GL177" i="4"/>
  <c r="GM177" i="4"/>
  <c r="GN177" i="4"/>
  <c r="GO177" i="4"/>
  <c r="GP177" i="4"/>
  <c r="GQ177" i="4"/>
  <c r="GR177" i="4"/>
  <c r="GS177" i="4"/>
  <c r="GT177" i="4"/>
  <c r="GU177" i="4"/>
  <c r="GV177" i="4"/>
  <c r="GW177" i="4"/>
  <c r="GX177" i="4"/>
  <c r="GY177" i="4"/>
  <c r="GZ177" i="4"/>
  <c r="HA177" i="4"/>
  <c r="HB177" i="4"/>
  <c r="HC177" i="4"/>
  <c r="HD177" i="4"/>
  <c r="HE177" i="4"/>
  <c r="HF177" i="4"/>
  <c r="HG177" i="4"/>
  <c r="HH177" i="4"/>
  <c r="HI177" i="4"/>
  <c r="HJ177" i="4"/>
  <c r="HK177" i="4"/>
  <c r="HL177" i="4"/>
  <c r="HM177" i="4"/>
  <c r="HN177" i="4"/>
  <c r="HO177" i="4"/>
  <c r="HP177" i="4"/>
  <c r="HQ177" i="4"/>
  <c r="HR177" i="4"/>
  <c r="HS177" i="4"/>
  <c r="HT177" i="4"/>
  <c r="HU177" i="4"/>
  <c r="HV177" i="4"/>
  <c r="HW177" i="4"/>
  <c r="HX177" i="4"/>
  <c r="HY177" i="4"/>
  <c r="HZ177" i="4"/>
  <c r="IA177" i="4"/>
  <c r="IB177" i="4"/>
  <c r="IC177" i="4"/>
  <c r="ID177" i="4"/>
  <c r="IE177" i="4"/>
  <c r="IF177" i="4"/>
  <c r="IG177" i="4"/>
  <c r="IH177" i="4"/>
  <c r="II177" i="4"/>
  <c r="IJ177" i="4"/>
  <c r="IK177" i="4"/>
  <c r="IL177" i="4"/>
  <c r="IM177" i="4"/>
  <c r="IN177" i="4"/>
  <c r="IO177" i="4"/>
  <c r="IP177" i="4"/>
  <c r="IQ177" i="4"/>
  <c r="IR177" i="4"/>
  <c r="IS177" i="4"/>
  <c r="IT177" i="4"/>
  <c r="IU177" i="4"/>
  <c r="IV177" i="4"/>
  <c r="A176" i="4"/>
  <c r="B176" i="4"/>
  <c r="C176" i="4"/>
  <c r="D176" i="4"/>
  <c r="E176" i="4"/>
  <c r="F176" i="4"/>
  <c r="G176" i="4"/>
  <c r="H176" i="4"/>
  <c r="I176" i="4"/>
  <c r="J176" i="4"/>
  <c r="K176" i="4"/>
  <c r="L176" i="4"/>
  <c r="M176" i="4"/>
  <c r="N176" i="4"/>
  <c r="O176" i="4"/>
  <c r="P176" i="4"/>
  <c r="Q176" i="4"/>
  <c r="R176" i="4"/>
  <c r="S176" i="4"/>
  <c r="T176" i="4"/>
  <c r="U176" i="4"/>
  <c r="V176" i="4"/>
  <c r="W176" i="4"/>
  <c r="X176" i="4"/>
  <c r="Y176" i="4"/>
  <c r="Z176" i="4"/>
  <c r="AA176" i="4"/>
  <c r="AB176" i="4"/>
  <c r="AC176" i="4"/>
  <c r="AD176" i="4"/>
  <c r="AE176" i="4"/>
  <c r="AF176" i="4"/>
  <c r="AG176" i="4"/>
  <c r="AH176" i="4"/>
  <c r="AI176" i="4"/>
  <c r="AJ176" i="4"/>
  <c r="AK176" i="4"/>
  <c r="AL176" i="4"/>
  <c r="AM176" i="4"/>
  <c r="AN176" i="4"/>
  <c r="AO176" i="4"/>
  <c r="AP176" i="4"/>
  <c r="AQ176" i="4"/>
  <c r="AR176" i="4"/>
  <c r="AS176" i="4"/>
  <c r="AT176" i="4"/>
  <c r="AU176" i="4"/>
  <c r="AV176" i="4"/>
  <c r="AW176" i="4"/>
  <c r="AX176" i="4"/>
  <c r="AY176" i="4"/>
  <c r="AZ176" i="4"/>
  <c r="BA176" i="4"/>
  <c r="BB176" i="4"/>
  <c r="BC176" i="4"/>
  <c r="BD176" i="4"/>
  <c r="BE176" i="4"/>
  <c r="BF176" i="4"/>
  <c r="BG176" i="4"/>
  <c r="BH176" i="4"/>
  <c r="BI176" i="4"/>
  <c r="BJ176" i="4"/>
  <c r="BK176" i="4"/>
  <c r="BL176" i="4"/>
  <c r="BM176" i="4"/>
  <c r="BN176" i="4"/>
  <c r="BO176" i="4"/>
  <c r="BP176" i="4"/>
  <c r="BQ176" i="4"/>
  <c r="BR176" i="4"/>
  <c r="BS176" i="4"/>
  <c r="BT176" i="4"/>
  <c r="BU176" i="4"/>
  <c r="BV176" i="4"/>
  <c r="BW176" i="4"/>
  <c r="BX176" i="4"/>
  <c r="BY176" i="4"/>
  <c r="BZ176" i="4"/>
  <c r="CA176" i="4"/>
  <c r="CB176" i="4"/>
  <c r="CC176" i="4"/>
  <c r="CD176" i="4"/>
  <c r="CE176" i="4"/>
  <c r="CF176" i="4"/>
  <c r="CG176" i="4"/>
  <c r="CH176" i="4"/>
  <c r="CI176" i="4"/>
  <c r="CJ176" i="4"/>
  <c r="CK176" i="4"/>
  <c r="CL176" i="4"/>
  <c r="CM176" i="4"/>
  <c r="CN176" i="4"/>
  <c r="CO176" i="4"/>
  <c r="CP176" i="4"/>
  <c r="CQ176" i="4"/>
  <c r="CR176" i="4"/>
  <c r="CS176" i="4"/>
  <c r="CT176" i="4"/>
  <c r="CU176" i="4"/>
  <c r="CV176" i="4"/>
  <c r="CW176" i="4"/>
  <c r="CX176" i="4"/>
  <c r="CY176" i="4"/>
  <c r="CZ176" i="4"/>
  <c r="DA176" i="4"/>
  <c r="DB176" i="4"/>
  <c r="DC176" i="4"/>
  <c r="DD176" i="4"/>
  <c r="DE176" i="4"/>
  <c r="DF176" i="4"/>
  <c r="DG176" i="4"/>
  <c r="DH176" i="4"/>
  <c r="DI176" i="4"/>
  <c r="DJ176" i="4"/>
  <c r="DK176" i="4"/>
  <c r="DL176" i="4"/>
  <c r="DM176" i="4"/>
  <c r="DN176" i="4"/>
  <c r="DO176" i="4"/>
  <c r="DP176" i="4"/>
  <c r="DQ176" i="4"/>
  <c r="DR176" i="4"/>
  <c r="DS176" i="4"/>
  <c r="DT176" i="4"/>
  <c r="DU176" i="4"/>
  <c r="DV176" i="4"/>
  <c r="DW176" i="4"/>
  <c r="DX176" i="4"/>
  <c r="DY176" i="4"/>
  <c r="DZ176" i="4"/>
  <c r="EA176" i="4"/>
  <c r="EB176" i="4"/>
  <c r="EC176" i="4"/>
  <c r="ED176" i="4"/>
  <c r="EE176" i="4"/>
  <c r="EF176" i="4"/>
  <c r="EG176" i="4"/>
  <c r="EH176" i="4"/>
  <c r="EI176" i="4"/>
  <c r="EJ176" i="4"/>
  <c r="EK176" i="4"/>
  <c r="EL176" i="4"/>
  <c r="EM176" i="4"/>
  <c r="EN176" i="4"/>
  <c r="EO176" i="4"/>
  <c r="EP176" i="4"/>
  <c r="EQ176" i="4"/>
  <c r="ER176" i="4"/>
  <c r="ES176" i="4"/>
  <c r="ET176" i="4"/>
  <c r="EU176" i="4"/>
  <c r="EV176" i="4"/>
  <c r="EW176" i="4"/>
  <c r="EX176" i="4"/>
  <c r="EY176" i="4"/>
  <c r="EZ176" i="4"/>
  <c r="FA176" i="4"/>
  <c r="FB176" i="4"/>
  <c r="FC176" i="4"/>
  <c r="FD176" i="4"/>
  <c r="FE176" i="4"/>
  <c r="FF176" i="4"/>
  <c r="FG176" i="4"/>
  <c r="FH176" i="4"/>
  <c r="FI176" i="4"/>
  <c r="FJ176" i="4"/>
  <c r="FK176" i="4"/>
  <c r="FL176" i="4"/>
  <c r="FM176" i="4"/>
  <c r="FN176" i="4"/>
  <c r="FO176" i="4"/>
  <c r="FP176" i="4"/>
  <c r="FQ176" i="4"/>
  <c r="FR176" i="4"/>
  <c r="FS176" i="4"/>
  <c r="FT176" i="4"/>
  <c r="FU176" i="4"/>
  <c r="FV176" i="4"/>
  <c r="FW176" i="4"/>
  <c r="FX176" i="4"/>
  <c r="FY176" i="4"/>
  <c r="FZ176" i="4"/>
  <c r="GA176" i="4"/>
  <c r="GB176" i="4"/>
  <c r="GC176" i="4"/>
  <c r="GD176" i="4"/>
  <c r="GE176" i="4"/>
  <c r="GF176" i="4"/>
  <c r="GG176" i="4"/>
  <c r="GH176" i="4"/>
  <c r="GI176" i="4"/>
  <c r="GJ176" i="4"/>
  <c r="GK176" i="4"/>
  <c r="GL176" i="4"/>
  <c r="GM176" i="4"/>
  <c r="GN176" i="4"/>
  <c r="GO176" i="4"/>
  <c r="GP176" i="4"/>
  <c r="GQ176" i="4"/>
  <c r="GR176" i="4"/>
  <c r="GS176" i="4"/>
  <c r="GT176" i="4"/>
  <c r="GU176" i="4"/>
  <c r="GV176" i="4"/>
  <c r="GW176" i="4"/>
  <c r="GX176" i="4"/>
  <c r="GY176" i="4"/>
  <c r="GZ176" i="4"/>
  <c r="HA176" i="4"/>
  <c r="HB176" i="4"/>
  <c r="HC176" i="4"/>
  <c r="HD176" i="4"/>
  <c r="HE176" i="4"/>
  <c r="HF176" i="4"/>
  <c r="HG176" i="4"/>
  <c r="HH176" i="4"/>
  <c r="HI176" i="4"/>
  <c r="HJ176" i="4"/>
  <c r="HK176" i="4"/>
  <c r="HL176" i="4"/>
  <c r="HM176" i="4"/>
  <c r="HN176" i="4"/>
  <c r="HO176" i="4"/>
  <c r="HP176" i="4"/>
  <c r="HQ176" i="4"/>
  <c r="HR176" i="4"/>
  <c r="HS176" i="4"/>
  <c r="HT176" i="4"/>
  <c r="HU176" i="4"/>
  <c r="HV176" i="4"/>
  <c r="HW176" i="4"/>
  <c r="HX176" i="4"/>
  <c r="HY176" i="4"/>
  <c r="HZ176" i="4"/>
  <c r="IA176" i="4"/>
  <c r="IB176" i="4"/>
  <c r="IC176" i="4"/>
  <c r="ID176" i="4"/>
  <c r="IE176" i="4"/>
  <c r="IF176" i="4"/>
  <c r="IG176" i="4"/>
  <c r="IH176" i="4"/>
  <c r="II176" i="4"/>
  <c r="IJ176" i="4"/>
  <c r="IK176" i="4"/>
  <c r="IL176" i="4"/>
  <c r="IM176" i="4"/>
  <c r="IN176" i="4"/>
  <c r="IO176" i="4"/>
  <c r="IP176" i="4"/>
  <c r="IQ176" i="4"/>
  <c r="IR176" i="4"/>
  <c r="IS176" i="4"/>
  <c r="IT176" i="4"/>
  <c r="IU176" i="4"/>
  <c r="IV176" i="4"/>
  <c r="A175" i="4"/>
  <c r="B175" i="4"/>
  <c r="C175" i="4"/>
  <c r="D175" i="4"/>
  <c r="E175" i="4"/>
  <c r="F175" i="4"/>
  <c r="G175" i="4"/>
  <c r="H175" i="4"/>
  <c r="I175" i="4"/>
  <c r="J175" i="4"/>
  <c r="K175" i="4"/>
  <c r="L175" i="4"/>
  <c r="M175" i="4"/>
  <c r="N175" i="4"/>
  <c r="O175" i="4"/>
  <c r="P175" i="4"/>
  <c r="Q175" i="4"/>
  <c r="R175" i="4"/>
  <c r="T175" i="4"/>
  <c r="U175" i="4"/>
  <c r="V175" i="4"/>
  <c r="W175" i="4"/>
  <c r="X175" i="4"/>
  <c r="Y175" i="4"/>
  <c r="Z175" i="4"/>
  <c r="AA175" i="4"/>
  <c r="AB175" i="4"/>
  <c r="AC175" i="4"/>
  <c r="AD175" i="4"/>
  <c r="AE175" i="4"/>
  <c r="AF175" i="4"/>
  <c r="AG175" i="4"/>
  <c r="AH175" i="4"/>
  <c r="AI175" i="4"/>
  <c r="AJ175" i="4"/>
  <c r="AK175" i="4"/>
  <c r="AL175" i="4"/>
  <c r="AM175" i="4"/>
  <c r="AN175" i="4"/>
  <c r="AO175" i="4"/>
  <c r="AP175" i="4"/>
  <c r="AQ175" i="4"/>
  <c r="AR175" i="4"/>
  <c r="AS175" i="4"/>
  <c r="AT175" i="4"/>
  <c r="AU175" i="4"/>
  <c r="AV175" i="4"/>
  <c r="AW175" i="4"/>
  <c r="AX175" i="4"/>
  <c r="AY175" i="4"/>
  <c r="AZ175" i="4"/>
  <c r="BA175" i="4"/>
  <c r="BB175" i="4"/>
  <c r="BC175" i="4"/>
  <c r="BD175" i="4"/>
  <c r="BE175" i="4"/>
  <c r="BF175" i="4"/>
  <c r="BG175" i="4"/>
  <c r="BH175" i="4"/>
  <c r="BI175" i="4"/>
  <c r="BJ175" i="4"/>
  <c r="BK175" i="4"/>
  <c r="BL175" i="4"/>
  <c r="BM175" i="4"/>
  <c r="BN175" i="4"/>
  <c r="BO175" i="4"/>
  <c r="BP175" i="4"/>
  <c r="BQ175" i="4"/>
  <c r="BR175" i="4"/>
  <c r="BS175" i="4"/>
  <c r="BT175" i="4"/>
  <c r="BU175" i="4"/>
  <c r="BV175" i="4"/>
  <c r="BW175" i="4"/>
  <c r="BX175" i="4"/>
  <c r="BY175" i="4"/>
  <c r="BZ175" i="4"/>
  <c r="CA175" i="4"/>
  <c r="CB175" i="4"/>
  <c r="CC175" i="4"/>
  <c r="CD175" i="4"/>
  <c r="CE175" i="4"/>
  <c r="CF175" i="4"/>
  <c r="CG175" i="4"/>
  <c r="CH175" i="4"/>
  <c r="CI175" i="4"/>
  <c r="CJ175" i="4"/>
  <c r="CK175" i="4"/>
  <c r="CL175" i="4"/>
  <c r="CM175" i="4"/>
  <c r="CN175" i="4"/>
  <c r="CO175" i="4"/>
  <c r="CP175" i="4"/>
  <c r="CQ175" i="4"/>
  <c r="CR175" i="4"/>
  <c r="CS175" i="4"/>
  <c r="CT175" i="4"/>
  <c r="CU175" i="4"/>
  <c r="CV175" i="4"/>
  <c r="CW175" i="4"/>
  <c r="CX175" i="4"/>
  <c r="CY175" i="4"/>
  <c r="CZ175" i="4"/>
  <c r="DA175" i="4"/>
  <c r="DB175" i="4"/>
  <c r="DC175" i="4"/>
  <c r="DD175" i="4"/>
  <c r="DE175" i="4"/>
  <c r="DF175" i="4"/>
  <c r="DG175" i="4"/>
  <c r="DH175" i="4"/>
  <c r="DI175" i="4"/>
  <c r="DJ175" i="4"/>
  <c r="DK175" i="4"/>
  <c r="DL175" i="4"/>
  <c r="DM175" i="4"/>
  <c r="DN175" i="4"/>
  <c r="DO175" i="4"/>
  <c r="DP175" i="4"/>
  <c r="DQ175" i="4"/>
  <c r="DR175" i="4"/>
  <c r="DS175" i="4"/>
  <c r="DT175" i="4"/>
  <c r="DU175" i="4"/>
  <c r="DV175" i="4"/>
  <c r="DW175" i="4"/>
  <c r="DX175" i="4"/>
  <c r="DY175" i="4"/>
  <c r="DZ175" i="4"/>
  <c r="EA175" i="4"/>
  <c r="EB175" i="4"/>
  <c r="EC175" i="4"/>
  <c r="ED175" i="4"/>
  <c r="EE175" i="4"/>
  <c r="EF175" i="4"/>
  <c r="EG175" i="4"/>
  <c r="EH175" i="4"/>
  <c r="EI175" i="4"/>
  <c r="EJ175" i="4"/>
  <c r="EK175" i="4"/>
  <c r="EL175" i="4"/>
  <c r="EM175" i="4"/>
  <c r="EN175" i="4"/>
  <c r="EO175" i="4"/>
  <c r="EP175" i="4"/>
  <c r="EQ175" i="4"/>
  <c r="ER175" i="4"/>
  <c r="ES175" i="4"/>
  <c r="ET175" i="4"/>
  <c r="EU175" i="4"/>
  <c r="EV175" i="4"/>
  <c r="EW175" i="4"/>
  <c r="EX175" i="4"/>
  <c r="EY175" i="4"/>
  <c r="EZ175" i="4"/>
  <c r="FA175" i="4"/>
  <c r="FB175" i="4"/>
  <c r="FC175" i="4"/>
  <c r="FD175" i="4"/>
  <c r="FE175" i="4"/>
  <c r="FF175" i="4"/>
  <c r="FG175" i="4"/>
  <c r="FH175" i="4"/>
  <c r="FI175" i="4"/>
  <c r="FJ175" i="4"/>
  <c r="FK175" i="4"/>
  <c r="FL175" i="4"/>
  <c r="FM175" i="4"/>
  <c r="FN175" i="4"/>
  <c r="FO175" i="4"/>
  <c r="FP175" i="4"/>
  <c r="FQ175" i="4"/>
  <c r="FR175" i="4"/>
  <c r="FS175" i="4"/>
  <c r="FT175" i="4"/>
  <c r="FU175" i="4"/>
  <c r="FV175" i="4"/>
  <c r="FW175" i="4"/>
  <c r="FX175" i="4"/>
  <c r="FY175" i="4"/>
  <c r="FZ175" i="4"/>
  <c r="GA175" i="4"/>
  <c r="GB175" i="4"/>
  <c r="GC175" i="4"/>
  <c r="GD175" i="4"/>
  <c r="GE175" i="4"/>
  <c r="GF175" i="4"/>
  <c r="GG175" i="4"/>
  <c r="GH175" i="4"/>
  <c r="GI175" i="4"/>
  <c r="GJ175" i="4"/>
  <c r="GK175" i="4"/>
  <c r="GL175" i="4"/>
  <c r="GM175" i="4"/>
  <c r="GN175" i="4"/>
  <c r="GO175" i="4"/>
  <c r="GP175" i="4"/>
  <c r="GQ175" i="4"/>
  <c r="GR175" i="4"/>
  <c r="GS175" i="4"/>
  <c r="GT175" i="4"/>
  <c r="GU175" i="4"/>
  <c r="GV175" i="4"/>
  <c r="GW175" i="4"/>
  <c r="GX175" i="4"/>
  <c r="GY175" i="4"/>
  <c r="GZ175" i="4"/>
  <c r="HA175" i="4"/>
  <c r="HB175" i="4"/>
  <c r="HC175" i="4"/>
  <c r="HD175" i="4"/>
  <c r="HE175" i="4"/>
  <c r="HF175" i="4"/>
  <c r="HG175" i="4"/>
  <c r="HH175" i="4"/>
  <c r="HI175" i="4"/>
  <c r="HJ175" i="4"/>
  <c r="HK175" i="4"/>
  <c r="HL175" i="4"/>
  <c r="HM175" i="4"/>
  <c r="HN175" i="4"/>
  <c r="HO175" i="4"/>
  <c r="HP175" i="4"/>
  <c r="HQ175" i="4"/>
  <c r="HR175" i="4"/>
  <c r="HS175" i="4"/>
  <c r="HT175" i="4"/>
  <c r="HU175" i="4"/>
  <c r="HV175" i="4"/>
  <c r="HW175" i="4"/>
  <c r="HX175" i="4"/>
  <c r="HY175" i="4"/>
  <c r="HZ175" i="4"/>
  <c r="IA175" i="4"/>
  <c r="IB175" i="4"/>
  <c r="IC175" i="4"/>
  <c r="ID175" i="4"/>
  <c r="IE175" i="4"/>
  <c r="IF175" i="4"/>
  <c r="IG175" i="4"/>
  <c r="IH175" i="4"/>
  <c r="II175" i="4"/>
  <c r="IJ175" i="4"/>
  <c r="IK175" i="4"/>
  <c r="IL175" i="4"/>
  <c r="IM175" i="4"/>
  <c r="IN175" i="4"/>
  <c r="IO175" i="4"/>
  <c r="IP175" i="4"/>
  <c r="IQ175" i="4"/>
  <c r="IR175" i="4"/>
  <c r="IS175" i="4"/>
  <c r="IT175" i="4"/>
  <c r="IU175" i="4"/>
  <c r="IV175" i="4"/>
  <c r="A174" i="4"/>
  <c r="B174" i="4"/>
  <c r="C174" i="4"/>
  <c r="D174" i="4"/>
  <c r="E174" i="4"/>
  <c r="F174" i="4"/>
  <c r="G174" i="4"/>
  <c r="H174" i="4"/>
  <c r="I174" i="4"/>
  <c r="J174" i="4"/>
  <c r="K174" i="4"/>
  <c r="L174" i="4"/>
  <c r="M174" i="4"/>
  <c r="N174" i="4"/>
  <c r="O174" i="4"/>
  <c r="P174" i="4"/>
  <c r="Q174" i="4"/>
  <c r="R174" i="4"/>
  <c r="S174" i="4"/>
  <c r="U174" i="4"/>
  <c r="V174" i="4"/>
  <c r="W174" i="4"/>
  <c r="X174" i="4"/>
  <c r="Y174" i="4"/>
  <c r="Z174" i="4"/>
  <c r="AA174" i="4"/>
  <c r="AB174" i="4"/>
  <c r="AC174" i="4"/>
  <c r="AD174" i="4"/>
  <c r="AE174" i="4"/>
  <c r="AF174" i="4"/>
  <c r="AG174" i="4"/>
  <c r="AH174" i="4"/>
  <c r="AI174" i="4"/>
  <c r="AJ174" i="4"/>
  <c r="AK174" i="4"/>
  <c r="AL174" i="4"/>
  <c r="AM174" i="4"/>
  <c r="AN174" i="4"/>
  <c r="AO174" i="4"/>
  <c r="AP174" i="4"/>
  <c r="AQ174" i="4"/>
  <c r="AR174" i="4"/>
  <c r="AS174" i="4"/>
  <c r="AT174" i="4"/>
  <c r="AU174" i="4"/>
  <c r="AV174" i="4"/>
  <c r="AW174" i="4"/>
  <c r="AX174" i="4"/>
  <c r="AY174" i="4"/>
  <c r="AZ174" i="4"/>
  <c r="BA174" i="4"/>
  <c r="BB174" i="4"/>
  <c r="BC174" i="4"/>
  <c r="BD174" i="4"/>
  <c r="BE174" i="4"/>
  <c r="BF174" i="4"/>
  <c r="BG174" i="4"/>
  <c r="BH174" i="4"/>
  <c r="BI174" i="4"/>
  <c r="BJ174" i="4"/>
  <c r="BK174" i="4"/>
  <c r="BL174" i="4"/>
  <c r="BM174" i="4"/>
  <c r="BN174" i="4"/>
  <c r="BO174" i="4"/>
  <c r="BP174" i="4"/>
  <c r="BQ174" i="4"/>
  <c r="BR174" i="4"/>
  <c r="BS174" i="4"/>
  <c r="BT174" i="4"/>
  <c r="BU174" i="4"/>
  <c r="BV174" i="4"/>
  <c r="BW174" i="4"/>
  <c r="BX174" i="4"/>
  <c r="BY174" i="4"/>
  <c r="BZ174" i="4"/>
  <c r="CA174" i="4"/>
  <c r="CB174" i="4"/>
  <c r="CC174" i="4"/>
  <c r="CD174" i="4"/>
  <c r="CE174" i="4"/>
  <c r="CF174" i="4"/>
  <c r="CG174" i="4"/>
  <c r="CH174" i="4"/>
  <c r="CI174" i="4"/>
  <c r="CJ174" i="4"/>
  <c r="CK174" i="4"/>
  <c r="CL174" i="4"/>
  <c r="CM174" i="4"/>
  <c r="CN174" i="4"/>
  <c r="CO174" i="4"/>
  <c r="CP174" i="4"/>
  <c r="CQ174" i="4"/>
  <c r="CR174" i="4"/>
  <c r="CS174" i="4"/>
  <c r="CT174" i="4"/>
  <c r="CU174" i="4"/>
  <c r="CV174" i="4"/>
  <c r="CW174" i="4"/>
  <c r="CX174" i="4"/>
  <c r="CY174" i="4"/>
  <c r="CZ174" i="4"/>
  <c r="DA174" i="4"/>
  <c r="DB174" i="4"/>
  <c r="DC174" i="4"/>
  <c r="DD174" i="4"/>
  <c r="DE174" i="4"/>
  <c r="DF174" i="4"/>
  <c r="DG174" i="4"/>
  <c r="DH174" i="4"/>
  <c r="DI174" i="4"/>
  <c r="DJ174" i="4"/>
  <c r="DK174" i="4"/>
  <c r="DL174" i="4"/>
  <c r="DM174" i="4"/>
  <c r="DN174" i="4"/>
  <c r="DO174" i="4"/>
  <c r="DP174" i="4"/>
  <c r="DQ174" i="4"/>
  <c r="DR174" i="4"/>
  <c r="DS174" i="4"/>
  <c r="DT174" i="4"/>
  <c r="DU174" i="4"/>
  <c r="DV174" i="4"/>
  <c r="DW174" i="4"/>
  <c r="DX174" i="4"/>
  <c r="DY174" i="4"/>
  <c r="DZ174" i="4"/>
  <c r="EA174" i="4"/>
  <c r="EB174" i="4"/>
  <c r="EC174" i="4"/>
  <c r="ED174" i="4"/>
  <c r="EE174" i="4"/>
  <c r="EF174" i="4"/>
  <c r="EG174" i="4"/>
  <c r="EH174" i="4"/>
  <c r="EI174" i="4"/>
  <c r="EJ174" i="4"/>
  <c r="EK174" i="4"/>
  <c r="EL174" i="4"/>
  <c r="EM174" i="4"/>
  <c r="EN174" i="4"/>
  <c r="EO174" i="4"/>
  <c r="EP174" i="4"/>
  <c r="EQ174" i="4"/>
  <c r="ER174" i="4"/>
  <c r="ES174" i="4"/>
  <c r="ET174" i="4"/>
  <c r="EU174" i="4"/>
  <c r="EV174" i="4"/>
  <c r="EW174" i="4"/>
  <c r="EX174" i="4"/>
  <c r="EY174" i="4"/>
  <c r="EZ174" i="4"/>
  <c r="FA174" i="4"/>
  <c r="FB174" i="4"/>
  <c r="FC174" i="4"/>
  <c r="FD174" i="4"/>
  <c r="FE174" i="4"/>
  <c r="FF174" i="4"/>
  <c r="FG174" i="4"/>
  <c r="FH174" i="4"/>
  <c r="FI174" i="4"/>
  <c r="FJ174" i="4"/>
  <c r="FK174" i="4"/>
  <c r="FL174" i="4"/>
  <c r="FM174" i="4"/>
  <c r="FN174" i="4"/>
  <c r="FO174" i="4"/>
  <c r="FP174" i="4"/>
  <c r="FQ174" i="4"/>
  <c r="FR174" i="4"/>
  <c r="FS174" i="4"/>
  <c r="FT174" i="4"/>
  <c r="FU174" i="4"/>
  <c r="FV174" i="4"/>
  <c r="FW174" i="4"/>
  <c r="FX174" i="4"/>
  <c r="FY174" i="4"/>
  <c r="FZ174" i="4"/>
  <c r="GA174" i="4"/>
  <c r="GB174" i="4"/>
  <c r="GC174" i="4"/>
  <c r="GD174" i="4"/>
  <c r="GE174" i="4"/>
  <c r="GF174" i="4"/>
  <c r="GG174" i="4"/>
  <c r="GH174" i="4"/>
  <c r="GI174" i="4"/>
  <c r="GJ174" i="4"/>
  <c r="GK174" i="4"/>
  <c r="GL174" i="4"/>
  <c r="GM174" i="4"/>
  <c r="GN174" i="4"/>
  <c r="GO174" i="4"/>
  <c r="GP174" i="4"/>
  <c r="GQ174" i="4"/>
  <c r="GR174" i="4"/>
  <c r="GS174" i="4"/>
  <c r="GT174" i="4"/>
  <c r="GU174" i="4"/>
  <c r="GV174" i="4"/>
  <c r="GW174" i="4"/>
  <c r="GX174" i="4"/>
  <c r="GY174" i="4"/>
  <c r="GZ174" i="4"/>
  <c r="HA174" i="4"/>
  <c r="HB174" i="4"/>
  <c r="HC174" i="4"/>
  <c r="HD174" i="4"/>
  <c r="HE174" i="4"/>
  <c r="HF174" i="4"/>
  <c r="HG174" i="4"/>
  <c r="HH174" i="4"/>
  <c r="HI174" i="4"/>
  <c r="HJ174" i="4"/>
  <c r="HK174" i="4"/>
  <c r="HL174" i="4"/>
  <c r="HM174" i="4"/>
  <c r="HN174" i="4"/>
  <c r="HO174" i="4"/>
  <c r="HP174" i="4"/>
  <c r="HQ174" i="4"/>
  <c r="HR174" i="4"/>
  <c r="HS174" i="4"/>
  <c r="HT174" i="4"/>
  <c r="HU174" i="4"/>
  <c r="HV174" i="4"/>
  <c r="HW174" i="4"/>
  <c r="HX174" i="4"/>
  <c r="HY174" i="4"/>
  <c r="HZ174" i="4"/>
  <c r="IA174" i="4"/>
  <c r="IB174" i="4"/>
  <c r="IC174" i="4"/>
  <c r="ID174" i="4"/>
  <c r="IE174" i="4"/>
  <c r="IF174" i="4"/>
  <c r="IG174" i="4"/>
  <c r="IH174" i="4"/>
  <c r="II174" i="4"/>
  <c r="IJ174" i="4"/>
  <c r="IK174" i="4"/>
  <c r="IL174" i="4"/>
  <c r="IM174" i="4"/>
  <c r="IN174" i="4"/>
  <c r="IO174" i="4"/>
  <c r="IP174" i="4"/>
  <c r="IQ174" i="4"/>
  <c r="IR174" i="4"/>
  <c r="IS174" i="4"/>
  <c r="IT174" i="4"/>
  <c r="IU174" i="4"/>
  <c r="IV174" i="4"/>
  <c r="A173" i="4"/>
  <c r="B173" i="4"/>
  <c r="C173" i="4"/>
  <c r="D173" i="4"/>
  <c r="E173" i="4"/>
  <c r="F173" i="4"/>
  <c r="G173" i="4"/>
  <c r="H173" i="4"/>
  <c r="I173" i="4"/>
  <c r="J173" i="4"/>
  <c r="K173" i="4"/>
  <c r="L173" i="4"/>
  <c r="M173" i="4"/>
  <c r="N173" i="4"/>
  <c r="O173" i="4"/>
  <c r="P173" i="4"/>
  <c r="Q173" i="4"/>
  <c r="R173" i="4"/>
  <c r="S173" i="4"/>
  <c r="T173" i="4"/>
  <c r="U173" i="4"/>
  <c r="V173" i="4"/>
  <c r="W173" i="4"/>
  <c r="X173" i="4"/>
  <c r="Y173" i="4"/>
  <c r="Z173" i="4"/>
  <c r="AA173" i="4"/>
  <c r="AB173" i="4"/>
  <c r="AC173" i="4"/>
  <c r="AD173" i="4"/>
  <c r="AE173" i="4"/>
  <c r="AF173" i="4"/>
  <c r="AG173" i="4"/>
  <c r="AH173" i="4"/>
  <c r="AI173" i="4"/>
  <c r="AJ173" i="4"/>
  <c r="AK173" i="4"/>
  <c r="AL173" i="4"/>
  <c r="AM173" i="4"/>
  <c r="AN173" i="4"/>
  <c r="AO173" i="4"/>
  <c r="AP173" i="4"/>
  <c r="AQ173" i="4"/>
  <c r="AR173" i="4"/>
  <c r="AS173" i="4"/>
  <c r="AT173" i="4"/>
  <c r="AU173" i="4"/>
  <c r="AV173" i="4"/>
  <c r="AW173" i="4"/>
  <c r="AX173" i="4"/>
  <c r="AY173" i="4"/>
  <c r="AZ173" i="4"/>
  <c r="BA173" i="4"/>
  <c r="BB173" i="4"/>
  <c r="BC173" i="4"/>
  <c r="BD173" i="4"/>
  <c r="BE173" i="4"/>
  <c r="BF173" i="4"/>
  <c r="BG173" i="4"/>
  <c r="BH173" i="4"/>
  <c r="BI173" i="4"/>
  <c r="BJ173" i="4"/>
  <c r="BK173" i="4"/>
  <c r="BL173" i="4"/>
  <c r="BM173" i="4"/>
  <c r="BN173" i="4"/>
  <c r="BO173" i="4"/>
  <c r="BP173" i="4"/>
  <c r="BQ173" i="4"/>
  <c r="BR173" i="4"/>
  <c r="BS173" i="4"/>
  <c r="BT173" i="4"/>
  <c r="BU173" i="4"/>
  <c r="BV173" i="4"/>
  <c r="BW173" i="4"/>
  <c r="BX173" i="4"/>
  <c r="BY173" i="4"/>
  <c r="BZ173" i="4"/>
  <c r="CA173" i="4"/>
  <c r="CB173" i="4"/>
  <c r="CC173" i="4"/>
  <c r="CD173" i="4"/>
  <c r="CE173" i="4"/>
  <c r="CF173" i="4"/>
  <c r="CG173" i="4"/>
  <c r="CH173" i="4"/>
  <c r="CI173" i="4"/>
  <c r="CJ173" i="4"/>
  <c r="CK173" i="4"/>
  <c r="CL173" i="4"/>
  <c r="CM173" i="4"/>
  <c r="CN173" i="4"/>
  <c r="CO173" i="4"/>
  <c r="CP173" i="4"/>
  <c r="CQ173" i="4"/>
  <c r="CR173" i="4"/>
  <c r="CS173" i="4"/>
  <c r="CT173" i="4"/>
  <c r="CU173" i="4"/>
  <c r="CV173" i="4"/>
  <c r="CW173" i="4"/>
  <c r="CX173" i="4"/>
  <c r="CY173" i="4"/>
  <c r="CZ173" i="4"/>
  <c r="DA173" i="4"/>
  <c r="DB173" i="4"/>
  <c r="DC173" i="4"/>
  <c r="DD173" i="4"/>
  <c r="DE173" i="4"/>
  <c r="DF173" i="4"/>
  <c r="DG173" i="4"/>
  <c r="DH173" i="4"/>
  <c r="DI173" i="4"/>
  <c r="DJ173" i="4"/>
  <c r="DK173" i="4"/>
  <c r="DL173" i="4"/>
  <c r="DM173" i="4"/>
  <c r="DN173" i="4"/>
  <c r="DO173" i="4"/>
  <c r="DP173" i="4"/>
  <c r="DQ173" i="4"/>
  <c r="DR173" i="4"/>
  <c r="DS173" i="4"/>
  <c r="DT173" i="4"/>
  <c r="DU173" i="4"/>
  <c r="DV173" i="4"/>
  <c r="DW173" i="4"/>
  <c r="DX173" i="4"/>
  <c r="DY173" i="4"/>
  <c r="DZ173" i="4"/>
  <c r="EA173" i="4"/>
  <c r="EB173" i="4"/>
  <c r="EC173" i="4"/>
  <c r="ED173" i="4"/>
  <c r="EE173" i="4"/>
  <c r="EF173" i="4"/>
  <c r="EG173" i="4"/>
  <c r="EH173" i="4"/>
  <c r="EI173" i="4"/>
  <c r="EJ173" i="4"/>
  <c r="EK173" i="4"/>
  <c r="EL173" i="4"/>
  <c r="EM173" i="4"/>
  <c r="EN173" i="4"/>
  <c r="EO173" i="4"/>
  <c r="EP173" i="4"/>
  <c r="EQ173" i="4"/>
  <c r="ER173" i="4"/>
  <c r="ES173" i="4"/>
  <c r="ET173" i="4"/>
  <c r="EU173" i="4"/>
  <c r="EV173" i="4"/>
  <c r="EW173" i="4"/>
  <c r="EX173" i="4"/>
  <c r="EY173" i="4"/>
  <c r="EZ173" i="4"/>
  <c r="FA173" i="4"/>
  <c r="FB173" i="4"/>
  <c r="FC173" i="4"/>
  <c r="FD173" i="4"/>
  <c r="FE173" i="4"/>
  <c r="FF173" i="4"/>
  <c r="FG173" i="4"/>
  <c r="FH173" i="4"/>
  <c r="FI173" i="4"/>
  <c r="FJ173" i="4"/>
  <c r="FK173" i="4"/>
  <c r="FL173" i="4"/>
  <c r="FM173" i="4"/>
  <c r="FN173" i="4"/>
  <c r="FO173" i="4"/>
  <c r="FP173" i="4"/>
  <c r="FQ173" i="4"/>
  <c r="FR173" i="4"/>
  <c r="FS173" i="4"/>
  <c r="FT173" i="4"/>
  <c r="FU173" i="4"/>
  <c r="FV173" i="4"/>
  <c r="FW173" i="4"/>
  <c r="FX173" i="4"/>
  <c r="FY173" i="4"/>
  <c r="FZ173" i="4"/>
  <c r="GA173" i="4"/>
  <c r="GB173" i="4"/>
  <c r="GC173" i="4"/>
  <c r="GD173" i="4"/>
  <c r="GE173" i="4"/>
  <c r="GF173" i="4"/>
  <c r="GG173" i="4"/>
  <c r="GH173" i="4"/>
  <c r="GI173" i="4"/>
  <c r="GJ173" i="4"/>
  <c r="GK173" i="4"/>
  <c r="GL173" i="4"/>
  <c r="GM173" i="4"/>
  <c r="GN173" i="4"/>
  <c r="GO173" i="4"/>
  <c r="GP173" i="4"/>
  <c r="GQ173" i="4"/>
  <c r="GR173" i="4"/>
  <c r="GS173" i="4"/>
  <c r="GT173" i="4"/>
  <c r="GU173" i="4"/>
  <c r="GV173" i="4"/>
  <c r="GW173" i="4"/>
  <c r="GX173" i="4"/>
  <c r="GY173" i="4"/>
  <c r="GZ173" i="4"/>
  <c r="HA173" i="4"/>
  <c r="HB173" i="4"/>
  <c r="HC173" i="4"/>
  <c r="HD173" i="4"/>
  <c r="HE173" i="4"/>
  <c r="HF173" i="4"/>
  <c r="HG173" i="4"/>
  <c r="HH173" i="4"/>
  <c r="HI173" i="4"/>
  <c r="HJ173" i="4"/>
  <c r="HK173" i="4"/>
  <c r="HL173" i="4"/>
  <c r="HM173" i="4"/>
  <c r="HN173" i="4"/>
  <c r="HO173" i="4"/>
  <c r="HP173" i="4"/>
  <c r="HQ173" i="4"/>
  <c r="HR173" i="4"/>
  <c r="HS173" i="4"/>
  <c r="HT173" i="4"/>
  <c r="HU173" i="4"/>
  <c r="HV173" i="4"/>
  <c r="HW173" i="4"/>
  <c r="HX173" i="4"/>
  <c r="HY173" i="4"/>
  <c r="HZ173" i="4"/>
  <c r="IA173" i="4"/>
  <c r="IB173" i="4"/>
  <c r="IC173" i="4"/>
  <c r="ID173" i="4"/>
  <c r="IE173" i="4"/>
  <c r="IF173" i="4"/>
  <c r="IG173" i="4"/>
  <c r="IH173" i="4"/>
  <c r="II173" i="4"/>
  <c r="IJ173" i="4"/>
  <c r="IK173" i="4"/>
  <c r="IL173" i="4"/>
  <c r="IM173" i="4"/>
  <c r="IN173" i="4"/>
  <c r="IO173" i="4"/>
  <c r="IP173" i="4"/>
  <c r="IQ173" i="4"/>
  <c r="IR173" i="4"/>
  <c r="IS173" i="4"/>
  <c r="IT173" i="4"/>
  <c r="IU173" i="4"/>
  <c r="IV173" i="4"/>
  <c r="A172" i="4"/>
  <c r="B172" i="4"/>
  <c r="C172" i="4"/>
  <c r="D172" i="4"/>
  <c r="E172" i="4"/>
  <c r="F172" i="4"/>
  <c r="G172" i="4"/>
  <c r="H172" i="4"/>
  <c r="I172" i="4"/>
  <c r="J172" i="4"/>
  <c r="K172" i="4"/>
  <c r="L172" i="4"/>
  <c r="M172" i="4"/>
  <c r="N172" i="4"/>
  <c r="O172" i="4"/>
  <c r="P172" i="4"/>
  <c r="Q172" i="4"/>
  <c r="R172" i="4"/>
  <c r="S172" i="4"/>
  <c r="T172" i="4"/>
  <c r="U172" i="4"/>
  <c r="V172" i="4"/>
  <c r="W172" i="4"/>
  <c r="X172" i="4"/>
  <c r="Y172" i="4"/>
  <c r="Z172" i="4"/>
  <c r="AA172" i="4"/>
  <c r="AB172" i="4"/>
  <c r="AC172" i="4"/>
  <c r="AD172" i="4"/>
  <c r="AE172" i="4"/>
  <c r="AF172" i="4"/>
  <c r="AG172" i="4"/>
  <c r="AH172" i="4"/>
  <c r="AI172" i="4"/>
  <c r="AJ172" i="4"/>
  <c r="AK172" i="4"/>
  <c r="AL172" i="4"/>
  <c r="AM172" i="4"/>
  <c r="AN172" i="4"/>
  <c r="AO172" i="4"/>
  <c r="AP172" i="4"/>
  <c r="AQ172" i="4"/>
  <c r="AR172" i="4"/>
  <c r="AS172" i="4"/>
  <c r="AT172" i="4"/>
  <c r="AU172" i="4"/>
  <c r="AV172" i="4"/>
  <c r="AW172" i="4"/>
  <c r="AX172" i="4"/>
  <c r="AY172" i="4"/>
  <c r="AZ172" i="4"/>
  <c r="BA172" i="4"/>
  <c r="BB172" i="4"/>
  <c r="BC172" i="4"/>
  <c r="BD172" i="4"/>
  <c r="BE172" i="4"/>
  <c r="BF172" i="4"/>
  <c r="BG172" i="4"/>
  <c r="BH172" i="4"/>
  <c r="BI172" i="4"/>
  <c r="BJ172" i="4"/>
  <c r="BK172" i="4"/>
  <c r="BL172" i="4"/>
  <c r="BM172" i="4"/>
  <c r="BN172" i="4"/>
  <c r="BO172" i="4"/>
  <c r="BP172" i="4"/>
  <c r="BQ172" i="4"/>
  <c r="BR172" i="4"/>
  <c r="BS172" i="4"/>
  <c r="BT172" i="4"/>
  <c r="BU172" i="4"/>
  <c r="BV172" i="4"/>
  <c r="BW172" i="4"/>
  <c r="BX172" i="4"/>
  <c r="BY172" i="4"/>
  <c r="BZ172" i="4"/>
  <c r="CA172" i="4"/>
  <c r="CB172" i="4"/>
  <c r="CC172" i="4"/>
  <c r="CD172" i="4"/>
  <c r="CE172" i="4"/>
  <c r="CF172" i="4"/>
  <c r="CG172" i="4"/>
  <c r="CH172" i="4"/>
  <c r="CI172" i="4"/>
  <c r="CJ172" i="4"/>
  <c r="CK172" i="4"/>
  <c r="CL172" i="4"/>
  <c r="CM172" i="4"/>
  <c r="CN172" i="4"/>
  <c r="CO172" i="4"/>
  <c r="CP172" i="4"/>
  <c r="CQ172" i="4"/>
  <c r="CR172" i="4"/>
  <c r="CS172" i="4"/>
  <c r="CT172" i="4"/>
  <c r="CU172" i="4"/>
  <c r="CV172" i="4"/>
  <c r="CW172" i="4"/>
  <c r="CX172" i="4"/>
  <c r="CY172" i="4"/>
  <c r="CZ172" i="4"/>
  <c r="DA172" i="4"/>
  <c r="DB172" i="4"/>
  <c r="DC172" i="4"/>
  <c r="DD172" i="4"/>
  <c r="DE172" i="4"/>
  <c r="DF172" i="4"/>
  <c r="DG172" i="4"/>
  <c r="DH172" i="4"/>
  <c r="DI172" i="4"/>
  <c r="DJ172" i="4"/>
  <c r="DK172" i="4"/>
  <c r="DL172" i="4"/>
  <c r="DM172" i="4"/>
  <c r="DN172" i="4"/>
  <c r="DO172" i="4"/>
  <c r="DP172" i="4"/>
  <c r="DQ172" i="4"/>
  <c r="DR172" i="4"/>
  <c r="DS172" i="4"/>
  <c r="DT172" i="4"/>
  <c r="DU172" i="4"/>
  <c r="DV172" i="4"/>
  <c r="DW172" i="4"/>
  <c r="DX172" i="4"/>
  <c r="DY172" i="4"/>
  <c r="DZ172" i="4"/>
  <c r="EA172" i="4"/>
  <c r="EB172" i="4"/>
  <c r="EC172" i="4"/>
  <c r="ED172" i="4"/>
  <c r="EE172" i="4"/>
  <c r="EF172" i="4"/>
  <c r="EG172" i="4"/>
  <c r="EH172" i="4"/>
  <c r="EI172" i="4"/>
  <c r="EJ172" i="4"/>
  <c r="EK172" i="4"/>
  <c r="EL172" i="4"/>
  <c r="EM172" i="4"/>
  <c r="EN172" i="4"/>
  <c r="EO172" i="4"/>
  <c r="EP172" i="4"/>
  <c r="EQ172" i="4"/>
  <c r="ER172" i="4"/>
  <c r="ES172" i="4"/>
  <c r="ET172" i="4"/>
  <c r="EU172" i="4"/>
  <c r="EV172" i="4"/>
  <c r="EW172" i="4"/>
  <c r="EX172" i="4"/>
  <c r="EY172" i="4"/>
  <c r="EZ172" i="4"/>
  <c r="FA172" i="4"/>
  <c r="FB172" i="4"/>
  <c r="FC172" i="4"/>
  <c r="FD172" i="4"/>
  <c r="FE172" i="4"/>
  <c r="FF172" i="4"/>
  <c r="FG172" i="4"/>
  <c r="FH172" i="4"/>
  <c r="FI172" i="4"/>
  <c r="FJ172" i="4"/>
  <c r="FK172" i="4"/>
  <c r="FL172" i="4"/>
  <c r="FM172" i="4"/>
  <c r="FN172" i="4"/>
  <c r="FO172" i="4"/>
  <c r="FP172" i="4"/>
  <c r="FQ172" i="4"/>
  <c r="FR172" i="4"/>
  <c r="FS172" i="4"/>
  <c r="FT172" i="4"/>
  <c r="FU172" i="4"/>
  <c r="FV172" i="4"/>
  <c r="FW172" i="4"/>
  <c r="FX172" i="4"/>
  <c r="FY172" i="4"/>
  <c r="FZ172" i="4"/>
  <c r="GA172" i="4"/>
  <c r="GB172" i="4"/>
  <c r="GC172" i="4"/>
  <c r="GD172" i="4"/>
  <c r="GE172" i="4"/>
  <c r="GF172" i="4"/>
  <c r="GG172" i="4"/>
  <c r="GH172" i="4"/>
  <c r="GI172" i="4"/>
  <c r="GJ172" i="4"/>
  <c r="GK172" i="4"/>
  <c r="GL172" i="4"/>
  <c r="GM172" i="4"/>
  <c r="GN172" i="4"/>
  <c r="GO172" i="4"/>
  <c r="GP172" i="4"/>
  <c r="GQ172" i="4"/>
  <c r="GR172" i="4"/>
  <c r="GS172" i="4"/>
  <c r="GT172" i="4"/>
  <c r="GU172" i="4"/>
  <c r="GV172" i="4"/>
  <c r="GW172" i="4"/>
  <c r="GX172" i="4"/>
  <c r="GY172" i="4"/>
  <c r="GZ172" i="4"/>
  <c r="HA172" i="4"/>
  <c r="HB172" i="4"/>
  <c r="HC172" i="4"/>
  <c r="HD172" i="4"/>
  <c r="HE172" i="4"/>
  <c r="HF172" i="4"/>
  <c r="HG172" i="4"/>
  <c r="HH172" i="4"/>
  <c r="HI172" i="4"/>
  <c r="HJ172" i="4"/>
  <c r="HK172" i="4"/>
  <c r="HL172" i="4"/>
  <c r="HM172" i="4"/>
  <c r="HN172" i="4"/>
  <c r="HO172" i="4"/>
  <c r="HP172" i="4"/>
  <c r="HQ172" i="4"/>
  <c r="HR172" i="4"/>
  <c r="HS172" i="4"/>
  <c r="HT172" i="4"/>
  <c r="HU172" i="4"/>
  <c r="HV172" i="4"/>
  <c r="HW172" i="4"/>
  <c r="HX172" i="4"/>
  <c r="HY172" i="4"/>
  <c r="HZ172" i="4"/>
  <c r="IA172" i="4"/>
  <c r="IB172" i="4"/>
  <c r="IC172" i="4"/>
  <c r="ID172" i="4"/>
  <c r="IE172" i="4"/>
  <c r="IF172" i="4"/>
  <c r="IG172" i="4"/>
  <c r="IH172" i="4"/>
  <c r="II172" i="4"/>
  <c r="IJ172" i="4"/>
  <c r="IK172" i="4"/>
  <c r="IL172" i="4"/>
  <c r="IM172" i="4"/>
  <c r="IN172" i="4"/>
  <c r="IO172" i="4"/>
  <c r="IP172" i="4"/>
  <c r="IQ172" i="4"/>
  <c r="IR172" i="4"/>
  <c r="IS172" i="4"/>
  <c r="IT172" i="4"/>
  <c r="IU172" i="4"/>
  <c r="IV172" i="4"/>
  <c r="A171" i="4"/>
  <c r="B171" i="4"/>
  <c r="C171" i="4"/>
  <c r="D171" i="4"/>
  <c r="E171" i="4"/>
  <c r="F171" i="4"/>
  <c r="G171" i="4"/>
  <c r="H171" i="4"/>
  <c r="I171" i="4"/>
  <c r="J171" i="4"/>
  <c r="K171" i="4"/>
  <c r="L171" i="4"/>
  <c r="M171" i="4"/>
  <c r="N171" i="4"/>
  <c r="O171" i="4"/>
  <c r="P171" i="4"/>
  <c r="Q171" i="4"/>
  <c r="R171" i="4"/>
  <c r="S171" i="4"/>
  <c r="T171" i="4"/>
  <c r="U171" i="4"/>
  <c r="V171" i="4"/>
  <c r="W171" i="4"/>
  <c r="X171" i="4"/>
  <c r="Y171" i="4"/>
  <c r="Z171" i="4"/>
  <c r="AA171" i="4"/>
  <c r="AB171" i="4"/>
  <c r="AC171" i="4"/>
  <c r="AD171" i="4"/>
  <c r="AE171" i="4"/>
  <c r="AF171" i="4"/>
  <c r="AG171" i="4"/>
  <c r="AH171" i="4"/>
  <c r="AI171" i="4"/>
  <c r="AJ171" i="4"/>
  <c r="AK171" i="4"/>
  <c r="AL171" i="4"/>
  <c r="AM171" i="4"/>
  <c r="AN171" i="4"/>
  <c r="AO171" i="4"/>
  <c r="AP171" i="4"/>
  <c r="AQ171" i="4"/>
  <c r="AR171" i="4"/>
  <c r="AS171" i="4"/>
  <c r="AT171" i="4"/>
  <c r="AU171" i="4"/>
  <c r="AV171" i="4"/>
  <c r="AW171" i="4"/>
  <c r="AX171" i="4"/>
  <c r="AY171" i="4"/>
  <c r="AZ171" i="4"/>
  <c r="BA171" i="4"/>
  <c r="BB171" i="4"/>
  <c r="BC171" i="4"/>
  <c r="BD171" i="4"/>
  <c r="BE171" i="4"/>
  <c r="BF171" i="4"/>
  <c r="BG171" i="4"/>
  <c r="BH171" i="4"/>
  <c r="BI171" i="4"/>
  <c r="BJ171" i="4"/>
  <c r="BK171" i="4"/>
  <c r="BL171" i="4"/>
  <c r="BM171" i="4"/>
  <c r="BN171" i="4"/>
  <c r="BO171" i="4"/>
  <c r="BP171" i="4"/>
  <c r="BQ171" i="4"/>
  <c r="BR171" i="4"/>
  <c r="BS171" i="4"/>
  <c r="BT171" i="4"/>
  <c r="BU171" i="4"/>
  <c r="BV171" i="4"/>
  <c r="BW171" i="4"/>
  <c r="BX171" i="4"/>
  <c r="BY171" i="4"/>
  <c r="BZ171" i="4"/>
  <c r="CA171" i="4"/>
  <c r="CB171" i="4"/>
  <c r="CC171" i="4"/>
  <c r="CD171" i="4"/>
  <c r="CE171" i="4"/>
  <c r="CF171" i="4"/>
  <c r="CG171" i="4"/>
  <c r="CH171" i="4"/>
  <c r="CI171" i="4"/>
  <c r="CJ171" i="4"/>
  <c r="CK171" i="4"/>
  <c r="CL171" i="4"/>
  <c r="CM171" i="4"/>
  <c r="CN171" i="4"/>
  <c r="CO171" i="4"/>
  <c r="CP171" i="4"/>
  <c r="CQ171" i="4"/>
  <c r="CR171" i="4"/>
  <c r="CS171" i="4"/>
  <c r="CT171" i="4"/>
  <c r="CU171" i="4"/>
  <c r="CV171" i="4"/>
  <c r="CW171" i="4"/>
  <c r="CX171" i="4"/>
  <c r="CY171" i="4"/>
  <c r="CZ171" i="4"/>
  <c r="DA171" i="4"/>
  <c r="DB171" i="4"/>
  <c r="DC171" i="4"/>
  <c r="DD171" i="4"/>
  <c r="DE171" i="4"/>
  <c r="DF171" i="4"/>
  <c r="DG171" i="4"/>
  <c r="DH171" i="4"/>
  <c r="DI171" i="4"/>
  <c r="DJ171" i="4"/>
  <c r="DK171" i="4"/>
  <c r="DL171" i="4"/>
  <c r="DM171" i="4"/>
  <c r="DN171" i="4"/>
  <c r="DO171" i="4"/>
  <c r="DP171" i="4"/>
  <c r="DQ171" i="4"/>
  <c r="DR171" i="4"/>
  <c r="DS171" i="4"/>
  <c r="DT171" i="4"/>
  <c r="DU171" i="4"/>
  <c r="DV171" i="4"/>
  <c r="DW171" i="4"/>
  <c r="DX171" i="4"/>
  <c r="DY171" i="4"/>
  <c r="DZ171" i="4"/>
  <c r="EA171" i="4"/>
  <c r="EB171" i="4"/>
  <c r="EC171" i="4"/>
  <c r="ED171" i="4"/>
  <c r="EE171" i="4"/>
  <c r="EF171" i="4"/>
  <c r="EG171" i="4"/>
  <c r="EH171" i="4"/>
  <c r="EI171" i="4"/>
  <c r="EJ171" i="4"/>
  <c r="EK171" i="4"/>
  <c r="EL171" i="4"/>
  <c r="EM171" i="4"/>
  <c r="EN171" i="4"/>
  <c r="EO171" i="4"/>
  <c r="EP171" i="4"/>
  <c r="EQ171" i="4"/>
  <c r="ER171" i="4"/>
  <c r="ES171" i="4"/>
  <c r="ET171" i="4"/>
  <c r="EU171" i="4"/>
  <c r="EV171" i="4"/>
  <c r="EW171" i="4"/>
  <c r="EX171" i="4"/>
  <c r="EY171" i="4"/>
  <c r="EZ171" i="4"/>
  <c r="FA171" i="4"/>
  <c r="FB171" i="4"/>
  <c r="FC171" i="4"/>
  <c r="FD171" i="4"/>
  <c r="FE171" i="4"/>
  <c r="FF171" i="4"/>
  <c r="FG171" i="4"/>
  <c r="FH171" i="4"/>
  <c r="FI171" i="4"/>
  <c r="FJ171" i="4"/>
  <c r="FK171" i="4"/>
  <c r="FL171" i="4"/>
  <c r="FM171" i="4"/>
  <c r="FN171" i="4"/>
  <c r="FO171" i="4"/>
  <c r="FP171" i="4"/>
  <c r="FQ171" i="4"/>
  <c r="FR171" i="4"/>
  <c r="FS171" i="4"/>
  <c r="FT171" i="4"/>
  <c r="FU171" i="4"/>
  <c r="FV171" i="4"/>
  <c r="FW171" i="4"/>
  <c r="FX171" i="4"/>
  <c r="FY171" i="4"/>
  <c r="FZ171" i="4"/>
  <c r="GA171" i="4"/>
  <c r="GB171" i="4"/>
  <c r="GC171" i="4"/>
  <c r="GD171" i="4"/>
  <c r="GE171" i="4"/>
  <c r="GF171" i="4"/>
  <c r="GG171" i="4"/>
  <c r="GH171" i="4"/>
  <c r="GI171" i="4"/>
  <c r="GJ171" i="4"/>
  <c r="GK171" i="4"/>
  <c r="GL171" i="4"/>
  <c r="GM171" i="4"/>
  <c r="GN171" i="4"/>
  <c r="GO171" i="4"/>
  <c r="GP171" i="4"/>
  <c r="GQ171" i="4"/>
  <c r="GR171" i="4"/>
  <c r="GS171" i="4"/>
  <c r="GT171" i="4"/>
  <c r="GU171" i="4"/>
  <c r="GV171" i="4"/>
  <c r="GW171" i="4"/>
  <c r="GX171" i="4"/>
  <c r="GY171" i="4"/>
  <c r="GZ171" i="4"/>
  <c r="HA171" i="4"/>
  <c r="HB171" i="4"/>
  <c r="HC171" i="4"/>
  <c r="HD171" i="4"/>
  <c r="HE171" i="4"/>
  <c r="HF171" i="4"/>
  <c r="HG171" i="4"/>
  <c r="HH171" i="4"/>
  <c r="HI171" i="4"/>
  <c r="HJ171" i="4"/>
  <c r="HK171" i="4"/>
  <c r="HL171" i="4"/>
  <c r="HM171" i="4"/>
  <c r="HN171" i="4"/>
  <c r="HO171" i="4"/>
  <c r="HP171" i="4"/>
  <c r="HQ171" i="4"/>
  <c r="HR171" i="4"/>
  <c r="HS171" i="4"/>
  <c r="HT171" i="4"/>
  <c r="HU171" i="4"/>
  <c r="HV171" i="4"/>
  <c r="HW171" i="4"/>
  <c r="HX171" i="4"/>
  <c r="HY171" i="4"/>
  <c r="HZ171" i="4"/>
  <c r="IA171" i="4"/>
  <c r="IB171" i="4"/>
  <c r="IC171" i="4"/>
  <c r="ID171" i="4"/>
  <c r="IE171" i="4"/>
  <c r="IF171" i="4"/>
  <c r="IG171" i="4"/>
  <c r="IH171" i="4"/>
  <c r="II171" i="4"/>
  <c r="IJ171" i="4"/>
  <c r="IK171" i="4"/>
  <c r="IL171" i="4"/>
  <c r="IM171" i="4"/>
  <c r="IN171" i="4"/>
  <c r="IO171" i="4"/>
  <c r="IP171" i="4"/>
  <c r="IQ171" i="4"/>
  <c r="IR171" i="4"/>
  <c r="IS171" i="4"/>
  <c r="IT171" i="4"/>
  <c r="IU171" i="4"/>
  <c r="IV171" i="4"/>
  <c r="A170" i="4"/>
  <c r="B170" i="4"/>
  <c r="C170" i="4"/>
  <c r="D170" i="4"/>
  <c r="E170" i="4"/>
  <c r="F170" i="4"/>
  <c r="G170" i="4"/>
  <c r="H170" i="4"/>
  <c r="I170" i="4"/>
  <c r="J170" i="4"/>
  <c r="K170" i="4"/>
  <c r="L170" i="4"/>
  <c r="M170" i="4"/>
  <c r="N170" i="4"/>
  <c r="O170" i="4"/>
  <c r="P170" i="4"/>
  <c r="Q170" i="4"/>
  <c r="R170" i="4"/>
  <c r="S170" i="4"/>
  <c r="T170" i="4"/>
  <c r="U170" i="4"/>
  <c r="V170" i="4"/>
  <c r="W170" i="4"/>
  <c r="X170" i="4"/>
  <c r="Y170" i="4"/>
  <c r="Z170" i="4"/>
  <c r="AA170" i="4"/>
  <c r="AB170" i="4"/>
  <c r="AC170" i="4"/>
  <c r="AD170" i="4"/>
  <c r="AE170" i="4"/>
  <c r="AF170" i="4"/>
  <c r="AG170" i="4"/>
  <c r="AH170" i="4"/>
  <c r="AI170" i="4"/>
  <c r="AJ170" i="4"/>
  <c r="AK170" i="4"/>
  <c r="AL170" i="4"/>
  <c r="AM170" i="4"/>
  <c r="AN170" i="4"/>
  <c r="AO170" i="4"/>
  <c r="AP170" i="4"/>
  <c r="AQ170" i="4"/>
  <c r="AR170" i="4"/>
  <c r="AS170" i="4"/>
  <c r="AT170" i="4"/>
  <c r="AU170" i="4"/>
  <c r="AV170" i="4"/>
  <c r="AW170" i="4"/>
  <c r="AX170" i="4"/>
  <c r="AY170" i="4"/>
  <c r="AZ170" i="4"/>
  <c r="BA170" i="4"/>
  <c r="BB170" i="4"/>
  <c r="BC170" i="4"/>
  <c r="BD170" i="4"/>
  <c r="BE170" i="4"/>
  <c r="BF170" i="4"/>
  <c r="BG170" i="4"/>
  <c r="BH170" i="4"/>
  <c r="BI170" i="4"/>
  <c r="BJ170" i="4"/>
  <c r="BK170" i="4"/>
  <c r="BL170" i="4"/>
  <c r="BM170" i="4"/>
  <c r="BN170" i="4"/>
  <c r="BO170" i="4"/>
  <c r="BP170" i="4"/>
  <c r="BQ170" i="4"/>
  <c r="BR170" i="4"/>
  <c r="BS170" i="4"/>
  <c r="BT170" i="4"/>
  <c r="BU170" i="4"/>
  <c r="BV170" i="4"/>
  <c r="BW170" i="4"/>
  <c r="BX170" i="4"/>
  <c r="BY170" i="4"/>
  <c r="BZ170" i="4"/>
  <c r="CA170" i="4"/>
  <c r="CB170" i="4"/>
  <c r="CC170" i="4"/>
  <c r="CD170" i="4"/>
  <c r="CE170" i="4"/>
  <c r="CF170" i="4"/>
  <c r="CG170" i="4"/>
  <c r="CH170" i="4"/>
  <c r="CI170" i="4"/>
  <c r="CJ170" i="4"/>
  <c r="CK170" i="4"/>
  <c r="CL170" i="4"/>
  <c r="CM170" i="4"/>
  <c r="CN170" i="4"/>
  <c r="CO170" i="4"/>
  <c r="CP170" i="4"/>
  <c r="CQ170" i="4"/>
  <c r="CR170" i="4"/>
  <c r="CS170" i="4"/>
  <c r="CT170" i="4"/>
  <c r="CU170" i="4"/>
  <c r="CV170" i="4"/>
  <c r="CW170" i="4"/>
  <c r="CX170" i="4"/>
  <c r="CY170" i="4"/>
  <c r="CZ170" i="4"/>
  <c r="DA170" i="4"/>
  <c r="DB170" i="4"/>
  <c r="DC170" i="4"/>
  <c r="DD170" i="4"/>
  <c r="DE170" i="4"/>
  <c r="DF170" i="4"/>
  <c r="DG170" i="4"/>
  <c r="DH170" i="4"/>
  <c r="DI170" i="4"/>
  <c r="DJ170" i="4"/>
  <c r="DK170" i="4"/>
  <c r="DL170" i="4"/>
  <c r="DM170" i="4"/>
  <c r="DN170" i="4"/>
  <c r="DO170" i="4"/>
  <c r="DP170" i="4"/>
  <c r="DQ170" i="4"/>
  <c r="DR170" i="4"/>
  <c r="DS170" i="4"/>
  <c r="DT170" i="4"/>
  <c r="DU170" i="4"/>
  <c r="DV170" i="4"/>
  <c r="DW170" i="4"/>
  <c r="DX170" i="4"/>
  <c r="DY170" i="4"/>
  <c r="DZ170" i="4"/>
  <c r="EA170" i="4"/>
  <c r="EB170" i="4"/>
  <c r="EC170" i="4"/>
  <c r="ED170" i="4"/>
  <c r="EE170" i="4"/>
  <c r="EF170" i="4"/>
  <c r="EG170" i="4"/>
  <c r="EH170" i="4"/>
  <c r="EI170" i="4"/>
  <c r="EJ170" i="4"/>
  <c r="EK170" i="4"/>
  <c r="EL170" i="4"/>
  <c r="EM170" i="4"/>
  <c r="EN170" i="4"/>
  <c r="EO170" i="4"/>
  <c r="EP170" i="4"/>
  <c r="EQ170" i="4"/>
  <c r="ER170" i="4"/>
  <c r="ES170" i="4"/>
  <c r="ET170" i="4"/>
  <c r="EU170" i="4"/>
  <c r="EV170" i="4"/>
  <c r="EW170" i="4"/>
  <c r="EX170" i="4"/>
  <c r="EY170" i="4"/>
  <c r="EZ170" i="4"/>
  <c r="FA170" i="4"/>
  <c r="FB170" i="4"/>
  <c r="FC170" i="4"/>
  <c r="FD170" i="4"/>
  <c r="FE170" i="4"/>
  <c r="FF170" i="4"/>
  <c r="FG170" i="4"/>
  <c r="FH170" i="4"/>
  <c r="FI170" i="4"/>
  <c r="FJ170" i="4"/>
  <c r="FK170" i="4"/>
  <c r="FL170" i="4"/>
  <c r="FM170" i="4"/>
  <c r="FN170" i="4"/>
  <c r="FO170" i="4"/>
  <c r="FP170" i="4"/>
  <c r="FQ170" i="4"/>
  <c r="FR170" i="4"/>
  <c r="FS170" i="4"/>
  <c r="FT170" i="4"/>
  <c r="FU170" i="4"/>
  <c r="FV170" i="4"/>
  <c r="FW170" i="4"/>
  <c r="FX170" i="4"/>
  <c r="FY170" i="4"/>
  <c r="FZ170" i="4"/>
  <c r="GA170" i="4"/>
  <c r="GB170" i="4"/>
  <c r="GC170" i="4"/>
  <c r="GD170" i="4"/>
  <c r="GE170" i="4"/>
  <c r="GF170" i="4"/>
  <c r="GG170" i="4"/>
  <c r="GH170" i="4"/>
  <c r="GI170" i="4"/>
  <c r="GJ170" i="4"/>
  <c r="GK170" i="4"/>
  <c r="GL170" i="4"/>
  <c r="GM170" i="4"/>
  <c r="GN170" i="4"/>
  <c r="GO170" i="4"/>
  <c r="GP170" i="4"/>
  <c r="GQ170" i="4"/>
  <c r="GR170" i="4"/>
  <c r="GS170" i="4"/>
  <c r="GT170" i="4"/>
  <c r="GU170" i="4"/>
  <c r="GV170" i="4"/>
  <c r="GW170" i="4"/>
  <c r="GX170" i="4"/>
  <c r="GY170" i="4"/>
  <c r="GZ170" i="4"/>
  <c r="HA170" i="4"/>
  <c r="HB170" i="4"/>
  <c r="HC170" i="4"/>
  <c r="HD170" i="4"/>
  <c r="HE170" i="4"/>
  <c r="HF170" i="4"/>
  <c r="HG170" i="4"/>
  <c r="HH170" i="4"/>
  <c r="HI170" i="4"/>
  <c r="HJ170" i="4"/>
  <c r="HK170" i="4"/>
  <c r="HL170" i="4"/>
  <c r="HM170" i="4"/>
  <c r="HN170" i="4"/>
  <c r="HO170" i="4"/>
  <c r="HP170" i="4"/>
  <c r="HQ170" i="4"/>
  <c r="HR170" i="4"/>
  <c r="HS170" i="4"/>
  <c r="HT170" i="4"/>
  <c r="HU170" i="4"/>
  <c r="HV170" i="4"/>
  <c r="HW170" i="4"/>
  <c r="HX170" i="4"/>
  <c r="HY170" i="4"/>
  <c r="HZ170" i="4"/>
  <c r="IA170" i="4"/>
  <c r="IB170" i="4"/>
  <c r="IC170" i="4"/>
  <c r="ID170" i="4"/>
  <c r="IE170" i="4"/>
  <c r="IF170" i="4"/>
  <c r="IG170" i="4"/>
  <c r="IH170" i="4"/>
  <c r="II170" i="4"/>
  <c r="IJ170" i="4"/>
  <c r="IK170" i="4"/>
  <c r="IL170" i="4"/>
  <c r="IM170" i="4"/>
  <c r="IN170" i="4"/>
  <c r="IO170" i="4"/>
  <c r="IP170" i="4"/>
  <c r="IQ170" i="4"/>
  <c r="IR170" i="4"/>
  <c r="IS170" i="4"/>
  <c r="IT170" i="4"/>
  <c r="IU170" i="4"/>
  <c r="IV170" i="4"/>
  <c r="A169" i="4"/>
  <c r="B169" i="4"/>
  <c r="C169" i="4"/>
  <c r="D169" i="4"/>
  <c r="E169" i="4"/>
  <c r="F169" i="4"/>
  <c r="G169" i="4"/>
  <c r="H169" i="4"/>
  <c r="I169" i="4"/>
  <c r="J169" i="4"/>
  <c r="K169" i="4"/>
  <c r="L169" i="4"/>
  <c r="M169" i="4"/>
  <c r="N169" i="4"/>
  <c r="O169" i="4"/>
  <c r="P169" i="4"/>
  <c r="Q169" i="4"/>
  <c r="R169" i="4"/>
  <c r="S169" i="4"/>
  <c r="T169" i="4"/>
  <c r="U169" i="4"/>
  <c r="V169" i="4"/>
  <c r="W169" i="4"/>
  <c r="X169" i="4"/>
  <c r="Y169" i="4"/>
  <c r="Z169" i="4"/>
  <c r="AA169" i="4"/>
  <c r="AB169" i="4"/>
  <c r="AC169" i="4"/>
  <c r="AD169" i="4"/>
  <c r="AE169" i="4"/>
  <c r="AF169" i="4"/>
  <c r="AG169" i="4"/>
  <c r="AH169" i="4"/>
  <c r="AI169" i="4"/>
  <c r="AJ169" i="4"/>
  <c r="AK169" i="4"/>
  <c r="AL169" i="4"/>
  <c r="AM169" i="4"/>
  <c r="AN169" i="4"/>
  <c r="AO169" i="4"/>
  <c r="AP169" i="4"/>
  <c r="AQ169" i="4"/>
  <c r="AR169" i="4"/>
  <c r="AS169" i="4"/>
  <c r="AT169" i="4"/>
  <c r="AU169" i="4"/>
  <c r="AV169" i="4"/>
  <c r="AW169" i="4"/>
  <c r="AX169" i="4"/>
  <c r="AY169" i="4"/>
  <c r="AZ169" i="4"/>
  <c r="BA169" i="4"/>
  <c r="BB169" i="4"/>
  <c r="BC169" i="4"/>
  <c r="BD169" i="4"/>
  <c r="BE169" i="4"/>
  <c r="BF169" i="4"/>
  <c r="BG169" i="4"/>
  <c r="BH169" i="4"/>
  <c r="BI169" i="4"/>
  <c r="BJ169" i="4"/>
  <c r="BK169" i="4"/>
  <c r="BL169" i="4"/>
  <c r="BM169" i="4"/>
  <c r="BN169" i="4"/>
  <c r="BO169" i="4"/>
  <c r="BP169" i="4"/>
  <c r="BQ169" i="4"/>
  <c r="BR169" i="4"/>
  <c r="BS169" i="4"/>
  <c r="BT169" i="4"/>
  <c r="BU169" i="4"/>
  <c r="BV169" i="4"/>
  <c r="BW169" i="4"/>
  <c r="BX169" i="4"/>
  <c r="BY169" i="4"/>
  <c r="BZ169" i="4"/>
  <c r="CA169" i="4"/>
  <c r="CB169" i="4"/>
  <c r="CC169" i="4"/>
  <c r="CD169" i="4"/>
  <c r="CE169" i="4"/>
  <c r="CF169" i="4"/>
  <c r="CG169" i="4"/>
  <c r="CH169" i="4"/>
  <c r="CI169" i="4"/>
  <c r="CJ169" i="4"/>
  <c r="CK169" i="4"/>
  <c r="CL169" i="4"/>
  <c r="CM169" i="4"/>
  <c r="CN169" i="4"/>
  <c r="CO169" i="4"/>
  <c r="CP169" i="4"/>
  <c r="CQ169" i="4"/>
  <c r="CR169" i="4"/>
  <c r="CS169" i="4"/>
  <c r="CT169" i="4"/>
  <c r="CU169" i="4"/>
  <c r="CV169" i="4"/>
  <c r="CW169" i="4"/>
  <c r="CX169" i="4"/>
  <c r="CY169" i="4"/>
  <c r="CZ169" i="4"/>
  <c r="DA169" i="4"/>
  <c r="DB169" i="4"/>
  <c r="DC169" i="4"/>
  <c r="DD169" i="4"/>
  <c r="DE169" i="4"/>
  <c r="DF169" i="4"/>
  <c r="DG169" i="4"/>
  <c r="DH169" i="4"/>
  <c r="DI169" i="4"/>
  <c r="DJ169" i="4"/>
  <c r="DK169" i="4"/>
  <c r="DL169" i="4"/>
  <c r="DM169" i="4"/>
  <c r="DN169" i="4"/>
  <c r="DO169" i="4"/>
  <c r="DP169" i="4"/>
  <c r="DQ169" i="4"/>
  <c r="DR169" i="4"/>
  <c r="DS169" i="4"/>
  <c r="DT169" i="4"/>
  <c r="DU169" i="4"/>
  <c r="DV169" i="4"/>
  <c r="DW169" i="4"/>
  <c r="DX169" i="4"/>
  <c r="DY169" i="4"/>
  <c r="DZ169" i="4"/>
  <c r="EA169" i="4"/>
  <c r="EB169" i="4"/>
  <c r="EC169" i="4"/>
  <c r="ED169" i="4"/>
  <c r="EE169" i="4"/>
  <c r="EF169" i="4"/>
  <c r="EG169" i="4"/>
  <c r="EH169" i="4"/>
  <c r="EI169" i="4"/>
  <c r="EJ169" i="4"/>
  <c r="EK169" i="4"/>
  <c r="EL169" i="4"/>
  <c r="EM169" i="4"/>
  <c r="EN169" i="4"/>
  <c r="EO169" i="4"/>
  <c r="EP169" i="4"/>
  <c r="EQ169" i="4"/>
  <c r="ER169" i="4"/>
  <c r="ES169" i="4"/>
  <c r="ET169" i="4"/>
  <c r="EU169" i="4"/>
  <c r="EV169" i="4"/>
  <c r="EW169" i="4"/>
  <c r="EX169" i="4"/>
  <c r="EY169" i="4"/>
  <c r="EZ169" i="4"/>
  <c r="FA169" i="4"/>
  <c r="FB169" i="4"/>
  <c r="FC169" i="4"/>
  <c r="FD169" i="4"/>
  <c r="FE169" i="4"/>
  <c r="FF169" i="4"/>
  <c r="FG169" i="4"/>
  <c r="FH169" i="4"/>
  <c r="FI169" i="4"/>
  <c r="FJ169" i="4"/>
  <c r="FK169" i="4"/>
  <c r="FL169" i="4"/>
  <c r="FM169" i="4"/>
  <c r="FN169" i="4"/>
  <c r="FO169" i="4"/>
  <c r="FP169" i="4"/>
  <c r="FQ169" i="4"/>
  <c r="FR169" i="4"/>
  <c r="FS169" i="4"/>
  <c r="FT169" i="4"/>
  <c r="FU169" i="4"/>
  <c r="FV169" i="4"/>
  <c r="FW169" i="4"/>
  <c r="FX169" i="4"/>
  <c r="FY169" i="4"/>
  <c r="FZ169" i="4"/>
  <c r="GA169" i="4"/>
  <c r="GB169" i="4"/>
  <c r="GC169" i="4"/>
  <c r="GD169" i="4"/>
  <c r="GE169" i="4"/>
  <c r="GF169" i="4"/>
  <c r="GG169" i="4"/>
  <c r="GH169" i="4"/>
  <c r="GI169" i="4"/>
  <c r="GJ169" i="4"/>
  <c r="GK169" i="4"/>
  <c r="GL169" i="4"/>
  <c r="GM169" i="4"/>
  <c r="GN169" i="4"/>
  <c r="GO169" i="4"/>
  <c r="GP169" i="4"/>
  <c r="GQ169" i="4"/>
  <c r="GR169" i="4"/>
  <c r="GS169" i="4"/>
  <c r="GT169" i="4"/>
  <c r="GU169" i="4"/>
  <c r="GV169" i="4"/>
  <c r="GW169" i="4"/>
  <c r="GX169" i="4"/>
  <c r="GY169" i="4"/>
  <c r="GZ169" i="4"/>
  <c r="HA169" i="4"/>
  <c r="HB169" i="4"/>
  <c r="HC169" i="4"/>
  <c r="HD169" i="4"/>
  <c r="HE169" i="4"/>
  <c r="HF169" i="4"/>
  <c r="HG169" i="4"/>
  <c r="HH169" i="4"/>
  <c r="HI169" i="4"/>
  <c r="HJ169" i="4"/>
  <c r="HK169" i="4"/>
  <c r="HL169" i="4"/>
  <c r="HM169" i="4"/>
  <c r="HN169" i="4"/>
  <c r="HO169" i="4"/>
  <c r="HP169" i="4"/>
  <c r="HQ169" i="4"/>
  <c r="HR169" i="4"/>
  <c r="HS169" i="4"/>
  <c r="HT169" i="4"/>
  <c r="HU169" i="4"/>
  <c r="HV169" i="4"/>
  <c r="HW169" i="4"/>
  <c r="HX169" i="4"/>
  <c r="HY169" i="4"/>
  <c r="HZ169" i="4"/>
  <c r="IA169" i="4"/>
  <c r="IB169" i="4"/>
  <c r="IC169" i="4"/>
  <c r="ID169" i="4"/>
  <c r="IE169" i="4"/>
  <c r="IF169" i="4"/>
  <c r="IG169" i="4"/>
  <c r="IH169" i="4"/>
  <c r="II169" i="4"/>
  <c r="IJ169" i="4"/>
  <c r="IK169" i="4"/>
  <c r="IL169" i="4"/>
  <c r="IM169" i="4"/>
  <c r="IN169" i="4"/>
  <c r="IO169" i="4"/>
  <c r="IP169" i="4"/>
  <c r="IQ169" i="4"/>
  <c r="IR169" i="4"/>
  <c r="IS169" i="4"/>
  <c r="IT169" i="4"/>
  <c r="IU169" i="4"/>
  <c r="IV169" i="4"/>
  <c r="A168" i="4"/>
  <c r="B168" i="4"/>
  <c r="C168" i="4"/>
  <c r="D168" i="4"/>
  <c r="E168" i="4"/>
  <c r="F168" i="4"/>
  <c r="G168" i="4"/>
  <c r="H168" i="4"/>
  <c r="I168" i="4"/>
  <c r="J168" i="4"/>
  <c r="K168" i="4"/>
  <c r="L168" i="4"/>
  <c r="M168" i="4"/>
  <c r="N168" i="4"/>
  <c r="O168" i="4"/>
  <c r="P168" i="4"/>
  <c r="Q168" i="4"/>
  <c r="R168" i="4"/>
  <c r="S168" i="4"/>
  <c r="T168" i="4"/>
  <c r="U168" i="4"/>
  <c r="V168" i="4"/>
  <c r="W168" i="4"/>
  <c r="X168" i="4"/>
  <c r="Y168" i="4"/>
  <c r="AA168" i="4"/>
  <c r="AB168" i="4"/>
  <c r="AC168" i="4"/>
  <c r="AD168" i="4"/>
  <c r="AE168" i="4"/>
  <c r="AF168" i="4"/>
  <c r="AG168" i="4"/>
  <c r="AH168" i="4"/>
  <c r="AI168" i="4"/>
  <c r="AJ168" i="4"/>
  <c r="AK168" i="4"/>
  <c r="AL168" i="4"/>
  <c r="AM168" i="4"/>
  <c r="AN168" i="4"/>
  <c r="AO168" i="4"/>
  <c r="AP168" i="4"/>
  <c r="AQ168" i="4"/>
  <c r="AR168" i="4"/>
  <c r="AS168" i="4"/>
  <c r="AT168" i="4"/>
  <c r="AU168" i="4"/>
  <c r="AV168" i="4"/>
  <c r="AW168" i="4"/>
  <c r="AX168" i="4"/>
  <c r="AY168" i="4"/>
  <c r="AZ168" i="4"/>
  <c r="BA168" i="4"/>
  <c r="BB168" i="4"/>
  <c r="BC168" i="4"/>
  <c r="BD168" i="4"/>
  <c r="BE168" i="4"/>
  <c r="BF168" i="4"/>
  <c r="BG168" i="4"/>
  <c r="BH168" i="4"/>
  <c r="BI168" i="4"/>
  <c r="BJ168" i="4"/>
  <c r="BK168" i="4"/>
  <c r="BL168" i="4"/>
  <c r="BM168" i="4"/>
  <c r="BN168" i="4"/>
  <c r="BO168" i="4"/>
  <c r="BP168" i="4"/>
  <c r="BQ168" i="4"/>
  <c r="BR168" i="4"/>
  <c r="BS168" i="4"/>
  <c r="BT168" i="4"/>
  <c r="BU168" i="4"/>
  <c r="BV168" i="4"/>
  <c r="BW168" i="4"/>
  <c r="BX168" i="4"/>
  <c r="BY168" i="4"/>
  <c r="BZ168" i="4"/>
  <c r="CA168" i="4"/>
  <c r="CB168" i="4"/>
  <c r="CC168" i="4"/>
  <c r="CD168" i="4"/>
  <c r="CE168" i="4"/>
  <c r="CF168" i="4"/>
  <c r="CG168" i="4"/>
  <c r="CH168" i="4"/>
  <c r="CI168" i="4"/>
  <c r="CJ168" i="4"/>
  <c r="CK168" i="4"/>
  <c r="CL168" i="4"/>
  <c r="CM168" i="4"/>
  <c r="CN168" i="4"/>
  <c r="CO168" i="4"/>
  <c r="CP168" i="4"/>
  <c r="CQ168" i="4"/>
  <c r="CR168" i="4"/>
  <c r="CS168" i="4"/>
  <c r="CT168" i="4"/>
  <c r="CU168" i="4"/>
  <c r="CV168" i="4"/>
  <c r="CW168" i="4"/>
  <c r="CX168" i="4"/>
  <c r="CY168" i="4"/>
  <c r="CZ168" i="4"/>
  <c r="DA168" i="4"/>
  <c r="DB168" i="4"/>
  <c r="DC168" i="4"/>
  <c r="DD168" i="4"/>
  <c r="DE168" i="4"/>
  <c r="DF168" i="4"/>
  <c r="DG168" i="4"/>
  <c r="DH168" i="4"/>
  <c r="DI168" i="4"/>
  <c r="DJ168" i="4"/>
  <c r="DK168" i="4"/>
  <c r="DL168" i="4"/>
  <c r="DM168" i="4"/>
  <c r="DN168" i="4"/>
  <c r="DO168" i="4"/>
  <c r="DP168" i="4"/>
  <c r="DQ168" i="4"/>
  <c r="DR168" i="4"/>
  <c r="DS168" i="4"/>
  <c r="DT168" i="4"/>
  <c r="DU168" i="4"/>
  <c r="DV168" i="4"/>
  <c r="DW168" i="4"/>
  <c r="DX168" i="4"/>
  <c r="DY168" i="4"/>
  <c r="DZ168" i="4"/>
  <c r="EA168" i="4"/>
  <c r="EB168" i="4"/>
  <c r="EC168" i="4"/>
  <c r="ED168" i="4"/>
  <c r="EE168" i="4"/>
  <c r="EF168" i="4"/>
  <c r="EG168" i="4"/>
  <c r="EH168" i="4"/>
  <c r="EI168" i="4"/>
  <c r="EJ168" i="4"/>
  <c r="EK168" i="4"/>
  <c r="EL168" i="4"/>
  <c r="EM168" i="4"/>
  <c r="EN168" i="4"/>
  <c r="EO168" i="4"/>
  <c r="EP168" i="4"/>
  <c r="EQ168" i="4"/>
  <c r="ER168" i="4"/>
  <c r="ES168" i="4"/>
  <c r="ET168" i="4"/>
  <c r="EU168" i="4"/>
  <c r="EV168" i="4"/>
  <c r="EW168" i="4"/>
  <c r="EX168" i="4"/>
  <c r="EY168" i="4"/>
  <c r="EZ168" i="4"/>
  <c r="FA168" i="4"/>
  <c r="FB168" i="4"/>
  <c r="FC168" i="4"/>
  <c r="FD168" i="4"/>
  <c r="FE168" i="4"/>
  <c r="FF168" i="4"/>
  <c r="FG168" i="4"/>
  <c r="FH168" i="4"/>
  <c r="FI168" i="4"/>
  <c r="FJ168" i="4"/>
  <c r="FK168" i="4"/>
  <c r="FL168" i="4"/>
  <c r="FM168" i="4"/>
  <c r="FN168" i="4"/>
  <c r="FO168" i="4"/>
  <c r="FP168" i="4"/>
  <c r="FQ168" i="4"/>
  <c r="FR168" i="4"/>
  <c r="FS168" i="4"/>
  <c r="FT168" i="4"/>
  <c r="FU168" i="4"/>
  <c r="FV168" i="4"/>
  <c r="FW168" i="4"/>
  <c r="FX168" i="4"/>
  <c r="FY168" i="4"/>
  <c r="FZ168" i="4"/>
  <c r="GA168" i="4"/>
  <c r="GB168" i="4"/>
  <c r="GC168" i="4"/>
  <c r="GD168" i="4"/>
  <c r="GE168" i="4"/>
  <c r="GF168" i="4"/>
  <c r="GG168" i="4"/>
  <c r="GH168" i="4"/>
  <c r="GI168" i="4"/>
  <c r="GJ168" i="4"/>
  <c r="GK168" i="4"/>
  <c r="GL168" i="4"/>
  <c r="GM168" i="4"/>
  <c r="GN168" i="4"/>
  <c r="GO168" i="4"/>
  <c r="GP168" i="4"/>
  <c r="GQ168" i="4"/>
  <c r="GR168" i="4"/>
  <c r="GS168" i="4"/>
  <c r="GT168" i="4"/>
  <c r="GU168" i="4"/>
  <c r="GV168" i="4"/>
  <c r="GW168" i="4"/>
  <c r="GX168" i="4"/>
  <c r="GY168" i="4"/>
  <c r="GZ168" i="4"/>
  <c r="HA168" i="4"/>
  <c r="HB168" i="4"/>
  <c r="HC168" i="4"/>
  <c r="HD168" i="4"/>
  <c r="HE168" i="4"/>
  <c r="HF168" i="4"/>
  <c r="HG168" i="4"/>
  <c r="HH168" i="4"/>
  <c r="HI168" i="4"/>
  <c r="HJ168" i="4"/>
  <c r="HK168" i="4"/>
  <c r="HL168" i="4"/>
  <c r="HM168" i="4"/>
  <c r="HN168" i="4"/>
  <c r="HO168" i="4"/>
  <c r="HP168" i="4"/>
  <c r="HQ168" i="4"/>
  <c r="HR168" i="4"/>
  <c r="HS168" i="4"/>
  <c r="HT168" i="4"/>
  <c r="HU168" i="4"/>
  <c r="HV168" i="4"/>
  <c r="HW168" i="4"/>
  <c r="HX168" i="4"/>
  <c r="HY168" i="4"/>
  <c r="HZ168" i="4"/>
  <c r="IA168" i="4"/>
  <c r="IB168" i="4"/>
  <c r="IC168" i="4"/>
  <c r="ID168" i="4"/>
  <c r="IE168" i="4"/>
  <c r="IF168" i="4"/>
  <c r="IG168" i="4"/>
  <c r="IH168" i="4"/>
  <c r="II168" i="4"/>
  <c r="IJ168" i="4"/>
  <c r="IK168" i="4"/>
  <c r="IL168" i="4"/>
  <c r="IM168" i="4"/>
  <c r="IN168" i="4"/>
  <c r="IO168" i="4"/>
  <c r="IP168" i="4"/>
  <c r="IQ168" i="4"/>
  <c r="IR168" i="4"/>
  <c r="IS168" i="4"/>
  <c r="IT168" i="4"/>
  <c r="IU168" i="4"/>
  <c r="IV168" i="4"/>
  <c r="A167" i="4"/>
  <c r="B167" i="4"/>
  <c r="C167" i="4"/>
  <c r="D167" i="4"/>
  <c r="E167" i="4"/>
  <c r="F167" i="4"/>
  <c r="G167" i="4"/>
  <c r="H167" i="4"/>
  <c r="I167" i="4"/>
  <c r="J167" i="4"/>
  <c r="K167" i="4"/>
  <c r="L167" i="4"/>
  <c r="M167" i="4"/>
  <c r="N167" i="4"/>
  <c r="O167" i="4"/>
  <c r="P167" i="4"/>
  <c r="Q167" i="4"/>
  <c r="R167" i="4"/>
  <c r="S167" i="4"/>
  <c r="T167" i="4"/>
  <c r="U167" i="4"/>
  <c r="V167" i="4"/>
  <c r="W167" i="4"/>
  <c r="X167" i="4"/>
  <c r="Y167" i="4"/>
  <c r="Z167" i="4"/>
  <c r="AB167" i="4"/>
  <c r="AC167" i="4"/>
  <c r="AD167" i="4"/>
  <c r="AE167" i="4"/>
  <c r="AF167" i="4"/>
  <c r="AG167" i="4"/>
  <c r="AH167" i="4"/>
  <c r="AI167" i="4"/>
  <c r="AJ167" i="4"/>
  <c r="AK167" i="4"/>
  <c r="AL167" i="4"/>
  <c r="AM167" i="4"/>
  <c r="AN167" i="4"/>
  <c r="AO167" i="4"/>
  <c r="AP167" i="4"/>
  <c r="AQ167" i="4"/>
  <c r="AR167" i="4"/>
  <c r="AS167" i="4"/>
  <c r="AT167" i="4"/>
  <c r="AU167" i="4"/>
  <c r="AV167" i="4"/>
  <c r="AW167" i="4"/>
  <c r="AX167" i="4"/>
  <c r="AY167" i="4"/>
  <c r="AZ167" i="4"/>
  <c r="BA167" i="4"/>
  <c r="BB167" i="4"/>
  <c r="BC167" i="4"/>
  <c r="BD167" i="4"/>
  <c r="BE167" i="4"/>
  <c r="BF167" i="4"/>
  <c r="BG167" i="4"/>
  <c r="BH167" i="4"/>
  <c r="BI167" i="4"/>
  <c r="BJ167" i="4"/>
  <c r="BK167" i="4"/>
  <c r="BL167" i="4"/>
  <c r="BM167" i="4"/>
  <c r="BN167" i="4"/>
  <c r="BO167" i="4"/>
  <c r="BP167" i="4"/>
  <c r="BQ167" i="4"/>
  <c r="BR167" i="4"/>
  <c r="BS167" i="4"/>
  <c r="BT167" i="4"/>
  <c r="BU167" i="4"/>
  <c r="BV167" i="4"/>
  <c r="BW167" i="4"/>
  <c r="BX167" i="4"/>
  <c r="BY167" i="4"/>
  <c r="BZ167" i="4"/>
  <c r="CA167" i="4"/>
  <c r="CB167" i="4"/>
  <c r="CC167" i="4"/>
  <c r="CD167" i="4"/>
  <c r="CE167" i="4"/>
  <c r="CF167" i="4"/>
  <c r="CG167" i="4"/>
  <c r="CH167" i="4"/>
  <c r="CI167" i="4"/>
  <c r="CJ167" i="4"/>
  <c r="CK167" i="4"/>
  <c r="CL167" i="4"/>
  <c r="CM167" i="4"/>
  <c r="CN167" i="4"/>
  <c r="CO167" i="4"/>
  <c r="CP167" i="4"/>
  <c r="CQ167" i="4"/>
  <c r="CR167" i="4"/>
  <c r="CS167" i="4"/>
  <c r="CT167" i="4"/>
  <c r="CU167" i="4"/>
  <c r="CV167" i="4"/>
  <c r="CW167" i="4"/>
  <c r="CX167" i="4"/>
  <c r="CY167" i="4"/>
  <c r="CZ167" i="4"/>
  <c r="DA167" i="4"/>
  <c r="DB167" i="4"/>
  <c r="DC167" i="4"/>
  <c r="DD167" i="4"/>
  <c r="DE167" i="4"/>
  <c r="DF167" i="4"/>
  <c r="DG167" i="4"/>
  <c r="DH167" i="4"/>
  <c r="DI167" i="4"/>
  <c r="DJ167" i="4"/>
  <c r="DK167" i="4"/>
  <c r="DL167" i="4"/>
  <c r="DM167" i="4"/>
  <c r="DN167" i="4"/>
  <c r="DO167" i="4"/>
  <c r="DP167" i="4"/>
  <c r="DQ167" i="4"/>
  <c r="DR167" i="4"/>
  <c r="DS167" i="4"/>
  <c r="DT167" i="4"/>
  <c r="DU167" i="4"/>
  <c r="DV167" i="4"/>
  <c r="DW167" i="4"/>
  <c r="DX167" i="4"/>
  <c r="DY167" i="4"/>
  <c r="DZ167" i="4"/>
  <c r="EA167" i="4"/>
  <c r="EB167" i="4"/>
  <c r="EC167" i="4"/>
  <c r="ED167" i="4"/>
  <c r="EE167" i="4"/>
  <c r="EF167" i="4"/>
  <c r="EG167" i="4"/>
  <c r="EH167" i="4"/>
  <c r="EI167" i="4"/>
  <c r="EJ167" i="4"/>
  <c r="EK167" i="4"/>
  <c r="EL167" i="4"/>
  <c r="EM167" i="4"/>
  <c r="EN167" i="4"/>
  <c r="EO167" i="4"/>
  <c r="EP167" i="4"/>
  <c r="EQ167" i="4"/>
  <c r="ER167" i="4"/>
  <c r="ES167" i="4"/>
  <c r="ET167" i="4"/>
  <c r="EU167" i="4"/>
  <c r="EV167" i="4"/>
  <c r="EW167" i="4"/>
  <c r="EX167" i="4"/>
  <c r="EY167" i="4"/>
  <c r="EZ167" i="4"/>
  <c r="FA167" i="4"/>
  <c r="FB167" i="4"/>
  <c r="FC167" i="4"/>
  <c r="FD167" i="4"/>
  <c r="FE167" i="4"/>
  <c r="FF167" i="4"/>
  <c r="FG167" i="4"/>
  <c r="FH167" i="4"/>
  <c r="FI167" i="4"/>
  <c r="FJ167" i="4"/>
  <c r="FK167" i="4"/>
  <c r="FL167" i="4"/>
  <c r="FM167" i="4"/>
  <c r="FN167" i="4"/>
  <c r="FO167" i="4"/>
  <c r="FP167" i="4"/>
  <c r="FQ167" i="4"/>
  <c r="FR167" i="4"/>
  <c r="FS167" i="4"/>
  <c r="FT167" i="4"/>
  <c r="FU167" i="4"/>
  <c r="FV167" i="4"/>
  <c r="FW167" i="4"/>
  <c r="FX167" i="4"/>
  <c r="FY167" i="4"/>
  <c r="FZ167" i="4"/>
  <c r="GA167" i="4"/>
  <c r="GB167" i="4"/>
  <c r="GC167" i="4"/>
  <c r="GD167" i="4"/>
  <c r="GE167" i="4"/>
  <c r="GF167" i="4"/>
  <c r="GG167" i="4"/>
  <c r="GH167" i="4"/>
  <c r="GI167" i="4"/>
  <c r="GJ167" i="4"/>
  <c r="GK167" i="4"/>
  <c r="GL167" i="4"/>
  <c r="GM167" i="4"/>
  <c r="GN167" i="4"/>
  <c r="GO167" i="4"/>
  <c r="GP167" i="4"/>
  <c r="GQ167" i="4"/>
  <c r="GR167" i="4"/>
  <c r="GS167" i="4"/>
  <c r="GT167" i="4"/>
  <c r="GU167" i="4"/>
  <c r="GV167" i="4"/>
  <c r="GW167" i="4"/>
  <c r="GX167" i="4"/>
  <c r="GY167" i="4"/>
  <c r="GZ167" i="4"/>
  <c r="HA167" i="4"/>
  <c r="HB167" i="4"/>
  <c r="HC167" i="4"/>
  <c r="HD167" i="4"/>
  <c r="HE167" i="4"/>
  <c r="HF167" i="4"/>
  <c r="HG167" i="4"/>
  <c r="HH167" i="4"/>
  <c r="HI167" i="4"/>
  <c r="HJ167" i="4"/>
  <c r="HK167" i="4"/>
  <c r="HL167" i="4"/>
  <c r="HM167" i="4"/>
  <c r="HN167" i="4"/>
  <c r="HO167" i="4"/>
  <c r="HP167" i="4"/>
  <c r="HQ167" i="4"/>
  <c r="HR167" i="4"/>
  <c r="HS167" i="4"/>
  <c r="HT167" i="4"/>
  <c r="HU167" i="4"/>
  <c r="HV167" i="4"/>
  <c r="HW167" i="4"/>
  <c r="HX167" i="4"/>
  <c r="HY167" i="4"/>
  <c r="HZ167" i="4"/>
  <c r="IA167" i="4"/>
  <c r="IB167" i="4"/>
  <c r="IC167" i="4"/>
  <c r="ID167" i="4"/>
  <c r="IE167" i="4"/>
  <c r="IF167" i="4"/>
  <c r="IG167" i="4"/>
  <c r="IH167" i="4"/>
  <c r="II167" i="4"/>
  <c r="IJ167" i="4"/>
  <c r="IK167" i="4"/>
  <c r="IL167" i="4"/>
  <c r="IM167" i="4"/>
  <c r="IN167" i="4"/>
  <c r="IO167" i="4"/>
  <c r="IP167" i="4"/>
  <c r="IQ167" i="4"/>
  <c r="IR167" i="4"/>
  <c r="IS167" i="4"/>
  <c r="IT167" i="4"/>
  <c r="IU167" i="4"/>
  <c r="IV167" i="4"/>
  <c r="A166" i="4"/>
  <c r="B166" i="4"/>
  <c r="C166" i="4"/>
  <c r="D166" i="4"/>
  <c r="E166" i="4"/>
  <c r="F166" i="4"/>
  <c r="G166" i="4"/>
  <c r="H166" i="4"/>
  <c r="I166" i="4"/>
  <c r="J166" i="4"/>
  <c r="K166" i="4"/>
  <c r="L166" i="4"/>
  <c r="M166" i="4"/>
  <c r="N166" i="4"/>
  <c r="O166" i="4"/>
  <c r="P166" i="4"/>
  <c r="Q166" i="4"/>
  <c r="R166" i="4"/>
  <c r="S166" i="4"/>
  <c r="T166" i="4"/>
  <c r="U166" i="4"/>
  <c r="V166" i="4"/>
  <c r="W166" i="4"/>
  <c r="X166" i="4"/>
  <c r="Y166" i="4"/>
  <c r="Z166" i="4"/>
  <c r="AA166" i="4"/>
  <c r="AC166" i="4"/>
  <c r="AD166" i="4"/>
  <c r="AE166" i="4"/>
  <c r="AF166" i="4"/>
  <c r="AG166" i="4"/>
  <c r="AH166" i="4"/>
  <c r="AI166" i="4"/>
  <c r="AJ166" i="4"/>
  <c r="AK166" i="4"/>
  <c r="AL166" i="4"/>
  <c r="AM166" i="4"/>
  <c r="AN166" i="4"/>
  <c r="AO166" i="4"/>
  <c r="AP166" i="4"/>
  <c r="AQ166" i="4"/>
  <c r="AR166" i="4"/>
  <c r="AS166" i="4"/>
  <c r="AT166" i="4"/>
  <c r="AU166" i="4"/>
  <c r="AV166" i="4"/>
  <c r="AW166" i="4"/>
  <c r="AX166" i="4"/>
  <c r="AY166" i="4"/>
  <c r="AZ166" i="4"/>
  <c r="BA166" i="4"/>
  <c r="BB166" i="4"/>
  <c r="BC166" i="4"/>
  <c r="BD166" i="4"/>
  <c r="BE166" i="4"/>
  <c r="BF166" i="4"/>
  <c r="BG166" i="4"/>
  <c r="BH166" i="4"/>
  <c r="BI166" i="4"/>
  <c r="BJ166" i="4"/>
  <c r="BK166" i="4"/>
  <c r="BL166" i="4"/>
  <c r="BM166" i="4"/>
  <c r="BN166" i="4"/>
  <c r="BO166" i="4"/>
  <c r="BP166" i="4"/>
  <c r="BQ166" i="4"/>
  <c r="BR166" i="4"/>
  <c r="BS166" i="4"/>
  <c r="BT166" i="4"/>
  <c r="BU166" i="4"/>
  <c r="BV166" i="4"/>
  <c r="BW166" i="4"/>
  <c r="BX166" i="4"/>
  <c r="BY166" i="4"/>
  <c r="BZ166" i="4"/>
  <c r="CA166" i="4"/>
  <c r="CB166" i="4"/>
  <c r="CC166" i="4"/>
  <c r="CD166" i="4"/>
  <c r="CE166" i="4"/>
  <c r="CF166" i="4"/>
  <c r="CG166" i="4"/>
  <c r="CH166" i="4"/>
  <c r="CI166" i="4"/>
  <c r="CJ166" i="4"/>
  <c r="CK166" i="4"/>
  <c r="CL166" i="4"/>
  <c r="CM166" i="4"/>
  <c r="CN166" i="4"/>
  <c r="CO166" i="4"/>
  <c r="CP166" i="4"/>
  <c r="CQ166" i="4"/>
  <c r="CR166" i="4"/>
  <c r="CS166" i="4"/>
  <c r="CT166" i="4"/>
  <c r="CU166" i="4"/>
  <c r="CV166" i="4"/>
  <c r="CW166" i="4"/>
  <c r="CX166" i="4"/>
  <c r="CY166" i="4"/>
  <c r="CZ166" i="4"/>
  <c r="DA166" i="4"/>
  <c r="DB166" i="4"/>
  <c r="DC166" i="4"/>
  <c r="DD166" i="4"/>
  <c r="DE166" i="4"/>
  <c r="DF166" i="4"/>
  <c r="DG166" i="4"/>
  <c r="DH166" i="4"/>
  <c r="DI166" i="4"/>
  <c r="DJ166" i="4"/>
  <c r="DK166" i="4"/>
  <c r="DL166" i="4"/>
  <c r="DM166" i="4"/>
  <c r="DN166" i="4"/>
  <c r="DO166" i="4"/>
  <c r="DP166" i="4"/>
  <c r="DQ166" i="4"/>
  <c r="DR166" i="4"/>
  <c r="DS166" i="4"/>
  <c r="DT166" i="4"/>
  <c r="DU166" i="4"/>
  <c r="DV166" i="4"/>
  <c r="DW166" i="4"/>
  <c r="DX166" i="4"/>
  <c r="DY166" i="4"/>
  <c r="DZ166" i="4"/>
  <c r="EA166" i="4"/>
  <c r="EB166" i="4"/>
  <c r="EC166" i="4"/>
  <c r="ED166" i="4"/>
  <c r="EE166" i="4"/>
  <c r="EF166" i="4"/>
  <c r="EG166" i="4"/>
  <c r="EH166" i="4"/>
  <c r="EI166" i="4"/>
  <c r="EJ166" i="4"/>
  <c r="EK166" i="4"/>
  <c r="EL166" i="4"/>
  <c r="EM166" i="4"/>
  <c r="EN166" i="4"/>
  <c r="EO166" i="4"/>
  <c r="EP166" i="4"/>
  <c r="EQ166" i="4"/>
  <c r="ER166" i="4"/>
  <c r="ES166" i="4"/>
  <c r="ET166" i="4"/>
  <c r="EU166" i="4"/>
  <c r="EV166" i="4"/>
  <c r="EW166" i="4"/>
  <c r="EX166" i="4"/>
  <c r="EY166" i="4"/>
  <c r="EZ166" i="4"/>
  <c r="FA166" i="4"/>
  <c r="FB166" i="4"/>
  <c r="FC166" i="4"/>
  <c r="FD166" i="4"/>
  <c r="FE166" i="4"/>
  <c r="FF166" i="4"/>
  <c r="FG166" i="4"/>
  <c r="FH166" i="4"/>
  <c r="FI166" i="4"/>
  <c r="FJ166" i="4"/>
  <c r="FK166" i="4"/>
  <c r="FL166" i="4"/>
  <c r="FM166" i="4"/>
  <c r="FN166" i="4"/>
  <c r="FO166" i="4"/>
  <c r="FP166" i="4"/>
  <c r="FQ166" i="4"/>
  <c r="FR166" i="4"/>
  <c r="FS166" i="4"/>
  <c r="FT166" i="4"/>
  <c r="FU166" i="4"/>
  <c r="FV166" i="4"/>
  <c r="FW166" i="4"/>
  <c r="FX166" i="4"/>
  <c r="FY166" i="4"/>
  <c r="FZ166" i="4"/>
  <c r="GA166" i="4"/>
  <c r="GB166" i="4"/>
  <c r="GC166" i="4"/>
  <c r="GD166" i="4"/>
  <c r="GE166" i="4"/>
  <c r="GF166" i="4"/>
  <c r="GG166" i="4"/>
  <c r="GH166" i="4"/>
  <c r="GI166" i="4"/>
  <c r="GJ166" i="4"/>
  <c r="GK166" i="4"/>
  <c r="GL166" i="4"/>
  <c r="GM166" i="4"/>
  <c r="GN166" i="4"/>
  <c r="GO166" i="4"/>
  <c r="GP166" i="4"/>
  <c r="GQ166" i="4"/>
  <c r="GR166" i="4"/>
  <c r="GS166" i="4"/>
  <c r="GT166" i="4"/>
  <c r="GU166" i="4"/>
  <c r="GV166" i="4"/>
  <c r="GW166" i="4"/>
  <c r="GX166" i="4"/>
  <c r="GY166" i="4"/>
  <c r="GZ166" i="4"/>
  <c r="HA166" i="4"/>
  <c r="HB166" i="4"/>
  <c r="HC166" i="4"/>
  <c r="HD166" i="4"/>
  <c r="HE166" i="4"/>
  <c r="HF166" i="4"/>
  <c r="HG166" i="4"/>
  <c r="HH166" i="4"/>
  <c r="HI166" i="4"/>
  <c r="HJ166" i="4"/>
  <c r="HK166" i="4"/>
  <c r="HL166" i="4"/>
  <c r="HM166" i="4"/>
  <c r="HN166" i="4"/>
  <c r="HO166" i="4"/>
  <c r="HP166" i="4"/>
  <c r="HQ166" i="4"/>
  <c r="HR166" i="4"/>
  <c r="HS166" i="4"/>
  <c r="HT166" i="4"/>
  <c r="HU166" i="4"/>
  <c r="HV166" i="4"/>
  <c r="HW166" i="4"/>
  <c r="HX166" i="4"/>
  <c r="HY166" i="4"/>
  <c r="HZ166" i="4"/>
  <c r="IA166" i="4"/>
  <c r="IB166" i="4"/>
  <c r="IC166" i="4"/>
  <c r="ID166" i="4"/>
  <c r="IE166" i="4"/>
  <c r="IF166" i="4"/>
  <c r="IG166" i="4"/>
  <c r="IH166" i="4"/>
  <c r="II166" i="4"/>
  <c r="IJ166" i="4"/>
  <c r="IK166" i="4"/>
  <c r="IL166" i="4"/>
  <c r="IM166" i="4"/>
  <c r="IN166" i="4"/>
  <c r="IO166" i="4"/>
  <c r="IP166" i="4"/>
  <c r="IQ166" i="4"/>
  <c r="IR166" i="4"/>
  <c r="IS166" i="4"/>
  <c r="IT166" i="4"/>
  <c r="IU166" i="4"/>
  <c r="IV166" i="4"/>
  <c r="A165" i="4"/>
  <c r="B165" i="4"/>
  <c r="C165" i="4"/>
  <c r="D165" i="4"/>
  <c r="E165" i="4"/>
  <c r="F165" i="4"/>
  <c r="G165" i="4"/>
  <c r="H165" i="4"/>
  <c r="I165" i="4"/>
  <c r="J165" i="4"/>
  <c r="K165" i="4"/>
  <c r="L165" i="4"/>
  <c r="M165" i="4"/>
  <c r="N165" i="4"/>
  <c r="O165" i="4"/>
  <c r="P165" i="4"/>
  <c r="Q165" i="4"/>
  <c r="R165" i="4"/>
  <c r="S165" i="4"/>
  <c r="T165" i="4"/>
  <c r="U165" i="4"/>
  <c r="V165" i="4"/>
  <c r="W165" i="4"/>
  <c r="X165" i="4"/>
  <c r="Y165" i="4"/>
  <c r="Z165" i="4"/>
  <c r="AA165" i="4"/>
  <c r="AB165" i="4"/>
  <c r="AD165" i="4"/>
  <c r="AE165" i="4"/>
  <c r="AF165" i="4"/>
  <c r="AG165" i="4"/>
  <c r="AH165" i="4"/>
  <c r="AI165" i="4"/>
  <c r="AJ165" i="4"/>
  <c r="AK165" i="4"/>
  <c r="AL165" i="4"/>
  <c r="AM165" i="4"/>
  <c r="AN165" i="4"/>
  <c r="AO165" i="4"/>
  <c r="AP165" i="4"/>
  <c r="AQ165" i="4"/>
  <c r="AR165" i="4"/>
  <c r="AS165" i="4"/>
  <c r="AT165" i="4"/>
  <c r="AU165" i="4"/>
  <c r="AV165" i="4"/>
  <c r="AW165" i="4"/>
  <c r="AX165" i="4"/>
  <c r="AY165" i="4"/>
  <c r="AZ165" i="4"/>
  <c r="BA165" i="4"/>
  <c r="BB165" i="4"/>
  <c r="BC165" i="4"/>
  <c r="BD165" i="4"/>
  <c r="BE165" i="4"/>
  <c r="BF165" i="4"/>
  <c r="BG165" i="4"/>
  <c r="BH165" i="4"/>
  <c r="BI165" i="4"/>
  <c r="BJ165" i="4"/>
  <c r="BK165" i="4"/>
  <c r="BL165" i="4"/>
  <c r="BM165" i="4"/>
  <c r="BN165" i="4"/>
  <c r="BO165" i="4"/>
  <c r="BP165" i="4"/>
  <c r="BQ165" i="4"/>
  <c r="BR165" i="4"/>
  <c r="BS165" i="4"/>
  <c r="BT165" i="4"/>
  <c r="BU165" i="4"/>
  <c r="BV165" i="4"/>
  <c r="BW165" i="4"/>
  <c r="BX165" i="4"/>
  <c r="BY165" i="4"/>
  <c r="BZ165" i="4"/>
  <c r="CA165" i="4"/>
  <c r="CB165" i="4"/>
  <c r="CC165" i="4"/>
  <c r="CD165" i="4"/>
  <c r="CE165" i="4"/>
  <c r="CF165" i="4"/>
  <c r="CG165" i="4"/>
  <c r="CH165" i="4"/>
  <c r="CI165" i="4"/>
  <c r="CJ165" i="4"/>
  <c r="CK165" i="4"/>
  <c r="CL165" i="4"/>
  <c r="CM165" i="4"/>
  <c r="CN165" i="4"/>
  <c r="CO165" i="4"/>
  <c r="CP165" i="4"/>
  <c r="CQ165" i="4"/>
  <c r="CR165" i="4"/>
  <c r="CS165" i="4"/>
  <c r="CT165" i="4"/>
  <c r="CU165" i="4"/>
  <c r="CV165" i="4"/>
  <c r="CW165" i="4"/>
  <c r="CX165" i="4"/>
  <c r="CY165" i="4"/>
  <c r="CZ165" i="4"/>
  <c r="DA165" i="4"/>
  <c r="DB165" i="4"/>
  <c r="DC165" i="4"/>
  <c r="DD165" i="4"/>
  <c r="DE165" i="4"/>
  <c r="DF165" i="4"/>
  <c r="DG165" i="4"/>
  <c r="DH165" i="4"/>
  <c r="DI165" i="4"/>
  <c r="DJ165" i="4"/>
  <c r="DK165" i="4"/>
  <c r="DL165" i="4"/>
  <c r="DM165" i="4"/>
  <c r="DN165" i="4"/>
  <c r="DO165" i="4"/>
  <c r="DP165" i="4"/>
  <c r="DQ165" i="4"/>
  <c r="DR165" i="4"/>
  <c r="DS165" i="4"/>
  <c r="DT165" i="4"/>
  <c r="DU165" i="4"/>
  <c r="DV165" i="4"/>
  <c r="DW165" i="4"/>
  <c r="DX165" i="4"/>
  <c r="DY165" i="4"/>
  <c r="DZ165" i="4"/>
  <c r="EA165" i="4"/>
  <c r="EB165" i="4"/>
  <c r="EC165" i="4"/>
  <c r="ED165" i="4"/>
  <c r="EE165" i="4"/>
  <c r="EF165" i="4"/>
  <c r="EG165" i="4"/>
  <c r="EH165" i="4"/>
  <c r="EI165" i="4"/>
  <c r="EJ165" i="4"/>
  <c r="EK165" i="4"/>
  <c r="EL165" i="4"/>
  <c r="EM165" i="4"/>
  <c r="EN165" i="4"/>
  <c r="EO165" i="4"/>
  <c r="EP165" i="4"/>
  <c r="EQ165" i="4"/>
  <c r="ER165" i="4"/>
  <c r="ES165" i="4"/>
  <c r="ET165" i="4"/>
  <c r="EU165" i="4"/>
  <c r="EV165" i="4"/>
  <c r="EW165" i="4"/>
  <c r="EX165" i="4"/>
  <c r="EY165" i="4"/>
  <c r="EZ165" i="4"/>
  <c r="FA165" i="4"/>
  <c r="FB165" i="4"/>
  <c r="FC165" i="4"/>
  <c r="FD165" i="4"/>
  <c r="FE165" i="4"/>
  <c r="FF165" i="4"/>
  <c r="FG165" i="4"/>
  <c r="FH165" i="4"/>
  <c r="FI165" i="4"/>
  <c r="FJ165" i="4"/>
  <c r="FK165" i="4"/>
  <c r="FL165" i="4"/>
  <c r="FM165" i="4"/>
  <c r="FN165" i="4"/>
  <c r="FO165" i="4"/>
  <c r="FP165" i="4"/>
  <c r="FQ165" i="4"/>
  <c r="FR165" i="4"/>
  <c r="FS165" i="4"/>
  <c r="FT165" i="4"/>
  <c r="FU165" i="4"/>
  <c r="FV165" i="4"/>
  <c r="FW165" i="4"/>
  <c r="FX165" i="4"/>
  <c r="FY165" i="4"/>
  <c r="FZ165" i="4"/>
  <c r="GA165" i="4"/>
  <c r="GB165" i="4"/>
  <c r="GC165" i="4"/>
  <c r="GD165" i="4"/>
  <c r="GE165" i="4"/>
  <c r="GF165" i="4"/>
  <c r="GG165" i="4"/>
  <c r="GH165" i="4"/>
  <c r="GI165" i="4"/>
  <c r="GJ165" i="4"/>
  <c r="GK165" i="4"/>
  <c r="GL165" i="4"/>
  <c r="GM165" i="4"/>
  <c r="GN165" i="4"/>
  <c r="GO165" i="4"/>
  <c r="GP165" i="4"/>
  <c r="GQ165" i="4"/>
  <c r="GR165" i="4"/>
  <c r="GS165" i="4"/>
  <c r="GT165" i="4"/>
  <c r="GU165" i="4"/>
  <c r="GV165" i="4"/>
  <c r="GW165" i="4"/>
  <c r="GX165" i="4"/>
  <c r="GY165" i="4"/>
  <c r="GZ165" i="4"/>
  <c r="HA165" i="4"/>
  <c r="HB165" i="4"/>
  <c r="HC165" i="4"/>
  <c r="HD165" i="4"/>
  <c r="HE165" i="4"/>
  <c r="HF165" i="4"/>
  <c r="HG165" i="4"/>
  <c r="HH165" i="4"/>
  <c r="HI165" i="4"/>
  <c r="HJ165" i="4"/>
  <c r="HK165" i="4"/>
  <c r="HL165" i="4"/>
  <c r="HM165" i="4"/>
  <c r="HN165" i="4"/>
  <c r="HO165" i="4"/>
  <c r="HP165" i="4"/>
  <c r="HQ165" i="4"/>
  <c r="HR165" i="4"/>
  <c r="HS165" i="4"/>
  <c r="HT165" i="4"/>
  <c r="HU165" i="4"/>
  <c r="HV165" i="4"/>
  <c r="HW165" i="4"/>
  <c r="HX165" i="4"/>
  <c r="HY165" i="4"/>
  <c r="HZ165" i="4"/>
  <c r="IA165" i="4"/>
  <c r="IB165" i="4"/>
  <c r="IC165" i="4"/>
  <c r="ID165" i="4"/>
  <c r="IE165" i="4"/>
  <c r="IF165" i="4"/>
  <c r="IG165" i="4"/>
  <c r="IH165" i="4"/>
  <c r="II165" i="4"/>
  <c r="IJ165" i="4"/>
  <c r="IK165" i="4"/>
  <c r="IL165" i="4"/>
  <c r="IM165" i="4"/>
  <c r="IN165" i="4"/>
  <c r="IO165" i="4"/>
  <c r="IP165" i="4"/>
  <c r="IQ165" i="4"/>
  <c r="IR165" i="4"/>
  <c r="IS165" i="4"/>
  <c r="IT165" i="4"/>
  <c r="IU165" i="4"/>
  <c r="IV165" i="4"/>
  <c r="A164" i="4"/>
  <c r="B164" i="4"/>
  <c r="C164" i="4"/>
  <c r="D164" i="4"/>
  <c r="E164" i="4"/>
  <c r="F164" i="4"/>
  <c r="G164" i="4"/>
  <c r="H164" i="4"/>
  <c r="I164" i="4"/>
  <c r="J164" i="4"/>
  <c r="K164" i="4"/>
  <c r="L164" i="4"/>
  <c r="M164" i="4"/>
  <c r="N164" i="4"/>
  <c r="O164" i="4"/>
  <c r="P164" i="4"/>
  <c r="Q164" i="4"/>
  <c r="R164" i="4"/>
  <c r="S164" i="4"/>
  <c r="T164" i="4"/>
  <c r="U164" i="4"/>
  <c r="V164" i="4"/>
  <c r="W164" i="4"/>
  <c r="X164" i="4"/>
  <c r="Y164" i="4"/>
  <c r="Z164" i="4"/>
  <c r="AA164" i="4"/>
  <c r="AB164" i="4"/>
  <c r="AC164" i="4"/>
  <c r="AE164" i="4"/>
  <c r="AF164" i="4"/>
  <c r="AG164" i="4"/>
  <c r="AH164" i="4"/>
  <c r="AI164" i="4"/>
  <c r="AJ164" i="4"/>
  <c r="AK164" i="4"/>
  <c r="AL164" i="4"/>
  <c r="AM164" i="4"/>
  <c r="AN164" i="4"/>
  <c r="AO164" i="4"/>
  <c r="AP164" i="4"/>
  <c r="AQ164" i="4"/>
  <c r="AR164" i="4"/>
  <c r="AS164" i="4"/>
  <c r="AT164" i="4"/>
  <c r="AU164" i="4"/>
  <c r="AV164" i="4"/>
  <c r="AW164" i="4"/>
  <c r="AX164" i="4"/>
  <c r="AY164" i="4"/>
  <c r="AZ164" i="4"/>
  <c r="BA164" i="4"/>
  <c r="BB164" i="4"/>
  <c r="BC164" i="4"/>
  <c r="BD164" i="4"/>
  <c r="BE164" i="4"/>
  <c r="BF164" i="4"/>
  <c r="BG164" i="4"/>
  <c r="BH164" i="4"/>
  <c r="BI164" i="4"/>
  <c r="BJ164" i="4"/>
  <c r="BK164" i="4"/>
  <c r="BL164" i="4"/>
  <c r="BM164" i="4"/>
  <c r="BN164" i="4"/>
  <c r="BO164" i="4"/>
  <c r="BP164" i="4"/>
  <c r="BQ164" i="4"/>
  <c r="BR164" i="4"/>
  <c r="BS164" i="4"/>
  <c r="BT164" i="4"/>
  <c r="BU164" i="4"/>
  <c r="BV164" i="4"/>
  <c r="BW164" i="4"/>
  <c r="BX164" i="4"/>
  <c r="BY164" i="4"/>
  <c r="BZ164" i="4"/>
  <c r="CA164" i="4"/>
  <c r="CB164" i="4"/>
  <c r="CC164" i="4"/>
  <c r="CD164" i="4"/>
  <c r="CE164" i="4"/>
  <c r="CF164" i="4"/>
  <c r="CG164" i="4"/>
  <c r="CH164" i="4"/>
  <c r="CI164" i="4"/>
  <c r="CJ164" i="4"/>
  <c r="CK164" i="4"/>
  <c r="CL164" i="4"/>
  <c r="CM164" i="4"/>
  <c r="CN164" i="4"/>
  <c r="CO164" i="4"/>
  <c r="CP164" i="4"/>
  <c r="CQ164" i="4"/>
  <c r="CR164" i="4"/>
  <c r="CS164" i="4"/>
  <c r="CT164" i="4"/>
  <c r="CU164" i="4"/>
  <c r="CV164" i="4"/>
  <c r="CW164" i="4"/>
  <c r="CX164" i="4"/>
  <c r="CY164" i="4"/>
  <c r="CZ164" i="4"/>
  <c r="DA164" i="4"/>
  <c r="DB164" i="4"/>
  <c r="DC164" i="4"/>
  <c r="DD164" i="4"/>
  <c r="DE164" i="4"/>
  <c r="DF164" i="4"/>
  <c r="DG164" i="4"/>
  <c r="DH164" i="4"/>
  <c r="DI164" i="4"/>
  <c r="DJ164" i="4"/>
  <c r="DK164" i="4"/>
  <c r="DL164" i="4"/>
  <c r="DM164" i="4"/>
  <c r="DN164" i="4"/>
  <c r="DO164" i="4"/>
  <c r="DP164" i="4"/>
  <c r="DQ164" i="4"/>
  <c r="DR164" i="4"/>
  <c r="DS164" i="4"/>
  <c r="DT164" i="4"/>
  <c r="DU164" i="4"/>
  <c r="DV164" i="4"/>
  <c r="DW164" i="4"/>
  <c r="DX164" i="4"/>
  <c r="DY164" i="4"/>
  <c r="DZ164" i="4"/>
  <c r="EA164" i="4"/>
  <c r="EB164" i="4"/>
  <c r="EC164" i="4"/>
  <c r="ED164" i="4"/>
  <c r="EE164" i="4"/>
  <c r="EF164" i="4"/>
  <c r="EG164" i="4"/>
  <c r="EH164" i="4"/>
  <c r="EI164" i="4"/>
  <c r="EJ164" i="4"/>
  <c r="EK164" i="4"/>
  <c r="EL164" i="4"/>
  <c r="EM164" i="4"/>
  <c r="EN164" i="4"/>
  <c r="EO164" i="4"/>
  <c r="EP164" i="4"/>
  <c r="EQ164" i="4"/>
  <c r="ER164" i="4"/>
  <c r="ES164" i="4"/>
  <c r="ET164" i="4"/>
  <c r="EU164" i="4"/>
  <c r="EV164" i="4"/>
  <c r="EW164" i="4"/>
  <c r="EX164" i="4"/>
  <c r="EY164" i="4"/>
  <c r="EZ164" i="4"/>
  <c r="FA164" i="4"/>
  <c r="FB164" i="4"/>
  <c r="FC164" i="4"/>
  <c r="FD164" i="4"/>
  <c r="FE164" i="4"/>
  <c r="FF164" i="4"/>
  <c r="FG164" i="4"/>
  <c r="FH164" i="4"/>
  <c r="FI164" i="4"/>
  <c r="FJ164" i="4"/>
  <c r="FK164" i="4"/>
  <c r="FL164" i="4"/>
  <c r="FM164" i="4"/>
  <c r="FN164" i="4"/>
  <c r="FO164" i="4"/>
  <c r="FP164" i="4"/>
  <c r="FQ164" i="4"/>
  <c r="FR164" i="4"/>
  <c r="FS164" i="4"/>
  <c r="FT164" i="4"/>
  <c r="FU164" i="4"/>
  <c r="FV164" i="4"/>
  <c r="FW164" i="4"/>
  <c r="FX164" i="4"/>
  <c r="FY164" i="4"/>
  <c r="FZ164" i="4"/>
  <c r="GA164" i="4"/>
  <c r="GB164" i="4"/>
  <c r="GC164" i="4"/>
  <c r="GD164" i="4"/>
  <c r="GE164" i="4"/>
  <c r="GF164" i="4"/>
  <c r="GG164" i="4"/>
  <c r="GH164" i="4"/>
  <c r="GI164" i="4"/>
  <c r="GJ164" i="4"/>
  <c r="GK164" i="4"/>
  <c r="GL164" i="4"/>
  <c r="GM164" i="4"/>
  <c r="GN164" i="4"/>
  <c r="GO164" i="4"/>
  <c r="GP164" i="4"/>
  <c r="GQ164" i="4"/>
  <c r="GR164" i="4"/>
  <c r="GS164" i="4"/>
  <c r="GT164" i="4"/>
  <c r="GU164" i="4"/>
  <c r="GV164" i="4"/>
  <c r="GW164" i="4"/>
  <c r="GX164" i="4"/>
  <c r="GY164" i="4"/>
  <c r="GZ164" i="4"/>
  <c r="HA164" i="4"/>
  <c r="HB164" i="4"/>
  <c r="HC164" i="4"/>
  <c r="HD164" i="4"/>
  <c r="HE164" i="4"/>
  <c r="HF164" i="4"/>
  <c r="HG164" i="4"/>
  <c r="HH164" i="4"/>
  <c r="HI164" i="4"/>
  <c r="HJ164" i="4"/>
  <c r="HK164" i="4"/>
  <c r="HL164" i="4"/>
  <c r="HM164" i="4"/>
  <c r="HN164" i="4"/>
  <c r="HO164" i="4"/>
  <c r="HP164" i="4"/>
  <c r="HQ164" i="4"/>
  <c r="HR164" i="4"/>
  <c r="HS164" i="4"/>
  <c r="HT164" i="4"/>
  <c r="HU164" i="4"/>
  <c r="HV164" i="4"/>
  <c r="HW164" i="4"/>
  <c r="HX164" i="4"/>
  <c r="HY164" i="4"/>
  <c r="HZ164" i="4"/>
  <c r="IA164" i="4"/>
  <c r="IB164" i="4"/>
  <c r="IC164" i="4"/>
  <c r="ID164" i="4"/>
  <c r="IE164" i="4"/>
  <c r="IF164" i="4"/>
  <c r="IG164" i="4"/>
  <c r="IH164" i="4"/>
  <c r="II164" i="4"/>
  <c r="IJ164" i="4"/>
  <c r="IK164" i="4"/>
  <c r="IL164" i="4"/>
  <c r="IM164" i="4"/>
  <c r="IN164" i="4"/>
  <c r="IO164" i="4"/>
  <c r="IP164" i="4"/>
  <c r="IQ164" i="4"/>
  <c r="IR164" i="4"/>
  <c r="IS164" i="4"/>
  <c r="IT164" i="4"/>
  <c r="IU164" i="4"/>
  <c r="IV164" i="4"/>
  <c r="A163" i="4"/>
  <c r="B163" i="4"/>
  <c r="C163" i="4"/>
  <c r="D163" i="4"/>
  <c r="E163" i="4"/>
  <c r="F163" i="4"/>
  <c r="G163" i="4"/>
  <c r="H163" i="4"/>
  <c r="I163" i="4"/>
  <c r="J163" i="4"/>
  <c r="K163" i="4"/>
  <c r="L163" i="4"/>
  <c r="M163" i="4"/>
  <c r="N163" i="4"/>
  <c r="O163" i="4"/>
  <c r="P163" i="4"/>
  <c r="Q163" i="4"/>
  <c r="R163" i="4"/>
  <c r="S163" i="4"/>
  <c r="T163" i="4"/>
  <c r="U163" i="4"/>
  <c r="V163" i="4"/>
  <c r="W163" i="4"/>
  <c r="X163" i="4"/>
  <c r="Y163" i="4"/>
  <c r="Z163" i="4"/>
  <c r="AA163" i="4"/>
  <c r="AB163" i="4"/>
  <c r="AC163" i="4"/>
  <c r="AD163" i="4"/>
  <c r="AF163" i="4"/>
  <c r="AG163" i="4"/>
  <c r="AH163" i="4"/>
  <c r="AI163" i="4"/>
  <c r="AJ163" i="4"/>
  <c r="AK163" i="4"/>
  <c r="AL163" i="4"/>
  <c r="AM163" i="4"/>
  <c r="AN163" i="4"/>
  <c r="AO163" i="4"/>
  <c r="AP163" i="4"/>
  <c r="AQ163" i="4"/>
  <c r="AR163" i="4"/>
  <c r="AS163" i="4"/>
  <c r="AT163" i="4"/>
  <c r="AU163" i="4"/>
  <c r="AV163" i="4"/>
  <c r="AW163" i="4"/>
  <c r="AX163" i="4"/>
  <c r="AY163" i="4"/>
  <c r="AZ163" i="4"/>
  <c r="BA163" i="4"/>
  <c r="BB163" i="4"/>
  <c r="BC163" i="4"/>
  <c r="BD163" i="4"/>
  <c r="BE163" i="4"/>
  <c r="BF163" i="4"/>
  <c r="BG163" i="4"/>
  <c r="BH163" i="4"/>
  <c r="BI163" i="4"/>
  <c r="BJ163" i="4"/>
  <c r="BK163" i="4"/>
  <c r="BL163" i="4"/>
  <c r="BM163" i="4"/>
  <c r="BN163" i="4"/>
  <c r="BO163" i="4"/>
  <c r="BP163" i="4"/>
  <c r="BQ163" i="4"/>
  <c r="BR163" i="4"/>
  <c r="BS163" i="4"/>
  <c r="BT163" i="4"/>
  <c r="BU163" i="4"/>
  <c r="BV163" i="4"/>
  <c r="BW163" i="4"/>
  <c r="BX163" i="4"/>
  <c r="BY163" i="4"/>
  <c r="BZ163" i="4"/>
  <c r="CA163" i="4"/>
  <c r="CB163" i="4"/>
  <c r="CC163" i="4"/>
  <c r="CD163" i="4"/>
  <c r="CE163" i="4"/>
  <c r="CF163" i="4"/>
  <c r="CG163" i="4"/>
  <c r="CH163" i="4"/>
  <c r="CI163" i="4"/>
  <c r="CJ163" i="4"/>
  <c r="CK163" i="4"/>
  <c r="CL163" i="4"/>
  <c r="CM163" i="4"/>
  <c r="CN163" i="4"/>
  <c r="CO163" i="4"/>
  <c r="CP163" i="4"/>
  <c r="CQ163" i="4"/>
  <c r="CR163" i="4"/>
  <c r="CS163" i="4"/>
  <c r="CT163" i="4"/>
  <c r="CU163" i="4"/>
  <c r="CV163" i="4"/>
  <c r="CW163" i="4"/>
  <c r="CX163" i="4"/>
  <c r="CY163" i="4"/>
  <c r="CZ163" i="4"/>
  <c r="DA163" i="4"/>
  <c r="DB163" i="4"/>
  <c r="DC163" i="4"/>
  <c r="DD163" i="4"/>
  <c r="DE163" i="4"/>
  <c r="DF163" i="4"/>
  <c r="DG163" i="4"/>
  <c r="DH163" i="4"/>
  <c r="DI163" i="4"/>
  <c r="DJ163" i="4"/>
  <c r="DK163" i="4"/>
  <c r="DL163" i="4"/>
  <c r="DM163" i="4"/>
  <c r="DN163" i="4"/>
  <c r="DO163" i="4"/>
  <c r="DP163" i="4"/>
  <c r="DQ163" i="4"/>
  <c r="DR163" i="4"/>
  <c r="DS163" i="4"/>
  <c r="DT163" i="4"/>
  <c r="DU163" i="4"/>
  <c r="DV163" i="4"/>
  <c r="DW163" i="4"/>
  <c r="DX163" i="4"/>
  <c r="DY163" i="4"/>
  <c r="DZ163" i="4"/>
  <c r="EA163" i="4"/>
  <c r="EB163" i="4"/>
  <c r="EC163" i="4"/>
  <c r="ED163" i="4"/>
  <c r="EE163" i="4"/>
  <c r="EF163" i="4"/>
  <c r="EG163" i="4"/>
  <c r="EH163" i="4"/>
  <c r="EI163" i="4"/>
  <c r="EJ163" i="4"/>
  <c r="EK163" i="4"/>
  <c r="EL163" i="4"/>
  <c r="EM163" i="4"/>
  <c r="EN163" i="4"/>
  <c r="EO163" i="4"/>
  <c r="EP163" i="4"/>
  <c r="EQ163" i="4"/>
  <c r="ER163" i="4"/>
  <c r="ES163" i="4"/>
  <c r="ET163" i="4"/>
  <c r="EU163" i="4"/>
  <c r="EV163" i="4"/>
  <c r="EW163" i="4"/>
  <c r="EX163" i="4"/>
  <c r="EY163" i="4"/>
  <c r="EZ163" i="4"/>
  <c r="FA163" i="4"/>
  <c r="FB163" i="4"/>
  <c r="FC163" i="4"/>
  <c r="FD163" i="4"/>
  <c r="FE163" i="4"/>
  <c r="FF163" i="4"/>
  <c r="FG163" i="4"/>
  <c r="FH163" i="4"/>
  <c r="FI163" i="4"/>
  <c r="FJ163" i="4"/>
  <c r="FK163" i="4"/>
  <c r="FL163" i="4"/>
  <c r="FM163" i="4"/>
  <c r="FN163" i="4"/>
  <c r="FO163" i="4"/>
  <c r="FP163" i="4"/>
  <c r="FQ163" i="4"/>
  <c r="FR163" i="4"/>
  <c r="FS163" i="4"/>
  <c r="FT163" i="4"/>
  <c r="FU163" i="4"/>
  <c r="FV163" i="4"/>
  <c r="FW163" i="4"/>
  <c r="FX163" i="4"/>
  <c r="FY163" i="4"/>
  <c r="FZ163" i="4"/>
  <c r="GA163" i="4"/>
  <c r="GB163" i="4"/>
  <c r="GC163" i="4"/>
  <c r="GD163" i="4"/>
  <c r="GE163" i="4"/>
  <c r="GF163" i="4"/>
  <c r="GG163" i="4"/>
  <c r="GH163" i="4"/>
  <c r="GI163" i="4"/>
  <c r="GJ163" i="4"/>
  <c r="GK163" i="4"/>
  <c r="GL163" i="4"/>
  <c r="GM163" i="4"/>
  <c r="GN163" i="4"/>
  <c r="GO163" i="4"/>
  <c r="GP163" i="4"/>
  <c r="GQ163" i="4"/>
  <c r="GR163" i="4"/>
  <c r="GS163" i="4"/>
  <c r="GT163" i="4"/>
  <c r="GU163" i="4"/>
  <c r="GV163" i="4"/>
  <c r="GW163" i="4"/>
  <c r="GX163" i="4"/>
  <c r="GY163" i="4"/>
  <c r="GZ163" i="4"/>
  <c r="HA163" i="4"/>
  <c r="HB163" i="4"/>
  <c r="HC163" i="4"/>
  <c r="HD163" i="4"/>
  <c r="HE163" i="4"/>
  <c r="HF163" i="4"/>
  <c r="HG163" i="4"/>
  <c r="HH163" i="4"/>
  <c r="HI163" i="4"/>
  <c r="HJ163" i="4"/>
  <c r="HK163" i="4"/>
  <c r="HL163" i="4"/>
  <c r="HM163" i="4"/>
  <c r="HN163" i="4"/>
  <c r="HO163" i="4"/>
  <c r="HP163" i="4"/>
  <c r="HQ163" i="4"/>
  <c r="HR163" i="4"/>
  <c r="HS163" i="4"/>
  <c r="HT163" i="4"/>
  <c r="HU163" i="4"/>
  <c r="HV163" i="4"/>
  <c r="HW163" i="4"/>
  <c r="HX163" i="4"/>
  <c r="HY163" i="4"/>
  <c r="HZ163" i="4"/>
  <c r="IA163" i="4"/>
  <c r="IB163" i="4"/>
  <c r="IC163" i="4"/>
  <c r="ID163" i="4"/>
  <c r="IE163" i="4"/>
  <c r="IF163" i="4"/>
  <c r="IG163" i="4"/>
  <c r="IH163" i="4"/>
  <c r="II163" i="4"/>
  <c r="IJ163" i="4"/>
  <c r="IK163" i="4"/>
  <c r="IL163" i="4"/>
  <c r="IM163" i="4"/>
  <c r="IN163" i="4"/>
  <c r="IO163" i="4"/>
  <c r="IP163" i="4"/>
  <c r="IQ163" i="4"/>
  <c r="IR163" i="4"/>
  <c r="IS163" i="4"/>
  <c r="IT163" i="4"/>
  <c r="IU163" i="4"/>
  <c r="IV163" i="4"/>
  <c r="A162" i="4"/>
  <c r="B162" i="4"/>
  <c r="C162" i="4"/>
  <c r="D162" i="4"/>
  <c r="E162" i="4"/>
  <c r="F162" i="4"/>
  <c r="G162" i="4"/>
  <c r="H162" i="4"/>
  <c r="I162" i="4"/>
  <c r="J162" i="4"/>
  <c r="K162" i="4"/>
  <c r="L162" i="4"/>
  <c r="M162" i="4"/>
  <c r="N162" i="4"/>
  <c r="O162" i="4"/>
  <c r="P162" i="4"/>
  <c r="Q162" i="4"/>
  <c r="R162" i="4"/>
  <c r="S162" i="4"/>
  <c r="T162" i="4"/>
  <c r="U162" i="4"/>
  <c r="V162" i="4"/>
  <c r="W162" i="4"/>
  <c r="X162" i="4"/>
  <c r="Y162" i="4"/>
  <c r="Z162" i="4"/>
  <c r="AA162" i="4"/>
  <c r="AB162" i="4"/>
  <c r="AC162" i="4"/>
  <c r="AD162" i="4"/>
  <c r="AE162" i="4"/>
  <c r="AG162" i="4"/>
  <c r="AH162" i="4"/>
  <c r="AI162" i="4"/>
  <c r="AJ162" i="4"/>
  <c r="AK162" i="4"/>
  <c r="AL162" i="4"/>
  <c r="AM162" i="4"/>
  <c r="AN162" i="4"/>
  <c r="AO162" i="4"/>
  <c r="AP162" i="4"/>
  <c r="AQ162" i="4"/>
  <c r="AR162" i="4"/>
  <c r="AS162" i="4"/>
  <c r="AT162" i="4"/>
  <c r="AU162" i="4"/>
  <c r="AV162" i="4"/>
  <c r="AW162" i="4"/>
  <c r="AX162" i="4"/>
  <c r="AY162" i="4"/>
  <c r="AZ162" i="4"/>
  <c r="BA162" i="4"/>
  <c r="BB162" i="4"/>
  <c r="BC162" i="4"/>
  <c r="BD162" i="4"/>
  <c r="BE162" i="4"/>
  <c r="BF162" i="4"/>
  <c r="BG162" i="4"/>
  <c r="BH162" i="4"/>
  <c r="BI162" i="4"/>
  <c r="BJ162" i="4"/>
  <c r="BK162" i="4"/>
  <c r="BL162" i="4"/>
  <c r="BM162" i="4"/>
  <c r="BN162" i="4"/>
  <c r="BO162" i="4"/>
  <c r="BP162" i="4"/>
  <c r="BQ162" i="4"/>
  <c r="BR162" i="4"/>
  <c r="BS162" i="4"/>
  <c r="BT162" i="4"/>
  <c r="BU162" i="4"/>
  <c r="BV162" i="4"/>
  <c r="BW162" i="4"/>
  <c r="BX162" i="4"/>
  <c r="BY162" i="4"/>
  <c r="BZ162" i="4"/>
  <c r="CA162" i="4"/>
  <c r="CB162" i="4"/>
  <c r="CC162" i="4"/>
  <c r="CD162" i="4"/>
  <c r="CE162" i="4"/>
  <c r="CF162" i="4"/>
  <c r="CG162" i="4"/>
  <c r="CH162" i="4"/>
  <c r="CI162" i="4"/>
  <c r="CJ162" i="4"/>
  <c r="CK162" i="4"/>
  <c r="CL162" i="4"/>
  <c r="CM162" i="4"/>
  <c r="CN162" i="4"/>
  <c r="CO162" i="4"/>
  <c r="CP162" i="4"/>
  <c r="CQ162" i="4"/>
  <c r="CR162" i="4"/>
  <c r="CS162" i="4"/>
  <c r="CT162" i="4"/>
  <c r="CU162" i="4"/>
  <c r="CV162" i="4"/>
  <c r="CW162" i="4"/>
  <c r="CX162" i="4"/>
  <c r="CY162" i="4"/>
  <c r="CZ162" i="4"/>
  <c r="DA162" i="4"/>
  <c r="DB162" i="4"/>
  <c r="DC162" i="4"/>
  <c r="DD162" i="4"/>
  <c r="DE162" i="4"/>
  <c r="DF162" i="4"/>
  <c r="DG162" i="4"/>
  <c r="DH162" i="4"/>
  <c r="DI162" i="4"/>
  <c r="DJ162" i="4"/>
  <c r="DK162" i="4"/>
  <c r="DL162" i="4"/>
  <c r="DM162" i="4"/>
  <c r="DN162" i="4"/>
  <c r="DO162" i="4"/>
  <c r="DP162" i="4"/>
  <c r="DQ162" i="4"/>
  <c r="DR162" i="4"/>
  <c r="DS162" i="4"/>
  <c r="DT162" i="4"/>
  <c r="DU162" i="4"/>
  <c r="DV162" i="4"/>
  <c r="DW162" i="4"/>
  <c r="DX162" i="4"/>
  <c r="DY162" i="4"/>
  <c r="DZ162" i="4"/>
  <c r="EA162" i="4"/>
  <c r="EB162" i="4"/>
  <c r="EC162" i="4"/>
  <c r="ED162" i="4"/>
  <c r="EE162" i="4"/>
  <c r="EF162" i="4"/>
  <c r="EG162" i="4"/>
  <c r="EH162" i="4"/>
  <c r="EI162" i="4"/>
  <c r="EJ162" i="4"/>
  <c r="EK162" i="4"/>
  <c r="EL162" i="4"/>
  <c r="EM162" i="4"/>
  <c r="EN162" i="4"/>
  <c r="EO162" i="4"/>
  <c r="EP162" i="4"/>
  <c r="EQ162" i="4"/>
  <c r="ER162" i="4"/>
  <c r="ES162" i="4"/>
  <c r="ET162" i="4"/>
  <c r="EU162" i="4"/>
  <c r="EV162" i="4"/>
  <c r="EW162" i="4"/>
  <c r="EX162" i="4"/>
  <c r="EY162" i="4"/>
  <c r="EZ162" i="4"/>
  <c r="FA162" i="4"/>
  <c r="FB162" i="4"/>
  <c r="FC162" i="4"/>
  <c r="FD162" i="4"/>
  <c r="FE162" i="4"/>
  <c r="FF162" i="4"/>
  <c r="FG162" i="4"/>
  <c r="FH162" i="4"/>
  <c r="FI162" i="4"/>
  <c r="FJ162" i="4"/>
  <c r="FK162" i="4"/>
  <c r="FL162" i="4"/>
  <c r="FM162" i="4"/>
  <c r="FN162" i="4"/>
  <c r="FO162" i="4"/>
  <c r="FP162" i="4"/>
  <c r="FQ162" i="4"/>
  <c r="FR162" i="4"/>
  <c r="FS162" i="4"/>
  <c r="FT162" i="4"/>
  <c r="FU162" i="4"/>
  <c r="FV162" i="4"/>
  <c r="FW162" i="4"/>
  <c r="FX162" i="4"/>
  <c r="FY162" i="4"/>
  <c r="FZ162" i="4"/>
  <c r="GA162" i="4"/>
  <c r="GB162" i="4"/>
  <c r="GC162" i="4"/>
  <c r="GD162" i="4"/>
  <c r="GE162" i="4"/>
  <c r="GF162" i="4"/>
  <c r="GG162" i="4"/>
  <c r="GH162" i="4"/>
  <c r="GI162" i="4"/>
  <c r="GJ162" i="4"/>
  <c r="GK162" i="4"/>
  <c r="GL162" i="4"/>
  <c r="GM162" i="4"/>
  <c r="GN162" i="4"/>
  <c r="GO162" i="4"/>
  <c r="GP162" i="4"/>
  <c r="GQ162" i="4"/>
  <c r="GR162" i="4"/>
  <c r="GS162" i="4"/>
  <c r="GT162" i="4"/>
  <c r="GU162" i="4"/>
  <c r="GV162" i="4"/>
  <c r="GW162" i="4"/>
  <c r="GX162" i="4"/>
  <c r="GY162" i="4"/>
  <c r="GZ162" i="4"/>
  <c r="HA162" i="4"/>
  <c r="HB162" i="4"/>
  <c r="HC162" i="4"/>
  <c r="HD162" i="4"/>
  <c r="HE162" i="4"/>
  <c r="HF162" i="4"/>
  <c r="HG162" i="4"/>
  <c r="HH162" i="4"/>
  <c r="HI162" i="4"/>
  <c r="HJ162" i="4"/>
  <c r="HK162" i="4"/>
  <c r="HL162" i="4"/>
  <c r="HM162" i="4"/>
  <c r="HN162" i="4"/>
  <c r="HO162" i="4"/>
  <c r="HP162" i="4"/>
  <c r="HQ162" i="4"/>
  <c r="HR162" i="4"/>
  <c r="HS162" i="4"/>
  <c r="HT162" i="4"/>
  <c r="HU162" i="4"/>
  <c r="HV162" i="4"/>
  <c r="HW162" i="4"/>
  <c r="HX162" i="4"/>
  <c r="HY162" i="4"/>
  <c r="HZ162" i="4"/>
  <c r="IA162" i="4"/>
  <c r="IB162" i="4"/>
  <c r="IC162" i="4"/>
  <c r="ID162" i="4"/>
  <c r="IE162" i="4"/>
  <c r="IF162" i="4"/>
  <c r="IG162" i="4"/>
  <c r="IH162" i="4"/>
  <c r="II162" i="4"/>
  <c r="IJ162" i="4"/>
  <c r="IK162" i="4"/>
  <c r="IL162" i="4"/>
  <c r="IM162" i="4"/>
  <c r="IN162" i="4"/>
  <c r="IO162" i="4"/>
  <c r="IP162" i="4"/>
  <c r="IQ162" i="4"/>
  <c r="IR162" i="4"/>
  <c r="IS162" i="4"/>
  <c r="IT162" i="4"/>
  <c r="IU162" i="4"/>
  <c r="IV162" i="4"/>
  <c r="A161" i="4"/>
  <c r="B161" i="4"/>
  <c r="C161" i="4"/>
  <c r="D161" i="4"/>
  <c r="E161" i="4"/>
  <c r="F161" i="4"/>
  <c r="G161" i="4"/>
  <c r="H161" i="4"/>
  <c r="I161" i="4"/>
  <c r="J161" i="4"/>
  <c r="K161" i="4"/>
  <c r="L161" i="4"/>
  <c r="M161" i="4"/>
  <c r="N161" i="4"/>
  <c r="O161" i="4"/>
  <c r="P161" i="4"/>
  <c r="Q161" i="4"/>
  <c r="R161" i="4"/>
  <c r="S161" i="4"/>
  <c r="T161" i="4"/>
  <c r="U161" i="4"/>
  <c r="V161" i="4"/>
  <c r="W161" i="4"/>
  <c r="X161" i="4"/>
  <c r="Y161" i="4"/>
  <c r="Z161" i="4"/>
  <c r="AA161" i="4"/>
  <c r="AB161" i="4"/>
  <c r="AC161" i="4"/>
  <c r="AD161" i="4"/>
  <c r="AE161" i="4"/>
  <c r="AF161" i="4"/>
  <c r="AH161" i="4"/>
  <c r="AI161" i="4"/>
  <c r="AJ161" i="4"/>
  <c r="AK161" i="4"/>
  <c r="AL161" i="4"/>
  <c r="AM161" i="4"/>
  <c r="AN161" i="4"/>
  <c r="AO161" i="4"/>
  <c r="AP161" i="4"/>
  <c r="AQ161" i="4"/>
  <c r="AR161" i="4"/>
  <c r="AS161" i="4"/>
  <c r="AT161" i="4"/>
  <c r="AU161" i="4"/>
  <c r="AV161" i="4"/>
  <c r="AW161" i="4"/>
  <c r="AX161" i="4"/>
  <c r="AY161" i="4"/>
  <c r="AZ161" i="4"/>
  <c r="BA161" i="4"/>
  <c r="BB161" i="4"/>
  <c r="BC161" i="4"/>
  <c r="BD161" i="4"/>
  <c r="BE161" i="4"/>
  <c r="BF161" i="4"/>
  <c r="BG161" i="4"/>
  <c r="BH161" i="4"/>
  <c r="BI161" i="4"/>
  <c r="BJ161" i="4"/>
  <c r="BK161" i="4"/>
  <c r="BL161" i="4"/>
  <c r="BM161" i="4"/>
  <c r="BN161" i="4"/>
  <c r="BO161" i="4"/>
  <c r="BP161" i="4"/>
  <c r="BQ161" i="4"/>
  <c r="BR161" i="4"/>
  <c r="BS161" i="4"/>
  <c r="BT161" i="4"/>
  <c r="BU161" i="4"/>
  <c r="BV161" i="4"/>
  <c r="BW161" i="4"/>
  <c r="BX161" i="4"/>
  <c r="BY161" i="4"/>
  <c r="BZ161" i="4"/>
  <c r="CA161" i="4"/>
  <c r="CB161" i="4"/>
  <c r="CC161" i="4"/>
  <c r="CD161" i="4"/>
  <c r="CE161" i="4"/>
  <c r="CF161" i="4"/>
  <c r="CG161" i="4"/>
  <c r="CH161" i="4"/>
  <c r="CI161" i="4"/>
  <c r="CJ161" i="4"/>
  <c r="CK161" i="4"/>
  <c r="CL161" i="4"/>
  <c r="CM161" i="4"/>
  <c r="CN161" i="4"/>
  <c r="CO161" i="4"/>
  <c r="CP161" i="4"/>
  <c r="CQ161" i="4"/>
  <c r="CR161" i="4"/>
  <c r="CS161" i="4"/>
  <c r="CT161" i="4"/>
  <c r="CU161" i="4"/>
  <c r="CV161" i="4"/>
  <c r="CW161" i="4"/>
  <c r="CX161" i="4"/>
  <c r="CY161" i="4"/>
  <c r="CZ161" i="4"/>
  <c r="DA161" i="4"/>
  <c r="DB161" i="4"/>
  <c r="DC161" i="4"/>
  <c r="DD161" i="4"/>
  <c r="DE161" i="4"/>
  <c r="DF161" i="4"/>
  <c r="DG161" i="4"/>
  <c r="DH161" i="4"/>
  <c r="DI161" i="4"/>
  <c r="DJ161" i="4"/>
  <c r="DK161" i="4"/>
  <c r="DL161" i="4"/>
  <c r="DM161" i="4"/>
  <c r="DN161" i="4"/>
  <c r="DO161" i="4"/>
  <c r="DP161" i="4"/>
  <c r="DQ161" i="4"/>
  <c r="DR161" i="4"/>
  <c r="DS161" i="4"/>
  <c r="DT161" i="4"/>
  <c r="DU161" i="4"/>
  <c r="DV161" i="4"/>
  <c r="DW161" i="4"/>
  <c r="DX161" i="4"/>
  <c r="DY161" i="4"/>
  <c r="DZ161" i="4"/>
  <c r="EA161" i="4"/>
  <c r="EB161" i="4"/>
  <c r="EC161" i="4"/>
  <c r="ED161" i="4"/>
  <c r="EE161" i="4"/>
  <c r="EF161" i="4"/>
  <c r="EG161" i="4"/>
  <c r="EH161" i="4"/>
  <c r="EI161" i="4"/>
  <c r="EJ161" i="4"/>
  <c r="EK161" i="4"/>
  <c r="EL161" i="4"/>
  <c r="EM161" i="4"/>
  <c r="EN161" i="4"/>
  <c r="EO161" i="4"/>
  <c r="EP161" i="4"/>
  <c r="EQ161" i="4"/>
  <c r="ER161" i="4"/>
  <c r="ES161" i="4"/>
  <c r="ET161" i="4"/>
  <c r="EU161" i="4"/>
  <c r="EV161" i="4"/>
  <c r="EW161" i="4"/>
  <c r="EX161" i="4"/>
  <c r="EY161" i="4"/>
  <c r="EZ161" i="4"/>
  <c r="FA161" i="4"/>
  <c r="FB161" i="4"/>
  <c r="FC161" i="4"/>
  <c r="FD161" i="4"/>
  <c r="FE161" i="4"/>
  <c r="FF161" i="4"/>
  <c r="FG161" i="4"/>
  <c r="FH161" i="4"/>
  <c r="FI161" i="4"/>
  <c r="FJ161" i="4"/>
  <c r="FK161" i="4"/>
  <c r="FL161" i="4"/>
  <c r="FM161" i="4"/>
  <c r="FN161" i="4"/>
  <c r="FO161" i="4"/>
  <c r="FP161" i="4"/>
  <c r="FQ161" i="4"/>
  <c r="FR161" i="4"/>
  <c r="FS161" i="4"/>
  <c r="FT161" i="4"/>
  <c r="FU161" i="4"/>
  <c r="FV161" i="4"/>
  <c r="FW161" i="4"/>
  <c r="FX161" i="4"/>
  <c r="FY161" i="4"/>
  <c r="FZ161" i="4"/>
  <c r="GA161" i="4"/>
  <c r="GB161" i="4"/>
  <c r="GC161" i="4"/>
  <c r="GD161" i="4"/>
  <c r="GE161" i="4"/>
  <c r="GF161" i="4"/>
  <c r="GG161" i="4"/>
  <c r="GH161" i="4"/>
  <c r="GI161" i="4"/>
  <c r="GJ161" i="4"/>
  <c r="GK161" i="4"/>
  <c r="GL161" i="4"/>
  <c r="GM161" i="4"/>
  <c r="GN161" i="4"/>
  <c r="GO161" i="4"/>
  <c r="GP161" i="4"/>
  <c r="GQ161" i="4"/>
  <c r="GR161" i="4"/>
  <c r="GS161" i="4"/>
  <c r="GT161" i="4"/>
  <c r="GU161" i="4"/>
  <c r="GV161" i="4"/>
  <c r="GW161" i="4"/>
  <c r="GX161" i="4"/>
  <c r="GY161" i="4"/>
  <c r="GZ161" i="4"/>
  <c r="HA161" i="4"/>
  <c r="HB161" i="4"/>
  <c r="HC161" i="4"/>
  <c r="HD161" i="4"/>
  <c r="HE161" i="4"/>
  <c r="HF161" i="4"/>
  <c r="HG161" i="4"/>
  <c r="HH161" i="4"/>
  <c r="HI161" i="4"/>
  <c r="HJ161" i="4"/>
  <c r="HK161" i="4"/>
  <c r="HL161" i="4"/>
  <c r="HM161" i="4"/>
  <c r="HN161" i="4"/>
  <c r="HO161" i="4"/>
  <c r="HP161" i="4"/>
  <c r="HQ161" i="4"/>
  <c r="HR161" i="4"/>
  <c r="HS161" i="4"/>
  <c r="HT161" i="4"/>
  <c r="HU161" i="4"/>
  <c r="HV161" i="4"/>
  <c r="HW161" i="4"/>
  <c r="HX161" i="4"/>
  <c r="HY161" i="4"/>
  <c r="HZ161" i="4"/>
  <c r="IA161" i="4"/>
  <c r="IB161" i="4"/>
  <c r="IC161" i="4"/>
  <c r="ID161" i="4"/>
  <c r="IE161" i="4"/>
  <c r="IF161" i="4"/>
  <c r="IG161" i="4"/>
  <c r="IH161" i="4"/>
  <c r="II161" i="4"/>
  <c r="IJ161" i="4"/>
  <c r="IK161" i="4"/>
  <c r="IL161" i="4"/>
  <c r="IM161" i="4"/>
  <c r="IN161" i="4"/>
  <c r="IO161" i="4"/>
  <c r="IP161" i="4"/>
  <c r="IQ161" i="4"/>
  <c r="IR161" i="4"/>
  <c r="IS161" i="4"/>
  <c r="IT161" i="4"/>
  <c r="IU161" i="4"/>
  <c r="IV161" i="4"/>
  <c r="A160" i="4"/>
  <c r="B160" i="4"/>
  <c r="C160" i="4"/>
  <c r="D160" i="4"/>
  <c r="E160" i="4"/>
  <c r="F160" i="4"/>
  <c r="G160" i="4"/>
  <c r="H160" i="4"/>
  <c r="I160" i="4"/>
  <c r="J160" i="4"/>
  <c r="K160" i="4"/>
  <c r="L160" i="4"/>
  <c r="M160" i="4"/>
  <c r="N160" i="4"/>
  <c r="O160" i="4"/>
  <c r="P160" i="4"/>
  <c r="Q160" i="4"/>
  <c r="R160" i="4"/>
  <c r="S160" i="4"/>
  <c r="T160" i="4"/>
  <c r="U160" i="4"/>
  <c r="V160" i="4"/>
  <c r="W160" i="4"/>
  <c r="X160" i="4"/>
  <c r="Y160" i="4"/>
  <c r="Z160" i="4"/>
  <c r="AA160" i="4"/>
  <c r="AB160" i="4"/>
  <c r="AC160" i="4"/>
  <c r="AD160" i="4"/>
  <c r="AE160" i="4"/>
  <c r="AF160" i="4"/>
  <c r="AG160" i="4"/>
  <c r="AI160" i="4"/>
  <c r="AJ160" i="4"/>
  <c r="AK160" i="4"/>
  <c r="AL160" i="4"/>
  <c r="AM160" i="4"/>
  <c r="AN160" i="4"/>
  <c r="AO160" i="4"/>
  <c r="AP160" i="4"/>
  <c r="AQ160" i="4"/>
  <c r="AR160" i="4"/>
  <c r="AS160" i="4"/>
  <c r="AT160" i="4"/>
  <c r="AU160" i="4"/>
  <c r="AV160" i="4"/>
  <c r="AW160" i="4"/>
  <c r="AX160" i="4"/>
  <c r="AY160" i="4"/>
  <c r="AZ160" i="4"/>
  <c r="BA160" i="4"/>
  <c r="BB160" i="4"/>
  <c r="BC160" i="4"/>
  <c r="BD160" i="4"/>
  <c r="BE160" i="4"/>
  <c r="BF160" i="4"/>
  <c r="BG160" i="4"/>
  <c r="BH160" i="4"/>
  <c r="BI160" i="4"/>
  <c r="BJ160" i="4"/>
  <c r="BK160" i="4"/>
  <c r="BL160" i="4"/>
  <c r="BM160" i="4"/>
  <c r="BN160" i="4"/>
  <c r="BO160" i="4"/>
  <c r="BP160" i="4"/>
  <c r="BQ160" i="4"/>
  <c r="BR160" i="4"/>
  <c r="BS160" i="4"/>
  <c r="BT160" i="4"/>
  <c r="BU160" i="4"/>
  <c r="BV160" i="4"/>
  <c r="BW160" i="4"/>
  <c r="BX160" i="4"/>
  <c r="BY160" i="4"/>
  <c r="BZ160" i="4"/>
  <c r="CA160" i="4"/>
  <c r="CB160" i="4"/>
  <c r="CC160" i="4"/>
  <c r="CD160" i="4"/>
  <c r="CE160" i="4"/>
  <c r="CF160" i="4"/>
  <c r="CG160" i="4"/>
  <c r="CH160" i="4"/>
  <c r="CI160" i="4"/>
  <c r="CJ160" i="4"/>
  <c r="CK160" i="4"/>
  <c r="CL160" i="4"/>
  <c r="CM160" i="4"/>
  <c r="CN160" i="4"/>
  <c r="CO160" i="4"/>
  <c r="CP160" i="4"/>
  <c r="CQ160" i="4"/>
  <c r="CR160" i="4"/>
  <c r="CS160" i="4"/>
  <c r="CT160" i="4"/>
  <c r="CU160" i="4"/>
  <c r="CV160" i="4"/>
  <c r="CW160" i="4"/>
  <c r="CX160" i="4"/>
  <c r="CY160" i="4"/>
  <c r="CZ160" i="4"/>
  <c r="DA160" i="4"/>
  <c r="DB160" i="4"/>
  <c r="DC160" i="4"/>
  <c r="DD160" i="4"/>
  <c r="DE160" i="4"/>
  <c r="DF160" i="4"/>
  <c r="DG160" i="4"/>
  <c r="DH160" i="4"/>
  <c r="DI160" i="4"/>
  <c r="DJ160" i="4"/>
  <c r="DK160" i="4"/>
  <c r="DL160" i="4"/>
  <c r="DM160" i="4"/>
  <c r="DN160" i="4"/>
  <c r="DO160" i="4"/>
  <c r="DP160" i="4"/>
  <c r="DQ160" i="4"/>
  <c r="DR160" i="4"/>
  <c r="DS160" i="4"/>
  <c r="DT160" i="4"/>
  <c r="DU160" i="4"/>
  <c r="DV160" i="4"/>
  <c r="DW160" i="4"/>
  <c r="DX160" i="4"/>
  <c r="DY160" i="4"/>
  <c r="DZ160" i="4"/>
  <c r="EA160" i="4"/>
  <c r="EB160" i="4"/>
  <c r="EC160" i="4"/>
  <c r="ED160" i="4"/>
  <c r="EE160" i="4"/>
  <c r="EF160" i="4"/>
  <c r="EG160" i="4"/>
  <c r="EH160" i="4"/>
  <c r="EI160" i="4"/>
  <c r="EJ160" i="4"/>
  <c r="EK160" i="4"/>
  <c r="EL160" i="4"/>
  <c r="EM160" i="4"/>
  <c r="EN160" i="4"/>
  <c r="EO160" i="4"/>
  <c r="EP160" i="4"/>
  <c r="EQ160" i="4"/>
  <c r="ER160" i="4"/>
  <c r="ES160" i="4"/>
  <c r="ET160" i="4"/>
  <c r="EU160" i="4"/>
  <c r="EV160" i="4"/>
  <c r="EW160" i="4"/>
  <c r="EX160" i="4"/>
  <c r="EY160" i="4"/>
  <c r="EZ160" i="4"/>
  <c r="FA160" i="4"/>
  <c r="FB160" i="4"/>
  <c r="FC160" i="4"/>
  <c r="FD160" i="4"/>
  <c r="FE160" i="4"/>
  <c r="FF160" i="4"/>
  <c r="FG160" i="4"/>
  <c r="FH160" i="4"/>
  <c r="FI160" i="4"/>
  <c r="FJ160" i="4"/>
  <c r="FK160" i="4"/>
  <c r="FL160" i="4"/>
  <c r="FM160" i="4"/>
  <c r="FN160" i="4"/>
  <c r="FO160" i="4"/>
  <c r="FP160" i="4"/>
  <c r="FQ160" i="4"/>
  <c r="FR160" i="4"/>
  <c r="FS160" i="4"/>
  <c r="FT160" i="4"/>
  <c r="FU160" i="4"/>
  <c r="FV160" i="4"/>
  <c r="FW160" i="4"/>
  <c r="FX160" i="4"/>
  <c r="FY160" i="4"/>
  <c r="FZ160" i="4"/>
  <c r="GA160" i="4"/>
  <c r="GB160" i="4"/>
  <c r="GC160" i="4"/>
  <c r="GD160" i="4"/>
  <c r="GE160" i="4"/>
  <c r="GF160" i="4"/>
  <c r="GG160" i="4"/>
  <c r="GH160" i="4"/>
  <c r="GI160" i="4"/>
  <c r="GJ160" i="4"/>
  <c r="GK160" i="4"/>
  <c r="GL160" i="4"/>
  <c r="GM160" i="4"/>
  <c r="GN160" i="4"/>
  <c r="GO160" i="4"/>
  <c r="GP160" i="4"/>
  <c r="GQ160" i="4"/>
  <c r="GR160" i="4"/>
  <c r="GS160" i="4"/>
  <c r="GT160" i="4"/>
  <c r="GU160" i="4"/>
  <c r="GV160" i="4"/>
  <c r="GW160" i="4"/>
  <c r="GX160" i="4"/>
  <c r="GY160" i="4"/>
  <c r="GZ160" i="4"/>
  <c r="HA160" i="4"/>
  <c r="HB160" i="4"/>
  <c r="HC160" i="4"/>
  <c r="HD160" i="4"/>
  <c r="HE160" i="4"/>
  <c r="HF160" i="4"/>
  <c r="HG160" i="4"/>
  <c r="HH160" i="4"/>
  <c r="HI160" i="4"/>
  <c r="HJ160" i="4"/>
  <c r="HK160" i="4"/>
  <c r="HL160" i="4"/>
  <c r="HM160" i="4"/>
  <c r="HN160" i="4"/>
  <c r="HO160" i="4"/>
  <c r="HP160" i="4"/>
  <c r="HQ160" i="4"/>
  <c r="HR160" i="4"/>
  <c r="HS160" i="4"/>
  <c r="HT160" i="4"/>
  <c r="HU160" i="4"/>
  <c r="HV160" i="4"/>
  <c r="HW160" i="4"/>
  <c r="HX160" i="4"/>
  <c r="HY160" i="4"/>
  <c r="HZ160" i="4"/>
  <c r="IA160" i="4"/>
  <c r="IB160" i="4"/>
  <c r="IC160" i="4"/>
  <c r="ID160" i="4"/>
  <c r="IE160" i="4"/>
  <c r="IF160" i="4"/>
  <c r="IG160" i="4"/>
  <c r="IH160" i="4"/>
  <c r="II160" i="4"/>
  <c r="IJ160" i="4"/>
  <c r="IK160" i="4"/>
  <c r="IL160" i="4"/>
  <c r="IM160" i="4"/>
  <c r="IN160" i="4"/>
  <c r="IO160" i="4"/>
  <c r="IP160" i="4"/>
  <c r="IQ160" i="4"/>
  <c r="IR160" i="4"/>
  <c r="IS160" i="4"/>
  <c r="IT160" i="4"/>
  <c r="IU160" i="4"/>
  <c r="IV160" i="4"/>
  <c r="A159" i="4"/>
  <c r="B159" i="4"/>
  <c r="C159" i="4"/>
  <c r="D159" i="4"/>
  <c r="E159" i="4"/>
  <c r="F159" i="4"/>
  <c r="G159" i="4"/>
  <c r="H159" i="4"/>
  <c r="I159" i="4"/>
  <c r="J159" i="4"/>
  <c r="K159" i="4"/>
  <c r="L159" i="4"/>
  <c r="M159" i="4"/>
  <c r="N159" i="4"/>
  <c r="O159" i="4"/>
  <c r="P159" i="4"/>
  <c r="Q159" i="4"/>
  <c r="R159" i="4"/>
  <c r="S159" i="4"/>
  <c r="T159" i="4"/>
  <c r="U159" i="4"/>
  <c r="V159" i="4"/>
  <c r="W159" i="4"/>
  <c r="X159" i="4"/>
  <c r="Y159" i="4"/>
  <c r="Z159" i="4"/>
  <c r="AA159" i="4"/>
  <c r="AB159" i="4"/>
  <c r="AC159" i="4"/>
  <c r="AD159" i="4"/>
  <c r="AE159" i="4"/>
  <c r="AF159" i="4"/>
  <c r="AG159" i="4"/>
  <c r="AH159" i="4"/>
  <c r="AJ159" i="4"/>
  <c r="AK159" i="4"/>
  <c r="AL159" i="4"/>
  <c r="AM159" i="4"/>
  <c r="AN159" i="4"/>
  <c r="AO159" i="4"/>
  <c r="AP159" i="4"/>
  <c r="AQ159" i="4"/>
  <c r="AR159" i="4"/>
  <c r="AS159" i="4"/>
  <c r="AT159" i="4"/>
  <c r="AU159" i="4"/>
  <c r="AV159" i="4"/>
  <c r="AW159" i="4"/>
  <c r="AX159" i="4"/>
  <c r="AY159" i="4"/>
  <c r="AZ159" i="4"/>
  <c r="BA159" i="4"/>
  <c r="BB159" i="4"/>
  <c r="BC159" i="4"/>
  <c r="BD159" i="4"/>
  <c r="BE159" i="4"/>
  <c r="BF159" i="4"/>
  <c r="BG159" i="4"/>
  <c r="BH159" i="4"/>
  <c r="BI159" i="4"/>
  <c r="BJ159" i="4"/>
  <c r="BK159" i="4"/>
  <c r="BL159" i="4"/>
  <c r="BM159" i="4"/>
  <c r="BN159" i="4"/>
  <c r="BO159" i="4"/>
  <c r="BP159" i="4"/>
  <c r="BQ159" i="4"/>
  <c r="BR159" i="4"/>
  <c r="BS159" i="4"/>
  <c r="BT159" i="4"/>
  <c r="BU159" i="4"/>
  <c r="BV159" i="4"/>
  <c r="BW159" i="4"/>
  <c r="BX159" i="4"/>
  <c r="BY159" i="4"/>
  <c r="BZ159" i="4"/>
  <c r="CA159" i="4"/>
  <c r="CB159" i="4"/>
  <c r="CC159" i="4"/>
  <c r="CD159" i="4"/>
  <c r="CE159" i="4"/>
  <c r="CF159" i="4"/>
  <c r="CG159" i="4"/>
  <c r="CH159" i="4"/>
  <c r="CI159" i="4"/>
  <c r="CJ159" i="4"/>
  <c r="CK159" i="4"/>
  <c r="CL159" i="4"/>
  <c r="CM159" i="4"/>
  <c r="CN159" i="4"/>
  <c r="CO159" i="4"/>
  <c r="CP159" i="4"/>
  <c r="CQ159" i="4"/>
  <c r="CR159" i="4"/>
  <c r="CS159" i="4"/>
  <c r="CT159" i="4"/>
  <c r="CU159" i="4"/>
  <c r="CV159" i="4"/>
  <c r="CW159" i="4"/>
  <c r="CX159" i="4"/>
  <c r="CY159" i="4"/>
  <c r="CZ159" i="4"/>
  <c r="DA159" i="4"/>
  <c r="DB159" i="4"/>
  <c r="DC159" i="4"/>
  <c r="DD159" i="4"/>
  <c r="DE159" i="4"/>
  <c r="DF159" i="4"/>
  <c r="DG159" i="4"/>
  <c r="DH159" i="4"/>
  <c r="DI159" i="4"/>
  <c r="DJ159" i="4"/>
  <c r="DK159" i="4"/>
  <c r="DL159" i="4"/>
  <c r="DM159" i="4"/>
  <c r="DN159" i="4"/>
  <c r="DO159" i="4"/>
  <c r="DP159" i="4"/>
  <c r="DQ159" i="4"/>
  <c r="DR159" i="4"/>
  <c r="DS159" i="4"/>
  <c r="DT159" i="4"/>
  <c r="DU159" i="4"/>
  <c r="DV159" i="4"/>
  <c r="DW159" i="4"/>
  <c r="DX159" i="4"/>
  <c r="DY159" i="4"/>
  <c r="DZ159" i="4"/>
  <c r="EA159" i="4"/>
  <c r="EB159" i="4"/>
  <c r="EC159" i="4"/>
  <c r="ED159" i="4"/>
  <c r="EE159" i="4"/>
  <c r="EF159" i="4"/>
  <c r="EG159" i="4"/>
  <c r="EH159" i="4"/>
  <c r="EI159" i="4"/>
  <c r="EJ159" i="4"/>
  <c r="EK159" i="4"/>
  <c r="EL159" i="4"/>
  <c r="EM159" i="4"/>
  <c r="EN159" i="4"/>
  <c r="EO159" i="4"/>
  <c r="EP159" i="4"/>
  <c r="EQ159" i="4"/>
  <c r="ER159" i="4"/>
  <c r="ES159" i="4"/>
  <c r="ET159" i="4"/>
  <c r="EU159" i="4"/>
  <c r="EV159" i="4"/>
  <c r="EW159" i="4"/>
  <c r="EX159" i="4"/>
  <c r="EY159" i="4"/>
  <c r="EZ159" i="4"/>
  <c r="FA159" i="4"/>
  <c r="FB159" i="4"/>
  <c r="FC159" i="4"/>
  <c r="FD159" i="4"/>
  <c r="FE159" i="4"/>
  <c r="FF159" i="4"/>
  <c r="FG159" i="4"/>
  <c r="FH159" i="4"/>
  <c r="FI159" i="4"/>
  <c r="FJ159" i="4"/>
  <c r="FK159" i="4"/>
  <c r="FL159" i="4"/>
  <c r="FM159" i="4"/>
  <c r="FN159" i="4"/>
  <c r="FO159" i="4"/>
  <c r="FP159" i="4"/>
  <c r="FQ159" i="4"/>
  <c r="FR159" i="4"/>
  <c r="FS159" i="4"/>
  <c r="FT159" i="4"/>
  <c r="FU159" i="4"/>
  <c r="FV159" i="4"/>
  <c r="FW159" i="4"/>
  <c r="FX159" i="4"/>
  <c r="FY159" i="4"/>
  <c r="FZ159" i="4"/>
  <c r="GA159" i="4"/>
  <c r="GB159" i="4"/>
  <c r="GC159" i="4"/>
  <c r="GD159" i="4"/>
  <c r="GE159" i="4"/>
  <c r="GF159" i="4"/>
  <c r="GG159" i="4"/>
  <c r="GH159" i="4"/>
  <c r="GI159" i="4"/>
  <c r="GJ159" i="4"/>
  <c r="GK159" i="4"/>
  <c r="GL159" i="4"/>
  <c r="GM159" i="4"/>
  <c r="GN159" i="4"/>
  <c r="GO159" i="4"/>
  <c r="GP159" i="4"/>
  <c r="GQ159" i="4"/>
  <c r="GR159" i="4"/>
  <c r="GS159" i="4"/>
  <c r="GT159" i="4"/>
  <c r="GU159" i="4"/>
  <c r="GV159" i="4"/>
  <c r="GW159" i="4"/>
  <c r="GX159" i="4"/>
  <c r="GY159" i="4"/>
  <c r="GZ159" i="4"/>
  <c r="HA159" i="4"/>
  <c r="HB159" i="4"/>
  <c r="HC159" i="4"/>
  <c r="HD159" i="4"/>
  <c r="HE159" i="4"/>
  <c r="HF159" i="4"/>
  <c r="HG159" i="4"/>
  <c r="HH159" i="4"/>
  <c r="HI159" i="4"/>
  <c r="HJ159" i="4"/>
  <c r="HK159" i="4"/>
  <c r="HL159" i="4"/>
  <c r="HM159" i="4"/>
  <c r="HN159" i="4"/>
  <c r="HO159" i="4"/>
  <c r="HP159" i="4"/>
  <c r="HQ159" i="4"/>
  <c r="HR159" i="4"/>
  <c r="HS159" i="4"/>
  <c r="HT159" i="4"/>
  <c r="HU159" i="4"/>
  <c r="HV159" i="4"/>
  <c r="HW159" i="4"/>
  <c r="HX159" i="4"/>
  <c r="HY159" i="4"/>
  <c r="HZ159" i="4"/>
  <c r="IA159" i="4"/>
  <c r="IB159" i="4"/>
  <c r="IC159" i="4"/>
  <c r="ID159" i="4"/>
  <c r="IE159" i="4"/>
  <c r="IF159" i="4"/>
  <c r="IG159" i="4"/>
  <c r="IH159" i="4"/>
  <c r="II159" i="4"/>
  <c r="IJ159" i="4"/>
  <c r="IK159" i="4"/>
  <c r="IL159" i="4"/>
  <c r="IM159" i="4"/>
  <c r="IN159" i="4"/>
  <c r="IO159" i="4"/>
  <c r="IP159" i="4"/>
  <c r="IQ159" i="4"/>
  <c r="IR159" i="4"/>
  <c r="IS159" i="4"/>
  <c r="IT159" i="4"/>
  <c r="IU159" i="4"/>
  <c r="IV159" i="4"/>
  <c r="A158" i="4"/>
  <c r="B158" i="4"/>
  <c r="C158" i="4"/>
  <c r="D158" i="4"/>
  <c r="E158" i="4"/>
  <c r="F158" i="4"/>
  <c r="G158" i="4"/>
  <c r="H158" i="4"/>
  <c r="I158" i="4"/>
  <c r="J158" i="4"/>
  <c r="K158" i="4"/>
  <c r="L158" i="4"/>
  <c r="M158" i="4"/>
  <c r="N158" i="4"/>
  <c r="O158" i="4"/>
  <c r="P158" i="4"/>
  <c r="Q158" i="4"/>
  <c r="R158" i="4"/>
  <c r="S158" i="4"/>
  <c r="T158" i="4"/>
  <c r="U158" i="4"/>
  <c r="V158" i="4"/>
  <c r="W158" i="4"/>
  <c r="X158" i="4"/>
  <c r="Y158" i="4"/>
  <c r="Z158" i="4"/>
  <c r="AA158" i="4"/>
  <c r="AB158" i="4"/>
  <c r="AC158" i="4"/>
  <c r="AD158" i="4"/>
  <c r="AE158" i="4"/>
  <c r="AF158" i="4"/>
  <c r="AG158" i="4"/>
  <c r="AH158" i="4"/>
  <c r="AI158" i="4"/>
  <c r="AK158" i="4"/>
  <c r="AL158" i="4"/>
  <c r="AM158" i="4"/>
  <c r="AN158" i="4"/>
  <c r="AO158" i="4"/>
  <c r="AP158" i="4"/>
  <c r="AQ158" i="4"/>
  <c r="AR158" i="4"/>
  <c r="AS158" i="4"/>
  <c r="AT158" i="4"/>
  <c r="AU158" i="4"/>
  <c r="AV158" i="4"/>
  <c r="AW158" i="4"/>
  <c r="AX158" i="4"/>
  <c r="AY158" i="4"/>
  <c r="AZ158" i="4"/>
  <c r="BA158" i="4"/>
  <c r="BB158" i="4"/>
  <c r="BC158" i="4"/>
  <c r="BD158" i="4"/>
  <c r="BE158" i="4"/>
  <c r="BF158" i="4"/>
  <c r="BG158" i="4"/>
  <c r="BH158" i="4"/>
  <c r="BI158" i="4"/>
  <c r="BJ158" i="4"/>
  <c r="BK158" i="4"/>
  <c r="BL158" i="4"/>
  <c r="BM158" i="4"/>
  <c r="BN158" i="4"/>
  <c r="BO158" i="4"/>
  <c r="BP158" i="4"/>
  <c r="BQ158" i="4"/>
  <c r="BR158" i="4"/>
  <c r="BS158" i="4"/>
  <c r="BT158" i="4"/>
  <c r="BU158" i="4"/>
  <c r="BV158" i="4"/>
  <c r="BW158" i="4"/>
  <c r="BX158" i="4"/>
  <c r="BY158" i="4"/>
  <c r="BZ158" i="4"/>
  <c r="CA158" i="4"/>
  <c r="CB158" i="4"/>
  <c r="CC158" i="4"/>
  <c r="CD158" i="4"/>
  <c r="CE158" i="4"/>
  <c r="CF158" i="4"/>
  <c r="CG158" i="4"/>
  <c r="CH158" i="4"/>
  <c r="CI158" i="4"/>
  <c r="CJ158" i="4"/>
  <c r="CK158" i="4"/>
  <c r="CL158" i="4"/>
  <c r="CM158" i="4"/>
  <c r="CN158" i="4"/>
  <c r="CO158" i="4"/>
  <c r="CP158" i="4"/>
  <c r="CQ158" i="4"/>
  <c r="CR158" i="4"/>
  <c r="CS158" i="4"/>
  <c r="CT158" i="4"/>
  <c r="CU158" i="4"/>
  <c r="CV158" i="4"/>
  <c r="CW158" i="4"/>
  <c r="CX158" i="4"/>
  <c r="CY158" i="4"/>
  <c r="CZ158" i="4"/>
  <c r="DA158" i="4"/>
  <c r="DB158" i="4"/>
  <c r="DC158" i="4"/>
  <c r="DD158" i="4"/>
  <c r="DE158" i="4"/>
  <c r="DF158" i="4"/>
  <c r="DG158" i="4"/>
  <c r="DH158" i="4"/>
  <c r="DI158" i="4"/>
  <c r="DJ158" i="4"/>
  <c r="DK158" i="4"/>
  <c r="DL158" i="4"/>
  <c r="DM158" i="4"/>
  <c r="DN158" i="4"/>
  <c r="DO158" i="4"/>
  <c r="DP158" i="4"/>
  <c r="DQ158" i="4"/>
  <c r="DR158" i="4"/>
  <c r="DS158" i="4"/>
  <c r="DT158" i="4"/>
  <c r="DU158" i="4"/>
  <c r="DV158" i="4"/>
  <c r="DW158" i="4"/>
  <c r="DX158" i="4"/>
  <c r="DY158" i="4"/>
  <c r="DZ158" i="4"/>
  <c r="EA158" i="4"/>
  <c r="EB158" i="4"/>
  <c r="EC158" i="4"/>
  <c r="ED158" i="4"/>
  <c r="EE158" i="4"/>
  <c r="EF158" i="4"/>
  <c r="EG158" i="4"/>
  <c r="EH158" i="4"/>
  <c r="EI158" i="4"/>
  <c r="EJ158" i="4"/>
  <c r="EK158" i="4"/>
  <c r="EL158" i="4"/>
  <c r="EM158" i="4"/>
  <c r="EN158" i="4"/>
  <c r="EO158" i="4"/>
  <c r="EP158" i="4"/>
  <c r="EQ158" i="4"/>
  <c r="ER158" i="4"/>
  <c r="ES158" i="4"/>
  <c r="ET158" i="4"/>
  <c r="EU158" i="4"/>
  <c r="EV158" i="4"/>
  <c r="EW158" i="4"/>
  <c r="EX158" i="4"/>
  <c r="EY158" i="4"/>
  <c r="EZ158" i="4"/>
  <c r="FA158" i="4"/>
  <c r="FB158" i="4"/>
  <c r="FC158" i="4"/>
  <c r="FD158" i="4"/>
  <c r="FE158" i="4"/>
  <c r="FF158" i="4"/>
  <c r="FG158" i="4"/>
  <c r="FH158" i="4"/>
  <c r="FI158" i="4"/>
  <c r="FJ158" i="4"/>
  <c r="FK158" i="4"/>
  <c r="FL158" i="4"/>
  <c r="FM158" i="4"/>
  <c r="FN158" i="4"/>
  <c r="FO158" i="4"/>
  <c r="FP158" i="4"/>
  <c r="FQ158" i="4"/>
  <c r="FR158" i="4"/>
  <c r="FS158" i="4"/>
  <c r="FT158" i="4"/>
  <c r="FU158" i="4"/>
  <c r="FV158" i="4"/>
  <c r="FW158" i="4"/>
  <c r="FX158" i="4"/>
  <c r="FY158" i="4"/>
  <c r="FZ158" i="4"/>
  <c r="GA158" i="4"/>
  <c r="GB158" i="4"/>
  <c r="GC158" i="4"/>
  <c r="GD158" i="4"/>
  <c r="GE158" i="4"/>
  <c r="GF158" i="4"/>
  <c r="GG158" i="4"/>
  <c r="GH158" i="4"/>
  <c r="GI158" i="4"/>
  <c r="GJ158" i="4"/>
  <c r="GK158" i="4"/>
  <c r="GL158" i="4"/>
  <c r="GM158" i="4"/>
  <c r="GN158" i="4"/>
  <c r="GO158" i="4"/>
  <c r="GP158" i="4"/>
  <c r="GQ158" i="4"/>
  <c r="GR158" i="4"/>
  <c r="GS158" i="4"/>
  <c r="GT158" i="4"/>
  <c r="GU158" i="4"/>
  <c r="GV158" i="4"/>
  <c r="GW158" i="4"/>
  <c r="GX158" i="4"/>
  <c r="GY158" i="4"/>
  <c r="GZ158" i="4"/>
  <c r="HA158" i="4"/>
  <c r="HB158" i="4"/>
  <c r="HC158" i="4"/>
  <c r="HD158" i="4"/>
  <c r="HE158" i="4"/>
  <c r="HF158" i="4"/>
  <c r="HG158" i="4"/>
  <c r="HH158" i="4"/>
  <c r="HI158" i="4"/>
  <c r="HJ158" i="4"/>
  <c r="HK158" i="4"/>
  <c r="HL158" i="4"/>
  <c r="HM158" i="4"/>
  <c r="HN158" i="4"/>
  <c r="HO158" i="4"/>
  <c r="HP158" i="4"/>
  <c r="HQ158" i="4"/>
  <c r="HR158" i="4"/>
  <c r="HS158" i="4"/>
  <c r="HT158" i="4"/>
  <c r="HU158" i="4"/>
  <c r="HV158" i="4"/>
  <c r="HW158" i="4"/>
  <c r="HX158" i="4"/>
  <c r="HY158" i="4"/>
  <c r="HZ158" i="4"/>
  <c r="IA158" i="4"/>
  <c r="IB158" i="4"/>
  <c r="IC158" i="4"/>
  <c r="ID158" i="4"/>
  <c r="IE158" i="4"/>
  <c r="IF158" i="4"/>
  <c r="IG158" i="4"/>
  <c r="IH158" i="4"/>
  <c r="II158" i="4"/>
  <c r="IJ158" i="4"/>
  <c r="IK158" i="4"/>
  <c r="IL158" i="4"/>
  <c r="IM158" i="4"/>
  <c r="IN158" i="4"/>
  <c r="IO158" i="4"/>
  <c r="IP158" i="4"/>
  <c r="IQ158" i="4"/>
  <c r="IR158" i="4"/>
  <c r="IS158" i="4"/>
  <c r="IT158" i="4"/>
  <c r="IU158" i="4"/>
  <c r="IV158" i="4"/>
  <c r="A157" i="4"/>
  <c r="B157" i="4"/>
  <c r="C157" i="4"/>
  <c r="D157" i="4"/>
  <c r="E157" i="4"/>
  <c r="F157" i="4"/>
  <c r="G157" i="4"/>
  <c r="H157" i="4"/>
  <c r="I157" i="4"/>
  <c r="J157" i="4"/>
  <c r="K157" i="4"/>
  <c r="L157" i="4"/>
  <c r="M157" i="4"/>
  <c r="N157" i="4"/>
  <c r="O157" i="4"/>
  <c r="P157" i="4"/>
  <c r="Q157" i="4"/>
  <c r="R157" i="4"/>
  <c r="S157" i="4"/>
  <c r="T157" i="4"/>
  <c r="U157" i="4"/>
  <c r="V157" i="4"/>
  <c r="W157" i="4"/>
  <c r="X157" i="4"/>
  <c r="Y157" i="4"/>
  <c r="Z157" i="4"/>
  <c r="AA157" i="4"/>
  <c r="AB157" i="4"/>
  <c r="AC157" i="4"/>
  <c r="AD157" i="4"/>
  <c r="AE157" i="4"/>
  <c r="AF157" i="4"/>
  <c r="AG157" i="4"/>
  <c r="AH157" i="4"/>
  <c r="AI157" i="4"/>
  <c r="AJ157" i="4"/>
  <c r="AL157" i="4"/>
  <c r="AM157" i="4"/>
  <c r="AN157" i="4"/>
  <c r="AO157" i="4"/>
  <c r="AP157" i="4"/>
  <c r="AQ157" i="4"/>
  <c r="AR157" i="4"/>
  <c r="AS157" i="4"/>
  <c r="AT157" i="4"/>
  <c r="AU157" i="4"/>
  <c r="AV157" i="4"/>
  <c r="AW157" i="4"/>
  <c r="AX157" i="4"/>
  <c r="AY157" i="4"/>
  <c r="AZ157" i="4"/>
  <c r="BA157" i="4"/>
  <c r="BB157" i="4"/>
  <c r="BC157" i="4"/>
  <c r="BD157" i="4"/>
  <c r="BE157" i="4"/>
  <c r="BF157" i="4"/>
  <c r="BG157" i="4"/>
  <c r="BH157" i="4"/>
  <c r="BI157" i="4"/>
  <c r="BJ157" i="4"/>
  <c r="BK157" i="4"/>
  <c r="BL157" i="4"/>
  <c r="BM157" i="4"/>
  <c r="BN157" i="4"/>
  <c r="BO157" i="4"/>
  <c r="BP157" i="4"/>
  <c r="BQ157" i="4"/>
  <c r="BR157" i="4"/>
  <c r="BS157" i="4"/>
  <c r="BT157" i="4"/>
  <c r="BU157" i="4"/>
  <c r="BV157" i="4"/>
  <c r="BW157" i="4"/>
  <c r="BX157" i="4"/>
  <c r="BY157" i="4"/>
  <c r="BZ157" i="4"/>
  <c r="CA157" i="4"/>
  <c r="CB157" i="4"/>
  <c r="CC157" i="4"/>
  <c r="CD157" i="4"/>
  <c r="CE157" i="4"/>
  <c r="CF157" i="4"/>
  <c r="CG157" i="4"/>
  <c r="CH157" i="4"/>
  <c r="CI157" i="4"/>
  <c r="CJ157" i="4"/>
  <c r="CK157" i="4"/>
  <c r="CL157" i="4"/>
  <c r="CM157" i="4"/>
  <c r="CN157" i="4"/>
  <c r="CO157" i="4"/>
  <c r="CP157" i="4"/>
  <c r="CQ157" i="4"/>
  <c r="CR157" i="4"/>
  <c r="CS157" i="4"/>
  <c r="CT157" i="4"/>
  <c r="CU157" i="4"/>
  <c r="CV157" i="4"/>
  <c r="CW157" i="4"/>
  <c r="CX157" i="4"/>
  <c r="CY157" i="4"/>
  <c r="CZ157" i="4"/>
  <c r="DA157" i="4"/>
  <c r="DB157" i="4"/>
  <c r="DC157" i="4"/>
  <c r="DD157" i="4"/>
  <c r="DE157" i="4"/>
  <c r="DF157" i="4"/>
  <c r="DG157" i="4"/>
  <c r="DH157" i="4"/>
  <c r="DI157" i="4"/>
  <c r="DJ157" i="4"/>
  <c r="DK157" i="4"/>
  <c r="DL157" i="4"/>
  <c r="DM157" i="4"/>
  <c r="DN157" i="4"/>
  <c r="DO157" i="4"/>
  <c r="DP157" i="4"/>
  <c r="DQ157" i="4"/>
  <c r="DR157" i="4"/>
  <c r="DS157" i="4"/>
  <c r="DT157" i="4"/>
  <c r="DU157" i="4"/>
  <c r="DV157" i="4"/>
  <c r="DW157" i="4"/>
  <c r="DX157" i="4"/>
  <c r="DY157" i="4"/>
  <c r="DZ157" i="4"/>
  <c r="EA157" i="4"/>
  <c r="EB157" i="4"/>
  <c r="EC157" i="4"/>
  <c r="ED157" i="4"/>
  <c r="EE157" i="4"/>
  <c r="EF157" i="4"/>
  <c r="EG157" i="4"/>
  <c r="EH157" i="4"/>
  <c r="EI157" i="4"/>
  <c r="EJ157" i="4"/>
  <c r="EK157" i="4"/>
  <c r="EL157" i="4"/>
  <c r="EM157" i="4"/>
  <c r="EN157" i="4"/>
  <c r="EO157" i="4"/>
  <c r="EP157" i="4"/>
  <c r="EQ157" i="4"/>
  <c r="ER157" i="4"/>
  <c r="ES157" i="4"/>
  <c r="ET157" i="4"/>
  <c r="EU157" i="4"/>
  <c r="EV157" i="4"/>
  <c r="EW157" i="4"/>
  <c r="EX157" i="4"/>
  <c r="EY157" i="4"/>
  <c r="EZ157" i="4"/>
  <c r="FA157" i="4"/>
  <c r="FB157" i="4"/>
  <c r="FC157" i="4"/>
  <c r="FD157" i="4"/>
  <c r="FE157" i="4"/>
  <c r="FF157" i="4"/>
  <c r="FG157" i="4"/>
  <c r="FH157" i="4"/>
  <c r="FI157" i="4"/>
  <c r="FJ157" i="4"/>
  <c r="FK157" i="4"/>
  <c r="FL157" i="4"/>
  <c r="FM157" i="4"/>
  <c r="FN157" i="4"/>
  <c r="FO157" i="4"/>
  <c r="FP157" i="4"/>
  <c r="FQ157" i="4"/>
  <c r="FR157" i="4"/>
  <c r="FS157" i="4"/>
  <c r="FT157" i="4"/>
  <c r="FU157" i="4"/>
  <c r="FV157" i="4"/>
  <c r="FW157" i="4"/>
  <c r="FX157" i="4"/>
  <c r="FY157" i="4"/>
  <c r="FZ157" i="4"/>
  <c r="GA157" i="4"/>
  <c r="GB157" i="4"/>
  <c r="GC157" i="4"/>
  <c r="GD157" i="4"/>
  <c r="GE157" i="4"/>
  <c r="GF157" i="4"/>
  <c r="GG157" i="4"/>
  <c r="GH157" i="4"/>
  <c r="GI157" i="4"/>
  <c r="GJ157" i="4"/>
  <c r="GK157" i="4"/>
  <c r="GL157" i="4"/>
  <c r="GM157" i="4"/>
  <c r="GN157" i="4"/>
  <c r="GO157" i="4"/>
  <c r="GP157" i="4"/>
  <c r="GQ157" i="4"/>
  <c r="GR157" i="4"/>
  <c r="GS157" i="4"/>
  <c r="GT157" i="4"/>
  <c r="GU157" i="4"/>
  <c r="GV157" i="4"/>
  <c r="GW157" i="4"/>
  <c r="GX157" i="4"/>
  <c r="GY157" i="4"/>
  <c r="GZ157" i="4"/>
  <c r="HA157" i="4"/>
  <c r="HB157" i="4"/>
  <c r="HC157" i="4"/>
  <c r="HD157" i="4"/>
  <c r="HE157" i="4"/>
  <c r="HF157" i="4"/>
  <c r="HG157" i="4"/>
  <c r="HH157" i="4"/>
  <c r="HI157" i="4"/>
  <c r="HJ157" i="4"/>
  <c r="HK157" i="4"/>
  <c r="HL157" i="4"/>
  <c r="HM157" i="4"/>
  <c r="HN157" i="4"/>
  <c r="HO157" i="4"/>
  <c r="HP157" i="4"/>
  <c r="HQ157" i="4"/>
  <c r="HR157" i="4"/>
  <c r="HS157" i="4"/>
  <c r="HT157" i="4"/>
  <c r="HU157" i="4"/>
  <c r="HV157" i="4"/>
  <c r="HW157" i="4"/>
  <c r="HX157" i="4"/>
  <c r="HY157" i="4"/>
  <c r="HZ157" i="4"/>
  <c r="IA157" i="4"/>
  <c r="IB157" i="4"/>
  <c r="IC157" i="4"/>
  <c r="ID157" i="4"/>
  <c r="IE157" i="4"/>
  <c r="IF157" i="4"/>
  <c r="IG157" i="4"/>
  <c r="IH157" i="4"/>
  <c r="II157" i="4"/>
  <c r="IJ157" i="4"/>
  <c r="IK157" i="4"/>
  <c r="IL157" i="4"/>
  <c r="IM157" i="4"/>
  <c r="IN157" i="4"/>
  <c r="IO157" i="4"/>
  <c r="IP157" i="4"/>
  <c r="IQ157" i="4"/>
  <c r="IR157" i="4"/>
  <c r="IS157" i="4"/>
  <c r="IT157" i="4"/>
  <c r="IU157" i="4"/>
  <c r="IV157" i="4"/>
  <c r="A156" i="4"/>
  <c r="B156" i="4"/>
  <c r="C156" i="4"/>
  <c r="D156" i="4"/>
  <c r="E156" i="4"/>
  <c r="F156" i="4"/>
  <c r="G156" i="4"/>
  <c r="H156" i="4"/>
  <c r="I156" i="4"/>
  <c r="J156" i="4"/>
  <c r="K156" i="4"/>
  <c r="L156" i="4"/>
  <c r="M156" i="4"/>
  <c r="N156" i="4"/>
  <c r="O156" i="4"/>
  <c r="P156" i="4"/>
  <c r="Q156" i="4"/>
  <c r="R156" i="4"/>
  <c r="S156" i="4"/>
  <c r="T156" i="4"/>
  <c r="U156" i="4"/>
  <c r="V156" i="4"/>
  <c r="W156" i="4"/>
  <c r="X156" i="4"/>
  <c r="Y156" i="4"/>
  <c r="Z156" i="4"/>
  <c r="AA156" i="4"/>
  <c r="AB156" i="4"/>
  <c r="AC156" i="4"/>
  <c r="AD156" i="4"/>
  <c r="AE156" i="4"/>
  <c r="AF156" i="4"/>
  <c r="AG156" i="4"/>
  <c r="AH156" i="4"/>
  <c r="AI156" i="4"/>
  <c r="AJ156" i="4"/>
  <c r="AK156" i="4"/>
  <c r="AM156" i="4"/>
  <c r="AN156" i="4"/>
  <c r="AO156" i="4"/>
  <c r="AP156" i="4"/>
  <c r="AQ156" i="4"/>
  <c r="AR156" i="4"/>
  <c r="AS156" i="4"/>
  <c r="AT156" i="4"/>
  <c r="AU156" i="4"/>
  <c r="AV156" i="4"/>
  <c r="AW156" i="4"/>
  <c r="AX156" i="4"/>
  <c r="AY156" i="4"/>
  <c r="AZ156" i="4"/>
  <c r="BA156" i="4"/>
  <c r="BB156" i="4"/>
  <c r="BC156" i="4"/>
  <c r="BD156" i="4"/>
  <c r="BE156" i="4"/>
  <c r="BF156" i="4"/>
  <c r="BG156" i="4"/>
  <c r="BH156" i="4"/>
  <c r="BI156" i="4"/>
  <c r="BJ156" i="4"/>
  <c r="BK156" i="4"/>
  <c r="BL156" i="4"/>
  <c r="BM156" i="4"/>
  <c r="BN156" i="4"/>
  <c r="BO156" i="4"/>
  <c r="BP156" i="4"/>
  <c r="BQ156" i="4"/>
  <c r="BR156" i="4"/>
  <c r="BS156" i="4"/>
  <c r="BT156" i="4"/>
  <c r="BU156" i="4"/>
  <c r="BV156" i="4"/>
  <c r="BW156" i="4"/>
  <c r="BX156" i="4"/>
  <c r="BY156" i="4"/>
  <c r="BZ156" i="4"/>
  <c r="CA156" i="4"/>
  <c r="CB156" i="4"/>
  <c r="CC156" i="4"/>
  <c r="CD156" i="4"/>
  <c r="CE156" i="4"/>
  <c r="CF156" i="4"/>
  <c r="CG156" i="4"/>
  <c r="CH156" i="4"/>
  <c r="CI156" i="4"/>
  <c r="CJ156" i="4"/>
  <c r="CK156" i="4"/>
  <c r="CL156" i="4"/>
  <c r="CM156" i="4"/>
  <c r="CN156" i="4"/>
  <c r="CO156" i="4"/>
  <c r="CP156" i="4"/>
  <c r="CQ156" i="4"/>
  <c r="CR156" i="4"/>
  <c r="CS156" i="4"/>
  <c r="CT156" i="4"/>
  <c r="CU156" i="4"/>
  <c r="CV156" i="4"/>
  <c r="CW156" i="4"/>
  <c r="CX156" i="4"/>
  <c r="CY156" i="4"/>
  <c r="CZ156" i="4"/>
  <c r="DA156" i="4"/>
  <c r="DB156" i="4"/>
  <c r="DC156" i="4"/>
  <c r="DD156" i="4"/>
  <c r="DE156" i="4"/>
  <c r="DF156" i="4"/>
  <c r="DG156" i="4"/>
  <c r="DH156" i="4"/>
  <c r="DI156" i="4"/>
  <c r="DJ156" i="4"/>
  <c r="DK156" i="4"/>
  <c r="DL156" i="4"/>
  <c r="DM156" i="4"/>
  <c r="DN156" i="4"/>
  <c r="DO156" i="4"/>
  <c r="DP156" i="4"/>
  <c r="DQ156" i="4"/>
  <c r="DR156" i="4"/>
  <c r="DS156" i="4"/>
  <c r="DT156" i="4"/>
  <c r="DU156" i="4"/>
  <c r="DV156" i="4"/>
  <c r="DW156" i="4"/>
  <c r="DX156" i="4"/>
  <c r="DY156" i="4"/>
  <c r="DZ156" i="4"/>
  <c r="EA156" i="4"/>
  <c r="EB156" i="4"/>
  <c r="EC156" i="4"/>
  <c r="ED156" i="4"/>
  <c r="EE156" i="4"/>
  <c r="EF156" i="4"/>
  <c r="EG156" i="4"/>
  <c r="EH156" i="4"/>
  <c r="EI156" i="4"/>
  <c r="EJ156" i="4"/>
  <c r="EK156" i="4"/>
  <c r="EL156" i="4"/>
  <c r="EM156" i="4"/>
  <c r="EN156" i="4"/>
  <c r="EO156" i="4"/>
  <c r="EP156" i="4"/>
  <c r="EQ156" i="4"/>
  <c r="ER156" i="4"/>
  <c r="ES156" i="4"/>
  <c r="ET156" i="4"/>
  <c r="EU156" i="4"/>
  <c r="EV156" i="4"/>
  <c r="EW156" i="4"/>
  <c r="EX156" i="4"/>
  <c r="EY156" i="4"/>
  <c r="EZ156" i="4"/>
  <c r="FA156" i="4"/>
  <c r="FB156" i="4"/>
  <c r="FC156" i="4"/>
  <c r="FD156" i="4"/>
  <c r="FE156" i="4"/>
  <c r="FF156" i="4"/>
  <c r="FG156" i="4"/>
  <c r="FH156" i="4"/>
  <c r="FI156" i="4"/>
  <c r="FJ156" i="4"/>
  <c r="FK156" i="4"/>
  <c r="FL156" i="4"/>
  <c r="FM156" i="4"/>
  <c r="FN156" i="4"/>
  <c r="FO156" i="4"/>
  <c r="FP156" i="4"/>
  <c r="FQ156" i="4"/>
  <c r="FR156" i="4"/>
  <c r="FS156" i="4"/>
  <c r="FT156" i="4"/>
  <c r="FU156" i="4"/>
  <c r="FV156" i="4"/>
  <c r="FW156" i="4"/>
  <c r="FX156" i="4"/>
  <c r="FY156" i="4"/>
  <c r="FZ156" i="4"/>
  <c r="GA156" i="4"/>
  <c r="GB156" i="4"/>
  <c r="GC156" i="4"/>
  <c r="GD156" i="4"/>
  <c r="GE156" i="4"/>
  <c r="GF156" i="4"/>
  <c r="GG156" i="4"/>
  <c r="GH156" i="4"/>
  <c r="GI156" i="4"/>
  <c r="GJ156" i="4"/>
  <c r="GK156" i="4"/>
  <c r="GL156" i="4"/>
  <c r="GM156" i="4"/>
  <c r="GN156" i="4"/>
  <c r="GO156" i="4"/>
  <c r="GP156" i="4"/>
  <c r="GQ156" i="4"/>
  <c r="GR156" i="4"/>
  <c r="GS156" i="4"/>
  <c r="GT156" i="4"/>
  <c r="GU156" i="4"/>
  <c r="GV156" i="4"/>
  <c r="GW156" i="4"/>
  <c r="GX156" i="4"/>
  <c r="GY156" i="4"/>
  <c r="GZ156" i="4"/>
  <c r="HA156" i="4"/>
  <c r="HB156" i="4"/>
  <c r="HC156" i="4"/>
  <c r="HD156" i="4"/>
  <c r="HE156" i="4"/>
  <c r="HF156" i="4"/>
  <c r="HG156" i="4"/>
  <c r="HH156" i="4"/>
  <c r="HI156" i="4"/>
  <c r="HJ156" i="4"/>
  <c r="HK156" i="4"/>
  <c r="HL156" i="4"/>
  <c r="HM156" i="4"/>
  <c r="HN156" i="4"/>
  <c r="HO156" i="4"/>
  <c r="HP156" i="4"/>
  <c r="HQ156" i="4"/>
  <c r="HR156" i="4"/>
  <c r="HS156" i="4"/>
  <c r="HT156" i="4"/>
  <c r="HU156" i="4"/>
  <c r="HV156" i="4"/>
  <c r="HW156" i="4"/>
  <c r="HX156" i="4"/>
  <c r="HY156" i="4"/>
  <c r="HZ156" i="4"/>
  <c r="IA156" i="4"/>
  <c r="IB156" i="4"/>
  <c r="IC156" i="4"/>
  <c r="ID156" i="4"/>
  <c r="IE156" i="4"/>
  <c r="IF156" i="4"/>
  <c r="IG156" i="4"/>
  <c r="IH156" i="4"/>
  <c r="II156" i="4"/>
  <c r="IJ156" i="4"/>
  <c r="IK156" i="4"/>
  <c r="IL156" i="4"/>
  <c r="IM156" i="4"/>
  <c r="IN156" i="4"/>
  <c r="IO156" i="4"/>
  <c r="IP156" i="4"/>
  <c r="IQ156" i="4"/>
  <c r="IR156" i="4"/>
  <c r="IS156" i="4"/>
  <c r="IT156" i="4"/>
  <c r="IU156" i="4"/>
  <c r="IV156" i="4"/>
  <c r="A155" i="4"/>
  <c r="B155" i="4"/>
  <c r="C155" i="4"/>
  <c r="D155" i="4"/>
  <c r="E155" i="4"/>
  <c r="F155" i="4"/>
  <c r="G155" i="4"/>
  <c r="H155" i="4"/>
  <c r="I155" i="4"/>
  <c r="J155" i="4"/>
  <c r="K155" i="4"/>
  <c r="L155" i="4"/>
  <c r="M155" i="4"/>
  <c r="N155" i="4"/>
  <c r="O155" i="4"/>
  <c r="P155" i="4"/>
  <c r="Q155" i="4"/>
  <c r="R155" i="4"/>
  <c r="S155" i="4"/>
  <c r="T155" i="4"/>
  <c r="U155" i="4"/>
  <c r="V155" i="4"/>
  <c r="W155" i="4"/>
  <c r="X155" i="4"/>
  <c r="Y155" i="4"/>
  <c r="Z155" i="4"/>
  <c r="AA155" i="4"/>
  <c r="AB155" i="4"/>
  <c r="AC155" i="4"/>
  <c r="AD155" i="4"/>
  <c r="AE155" i="4"/>
  <c r="AF155" i="4"/>
  <c r="AG155" i="4"/>
  <c r="AH155" i="4"/>
  <c r="AI155" i="4"/>
  <c r="AJ155" i="4"/>
  <c r="AK155" i="4"/>
  <c r="AL155" i="4"/>
  <c r="AN155" i="4"/>
  <c r="AO155" i="4"/>
  <c r="AP155" i="4"/>
  <c r="AQ155" i="4"/>
  <c r="AR155" i="4"/>
  <c r="AS155" i="4"/>
  <c r="AT155" i="4"/>
  <c r="AU155" i="4"/>
  <c r="AV155" i="4"/>
  <c r="AW155" i="4"/>
  <c r="AX155" i="4"/>
  <c r="AY155" i="4"/>
  <c r="AZ155" i="4"/>
  <c r="BA155" i="4"/>
  <c r="BB155" i="4"/>
  <c r="BC155" i="4"/>
  <c r="BD155" i="4"/>
  <c r="BE155" i="4"/>
  <c r="BF155" i="4"/>
  <c r="BG155" i="4"/>
  <c r="BH155" i="4"/>
  <c r="BI155" i="4"/>
  <c r="BJ155" i="4"/>
  <c r="BK155" i="4"/>
  <c r="BL155" i="4"/>
  <c r="BM155" i="4"/>
  <c r="BN155" i="4"/>
  <c r="BO155" i="4"/>
  <c r="BP155" i="4"/>
  <c r="BQ155" i="4"/>
  <c r="BR155" i="4"/>
  <c r="BS155" i="4"/>
  <c r="BT155" i="4"/>
  <c r="BU155" i="4"/>
  <c r="BV155" i="4"/>
  <c r="BW155" i="4"/>
  <c r="BX155" i="4"/>
  <c r="BY155" i="4"/>
  <c r="BZ155" i="4"/>
  <c r="CA155" i="4"/>
  <c r="CB155" i="4"/>
  <c r="CC155" i="4"/>
  <c r="CD155" i="4"/>
  <c r="CE155" i="4"/>
  <c r="CF155" i="4"/>
  <c r="CG155" i="4"/>
  <c r="CH155" i="4"/>
  <c r="CI155" i="4"/>
  <c r="CJ155" i="4"/>
  <c r="CK155" i="4"/>
  <c r="CL155" i="4"/>
  <c r="CM155" i="4"/>
  <c r="CN155" i="4"/>
  <c r="CO155" i="4"/>
  <c r="CP155" i="4"/>
  <c r="CQ155" i="4"/>
  <c r="CR155" i="4"/>
  <c r="CS155" i="4"/>
  <c r="CT155" i="4"/>
  <c r="CU155" i="4"/>
  <c r="CV155" i="4"/>
  <c r="CW155" i="4"/>
  <c r="CX155" i="4"/>
  <c r="CY155" i="4"/>
  <c r="CZ155" i="4"/>
  <c r="DA155" i="4"/>
  <c r="DB155" i="4"/>
  <c r="DC155" i="4"/>
  <c r="DD155" i="4"/>
  <c r="DE155" i="4"/>
  <c r="DF155" i="4"/>
  <c r="DG155" i="4"/>
  <c r="DH155" i="4"/>
  <c r="DI155" i="4"/>
  <c r="DJ155" i="4"/>
  <c r="DK155" i="4"/>
  <c r="DL155" i="4"/>
  <c r="DM155" i="4"/>
  <c r="DN155" i="4"/>
  <c r="DO155" i="4"/>
  <c r="DP155" i="4"/>
  <c r="DQ155" i="4"/>
  <c r="DR155" i="4"/>
  <c r="DS155" i="4"/>
  <c r="DT155" i="4"/>
  <c r="DU155" i="4"/>
  <c r="DV155" i="4"/>
  <c r="DW155" i="4"/>
  <c r="DX155" i="4"/>
  <c r="DY155" i="4"/>
  <c r="DZ155" i="4"/>
  <c r="EA155" i="4"/>
  <c r="EB155" i="4"/>
  <c r="EC155" i="4"/>
  <c r="ED155" i="4"/>
  <c r="EE155" i="4"/>
  <c r="EF155" i="4"/>
  <c r="EG155" i="4"/>
  <c r="EH155" i="4"/>
  <c r="EI155" i="4"/>
  <c r="EJ155" i="4"/>
  <c r="EK155" i="4"/>
  <c r="EL155" i="4"/>
  <c r="EM155" i="4"/>
  <c r="EN155" i="4"/>
  <c r="EO155" i="4"/>
  <c r="EP155" i="4"/>
  <c r="EQ155" i="4"/>
  <c r="ER155" i="4"/>
  <c r="ES155" i="4"/>
  <c r="ET155" i="4"/>
  <c r="EU155" i="4"/>
  <c r="EV155" i="4"/>
  <c r="EW155" i="4"/>
  <c r="EX155" i="4"/>
  <c r="EY155" i="4"/>
  <c r="EZ155" i="4"/>
  <c r="FA155" i="4"/>
  <c r="FB155" i="4"/>
  <c r="FC155" i="4"/>
  <c r="FD155" i="4"/>
  <c r="FE155" i="4"/>
  <c r="FF155" i="4"/>
  <c r="FG155" i="4"/>
  <c r="FH155" i="4"/>
  <c r="FI155" i="4"/>
  <c r="FJ155" i="4"/>
  <c r="FK155" i="4"/>
  <c r="FL155" i="4"/>
  <c r="FM155" i="4"/>
  <c r="FN155" i="4"/>
  <c r="FO155" i="4"/>
  <c r="FP155" i="4"/>
  <c r="FQ155" i="4"/>
  <c r="FR155" i="4"/>
  <c r="FS155" i="4"/>
  <c r="FT155" i="4"/>
  <c r="FU155" i="4"/>
  <c r="FV155" i="4"/>
  <c r="FW155" i="4"/>
  <c r="FX155" i="4"/>
  <c r="FY155" i="4"/>
  <c r="FZ155" i="4"/>
  <c r="GA155" i="4"/>
  <c r="GB155" i="4"/>
  <c r="GC155" i="4"/>
  <c r="GD155" i="4"/>
  <c r="GE155" i="4"/>
  <c r="GF155" i="4"/>
  <c r="GG155" i="4"/>
  <c r="GH155" i="4"/>
  <c r="GI155" i="4"/>
  <c r="GJ155" i="4"/>
  <c r="GK155" i="4"/>
  <c r="GL155" i="4"/>
  <c r="GM155" i="4"/>
  <c r="GN155" i="4"/>
  <c r="GO155" i="4"/>
  <c r="GP155" i="4"/>
  <c r="GQ155" i="4"/>
  <c r="GR155" i="4"/>
  <c r="GS155" i="4"/>
  <c r="GT155" i="4"/>
  <c r="GU155" i="4"/>
  <c r="GV155" i="4"/>
  <c r="GW155" i="4"/>
  <c r="GX155" i="4"/>
  <c r="GY155" i="4"/>
  <c r="GZ155" i="4"/>
  <c r="HA155" i="4"/>
  <c r="HB155" i="4"/>
  <c r="HC155" i="4"/>
  <c r="HD155" i="4"/>
  <c r="HE155" i="4"/>
  <c r="HF155" i="4"/>
  <c r="HG155" i="4"/>
  <c r="HH155" i="4"/>
  <c r="HI155" i="4"/>
  <c r="HJ155" i="4"/>
  <c r="HK155" i="4"/>
  <c r="HL155" i="4"/>
  <c r="HM155" i="4"/>
  <c r="HN155" i="4"/>
  <c r="HO155" i="4"/>
  <c r="HP155" i="4"/>
  <c r="HQ155" i="4"/>
  <c r="HR155" i="4"/>
  <c r="HS155" i="4"/>
  <c r="HT155" i="4"/>
  <c r="HU155" i="4"/>
  <c r="HV155" i="4"/>
  <c r="HW155" i="4"/>
  <c r="HX155" i="4"/>
  <c r="HY155" i="4"/>
  <c r="HZ155" i="4"/>
  <c r="IA155" i="4"/>
  <c r="IB155" i="4"/>
  <c r="IC155" i="4"/>
  <c r="ID155" i="4"/>
  <c r="IE155" i="4"/>
  <c r="IF155" i="4"/>
  <c r="IG155" i="4"/>
  <c r="IH155" i="4"/>
  <c r="II155" i="4"/>
  <c r="IJ155" i="4"/>
  <c r="IK155" i="4"/>
  <c r="IL155" i="4"/>
  <c r="IM155" i="4"/>
  <c r="IN155" i="4"/>
  <c r="IO155" i="4"/>
  <c r="IP155" i="4"/>
  <c r="IQ155" i="4"/>
  <c r="IR155" i="4"/>
  <c r="IS155" i="4"/>
  <c r="IT155" i="4"/>
  <c r="IU155" i="4"/>
  <c r="IV155" i="4"/>
  <c r="A154" i="4"/>
  <c r="B154" i="4"/>
  <c r="C154" i="4"/>
  <c r="D154" i="4"/>
  <c r="E154" i="4"/>
  <c r="F154" i="4"/>
  <c r="G154" i="4"/>
  <c r="H154" i="4"/>
  <c r="I154" i="4"/>
  <c r="J154" i="4"/>
  <c r="K154" i="4"/>
  <c r="L154" i="4"/>
  <c r="M154" i="4"/>
  <c r="N154" i="4"/>
  <c r="O154" i="4"/>
  <c r="P154" i="4"/>
  <c r="Q154" i="4"/>
  <c r="R154" i="4"/>
  <c r="S154" i="4"/>
  <c r="T154" i="4"/>
  <c r="U154" i="4"/>
  <c r="V154" i="4"/>
  <c r="W154" i="4"/>
  <c r="X154" i="4"/>
  <c r="Y154" i="4"/>
  <c r="Z154" i="4"/>
  <c r="AA154" i="4"/>
  <c r="AB154" i="4"/>
  <c r="AC154" i="4"/>
  <c r="AD154" i="4"/>
  <c r="AE154" i="4"/>
  <c r="AF154" i="4"/>
  <c r="AG154" i="4"/>
  <c r="AH154" i="4"/>
  <c r="AI154" i="4"/>
  <c r="AJ154" i="4"/>
  <c r="AK154" i="4"/>
  <c r="AL154" i="4"/>
  <c r="AM154" i="4"/>
  <c r="AN154" i="4"/>
  <c r="AO154" i="4"/>
  <c r="AP154" i="4"/>
  <c r="AQ154" i="4"/>
  <c r="AR154" i="4"/>
  <c r="AS154" i="4"/>
  <c r="AT154" i="4"/>
  <c r="AU154" i="4"/>
  <c r="AV154" i="4"/>
  <c r="AW154" i="4"/>
  <c r="AX154" i="4"/>
  <c r="AY154" i="4"/>
  <c r="AZ154" i="4"/>
  <c r="BA154" i="4"/>
  <c r="BB154" i="4"/>
  <c r="BC154" i="4"/>
  <c r="BD154" i="4"/>
  <c r="BE154" i="4"/>
  <c r="BF154" i="4"/>
  <c r="BG154" i="4"/>
  <c r="BH154" i="4"/>
  <c r="BI154" i="4"/>
  <c r="BJ154" i="4"/>
  <c r="BK154" i="4"/>
  <c r="BL154" i="4"/>
  <c r="BM154" i="4"/>
  <c r="BN154" i="4"/>
  <c r="BO154" i="4"/>
  <c r="BP154" i="4"/>
  <c r="BQ154" i="4"/>
  <c r="BR154" i="4"/>
  <c r="BS154" i="4"/>
  <c r="BT154" i="4"/>
  <c r="BU154" i="4"/>
  <c r="BV154" i="4"/>
  <c r="BW154" i="4"/>
  <c r="BX154" i="4"/>
  <c r="BY154" i="4"/>
  <c r="BZ154" i="4"/>
  <c r="CA154" i="4"/>
  <c r="CB154" i="4"/>
  <c r="CC154" i="4"/>
  <c r="CD154" i="4"/>
  <c r="CE154" i="4"/>
  <c r="CF154" i="4"/>
  <c r="CG154" i="4"/>
  <c r="CH154" i="4"/>
  <c r="CI154" i="4"/>
  <c r="CJ154" i="4"/>
  <c r="CK154" i="4"/>
  <c r="CL154" i="4"/>
  <c r="CM154" i="4"/>
  <c r="CN154" i="4"/>
  <c r="CO154" i="4"/>
  <c r="CP154" i="4"/>
  <c r="CQ154" i="4"/>
  <c r="CR154" i="4"/>
  <c r="CS154" i="4"/>
  <c r="CT154" i="4"/>
  <c r="CU154" i="4"/>
  <c r="CV154" i="4"/>
  <c r="CW154" i="4"/>
  <c r="CX154" i="4"/>
  <c r="CY154" i="4"/>
  <c r="CZ154" i="4"/>
  <c r="DA154" i="4"/>
  <c r="DB154" i="4"/>
  <c r="DC154" i="4"/>
  <c r="DD154" i="4"/>
  <c r="DE154" i="4"/>
  <c r="DF154" i="4"/>
  <c r="DG154" i="4"/>
  <c r="DH154" i="4"/>
  <c r="DI154" i="4"/>
  <c r="DJ154" i="4"/>
  <c r="DK154" i="4"/>
  <c r="DL154" i="4"/>
  <c r="DM154" i="4"/>
  <c r="DN154" i="4"/>
  <c r="DO154" i="4"/>
  <c r="DP154" i="4"/>
  <c r="DQ154" i="4"/>
  <c r="DR154" i="4"/>
  <c r="DS154" i="4"/>
  <c r="DT154" i="4"/>
  <c r="DU154" i="4"/>
  <c r="DV154" i="4"/>
  <c r="DW154" i="4"/>
  <c r="DX154" i="4"/>
  <c r="DY154" i="4"/>
  <c r="DZ154" i="4"/>
  <c r="EA154" i="4"/>
  <c r="EB154" i="4"/>
  <c r="EC154" i="4"/>
  <c r="ED154" i="4"/>
  <c r="EE154" i="4"/>
  <c r="EF154" i="4"/>
  <c r="EG154" i="4"/>
  <c r="EH154" i="4"/>
  <c r="EI154" i="4"/>
  <c r="EJ154" i="4"/>
  <c r="EK154" i="4"/>
  <c r="EL154" i="4"/>
  <c r="EM154" i="4"/>
  <c r="EN154" i="4"/>
  <c r="EO154" i="4"/>
  <c r="EP154" i="4"/>
  <c r="EQ154" i="4"/>
  <c r="ER154" i="4"/>
  <c r="ES154" i="4"/>
  <c r="ET154" i="4"/>
  <c r="EU154" i="4"/>
  <c r="EV154" i="4"/>
  <c r="EW154" i="4"/>
  <c r="EX154" i="4"/>
  <c r="EY154" i="4"/>
  <c r="EZ154" i="4"/>
  <c r="FA154" i="4"/>
  <c r="FB154" i="4"/>
  <c r="FC154" i="4"/>
  <c r="FD154" i="4"/>
  <c r="FE154" i="4"/>
  <c r="FF154" i="4"/>
  <c r="FG154" i="4"/>
  <c r="FH154" i="4"/>
  <c r="FI154" i="4"/>
  <c r="FJ154" i="4"/>
  <c r="FK154" i="4"/>
  <c r="FL154" i="4"/>
  <c r="FM154" i="4"/>
  <c r="FN154" i="4"/>
  <c r="FO154" i="4"/>
  <c r="FP154" i="4"/>
  <c r="FQ154" i="4"/>
  <c r="FR154" i="4"/>
  <c r="FS154" i="4"/>
  <c r="FT154" i="4"/>
  <c r="FU154" i="4"/>
  <c r="FV154" i="4"/>
  <c r="FW154" i="4"/>
  <c r="FX154" i="4"/>
  <c r="FY154" i="4"/>
  <c r="FZ154" i="4"/>
  <c r="GA154" i="4"/>
  <c r="GB154" i="4"/>
  <c r="GC154" i="4"/>
  <c r="GD154" i="4"/>
  <c r="GE154" i="4"/>
  <c r="GF154" i="4"/>
  <c r="GG154" i="4"/>
  <c r="GH154" i="4"/>
  <c r="GI154" i="4"/>
  <c r="GJ154" i="4"/>
  <c r="GK154" i="4"/>
  <c r="GL154" i="4"/>
  <c r="GM154" i="4"/>
  <c r="GN154" i="4"/>
  <c r="GO154" i="4"/>
  <c r="GP154" i="4"/>
  <c r="GQ154" i="4"/>
  <c r="GR154" i="4"/>
  <c r="GS154" i="4"/>
  <c r="GT154" i="4"/>
  <c r="GU154" i="4"/>
  <c r="GV154" i="4"/>
  <c r="GW154" i="4"/>
  <c r="GX154" i="4"/>
  <c r="GY154" i="4"/>
  <c r="GZ154" i="4"/>
  <c r="HA154" i="4"/>
  <c r="HB154" i="4"/>
  <c r="HC154" i="4"/>
  <c r="HD154" i="4"/>
  <c r="HE154" i="4"/>
  <c r="HF154" i="4"/>
  <c r="HG154" i="4"/>
  <c r="HH154" i="4"/>
  <c r="HI154" i="4"/>
  <c r="HJ154" i="4"/>
  <c r="HK154" i="4"/>
  <c r="HL154" i="4"/>
  <c r="HM154" i="4"/>
  <c r="HN154" i="4"/>
  <c r="HO154" i="4"/>
  <c r="HP154" i="4"/>
  <c r="HQ154" i="4"/>
  <c r="HR154" i="4"/>
  <c r="HS154" i="4"/>
  <c r="HT154" i="4"/>
  <c r="HU154" i="4"/>
  <c r="HV154" i="4"/>
  <c r="HW154" i="4"/>
  <c r="HX154" i="4"/>
  <c r="HY154" i="4"/>
  <c r="HZ154" i="4"/>
  <c r="IA154" i="4"/>
  <c r="IB154" i="4"/>
  <c r="IC154" i="4"/>
  <c r="ID154" i="4"/>
  <c r="IE154" i="4"/>
  <c r="IF154" i="4"/>
  <c r="IG154" i="4"/>
  <c r="IH154" i="4"/>
  <c r="II154" i="4"/>
  <c r="IJ154" i="4"/>
  <c r="IK154" i="4"/>
  <c r="IL154" i="4"/>
  <c r="IM154" i="4"/>
  <c r="IN154" i="4"/>
  <c r="IO154" i="4"/>
  <c r="IP154" i="4"/>
  <c r="IQ154" i="4"/>
  <c r="IR154" i="4"/>
  <c r="IS154" i="4"/>
  <c r="IT154" i="4"/>
  <c r="IU154" i="4"/>
  <c r="IV154" i="4"/>
  <c r="A153" i="4"/>
  <c r="B153" i="4"/>
  <c r="C153" i="4"/>
  <c r="D153" i="4"/>
  <c r="E153" i="4"/>
  <c r="F153" i="4"/>
  <c r="G153" i="4"/>
  <c r="H153" i="4"/>
  <c r="I153" i="4"/>
  <c r="J153" i="4"/>
  <c r="K153" i="4"/>
  <c r="L153" i="4"/>
  <c r="M153" i="4"/>
  <c r="N153" i="4"/>
  <c r="O153" i="4"/>
  <c r="P153" i="4"/>
  <c r="Q153" i="4"/>
  <c r="R153" i="4"/>
  <c r="S153" i="4"/>
  <c r="T153" i="4"/>
  <c r="U153" i="4"/>
  <c r="V153" i="4"/>
  <c r="W153" i="4"/>
  <c r="X153" i="4"/>
  <c r="Y153" i="4"/>
  <c r="Z153" i="4"/>
  <c r="AA153" i="4"/>
  <c r="AB153" i="4"/>
  <c r="AC153" i="4"/>
  <c r="AD153" i="4"/>
  <c r="AE153" i="4"/>
  <c r="AF153" i="4"/>
  <c r="AG153" i="4"/>
  <c r="AH153" i="4"/>
  <c r="AI153" i="4"/>
  <c r="AJ153" i="4"/>
  <c r="AK153" i="4"/>
  <c r="AL153" i="4"/>
  <c r="AM153" i="4"/>
  <c r="AN153" i="4"/>
  <c r="AO153" i="4"/>
  <c r="AP153" i="4"/>
  <c r="AQ153" i="4"/>
  <c r="AR153" i="4"/>
  <c r="AS153" i="4"/>
  <c r="AT153" i="4"/>
  <c r="AU153" i="4"/>
  <c r="AV153" i="4"/>
  <c r="AW153" i="4"/>
  <c r="AX153" i="4"/>
  <c r="AY153" i="4"/>
  <c r="AZ153" i="4"/>
  <c r="BA153" i="4"/>
  <c r="BB153" i="4"/>
  <c r="BC153" i="4"/>
  <c r="BD153" i="4"/>
  <c r="BE153" i="4"/>
  <c r="BF153" i="4"/>
  <c r="BG153" i="4"/>
  <c r="BH153" i="4"/>
  <c r="BI153" i="4"/>
  <c r="BJ153" i="4"/>
  <c r="BK153" i="4"/>
  <c r="BL153" i="4"/>
  <c r="BM153" i="4"/>
  <c r="BN153" i="4"/>
  <c r="BO153" i="4"/>
  <c r="BP153" i="4"/>
  <c r="BQ153" i="4"/>
  <c r="BR153" i="4"/>
  <c r="BS153" i="4"/>
  <c r="BT153" i="4"/>
  <c r="BU153" i="4"/>
  <c r="BV153" i="4"/>
  <c r="BW153" i="4"/>
  <c r="BX153" i="4"/>
  <c r="BY153" i="4"/>
  <c r="BZ153" i="4"/>
  <c r="CA153" i="4"/>
  <c r="CB153" i="4"/>
  <c r="CC153" i="4"/>
  <c r="CD153" i="4"/>
  <c r="CE153" i="4"/>
  <c r="CF153" i="4"/>
  <c r="CG153" i="4"/>
  <c r="CH153" i="4"/>
  <c r="CI153" i="4"/>
  <c r="CJ153" i="4"/>
  <c r="CK153" i="4"/>
  <c r="CL153" i="4"/>
  <c r="CM153" i="4"/>
  <c r="CN153" i="4"/>
  <c r="CO153" i="4"/>
  <c r="CP153" i="4"/>
  <c r="CQ153" i="4"/>
  <c r="CR153" i="4"/>
  <c r="CS153" i="4"/>
  <c r="CT153" i="4"/>
  <c r="CU153" i="4"/>
  <c r="CV153" i="4"/>
  <c r="CW153" i="4"/>
  <c r="CX153" i="4"/>
  <c r="CY153" i="4"/>
  <c r="CZ153" i="4"/>
  <c r="DA153" i="4"/>
  <c r="DB153" i="4"/>
  <c r="DC153" i="4"/>
  <c r="DD153" i="4"/>
  <c r="DE153" i="4"/>
  <c r="DF153" i="4"/>
  <c r="DG153" i="4"/>
  <c r="DH153" i="4"/>
  <c r="DI153" i="4"/>
  <c r="DJ153" i="4"/>
  <c r="DK153" i="4"/>
  <c r="DL153" i="4"/>
  <c r="DM153" i="4"/>
  <c r="DN153" i="4"/>
  <c r="DO153" i="4"/>
  <c r="DP153" i="4"/>
  <c r="DQ153" i="4"/>
  <c r="DR153" i="4"/>
  <c r="DS153" i="4"/>
  <c r="DT153" i="4"/>
  <c r="DU153" i="4"/>
  <c r="DV153" i="4"/>
  <c r="DW153" i="4"/>
  <c r="DX153" i="4"/>
  <c r="DY153" i="4"/>
  <c r="DZ153" i="4"/>
  <c r="EA153" i="4"/>
  <c r="EB153" i="4"/>
  <c r="EC153" i="4"/>
  <c r="ED153" i="4"/>
  <c r="EE153" i="4"/>
  <c r="EF153" i="4"/>
  <c r="EG153" i="4"/>
  <c r="EH153" i="4"/>
  <c r="EI153" i="4"/>
  <c r="EJ153" i="4"/>
  <c r="EK153" i="4"/>
  <c r="EL153" i="4"/>
  <c r="EM153" i="4"/>
  <c r="EN153" i="4"/>
  <c r="EO153" i="4"/>
  <c r="EP153" i="4"/>
  <c r="EQ153" i="4"/>
  <c r="ER153" i="4"/>
  <c r="ES153" i="4"/>
  <c r="ET153" i="4"/>
  <c r="EU153" i="4"/>
  <c r="EV153" i="4"/>
  <c r="EW153" i="4"/>
  <c r="EX153" i="4"/>
  <c r="EY153" i="4"/>
  <c r="EZ153" i="4"/>
  <c r="FA153" i="4"/>
  <c r="FB153" i="4"/>
  <c r="FC153" i="4"/>
  <c r="FD153" i="4"/>
  <c r="FE153" i="4"/>
  <c r="FF153" i="4"/>
  <c r="FG153" i="4"/>
  <c r="FH153" i="4"/>
  <c r="FI153" i="4"/>
  <c r="FJ153" i="4"/>
  <c r="FK153" i="4"/>
  <c r="FL153" i="4"/>
  <c r="FM153" i="4"/>
  <c r="FN153" i="4"/>
  <c r="FO153" i="4"/>
  <c r="FP153" i="4"/>
  <c r="FQ153" i="4"/>
  <c r="FR153" i="4"/>
  <c r="FS153" i="4"/>
  <c r="FT153" i="4"/>
  <c r="FU153" i="4"/>
  <c r="FV153" i="4"/>
  <c r="FW153" i="4"/>
  <c r="FX153" i="4"/>
  <c r="FY153" i="4"/>
  <c r="FZ153" i="4"/>
  <c r="GA153" i="4"/>
  <c r="GB153" i="4"/>
  <c r="GC153" i="4"/>
  <c r="GD153" i="4"/>
  <c r="GE153" i="4"/>
  <c r="GF153" i="4"/>
  <c r="GG153" i="4"/>
  <c r="GH153" i="4"/>
  <c r="GI153" i="4"/>
  <c r="GJ153" i="4"/>
  <c r="GK153" i="4"/>
  <c r="GL153" i="4"/>
  <c r="GM153" i="4"/>
  <c r="GN153" i="4"/>
  <c r="GO153" i="4"/>
  <c r="GP153" i="4"/>
  <c r="GQ153" i="4"/>
  <c r="GR153" i="4"/>
  <c r="GS153" i="4"/>
  <c r="GT153" i="4"/>
  <c r="GU153" i="4"/>
  <c r="GV153" i="4"/>
  <c r="GW153" i="4"/>
  <c r="GX153" i="4"/>
  <c r="GY153" i="4"/>
  <c r="GZ153" i="4"/>
  <c r="HA153" i="4"/>
  <c r="HB153" i="4"/>
  <c r="HC153" i="4"/>
  <c r="HD153" i="4"/>
  <c r="HE153" i="4"/>
  <c r="HF153" i="4"/>
  <c r="HG153" i="4"/>
  <c r="HH153" i="4"/>
  <c r="HI153" i="4"/>
  <c r="HJ153" i="4"/>
  <c r="HK153" i="4"/>
  <c r="HL153" i="4"/>
  <c r="HM153" i="4"/>
  <c r="HN153" i="4"/>
  <c r="HO153" i="4"/>
  <c r="HP153" i="4"/>
  <c r="HQ153" i="4"/>
  <c r="HR153" i="4"/>
  <c r="HS153" i="4"/>
  <c r="HT153" i="4"/>
  <c r="HU153" i="4"/>
  <c r="HV153" i="4"/>
  <c r="HW153" i="4"/>
  <c r="HX153" i="4"/>
  <c r="HY153" i="4"/>
  <c r="HZ153" i="4"/>
  <c r="IA153" i="4"/>
  <c r="IB153" i="4"/>
  <c r="IC153" i="4"/>
  <c r="ID153" i="4"/>
  <c r="IE153" i="4"/>
  <c r="IF153" i="4"/>
  <c r="IG153" i="4"/>
  <c r="IH153" i="4"/>
  <c r="II153" i="4"/>
  <c r="IJ153" i="4"/>
  <c r="IK153" i="4"/>
  <c r="IL153" i="4"/>
  <c r="IM153" i="4"/>
  <c r="IN153" i="4"/>
  <c r="IO153" i="4"/>
  <c r="IP153" i="4"/>
  <c r="IQ153" i="4"/>
  <c r="IR153" i="4"/>
  <c r="IS153" i="4"/>
  <c r="IT153" i="4"/>
  <c r="IU153" i="4"/>
  <c r="IV153" i="4"/>
  <c r="A152" i="4"/>
  <c r="B152" i="4"/>
  <c r="C152" i="4"/>
  <c r="D152" i="4"/>
  <c r="E152" i="4"/>
  <c r="F152" i="4"/>
  <c r="G152" i="4"/>
  <c r="H152" i="4"/>
  <c r="I152" i="4"/>
  <c r="J152" i="4"/>
  <c r="K152" i="4"/>
  <c r="L152" i="4"/>
  <c r="M152" i="4"/>
  <c r="N152" i="4"/>
  <c r="O152" i="4"/>
  <c r="P152" i="4"/>
  <c r="Q152" i="4"/>
  <c r="R152" i="4"/>
  <c r="S152" i="4"/>
  <c r="T152" i="4"/>
  <c r="U152" i="4"/>
  <c r="V152" i="4"/>
  <c r="W152" i="4"/>
  <c r="X152" i="4"/>
  <c r="Y152" i="4"/>
  <c r="Z152" i="4"/>
  <c r="AA152" i="4"/>
  <c r="AB152" i="4"/>
  <c r="AC152" i="4"/>
  <c r="AD152" i="4"/>
  <c r="AE152" i="4"/>
  <c r="AF152" i="4"/>
  <c r="AG152" i="4"/>
  <c r="AH152" i="4"/>
  <c r="AI152" i="4"/>
  <c r="AJ152" i="4"/>
  <c r="AK152" i="4"/>
  <c r="AL152" i="4"/>
  <c r="AM152" i="4"/>
  <c r="AN152" i="4"/>
  <c r="AO152" i="4"/>
  <c r="AP152" i="4"/>
  <c r="AQ152" i="4"/>
  <c r="AR152" i="4"/>
  <c r="AS152" i="4"/>
  <c r="AT152" i="4"/>
  <c r="AU152" i="4"/>
  <c r="AV152" i="4"/>
  <c r="AW152" i="4"/>
  <c r="AX152" i="4"/>
  <c r="AY152" i="4"/>
  <c r="AZ152" i="4"/>
  <c r="BA152" i="4"/>
  <c r="BB152" i="4"/>
  <c r="BC152" i="4"/>
  <c r="BD152" i="4"/>
  <c r="BE152" i="4"/>
  <c r="BF152" i="4"/>
  <c r="BG152" i="4"/>
  <c r="BH152" i="4"/>
  <c r="BI152" i="4"/>
  <c r="BJ152" i="4"/>
  <c r="BK152" i="4"/>
  <c r="BL152" i="4"/>
  <c r="BM152" i="4"/>
  <c r="BN152" i="4"/>
  <c r="BO152" i="4"/>
  <c r="BP152" i="4"/>
  <c r="BQ152" i="4"/>
  <c r="BR152" i="4"/>
  <c r="BS152" i="4"/>
  <c r="BT152" i="4"/>
  <c r="BU152" i="4"/>
  <c r="BV152" i="4"/>
  <c r="BW152" i="4"/>
  <c r="BX152" i="4"/>
  <c r="BY152" i="4"/>
  <c r="BZ152" i="4"/>
  <c r="CA152" i="4"/>
  <c r="CB152" i="4"/>
  <c r="CC152" i="4"/>
  <c r="CD152" i="4"/>
  <c r="CE152" i="4"/>
  <c r="CF152" i="4"/>
  <c r="CG152" i="4"/>
  <c r="CH152" i="4"/>
  <c r="CI152" i="4"/>
  <c r="CJ152" i="4"/>
  <c r="CK152" i="4"/>
  <c r="CL152" i="4"/>
  <c r="CM152" i="4"/>
  <c r="CN152" i="4"/>
  <c r="CO152" i="4"/>
  <c r="CP152" i="4"/>
  <c r="CQ152" i="4"/>
  <c r="CR152" i="4"/>
  <c r="CS152" i="4"/>
  <c r="CT152" i="4"/>
  <c r="CU152" i="4"/>
  <c r="CV152" i="4"/>
  <c r="CW152" i="4"/>
  <c r="CX152" i="4"/>
  <c r="CY152" i="4"/>
  <c r="CZ152" i="4"/>
  <c r="DA152" i="4"/>
  <c r="DB152" i="4"/>
  <c r="DC152" i="4"/>
  <c r="DD152" i="4"/>
  <c r="DE152" i="4"/>
  <c r="DF152" i="4"/>
  <c r="DG152" i="4"/>
  <c r="DH152" i="4"/>
  <c r="DI152" i="4"/>
  <c r="DJ152" i="4"/>
  <c r="DK152" i="4"/>
  <c r="DL152" i="4"/>
  <c r="DM152" i="4"/>
  <c r="DN152" i="4"/>
  <c r="DO152" i="4"/>
  <c r="DP152" i="4"/>
  <c r="DQ152" i="4"/>
  <c r="DR152" i="4"/>
  <c r="DS152" i="4"/>
  <c r="DT152" i="4"/>
  <c r="DU152" i="4"/>
  <c r="DV152" i="4"/>
  <c r="DW152" i="4"/>
  <c r="DX152" i="4"/>
  <c r="DY152" i="4"/>
  <c r="DZ152" i="4"/>
  <c r="EA152" i="4"/>
  <c r="EB152" i="4"/>
  <c r="EC152" i="4"/>
  <c r="ED152" i="4"/>
  <c r="EE152" i="4"/>
  <c r="EF152" i="4"/>
  <c r="EG152" i="4"/>
  <c r="EH152" i="4"/>
  <c r="EI152" i="4"/>
  <c r="EJ152" i="4"/>
  <c r="EK152" i="4"/>
  <c r="EL152" i="4"/>
  <c r="EM152" i="4"/>
  <c r="EN152" i="4"/>
  <c r="EO152" i="4"/>
  <c r="EP152" i="4"/>
  <c r="EQ152" i="4"/>
  <c r="ER152" i="4"/>
  <c r="ES152" i="4"/>
  <c r="ET152" i="4"/>
  <c r="EU152" i="4"/>
  <c r="EV152" i="4"/>
  <c r="EW152" i="4"/>
  <c r="EX152" i="4"/>
  <c r="EY152" i="4"/>
  <c r="EZ152" i="4"/>
  <c r="FA152" i="4"/>
  <c r="FB152" i="4"/>
  <c r="FC152" i="4"/>
  <c r="FD152" i="4"/>
  <c r="FE152" i="4"/>
  <c r="FF152" i="4"/>
  <c r="FG152" i="4"/>
  <c r="FH152" i="4"/>
  <c r="FI152" i="4"/>
  <c r="FJ152" i="4"/>
  <c r="FK152" i="4"/>
  <c r="FL152" i="4"/>
  <c r="FM152" i="4"/>
  <c r="FN152" i="4"/>
  <c r="FO152" i="4"/>
  <c r="FP152" i="4"/>
  <c r="FQ152" i="4"/>
  <c r="FR152" i="4"/>
  <c r="FS152" i="4"/>
  <c r="FT152" i="4"/>
  <c r="FU152" i="4"/>
  <c r="FV152" i="4"/>
  <c r="FW152" i="4"/>
  <c r="FX152" i="4"/>
  <c r="FY152" i="4"/>
  <c r="FZ152" i="4"/>
  <c r="GA152" i="4"/>
  <c r="GB152" i="4"/>
  <c r="GC152" i="4"/>
  <c r="GD152" i="4"/>
  <c r="GE152" i="4"/>
  <c r="GF152" i="4"/>
  <c r="GG152" i="4"/>
  <c r="GH152" i="4"/>
  <c r="GI152" i="4"/>
  <c r="GJ152" i="4"/>
  <c r="GK152" i="4"/>
  <c r="GL152" i="4"/>
  <c r="GM152" i="4"/>
  <c r="GN152" i="4"/>
  <c r="GO152" i="4"/>
  <c r="GP152" i="4"/>
  <c r="GQ152" i="4"/>
  <c r="GR152" i="4"/>
  <c r="GS152" i="4"/>
  <c r="GT152" i="4"/>
  <c r="GU152" i="4"/>
  <c r="GV152" i="4"/>
  <c r="GW152" i="4"/>
  <c r="GX152" i="4"/>
  <c r="GY152" i="4"/>
  <c r="GZ152" i="4"/>
  <c r="HA152" i="4"/>
  <c r="HB152" i="4"/>
  <c r="HC152" i="4"/>
  <c r="HD152" i="4"/>
  <c r="HE152" i="4"/>
  <c r="HF152" i="4"/>
  <c r="HG152" i="4"/>
  <c r="HH152" i="4"/>
  <c r="HI152" i="4"/>
  <c r="HJ152" i="4"/>
  <c r="HK152" i="4"/>
  <c r="HL152" i="4"/>
  <c r="HM152" i="4"/>
  <c r="HN152" i="4"/>
  <c r="HO152" i="4"/>
  <c r="HP152" i="4"/>
  <c r="HQ152" i="4"/>
  <c r="HR152" i="4"/>
  <c r="HS152" i="4"/>
  <c r="HT152" i="4"/>
  <c r="HU152" i="4"/>
  <c r="HV152" i="4"/>
  <c r="HW152" i="4"/>
  <c r="HX152" i="4"/>
  <c r="HY152" i="4"/>
  <c r="HZ152" i="4"/>
  <c r="IA152" i="4"/>
  <c r="IB152" i="4"/>
  <c r="IC152" i="4"/>
  <c r="ID152" i="4"/>
  <c r="IE152" i="4"/>
  <c r="IF152" i="4"/>
  <c r="IG152" i="4"/>
  <c r="IH152" i="4"/>
  <c r="II152" i="4"/>
  <c r="IJ152" i="4"/>
  <c r="IK152" i="4"/>
  <c r="IL152" i="4"/>
  <c r="IM152" i="4"/>
  <c r="IN152" i="4"/>
  <c r="IO152" i="4"/>
  <c r="IP152" i="4"/>
  <c r="IQ152" i="4"/>
  <c r="IR152" i="4"/>
  <c r="IS152" i="4"/>
  <c r="IT152" i="4"/>
  <c r="IU152" i="4"/>
  <c r="IV152" i="4"/>
  <c r="A151" i="4"/>
  <c r="B151" i="4"/>
  <c r="C151" i="4"/>
  <c r="D151" i="4"/>
  <c r="E151" i="4"/>
  <c r="F151" i="4"/>
  <c r="G151" i="4"/>
  <c r="H151" i="4"/>
  <c r="I151" i="4"/>
  <c r="J151" i="4"/>
  <c r="K151" i="4"/>
  <c r="L151" i="4"/>
  <c r="M151" i="4"/>
  <c r="N151" i="4"/>
  <c r="O151" i="4"/>
  <c r="P151" i="4"/>
  <c r="Q151" i="4"/>
  <c r="R151" i="4"/>
  <c r="S151" i="4"/>
  <c r="T151" i="4"/>
  <c r="U151" i="4"/>
  <c r="V151" i="4"/>
  <c r="W151" i="4"/>
  <c r="X151" i="4"/>
  <c r="Y151" i="4"/>
  <c r="Z151" i="4"/>
  <c r="AA151" i="4"/>
  <c r="AB151" i="4"/>
  <c r="AC151" i="4"/>
  <c r="AD151" i="4"/>
  <c r="AE151" i="4"/>
  <c r="AF151" i="4"/>
  <c r="AG151" i="4"/>
  <c r="AH151" i="4"/>
  <c r="AI151" i="4"/>
  <c r="AJ151" i="4"/>
  <c r="AK151" i="4"/>
  <c r="AL151" i="4"/>
  <c r="AM151" i="4"/>
  <c r="AN151" i="4"/>
  <c r="AO151" i="4"/>
  <c r="AP151" i="4"/>
  <c r="AR151" i="4"/>
  <c r="AS151" i="4"/>
  <c r="AT151" i="4"/>
  <c r="AU151" i="4"/>
  <c r="AV151" i="4"/>
  <c r="AW151" i="4"/>
  <c r="AX151" i="4"/>
  <c r="AY151" i="4"/>
  <c r="AZ151" i="4"/>
  <c r="BA151" i="4"/>
  <c r="BB151" i="4"/>
  <c r="BC151" i="4"/>
  <c r="BD151" i="4"/>
  <c r="BE151" i="4"/>
  <c r="BF151" i="4"/>
  <c r="BG151" i="4"/>
  <c r="BH151" i="4"/>
  <c r="BI151" i="4"/>
  <c r="BJ151" i="4"/>
  <c r="BK151" i="4"/>
  <c r="BL151" i="4"/>
  <c r="BM151" i="4"/>
  <c r="BN151" i="4"/>
  <c r="BO151" i="4"/>
  <c r="BP151" i="4"/>
  <c r="BQ151" i="4"/>
  <c r="BR151" i="4"/>
  <c r="BS151" i="4"/>
  <c r="BT151" i="4"/>
  <c r="BU151" i="4"/>
  <c r="BV151" i="4"/>
  <c r="BW151" i="4"/>
  <c r="BX151" i="4"/>
  <c r="BY151" i="4"/>
  <c r="BZ151" i="4"/>
  <c r="CA151" i="4"/>
  <c r="CB151" i="4"/>
  <c r="CC151" i="4"/>
  <c r="CD151" i="4"/>
  <c r="CE151" i="4"/>
  <c r="CF151" i="4"/>
  <c r="CG151" i="4"/>
  <c r="CH151" i="4"/>
  <c r="CI151" i="4"/>
  <c r="CJ151" i="4"/>
  <c r="CK151" i="4"/>
  <c r="CL151" i="4"/>
  <c r="CM151" i="4"/>
  <c r="CN151" i="4"/>
  <c r="CO151" i="4"/>
  <c r="CP151" i="4"/>
  <c r="CQ151" i="4"/>
  <c r="CR151" i="4"/>
  <c r="CS151" i="4"/>
  <c r="CT151" i="4"/>
  <c r="CU151" i="4"/>
  <c r="CV151" i="4"/>
  <c r="CW151" i="4"/>
  <c r="CX151" i="4"/>
  <c r="CY151" i="4"/>
  <c r="CZ151" i="4"/>
  <c r="DA151" i="4"/>
  <c r="DB151" i="4"/>
  <c r="DC151" i="4"/>
  <c r="DD151" i="4"/>
  <c r="DE151" i="4"/>
  <c r="DF151" i="4"/>
  <c r="DG151" i="4"/>
  <c r="DH151" i="4"/>
  <c r="DI151" i="4"/>
  <c r="DJ151" i="4"/>
  <c r="DK151" i="4"/>
  <c r="DL151" i="4"/>
  <c r="DM151" i="4"/>
  <c r="DN151" i="4"/>
  <c r="DO151" i="4"/>
  <c r="DP151" i="4"/>
  <c r="DQ151" i="4"/>
  <c r="DR151" i="4"/>
  <c r="DS151" i="4"/>
  <c r="DT151" i="4"/>
  <c r="DU151" i="4"/>
  <c r="DV151" i="4"/>
  <c r="DW151" i="4"/>
  <c r="DX151" i="4"/>
  <c r="DY151" i="4"/>
  <c r="DZ151" i="4"/>
  <c r="EA151" i="4"/>
  <c r="EB151" i="4"/>
  <c r="EC151" i="4"/>
  <c r="ED151" i="4"/>
  <c r="EE151" i="4"/>
  <c r="EF151" i="4"/>
  <c r="EG151" i="4"/>
  <c r="EH151" i="4"/>
  <c r="EI151" i="4"/>
  <c r="EJ151" i="4"/>
  <c r="EK151" i="4"/>
  <c r="EL151" i="4"/>
  <c r="EM151" i="4"/>
  <c r="EN151" i="4"/>
  <c r="EO151" i="4"/>
  <c r="EP151" i="4"/>
  <c r="EQ151" i="4"/>
  <c r="ER151" i="4"/>
  <c r="ES151" i="4"/>
  <c r="ET151" i="4"/>
  <c r="EU151" i="4"/>
  <c r="EV151" i="4"/>
  <c r="EW151" i="4"/>
  <c r="EX151" i="4"/>
  <c r="EY151" i="4"/>
  <c r="EZ151" i="4"/>
  <c r="FA151" i="4"/>
  <c r="FB151" i="4"/>
  <c r="FC151" i="4"/>
  <c r="FD151" i="4"/>
  <c r="FE151" i="4"/>
  <c r="FF151" i="4"/>
  <c r="FG151" i="4"/>
  <c r="FH151" i="4"/>
  <c r="FI151" i="4"/>
  <c r="FJ151" i="4"/>
  <c r="FK151" i="4"/>
  <c r="FL151" i="4"/>
  <c r="FM151" i="4"/>
  <c r="FN151" i="4"/>
  <c r="FO151" i="4"/>
  <c r="FP151" i="4"/>
  <c r="FQ151" i="4"/>
  <c r="FR151" i="4"/>
  <c r="FS151" i="4"/>
  <c r="FT151" i="4"/>
  <c r="FU151" i="4"/>
  <c r="FV151" i="4"/>
  <c r="FW151" i="4"/>
  <c r="FX151" i="4"/>
  <c r="FY151" i="4"/>
  <c r="FZ151" i="4"/>
  <c r="GA151" i="4"/>
  <c r="GB151" i="4"/>
  <c r="GC151" i="4"/>
  <c r="GD151" i="4"/>
  <c r="GE151" i="4"/>
  <c r="GF151" i="4"/>
  <c r="GG151" i="4"/>
  <c r="GH151" i="4"/>
  <c r="GI151" i="4"/>
  <c r="GJ151" i="4"/>
  <c r="GK151" i="4"/>
  <c r="GL151" i="4"/>
  <c r="GM151" i="4"/>
  <c r="GN151" i="4"/>
  <c r="GO151" i="4"/>
  <c r="GP151" i="4"/>
  <c r="GQ151" i="4"/>
  <c r="GR151" i="4"/>
  <c r="GS151" i="4"/>
  <c r="GT151" i="4"/>
  <c r="GU151" i="4"/>
  <c r="GV151" i="4"/>
  <c r="GW151" i="4"/>
  <c r="GX151" i="4"/>
  <c r="GY151" i="4"/>
  <c r="GZ151" i="4"/>
  <c r="HA151" i="4"/>
  <c r="HB151" i="4"/>
  <c r="HC151" i="4"/>
  <c r="HD151" i="4"/>
  <c r="HE151" i="4"/>
  <c r="HF151" i="4"/>
  <c r="HG151" i="4"/>
  <c r="HH151" i="4"/>
  <c r="HI151" i="4"/>
  <c r="HJ151" i="4"/>
  <c r="HK151" i="4"/>
  <c r="HL151" i="4"/>
  <c r="HM151" i="4"/>
  <c r="HN151" i="4"/>
  <c r="HO151" i="4"/>
  <c r="HP151" i="4"/>
  <c r="HQ151" i="4"/>
  <c r="HR151" i="4"/>
  <c r="HS151" i="4"/>
  <c r="HT151" i="4"/>
  <c r="HU151" i="4"/>
  <c r="HV151" i="4"/>
  <c r="HW151" i="4"/>
  <c r="HX151" i="4"/>
  <c r="HY151" i="4"/>
  <c r="HZ151" i="4"/>
  <c r="IA151" i="4"/>
  <c r="IB151" i="4"/>
  <c r="IC151" i="4"/>
  <c r="ID151" i="4"/>
  <c r="IE151" i="4"/>
  <c r="IF151" i="4"/>
  <c r="IG151" i="4"/>
  <c r="IH151" i="4"/>
  <c r="II151" i="4"/>
  <c r="IJ151" i="4"/>
  <c r="IK151" i="4"/>
  <c r="IL151" i="4"/>
  <c r="IM151" i="4"/>
  <c r="IN151" i="4"/>
  <c r="IO151" i="4"/>
  <c r="IP151" i="4"/>
  <c r="IQ151" i="4"/>
  <c r="IR151" i="4"/>
  <c r="IS151" i="4"/>
  <c r="IT151" i="4"/>
  <c r="IU151" i="4"/>
  <c r="IV151" i="4"/>
  <c r="A150" i="4"/>
  <c r="B150" i="4"/>
  <c r="C150" i="4"/>
  <c r="D150" i="4"/>
  <c r="E150" i="4"/>
  <c r="F150" i="4"/>
  <c r="G150" i="4"/>
  <c r="H150" i="4"/>
  <c r="I150" i="4"/>
  <c r="J150" i="4"/>
  <c r="K150" i="4"/>
  <c r="L150" i="4"/>
  <c r="M150" i="4"/>
  <c r="N150" i="4"/>
  <c r="O150" i="4"/>
  <c r="P150" i="4"/>
  <c r="Q150" i="4"/>
  <c r="R150" i="4"/>
  <c r="S150" i="4"/>
  <c r="T150" i="4"/>
  <c r="U150" i="4"/>
  <c r="V150" i="4"/>
  <c r="W150" i="4"/>
  <c r="X150" i="4"/>
  <c r="Y150" i="4"/>
  <c r="Z150" i="4"/>
  <c r="AA150" i="4"/>
  <c r="AB150" i="4"/>
  <c r="AC150" i="4"/>
  <c r="AD150" i="4"/>
  <c r="AE150" i="4"/>
  <c r="AF150" i="4"/>
  <c r="AG150" i="4"/>
  <c r="AH150" i="4"/>
  <c r="AI150" i="4"/>
  <c r="AJ150" i="4"/>
  <c r="AK150" i="4"/>
  <c r="AL150" i="4"/>
  <c r="AM150" i="4"/>
  <c r="AN150" i="4"/>
  <c r="AO150" i="4"/>
  <c r="AP150" i="4"/>
  <c r="AQ150" i="4"/>
  <c r="AS150" i="4"/>
  <c r="AT150" i="4"/>
  <c r="AU150" i="4"/>
  <c r="AV150" i="4"/>
  <c r="AW150" i="4"/>
  <c r="AX150" i="4"/>
  <c r="AY150" i="4"/>
  <c r="AZ150" i="4"/>
  <c r="BA150" i="4"/>
  <c r="BB150" i="4"/>
  <c r="BC150" i="4"/>
  <c r="BD150" i="4"/>
  <c r="BE150" i="4"/>
  <c r="BF150" i="4"/>
  <c r="BG150" i="4"/>
  <c r="BH150" i="4"/>
  <c r="BI150" i="4"/>
  <c r="BJ150" i="4"/>
  <c r="BK150" i="4"/>
  <c r="BL150" i="4"/>
  <c r="BM150" i="4"/>
  <c r="BN150" i="4"/>
  <c r="BO150" i="4"/>
  <c r="BP150" i="4"/>
  <c r="BQ150" i="4"/>
  <c r="BR150" i="4"/>
  <c r="BS150" i="4"/>
  <c r="BT150" i="4"/>
  <c r="BU150" i="4"/>
  <c r="BV150" i="4"/>
  <c r="BW150" i="4"/>
  <c r="BX150" i="4"/>
  <c r="BY150" i="4"/>
  <c r="BZ150" i="4"/>
  <c r="CA150" i="4"/>
  <c r="CB150" i="4"/>
  <c r="CC150" i="4"/>
  <c r="CD150" i="4"/>
  <c r="CE150" i="4"/>
  <c r="CF150" i="4"/>
  <c r="CG150" i="4"/>
  <c r="CH150" i="4"/>
  <c r="CI150" i="4"/>
  <c r="CJ150" i="4"/>
  <c r="CK150" i="4"/>
  <c r="CL150" i="4"/>
  <c r="CM150" i="4"/>
  <c r="CN150" i="4"/>
  <c r="CO150" i="4"/>
  <c r="CP150" i="4"/>
  <c r="CQ150" i="4"/>
  <c r="CR150" i="4"/>
  <c r="CS150" i="4"/>
  <c r="CT150" i="4"/>
  <c r="CU150" i="4"/>
  <c r="CV150" i="4"/>
  <c r="CW150" i="4"/>
  <c r="CX150" i="4"/>
  <c r="CY150" i="4"/>
  <c r="CZ150" i="4"/>
  <c r="DA150" i="4"/>
  <c r="DB150" i="4"/>
  <c r="DC150" i="4"/>
  <c r="DD150" i="4"/>
  <c r="DE150" i="4"/>
  <c r="DF150" i="4"/>
  <c r="DG150" i="4"/>
  <c r="DH150" i="4"/>
  <c r="DI150" i="4"/>
  <c r="DJ150" i="4"/>
  <c r="DK150" i="4"/>
  <c r="DL150" i="4"/>
  <c r="DM150" i="4"/>
  <c r="DN150" i="4"/>
  <c r="DO150" i="4"/>
  <c r="DP150" i="4"/>
  <c r="DQ150" i="4"/>
  <c r="DR150" i="4"/>
  <c r="DS150" i="4"/>
  <c r="DT150" i="4"/>
  <c r="DU150" i="4"/>
  <c r="DV150" i="4"/>
  <c r="DW150" i="4"/>
  <c r="DX150" i="4"/>
  <c r="DY150" i="4"/>
  <c r="DZ150" i="4"/>
  <c r="EA150" i="4"/>
  <c r="EB150" i="4"/>
  <c r="EC150" i="4"/>
  <c r="ED150" i="4"/>
  <c r="EE150" i="4"/>
  <c r="EF150" i="4"/>
  <c r="EG150" i="4"/>
  <c r="EH150" i="4"/>
  <c r="EI150" i="4"/>
  <c r="EJ150" i="4"/>
  <c r="EK150" i="4"/>
  <c r="EL150" i="4"/>
  <c r="EM150" i="4"/>
  <c r="EN150" i="4"/>
  <c r="EO150" i="4"/>
  <c r="EP150" i="4"/>
  <c r="EQ150" i="4"/>
  <c r="ER150" i="4"/>
  <c r="ES150" i="4"/>
  <c r="ET150" i="4"/>
  <c r="EU150" i="4"/>
  <c r="EV150" i="4"/>
  <c r="EW150" i="4"/>
  <c r="EX150" i="4"/>
  <c r="EY150" i="4"/>
  <c r="EZ150" i="4"/>
  <c r="FA150" i="4"/>
  <c r="FB150" i="4"/>
  <c r="FC150" i="4"/>
  <c r="FD150" i="4"/>
  <c r="FE150" i="4"/>
  <c r="FF150" i="4"/>
  <c r="FG150" i="4"/>
  <c r="FH150" i="4"/>
  <c r="FI150" i="4"/>
  <c r="FJ150" i="4"/>
  <c r="FK150" i="4"/>
  <c r="FL150" i="4"/>
  <c r="FM150" i="4"/>
  <c r="FN150" i="4"/>
  <c r="FO150" i="4"/>
  <c r="FP150" i="4"/>
  <c r="FQ150" i="4"/>
  <c r="FR150" i="4"/>
  <c r="FS150" i="4"/>
  <c r="FT150" i="4"/>
  <c r="FU150" i="4"/>
  <c r="FV150" i="4"/>
  <c r="FW150" i="4"/>
  <c r="FX150" i="4"/>
  <c r="FY150" i="4"/>
  <c r="FZ150" i="4"/>
  <c r="GA150" i="4"/>
  <c r="GB150" i="4"/>
  <c r="GC150" i="4"/>
  <c r="GD150" i="4"/>
  <c r="GE150" i="4"/>
  <c r="GF150" i="4"/>
  <c r="GG150" i="4"/>
  <c r="GH150" i="4"/>
  <c r="GI150" i="4"/>
  <c r="GJ150" i="4"/>
  <c r="GK150" i="4"/>
  <c r="GL150" i="4"/>
  <c r="GM150" i="4"/>
  <c r="GN150" i="4"/>
  <c r="GO150" i="4"/>
  <c r="GP150" i="4"/>
  <c r="GQ150" i="4"/>
  <c r="GR150" i="4"/>
  <c r="GS150" i="4"/>
  <c r="GT150" i="4"/>
  <c r="GU150" i="4"/>
  <c r="GV150" i="4"/>
  <c r="GW150" i="4"/>
  <c r="GX150" i="4"/>
  <c r="GY150" i="4"/>
  <c r="GZ150" i="4"/>
  <c r="HA150" i="4"/>
  <c r="HB150" i="4"/>
  <c r="HC150" i="4"/>
  <c r="HD150" i="4"/>
  <c r="HE150" i="4"/>
  <c r="HF150" i="4"/>
  <c r="HG150" i="4"/>
  <c r="HH150" i="4"/>
  <c r="HI150" i="4"/>
  <c r="HJ150" i="4"/>
  <c r="HK150" i="4"/>
  <c r="HL150" i="4"/>
  <c r="HM150" i="4"/>
  <c r="HN150" i="4"/>
  <c r="HO150" i="4"/>
  <c r="HP150" i="4"/>
  <c r="HQ150" i="4"/>
  <c r="HR150" i="4"/>
  <c r="HS150" i="4"/>
  <c r="HT150" i="4"/>
  <c r="HU150" i="4"/>
  <c r="HV150" i="4"/>
  <c r="HW150" i="4"/>
  <c r="HX150" i="4"/>
  <c r="HY150" i="4"/>
  <c r="HZ150" i="4"/>
  <c r="IA150" i="4"/>
  <c r="IB150" i="4"/>
  <c r="IC150" i="4"/>
  <c r="ID150" i="4"/>
  <c r="IE150" i="4"/>
  <c r="IF150" i="4"/>
  <c r="IG150" i="4"/>
  <c r="IH150" i="4"/>
  <c r="II150" i="4"/>
  <c r="IJ150" i="4"/>
  <c r="IK150" i="4"/>
  <c r="IL150" i="4"/>
  <c r="IM150" i="4"/>
  <c r="IN150" i="4"/>
  <c r="IO150" i="4"/>
  <c r="IP150" i="4"/>
  <c r="IQ150" i="4"/>
  <c r="IR150" i="4"/>
  <c r="IS150" i="4"/>
  <c r="IT150" i="4"/>
  <c r="IU150" i="4"/>
  <c r="IV150" i="4"/>
  <c r="A149" i="4"/>
  <c r="B149" i="4"/>
  <c r="C149" i="4"/>
  <c r="D149" i="4"/>
  <c r="E149" i="4"/>
  <c r="F149" i="4"/>
  <c r="G149" i="4"/>
  <c r="H149" i="4"/>
  <c r="I149" i="4"/>
  <c r="J149" i="4"/>
  <c r="K149" i="4"/>
  <c r="L149" i="4"/>
  <c r="M149" i="4"/>
  <c r="N149" i="4"/>
  <c r="O149" i="4"/>
  <c r="P149" i="4"/>
  <c r="Q149" i="4"/>
  <c r="R149" i="4"/>
  <c r="S149" i="4"/>
  <c r="T149" i="4"/>
  <c r="U149" i="4"/>
  <c r="V149" i="4"/>
  <c r="W149" i="4"/>
  <c r="X149" i="4"/>
  <c r="Y149" i="4"/>
  <c r="Z149" i="4"/>
  <c r="AA149" i="4"/>
  <c r="AB149" i="4"/>
  <c r="AC149" i="4"/>
  <c r="AD149" i="4"/>
  <c r="AE149" i="4"/>
  <c r="AF149" i="4"/>
  <c r="AG149" i="4"/>
  <c r="AH149" i="4"/>
  <c r="AI149" i="4"/>
  <c r="AJ149" i="4"/>
  <c r="AK149" i="4"/>
  <c r="AL149" i="4"/>
  <c r="AM149" i="4"/>
  <c r="AN149" i="4"/>
  <c r="AO149" i="4"/>
  <c r="AP149" i="4"/>
  <c r="AQ149" i="4"/>
  <c r="AR149" i="4"/>
  <c r="AS149" i="4"/>
  <c r="AT149" i="4"/>
  <c r="AU149" i="4"/>
  <c r="AV149" i="4"/>
  <c r="AW149" i="4"/>
  <c r="AX149" i="4"/>
  <c r="AY149" i="4"/>
  <c r="AZ149" i="4"/>
  <c r="BA149" i="4"/>
  <c r="BB149" i="4"/>
  <c r="BC149" i="4"/>
  <c r="BD149" i="4"/>
  <c r="BE149" i="4"/>
  <c r="BF149" i="4"/>
  <c r="BG149" i="4"/>
  <c r="BH149" i="4"/>
  <c r="BI149" i="4"/>
  <c r="BJ149" i="4"/>
  <c r="BK149" i="4"/>
  <c r="BL149" i="4"/>
  <c r="BM149" i="4"/>
  <c r="BN149" i="4"/>
  <c r="BO149" i="4"/>
  <c r="BP149" i="4"/>
  <c r="BQ149" i="4"/>
  <c r="BR149" i="4"/>
  <c r="BS149" i="4"/>
  <c r="BT149" i="4"/>
  <c r="BU149" i="4"/>
  <c r="BV149" i="4"/>
  <c r="BW149" i="4"/>
  <c r="BX149" i="4"/>
  <c r="BY149" i="4"/>
  <c r="BZ149" i="4"/>
  <c r="CA149" i="4"/>
  <c r="CB149" i="4"/>
  <c r="CC149" i="4"/>
  <c r="CD149" i="4"/>
  <c r="CE149" i="4"/>
  <c r="CF149" i="4"/>
  <c r="CG149" i="4"/>
  <c r="CH149" i="4"/>
  <c r="CI149" i="4"/>
  <c r="CJ149" i="4"/>
  <c r="CK149" i="4"/>
  <c r="CL149" i="4"/>
  <c r="CM149" i="4"/>
  <c r="CN149" i="4"/>
  <c r="CO149" i="4"/>
  <c r="CP149" i="4"/>
  <c r="CQ149" i="4"/>
  <c r="CR149" i="4"/>
  <c r="CS149" i="4"/>
  <c r="CT149" i="4"/>
  <c r="CU149" i="4"/>
  <c r="CV149" i="4"/>
  <c r="CW149" i="4"/>
  <c r="CX149" i="4"/>
  <c r="CY149" i="4"/>
  <c r="CZ149" i="4"/>
  <c r="DA149" i="4"/>
  <c r="DB149" i="4"/>
  <c r="DC149" i="4"/>
  <c r="DD149" i="4"/>
  <c r="DE149" i="4"/>
  <c r="DF149" i="4"/>
  <c r="DG149" i="4"/>
  <c r="DH149" i="4"/>
  <c r="DI149" i="4"/>
  <c r="DJ149" i="4"/>
  <c r="DK149" i="4"/>
  <c r="DL149" i="4"/>
  <c r="DM149" i="4"/>
  <c r="DN149" i="4"/>
  <c r="DO149" i="4"/>
  <c r="DP149" i="4"/>
  <c r="DQ149" i="4"/>
  <c r="DR149" i="4"/>
  <c r="DS149" i="4"/>
  <c r="DT149" i="4"/>
  <c r="DU149" i="4"/>
  <c r="DV149" i="4"/>
  <c r="DW149" i="4"/>
  <c r="DX149" i="4"/>
  <c r="DY149" i="4"/>
  <c r="DZ149" i="4"/>
  <c r="EA149" i="4"/>
  <c r="EB149" i="4"/>
  <c r="EC149" i="4"/>
  <c r="ED149" i="4"/>
  <c r="EE149" i="4"/>
  <c r="EF149" i="4"/>
  <c r="EG149" i="4"/>
  <c r="EH149" i="4"/>
  <c r="EI149" i="4"/>
  <c r="EJ149" i="4"/>
  <c r="EK149" i="4"/>
  <c r="EL149" i="4"/>
  <c r="EM149" i="4"/>
  <c r="EN149" i="4"/>
  <c r="EO149" i="4"/>
  <c r="EP149" i="4"/>
  <c r="EQ149" i="4"/>
  <c r="ER149" i="4"/>
  <c r="ES149" i="4"/>
  <c r="ET149" i="4"/>
  <c r="EU149" i="4"/>
  <c r="EV149" i="4"/>
  <c r="EW149" i="4"/>
  <c r="EX149" i="4"/>
  <c r="EY149" i="4"/>
  <c r="EZ149" i="4"/>
  <c r="FA149" i="4"/>
  <c r="FB149" i="4"/>
  <c r="FC149" i="4"/>
  <c r="FD149" i="4"/>
  <c r="FE149" i="4"/>
  <c r="FF149" i="4"/>
  <c r="FG149" i="4"/>
  <c r="FH149" i="4"/>
  <c r="FI149" i="4"/>
  <c r="FJ149" i="4"/>
  <c r="FK149" i="4"/>
  <c r="FL149" i="4"/>
  <c r="FM149" i="4"/>
  <c r="FN149" i="4"/>
  <c r="FO149" i="4"/>
  <c r="FP149" i="4"/>
  <c r="FQ149" i="4"/>
  <c r="FR149" i="4"/>
  <c r="FS149" i="4"/>
  <c r="FT149" i="4"/>
  <c r="FU149" i="4"/>
  <c r="FV149" i="4"/>
  <c r="FW149" i="4"/>
  <c r="FX149" i="4"/>
  <c r="FY149" i="4"/>
  <c r="FZ149" i="4"/>
  <c r="GA149" i="4"/>
  <c r="GB149" i="4"/>
  <c r="GC149" i="4"/>
  <c r="GD149" i="4"/>
  <c r="GE149" i="4"/>
  <c r="GF149" i="4"/>
  <c r="GG149" i="4"/>
  <c r="GH149" i="4"/>
  <c r="GI149" i="4"/>
  <c r="GJ149" i="4"/>
  <c r="GK149" i="4"/>
  <c r="GL149" i="4"/>
  <c r="GM149" i="4"/>
  <c r="GN149" i="4"/>
  <c r="GO149" i="4"/>
  <c r="GP149" i="4"/>
  <c r="GQ149" i="4"/>
  <c r="GR149" i="4"/>
  <c r="GS149" i="4"/>
  <c r="GT149" i="4"/>
  <c r="GU149" i="4"/>
  <c r="GV149" i="4"/>
  <c r="GW149" i="4"/>
  <c r="GX149" i="4"/>
  <c r="GY149" i="4"/>
  <c r="GZ149" i="4"/>
  <c r="HA149" i="4"/>
  <c r="HB149" i="4"/>
  <c r="HC149" i="4"/>
  <c r="HD149" i="4"/>
  <c r="HE149" i="4"/>
  <c r="HF149" i="4"/>
  <c r="HG149" i="4"/>
  <c r="HH149" i="4"/>
  <c r="HI149" i="4"/>
  <c r="HJ149" i="4"/>
  <c r="HK149" i="4"/>
  <c r="HL149" i="4"/>
  <c r="HM149" i="4"/>
  <c r="HN149" i="4"/>
  <c r="HO149" i="4"/>
  <c r="HP149" i="4"/>
  <c r="HQ149" i="4"/>
  <c r="HR149" i="4"/>
  <c r="HS149" i="4"/>
  <c r="HT149" i="4"/>
  <c r="HU149" i="4"/>
  <c r="HV149" i="4"/>
  <c r="HW149" i="4"/>
  <c r="HX149" i="4"/>
  <c r="HY149" i="4"/>
  <c r="HZ149" i="4"/>
  <c r="IA149" i="4"/>
  <c r="IB149" i="4"/>
  <c r="IC149" i="4"/>
  <c r="ID149" i="4"/>
  <c r="IE149" i="4"/>
  <c r="IF149" i="4"/>
  <c r="IG149" i="4"/>
  <c r="IH149" i="4"/>
  <c r="II149" i="4"/>
  <c r="IJ149" i="4"/>
  <c r="IK149" i="4"/>
  <c r="IL149" i="4"/>
  <c r="IM149" i="4"/>
  <c r="IN149" i="4"/>
  <c r="IO149" i="4"/>
  <c r="IP149" i="4"/>
  <c r="IQ149" i="4"/>
  <c r="IR149" i="4"/>
  <c r="IS149" i="4"/>
  <c r="IT149" i="4"/>
  <c r="IU149" i="4"/>
  <c r="IV149" i="4"/>
  <c r="A148" i="4"/>
  <c r="B148" i="4"/>
  <c r="C148" i="4"/>
  <c r="D148" i="4"/>
  <c r="E148" i="4"/>
  <c r="F148" i="4"/>
  <c r="G148" i="4"/>
  <c r="H148" i="4"/>
  <c r="I148" i="4"/>
  <c r="J148" i="4"/>
  <c r="K148" i="4"/>
  <c r="L148" i="4"/>
  <c r="M148" i="4"/>
  <c r="N148" i="4"/>
  <c r="O148" i="4"/>
  <c r="P148" i="4"/>
  <c r="Q148" i="4"/>
  <c r="R148" i="4"/>
  <c r="S148" i="4"/>
  <c r="T148" i="4"/>
  <c r="U148" i="4"/>
  <c r="V148" i="4"/>
  <c r="W148" i="4"/>
  <c r="X148" i="4"/>
  <c r="Y148" i="4"/>
  <c r="Z148" i="4"/>
  <c r="AA148" i="4"/>
  <c r="AB148" i="4"/>
  <c r="AC148" i="4"/>
  <c r="AD148" i="4"/>
  <c r="AE148" i="4"/>
  <c r="AF148" i="4"/>
  <c r="AG148" i="4"/>
  <c r="AH148" i="4"/>
  <c r="AI148" i="4"/>
  <c r="AJ148" i="4"/>
  <c r="AK148" i="4"/>
  <c r="AL148" i="4"/>
  <c r="AM148" i="4"/>
  <c r="AN148" i="4"/>
  <c r="AO148" i="4"/>
  <c r="AP148" i="4"/>
  <c r="AQ148" i="4"/>
  <c r="AR148" i="4"/>
  <c r="AS148" i="4"/>
  <c r="AT148" i="4"/>
  <c r="AU148" i="4"/>
  <c r="AV148" i="4"/>
  <c r="AW148" i="4"/>
  <c r="AX148" i="4"/>
  <c r="AY148" i="4"/>
  <c r="AZ148" i="4"/>
  <c r="BA148" i="4"/>
  <c r="BB148" i="4"/>
  <c r="BC148" i="4"/>
  <c r="BD148" i="4"/>
  <c r="BE148" i="4"/>
  <c r="BF148" i="4"/>
  <c r="BG148" i="4"/>
  <c r="BH148" i="4"/>
  <c r="BI148" i="4"/>
  <c r="BJ148" i="4"/>
  <c r="BK148" i="4"/>
  <c r="BL148" i="4"/>
  <c r="BM148" i="4"/>
  <c r="BN148" i="4"/>
  <c r="BO148" i="4"/>
  <c r="BP148" i="4"/>
  <c r="BQ148" i="4"/>
  <c r="BR148" i="4"/>
  <c r="BS148" i="4"/>
  <c r="BT148" i="4"/>
  <c r="BU148" i="4"/>
  <c r="BV148" i="4"/>
  <c r="BW148" i="4"/>
  <c r="BX148" i="4"/>
  <c r="BY148" i="4"/>
  <c r="BZ148" i="4"/>
  <c r="CA148" i="4"/>
  <c r="CB148" i="4"/>
  <c r="CC148" i="4"/>
  <c r="CD148" i="4"/>
  <c r="CE148" i="4"/>
  <c r="CF148" i="4"/>
  <c r="CG148" i="4"/>
  <c r="CH148" i="4"/>
  <c r="CI148" i="4"/>
  <c r="CJ148" i="4"/>
  <c r="CK148" i="4"/>
  <c r="CL148" i="4"/>
  <c r="CM148" i="4"/>
  <c r="CN148" i="4"/>
  <c r="CO148" i="4"/>
  <c r="CP148" i="4"/>
  <c r="CQ148" i="4"/>
  <c r="CR148" i="4"/>
  <c r="CS148" i="4"/>
  <c r="CT148" i="4"/>
  <c r="CU148" i="4"/>
  <c r="CV148" i="4"/>
  <c r="CW148" i="4"/>
  <c r="CX148" i="4"/>
  <c r="CY148" i="4"/>
  <c r="CZ148" i="4"/>
  <c r="DA148" i="4"/>
  <c r="DB148" i="4"/>
  <c r="DC148" i="4"/>
  <c r="DD148" i="4"/>
  <c r="DE148" i="4"/>
  <c r="DF148" i="4"/>
  <c r="DG148" i="4"/>
  <c r="DH148" i="4"/>
  <c r="DI148" i="4"/>
  <c r="DJ148" i="4"/>
  <c r="DK148" i="4"/>
  <c r="DL148" i="4"/>
  <c r="DM148" i="4"/>
  <c r="DN148" i="4"/>
  <c r="DO148" i="4"/>
  <c r="DP148" i="4"/>
  <c r="DQ148" i="4"/>
  <c r="DR148" i="4"/>
  <c r="DS148" i="4"/>
  <c r="DT148" i="4"/>
  <c r="DU148" i="4"/>
  <c r="DV148" i="4"/>
  <c r="DW148" i="4"/>
  <c r="DX148" i="4"/>
  <c r="DY148" i="4"/>
  <c r="DZ148" i="4"/>
  <c r="EA148" i="4"/>
  <c r="EB148" i="4"/>
  <c r="EC148" i="4"/>
  <c r="ED148" i="4"/>
  <c r="EE148" i="4"/>
  <c r="EF148" i="4"/>
  <c r="EG148" i="4"/>
  <c r="EH148" i="4"/>
  <c r="EI148" i="4"/>
  <c r="EJ148" i="4"/>
  <c r="EK148" i="4"/>
  <c r="EL148" i="4"/>
  <c r="EM148" i="4"/>
  <c r="EN148" i="4"/>
  <c r="EO148" i="4"/>
  <c r="EP148" i="4"/>
  <c r="EQ148" i="4"/>
  <c r="ER148" i="4"/>
  <c r="ES148" i="4"/>
  <c r="ET148" i="4"/>
  <c r="EU148" i="4"/>
  <c r="EV148" i="4"/>
  <c r="EW148" i="4"/>
  <c r="EX148" i="4"/>
  <c r="EY148" i="4"/>
  <c r="EZ148" i="4"/>
  <c r="FA148" i="4"/>
  <c r="FB148" i="4"/>
  <c r="FC148" i="4"/>
  <c r="FD148" i="4"/>
  <c r="FE148" i="4"/>
  <c r="FF148" i="4"/>
  <c r="FG148" i="4"/>
  <c r="FH148" i="4"/>
  <c r="FI148" i="4"/>
  <c r="FJ148" i="4"/>
  <c r="FK148" i="4"/>
  <c r="FL148" i="4"/>
  <c r="FM148" i="4"/>
  <c r="FN148" i="4"/>
  <c r="FO148" i="4"/>
  <c r="FP148" i="4"/>
  <c r="FQ148" i="4"/>
  <c r="FR148" i="4"/>
  <c r="FS148" i="4"/>
  <c r="FT148" i="4"/>
  <c r="FU148" i="4"/>
  <c r="FV148" i="4"/>
  <c r="FW148" i="4"/>
  <c r="FX148" i="4"/>
  <c r="FY148" i="4"/>
  <c r="FZ148" i="4"/>
  <c r="GA148" i="4"/>
  <c r="GB148" i="4"/>
  <c r="GC148" i="4"/>
  <c r="GD148" i="4"/>
  <c r="GE148" i="4"/>
  <c r="GF148" i="4"/>
  <c r="GG148" i="4"/>
  <c r="GH148" i="4"/>
  <c r="GI148" i="4"/>
  <c r="GJ148" i="4"/>
  <c r="GK148" i="4"/>
  <c r="GL148" i="4"/>
  <c r="GM148" i="4"/>
  <c r="GN148" i="4"/>
  <c r="GO148" i="4"/>
  <c r="GP148" i="4"/>
  <c r="GQ148" i="4"/>
  <c r="GR148" i="4"/>
  <c r="GS148" i="4"/>
  <c r="GT148" i="4"/>
  <c r="GU148" i="4"/>
  <c r="GV148" i="4"/>
  <c r="GW148" i="4"/>
  <c r="GX148" i="4"/>
  <c r="GY148" i="4"/>
  <c r="GZ148" i="4"/>
  <c r="HA148" i="4"/>
  <c r="HB148" i="4"/>
  <c r="HC148" i="4"/>
  <c r="HD148" i="4"/>
  <c r="HE148" i="4"/>
  <c r="HF148" i="4"/>
  <c r="HG148" i="4"/>
  <c r="HH148" i="4"/>
  <c r="HI148" i="4"/>
  <c r="HJ148" i="4"/>
  <c r="HK148" i="4"/>
  <c r="HL148" i="4"/>
  <c r="HM148" i="4"/>
  <c r="HN148" i="4"/>
  <c r="HO148" i="4"/>
  <c r="HP148" i="4"/>
  <c r="HQ148" i="4"/>
  <c r="HR148" i="4"/>
  <c r="HS148" i="4"/>
  <c r="HT148" i="4"/>
  <c r="HU148" i="4"/>
  <c r="HV148" i="4"/>
  <c r="HW148" i="4"/>
  <c r="HX148" i="4"/>
  <c r="HY148" i="4"/>
  <c r="HZ148" i="4"/>
  <c r="IA148" i="4"/>
  <c r="IB148" i="4"/>
  <c r="IC148" i="4"/>
  <c r="ID148" i="4"/>
  <c r="IE148" i="4"/>
  <c r="IF148" i="4"/>
  <c r="IG148" i="4"/>
  <c r="IH148" i="4"/>
  <c r="II148" i="4"/>
  <c r="IJ148" i="4"/>
  <c r="IK148" i="4"/>
  <c r="IL148" i="4"/>
  <c r="IM148" i="4"/>
  <c r="IN148" i="4"/>
  <c r="IO148" i="4"/>
  <c r="IP148" i="4"/>
  <c r="IQ148" i="4"/>
  <c r="IR148" i="4"/>
  <c r="IS148" i="4"/>
  <c r="IT148" i="4"/>
  <c r="IU148" i="4"/>
  <c r="IV148" i="4"/>
  <c r="A147" i="4"/>
  <c r="B147" i="4"/>
  <c r="C147" i="4"/>
  <c r="D147" i="4"/>
  <c r="E147" i="4"/>
  <c r="F147" i="4"/>
  <c r="G147" i="4"/>
  <c r="H147" i="4"/>
  <c r="I147" i="4"/>
  <c r="J147" i="4"/>
  <c r="K147" i="4"/>
  <c r="L147" i="4"/>
  <c r="M147" i="4"/>
  <c r="N147" i="4"/>
  <c r="O147" i="4"/>
  <c r="P147" i="4"/>
  <c r="Q147" i="4"/>
  <c r="R147" i="4"/>
  <c r="S147" i="4"/>
  <c r="T147" i="4"/>
  <c r="U147" i="4"/>
  <c r="V147" i="4"/>
  <c r="W147" i="4"/>
  <c r="X147" i="4"/>
  <c r="Y147" i="4"/>
  <c r="Z147" i="4"/>
  <c r="AA147" i="4"/>
  <c r="AB147" i="4"/>
  <c r="AC147" i="4"/>
  <c r="AD147" i="4"/>
  <c r="AE147" i="4"/>
  <c r="AF147" i="4"/>
  <c r="AG147" i="4"/>
  <c r="AH147" i="4"/>
  <c r="AI147" i="4"/>
  <c r="AJ147" i="4"/>
  <c r="AK147" i="4"/>
  <c r="AL147" i="4"/>
  <c r="AM147" i="4"/>
  <c r="AN147" i="4"/>
  <c r="AO147" i="4"/>
  <c r="AP147" i="4"/>
  <c r="AQ147" i="4"/>
  <c r="AR147" i="4"/>
  <c r="AS147" i="4"/>
  <c r="AT147" i="4"/>
  <c r="AV147" i="4"/>
  <c r="AW147" i="4"/>
  <c r="AX147" i="4"/>
  <c r="AY147" i="4"/>
  <c r="AZ147" i="4"/>
  <c r="BA147" i="4"/>
  <c r="BB147" i="4"/>
  <c r="BC147" i="4"/>
  <c r="BD147" i="4"/>
  <c r="BE147" i="4"/>
  <c r="BF147" i="4"/>
  <c r="BG147" i="4"/>
  <c r="BH147" i="4"/>
  <c r="BI147" i="4"/>
  <c r="BJ147" i="4"/>
  <c r="BK147" i="4"/>
  <c r="BL147" i="4"/>
  <c r="BM147" i="4"/>
  <c r="BN147" i="4"/>
  <c r="BO147" i="4"/>
  <c r="BP147" i="4"/>
  <c r="BQ147" i="4"/>
  <c r="BR147" i="4"/>
  <c r="BS147" i="4"/>
  <c r="BT147" i="4"/>
  <c r="BU147" i="4"/>
  <c r="BV147" i="4"/>
  <c r="BW147" i="4"/>
  <c r="BX147" i="4"/>
  <c r="BY147" i="4"/>
  <c r="BZ147" i="4"/>
  <c r="CA147" i="4"/>
  <c r="CB147" i="4"/>
  <c r="CC147" i="4"/>
  <c r="CD147" i="4"/>
  <c r="CE147" i="4"/>
  <c r="CF147" i="4"/>
  <c r="CG147" i="4"/>
  <c r="CH147" i="4"/>
  <c r="CI147" i="4"/>
  <c r="CJ147" i="4"/>
  <c r="CK147" i="4"/>
  <c r="CL147" i="4"/>
  <c r="CM147" i="4"/>
  <c r="CN147" i="4"/>
  <c r="CO147" i="4"/>
  <c r="CP147" i="4"/>
  <c r="CQ147" i="4"/>
  <c r="CR147" i="4"/>
  <c r="CS147" i="4"/>
  <c r="CT147" i="4"/>
  <c r="CU147" i="4"/>
  <c r="CV147" i="4"/>
  <c r="CW147" i="4"/>
  <c r="CX147" i="4"/>
  <c r="CY147" i="4"/>
  <c r="CZ147" i="4"/>
  <c r="DA147" i="4"/>
  <c r="DB147" i="4"/>
  <c r="DC147" i="4"/>
  <c r="DD147" i="4"/>
  <c r="DE147" i="4"/>
  <c r="DF147" i="4"/>
  <c r="DG147" i="4"/>
  <c r="DH147" i="4"/>
  <c r="DI147" i="4"/>
  <c r="DJ147" i="4"/>
  <c r="DK147" i="4"/>
  <c r="DL147" i="4"/>
  <c r="DM147" i="4"/>
  <c r="DN147" i="4"/>
  <c r="DO147" i="4"/>
  <c r="DP147" i="4"/>
  <c r="DQ147" i="4"/>
  <c r="DR147" i="4"/>
  <c r="DS147" i="4"/>
  <c r="DT147" i="4"/>
  <c r="DU147" i="4"/>
  <c r="DV147" i="4"/>
  <c r="DW147" i="4"/>
  <c r="DX147" i="4"/>
  <c r="DY147" i="4"/>
  <c r="DZ147" i="4"/>
  <c r="EA147" i="4"/>
  <c r="EB147" i="4"/>
  <c r="EC147" i="4"/>
  <c r="ED147" i="4"/>
  <c r="EE147" i="4"/>
  <c r="EF147" i="4"/>
  <c r="EG147" i="4"/>
  <c r="EH147" i="4"/>
  <c r="EI147" i="4"/>
  <c r="EJ147" i="4"/>
  <c r="EK147" i="4"/>
  <c r="EL147" i="4"/>
  <c r="EM147" i="4"/>
  <c r="EN147" i="4"/>
  <c r="EO147" i="4"/>
  <c r="EP147" i="4"/>
  <c r="EQ147" i="4"/>
  <c r="ER147" i="4"/>
  <c r="ES147" i="4"/>
  <c r="ET147" i="4"/>
  <c r="EU147" i="4"/>
  <c r="EV147" i="4"/>
  <c r="EW147" i="4"/>
  <c r="EX147" i="4"/>
  <c r="EY147" i="4"/>
  <c r="EZ147" i="4"/>
  <c r="FA147" i="4"/>
  <c r="FB147" i="4"/>
  <c r="FC147" i="4"/>
  <c r="FD147" i="4"/>
  <c r="FE147" i="4"/>
  <c r="FF147" i="4"/>
  <c r="FG147" i="4"/>
  <c r="FH147" i="4"/>
  <c r="FI147" i="4"/>
  <c r="FJ147" i="4"/>
  <c r="FK147" i="4"/>
  <c r="FL147" i="4"/>
  <c r="FM147" i="4"/>
  <c r="FN147" i="4"/>
  <c r="FO147" i="4"/>
  <c r="FP147" i="4"/>
  <c r="FQ147" i="4"/>
  <c r="FR147" i="4"/>
  <c r="FS147" i="4"/>
  <c r="FT147" i="4"/>
  <c r="FU147" i="4"/>
  <c r="FV147" i="4"/>
  <c r="FW147" i="4"/>
  <c r="FX147" i="4"/>
  <c r="FY147" i="4"/>
  <c r="FZ147" i="4"/>
  <c r="GA147" i="4"/>
  <c r="GB147" i="4"/>
  <c r="GC147" i="4"/>
  <c r="GD147" i="4"/>
  <c r="GE147" i="4"/>
  <c r="GF147" i="4"/>
  <c r="GG147" i="4"/>
  <c r="GH147" i="4"/>
  <c r="GI147" i="4"/>
  <c r="GJ147" i="4"/>
  <c r="GK147" i="4"/>
  <c r="GL147" i="4"/>
  <c r="GM147" i="4"/>
  <c r="GN147" i="4"/>
  <c r="GO147" i="4"/>
  <c r="GP147" i="4"/>
  <c r="GQ147" i="4"/>
  <c r="GR147" i="4"/>
  <c r="GS147" i="4"/>
  <c r="GT147" i="4"/>
  <c r="GU147" i="4"/>
  <c r="GV147" i="4"/>
  <c r="GW147" i="4"/>
  <c r="GX147" i="4"/>
  <c r="GY147" i="4"/>
  <c r="GZ147" i="4"/>
  <c r="HA147" i="4"/>
  <c r="HB147" i="4"/>
  <c r="HC147" i="4"/>
  <c r="HD147" i="4"/>
  <c r="HE147" i="4"/>
  <c r="HF147" i="4"/>
  <c r="HG147" i="4"/>
  <c r="HH147" i="4"/>
  <c r="HI147" i="4"/>
  <c r="HJ147" i="4"/>
  <c r="HK147" i="4"/>
  <c r="HL147" i="4"/>
  <c r="HM147" i="4"/>
  <c r="HN147" i="4"/>
  <c r="HO147" i="4"/>
  <c r="HP147" i="4"/>
  <c r="HQ147" i="4"/>
  <c r="HR147" i="4"/>
  <c r="HS147" i="4"/>
  <c r="HT147" i="4"/>
  <c r="HU147" i="4"/>
  <c r="HV147" i="4"/>
  <c r="HW147" i="4"/>
  <c r="HX147" i="4"/>
  <c r="HY147" i="4"/>
  <c r="HZ147" i="4"/>
  <c r="IA147" i="4"/>
  <c r="IB147" i="4"/>
  <c r="IC147" i="4"/>
  <c r="ID147" i="4"/>
  <c r="IE147" i="4"/>
  <c r="IF147" i="4"/>
  <c r="IG147" i="4"/>
  <c r="IH147" i="4"/>
  <c r="II147" i="4"/>
  <c r="IJ147" i="4"/>
  <c r="IK147" i="4"/>
  <c r="IL147" i="4"/>
  <c r="IM147" i="4"/>
  <c r="IN147" i="4"/>
  <c r="IO147" i="4"/>
  <c r="IP147" i="4"/>
  <c r="IQ147" i="4"/>
  <c r="IR147" i="4"/>
  <c r="IS147" i="4"/>
  <c r="IT147" i="4"/>
  <c r="IU147" i="4"/>
  <c r="IV147" i="4"/>
  <c r="A146" i="4"/>
  <c r="B146" i="4"/>
  <c r="C146" i="4"/>
  <c r="D146" i="4"/>
  <c r="E146" i="4"/>
  <c r="F146" i="4"/>
  <c r="G146" i="4"/>
  <c r="H146" i="4"/>
  <c r="I146" i="4"/>
  <c r="J146" i="4"/>
  <c r="K146" i="4"/>
  <c r="L146" i="4"/>
  <c r="M146" i="4"/>
  <c r="N146" i="4"/>
  <c r="O146" i="4"/>
  <c r="P146" i="4"/>
  <c r="Q146" i="4"/>
  <c r="R146" i="4"/>
  <c r="S146" i="4"/>
  <c r="T146" i="4"/>
  <c r="U146" i="4"/>
  <c r="V146" i="4"/>
  <c r="W146" i="4"/>
  <c r="X146" i="4"/>
  <c r="Y146" i="4"/>
  <c r="Z146" i="4"/>
  <c r="AA146" i="4"/>
  <c r="AB146" i="4"/>
  <c r="AC146" i="4"/>
  <c r="AD146" i="4"/>
  <c r="AE146" i="4"/>
  <c r="AF146" i="4"/>
  <c r="AG146" i="4"/>
  <c r="AH146" i="4"/>
  <c r="AI146" i="4"/>
  <c r="AJ146" i="4"/>
  <c r="AK146" i="4"/>
  <c r="AL146" i="4"/>
  <c r="AM146" i="4"/>
  <c r="AN146" i="4"/>
  <c r="AO146" i="4"/>
  <c r="AP146" i="4"/>
  <c r="AQ146" i="4"/>
  <c r="AR146" i="4"/>
  <c r="AS146" i="4"/>
  <c r="AT146" i="4"/>
  <c r="AU146" i="4"/>
  <c r="AV146" i="4"/>
  <c r="AW146" i="4"/>
  <c r="AX146" i="4"/>
  <c r="AY146" i="4"/>
  <c r="AZ146" i="4"/>
  <c r="BA146" i="4"/>
  <c r="BB146" i="4"/>
  <c r="BC146" i="4"/>
  <c r="BD146" i="4"/>
  <c r="BE146" i="4"/>
  <c r="BF146" i="4"/>
  <c r="BG146" i="4"/>
  <c r="BH146" i="4"/>
  <c r="BI146" i="4"/>
  <c r="BJ146" i="4"/>
  <c r="BK146" i="4"/>
  <c r="BL146" i="4"/>
  <c r="BM146" i="4"/>
  <c r="BN146" i="4"/>
  <c r="BO146" i="4"/>
  <c r="BP146" i="4"/>
  <c r="BQ146" i="4"/>
  <c r="BR146" i="4"/>
  <c r="BS146" i="4"/>
  <c r="BT146" i="4"/>
  <c r="BU146" i="4"/>
  <c r="BV146" i="4"/>
  <c r="BW146" i="4"/>
  <c r="BX146" i="4"/>
  <c r="BY146" i="4"/>
  <c r="BZ146" i="4"/>
  <c r="CA146" i="4"/>
  <c r="CB146" i="4"/>
  <c r="CC146" i="4"/>
  <c r="CD146" i="4"/>
  <c r="CE146" i="4"/>
  <c r="CF146" i="4"/>
  <c r="CG146" i="4"/>
  <c r="CH146" i="4"/>
  <c r="CI146" i="4"/>
  <c r="CJ146" i="4"/>
  <c r="CK146" i="4"/>
  <c r="CL146" i="4"/>
  <c r="CM146" i="4"/>
  <c r="CN146" i="4"/>
  <c r="CO146" i="4"/>
  <c r="CP146" i="4"/>
  <c r="CQ146" i="4"/>
  <c r="CR146" i="4"/>
  <c r="CS146" i="4"/>
  <c r="CT146" i="4"/>
  <c r="CU146" i="4"/>
  <c r="CV146" i="4"/>
  <c r="CW146" i="4"/>
  <c r="CX146" i="4"/>
  <c r="CY146" i="4"/>
  <c r="CZ146" i="4"/>
  <c r="DA146" i="4"/>
  <c r="DB146" i="4"/>
  <c r="DC146" i="4"/>
  <c r="DD146" i="4"/>
  <c r="DE146" i="4"/>
  <c r="DF146" i="4"/>
  <c r="DG146" i="4"/>
  <c r="DH146" i="4"/>
  <c r="DI146" i="4"/>
  <c r="DJ146" i="4"/>
  <c r="DK146" i="4"/>
  <c r="DL146" i="4"/>
  <c r="DM146" i="4"/>
  <c r="DN146" i="4"/>
  <c r="DO146" i="4"/>
  <c r="DP146" i="4"/>
  <c r="DQ146" i="4"/>
  <c r="DR146" i="4"/>
  <c r="DS146" i="4"/>
  <c r="DT146" i="4"/>
  <c r="DU146" i="4"/>
  <c r="DV146" i="4"/>
  <c r="DW146" i="4"/>
  <c r="DX146" i="4"/>
  <c r="DY146" i="4"/>
  <c r="DZ146" i="4"/>
  <c r="EA146" i="4"/>
  <c r="EB146" i="4"/>
  <c r="EC146" i="4"/>
  <c r="ED146" i="4"/>
  <c r="EE146" i="4"/>
  <c r="EF146" i="4"/>
  <c r="EG146" i="4"/>
  <c r="EH146" i="4"/>
  <c r="EI146" i="4"/>
  <c r="EJ146" i="4"/>
  <c r="EK146" i="4"/>
  <c r="EL146" i="4"/>
  <c r="EM146" i="4"/>
  <c r="EN146" i="4"/>
  <c r="EO146" i="4"/>
  <c r="EP146" i="4"/>
  <c r="EQ146" i="4"/>
  <c r="ER146" i="4"/>
  <c r="ES146" i="4"/>
  <c r="ET146" i="4"/>
  <c r="EU146" i="4"/>
  <c r="EV146" i="4"/>
  <c r="EW146" i="4"/>
  <c r="EX146" i="4"/>
  <c r="EY146" i="4"/>
  <c r="EZ146" i="4"/>
  <c r="FA146" i="4"/>
  <c r="FB146" i="4"/>
  <c r="FC146" i="4"/>
  <c r="FD146" i="4"/>
  <c r="FE146" i="4"/>
  <c r="FF146" i="4"/>
  <c r="FG146" i="4"/>
  <c r="FH146" i="4"/>
  <c r="FI146" i="4"/>
  <c r="FJ146" i="4"/>
  <c r="FK146" i="4"/>
  <c r="FL146" i="4"/>
  <c r="FM146" i="4"/>
  <c r="FN146" i="4"/>
  <c r="FO146" i="4"/>
  <c r="FP146" i="4"/>
  <c r="FQ146" i="4"/>
  <c r="FR146" i="4"/>
  <c r="FS146" i="4"/>
  <c r="FT146" i="4"/>
  <c r="FU146" i="4"/>
  <c r="FV146" i="4"/>
  <c r="FW146" i="4"/>
  <c r="FX146" i="4"/>
  <c r="FY146" i="4"/>
  <c r="FZ146" i="4"/>
  <c r="GA146" i="4"/>
  <c r="GB146" i="4"/>
  <c r="GC146" i="4"/>
  <c r="GD146" i="4"/>
  <c r="GE146" i="4"/>
  <c r="GF146" i="4"/>
  <c r="GG146" i="4"/>
  <c r="GH146" i="4"/>
  <c r="GI146" i="4"/>
  <c r="GJ146" i="4"/>
  <c r="GK146" i="4"/>
  <c r="GL146" i="4"/>
  <c r="GM146" i="4"/>
  <c r="GN146" i="4"/>
  <c r="GO146" i="4"/>
  <c r="GP146" i="4"/>
  <c r="GQ146" i="4"/>
  <c r="GR146" i="4"/>
  <c r="GS146" i="4"/>
  <c r="GT146" i="4"/>
  <c r="GU146" i="4"/>
  <c r="GV146" i="4"/>
  <c r="GW146" i="4"/>
  <c r="GX146" i="4"/>
  <c r="GY146" i="4"/>
  <c r="GZ146" i="4"/>
  <c r="HA146" i="4"/>
  <c r="HB146" i="4"/>
  <c r="HC146" i="4"/>
  <c r="HD146" i="4"/>
  <c r="HE146" i="4"/>
  <c r="HF146" i="4"/>
  <c r="HG146" i="4"/>
  <c r="HH146" i="4"/>
  <c r="HI146" i="4"/>
  <c r="HJ146" i="4"/>
  <c r="HK146" i="4"/>
  <c r="HL146" i="4"/>
  <c r="HM146" i="4"/>
  <c r="HN146" i="4"/>
  <c r="HO146" i="4"/>
  <c r="HP146" i="4"/>
  <c r="HQ146" i="4"/>
  <c r="HR146" i="4"/>
  <c r="HS146" i="4"/>
  <c r="HT146" i="4"/>
  <c r="HU146" i="4"/>
  <c r="HV146" i="4"/>
  <c r="HW146" i="4"/>
  <c r="HX146" i="4"/>
  <c r="HY146" i="4"/>
  <c r="HZ146" i="4"/>
  <c r="IA146" i="4"/>
  <c r="IB146" i="4"/>
  <c r="IC146" i="4"/>
  <c r="ID146" i="4"/>
  <c r="IE146" i="4"/>
  <c r="IF146" i="4"/>
  <c r="IG146" i="4"/>
  <c r="IH146" i="4"/>
  <c r="II146" i="4"/>
  <c r="IJ146" i="4"/>
  <c r="IK146" i="4"/>
  <c r="IL146" i="4"/>
  <c r="IM146" i="4"/>
  <c r="IN146" i="4"/>
  <c r="IO146" i="4"/>
  <c r="IP146" i="4"/>
  <c r="IQ146" i="4"/>
  <c r="IR146" i="4"/>
  <c r="IS146" i="4"/>
  <c r="IT146" i="4"/>
  <c r="IU146" i="4"/>
  <c r="IV146" i="4"/>
  <c r="A145" i="4"/>
  <c r="B145" i="4"/>
  <c r="C145" i="4"/>
  <c r="D145" i="4"/>
  <c r="E145" i="4"/>
  <c r="F145" i="4"/>
  <c r="G145" i="4"/>
  <c r="H145" i="4"/>
  <c r="I145" i="4"/>
  <c r="J145" i="4"/>
  <c r="K145" i="4"/>
  <c r="L145" i="4"/>
  <c r="M145" i="4"/>
  <c r="N145" i="4"/>
  <c r="O145" i="4"/>
  <c r="P145" i="4"/>
  <c r="Q145" i="4"/>
  <c r="R145" i="4"/>
  <c r="S145" i="4"/>
  <c r="T145" i="4"/>
  <c r="U145" i="4"/>
  <c r="V145" i="4"/>
  <c r="W145" i="4"/>
  <c r="X145" i="4"/>
  <c r="Y145" i="4"/>
  <c r="Z145" i="4"/>
  <c r="AA145" i="4"/>
  <c r="AB145" i="4"/>
  <c r="AC145" i="4"/>
  <c r="AD145" i="4"/>
  <c r="AE145" i="4"/>
  <c r="AF145" i="4"/>
  <c r="AG145" i="4"/>
  <c r="AH145" i="4"/>
  <c r="AI145" i="4"/>
  <c r="AJ145" i="4"/>
  <c r="AK145" i="4"/>
  <c r="AL145" i="4"/>
  <c r="AM145" i="4"/>
  <c r="AN145" i="4"/>
  <c r="AO145" i="4"/>
  <c r="AP145" i="4"/>
  <c r="AQ145" i="4"/>
  <c r="AR145" i="4"/>
  <c r="AS145" i="4"/>
  <c r="AT145" i="4"/>
  <c r="AU145" i="4"/>
  <c r="AV145" i="4"/>
  <c r="AW145" i="4"/>
  <c r="AX145" i="4"/>
  <c r="AY145" i="4"/>
  <c r="AZ145" i="4"/>
  <c r="BA145" i="4"/>
  <c r="BB145" i="4"/>
  <c r="BC145" i="4"/>
  <c r="BD145" i="4"/>
  <c r="BE145" i="4"/>
  <c r="BF145" i="4"/>
  <c r="BG145" i="4"/>
  <c r="BH145" i="4"/>
  <c r="BI145" i="4"/>
  <c r="BJ145" i="4"/>
  <c r="BK145" i="4"/>
  <c r="BL145" i="4"/>
  <c r="BM145" i="4"/>
  <c r="BN145" i="4"/>
  <c r="BO145" i="4"/>
  <c r="BP145" i="4"/>
  <c r="BQ145" i="4"/>
  <c r="BR145" i="4"/>
  <c r="BS145" i="4"/>
  <c r="BT145" i="4"/>
  <c r="BU145" i="4"/>
  <c r="BV145" i="4"/>
  <c r="BW145" i="4"/>
  <c r="BX145" i="4"/>
  <c r="BY145" i="4"/>
  <c r="BZ145" i="4"/>
  <c r="CA145" i="4"/>
  <c r="CB145" i="4"/>
  <c r="CC145" i="4"/>
  <c r="CD145" i="4"/>
  <c r="CE145" i="4"/>
  <c r="CF145" i="4"/>
  <c r="CG145" i="4"/>
  <c r="CH145" i="4"/>
  <c r="CI145" i="4"/>
  <c r="CJ145" i="4"/>
  <c r="CK145" i="4"/>
  <c r="CL145" i="4"/>
  <c r="CM145" i="4"/>
  <c r="CN145" i="4"/>
  <c r="CO145" i="4"/>
  <c r="CP145" i="4"/>
  <c r="CQ145" i="4"/>
  <c r="CR145" i="4"/>
  <c r="CS145" i="4"/>
  <c r="CT145" i="4"/>
  <c r="CU145" i="4"/>
  <c r="CV145" i="4"/>
  <c r="CW145" i="4"/>
  <c r="CX145" i="4"/>
  <c r="CY145" i="4"/>
  <c r="CZ145" i="4"/>
  <c r="DA145" i="4"/>
  <c r="DB145" i="4"/>
  <c r="DC145" i="4"/>
  <c r="DD145" i="4"/>
  <c r="DE145" i="4"/>
  <c r="DF145" i="4"/>
  <c r="DG145" i="4"/>
  <c r="DH145" i="4"/>
  <c r="DI145" i="4"/>
  <c r="DJ145" i="4"/>
  <c r="DK145" i="4"/>
  <c r="DL145" i="4"/>
  <c r="DM145" i="4"/>
  <c r="DN145" i="4"/>
  <c r="DO145" i="4"/>
  <c r="DP145" i="4"/>
  <c r="DQ145" i="4"/>
  <c r="DR145" i="4"/>
  <c r="DS145" i="4"/>
  <c r="DT145" i="4"/>
  <c r="DU145" i="4"/>
  <c r="DV145" i="4"/>
  <c r="DW145" i="4"/>
  <c r="DX145" i="4"/>
  <c r="DY145" i="4"/>
  <c r="DZ145" i="4"/>
  <c r="EA145" i="4"/>
  <c r="EB145" i="4"/>
  <c r="EC145" i="4"/>
  <c r="ED145" i="4"/>
  <c r="EE145" i="4"/>
  <c r="EF145" i="4"/>
  <c r="EG145" i="4"/>
  <c r="EH145" i="4"/>
  <c r="EI145" i="4"/>
  <c r="EJ145" i="4"/>
  <c r="EK145" i="4"/>
  <c r="EL145" i="4"/>
  <c r="EM145" i="4"/>
  <c r="EN145" i="4"/>
  <c r="EO145" i="4"/>
  <c r="EP145" i="4"/>
  <c r="EQ145" i="4"/>
  <c r="ER145" i="4"/>
  <c r="ES145" i="4"/>
  <c r="ET145" i="4"/>
  <c r="EU145" i="4"/>
  <c r="EV145" i="4"/>
  <c r="EW145" i="4"/>
  <c r="EX145" i="4"/>
  <c r="EY145" i="4"/>
  <c r="EZ145" i="4"/>
  <c r="FA145" i="4"/>
  <c r="FB145" i="4"/>
  <c r="FC145" i="4"/>
  <c r="FD145" i="4"/>
  <c r="FE145" i="4"/>
  <c r="FF145" i="4"/>
  <c r="FG145" i="4"/>
  <c r="FH145" i="4"/>
  <c r="FI145" i="4"/>
  <c r="FJ145" i="4"/>
  <c r="FK145" i="4"/>
  <c r="FL145" i="4"/>
  <c r="FM145" i="4"/>
  <c r="FN145" i="4"/>
  <c r="FO145" i="4"/>
  <c r="FP145" i="4"/>
  <c r="FQ145" i="4"/>
  <c r="FR145" i="4"/>
  <c r="FS145" i="4"/>
  <c r="FT145" i="4"/>
  <c r="FU145" i="4"/>
  <c r="FV145" i="4"/>
  <c r="FW145" i="4"/>
  <c r="FX145" i="4"/>
  <c r="FY145" i="4"/>
  <c r="FZ145" i="4"/>
  <c r="GA145" i="4"/>
  <c r="GB145" i="4"/>
  <c r="GC145" i="4"/>
  <c r="GD145" i="4"/>
  <c r="GE145" i="4"/>
  <c r="GF145" i="4"/>
  <c r="GG145" i="4"/>
  <c r="GH145" i="4"/>
  <c r="GI145" i="4"/>
  <c r="GJ145" i="4"/>
  <c r="GK145" i="4"/>
  <c r="GL145" i="4"/>
  <c r="GM145" i="4"/>
  <c r="GN145" i="4"/>
  <c r="GO145" i="4"/>
  <c r="GP145" i="4"/>
  <c r="GQ145" i="4"/>
  <c r="GR145" i="4"/>
  <c r="GS145" i="4"/>
  <c r="GT145" i="4"/>
  <c r="GU145" i="4"/>
  <c r="GV145" i="4"/>
  <c r="GW145" i="4"/>
  <c r="GX145" i="4"/>
  <c r="GY145" i="4"/>
  <c r="GZ145" i="4"/>
  <c r="HA145" i="4"/>
  <c r="HB145" i="4"/>
  <c r="HC145" i="4"/>
  <c r="HD145" i="4"/>
  <c r="HE145" i="4"/>
  <c r="HF145" i="4"/>
  <c r="HG145" i="4"/>
  <c r="HH145" i="4"/>
  <c r="HI145" i="4"/>
  <c r="HJ145" i="4"/>
  <c r="HK145" i="4"/>
  <c r="HL145" i="4"/>
  <c r="HM145" i="4"/>
  <c r="HN145" i="4"/>
  <c r="HO145" i="4"/>
  <c r="HP145" i="4"/>
  <c r="HQ145" i="4"/>
  <c r="HR145" i="4"/>
  <c r="HS145" i="4"/>
  <c r="HT145" i="4"/>
  <c r="HU145" i="4"/>
  <c r="HV145" i="4"/>
  <c r="HW145" i="4"/>
  <c r="HX145" i="4"/>
  <c r="HY145" i="4"/>
  <c r="HZ145" i="4"/>
  <c r="IA145" i="4"/>
  <c r="IB145" i="4"/>
  <c r="IC145" i="4"/>
  <c r="ID145" i="4"/>
  <c r="IE145" i="4"/>
  <c r="IF145" i="4"/>
  <c r="IG145" i="4"/>
  <c r="IH145" i="4"/>
  <c r="II145" i="4"/>
  <c r="IJ145" i="4"/>
  <c r="IK145" i="4"/>
  <c r="IL145" i="4"/>
  <c r="IM145" i="4"/>
  <c r="IN145" i="4"/>
  <c r="IO145" i="4"/>
  <c r="IP145" i="4"/>
  <c r="IQ145" i="4"/>
  <c r="IR145" i="4"/>
  <c r="IS145" i="4"/>
  <c r="IT145" i="4"/>
  <c r="IU145" i="4"/>
  <c r="IV145" i="4"/>
  <c r="A144" i="4"/>
  <c r="B144" i="4"/>
  <c r="C144" i="4"/>
  <c r="D144" i="4"/>
  <c r="E144" i="4"/>
  <c r="F144" i="4"/>
  <c r="G144" i="4"/>
  <c r="H144" i="4"/>
  <c r="I144" i="4"/>
  <c r="J144" i="4"/>
  <c r="K144" i="4"/>
  <c r="L144" i="4"/>
  <c r="M144" i="4"/>
  <c r="N144" i="4"/>
  <c r="O144" i="4"/>
  <c r="P144" i="4"/>
  <c r="Q144" i="4"/>
  <c r="R144" i="4"/>
  <c r="S144" i="4"/>
  <c r="T144" i="4"/>
  <c r="U144" i="4"/>
  <c r="V144" i="4"/>
  <c r="W144" i="4"/>
  <c r="X144" i="4"/>
  <c r="Y144" i="4"/>
  <c r="Z144" i="4"/>
  <c r="AA144" i="4"/>
  <c r="AB144" i="4"/>
  <c r="AC144" i="4"/>
  <c r="AD144" i="4"/>
  <c r="AE144" i="4"/>
  <c r="AF144" i="4"/>
  <c r="AG144" i="4"/>
  <c r="AH144" i="4"/>
  <c r="AI144" i="4"/>
  <c r="AJ144" i="4"/>
  <c r="AK144" i="4"/>
  <c r="AL144" i="4"/>
  <c r="AM144" i="4"/>
  <c r="AN144" i="4"/>
  <c r="AO144" i="4"/>
  <c r="AP144" i="4"/>
  <c r="AQ144" i="4"/>
  <c r="AR144" i="4"/>
  <c r="AS144" i="4"/>
  <c r="AT144" i="4"/>
  <c r="AU144" i="4"/>
  <c r="AV144" i="4"/>
  <c r="AW144" i="4"/>
  <c r="AY144" i="4"/>
  <c r="AZ144" i="4"/>
  <c r="BA144" i="4"/>
  <c r="BB144" i="4"/>
  <c r="BC144" i="4"/>
  <c r="BD144" i="4"/>
  <c r="BE144" i="4"/>
  <c r="BF144" i="4"/>
  <c r="BG144" i="4"/>
  <c r="BH144" i="4"/>
  <c r="BI144" i="4"/>
  <c r="BJ144" i="4"/>
  <c r="BK144" i="4"/>
  <c r="BL144" i="4"/>
  <c r="BM144" i="4"/>
  <c r="BN144" i="4"/>
  <c r="BO144" i="4"/>
  <c r="BP144" i="4"/>
  <c r="BQ144" i="4"/>
  <c r="BR144" i="4"/>
  <c r="BS144" i="4"/>
  <c r="BT144" i="4"/>
  <c r="BU144" i="4"/>
  <c r="BV144" i="4"/>
  <c r="BW144" i="4"/>
  <c r="BX144" i="4"/>
  <c r="BY144" i="4"/>
  <c r="BZ144" i="4"/>
  <c r="CA144" i="4"/>
  <c r="CB144" i="4"/>
  <c r="CC144" i="4"/>
  <c r="CD144" i="4"/>
  <c r="CE144" i="4"/>
  <c r="CF144" i="4"/>
  <c r="CG144" i="4"/>
  <c r="CH144" i="4"/>
  <c r="CI144" i="4"/>
  <c r="CJ144" i="4"/>
  <c r="CK144" i="4"/>
  <c r="CL144" i="4"/>
  <c r="CM144" i="4"/>
  <c r="CN144" i="4"/>
  <c r="CO144" i="4"/>
  <c r="CP144" i="4"/>
  <c r="CQ144" i="4"/>
  <c r="CR144" i="4"/>
  <c r="CS144" i="4"/>
  <c r="CT144" i="4"/>
  <c r="CU144" i="4"/>
  <c r="CV144" i="4"/>
  <c r="CW144" i="4"/>
  <c r="CX144" i="4"/>
  <c r="CY144" i="4"/>
  <c r="CZ144" i="4"/>
  <c r="DA144" i="4"/>
  <c r="DB144" i="4"/>
  <c r="DC144" i="4"/>
  <c r="DD144" i="4"/>
  <c r="DE144" i="4"/>
  <c r="DF144" i="4"/>
  <c r="DG144" i="4"/>
  <c r="DH144" i="4"/>
  <c r="DI144" i="4"/>
  <c r="DJ144" i="4"/>
  <c r="DK144" i="4"/>
  <c r="DL144" i="4"/>
  <c r="DM144" i="4"/>
  <c r="DN144" i="4"/>
  <c r="DO144" i="4"/>
  <c r="DP144" i="4"/>
  <c r="DQ144" i="4"/>
  <c r="DR144" i="4"/>
  <c r="DS144" i="4"/>
  <c r="DT144" i="4"/>
  <c r="DU144" i="4"/>
  <c r="DV144" i="4"/>
  <c r="DW144" i="4"/>
  <c r="DX144" i="4"/>
  <c r="DY144" i="4"/>
  <c r="DZ144" i="4"/>
  <c r="EA144" i="4"/>
  <c r="EB144" i="4"/>
  <c r="EC144" i="4"/>
  <c r="ED144" i="4"/>
  <c r="EE144" i="4"/>
  <c r="EF144" i="4"/>
  <c r="EG144" i="4"/>
  <c r="EH144" i="4"/>
  <c r="EI144" i="4"/>
  <c r="EJ144" i="4"/>
  <c r="EK144" i="4"/>
  <c r="EL144" i="4"/>
  <c r="EM144" i="4"/>
  <c r="EN144" i="4"/>
  <c r="EO144" i="4"/>
  <c r="EP144" i="4"/>
  <c r="EQ144" i="4"/>
  <c r="ER144" i="4"/>
  <c r="ES144" i="4"/>
  <c r="ET144" i="4"/>
  <c r="EU144" i="4"/>
  <c r="EV144" i="4"/>
  <c r="EW144" i="4"/>
  <c r="EX144" i="4"/>
  <c r="EY144" i="4"/>
  <c r="EZ144" i="4"/>
  <c r="FA144" i="4"/>
  <c r="FB144" i="4"/>
  <c r="FC144" i="4"/>
  <c r="FD144" i="4"/>
  <c r="FE144" i="4"/>
  <c r="FF144" i="4"/>
  <c r="FG144" i="4"/>
  <c r="FH144" i="4"/>
  <c r="FI144" i="4"/>
  <c r="FJ144" i="4"/>
  <c r="FK144" i="4"/>
  <c r="FL144" i="4"/>
  <c r="FM144" i="4"/>
  <c r="FN144" i="4"/>
  <c r="FO144" i="4"/>
  <c r="FP144" i="4"/>
  <c r="FQ144" i="4"/>
  <c r="FR144" i="4"/>
  <c r="FS144" i="4"/>
  <c r="FT144" i="4"/>
  <c r="FU144" i="4"/>
  <c r="FV144" i="4"/>
  <c r="FW144" i="4"/>
  <c r="FX144" i="4"/>
  <c r="FY144" i="4"/>
  <c r="FZ144" i="4"/>
  <c r="GA144" i="4"/>
  <c r="GB144" i="4"/>
  <c r="GC144" i="4"/>
  <c r="GD144" i="4"/>
  <c r="GE144" i="4"/>
  <c r="GF144" i="4"/>
  <c r="GG144" i="4"/>
  <c r="GH144" i="4"/>
  <c r="GI144" i="4"/>
  <c r="GJ144" i="4"/>
  <c r="GK144" i="4"/>
  <c r="GL144" i="4"/>
  <c r="GM144" i="4"/>
  <c r="GN144" i="4"/>
  <c r="GO144" i="4"/>
  <c r="GP144" i="4"/>
  <c r="GQ144" i="4"/>
  <c r="GR144" i="4"/>
  <c r="GS144" i="4"/>
  <c r="GT144" i="4"/>
  <c r="GU144" i="4"/>
  <c r="GV144" i="4"/>
  <c r="GW144" i="4"/>
  <c r="GX144" i="4"/>
  <c r="GY144" i="4"/>
  <c r="GZ144" i="4"/>
  <c r="HA144" i="4"/>
  <c r="HB144" i="4"/>
  <c r="HC144" i="4"/>
  <c r="HD144" i="4"/>
  <c r="HE144" i="4"/>
  <c r="HF144" i="4"/>
  <c r="HG144" i="4"/>
  <c r="HH144" i="4"/>
  <c r="HI144" i="4"/>
  <c r="HJ144" i="4"/>
  <c r="HK144" i="4"/>
  <c r="HL144" i="4"/>
  <c r="HM144" i="4"/>
  <c r="HN144" i="4"/>
  <c r="HO144" i="4"/>
  <c r="HP144" i="4"/>
  <c r="HQ144" i="4"/>
  <c r="HR144" i="4"/>
  <c r="HS144" i="4"/>
  <c r="HT144" i="4"/>
  <c r="HU144" i="4"/>
  <c r="HV144" i="4"/>
  <c r="HW144" i="4"/>
  <c r="HX144" i="4"/>
  <c r="HY144" i="4"/>
  <c r="HZ144" i="4"/>
  <c r="IA144" i="4"/>
  <c r="IB144" i="4"/>
  <c r="IC144" i="4"/>
  <c r="ID144" i="4"/>
  <c r="IE144" i="4"/>
  <c r="IF144" i="4"/>
  <c r="IG144" i="4"/>
  <c r="IH144" i="4"/>
  <c r="II144" i="4"/>
  <c r="IJ144" i="4"/>
  <c r="IK144" i="4"/>
  <c r="IL144" i="4"/>
  <c r="IM144" i="4"/>
  <c r="IN144" i="4"/>
  <c r="IO144" i="4"/>
  <c r="IP144" i="4"/>
  <c r="IQ144" i="4"/>
  <c r="IR144" i="4"/>
  <c r="IS144" i="4"/>
  <c r="IT144" i="4"/>
  <c r="IU144" i="4"/>
  <c r="IV144" i="4"/>
  <c r="A143" i="4"/>
  <c r="B143" i="4"/>
  <c r="C143" i="4"/>
  <c r="D143" i="4"/>
  <c r="E143" i="4"/>
  <c r="F143" i="4"/>
  <c r="G143" i="4"/>
  <c r="H143" i="4"/>
  <c r="I143" i="4"/>
  <c r="J143" i="4"/>
  <c r="K143" i="4"/>
  <c r="L143" i="4"/>
  <c r="M143" i="4"/>
  <c r="N143" i="4"/>
  <c r="O143" i="4"/>
  <c r="P143" i="4"/>
  <c r="Q143" i="4"/>
  <c r="R143" i="4"/>
  <c r="S143" i="4"/>
  <c r="T143" i="4"/>
  <c r="U143" i="4"/>
  <c r="V143" i="4"/>
  <c r="W143" i="4"/>
  <c r="X143" i="4"/>
  <c r="Y143" i="4"/>
  <c r="Z143" i="4"/>
  <c r="AA143" i="4"/>
  <c r="AB143" i="4"/>
  <c r="AC143" i="4"/>
  <c r="AD143" i="4"/>
  <c r="AE143" i="4"/>
  <c r="AF143" i="4"/>
  <c r="AG143" i="4"/>
  <c r="AH143" i="4"/>
  <c r="AI143" i="4"/>
  <c r="AJ143" i="4"/>
  <c r="AK143" i="4"/>
  <c r="AL143" i="4"/>
  <c r="AM143" i="4"/>
  <c r="AN143" i="4"/>
  <c r="AO143" i="4"/>
  <c r="AP143" i="4"/>
  <c r="AQ143" i="4"/>
  <c r="AR143" i="4"/>
  <c r="AS143" i="4"/>
  <c r="AT143" i="4"/>
  <c r="AU143" i="4"/>
  <c r="AV143" i="4"/>
  <c r="AW143" i="4"/>
  <c r="AX143" i="4"/>
  <c r="AY143" i="4"/>
  <c r="AZ143" i="4"/>
  <c r="BA143" i="4"/>
  <c r="BB143" i="4"/>
  <c r="BC143" i="4"/>
  <c r="BD143" i="4"/>
  <c r="BE143" i="4"/>
  <c r="BF143" i="4"/>
  <c r="BG143" i="4"/>
  <c r="BH143" i="4"/>
  <c r="BI143" i="4"/>
  <c r="BJ143" i="4"/>
  <c r="BK143" i="4"/>
  <c r="BL143" i="4"/>
  <c r="BM143" i="4"/>
  <c r="BN143" i="4"/>
  <c r="BO143" i="4"/>
  <c r="BP143" i="4"/>
  <c r="BQ143" i="4"/>
  <c r="BR143" i="4"/>
  <c r="BS143" i="4"/>
  <c r="BT143" i="4"/>
  <c r="BU143" i="4"/>
  <c r="BV143" i="4"/>
  <c r="BW143" i="4"/>
  <c r="BX143" i="4"/>
  <c r="BY143" i="4"/>
  <c r="BZ143" i="4"/>
  <c r="CA143" i="4"/>
  <c r="CB143" i="4"/>
  <c r="CC143" i="4"/>
  <c r="CD143" i="4"/>
  <c r="CE143" i="4"/>
  <c r="CF143" i="4"/>
  <c r="CG143" i="4"/>
  <c r="CH143" i="4"/>
  <c r="CI143" i="4"/>
  <c r="CJ143" i="4"/>
  <c r="CK143" i="4"/>
  <c r="CL143" i="4"/>
  <c r="CM143" i="4"/>
  <c r="CN143" i="4"/>
  <c r="CO143" i="4"/>
  <c r="CP143" i="4"/>
  <c r="CQ143" i="4"/>
  <c r="CR143" i="4"/>
  <c r="CS143" i="4"/>
  <c r="CT143" i="4"/>
  <c r="CU143" i="4"/>
  <c r="CV143" i="4"/>
  <c r="CW143" i="4"/>
  <c r="CX143" i="4"/>
  <c r="CY143" i="4"/>
  <c r="CZ143" i="4"/>
  <c r="DA143" i="4"/>
  <c r="DB143" i="4"/>
  <c r="DC143" i="4"/>
  <c r="DD143" i="4"/>
  <c r="DE143" i="4"/>
  <c r="DF143" i="4"/>
  <c r="DG143" i="4"/>
  <c r="DH143" i="4"/>
  <c r="DI143" i="4"/>
  <c r="DJ143" i="4"/>
  <c r="DK143" i="4"/>
  <c r="DL143" i="4"/>
  <c r="DM143" i="4"/>
  <c r="DN143" i="4"/>
  <c r="DO143" i="4"/>
  <c r="DP143" i="4"/>
  <c r="DQ143" i="4"/>
  <c r="DR143" i="4"/>
  <c r="DS143" i="4"/>
  <c r="DT143" i="4"/>
  <c r="DU143" i="4"/>
  <c r="DV143" i="4"/>
  <c r="DW143" i="4"/>
  <c r="DX143" i="4"/>
  <c r="DY143" i="4"/>
  <c r="DZ143" i="4"/>
  <c r="EA143" i="4"/>
  <c r="EB143" i="4"/>
  <c r="EC143" i="4"/>
  <c r="ED143" i="4"/>
  <c r="EE143" i="4"/>
  <c r="EF143" i="4"/>
  <c r="EG143" i="4"/>
  <c r="EH143" i="4"/>
  <c r="EI143" i="4"/>
  <c r="EJ143" i="4"/>
  <c r="EK143" i="4"/>
  <c r="EL143" i="4"/>
  <c r="EM143" i="4"/>
  <c r="EN143" i="4"/>
  <c r="EO143" i="4"/>
  <c r="EP143" i="4"/>
  <c r="EQ143" i="4"/>
  <c r="ER143" i="4"/>
  <c r="ES143" i="4"/>
  <c r="ET143" i="4"/>
  <c r="EU143" i="4"/>
  <c r="EV143" i="4"/>
  <c r="EW143" i="4"/>
  <c r="EX143" i="4"/>
  <c r="EY143" i="4"/>
  <c r="EZ143" i="4"/>
  <c r="FA143" i="4"/>
  <c r="FB143" i="4"/>
  <c r="FC143" i="4"/>
  <c r="FD143" i="4"/>
  <c r="FE143" i="4"/>
  <c r="FF143" i="4"/>
  <c r="FG143" i="4"/>
  <c r="FH143" i="4"/>
  <c r="FI143" i="4"/>
  <c r="FJ143" i="4"/>
  <c r="FK143" i="4"/>
  <c r="FL143" i="4"/>
  <c r="FM143" i="4"/>
  <c r="FN143" i="4"/>
  <c r="FO143" i="4"/>
  <c r="FP143" i="4"/>
  <c r="FQ143" i="4"/>
  <c r="FR143" i="4"/>
  <c r="FS143" i="4"/>
  <c r="FT143" i="4"/>
  <c r="FU143" i="4"/>
  <c r="FV143" i="4"/>
  <c r="FW143" i="4"/>
  <c r="FX143" i="4"/>
  <c r="FY143" i="4"/>
  <c r="FZ143" i="4"/>
  <c r="GA143" i="4"/>
  <c r="GB143" i="4"/>
  <c r="GC143" i="4"/>
  <c r="GD143" i="4"/>
  <c r="GE143" i="4"/>
  <c r="GF143" i="4"/>
  <c r="GG143" i="4"/>
  <c r="GH143" i="4"/>
  <c r="GI143" i="4"/>
  <c r="GJ143" i="4"/>
  <c r="GK143" i="4"/>
  <c r="GL143" i="4"/>
  <c r="GM143" i="4"/>
  <c r="GN143" i="4"/>
  <c r="GO143" i="4"/>
  <c r="GP143" i="4"/>
  <c r="GQ143" i="4"/>
  <c r="GR143" i="4"/>
  <c r="GS143" i="4"/>
  <c r="GT143" i="4"/>
  <c r="GU143" i="4"/>
  <c r="GV143" i="4"/>
  <c r="GW143" i="4"/>
  <c r="GX143" i="4"/>
  <c r="GY143" i="4"/>
  <c r="GZ143" i="4"/>
  <c r="HA143" i="4"/>
  <c r="HB143" i="4"/>
  <c r="HC143" i="4"/>
  <c r="HD143" i="4"/>
  <c r="HE143" i="4"/>
  <c r="HF143" i="4"/>
  <c r="HG143" i="4"/>
  <c r="HH143" i="4"/>
  <c r="HI143" i="4"/>
  <c r="HJ143" i="4"/>
  <c r="HK143" i="4"/>
  <c r="HL143" i="4"/>
  <c r="HM143" i="4"/>
  <c r="HN143" i="4"/>
  <c r="HO143" i="4"/>
  <c r="HP143" i="4"/>
  <c r="HQ143" i="4"/>
  <c r="HR143" i="4"/>
  <c r="HS143" i="4"/>
  <c r="HT143" i="4"/>
  <c r="HU143" i="4"/>
  <c r="HV143" i="4"/>
  <c r="HW143" i="4"/>
  <c r="HX143" i="4"/>
  <c r="HY143" i="4"/>
  <c r="HZ143" i="4"/>
  <c r="IA143" i="4"/>
  <c r="IB143" i="4"/>
  <c r="IC143" i="4"/>
  <c r="ID143" i="4"/>
  <c r="IE143" i="4"/>
  <c r="IF143" i="4"/>
  <c r="IG143" i="4"/>
  <c r="IH143" i="4"/>
  <c r="II143" i="4"/>
  <c r="IJ143" i="4"/>
  <c r="IK143" i="4"/>
  <c r="IL143" i="4"/>
  <c r="IM143" i="4"/>
  <c r="IN143" i="4"/>
  <c r="IO143" i="4"/>
  <c r="IP143" i="4"/>
  <c r="IQ143" i="4"/>
  <c r="IR143" i="4"/>
  <c r="IS143" i="4"/>
  <c r="IT143" i="4"/>
  <c r="IU143" i="4"/>
  <c r="IV143" i="4"/>
  <c r="B142" i="4"/>
  <c r="C142" i="4"/>
  <c r="D142" i="4"/>
  <c r="E142" i="4"/>
  <c r="F142" i="4"/>
  <c r="G142" i="4"/>
  <c r="H142" i="4"/>
  <c r="I142" i="4"/>
  <c r="J142" i="4"/>
  <c r="K142" i="4"/>
  <c r="L142" i="4"/>
  <c r="M142" i="4"/>
  <c r="N142" i="4"/>
  <c r="O142" i="4"/>
  <c r="P142" i="4"/>
  <c r="Q142" i="4"/>
  <c r="R142" i="4"/>
  <c r="S142" i="4"/>
  <c r="T142" i="4"/>
  <c r="U142" i="4"/>
  <c r="V142" i="4"/>
  <c r="W142" i="4"/>
  <c r="X142" i="4"/>
  <c r="Y142" i="4"/>
  <c r="Z142" i="4"/>
  <c r="AA142" i="4"/>
  <c r="AB142" i="4"/>
  <c r="AC142" i="4"/>
  <c r="AD142" i="4"/>
  <c r="AE142" i="4"/>
  <c r="AF142" i="4"/>
  <c r="AG142" i="4"/>
  <c r="AH142" i="4"/>
  <c r="AI142" i="4"/>
  <c r="AJ142" i="4"/>
  <c r="AK142" i="4"/>
  <c r="AL142" i="4"/>
  <c r="AM142" i="4"/>
  <c r="AN142" i="4"/>
  <c r="AO142" i="4"/>
  <c r="AP142" i="4"/>
  <c r="AQ142" i="4"/>
  <c r="AR142" i="4"/>
  <c r="AS142" i="4"/>
  <c r="AT142" i="4"/>
  <c r="AU142" i="4"/>
  <c r="AV142" i="4"/>
  <c r="AW142" i="4"/>
  <c r="AX142" i="4"/>
  <c r="AY142" i="4"/>
  <c r="AZ142" i="4"/>
  <c r="BA142" i="4"/>
  <c r="BB142" i="4"/>
  <c r="BC142" i="4"/>
  <c r="BD142" i="4"/>
  <c r="BE142" i="4"/>
  <c r="BF142" i="4"/>
  <c r="BG142" i="4"/>
  <c r="BH142" i="4"/>
  <c r="BI142" i="4"/>
  <c r="BJ142" i="4"/>
  <c r="BK142" i="4"/>
  <c r="BL142" i="4"/>
  <c r="BM142" i="4"/>
  <c r="BN142" i="4"/>
  <c r="BO142" i="4"/>
  <c r="BP142" i="4"/>
  <c r="BQ142" i="4"/>
  <c r="BR142" i="4"/>
  <c r="BS142" i="4"/>
  <c r="BT142" i="4"/>
  <c r="BU142" i="4"/>
  <c r="BV142" i="4"/>
  <c r="BW142" i="4"/>
  <c r="BX142" i="4"/>
  <c r="BY142" i="4"/>
  <c r="BZ142" i="4"/>
  <c r="CA142" i="4"/>
  <c r="CB142" i="4"/>
  <c r="CC142" i="4"/>
  <c r="CD142" i="4"/>
  <c r="CE142" i="4"/>
  <c r="CF142" i="4"/>
  <c r="CG142" i="4"/>
  <c r="CH142" i="4"/>
  <c r="CI142" i="4"/>
  <c r="CJ142" i="4"/>
  <c r="CK142" i="4"/>
  <c r="CL142" i="4"/>
  <c r="CM142" i="4"/>
  <c r="CN142" i="4"/>
  <c r="CO142" i="4"/>
  <c r="CP142" i="4"/>
  <c r="CQ142" i="4"/>
  <c r="CR142" i="4"/>
  <c r="CS142" i="4"/>
  <c r="CT142" i="4"/>
  <c r="CU142" i="4"/>
  <c r="CV142" i="4"/>
  <c r="CW142" i="4"/>
  <c r="CX142" i="4"/>
  <c r="CY142" i="4"/>
  <c r="CZ142" i="4"/>
  <c r="DA142" i="4"/>
  <c r="DB142" i="4"/>
  <c r="DC142" i="4"/>
  <c r="DD142" i="4"/>
  <c r="DE142" i="4"/>
  <c r="DF142" i="4"/>
  <c r="DG142" i="4"/>
  <c r="DH142" i="4"/>
  <c r="DI142" i="4"/>
  <c r="DJ142" i="4"/>
  <c r="DK142" i="4"/>
  <c r="DL142" i="4"/>
  <c r="DM142" i="4"/>
  <c r="DN142" i="4"/>
  <c r="DO142" i="4"/>
  <c r="DP142" i="4"/>
  <c r="DQ142" i="4"/>
  <c r="DR142" i="4"/>
  <c r="DS142" i="4"/>
  <c r="DT142" i="4"/>
  <c r="DU142" i="4"/>
  <c r="DV142" i="4"/>
  <c r="DW142" i="4"/>
  <c r="DX142" i="4"/>
  <c r="DY142" i="4"/>
  <c r="DZ142" i="4"/>
  <c r="EA142" i="4"/>
  <c r="EB142" i="4"/>
  <c r="EC142" i="4"/>
  <c r="ED142" i="4"/>
  <c r="EE142" i="4"/>
  <c r="EF142" i="4"/>
  <c r="EG142" i="4"/>
  <c r="EH142" i="4"/>
  <c r="EI142" i="4"/>
  <c r="EJ142" i="4"/>
  <c r="EK142" i="4"/>
  <c r="EL142" i="4"/>
  <c r="EM142" i="4"/>
  <c r="EN142" i="4"/>
  <c r="EO142" i="4"/>
  <c r="EP142" i="4"/>
  <c r="EQ142" i="4"/>
  <c r="ER142" i="4"/>
  <c r="ES142" i="4"/>
  <c r="ET142" i="4"/>
  <c r="EU142" i="4"/>
  <c r="EV142" i="4"/>
  <c r="EW142" i="4"/>
  <c r="EX142" i="4"/>
  <c r="EY142" i="4"/>
  <c r="EZ142" i="4"/>
  <c r="FA142" i="4"/>
  <c r="FB142" i="4"/>
  <c r="FC142" i="4"/>
  <c r="FD142" i="4"/>
  <c r="FE142" i="4"/>
  <c r="FF142" i="4"/>
  <c r="FG142" i="4"/>
  <c r="FH142" i="4"/>
  <c r="FI142" i="4"/>
  <c r="FJ142" i="4"/>
  <c r="FK142" i="4"/>
  <c r="FL142" i="4"/>
  <c r="FM142" i="4"/>
  <c r="FN142" i="4"/>
  <c r="FO142" i="4"/>
  <c r="FP142" i="4"/>
  <c r="FQ142" i="4"/>
  <c r="FR142" i="4"/>
  <c r="FS142" i="4"/>
  <c r="FT142" i="4"/>
  <c r="FU142" i="4"/>
  <c r="FV142" i="4"/>
  <c r="FW142" i="4"/>
  <c r="FX142" i="4"/>
  <c r="FY142" i="4"/>
  <c r="FZ142" i="4"/>
  <c r="GA142" i="4"/>
  <c r="GB142" i="4"/>
  <c r="GC142" i="4"/>
  <c r="GD142" i="4"/>
  <c r="GE142" i="4"/>
  <c r="GF142" i="4"/>
  <c r="GG142" i="4"/>
  <c r="GH142" i="4"/>
  <c r="GI142" i="4"/>
  <c r="GJ142" i="4"/>
  <c r="GK142" i="4"/>
  <c r="GL142" i="4"/>
  <c r="GM142" i="4"/>
  <c r="GN142" i="4"/>
  <c r="GO142" i="4"/>
  <c r="GP142" i="4"/>
  <c r="GQ142" i="4"/>
  <c r="GR142" i="4"/>
  <c r="GS142" i="4"/>
  <c r="GT142" i="4"/>
  <c r="GU142" i="4"/>
  <c r="GV142" i="4"/>
  <c r="GW142" i="4"/>
  <c r="GX142" i="4"/>
  <c r="GY142" i="4"/>
  <c r="GZ142" i="4"/>
  <c r="HA142" i="4"/>
  <c r="HB142" i="4"/>
  <c r="HC142" i="4"/>
  <c r="HD142" i="4"/>
  <c r="HE142" i="4"/>
  <c r="HF142" i="4"/>
  <c r="HG142" i="4"/>
  <c r="HH142" i="4"/>
  <c r="HI142" i="4"/>
  <c r="HJ142" i="4"/>
  <c r="HK142" i="4"/>
  <c r="HL142" i="4"/>
  <c r="HM142" i="4"/>
  <c r="HN142" i="4"/>
  <c r="HO142" i="4"/>
  <c r="HP142" i="4"/>
  <c r="HQ142" i="4"/>
  <c r="HR142" i="4"/>
  <c r="HS142" i="4"/>
  <c r="HT142" i="4"/>
  <c r="HU142" i="4"/>
  <c r="HV142" i="4"/>
  <c r="HW142" i="4"/>
  <c r="HX142" i="4"/>
  <c r="HY142" i="4"/>
  <c r="HZ142" i="4"/>
  <c r="IA142" i="4"/>
  <c r="IB142" i="4"/>
  <c r="IC142" i="4"/>
  <c r="ID142" i="4"/>
  <c r="IE142" i="4"/>
  <c r="IF142" i="4"/>
  <c r="IG142" i="4"/>
  <c r="IH142" i="4"/>
  <c r="II142" i="4"/>
  <c r="IJ142" i="4"/>
  <c r="IK142" i="4"/>
  <c r="IL142" i="4"/>
  <c r="IM142" i="4"/>
  <c r="IN142" i="4"/>
  <c r="IO142" i="4"/>
  <c r="IP142" i="4"/>
  <c r="IQ142" i="4"/>
  <c r="IR142" i="4"/>
  <c r="IS142" i="4"/>
  <c r="IT142" i="4"/>
  <c r="IU142" i="4"/>
  <c r="IV142" i="4"/>
  <c r="A141" i="4"/>
  <c r="B141" i="4"/>
  <c r="C141" i="4"/>
  <c r="D141" i="4"/>
  <c r="E141" i="4"/>
  <c r="F141" i="4"/>
  <c r="G141" i="4"/>
  <c r="H141" i="4"/>
  <c r="I141" i="4"/>
  <c r="J141" i="4"/>
  <c r="K141" i="4"/>
  <c r="L141" i="4"/>
  <c r="M141" i="4"/>
  <c r="N141" i="4"/>
  <c r="O141" i="4"/>
  <c r="P141" i="4"/>
  <c r="Q141" i="4"/>
  <c r="R141" i="4"/>
  <c r="S141" i="4"/>
  <c r="T141" i="4"/>
  <c r="U141" i="4"/>
  <c r="V141" i="4"/>
  <c r="W141" i="4"/>
  <c r="X141" i="4"/>
  <c r="Y141" i="4"/>
  <c r="Z141" i="4"/>
  <c r="AA141" i="4"/>
  <c r="AB141" i="4"/>
  <c r="AC141" i="4"/>
  <c r="AD141" i="4"/>
  <c r="AE141" i="4"/>
  <c r="AF141" i="4"/>
  <c r="AG141" i="4"/>
  <c r="AH141" i="4"/>
  <c r="AI141" i="4"/>
  <c r="AJ141" i="4"/>
  <c r="AK141" i="4"/>
  <c r="AL141" i="4"/>
  <c r="AM141" i="4"/>
  <c r="AN141" i="4"/>
  <c r="AO141" i="4"/>
  <c r="AP141" i="4"/>
  <c r="AQ141" i="4"/>
  <c r="AR141" i="4"/>
  <c r="AS141" i="4"/>
  <c r="AT141" i="4"/>
  <c r="AU141" i="4"/>
  <c r="AV141" i="4"/>
  <c r="AW141" i="4"/>
  <c r="AX141" i="4"/>
  <c r="AY141" i="4"/>
  <c r="AZ141" i="4"/>
  <c r="BA141" i="4"/>
  <c r="BB141" i="4"/>
  <c r="BC141" i="4"/>
  <c r="BD141" i="4"/>
  <c r="BE141" i="4"/>
  <c r="BF141" i="4"/>
  <c r="BG141" i="4"/>
  <c r="BH141" i="4"/>
  <c r="BI141" i="4"/>
  <c r="BJ141" i="4"/>
  <c r="BK141" i="4"/>
  <c r="BL141" i="4"/>
  <c r="BM141" i="4"/>
  <c r="BN141" i="4"/>
  <c r="BO141" i="4"/>
  <c r="BP141" i="4"/>
  <c r="BQ141" i="4"/>
  <c r="BR141" i="4"/>
  <c r="BS141" i="4"/>
  <c r="BT141" i="4"/>
  <c r="BU141" i="4"/>
  <c r="BV141" i="4"/>
  <c r="BW141" i="4"/>
  <c r="BX141" i="4"/>
  <c r="BY141" i="4"/>
  <c r="BZ141" i="4"/>
  <c r="CA141" i="4"/>
  <c r="CB141" i="4"/>
  <c r="CC141" i="4"/>
  <c r="CD141" i="4"/>
  <c r="CE141" i="4"/>
  <c r="CF141" i="4"/>
  <c r="CG141" i="4"/>
  <c r="CH141" i="4"/>
  <c r="CI141" i="4"/>
  <c r="CJ141" i="4"/>
  <c r="CK141" i="4"/>
  <c r="CL141" i="4"/>
  <c r="CM141" i="4"/>
  <c r="CN141" i="4"/>
  <c r="CO141" i="4"/>
  <c r="CP141" i="4"/>
  <c r="CQ141" i="4"/>
  <c r="CR141" i="4"/>
  <c r="CS141" i="4"/>
  <c r="CT141" i="4"/>
  <c r="CU141" i="4"/>
  <c r="CV141" i="4"/>
  <c r="CW141" i="4"/>
  <c r="CX141" i="4"/>
  <c r="CY141" i="4"/>
  <c r="CZ141" i="4"/>
  <c r="DA141" i="4"/>
  <c r="DB141" i="4"/>
  <c r="DC141" i="4"/>
  <c r="DD141" i="4"/>
  <c r="DE141" i="4"/>
  <c r="DF141" i="4"/>
  <c r="DG141" i="4"/>
  <c r="DH141" i="4"/>
  <c r="DI141" i="4"/>
  <c r="DJ141" i="4"/>
  <c r="DK141" i="4"/>
  <c r="DL141" i="4"/>
  <c r="DM141" i="4"/>
  <c r="DN141" i="4"/>
  <c r="DO141" i="4"/>
  <c r="DP141" i="4"/>
  <c r="DQ141" i="4"/>
  <c r="DR141" i="4"/>
  <c r="DS141" i="4"/>
  <c r="DT141" i="4"/>
  <c r="DU141" i="4"/>
  <c r="DV141" i="4"/>
  <c r="DW141" i="4"/>
  <c r="DX141" i="4"/>
  <c r="DY141" i="4"/>
  <c r="DZ141" i="4"/>
  <c r="EA141" i="4"/>
  <c r="EB141" i="4"/>
  <c r="EC141" i="4"/>
  <c r="ED141" i="4"/>
  <c r="EE141" i="4"/>
  <c r="EF141" i="4"/>
  <c r="EG141" i="4"/>
  <c r="EH141" i="4"/>
  <c r="EI141" i="4"/>
  <c r="EJ141" i="4"/>
  <c r="EK141" i="4"/>
  <c r="EL141" i="4"/>
  <c r="EM141" i="4"/>
  <c r="EN141" i="4"/>
  <c r="EO141" i="4"/>
  <c r="EP141" i="4"/>
  <c r="EQ141" i="4"/>
  <c r="ER141" i="4"/>
  <c r="ES141" i="4"/>
  <c r="ET141" i="4"/>
  <c r="EU141" i="4"/>
  <c r="EV141" i="4"/>
  <c r="EW141" i="4"/>
  <c r="EX141" i="4"/>
  <c r="EY141" i="4"/>
  <c r="EZ141" i="4"/>
  <c r="FA141" i="4"/>
  <c r="FB141" i="4"/>
  <c r="FC141" i="4"/>
  <c r="FD141" i="4"/>
  <c r="FE141" i="4"/>
  <c r="FF141" i="4"/>
  <c r="FG141" i="4"/>
  <c r="FH141" i="4"/>
  <c r="FI141" i="4"/>
  <c r="FJ141" i="4"/>
  <c r="FK141" i="4"/>
  <c r="FL141" i="4"/>
  <c r="FM141" i="4"/>
  <c r="FN141" i="4"/>
  <c r="FO141" i="4"/>
  <c r="FP141" i="4"/>
  <c r="FQ141" i="4"/>
  <c r="FR141" i="4"/>
  <c r="FS141" i="4"/>
  <c r="FT141" i="4"/>
  <c r="FU141" i="4"/>
  <c r="FV141" i="4"/>
  <c r="FW141" i="4"/>
  <c r="FX141" i="4"/>
  <c r="FY141" i="4"/>
  <c r="FZ141" i="4"/>
  <c r="GA141" i="4"/>
  <c r="GB141" i="4"/>
  <c r="GC141" i="4"/>
  <c r="GD141" i="4"/>
  <c r="GE141" i="4"/>
  <c r="GF141" i="4"/>
  <c r="GG141" i="4"/>
  <c r="GH141" i="4"/>
  <c r="GI141" i="4"/>
  <c r="GJ141" i="4"/>
  <c r="GK141" i="4"/>
  <c r="GL141" i="4"/>
  <c r="GM141" i="4"/>
  <c r="GN141" i="4"/>
  <c r="GO141" i="4"/>
  <c r="GP141" i="4"/>
  <c r="GQ141" i="4"/>
  <c r="GR141" i="4"/>
  <c r="GS141" i="4"/>
  <c r="GT141" i="4"/>
  <c r="GU141" i="4"/>
  <c r="GV141" i="4"/>
  <c r="GW141" i="4"/>
  <c r="GX141" i="4"/>
  <c r="GY141" i="4"/>
  <c r="GZ141" i="4"/>
  <c r="HA141" i="4"/>
  <c r="HB141" i="4"/>
  <c r="HC141" i="4"/>
  <c r="HD141" i="4"/>
  <c r="HE141" i="4"/>
  <c r="HF141" i="4"/>
  <c r="HG141" i="4"/>
  <c r="HH141" i="4"/>
  <c r="HI141" i="4"/>
  <c r="HJ141" i="4"/>
  <c r="HK141" i="4"/>
  <c r="HL141" i="4"/>
  <c r="HM141" i="4"/>
  <c r="HN141" i="4"/>
  <c r="HO141" i="4"/>
  <c r="HP141" i="4"/>
  <c r="HQ141" i="4"/>
  <c r="HR141" i="4"/>
  <c r="HS141" i="4"/>
  <c r="HT141" i="4"/>
  <c r="HU141" i="4"/>
  <c r="HV141" i="4"/>
  <c r="HW141" i="4"/>
  <c r="HX141" i="4"/>
  <c r="HY141" i="4"/>
  <c r="HZ141" i="4"/>
  <c r="IA141" i="4"/>
  <c r="IB141" i="4"/>
  <c r="IC141" i="4"/>
  <c r="ID141" i="4"/>
  <c r="IE141" i="4"/>
  <c r="IF141" i="4"/>
  <c r="IG141" i="4"/>
  <c r="IH141" i="4"/>
  <c r="II141" i="4"/>
  <c r="IJ141" i="4"/>
  <c r="IK141" i="4"/>
  <c r="IL141" i="4"/>
  <c r="IM141" i="4"/>
  <c r="IN141" i="4"/>
  <c r="IO141" i="4"/>
  <c r="IP141" i="4"/>
  <c r="IQ141" i="4"/>
  <c r="IR141" i="4"/>
  <c r="IS141" i="4"/>
  <c r="IT141" i="4"/>
  <c r="IU141" i="4"/>
  <c r="IV141" i="4"/>
  <c r="A140" i="4"/>
  <c r="B140" i="4"/>
  <c r="C140" i="4"/>
  <c r="D140" i="4"/>
  <c r="E140" i="4"/>
  <c r="F140" i="4"/>
  <c r="G140" i="4"/>
  <c r="H140" i="4"/>
  <c r="I140" i="4"/>
  <c r="J140" i="4"/>
  <c r="K140" i="4"/>
  <c r="L140" i="4"/>
  <c r="M140" i="4"/>
  <c r="N140" i="4"/>
  <c r="O140" i="4"/>
  <c r="P140" i="4"/>
  <c r="Q140" i="4"/>
  <c r="R140" i="4"/>
  <c r="S140" i="4"/>
  <c r="T140" i="4"/>
  <c r="U140" i="4"/>
  <c r="V140" i="4"/>
  <c r="W140" i="4"/>
  <c r="X140" i="4"/>
  <c r="Y140" i="4"/>
  <c r="Z140" i="4"/>
  <c r="AA140" i="4"/>
  <c r="AB140" i="4"/>
  <c r="AC140" i="4"/>
  <c r="AD140" i="4"/>
  <c r="AE140" i="4"/>
  <c r="AF140" i="4"/>
  <c r="AG140" i="4"/>
  <c r="AH140" i="4"/>
  <c r="AI140" i="4"/>
  <c r="AJ140" i="4"/>
  <c r="AK140" i="4"/>
  <c r="AL140" i="4"/>
  <c r="AM140" i="4"/>
  <c r="AN140" i="4"/>
  <c r="AO140" i="4"/>
  <c r="AP140" i="4"/>
  <c r="AQ140" i="4"/>
  <c r="AR140" i="4"/>
  <c r="AS140" i="4"/>
  <c r="AT140" i="4"/>
  <c r="AU140" i="4"/>
  <c r="AV140" i="4"/>
  <c r="AW140" i="4"/>
  <c r="AX140" i="4"/>
  <c r="AY140" i="4"/>
  <c r="AZ140" i="4"/>
  <c r="BA140" i="4"/>
  <c r="BB140" i="4"/>
  <c r="BC140" i="4"/>
  <c r="BD140" i="4"/>
  <c r="BE140" i="4"/>
  <c r="BF140" i="4"/>
  <c r="BG140" i="4"/>
  <c r="BH140" i="4"/>
  <c r="BI140" i="4"/>
  <c r="BJ140" i="4"/>
  <c r="BK140" i="4"/>
  <c r="BL140" i="4"/>
  <c r="BM140" i="4"/>
  <c r="BN140" i="4"/>
  <c r="BO140" i="4"/>
  <c r="BP140" i="4"/>
  <c r="BQ140" i="4"/>
  <c r="BR140" i="4"/>
  <c r="BS140" i="4"/>
  <c r="BT140" i="4"/>
  <c r="BU140" i="4"/>
  <c r="BV140" i="4"/>
  <c r="BW140" i="4"/>
  <c r="BX140" i="4"/>
  <c r="BY140" i="4"/>
  <c r="BZ140" i="4"/>
  <c r="CA140" i="4"/>
  <c r="CB140" i="4"/>
  <c r="CC140" i="4"/>
  <c r="CD140" i="4"/>
  <c r="CE140" i="4"/>
  <c r="CF140" i="4"/>
  <c r="CG140" i="4"/>
  <c r="CH140" i="4"/>
  <c r="CI140" i="4"/>
  <c r="CJ140" i="4"/>
  <c r="CK140" i="4"/>
  <c r="CL140" i="4"/>
  <c r="CM140" i="4"/>
  <c r="CN140" i="4"/>
  <c r="CO140" i="4"/>
  <c r="CP140" i="4"/>
  <c r="CQ140" i="4"/>
  <c r="CR140" i="4"/>
  <c r="CS140" i="4"/>
  <c r="CT140" i="4"/>
  <c r="CU140" i="4"/>
  <c r="CV140" i="4"/>
  <c r="CW140" i="4"/>
  <c r="CX140" i="4"/>
  <c r="CY140" i="4"/>
  <c r="CZ140" i="4"/>
  <c r="DA140" i="4"/>
  <c r="DB140" i="4"/>
  <c r="DC140" i="4"/>
  <c r="DD140" i="4"/>
  <c r="DE140" i="4"/>
  <c r="DF140" i="4"/>
  <c r="DG140" i="4"/>
  <c r="DH140" i="4"/>
  <c r="DI140" i="4"/>
  <c r="DJ140" i="4"/>
  <c r="DK140" i="4"/>
  <c r="DL140" i="4"/>
  <c r="DM140" i="4"/>
  <c r="DN140" i="4"/>
  <c r="DO140" i="4"/>
  <c r="DP140" i="4"/>
  <c r="DQ140" i="4"/>
  <c r="DR140" i="4"/>
  <c r="DS140" i="4"/>
  <c r="DT140" i="4"/>
  <c r="DU140" i="4"/>
  <c r="DV140" i="4"/>
  <c r="DW140" i="4"/>
  <c r="DX140" i="4"/>
  <c r="DY140" i="4"/>
  <c r="DZ140" i="4"/>
  <c r="EA140" i="4"/>
  <c r="EB140" i="4"/>
  <c r="EC140" i="4"/>
  <c r="ED140" i="4"/>
  <c r="EE140" i="4"/>
  <c r="EF140" i="4"/>
  <c r="EG140" i="4"/>
  <c r="EH140" i="4"/>
  <c r="EI140" i="4"/>
  <c r="EJ140" i="4"/>
  <c r="EK140" i="4"/>
  <c r="EL140" i="4"/>
  <c r="EM140" i="4"/>
  <c r="EN140" i="4"/>
  <c r="EO140" i="4"/>
  <c r="EP140" i="4"/>
  <c r="EQ140" i="4"/>
  <c r="ER140" i="4"/>
  <c r="ES140" i="4"/>
  <c r="ET140" i="4"/>
  <c r="EU140" i="4"/>
  <c r="EV140" i="4"/>
  <c r="EW140" i="4"/>
  <c r="EX140" i="4"/>
  <c r="EY140" i="4"/>
  <c r="EZ140" i="4"/>
  <c r="FA140" i="4"/>
  <c r="FB140" i="4"/>
  <c r="FC140" i="4"/>
  <c r="FD140" i="4"/>
  <c r="FE140" i="4"/>
  <c r="FF140" i="4"/>
  <c r="FG140" i="4"/>
  <c r="FH140" i="4"/>
  <c r="FI140" i="4"/>
  <c r="FJ140" i="4"/>
  <c r="FK140" i="4"/>
  <c r="FL140" i="4"/>
  <c r="FM140" i="4"/>
  <c r="FN140" i="4"/>
  <c r="FO140" i="4"/>
  <c r="FP140" i="4"/>
  <c r="FQ140" i="4"/>
  <c r="FR140" i="4"/>
  <c r="FS140" i="4"/>
  <c r="FT140" i="4"/>
  <c r="FU140" i="4"/>
  <c r="FV140" i="4"/>
  <c r="FW140" i="4"/>
  <c r="FX140" i="4"/>
  <c r="FY140" i="4"/>
  <c r="FZ140" i="4"/>
  <c r="GA140" i="4"/>
  <c r="GB140" i="4"/>
  <c r="GC140" i="4"/>
  <c r="GD140" i="4"/>
  <c r="GE140" i="4"/>
  <c r="GF140" i="4"/>
  <c r="GG140" i="4"/>
  <c r="GH140" i="4"/>
  <c r="GI140" i="4"/>
  <c r="GJ140" i="4"/>
  <c r="GK140" i="4"/>
  <c r="GL140" i="4"/>
  <c r="GM140" i="4"/>
  <c r="GN140" i="4"/>
  <c r="GO140" i="4"/>
  <c r="GP140" i="4"/>
  <c r="GQ140" i="4"/>
  <c r="GR140" i="4"/>
  <c r="GS140" i="4"/>
  <c r="GT140" i="4"/>
  <c r="GU140" i="4"/>
  <c r="GV140" i="4"/>
  <c r="GW140" i="4"/>
  <c r="GX140" i="4"/>
  <c r="GY140" i="4"/>
  <c r="GZ140" i="4"/>
  <c r="HA140" i="4"/>
  <c r="HB140" i="4"/>
  <c r="HC140" i="4"/>
  <c r="HD140" i="4"/>
  <c r="HE140" i="4"/>
  <c r="HF140" i="4"/>
  <c r="HG140" i="4"/>
  <c r="HH140" i="4"/>
  <c r="HI140" i="4"/>
  <c r="HJ140" i="4"/>
  <c r="HK140" i="4"/>
  <c r="HL140" i="4"/>
  <c r="HM140" i="4"/>
  <c r="HN140" i="4"/>
  <c r="HO140" i="4"/>
  <c r="HP140" i="4"/>
  <c r="HQ140" i="4"/>
  <c r="HR140" i="4"/>
  <c r="HS140" i="4"/>
  <c r="HT140" i="4"/>
  <c r="HU140" i="4"/>
  <c r="HV140" i="4"/>
  <c r="HW140" i="4"/>
  <c r="HX140" i="4"/>
  <c r="HY140" i="4"/>
  <c r="HZ140" i="4"/>
  <c r="IA140" i="4"/>
  <c r="IB140" i="4"/>
  <c r="IC140" i="4"/>
  <c r="ID140" i="4"/>
  <c r="IE140" i="4"/>
  <c r="IF140" i="4"/>
  <c r="IG140" i="4"/>
  <c r="IH140" i="4"/>
  <c r="II140" i="4"/>
  <c r="IJ140" i="4"/>
  <c r="IK140" i="4"/>
  <c r="IL140" i="4"/>
  <c r="IM140" i="4"/>
  <c r="IN140" i="4"/>
  <c r="IO140" i="4"/>
  <c r="IP140" i="4"/>
  <c r="IQ140" i="4"/>
  <c r="IR140" i="4"/>
  <c r="IS140" i="4"/>
  <c r="IT140" i="4"/>
  <c r="IU140" i="4"/>
  <c r="IV140" i="4"/>
  <c r="A139" i="4"/>
  <c r="B139" i="4"/>
  <c r="C139" i="4"/>
  <c r="D139" i="4"/>
  <c r="E139" i="4"/>
  <c r="F139" i="4"/>
  <c r="G139" i="4"/>
  <c r="H139" i="4"/>
  <c r="I139" i="4"/>
  <c r="J139" i="4"/>
  <c r="K139" i="4"/>
  <c r="L139" i="4"/>
  <c r="M139" i="4"/>
  <c r="N139" i="4"/>
  <c r="O139" i="4"/>
  <c r="P139" i="4"/>
  <c r="Q139" i="4"/>
  <c r="R139" i="4"/>
  <c r="S139" i="4"/>
  <c r="T139" i="4"/>
  <c r="U139" i="4"/>
  <c r="V139" i="4"/>
  <c r="W139" i="4"/>
  <c r="X139" i="4"/>
  <c r="Y139" i="4"/>
  <c r="Z139" i="4"/>
  <c r="AA139" i="4"/>
  <c r="AB139" i="4"/>
  <c r="AC139" i="4"/>
  <c r="AD139" i="4"/>
  <c r="AE139" i="4"/>
  <c r="AF139" i="4"/>
  <c r="AG139" i="4"/>
  <c r="AH139" i="4"/>
  <c r="AI139" i="4"/>
  <c r="AJ139" i="4"/>
  <c r="AK139" i="4"/>
  <c r="AL139" i="4"/>
  <c r="AM139" i="4"/>
  <c r="AN139" i="4"/>
  <c r="AO139" i="4"/>
  <c r="AP139" i="4"/>
  <c r="AQ139" i="4"/>
  <c r="AR139" i="4"/>
  <c r="AS139" i="4"/>
  <c r="AT139" i="4"/>
  <c r="AU139" i="4"/>
  <c r="AV139" i="4"/>
  <c r="AW139" i="4"/>
  <c r="AX139" i="4"/>
  <c r="AY139" i="4"/>
  <c r="AZ139" i="4"/>
  <c r="BA139" i="4"/>
  <c r="BB139" i="4"/>
  <c r="BC139" i="4"/>
  <c r="BD139" i="4"/>
  <c r="BE139" i="4"/>
  <c r="BF139" i="4"/>
  <c r="BG139" i="4"/>
  <c r="BH139" i="4"/>
  <c r="BI139" i="4"/>
  <c r="BJ139" i="4"/>
  <c r="BK139" i="4"/>
  <c r="BL139" i="4"/>
  <c r="BM139" i="4"/>
  <c r="BN139" i="4"/>
  <c r="BO139" i="4"/>
  <c r="BP139" i="4"/>
  <c r="BQ139" i="4"/>
  <c r="BR139" i="4"/>
  <c r="BS139" i="4"/>
  <c r="BT139" i="4"/>
  <c r="BU139" i="4"/>
  <c r="BV139" i="4"/>
  <c r="BW139" i="4"/>
  <c r="BX139" i="4"/>
  <c r="BY139" i="4"/>
  <c r="BZ139" i="4"/>
  <c r="CA139" i="4"/>
  <c r="CB139" i="4"/>
  <c r="CC139" i="4"/>
  <c r="CD139" i="4"/>
  <c r="CE139" i="4"/>
  <c r="CF139" i="4"/>
  <c r="CG139" i="4"/>
  <c r="CH139" i="4"/>
  <c r="CI139" i="4"/>
  <c r="CJ139" i="4"/>
  <c r="CK139" i="4"/>
  <c r="CL139" i="4"/>
  <c r="CM139" i="4"/>
  <c r="CN139" i="4"/>
  <c r="CO139" i="4"/>
  <c r="CP139" i="4"/>
  <c r="CQ139" i="4"/>
  <c r="CR139" i="4"/>
  <c r="CS139" i="4"/>
  <c r="CT139" i="4"/>
  <c r="CU139" i="4"/>
  <c r="CV139" i="4"/>
  <c r="CW139" i="4"/>
  <c r="CX139" i="4"/>
  <c r="CY139" i="4"/>
  <c r="CZ139" i="4"/>
  <c r="DA139" i="4"/>
  <c r="DB139" i="4"/>
  <c r="DC139" i="4"/>
  <c r="DD139" i="4"/>
  <c r="DE139" i="4"/>
  <c r="DF139" i="4"/>
  <c r="DG139" i="4"/>
  <c r="DH139" i="4"/>
  <c r="DI139" i="4"/>
  <c r="DJ139" i="4"/>
  <c r="DK139" i="4"/>
  <c r="DL139" i="4"/>
  <c r="DM139" i="4"/>
  <c r="DN139" i="4"/>
  <c r="DO139" i="4"/>
  <c r="DP139" i="4"/>
  <c r="DQ139" i="4"/>
  <c r="DR139" i="4"/>
  <c r="DS139" i="4"/>
  <c r="DT139" i="4"/>
  <c r="DU139" i="4"/>
  <c r="DV139" i="4"/>
  <c r="DW139" i="4"/>
  <c r="DX139" i="4"/>
  <c r="DY139" i="4"/>
  <c r="DZ139" i="4"/>
  <c r="EA139" i="4"/>
  <c r="EB139" i="4"/>
  <c r="EC139" i="4"/>
  <c r="ED139" i="4"/>
  <c r="EE139" i="4"/>
  <c r="EF139" i="4"/>
  <c r="EG139" i="4"/>
  <c r="EH139" i="4"/>
  <c r="EI139" i="4"/>
  <c r="EJ139" i="4"/>
  <c r="EK139" i="4"/>
  <c r="EL139" i="4"/>
  <c r="EM139" i="4"/>
  <c r="EN139" i="4"/>
  <c r="EO139" i="4"/>
  <c r="EP139" i="4"/>
  <c r="EQ139" i="4"/>
  <c r="ER139" i="4"/>
  <c r="ES139" i="4"/>
  <c r="ET139" i="4"/>
  <c r="EU139" i="4"/>
  <c r="EV139" i="4"/>
  <c r="EW139" i="4"/>
  <c r="EX139" i="4"/>
  <c r="EY139" i="4"/>
  <c r="EZ139" i="4"/>
  <c r="FA139" i="4"/>
  <c r="FB139" i="4"/>
  <c r="FC139" i="4"/>
  <c r="FD139" i="4"/>
  <c r="FE139" i="4"/>
  <c r="FF139" i="4"/>
  <c r="FG139" i="4"/>
  <c r="FH139" i="4"/>
  <c r="FI139" i="4"/>
  <c r="FJ139" i="4"/>
  <c r="FK139" i="4"/>
  <c r="FL139" i="4"/>
  <c r="FM139" i="4"/>
  <c r="FN139" i="4"/>
  <c r="FO139" i="4"/>
  <c r="FP139" i="4"/>
  <c r="FQ139" i="4"/>
  <c r="FR139" i="4"/>
  <c r="FS139" i="4"/>
  <c r="FT139" i="4"/>
  <c r="FU139" i="4"/>
  <c r="FV139" i="4"/>
  <c r="FW139" i="4"/>
  <c r="FX139" i="4"/>
  <c r="FY139" i="4"/>
  <c r="FZ139" i="4"/>
  <c r="GA139" i="4"/>
  <c r="GB139" i="4"/>
  <c r="GC139" i="4"/>
  <c r="GD139" i="4"/>
  <c r="GE139" i="4"/>
  <c r="GF139" i="4"/>
  <c r="GG139" i="4"/>
  <c r="GH139" i="4"/>
  <c r="GI139" i="4"/>
  <c r="GJ139" i="4"/>
  <c r="GK139" i="4"/>
  <c r="GL139" i="4"/>
  <c r="GM139" i="4"/>
  <c r="GN139" i="4"/>
  <c r="GO139" i="4"/>
  <c r="GP139" i="4"/>
  <c r="GQ139" i="4"/>
  <c r="GR139" i="4"/>
  <c r="GS139" i="4"/>
  <c r="GT139" i="4"/>
  <c r="GU139" i="4"/>
  <c r="GV139" i="4"/>
  <c r="GW139" i="4"/>
  <c r="GX139" i="4"/>
  <c r="GY139" i="4"/>
  <c r="GZ139" i="4"/>
  <c r="HA139" i="4"/>
  <c r="HB139" i="4"/>
  <c r="HC139" i="4"/>
  <c r="HD139" i="4"/>
  <c r="HE139" i="4"/>
  <c r="HF139" i="4"/>
  <c r="HG139" i="4"/>
  <c r="HH139" i="4"/>
  <c r="HI139" i="4"/>
  <c r="HJ139" i="4"/>
  <c r="HK139" i="4"/>
  <c r="HL139" i="4"/>
  <c r="HM139" i="4"/>
  <c r="HN139" i="4"/>
  <c r="HO139" i="4"/>
  <c r="HP139" i="4"/>
  <c r="HQ139" i="4"/>
  <c r="HR139" i="4"/>
  <c r="HS139" i="4"/>
  <c r="HT139" i="4"/>
  <c r="HU139" i="4"/>
  <c r="HV139" i="4"/>
  <c r="HW139" i="4"/>
  <c r="HX139" i="4"/>
  <c r="HY139" i="4"/>
  <c r="HZ139" i="4"/>
  <c r="IA139" i="4"/>
  <c r="IB139" i="4"/>
  <c r="IC139" i="4"/>
  <c r="ID139" i="4"/>
  <c r="IE139" i="4"/>
  <c r="IF139" i="4"/>
  <c r="IG139" i="4"/>
  <c r="IH139" i="4"/>
  <c r="II139" i="4"/>
  <c r="IJ139" i="4"/>
  <c r="IK139" i="4"/>
  <c r="IL139" i="4"/>
  <c r="IM139" i="4"/>
  <c r="IN139" i="4"/>
  <c r="IO139" i="4"/>
  <c r="IP139" i="4"/>
  <c r="IQ139" i="4"/>
  <c r="IR139" i="4"/>
  <c r="IS139" i="4"/>
  <c r="IT139" i="4"/>
  <c r="IU139" i="4"/>
  <c r="IV139" i="4"/>
  <c r="A138" i="4"/>
  <c r="B138" i="4"/>
  <c r="C138" i="4"/>
  <c r="D138" i="4"/>
  <c r="E138" i="4"/>
  <c r="F138" i="4"/>
  <c r="G138" i="4"/>
  <c r="H138" i="4"/>
  <c r="I138" i="4"/>
  <c r="J138" i="4"/>
  <c r="K138" i="4"/>
  <c r="L138" i="4"/>
  <c r="M138" i="4"/>
  <c r="N138" i="4"/>
  <c r="O138" i="4"/>
  <c r="P138" i="4"/>
  <c r="Q138" i="4"/>
  <c r="R138" i="4"/>
  <c r="S138" i="4"/>
  <c r="T138" i="4"/>
  <c r="U138" i="4"/>
  <c r="V138" i="4"/>
  <c r="W138" i="4"/>
  <c r="X138" i="4"/>
  <c r="Y138" i="4"/>
  <c r="Z138" i="4"/>
  <c r="AA138" i="4"/>
  <c r="AB138" i="4"/>
  <c r="AC138" i="4"/>
  <c r="AD138" i="4"/>
  <c r="AE138" i="4"/>
  <c r="AF138" i="4"/>
  <c r="AG138" i="4"/>
  <c r="AH138" i="4"/>
  <c r="AI138" i="4"/>
  <c r="AJ138" i="4"/>
  <c r="AK138" i="4"/>
  <c r="AL138" i="4"/>
  <c r="AM138" i="4"/>
  <c r="AN138" i="4"/>
  <c r="AO138" i="4"/>
  <c r="AP138" i="4"/>
  <c r="AQ138" i="4"/>
  <c r="AR138" i="4"/>
  <c r="AS138" i="4"/>
  <c r="AT138" i="4"/>
  <c r="AU138" i="4"/>
  <c r="AV138" i="4"/>
  <c r="AW138" i="4"/>
  <c r="AX138" i="4"/>
  <c r="AY138" i="4"/>
  <c r="AZ138" i="4"/>
  <c r="BA138" i="4"/>
  <c r="BB138" i="4"/>
  <c r="BC138" i="4"/>
  <c r="BD138" i="4"/>
  <c r="BE138" i="4"/>
  <c r="BF138" i="4"/>
  <c r="BG138" i="4"/>
  <c r="BH138" i="4"/>
  <c r="BI138" i="4"/>
  <c r="BJ138" i="4"/>
  <c r="BK138" i="4"/>
  <c r="BL138" i="4"/>
  <c r="BM138" i="4"/>
  <c r="BN138" i="4"/>
  <c r="BO138" i="4"/>
  <c r="BP138" i="4"/>
  <c r="BQ138" i="4"/>
  <c r="BR138" i="4"/>
  <c r="BS138" i="4"/>
  <c r="BT138" i="4"/>
  <c r="BU138" i="4"/>
  <c r="BV138" i="4"/>
  <c r="BW138" i="4"/>
  <c r="BX138" i="4"/>
  <c r="BY138" i="4"/>
  <c r="BZ138" i="4"/>
  <c r="CA138" i="4"/>
  <c r="CB138" i="4"/>
  <c r="CC138" i="4"/>
  <c r="CD138" i="4"/>
  <c r="CE138" i="4"/>
  <c r="CF138" i="4"/>
  <c r="CG138" i="4"/>
  <c r="CH138" i="4"/>
  <c r="CI138" i="4"/>
  <c r="CJ138" i="4"/>
  <c r="CK138" i="4"/>
  <c r="CL138" i="4"/>
  <c r="CM138" i="4"/>
  <c r="CN138" i="4"/>
  <c r="CO138" i="4"/>
  <c r="CP138" i="4"/>
  <c r="CQ138" i="4"/>
  <c r="CR138" i="4"/>
  <c r="CS138" i="4"/>
  <c r="CT138" i="4"/>
  <c r="CU138" i="4"/>
  <c r="CV138" i="4"/>
  <c r="CW138" i="4"/>
  <c r="CX138" i="4"/>
  <c r="CY138" i="4"/>
  <c r="CZ138" i="4"/>
  <c r="DA138" i="4"/>
  <c r="DB138" i="4"/>
  <c r="DC138" i="4"/>
  <c r="DD138" i="4"/>
  <c r="DE138" i="4"/>
  <c r="DF138" i="4"/>
  <c r="DG138" i="4"/>
  <c r="DH138" i="4"/>
  <c r="DI138" i="4"/>
  <c r="DJ138" i="4"/>
  <c r="DK138" i="4"/>
  <c r="DL138" i="4"/>
  <c r="DM138" i="4"/>
  <c r="DN138" i="4"/>
  <c r="DO138" i="4"/>
  <c r="DP138" i="4"/>
  <c r="DQ138" i="4"/>
  <c r="DR138" i="4"/>
  <c r="DS138" i="4"/>
  <c r="DT138" i="4"/>
  <c r="DU138" i="4"/>
  <c r="DV138" i="4"/>
  <c r="DW138" i="4"/>
  <c r="DX138" i="4"/>
  <c r="DY138" i="4"/>
  <c r="DZ138" i="4"/>
  <c r="EA138" i="4"/>
  <c r="EB138" i="4"/>
  <c r="EC138" i="4"/>
  <c r="ED138" i="4"/>
  <c r="EE138" i="4"/>
  <c r="EF138" i="4"/>
  <c r="EG138" i="4"/>
  <c r="EH138" i="4"/>
  <c r="EI138" i="4"/>
  <c r="EJ138" i="4"/>
  <c r="EK138" i="4"/>
  <c r="EL138" i="4"/>
  <c r="EM138" i="4"/>
  <c r="EN138" i="4"/>
  <c r="EO138" i="4"/>
  <c r="EP138" i="4"/>
  <c r="EQ138" i="4"/>
  <c r="ER138" i="4"/>
  <c r="ES138" i="4"/>
  <c r="ET138" i="4"/>
  <c r="EU138" i="4"/>
  <c r="EV138" i="4"/>
  <c r="EW138" i="4"/>
  <c r="EX138" i="4"/>
  <c r="EY138" i="4"/>
  <c r="EZ138" i="4"/>
  <c r="FA138" i="4"/>
  <c r="FB138" i="4"/>
  <c r="FC138" i="4"/>
  <c r="FD138" i="4"/>
  <c r="FE138" i="4"/>
  <c r="FF138" i="4"/>
  <c r="FG138" i="4"/>
  <c r="FH138" i="4"/>
  <c r="FI138" i="4"/>
  <c r="FJ138" i="4"/>
  <c r="FK138" i="4"/>
  <c r="FL138" i="4"/>
  <c r="FM138" i="4"/>
  <c r="FN138" i="4"/>
  <c r="FO138" i="4"/>
  <c r="FP138" i="4"/>
  <c r="FQ138" i="4"/>
  <c r="FR138" i="4"/>
  <c r="FS138" i="4"/>
  <c r="FT138" i="4"/>
  <c r="FU138" i="4"/>
  <c r="FV138" i="4"/>
  <c r="FW138" i="4"/>
  <c r="FX138" i="4"/>
  <c r="FY138" i="4"/>
  <c r="FZ138" i="4"/>
  <c r="GA138" i="4"/>
  <c r="GB138" i="4"/>
  <c r="GC138" i="4"/>
  <c r="GD138" i="4"/>
  <c r="GE138" i="4"/>
  <c r="GF138" i="4"/>
  <c r="GG138" i="4"/>
  <c r="GH138" i="4"/>
  <c r="GI138" i="4"/>
  <c r="GJ138" i="4"/>
  <c r="GK138" i="4"/>
  <c r="GL138" i="4"/>
  <c r="GM138" i="4"/>
  <c r="GN138" i="4"/>
  <c r="GO138" i="4"/>
  <c r="GP138" i="4"/>
  <c r="GQ138" i="4"/>
  <c r="GR138" i="4"/>
  <c r="GS138" i="4"/>
  <c r="GT138" i="4"/>
  <c r="GU138" i="4"/>
  <c r="GV138" i="4"/>
  <c r="GW138" i="4"/>
  <c r="GX138" i="4"/>
  <c r="GY138" i="4"/>
  <c r="GZ138" i="4"/>
  <c r="HA138" i="4"/>
  <c r="HB138" i="4"/>
  <c r="HC138" i="4"/>
  <c r="HD138" i="4"/>
  <c r="HE138" i="4"/>
  <c r="HF138" i="4"/>
  <c r="HG138" i="4"/>
  <c r="HH138" i="4"/>
  <c r="HI138" i="4"/>
  <c r="HJ138" i="4"/>
  <c r="HK138" i="4"/>
  <c r="HL138" i="4"/>
  <c r="HM138" i="4"/>
  <c r="HN138" i="4"/>
  <c r="HO138" i="4"/>
  <c r="HP138" i="4"/>
  <c r="HQ138" i="4"/>
  <c r="HR138" i="4"/>
  <c r="HS138" i="4"/>
  <c r="HT138" i="4"/>
  <c r="HU138" i="4"/>
  <c r="HV138" i="4"/>
  <c r="HW138" i="4"/>
  <c r="HX138" i="4"/>
  <c r="HY138" i="4"/>
  <c r="HZ138" i="4"/>
  <c r="IA138" i="4"/>
  <c r="IB138" i="4"/>
  <c r="IC138" i="4"/>
  <c r="ID138" i="4"/>
  <c r="IE138" i="4"/>
  <c r="IF138" i="4"/>
  <c r="IG138" i="4"/>
  <c r="IH138" i="4"/>
  <c r="II138" i="4"/>
  <c r="IJ138" i="4"/>
  <c r="IK138" i="4"/>
  <c r="IL138" i="4"/>
  <c r="IM138" i="4"/>
  <c r="IN138" i="4"/>
  <c r="IO138" i="4"/>
  <c r="IP138" i="4"/>
  <c r="IQ138" i="4"/>
  <c r="IR138" i="4"/>
  <c r="IS138" i="4"/>
  <c r="IT138" i="4"/>
  <c r="IU138" i="4"/>
  <c r="IV138" i="4"/>
  <c r="A137" i="4"/>
  <c r="B137" i="4"/>
  <c r="C137" i="4"/>
  <c r="D137" i="4"/>
  <c r="E137" i="4"/>
  <c r="F137" i="4"/>
  <c r="G137" i="4"/>
  <c r="H137" i="4"/>
  <c r="I137" i="4"/>
  <c r="J137" i="4"/>
  <c r="K137" i="4"/>
  <c r="L137" i="4"/>
  <c r="M137" i="4"/>
  <c r="N137" i="4"/>
  <c r="O137" i="4"/>
  <c r="P137" i="4"/>
  <c r="Q137" i="4"/>
  <c r="R137" i="4"/>
  <c r="S137" i="4"/>
  <c r="T137" i="4"/>
  <c r="U137" i="4"/>
  <c r="V137" i="4"/>
  <c r="W137" i="4"/>
  <c r="X137" i="4"/>
  <c r="Y137" i="4"/>
  <c r="Z137" i="4"/>
  <c r="AA137" i="4"/>
  <c r="AB137" i="4"/>
  <c r="AC137" i="4"/>
  <c r="AD137" i="4"/>
  <c r="AE137" i="4"/>
  <c r="AF137" i="4"/>
  <c r="AG137" i="4"/>
  <c r="AH137" i="4"/>
  <c r="AI137" i="4"/>
  <c r="AJ137" i="4"/>
  <c r="AK137" i="4"/>
  <c r="AL137" i="4"/>
  <c r="AM137" i="4"/>
  <c r="AN137" i="4"/>
  <c r="AO137" i="4"/>
  <c r="AP137" i="4"/>
  <c r="AQ137" i="4"/>
  <c r="AR137" i="4"/>
  <c r="AS137" i="4"/>
  <c r="AT137" i="4"/>
  <c r="AU137" i="4"/>
  <c r="AV137" i="4"/>
  <c r="AW137" i="4"/>
  <c r="AX137" i="4"/>
  <c r="AY137" i="4"/>
  <c r="AZ137" i="4"/>
  <c r="BA137" i="4"/>
  <c r="BB137" i="4"/>
  <c r="BC137" i="4"/>
  <c r="BD137" i="4"/>
  <c r="BE137" i="4"/>
  <c r="BF137" i="4"/>
  <c r="BG137" i="4"/>
  <c r="BH137" i="4"/>
  <c r="BI137" i="4"/>
  <c r="BJ137" i="4"/>
  <c r="BK137" i="4"/>
  <c r="BL137" i="4"/>
  <c r="BM137" i="4"/>
  <c r="BN137" i="4"/>
  <c r="BO137" i="4"/>
  <c r="BP137" i="4"/>
  <c r="BQ137" i="4"/>
  <c r="BR137" i="4"/>
  <c r="BS137" i="4"/>
  <c r="BT137" i="4"/>
  <c r="BU137" i="4"/>
  <c r="BV137" i="4"/>
  <c r="BW137" i="4"/>
  <c r="BX137" i="4"/>
  <c r="BY137" i="4"/>
  <c r="BZ137" i="4"/>
  <c r="CA137" i="4"/>
  <c r="CB137" i="4"/>
  <c r="CC137" i="4"/>
  <c r="CD137" i="4"/>
  <c r="CE137" i="4"/>
  <c r="CF137" i="4"/>
  <c r="CG137" i="4"/>
  <c r="CH137" i="4"/>
  <c r="CI137" i="4"/>
  <c r="CJ137" i="4"/>
  <c r="CK137" i="4"/>
  <c r="CL137" i="4"/>
  <c r="CM137" i="4"/>
  <c r="CN137" i="4"/>
  <c r="CO137" i="4"/>
  <c r="CP137" i="4"/>
  <c r="CQ137" i="4"/>
  <c r="CR137" i="4"/>
  <c r="CS137" i="4"/>
  <c r="CT137" i="4"/>
  <c r="CU137" i="4"/>
  <c r="CV137" i="4"/>
  <c r="CW137" i="4"/>
  <c r="CX137" i="4"/>
  <c r="CY137" i="4"/>
  <c r="CZ137" i="4"/>
  <c r="DA137" i="4"/>
  <c r="DB137" i="4"/>
  <c r="DC137" i="4"/>
  <c r="DD137" i="4"/>
  <c r="DE137" i="4"/>
  <c r="DF137" i="4"/>
  <c r="DG137" i="4"/>
  <c r="DH137" i="4"/>
  <c r="DI137" i="4"/>
  <c r="DJ137" i="4"/>
  <c r="DK137" i="4"/>
  <c r="DL137" i="4"/>
  <c r="DM137" i="4"/>
  <c r="DN137" i="4"/>
  <c r="DO137" i="4"/>
  <c r="DP137" i="4"/>
  <c r="DQ137" i="4"/>
  <c r="DR137" i="4"/>
  <c r="DS137" i="4"/>
  <c r="DT137" i="4"/>
  <c r="DU137" i="4"/>
  <c r="DV137" i="4"/>
  <c r="DW137" i="4"/>
  <c r="DX137" i="4"/>
  <c r="DY137" i="4"/>
  <c r="DZ137" i="4"/>
  <c r="EA137" i="4"/>
  <c r="EB137" i="4"/>
  <c r="EC137" i="4"/>
  <c r="ED137" i="4"/>
  <c r="EE137" i="4"/>
  <c r="EF137" i="4"/>
  <c r="EG137" i="4"/>
  <c r="EH137" i="4"/>
  <c r="EI137" i="4"/>
  <c r="EJ137" i="4"/>
  <c r="EK137" i="4"/>
  <c r="EL137" i="4"/>
  <c r="EM137" i="4"/>
  <c r="EN137" i="4"/>
  <c r="EO137" i="4"/>
  <c r="EP137" i="4"/>
  <c r="EQ137" i="4"/>
  <c r="ER137" i="4"/>
  <c r="ES137" i="4"/>
  <c r="ET137" i="4"/>
  <c r="EU137" i="4"/>
  <c r="EV137" i="4"/>
  <c r="EW137" i="4"/>
  <c r="EX137" i="4"/>
  <c r="EY137" i="4"/>
  <c r="EZ137" i="4"/>
  <c r="FA137" i="4"/>
  <c r="FB137" i="4"/>
  <c r="FC137" i="4"/>
  <c r="FD137" i="4"/>
  <c r="FE137" i="4"/>
  <c r="FF137" i="4"/>
  <c r="FG137" i="4"/>
  <c r="FH137" i="4"/>
  <c r="FI137" i="4"/>
  <c r="FJ137" i="4"/>
  <c r="FK137" i="4"/>
  <c r="FL137" i="4"/>
  <c r="FM137" i="4"/>
  <c r="FN137" i="4"/>
  <c r="FO137" i="4"/>
  <c r="FP137" i="4"/>
  <c r="FQ137" i="4"/>
  <c r="FR137" i="4"/>
  <c r="FS137" i="4"/>
  <c r="FT137" i="4"/>
  <c r="FU137" i="4"/>
  <c r="FV137" i="4"/>
  <c r="FW137" i="4"/>
  <c r="FX137" i="4"/>
  <c r="FY137" i="4"/>
  <c r="FZ137" i="4"/>
  <c r="GA137" i="4"/>
  <c r="GB137" i="4"/>
  <c r="GC137" i="4"/>
  <c r="GD137" i="4"/>
  <c r="GE137" i="4"/>
  <c r="GF137" i="4"/>
  <c r="GG137" i="4"/>
  <c r="GH137" i="4"/>
  <c r="GI137" i="4"/>
  <c r="GJ137" i="4"/>
  <c r="GK137" i="4"/>
  <c r="GL137" i="4"/>
  <c r="GM137" i="4"/>
  <c r="GN137" i="4"/>
  <c r="GO137" i="4"/>
  <c r="GP137" i="4"/>
  <c r="GQ137" i="4"/>
  <c r="GR137" i="4"/>
  <c r="GS137" i="4"/>
  <c r="GT137" i="4"/>
  <c r="GU137" i="4"/>
  <c r="GV137" i="4"/>
  <c r="GW137" i="4"/>
  <c r="GX137" i="4"/>
  <c r="GY137" i="4"/>
  <c r="GZ137" i="4"/>
  <c r="HA137" i="4"/>
  <c r="HB137" i="4"/>
  <c r="HC137" i="4"/>
  <c r="HD137" i="4"/>
  <c r="HE137" i="4"/>
  <c r="HF137" i="4"/>
  <c r="HG137" i="4"/>
  <c r="HH137" i="4"/>
  <c r="HI137" i="4"/>
  <c r="HJ137" i="4"/>
  <c r="HK137" i="4"/>
  <c r="HL137" i="4"/>
  <c r="HM137" i="4"/>
  <c r="HN137" i="4"/>
  <c r="HO137" i="4"/>
  <c r="HP137" i="4"/>
  <c r="HQ137" i="4"/>
  <c r="HR137" i="4"/>
  <c r="HS137" i="4"/>
  <c r="HT137" i="4"/>
  <c r="HU137" i="4"/>
  <c r="HV137" i="4"/>
  <c r="HW137" i="4"/>
  <c r="HX137" i="4"/>
  <c r="HY137" i="4"/>
  <c r="HZ137" i="4"/>
  <c r="IA137" i="4"/>
  <c r="IB137" i="4"/>
  <c r="IC137" i="4"/>
  <c r="ID137" i="4"/>
  <c r="IE137" i="4"/>
  <c r="IF137" i="4"/>
  <c r="IG137" i="4"/>
  <c r="IH137" i="4"/>
  <c r="II137" i="4"/>
  <c r="IJ137" i="4"/>
  <c r="IK137" i="4"/>
  <c r="IL137" i="4"/>
  <c r="IM137" i="4"/>
  <c r="IN137" i="4"/>
  <c r="IO137" i="4"/>
  <c r="IP137" i="4"/>
  <c r="IQ137" i="4"/>
  <c r="IR137" i="4"/>
  <c r="IS137" i="4"/>
  <c r="IT137" i="4"/>
  <c r="IU137" i="4"/>
  <c r="IV137" i="4"/>
  <c r="A136" i="4"/>
  <c r="B136" i="4"/>
  <c r="C136" i="4"/>
  <c r="D136" i="4"/>
  <c r="E136" i="4"/>
  <c r="F136" i="4"/>
  <c r="H136" i="4"/>
  <c r="I136" i="4"/>
  <c r="J136" i="4"/>
  <c r="K136" i="4"/>
  <c r="L136" i="4"/>
  <c r="M136" i="4"/>
  <c r="N136" i="4"/>
  <c r="O136" i="4"/>
  <c r="P136" i="4"/>
  <c r="Q136" i="4"/>
  <c r="R136" i="4"/>
  <c r="S136" i="4"/>
  <c r="T136" i="4"/>
  <c r="U136" i="4"/>
  <c r="V136" i="4"/>
  <c r="W136" i="4"/>
  <c r="X136" i="4"/>
  <c r="Y136" i="4"/>
  <c r="Z136" i="4"/>
  <c r="AA136" i="4"/>
  <c r="AB136" i="4"/>
  <c r="AC136" i="4"/>
  <c r="AD136" i="4"/>
  <c r="AE136" i="4"/>
  <c r="AF136" i="4"/>
  <c r="AG136" i="4"/>
  <c r="AH136" i="4"/>
  <c r="AI136" i="4"/>
  <c r="AJ136" i="4"/>
  <c r="AK136" i="4"/>
  <c r="AL136" i="4"/>
  <c r="AM136" i="4"/>
  <c r="AN136" i="4"/>
  <c r="AO136" i="4"/>
  <c r="AP136" i="4"/>
  <c r="AQ136" i="4"/>
  <c r="AR136" i="4"/>
  <c r="AS136" i="4"/>
  <c r="AT136" i="4"/>
  <c r="AU136" i="4"/>
  <c r="AV136" i="4"/>
  <c r="AW136" i="4"/>
  <c r="AX136" i="4"/>
  <c r="AY136" i="4"/>
  <c r="AZ136" i="4"/>
  <c r="BA136" i="4"/>
  <c r="BB136" i="4"/>
  <c r="BC136" i="4"/>
  <c r="BD136" i="4"/>
  <c r="BE136" i="4"/>
  <c r="BF136" i="4"/>
  <c r="BG136" i="4"/>
  <c r="BH136" i="4"/>
  <c r="BI136" i="4"/>
  <c r="BJ136" i="4"/>
  <c r="BK136" i="4"/>
  <c r="BL136" i="4"/>
  <c r="BM136" i="4"/>
  <c r="BN136" i="4"/>
  <c r="BO136" i="4"/>
  <c r="BP136" i="4"/>
  <c r="BQ136" i="4"/>
  <c r="BR136" i="4"/>
  <c r="BS136" i="4"/>
  <c r="BT136" i="4"/>
  <c r="BU136" i="4"/>
  <c r="BV136" i="4"/>
  <c r="BW136" i="4"/>
  <c r="BX136" i="4"/>
  <c r="BY136" i="4"/>
  <c r="BZ136" i="4"/>
  <c r="CA136" i="4"/>
  <c r="CB136" i="4"/>
  <c r="CC136" i="4"/>
  <c r="CD136" i="4"/>
  <c r="CE136" i="4"/>
  <c r="CF136" i="4"/>
  <c r="CG136" i="4"/>
  <c r="CH136" i="4"/>
  <c r="CI136" i="4"/>
  <c r="CJ136" i="4"/>
  <c r="CK136" i="4"/>
  <c r="CL136" i="4"/>
  <c r="CM136" i="4"/>
  <c r="CN136" i="4"/>
  <c r="CO136" i="4"/>
  <c r="CP136" i="4"/>
  <c r="CQ136" i="4"/>
  <c r="CR136" i="4"/>
  <c r="CS136" i="4"/>
  <c r="CT136" i="4"/>
  <c r="CU136" i="4"/>
  <c r="CV136" i="4"/>
  <c r="CW136" i="4"/>
  <c r="CX136" i="4"/>
  <c r="CY136" i="4"/>
  <c r="CZ136" i="4"/>
  <c r="DA136" i="4"/>
  <c r="DB136" i="4"/>
  <c r="DC136" i="4"/>
  <c r="DD136" i="4"/>
  <c r="DE136" i="4"/>
  <c r="DF136" i="4"/>
  <c r="DG136" i="4"/>
  <c r="DH136" i="4"/>
  <c r="DI136" i="4"/>
  <c r="DJ136" i="4"/>
  <c r="DK136" i="4"/>
  <c r="DL136" i="4"/>
  <c r="DM136" i="4"/>
  <c r="DN136" i="4"/>
  <c r="DO136" i="4"/>
  <c r="DP136" i="4"/>
  <c r="DQ136" i="4"/>
  <c r="DR136" i="4"/>
  <c r="DS136" i="4"/>
  <c r="DT136" i="4"/>
  <c r="DU136" i="4"/>
  <c r="DV136" i="4"/>
  <c r="DW136" i="4"/>
  <c r="DX136" i="4"/>
  <c r="DY136" i="4"/>
  <c r="DZ136" i="4"/>
  <c r="EA136" i="4"/>
  <c r="EB136" i="4"/>
  <c r="EC136" i="4"/>
  <c r="ED136" i="4"/>
  <c r="EE136" i="4"/>
  <c r="EF136" i="4"/>
  <c r="EG136" i="4"/>
  <c r="EH136" i="4"/>
  <c r="EI136" i="4"/>
  <c r="EJ136" i="4"/>
  <c r="EK136" i="4"/>
  <c r="EL136" i="4"/>
  <c r="EM136" i="4"/>
  <c r="EN136" i="4"/>
  <c r="EO136" i="4"/>
  <c r="EP136" i="4"/>
  <c r="EQ136" i="4"/>
  <c r="ER136" i="4"/>
  <c r="ES136" i="4"/>
  <c r="ET136" i="4"/>
  <c r="EU136" i="4"/>
  <c r="EV136" i="4"/>
  <c r="EW136" i="4"/>
  <c r="EX136" i="4"/>
  <c r="EY136" i="4"/>
  <c r="EZ136" i="4"/>
  <c r="FA136" i="4"/>
  <c r="FB136" i="4"/>
  <c r="FC136" i="4"/>
  <c r="FD136" i="4"/>
  <c r="FE136" i="4"/>
  <c r="FF136" i="4"/>
  <c r="FG136" i="4"/>
  <c r="FH136" i="4"/>
  <c r="FI136" i="4"/>
  <c r="FJ136" i="4"/>
  <c r="FK136" i="4"/>
  <c r="FL136" i="4"/>
  <c r="FM136" i="4"/>
  <c r="FN136" i="4"/>
  <c r="FO136" i="4"/>
  <c r="FP136" i="4"/>
  <c r="FQ136" i="4"/>
  <c r="FR136" i="4"/>
  <c r="FS136" i="4"/>
  <c r="FT136" i="4"/>
  <c r="FU136" i="4"/>
  <c r="FV136" i="4"/>
  <c r="FW136" i="4"/>
  <c r="FX136" i="4"/>
  <c r="FY136" i="4"/>
  <c r="FZ136" i="4"/>
  <c r="GA136" i="4"/>
  <c r="GB136" i="4"/>
  <c r="GC136" i="4"/>
  <c r="GD136" i="4"/>
  <c r="GE136" i="4"/>
  <c r="GF136" i="4"/>
  <c r="GG136" i="4"/>
  <c r="GH136" i="4"/>
  <c r="GI136" i="4"/>
  <c r="GJ136" i="4"/>
  <c r="GK136" i="4"/>
  <c r="GL136" i="4"/>
  <c r="GM136" i="4"/>
  <c r="GN136" i="4"/>
  <c r="GO136" i="4"/>
  <c r="GP136" i="4"/>
  <c r="GQ136" i="4"/>
  <c r="GR136" i="4"/>
  <c r="GS136" i="4"/>
  <c r="GT136" i="4"/>
  <c r="GU136" i="4"/>
  <c r="GV136" i="4"/>
  <c r="GW136" i="4"/>
  <c r="GX136" i="4"/>
  <c r="GY136" i="4"/>
  <c r="GZ136" i="4"/>
  <c r="HA136" i="4"/>
  <c r="HB136" i="4"/>
  <c r="HC136" i="4"/>
  <c r="HD136" i="4"/>
  <c r="HE136" i="4"/>
  <c r="HF136" i="4"/>
  <c r="HG136" i="4"/>
  <c r="HH136" i="4"/>
  <c r="HI136" i="4"/>
  <c r="HJ136" i="4"/>
  <c r="HK136" i="4"/>
  <c r="HL136" i="4"/>
  <c r="HM136" i="4"/>
  <c r="HN136" i="4"/>
  <c r="HO136" i="4"/>
  <c r="HP136" i="4"/>
  <c r="HQ136" i="4"/>
  <c r="HR136" i="4"/>
  <c r="HS136" i="4"/>
  <c r="HT136" i="4"/>
  <c r="HU136" i="4"/>
  <c r="HV136" i="4"/>
  <c r="HW136" i="4"/>
  <c r="HX136" i="4"/>
  <c r="HY136" i="4"/>
  <c r="HZ136" i="4"/>
  <c r="IA136" i="4"/>
  <c r="IB136" i="4"/>
  <c r="IC136" i="4"/>
  <c r="ID136" i="4"/>
  <c r="IE136" i="4"/>
  <c r="IF136" i="4"/>
  <c r="IG136" i="4"/>
  <c r="IH136" i="4"/>
  <c r="II136" i="4"/>
  <c r="IJ136" i="4"/>
  <c r="IK136" i="4"/>
  <c r="IL136" i="4"/>
  <c r="IM136" i="4"/>
  <c r="IN136" i="4"/>
  <c r="IO136" i="4"/>
  <c r="IP136" i="4"/>
  <c r="IQ136" i="4"/>
  <c r="IR136" i="4"/>
  <c r="IS136" i="4"/>
  <c r="IT136" i="4"/>
  <c r="IU136" i="4"/>
  <c r="IV136" i="4"/>
  <c r="A135" i="4"/>
  <c r="B135" i="4"/>
  <c r="C135" i="4"/>
  <c r="D135" i="4"/>
  <c r="E135" i="4"/>
  <c r="F135" i="4"/>
  <c r="G135" i="4"/>
  <c r="I135" i="4"/>
  <c r="J135" i="4"/>
  <c r="K135" i="4"/>
  <c r="L135" i="4"/>
  <c r="M135" i="4"/>
  <c r="N135" i="4"/>
  <c r="O135" i="4"/>
  <c r="P135" i="4"/>
  <c r="Q135" i="4"/>
  <c r="R135" i="4"/>
  <c r="S135" i="4"/>
  <c r="T135" i="4"/>
  <c r="U135" i="4"/>
  <c r="V135" i="4"/>
  <c r="W135" i="4"/>
  <c r="X135" i="4"/>
  <c r="Y135" i="4"/>
  <c r="Z135" i="4"/>
  <c r="AA135" i="4"/>
  <c r="AB135" i="4"/>
  <c r="AC135" i="4"/>
  <c r="AD135" i="4"/>
  <c r="AE135" i="4"/>
  <c r="AF135" i="4"/>
  <c r="AG135" i="4"/>
  <c r="AH135" i="4"/>
  <c r="AI135" i="4"/>
  <c r="AJ135" i="4"/>
  <c r="AK135" i="4"/>
  <c r="AL135" i="4"/>
  <c r="AM135" i="4"/>
  <c r="AN135" i="4"/>
  <c r="AO135" i="4"/>
  <c r="AP135" i="4"/>
  <c r="AQ135" i="4"/>
  <c r="AR135" i="4"/>
  <c r="AS135" i="4"/>
  <c r="AT135" i="4"/>
  <c r="AU135" i="4"/>
  <c r="AV135" i="4"/>
  <c r="AW135" i="4"/>
  <c r="AX135" i="4"/>
  <c r="AY135" i="4"/>
  <c r="AZ135" i="4"/>
  <c r="BA135" i="4"/>
  <c r="BB135" i="4"/>
  <c r="BC135" i="4"/>
  <c r="BD135" i="4"/>
  <c r="BE135" i="4"/>
  <c r="BF135" i="4"/>
  <c r="BG135" i="4"/>
  <c r="BH135" i="4"/>
  <c r="BI135" i="4"/>
  <c r="BJ135" i="4"/>
  <c r="BK135" i="4"/>
  <c r="BL135" i="4"/>
  <c r="BM135" i="4"/>
  <c r="BN135" i="4"/>
  <c r="BO135" i="4"/>
  <c r="BP135" i="4"/>
  <c r="BQ135" i="4"/>
  <c r="BR135" i="4"/>
  <c r="BS135" i="4"/>
  <c r="BT135" i="4"/>
  <c r="BU135" i="4"/>
  <c r="BV135" i="4"/>
  <c r="BW135" i="4"/>
  <c r="BX135" i="4"/>
  <c r="BY135" i="4"/>
  <c r="BZ135" i="4"/>
  <c r="CA135" i="4"/>
  <c r="CB135" i="4"/>
  <c r="CC135" i="4"/>
  <c r="CD135" i="4"/>
  <c r="CE135" i="4"/>
  <c r="CF135" i="4"/>
  <c r="CG135" i="4"/>
  <c r="CH135" i="4"/>
  <c r="CI135" i="4"/>
  <c r="CJ135" i="4"/>
  <c r="CK135" i="4"/>
  <c r="CL135" i="4"/>
  <c r="CM135" i="4"/>
  <c r="CN135" i="4"/>
  <c r="CO135" i="4"/>
  <c r="CP135" i="4"/>
  <c r="CQ135" i="4"/>
  <c r="CR135" i="4"/>
  <c r="CS135" i="4"/>
  <c r="CT135" i="4"/>
  <c r="CU135" i="4"/>
  <c r="CV135" i="4"/>
  <c r="CW135" i="4"/>
  <c r="CX135" i="4"/>
  <c r="CY135" i="4"/>
  <c r="CZ135" i="4"/>
  <c r="DA135" i="4"/>
  <c r="DB135" i="4"/>
  <c r="DC135" i="4"/>
  <c r="DD135" i="4"/>
  <c r="DE135" i="4"/>
  <c r="DF135" i="4"/>
  <c r="DG135" i="4"/>
  <c r="DH135" i="4"/>
  <c r="DI135" i="4"/>
  <c r="DJ135" i="4"/>
  <c r="DK135" i="4"/>
  <c r="DL135" i="4"/>
  <c r="DM135" i="4"/>
  <c r="DN135" i="4"/>
  <c r="DO135" i="4"/>
  <c r="DP135" i="4"/>
  <c r="DQ135" i="4"/>
  <c r="DR135" i="4"/>
  <c r="DS135" i="4"/>
  <c r="DT135" i="4"/>
  <c r="DU135" i="4"/>
  <c r="DV135" i="4"/>
  <c r="DW135" i="4"/>
  <c r="DX135" i="4"/>
  <c r="DY135" i="4"/>
  <c r="DZ135" i="4"/>
  <c r="EA135" i="4"/>
  <c r="EB135" i="4"/>
  <c r="EC135" i="4"/>
  <c r="ED135" i="4"/>
  <c r="EE135" i="4"/>
  <c r="EF135" i="4"/>
  <c r="EG135" i="4"/>
  <c r="EH135" i="4"/>
  <c r="EI135" i="4"/>
  <c r="EJ135" i="4"/>
  <c r="EK135" i="4"/>
  <c r="EL135" i="4"/>
  <c r="EM135" i="4"/>
  <c r="EN135" i="4"/>
  <c r="EO135" i="4"/>
  <c r="EP135" i="4"/>
  <c r="EQ135" i="4"/>
  <c r="ER135" i="4"/>
  <c r="ES135" i="4"/>
  <c r="ET135" i="4"/>
  <c r="EU135" i="4"/>
  <c r="EV135" i="4"/>
  <c r="EW135" i="4"/>
  <c r="EX135" i="4"/>
  <c r="EY135" i="4"/>
  <c r="EZ135" i="4"/>
  <c r="FA135" i="4"/>
  <c r="FB135" i="4"/>
  <c r="FC135" i="4"/>
  <c r="FD135" i="4"/>
  <c r="FE135" i="4"/>
  <c r="FF135" i="4"/>
  <c r="FG135" i="4"/>
  <c r="FH135" i="4"/>
  <c r="FI135" i="4"/>
  <c r="FJ135" i="4"/>
  <c r="FK135" i="4"/>
  <c r="FL135" i="4"/>
  <c r="FM135" i="4"/>
  <c r="FN135" i="4"/>
  <c r="FO135" i="4"/>
  <c r="FP135" i="4"/>
  <c r="FQ135" i="4"/>
  <c r="FR135" i="4"/>
  <c r="FS135" i="4"/>
  <c r="FT135" i="4"/>
  <c r="FU135" i="4"/>
  <c r="FV135" i="4"/>
  <c r="FW135" i="4"/>
  <c r="FX135" i="4"/>
  <c r="FY135" i="4"/>
  <c r="FZ135" i="4"/>
  <c r="GA135" i="4"/>
  <c r="GB135" i="4"/>
  <c r="GC135" i="4"/>
  <c r="GD135" i="4"/>
  <c r="GE135" i="4"/>
  <c r="GF135" i="4"/>
  <c r="GG135" i="4"/>
  <c r="GH135" i="4"/>
  <c r="GI135" i="4"/>
  <c r="GJ135" i="4"/>
  <c r="GK135" i="4"/>
  <c r="GL135" i="4"/>
  <c r="GM135" i="4"/>
  <c r="GN135" i="4"/>
  <c r="GO135" i="4"/>
  <c r="GP135" i="4"/>
  <c r="GQ135" i="4"/>
  <c r="GR135" i="4"/>
  <c r="GS135" i="4"/>
  <c r="GT135" i="4"/>
  <c r="GU135" i="4"/>
  <c r="GV135" i="4"/>
  <c r="GW135" i="4"/>
  <c r="GX135" i="4"/>
  <c r="GY135" i="4"/>
  <c r="GZ135" i="4"/>
  <c r="HA135" i="4"/>
  <c r="HB135" i="4"/>
  <c r="HC135" i="4"/>
  <c r="HD135" i="4"/>
  <c r="HE135" i="4"/>
  <c r="HF135" i="4"/>
  <c r="HG135" i="4"/>
  <c r="HH135" i="4"/>
  <c r="HI135" i="4"/>
  <c r="HJ135" i="4"/>
  <c r="HK135" i="4"/>
  <c r="HL135" i="4"/>
  <c r="HM135" i="4"/>
  <c r="HN135" i="4"/>
  <c r="HO135" i="4"/>
  <c r="HP135" i="4"/>
  <c r="HQ135" i="4"/>
  <c r="HR135" i="4"/>
  <c r="HS135" i="4"/>
  <c r="HT135" i="4"/>
  <c r="HU135" i="4"/>
  <c r="HV135" i="4"/>
  <c r="HW135" i="4"/>
  <c r="HX135" i="4"/>
  <c r="HY135" i="4"/>
  <c r="HZ135" i="4"/>
  <c r="IA135" i="4"/>
  <c r="IB135" i="4"/>
  <c r="IC135" i="4"/>
  <c r="ID135" i="4"/>
  <c r="IE135" i="4"/>
  <c r="IF135" i="4"/>
  <c r="IG135" i="4"/>
  <c r="IH135" i="4"/>
  <c r="II135" i="4"/>
  <c r="IJ135" i="4"/>
  <c r="IK135" i="4"/>
  <c r="IL135" i="4"/>
  <c r="IM135" i="4"/>
  <c r="IN135" i="4"/>
  <c r="IO135" i="4"/>
  <c r="IP135" i="4"/>
  <c r="IQ135" i="4"/>
  <c r="IR135" i="4"/>
  <c r="IS135" i="4"/>
  <c r="IT135" i="4"/>
  <c r="IU135" i="4"/>
  <c r="IV135" i="4"/>
  <c r="A134" i="4"/>
  <c r="B134" i="4"/>
  <c r="C134" i="4"/>
  <c r="D134" i="4"/>
  <c r="E134" i="4"/>
  <c r="F134" i="4"/>
  <c r="G134" i="4"/>
  <c r="H134" i="4"/>
  <c r="I134" i="4"/>
  <c r="J134" i="4"/>
  <c r="K134" i="4"/>
  <c r="L134" i="4"/>
  <c r="M134" i="4"/>
  <c r="N134" i="4"/>
  <c r="O134" i="4"/>
  <c r="P134" i="4"/>
  <c r="Q134" i="4"/>
  <c r="R134" i="4"/>
  <c r="S134" i="4"/>
  <c r="T134" i="4"/>
  <c r="U134" i="4"/>
  <c r="V134" i="4"/>
  <c r="W134" i="4"/>
  <c r="X134" i="4"/>
  <c r="Y134" i="4"/>
  <c r="Z134" i="4"/>
  <c r="AA134" i="4"/>
  <c r="AB134" i="4"/>
  <c r="AC134" i="4"/>
  <c r="AD134" i="4"/>
  <c r="AE134" i="4"/>
  <c r="AF134" i="4"/>
  <c r="AG134" i="4"/>
  <c r="AH134" i="4"/>
  <c r="AI134" i="4"/>
  <c r="AJ134" i="4"/>
  <c r="AK134" i="4"/>
  <c r="AL134" i="4"/>
  <c r="AM134" i="4"/>
  <c r="AN134" i="4"/>
  <c r="AO134" i="4"/>
  <c r="AP134" i="4"/>
  <c r="AQ134" i="4"/>
  <c r="AR134" i="4"/>
  <c r="AS134" i="4"/>
  <c r="AT134" i="4"/>
  <c r="AU134" i="4"/>
  <c r="AV134" i="4"/>
  <c r="AW134" i="4"/>
  <c r="AX134" i="4"/>
  <c r="AY134" i="4"/>
  <c r="AZ134" i="4"/>
  <c r="BA134" i="4"/>
  <c r="BB134" i="4"/>
  <c r="BC134" i="4"/>
  <c r="BD134" i="4"/>
  <c r="BE134" i="4"/>
  <c r="BF134" i="4"/>
  <c r="BG134" i="4"/>
  <c r="BH134" i="4"/>
  <c r="BI134" i="4"/>
  <c r="BJ134" i="4"/>
  <c r="BK134" i="4"/>
  <c r="BL134" i="4"/>
  <c r="BM134" i="4"/>
  <c r="BN134" i="4"/>
  <c r="BO134" i="4"/>
  <c r="BP134" i="4"/>
  <c r="BQ134" i="4"/>
  <c r="BR134" i="4"/>
  <c r="BS134" i="4"/>
  <c r="BT134" i="4"/>
  <c r="BU134" i="4"/>
  <c r="BV134" i="4"/>
  <c r="BW134" i="4"/>
  <c r="BX134" i="4"/>
  <c r="BY134" i="4"/>
  <c r="BZ134" i="4"/>
  <c r="CA134" i="4"/>
  <c r="CB134" i="4"/>
  <c r="CC134" i="4"/>
  <c r="CD134" i="4"/>
  <c r="CE134" i="4"/>
  <c r="CF134" i="4"/>
  <c r="CG134" i="4"/>
  <c r="CH134" i="4"/>
  <c r="CI134" i="4"/>
  <c r="CJ134" i="4"/>
  <c r="CK134" i="4"/>
  <c r="CL134" i="4"/>
  <c r="CM134" i="4"/>
  <c r="CN134" i="4"/>
  <c r="CO134" i="4"/>
  <c r="CP134" i="4"/>
  <c r="CQ134" i="4"/>
  <c r="CR134" i="4"/>
  <c r="CS134" i="4"/>
  <c r="CT134" i="4"/>
  <c r="CU134" i="4"/>
  <c r="CV134" i="4"/>
  <c r="CW134" i="4"/>
  <c r="CX134" i="4"/>
  <c r="CY134" i="4"/>
  <c r="CZ134" i="4"/>
  <c r="DA134" i="4"/>
  <c r="DB134" i="4"/>
  <c r="DC134" i="4"/>
  <c r="DD134" i="4"/>
  <c r="DE134" i="4"/>
  <c r="DF134" i="4"/>
  <c r="DG134" i="4"/>
  <c r="DH134" i="4"/>
  <c r="DI134" i="4"/>
  <c r="DJ134" i="4"/>
  <c r="DK134" i="4"/>
  <c r="DL134" i="4"/>
  <c r="DM134" i="4"/>
  <c r="DN134" i="4"/>
  <c r="DO134" i="4"/>
  <c r="DP134" i="4"/>
  <c r="DQ134" i="4"/>
  <c r="DR134" i="4"/>
  <c r="DS134" i="4"/>
  <c r="DT134" i="4"/>
  <c r="DU134" i="4"/>
  <c r="DV134" i="4"/>
  <c r="DW134" i="4"/>
  <c r="DX134" i="4"/>
  <c r="DY134" i="4"/>
  <c r="DZ134" i="4"/>
  <c r="EA134" i="4"/>
  <c r="EB134" i="4"/>
  <c r="EC134" i="4"/>
  <c r="ED134" i="4"/>
  <c r="EE134" i="4"/>
  <c r="EF134" i="4"/>
  <c r="EG134" i="4"/>
  <c r="EH134" i="4"/>
  <c r="EI134" i="4"/>
  <c r="EJ134" i="4"/>
  <c r="EK134" i="4"/>
  <c r="EL134" i="4"/>
  <c r="EM134" i="4"/>
  <c r="EN134" i="4"/>
  <c r="EO134" i="4"/>
  <c r="EP134" i="4"/>
  <c r="EQ134" i="4"/>
  <c r="ER134" i="4"/>
  <c r="ES134" i="4"/>
  <c r="ET134" i="4"/>
  <c r="EU134" i="4"/>
  <c r="EV134" i="4"/>
  <c r="EW134" i="4"/>
  <c r="EX134" i="4"/>
  <c r="EY134" i="4"/>
  <c r="EZ134" i="4"/>
  <c r="FA134" i="4"/>
  <c r="FB134" i="4"/>
  <c r="FC134" i="4"/>
  <c r="FD134" i="4"/>
  <c r="FE134" i="4"/>
  <c r="FF134" i="4"/>
  <c r="FG134" i="4"/>
  <c r="FH134" i="4"/>
  <c r="FI134" i="4"/>
  <c r="FJ134" i="4"/>
  <c r="FK134" i="4"/>
  <c r="FL134" i="4"/>
  <c r="FM134" i="4"/>
  <c r="FN134" i="4"/>
  <c r="FO134" i="4"/>
  <c r="FP134" i="4"/>
  <c r="FQ134" i="4"/>
  <c r="FR134" i="4"/>
  <c r="FS134" i="4"/>
  <c r="FT134" i="4"/>
  <c r="FU134" i="4"/>
  <c r="FV134" i="4"/>
  <c r="FW134" i="4"/>
  <c r="FX134" i="4"/>
  <c r="FY134" i="4"/>
  <c r="FZ134" i="4"/>
  <c r="GA134" i="4"/>
  <c r="GB134" i="4"/>
  <c r="GC134" i="4"/>
  <c r="GD134" i="4"/>
  <c r="GE134" i="4"/>
  <c r="GF134" i="4"/>
  <c r="GG134" i="4"/>
  <c r="GH134" i="4"/>
  <c r="GI134" i="4"/>
  <c r="GJ134" i="4"/>
  <c r="GK134" i="4"/>
  <c r="GL134" i="4"/>
  <c r="GM134" i="4"/>
  <c r="GN134" i="4"/>
  <c r="GO134" i="4"/>
  <c r="GP134" i="4"/>
  <c r="GQ134" i="4"/>
  <c r="GR134" i="4"/>
  <c r="GS134" i="4"/>
  <c r="GT134" i="4"/>
  <c r="GU134" i="4"/>
  <c r="GV134" i="4"/>
  <c r="GW134" i="4"/>
  <c r="GX134" i="4"/>
  <c r="GY134" i="4"/>
  <c r="GZ134" i="4"/>
  <c r="HA134" i="4"/>
  <c r="HB134" i="4"/>
  <c r="HC134" i="4"/>
  <c r="HD134" i="4"/>
  <c r="HE134" i="4"/>
  <c r="HF134" i="4"/>
  <c r="HG134" i="4"/>
  <c r="HH134" i="4"/>
  <c r="HI134" i="4"/>
  <c r="HJ134" i="4"/>
  <c r="HK134" i="4"/>
  <c r="HL134" i="4"/>
  <c r="HM134" i="4"/>
  <c r="HN134" i="4"/>
  <c r="HO134" i="4"/>
  <c r="HP134" i="4"/>
  <c r="HQ134" i="4"/>
  <c r="HR134" i="4"/>
  <c r="HS134" i="4"/>
  <c r="HT134" i="4"/>
  <c r="HU134" i="4"/>
  <c r="HV134" i="4"/>
  <c r="HW134" i="4"/>
  <c r="HX134" i="4"/>
  <c r="HY134" i="4"/>
  <c r="HZ134" i="4"/>
  <c r="IA134" i="4"/>
  <c r="IB134" i="4"/>
  <c r="IC134" i="4"/>
  <c r="ID134" i="4"/>
  <c r="IE134" i="4"/>
  <c r="IF134" i="4"/>
  <c r="IG134" i="4"/>
  <c r="IH134" i="4"/>
  <c r="II134" i="4"/>
  <c r="IJ134" i="4"/>
  <c r="IK134" i="4"/>
  <c r="IL134" i="4"/>
  <c r="IM134" i="4"/>
  <c r="IN134" i="4"/>
  <c r="IO134" i="4"/>
  <c r="IP134" i="4"/>
  <c r="IQ134" i="4"/>
  <c r="IR134" i="4"/>
  <c r="IS134" i="4"/>
  <c r="IT134" i="4"/>
  <c r="IU134" i="4"/>
  <c r="IV134" i="4"/>
  <c r="A133" i="4"/>
  <c r="B133" i="4"/>
  <c r="C133" i="4"/>
  <c r="D133" i="4"/>
  <c r="E133" i="4"/>
  <c r="F133" i="4"/>
  <c r="G133" i="4"/>
  <c r="H133" i="4"/>
  <c r="I133" i="4"/>
  <c r="J133" i="4"/>
  <c r="K133" i="4"/>
  <c r="L133" i="4"/>
  <c r="M133" i="4"/>
  <c r="N133" i="4"/>
  <c r="O133" i="4"/>
  <c r="P133" i="4"/>
  <c r="Q133" i="4"/>
  <c r="R133" i="4"/>
  <c r="S133" i="4"/>
  <c r="T133" i="4"/>
  <c r="U133" i="4"/>
  <c r="V133" i="4"/>
  <c r="W133" i="4"/>
  <c r="X133" i="4"/>
  <c r="Y133" i="4"/>
  <c r="Z133" i="4"/>
  <c r="AA133" i="4"/>
  <c r="AB133" i="4"/>
  <c r="AC133" i="4"/>
  <c r="AD133" i="4"/>
  <c r="AE133" i="4"/>
  <c r="AF133" i="4"/>
  <c r="AG133" i="4"/>
  <c r="AH133" i="4"/>
  <c r="AI133" i="4"/>
  <c r="AJ133" i="4"/>
  <c r="AK133" i="4"/>
  <c r="AL133" i="4"/>
  <c r="AM133" i="4"/>
  <c r="AN133" i="4"/>
  <c r="AO133" i="4"/>
  <c r="AP133" i="4"/>
  <c r="AQ133" i="4"/>
  <c r="AR133" i="4"/>
  <c r="AS133" i="4"/>
  <c r="AT133" i="4"/>
  <c r="AU133" i="4"/>
  <c r="AV133" i="4"/>
  <c r="AW133" i="4"/>
  <c r="AX133" i="4"/>
  <c r="AY133" i="4"/>
  <c r="AZ133" i="4"/>
  <c r="BA133" i="4"/>
  <c r="BB133" i="4"/>
  <c r="BC133" i="4"/>
  <c r="BD133" i="4"/>
  <c r="BE133" i="4"/>
  <c r="BF133" i="4"/>
  <c r="BG133" i="4"/>
  <c r="BH133" i="4"/>
  <c r="BI133" i="4"/>
  <c r="BJ133" i="4"/>
  <c r="BK133" i="4"/>
  <c r="BL133" i="4"/>
  <c r="BM133" i="4"/>
  <c r="BN133" i="4"/>
  <c r="BO133" i="4"/>
  <c r="BP133" i="4"/>
  <c r="BQ133" i="4"/>
  <c r="BR133" i="4"/>
  <c r="BS133" i="4"/>
  <c r="BT133" i="4"/>
  <c r="BU133" i="4"/>
  <c r="BV133" i="4"/>
  <c r="BW133" i="4"/>
  <c r="BX133" i="4"/>
  <c r="BY133" i="4"/>
  <c r="BZ133" i="4"/>
  <c r="CA133" i="4"/>
  <c r="CB133" i="4"/>
  <c r="CC133" i="4"/>
  <c r="CD133" i="4"/>
  <c r="CE133" i="4"/>
  <c r="CF133" i="4"/>
  <c r="CG133" i="4"/>
  <c r="CH133" i="4"/>
  <c r="CI133" i="4"/>
  <c r="CJ133" i="4"/>
  <c r="CK133" i="4"/>
  <c r="CL133" i="4"/>
  <c r="CM133" i="4"/>
  <c r="CN133" i="4"/>
  <c r="CO133" i="4"/>
  <c r="CP133" i="4"/>
  <c r="CQ133" i="4"/>
  <c r="CR133" i="4"/>
  <c r="CS133" i="4"/>
  <c r="CT133" i="4"/>
  <c r="CU133" i="4"/>
  <c r="CV133" i="4"/>
  <c r="CW133" i="4"/>
  <c r="CX133" i="4"/>
  <c r="CY133" i="4"/>
  <c r="CZ133" i="4"/>
  <c r="DA133" i="4"/>
  <c r="DB133" i="4"/>
  <c r="DC133" i="4"/>
  <c r="DD133" i="4"/>
  <c r="DE133" i="4"/>
  <c r="DF133" i="4"/>
  <c r="DG133" i="4"/>
  <c r="DH133" i="4"/>
  <c r="DI133" i="4"/>
  <c r="DJ133" i="4"/>
  <c r="DK133" i="4"/>
  <c r="DL133" i="4"/>
  <c r="DM133" i="4"/>
  <c r="DN133" i="4"/>
  <c r="DO133" i="4"/>
  <c r="DP133" i="4"/>
  <c r="DQ133" i="4"/>
  <c r="DR133" i="4"/>
  <c r="DS133" i="4"/>
  <c r="DT133" i="4"/>
  <c r="DU133" i="4"/>
  <c r="DV133" i="4"/>
  <c r="DW133" i="4"/>
  <c r="DX133" i="4"/>
  <c r="DY133" i="4"/>
  <c r="DZ133" i="4"/>
  <c r="EA133" i="4"/>
  <c r="EB133" i="4"/>
  <c r="EC133" i="4"/>
  <c r="ED133" i="4"/>
  <c r="EE133" i="4"/>
  <c r="EF133" i="4"/>
  <c r="EG133" i="4"/>
  <c r="EH133" i="4"/>
  <c r="EI133" i="4"/>
  <c r="EJ133" i="4"/>
  <c r="EK133" i="4"/>
  <c r="EL133" i="4"/>
  <c r="EM133" i="4"/>
  <c r="EN133" i="4"/>
  <c r="EO133" i="4"/>
  <c r="EP133" i="4"/>
  <c r="EQ133" i="4"/>
  <c r="ER133" i="4"/>
  <c r="ES133" i="4"/>
  <c r="ET133" i="4"/>
  <c r="EU133" i="4"/>
  <c r="EV133" i="4"/>
  <c r="EW133" i="4"/>
  <c r="EX133" i="4"/>
  <c r="EY133" i="4"/>
  <c r="EZ133" i="4"/>
  <c r="FA133" i="4"/>
  <c r="FB133" i="4"/>
  <c r="FC133" i="4"/>
  <c r="FD133" i="4"/>
  <c r="FE133" i="4"/>
  <c r="FF133" i="4"/>
  <c r="FG133" i="4"/>
  <c r="FH133" i="4"/>
  <c r="FI133" i="4"/>
  <c r="FJ133" i="4"/>
  <c r="FK133" i="4"/>
  <c r="FL133" i="4"/>
  <c r="FM133" i="4"/>
  <c r="FN133" i="4"/>
  <c r="FO133" i="4"/>
  <c r="FP133" i="4"/>
  <c r="FQ133" i="4"/>
  <c r="FR133" i="4"/>
  <c r="FS133" i="4"/>
  <c r="FT133" i="4"/>
  <c r="FU133" i="4"/>
  <c r="FV133" i="4"/>
  <c r="FW133" i="4"/>
  <c r="FX133" i="4"/>
  <c r="FY133" i="4"/>
  <c r="FZ133" i="4"/>
  <c r="GA133" i="4"/>
  <c r="GB133" i="4"/>
  <c r="GC133" i="4"/>
  <c r="GD133" i="4"/>
  <c r="GE133" i="4"/>
  <c r="GF133" i="4"/>
  <c r="GG133" i="4"/>
  <c r="GH133" i="4"/>
  <c r="GI133" i="4"/>
  <c r="GJ133" i="4"/>
  <c r="GK133" i="4"/>
  <c r="GL133" i="4"/>
  <c r="GM133" i="4"/>
  <c r="GN133" i="4"/>
  <c r="GO133" i="4"/>
  <c r="GP133" i="4"/>
  <c r="GQ133" i="4"/>
  <c r="GR133" i="4"/>
  <c r="GS133" i="4"/>
  <c r="GT133" i="4"/>
  <c r="GU133" i="4"/>
  <c r="GV133" i="4"/>
  <c r="GW133" i="4"/>
  <c r="GX133" i="4"/>
  <c r="GY133" i="4"/>
  <c r="GZ133" i="4"/>
  <c r="HA133" i="4"/>
  <c r="HB133" i="4"/>
  <c r="HC133" i="4"/>
  <c r="HD133" i="4"/>
  <c r="HE133" i="4"/>
  <c r="HF133" i="4"/>
  <c r="HG133" i="4"/>
  <c r="HH133" i="4"/>
  <c r="HI133" i="4"/>
  <c r="HJ133" i="4"/>
  <c r="HK133" i="4"/>
  <c r="HL133" i="4"/>
  <c r="HM133" i="4"/>
  <c r="HN133" i="4"/>
  <c r="HO133" i="4"/>
  <c r="HP133" i="4"/>
  <c r="HQ133" i="4"/>
  <c r="HR133" i="4"/>
  <c r="HS133" i="4"/>
  <c r="HT133" i="4"/>
  <c r="HU133" i="4"/>
  <c r="HV133" i="4"/>
  <c r="HW133" i="4"/>
  <c r="HX133" i="4"/>
  <c r="HY133" i="4"/>
  <c r="HZ133" i="4"/>
  <c r="IA133" i="4"/>
  <c r="IB133" i="4"/>
  <c r="IC133" i="4"/>
  <c r="ID133" i="4"/>
  <c r="IE133" i="4"/>
  <c r="IF133" i="4"/>
  <c r="IG133" i="4"/>
  <c r="IH133" i="4"/>
  <c r="II133" i="4"/>
  <c r="IJ133" i="4"/>
  <c r="IK133" i="4"/>
  <c r="IL133" i="4"/>
  <c r="IM133" i="4"/>
  <c r="IN133" i="4"/>
  <c r="IO133" i="4"/>
  <c r="IP133" i="4"/>
  <c r="IQ133" i="4"/>
  <c r="IR133" i="4"/>
  <c r="IS133" i="4"/>
  <c r="IT133" i="4"/>
  <c r="IU133" i="4"/>
  <c r="IV133" i="4"/>
  <c r="A132" i="4"/>
  <c r="B132" i="4"/>
  <c r="C132" i="4"/>
  <c r="D132" i="4"/>
  <c r="E132" i="4"/>
  <c r="F132" i="4"/>
  <c r="G132" i="4"/>
  <c r="H132" i="4"/>
  <c r="I132" i="4"/>
  <c r="J132" i="4"/>
  <c r="K132" i="4"/>
  <c r="L132" i="4"/>
  <c r="M132" i="4"/>
  <c r="N132" i="4"/>
  <c r="O132" i="4"/>
  <c r="P132" i="4"/>
  <c r="Q132" i="4"/>
  <c r="R132" i="4"/>
  <c r="S132" i="4"/>
  <c r="T132" i="4"/>
  <c r="U132" i="4"/>
  <c r="V132" i="4"/>
  <c r="W132" i="4"/>
  <c r="X132" i="4"/>
  <c r="Y132" i="4"/>
  <c r="Z132" i="4"/>
  <c r="AA132" i="4"/>
  <c r="AB132" i="4"/>
  <c r="AC132" i="4"/>
  <c r="AD132" i="4"/>
  <c r="AE132" i="4"/>
  <c r="AF132" i="4"/>
  <c r="AG132" i="4"/>
  <c r="AH132" i="4"/>
  <c r="AI132" i="4"/>
  <c r="AJ132" i="4"/>
  <c r="AK132" i="4"/>
  <c r="AL132" i="4"/>
  <c r="AM132" i="4"/>
  <c r="AN132" i="4"/>
  <c r="AO132" i="4"/>
  <c r="AP132" i="4"/>
  <c r="AQ132" i="4"/>
  <c r="AR132" i="4"/>
  <c r="AS132" i="4"/>
  <c r="AT132" i="4"/>
  <c r="AU132" i="4"/>
  <c r="AV132" i="4"/>
  <c r="AW132" i="4"/>
  <c r="AX132" i="4"/>
  <c r="AY132" i="4"/>
  <c r="AZ132" i="4"/>
  <c r="BA132" i="4"/>
  <c r="BB132" i="4"/>
  <c r="BC132" i="4"/>
  <c r="BD132" i="4"/>
  <c r="BE132" i="4"/>
  <c r="BF132" i="4"/>
  <c r="BG132" i="4"/>
  <c r="BH132" i="4"/>
  <c r="BI132" i="4"/>
  <c r="BJ132" i="4"/>
  <c r="BK132" i="4"/>
  <c r="BL132" i="4"/>
  <c r="BM132" i="4"/>
  <c r="BN132" i="4"/>
  <c r="BO132" i="4"/>
  <c r="BP132" i="4"/>
  <c r="BQ132" i="4"/>
  <c r="BR132" i="4"/>
  <c r="BS132" i="4"/>
  <c r="BT132" i="4"/>
  <c r="BU132" i="4"/>
  <c r="BV132" i="4"/>
  <c r="BW132" i="4"/>
  <c r="BX132" i="4"/>
  <c r="BY132" i="4"/>
  <c r="BZ132" i="4"/>
  <c r="CA132" i="4"/>
  <c r="CB132" i="4"/>
  <c r="CC132" i="4"/>
  <c r="CD132" i="4"/>
  <c r="CE132" i="4"/>
  <c r="CF132" i="4"/>
  <c r="CG132" i="4"/>
  <c r="CH132" i="4"/>
  <c r="CI132" i="4"/>
  <c r="CJ132" i="4"/>
  <c r="CK132" i="4"/>
  <c r="CL132" i="4"/>
  <c r="CM132" i="4"/>
  <c r="CN132" i="4"/>
  <c r="CO132" i="4"/>
  <c r="CP132" i="4"/>
  <c r="CQ132" i="4"/>
  <c r="CR132" i="4"/>
  <c r="CS132" i="4"/>
  <c r="CT132" i="4"/>
  <c r="CU132" i="4"/>
  <c r="CV132" i="4"/>
  <c r="CW132" i="4"/>
  <c r="CX132" i="4"/>
  <c r="CY132" i="4"/>
  <c r="CZ132" i="4"/>
  <c r="DA132" i="4"/>
  <c r="DB132" i="4"/>
  <c r="DC132" i="4"/>
  <c r="DD132" i="4"/>
  <c r="DE132" i="4"/>
  <c r="DF132" i="4"/>
  <c r="DG132" i="4"/>
  <c r="DH132" i="4"/>
  <c r="DI132" i="4"/>
  <c r="DJ132" i="4"/>
  <c r="DK132" i="4"/>
  <c r="DL132" i="4"/>
  <c r="DM132" i="4"/>
  <c r="DN132" i="4"/>
  <c r="DO132" i="4"/>
  <c r="DP132" i="4"/>
  <c r="DQ132" i="4"/>
  <c r="DR132" i="4"/>
  <c r="DS132" i="4"/>
  <c r="DT132" i="4"/>
  <c r="DU132" i="4"/>
  <c r="DV132" i="4"/>
  <c r="DW132" i="4"/>
  <c r="DX132" i="4"/>
  <c r="DY132" i="4"/>
  <c r="DZ132" i="4"/>
  <c r="EA132" i="4"/>
  <c r="EB132" i="4"/>
  <c r="EC132" i="4"/>
  <c r="ED132" i="4"/>
  <c r="EE132" i="4"/>
  <c r="EF132" i="4"/>
  <c r="EG132" i="4"/>
  <c r="EH132" i="4"/>
  <c r="EI132" i="4"/>
  <c r="EJ132" i="4"/>
  <c r="EK132" i="4"/>
  <c r="EL132" i="4"/>
  <c r="EM132" i="4"/>
  <c r="EN132" i="4"/>
  <c r="EO132" i="4"/>
  <c r="EP132" i="4"/>
  <c r="EQ132" i="4"/>
  <c r="ER132" i="4"/>
  <c r="ES132" i="4"/>
  <c r="ET132" i="4"/>
  <c r="EU132" i="4"/>
  <c r="EV132" i="4"/>
  <c r="EW132" i="4"/>
  <c r="EX132" i="4"/>
  <c r="EY132" i="4"/>
  <c r="EZ132" i="4"/>
  <c r="FA132" i="4"/>
  <c r="FB132" i="4"/>
  <c r="FC132" i="4"/>
  <c r="FD132" i="4"/>
  <c r="FE132" i="4"/>
  <c r="FF132" i="4"/>
  <c r="FG132" i="4"/>
  <c r="FH132" i="4"/>
  <c r="FI132" i="4"/>
  <c r="FJ132" i="4"/>
  <c r="FK132" i="4"/>
  <c r="FL132" i="4"/>
  <c r="FM132" i="4"/>
  <c r="FN132" i="4"/>
  <c r="FO132" i="4"/>
  <c r="FP132" i="4"/>
  <c r="FQ132" i="4"/>
  <c r="FR132" i="4"/>
  <c r="FS132" i="4"/>
  <c r="FT132" i="4"/>
  <c r="FU132" i="4"/>
  <c r="FV132" i="4"/>
  <c r="FW132" i="4"/>
  <c r="FX132" i="4"/>
  <c r="FY132" i="4"/>
  <c r="FZ132" i="4"/>
  <c r="GA132" i="4"/>
  <c r="GB132" i="4"/>
  <c r="GC132" i="4"/>
  <c r="GD132" i="4"/>
  <c r="GE132" i="4"/>
  <c r="GF132" i="4"/>
  <c r="GG132" i="4"/>
  <c r="GH132" i="4"/>
  <c r="GI132" i="4"/>
  <c r="GJ132" i="4"/>
  <c r="GK132" i="4"/>
  <c r="GL132" i="4"/>
  <c r="GM132" i="4"/>
  <c r="GN132" i="4"/>
  <c r="GO132" i="4"/>
  <c r="GP132" i="4"/>
  <c r="GQ132" i="4"/>
  <c r="GR132" i="4"/>
  <c r="GS132" i="4"/>
  <c r="GT132" i="4"/>
  <c r="GU132" i="4"/>
  <c r="GV132" i="4"/>
  <c r="GW132" i="4"/>
  <c r="GX132" i="4"/>
  <c r="GY132" i="4"/>
  <c r="GZ132" i="4"/>
  <c r="HA132" i="4"/>
  <c r="HB132" i="4"/>
  <c r="HC132" i="4"/>
  <c r="HD132" i="4"/>
  <c r="HE132" i="4"/>
  <c r="HF132" i="4"/>
  <c r="HG132" i="4"/>
  <c r="HH132" i="4"/>
  <c r="HI132" i="4"/>
  <c r="HJ132" i="4"/>
  <c r="HK132" i="4"/>
  <c r="HL132" i="4"/>
  <c r="HM132" i="4"/>
  <c r="HN132" i="4"/>
  <c r="HO132" i="4"/>
  <c r="HP132" i="4"/>
  <c r="HQ132" i="4"/>
  <c r="HR132" i="4"/>
  <c r="HS132" i="4"/>
  <c r="HT132" i="4"/>
  <c r="HU132" i="4"/>
  <c r="HV132" i="4"/>
  <c r="HW132" i="4"/>
  <c r="HX132" i="4"/>
  <c r="HY132" i="4"/>
  <c r="HZ132" i="4"/>
  <c r="IA132" i="4"/>
  <c r="IB132" i="4"/>
  <c r="IC132" i="4"/>
  <c r="ID132" i="4"/>
  <c r="IE132" i="4"/>
  <c r="IF132" i="4"/>
  <c r="IG132" i="4"/>
  <c r="IH132" i="4"/>
  <c r="II132" i="4"/>
  <c r="IJ132" i="4"/>
  <c r="IK132" i="4"/>
  <c r="IL132" i="4"/>
  <c r="IM132" i="4"/>
  <c r="IN132" i="4"/>
  <c r="IO132" i="4"/>
  <c r="IP132" i="4"/>
  <c r="IQ132" i="4"/>
  <c r="IR132" i="4"/>
  <c r="IS132" i="4"/>
  <c r="IT132" i="4"/>
  <c r="IU132" i="4"/>
  <c r="IV132" i="4"/>
  <c r="A131" i="4"/>
  <c r="B131" i="4"/>
  <c r="C131" i="4"/>
  <c r="D131" i="4"/>
  <c r="E131" i="4"/>
  <c r="F131" i="4"/>
  <c r="G131" i="4"/>
  <c r="H131" i="4"/>
  <c r="I131" i="4"/>
  <c r="J131" i="4"/>
  <c r="K131" i="4"/>
  <c r="L131" i="4"/>
  <c r="M131" i="4"/>
  <c r="N131" i="4"/>
  <c r="O131" i="4"/>
  <c r="P131" i="4"/>
  <c r="Q131" i="4"/>
  <c r="R131" i="4"/>
  <c r="S131" i="4"/>
  <c r="T131" i="4"/>
  <c r="U131" i="4"/>
  <c r="V131" i="4"/>
  <c r="W131" i="4"/>
  <c r="X131" i="4"/>
  <c r="Y131" i="4"/>
  <c r="Z131" i="4"/>
  <c r="AA131" i="4"/>
  <c r="AB131" i="4"/>
  <c r="AC131" i="4"/>
  <c r="AD131" i="4"/>
  <c r="AE131" i="4"/>
  <c r="AF131" i="4"/>
  <c r="AG131" i="4"/>
  <c r="AH131" i="4"/>
  <c r="AI131" i="4"/>
  <c r="AJ131" i="4"/>
  <c r="AK131" i="4"/>
  <c r="AL131" i="4"/>
  <c r="AM131" i="4"/>
  <c r="AN131" i="4"/>
  <c r="AO131" i="4"/>
  <c r="AP131" i="4"/>
  <c r="AQ131" i="4"/>
  <c r="AR131" i="4"/>
  <c r="AS131" i="4"/>
  <c r="AT131" i="4"/>
  <c r="AU131" i="4"/>
  <c r="AV131" i="4"/>
  <c r="AW131" i="4"/>
  <c r="AX131" i="4"/>
  <c r="AY131" i="4"/>
  <c r="AZ131" i="4"/>
  <c r="BA131" i="4"/>
  <c r="BB131" i="4"/>
  <c r="BC131" i="4"/>
  <c r="BD131" i="4"/>
  <c r="BE131" i="4"/>
  <c r="BF131" i="4"/>
  <c r="BG131" i="4"/>
  <c r="BH131" i="4"/>
  <c r="BI131" i="4"/>
  <c r="BJ131" i="4"/>
  <c r="BK131" i="4"/>
  <c r="BL131" i="4"/>
  <c r="BM131" i="4"/>
  <c r="BN131" i="4"/>
  <c r="BO131" i="4"/>
  <c r="BP131" i="4"/>
  <c r="BQ131" i="4"/>
  <c r="BR131" i="4"/>
  <c r="BS131" i="4"/>
  <c r="BT131" i="4"/>
  <c r="BU131" i="4"/>
  <c r="BV131" i="4"/>
  <c r="BW131" i="4"/>
  <c r="BX131" i="4"/>
  <c r="BY131" i="4"/>
  <c r="BZ131" i="4"/>
  <c r="CA131" i="4"/>
  <c r="CB131" i="4"/>
  <c r="CC131" i="4"/>
  <c r="CD131" i="4"/>
  <c r="CE131" i="4"/>
  <c r="CF131" i="4"/>
  <c r="CG131" i="4"/>
  <c r="CH131" i="4"/>
  <c r="CI131" i="4"/>
  <c r="CJ131" i="4"/>
  <c r="CK131" i="4"/>
  <c r="CL131" i="4"/>
  <c r="CM131" i="4"/>
  <c r="CN131" i="4"/>
  <c r="CO131" i="4"/>
  <c r="CP131" i="4"/>
  <c r="CQ131" i="4"/>
  <c r="CR131" i="4"/>
  <c r="CS131" i="4"/>
  <c r="CT131" i="4"/>
  <c r="CU131" i="4"/>
  <c r="CV131" i="4"/>
  <c r="CW131" i="4"/>
  <c r="CX131" i="4"/>
  <c r="CY131" i="4"/>
  <c r="CZ131" i="4"/>
  <c r="DA131" i="4"/>
  <c r="DB131" i="4"/>
  <c r="DC131" i="4"/>
  <c r="DD131" i="4"/>
  <c r="DE131" i="4"/>
  <c r="DF131" i="4"/>
  <c r="DG131" i="4"/>
  <c r="DH131" i="4"/>
  <c r="DI131" i="4"/>
  <c r="DJ131" i="4"/>
  <c r="DK131" i="4"/>
  <c r="DL131" i="4"/>
  <c r="DM131" i="4"/>
  <c r="DN131" i="4"/>
  <c r="DO131" i="4"/>
  <c r="DP131" i="4"/>
  <c r="DQ131" i="4"/>
  <c r="DR131" i="4"/>
  <c r="DS131" i="4"/>
  <c r="DT131" i="4"/>
  <c r="DU131" i="4"/>
  <c r="DV131" i="4"/>
  <c r="DW131" i="4"/>
  <c r="DX131" i="4"/>
  <c r="DY131" i="4"/>
  <c r="DZ131" i="4"/>
  <c r="EA131" i="4"/>
  <c r="EB131" i="4"/>
  <c r="EC131" i="4"/>
  <c r="ED131" i="4"/>
  <c r="EE131" i="4"/>
  <c r="EF131" i="4"/>
  <c r="EG131" i="4"/>
  <c r="EH131" i="4"/>
  <c r="EI131" i="4"/>
  <c r="EJ131" i="4"/>
  <c r="EK131" i="4"/>
  <c r="EL131" i="4"/>
  <c r="EM131" i="4"/>
  <c r="EN131" i="4"/>
  <c r="EO131" i="4"/>
  <c r="EP131" i="4"/>
  <c r="EQ131" i="4"/>
  <c r="ER131" i="4"/>
  <c r="ES131" i="4"/>
  <c r="ET131" i="4"/>
  <c r="EU131" i="4"/>
  <c r="EV131" i="4"/>
  <c r="EW131" i="4"/>
  <c r="EX131" i="4"/>
  <c r="EY131" i="4"/>
  <c r="EZ131" i="4"/>
  <c r="FA131" i="4"/>
  <c r="FB131" i="4"/>
  <c r="FC131" i="4"/>
  <c r="FD131" i="4"/>
  <c r="FE131" i="4"/>
  <c r="FF131" i="4"/>
  <c r="FG131" i="4"/>
  <c r="FH131" i="4"/>
  <c r="FI131" i="4"/>
  <c r="FJ131" i="4"/>
  <c r="FK131" i="4"/>
  <c r="FL131" i="4"/>
  <c r="FM131" i="4"/>
  <c r="FN131" i="4"/>
  <c r="FO131" i="4"/>
  <c r="FP131" i="4"/>
  <c r="FQ131" i="4"/>
  <c r="FR131" i="4"/>
  <c r="FS131" i="4"/>
  <c r="FT131" i="4"/>
  <c r="FU131" i="4"/>
  <c r="FV131" i="4"/>
  <c r="FW131" i="4"/>
  <c r="FX131" i="4"/>
  <c r="FY131" i="4"/>
  <c r="FZ131" i="4"/>
  <c r="GA131" i="4"/>
  <c r="GB131" i="4"/>
  <c r="GC131" i="4"/>
  <c r="GD131" i="4"/>
  <c r="GE131" i="4"/>
  <c r="GF131" i="4"/>
  <c r="GG131" i="4"/>
  <c r="GH131" i="4"/>
  <c r="GI131" i="4"/>
  <c r="GJ131" i="4"/>
  <c r="GK131" i="4"/>
  <c r="GL131" i="4"/>
  <c r="GM131" i="4"/>
  <c r="GN131" i="4"/>
  <c r="GO131" i="4"/>
  <c r="GP131" i="4"/>
  <c r="GQ131" i="4"/>
  <c r="GR131" i="4"/>
  <c r="GS131" i="4"/>
  <c r="GT131" i="4"/>
  <c r="GU131" i="4"/>
  <c r="GV131" i="4"/>
  <c r="GW131" i="4"/>
  <c r="GX131" i="4"/>
  <c r="GY131" i="4"/>
  <c r="GZ131" i="4"/>
  <c r="HA131" i="4"/>
  <c r="HB131" i="4"/>
  <c r="HC131" i="4"/>
  <c r="HD131" i="4"/>
  <c r="HE131" i="4"/>
  <c r="HF131" i="4"/>
  <c r="HG131" i="4"/>
  <c r="HH131" i="4"/>
  <c r="HI131" i="4"/>
  <c r="HJ131" i="4"/>
  <c r="HK131" i="4"/>
  <c r="HL131" i="4"/>
  <c r="HM131" i="4"/>
  <c r="HN131" i="4"/>
  <c r="HO131" i="4"/>
  <c r="HP131" i="4"/>
  <c r="HQ131" i="4"/>
  <c r="HR131" i="4"/>
  <c r="HS131" i="4"/>
  <c r="HT131" i="4"/>
  <c r="HU131" i="4"/>
  <c r="HV131" i="4"/>
  <c r="HW131" i="4"/>
  <c r="HX131" i="4"/>
  <c r="HY131" i="4"/>
  <c r="HZ131" i="4"/>
  <c r="IA131" i="4"/>
  <c r="IB131" i="4"/>
  <c r="IC131" i="4"/>
  <c r="ID131" i="4"/>
  <c r="IE131" i="4"/>
  <c r="IF131" i="4"/>
  <c r="IG131" i="4"/>
  <c r="IH131" i="4"/>
  <c r="II131" i="4"/>
  <c r="IJ131" i="4"/>
  <c r="IK131" i="4"/>
  <c r="IL131" i="4"/>
  <c r="IM131" i="4"/>
  <c r="IN131" i="4"/>
  <c r="IO131" i="4"/>
  <c r="IP131" i="4"/>
  <c r="IQ131" i="4"/>
  <c r="IR131" i="4"/>
  <c r="IS131" i="4"/>
  <c r="IT131" i="4"/>
  <c r="IU131" i="4"/>
  <c r="IV131" i="4"/>
  <c r="A130" i="4"/>
  <c r="B130" i="4"/>
  <c r="C130" i="4"/>
  <c r="D130" i="4"/>
  <c r="E130" i="4"/>
  <c r="F130" i="4"/>
  <c r="G130" i="4"/>
  <c r="H130" i="4"/>
  <c r="I130" i="4"/>
  <c r="J130" i="4"/>
  <c r="K130" i="4"/>
  <c r="L130" i="4"/>
  <c r="M130" i="4"/>
  <c r="N130" i="4"/>
  <c r="O130" i="4"/>
  <c r="P130" i="4"/>
  <c r="Q130" i="4"/>
  <c r="R130" i="4"/>
  <c r="S130" i="4"/>
  <c r="T130" i="4"/>
  <c r="U130" i="4"/>
  <c r="V130" i="4"/>
  <c r="W130" i="4"/>
  <c r="X130" i="4"/>
  <c r="Y130" i="4"/>
  <c r="Z130" i="4"/>
  <c r="AA130" i="4"/>
  <c r="AB130" i="4"/>
  <c r="AC130" i="4"/>
  <c r="AD130" i="4"/>
  <c r="AE130" i="4"/>
  <c r="AF130" i="4"/>
  <c r="AG130" i="4"/>
  <c r="AH130" i="4"/>
  <c r="AI130" i="4"/>
  <c r="AJ130" i="4"/>
  <c r="AK130" i="4"/>
  <c r="AL130" i="4"/>
  <c r="AM130" i="4"/>
  <c r="AN130" i="4"/>
  <c r="AO130" i="4"/>
  <c r="AP130" i="4"/>
  <c r="AQ130" i="4"/>
  <c r="AR130" i="4"/>
  <c r="AS130" i="4"/>
  <c r="AT130" i="4"/>
  <c r="AU130" i="4"/>
  <c r="AV130" i="4"/>
  <c r="AW130" i="4"/>
  <c r="AX130" i="4"/>
  <c r="AY130" i="4"/>
  <c r="AZ130" i="4"/>
  <c r="BA130" i="4"/>
  <c r="BB130" i="4"/>
  <c r="BC130" i="4"/>
  <c r="BD130" i="4"/>
  <c r="BE130" i="4"/>
  <c r="BF130" i="4"/>
  <c r="BG130" i="4"/>
  <c r="BH130" i="4"/>
  <c r="BI130" i="4"/>
  <c r="BJ130" i="4"/>
  <c r="BK130" i="4"/>
  <c r="BL130" i="4"/>
  <c r="BM130" i="4"/>
  <c r="BN130" i="4"/>
  <c r="BO130" i="4"/>
  <c r="BP130" i="4"/>
  <c r="BQ130" i="4"/>
  <c r="BR130" i="4"/>
  <c r="BS130" i="4"/>
  <c r="BT130" i="4"/>
  <c r="BU130" i="4"/>
  <c r="BV130" i="4"/>
  <c r="BW130" i="4"/>
  <c r="BX130" i="4"/>
  <c r="BY130" i="4"/>
  <c r="BZ130" i="4"/>
  <c r="CA130" i="4"/>
  <c r="CB130" i="4"/>
  <c r="CC130" i="4"/>
  <c r="CD130" i="4"/>
  <c r="CE130" i="4"/>
  <c r="CF130" i="4"/>
  <c r="CG130" i="4"/>
  <c r="CH130" i="4"/>
  <c r="CI130" i="4"/>
  <c r="CJ130" i="4"/>
  <c r="CK130" i="4"/>
  <c r="CL130" i="4"/>
  <c r="CM130" i="4"/>
  <c r="CN130" i="4"/>
  <c r="CO130" i="4"/>
  <c r="CP130" i="4"/>
  <c r="CQ130" i="4"/>
  <c r="CR130" i="4"/>
  <c r="CS130" i="4"/>
  <c r="CT130" i="4"/>
  <c r="CU130" i="4"/>
  <c r="CV130" i="4"/>
  <c r="CW130" i="4"/>
  <c r="CX130" i="4"/>
  <c r="CY130" i="4"/>
  <c r="CZ130" i="4"/>
  <c r="DA130" i="4"/>
  <c r="DB130" i="4"/>
  <c r="DC130" i="4"/>
  <c r="DD130" i="4"/>
  <c r="DE130" i="4"/>
  <c r="DF130" i="4"/>
  <c r="DG130" i="4"/>
  <c r="DH130" i="4"/>
  <c r="DI130" i="4"/>
  <c r="DJ130" i="4"/>
  <c r="DK130" i="4"/>
  <c r="DL130" i="4"/>
  <c r="DM130" i="4"/>
  <c r="DN130" i="4"/>
  <c r="DO130" i="4"/>
  <c r="DP130" i="4"/>
  <c r="DQ130" i="4"/>
  <c r="DR130" i="4"/>
  <c r="DS130" i="4"/>
  <c r="DT130" i="4"/>
  <c r="DU130" i="4"/>
  <c r="DV130" i="4"/>
  <c r="DW130" i="4"/>
  <c r="DX130" i="4"/>
  <c r="DY130" i="4"/>
  <c r="DZ130" i="4"/>
  <c r="EA130" i="4"/>
  <c r="EB130" i="4"/>
  <c r="EC130" i="4"/>
  <c r="ED130" i="4"/>
  <c r="EE130" i="4"/>
  <c r="EF130" i="4"/>
  <c r="EG130" i="4"/>
  <c r="EH130" i="4"/>
  <c r="EI130" i="4"/>
  <c r="EJ130" i="4"/>
  <c r="EK130" i="4"/>
  <c r="EL130" i="4"/>
  <c r="EM130" i="4"/>
  <c r="EN130" i="4"/>
  <c r="EO130" i="4"/>
  <c r="EP130" i="4"/>
  <c r="EQ130" i="4"/>
  <c r="ER130" i="4"/>
  <c r="ES130" i="4"/>
  <c r="ET130" i="4"/>
  <c r="EU130" i="4"/>
  <c r="EV130" i="4"/>
  <c r="EW130" i="4"/>
  <c r="EX130" i="4"/>
  <c r="EY130" i="4"/>
  <c r="EZ130" i="4"/>
  <c r="FA130" i="4"/>
  <c r="FB130" i="4"/>
  <c r="FC130" i="4"/>
  <c r="FD130" i="4"/>
  <c r="FE130" i="4"/>
  <c r="FF130" i="4"/>
  <c r="FG130" i="4"/>
  <c r="FH130" i="4"/>
  <c r="FI130" i="4"/>
  <c r="FJ130" i="4"/>
  <c r="FK130" i="4"/>
  <c r="FL130" i="4"/>
  <c r="FM130" i="4"/>
  <c r="FN130" i="4"/>
  <c r="FO130" i="4"/>
  <c r="FP130" i="4"/>
  <c r="FQ130" i="4"/>
  <c r="FR130" i="4"/>
  <c r="FS130" i="4"/>
  <c r="FT130" i="4"/>
  <c r="FU130" i="4"/>
  <c r="FV130" i="4"/>
  <c r="FW130" i="4"/>
  <c r="FX130" i="4"/>
  <c r="FY130" i="4"/>
  <c r="FZ130" i="4"/>
  <c r="GA130" i="4"/>
  <c r="GB130" i="4"/>
  <c r="GC130" i="4"/>
  <c r="GD130" i="4"/>
  <c r="GE130" i="4"/>
  <c r="GF130" i="4"/>
  <c r="GG130" i="4"/>
  <c r="GH130" i="4"/>
  <c r="GI130" i="4"/>
  <c r="GJ130" i="4"/>
  <c r="GK130" i="4"/>
  <c r="GL130" i="4"/>
  <c r="GM130" i="4"/>
  <c r="GN130" i="4"/>
  <c r="GO130" i="4"/>
  <c r="GP130" i="4"/>
  <c r="GQ130" i="4"/>
  <c r="GR130" i="4"/>
  <c r="GS130" i="4"/>
  <c r="GT130" i="4"/>
  <c r="GU130" i="4"/>
  <c r="GV130" i="4"/>
  <c r="GW130" i="4"/>
  <c r="GX130" i="4"/>
  <c r="GY130" i="4"/>
  <c r="GZ130" i="4"/>
  <c r="HA130" i="4"/>
  <c r="HB130" i="4"/>
  <c r="HC130" i="4"/>
  <c r="HD130" i="4"/>
  <c r="HE130" i="4"/>
  <c r="HF130" i="4"/>
  <c r="HG130" i="4"/>
  <c r="HH130" i="4"/>
  <c r="HI130" i="4"/>
  <c r="HJ130" i="4"/>
  <c r="HK130" i="4"/>
  <c r="HL130" i="4"/>
  <c r="HM130" i="4"/>
  <c r="HN130" i="4"/>
  <c r="HO130" i="4"/>
  <c r="HP130" i="4"/>
  <c r="HQ130" i="4"/>
  <c r="HR130" i="4"/>
  <c r="HS130" i="4"/>
  <c r="HT130" i="4"/>
  <c r="HU130" i="4"/>
  <c r="HV130" i="4"/>
  <c r="HW130" i="4"/>
  <c r="HX130" i="4"/>
  <c r="HY130" i="4"/>
  <c r="HZ130" i="4"/>
  <c r="IA130" i="4"/>
  <c r="IB130" i="4"/>
  <c r="IC130" i="4"/>
  <c r="ID130" i="4"/>
  <c r="IE130" i="4"/>
  <c r="IF130" i="4"/>
  <c r="IG130" i="4"/>
  <c r="IH130" i="4"/>
  <c r="II130" i="4"/>
  <c r="IJ130" i="4"/>
  <c r="IK130" i="4"/>
  <c r="IL130" i="4"/>
  <c r="IM130" i="4"/>
  <c r="IN130" i="4"/>
  <c r="IO130" i="4"/>
  <c r="IP130" i="4"/>
  <c r="IQ130" i="4"/>
  <c r="IR130" i="4"/>
  <c r="IS130" i="4"/>
  <c r="IT130" i="4"/>
  <c r="IU130" i="4"/>
  <c r="IV130" i="4"/>
  <c r="A129" i="4"/>
  <c r="B129" i="4"/>
  <c r="C129" i="4"/>
  <c r="D129" i="4"/>
  <c r="E129" i="4"/>
  <c r="F129" i="4"/>
  <c r="G129" i="4"/>
  <c r="H129" i="4"/>
  <c r="I129" i="4"/>
  <c r="J129" i="4"/>
  <c r="K129" i="4"/>
  <c r="L129" i="4"/>
  <c r="M129" i="4"/>
  <c r="O129" i="4"/>
  <c r="P129" i="4"/>
  <c r="Q129" i="4"/>
  <c r="R129" i="4"/>
  <c r="S129" i="4"/>
  <c r="T129" i="4"/>
  <c r="U129" i="4"/>
  <c r="V129" i="4"/>
  <c r="W129" i="4"/>
  <c r="X129" i="4"/>
  <c r="Y129" i="4"/>
  <c r="Z129" i="4"/>
  <c r="AA129" i="4"/>
  <c r="AB129" i="4"/>
  <c r="AC129" i="4"/>
  <c r="AD129" i="4"/>
  <c r="AE129" i="4"/>
  <c r="AF129" i="4"/>
  <c r="AG129" i="4"/>
  <c r="AH129" i="4"/>
  <c r="AI129" i="4"/>
  <c r="AJ129" i="4"/>
  <c r="AK129" i="4"/>
  <c r="AL129" i="4"/>
  <c r="AM129" i="4"/>
  <c r="AN129" i="4"/>
  <c r="AO129" i="4"/>
  <c r="AP129" i="4"/>
  <c r="AQ129" i="4"/>
  <c r="AR129" i="4"/>
  <c r="AS129" i="4"/>
  <c r="AT129" i="4"/>
  <c r="AU129" i="4"/>
  <c r="AV129" i="4"/>
  <c r="AW129" i="4"/>
  <c r="AX129" i="4"/>
  <c r="AY129" i="4"/>
  <c r="AZ129" i="4"/>
  <c r="BA129" i="4"/>
  <c r="BB129" i="4"/>
  <c r="BC129" i="4"/>
  <c r="BD129" i="4"/>
  <c r="BE129" i="4"/>
  <c r="BF129" i="4"/>
  <c r="BG129" i="4"/>
  <c r="BH129" i="4"/>
  <c r="BI129" i="4"/>
  <c r="BJ129" i="4"/>
  <c r="BK129" i="4"/>
  <c r="BL129" i="4"/>
  <c r="BM129" i="4"/>
  <c r="BN129" i="4"/>
  <c r="BO129" i="4"/>
  <c r="BP129" i="4"/>
  <c r="BQ129" i="4"/>
  <c r="BR129" i="4"/>
  <c r="BS129" i="4"/>
  <c r="BT129" i="4"/>
  <c r="BU129" i="4"/>
  <c r="BV129" i="4"/>
  <c r="BW129" i="4"/>
  <c r="BX129" i="4"/>
  <c r="BY129" i="4"/>
  <c r="BZ129" i="4"/>
  <c r="CA129" i="4"/>
  <c r="CB129" i="4"/>
  <c r="CC129" i="4"/>
  <c r="CD129" i="4"/>
  <c r="CE129" i="4"/>
  <c r="CF129" i="4"/>
  <c r="CG129" i="4"/>
  <c r="CH129" i="4"/>
  <c r="CI129" i="4"/>
  <c r="CJ129" i="4"/>
  <c r="CK129" i="4"/>
  <c r="CL129" i="4"/>
  <c r="CM129" i="4"/>
  <c r="CN129" i="4"/>
  <c r="CO129" i="4"/>
  <c r="CP129" i="4"/>
  <c r="CQ129" i="4"/>
  <c r="CR129" i="4"/>
  <c r="CS129" i="4"/>
  <c r="CT129" i="4"/>
  <c r="CU129" i="4"/>
  <c r="CV129" i="4"/>
  <c r="CW129" i="4"/>
  <c r="CX129" i="4"/>
  <c r="CY129" i="4"/>
  <c r="CZ129" i="4"/>
  <c r="DA129" i="4"/>
  <c r="DB129" i="4"/>
  <c r="DC129" i="4"/>
  <c r="DD129" i="4"/>
  <c r="DE129" i="4"/>
  <c r="DF129" i="4"/>
  <c r="DG129" i="4"/>
  <c r="DH129" i="4"/>
  <c r="DI129" i="4"/>
  <c r="DJ129" i="4"/>
  <c r="DK129" i="4"/>
  <c r="DL129" i="4"/>
  <c r="DM129" i="4"/>
  <c r="DN129" i="4"/>
  <c r="DO129" i="4"/>
  <c r="DP129" i="4"/>
  <c r="DQ129" i="4"/>
  <c r="DR129" i="4"/>
  <c r="DS129" i="4"/>
  <c r="DT129" i="4"/>
  <c r="DU129" i="4"/>
  <c r="DV129" i="4"/>
  <c r="DW129" i="4"/>
  <c r="DX129" i="4"/>
  <c r="DY129" i="4"/>
  <c r="DZ129" i="4"/>
  <c r="EA129" i="4"/>
  <c r="EB129" i="4"/>
  <c r="EC129" i="4"/>
  <c r="ED129" i="4"/>
  <c r="EE129" i="4"/>
  <c r="EF129" i="4"/>
  <c r="EG129" i="4"/>
  <c r="EH129" i="4"/>
  <c r="EI129" i="4"/>
  <c r="EJ129" i="4"/>
  <c r="EK129" i="4"/>
  <c r="EL129" i="4"/>
  <c r="EM129" i="4"/>
  <c r="EN129" i="4"/>
  <c r="EO129" i="4"/>
  <c r="EP129" i="4"/>
  <c r="EQ129" i="4"/>
  <c r="ER129" i="4"/>
  <c r="ES129" i="4"/>
  <c r="ET129" i="4"/>
  <c r="EU129" i="4"/>
  <c r="EV129" i="4"/>
  <c r="EW129" i="4"/>
  <c r="EX129" i="4"/>
  <c r="EY129" i="4"/>
  <c r="EZ129" i="4"/>
  <c r="FA129" i="4"/>
  <c r="FB129" i="4"/>
  <c r="FC129" i="4"/>
  <c r="FD129" i="4"/>
  <c r="FE129" i="4"/>
  <c r="FF129" i="4"/>
  <c r="FG129" i="4"/>
  <c r="FH129" i="4"/>
  <c r="FI129" i="4"/>
  <c r="FJ129" i="4"/>
  <c r="FK129" i="4"/>
  <c r="FL129" i="4"/>
  <c r="FM129" i="4"/>
  <c r="FN129" i="4"/>
  <c r="FO129" i="4"/>
  <c r="FP129" i="4"/>
  <c r="FQ129" i="4"/>
  <c r="FR129" i="4"/>
  <c r="FS129" i="4"/>
  <c r="FT129" i="4"/>
  <c r="FU129" i="4"/>
  <c r="FV129" i="4"/>
  <c r="FW129" i="4"/>
  <c r="FX129" i="4"/>
  <c r="FY129" i="4"/>
  <c r="FZ129" i="4"/>
  <c r="GA129" i="4"/>
  <c r="GB129" i="4"/>
  <c r="GC129" i="4"/>
  <c r="GD129" i="4"/>
  <c r="GE129" i="4"/>
  <c r="GF129" i="4"/>
  <c r="GG129" i="4"/>
  <c r="GH129" i="4"/>
  <c r="GI129" i="4"/>
  <c r="GJ129" i="4"/>
  <c r="GK129" i="4"/>
  <c r="GL129" i="4"/>
  <c r="GM129" i="4"/>
  <c r="GN129" i="4"/>
  <c r="GO129" i="4"/>
  <c r="GP129" i="4"/>
  <c r="GQ129" i="4"/>
  <c r="GR129" i="4"/>
  <c r="GS129" i="4"/>
  <c r="GT129" i="4"/>
  <c r="GU129" i="4"/>
  <c r="GV129" i="4"/>
  <c r="GW129" i="4"/>
  <c r="GX129" i="4"/>
  <c r="GY129" i="4"/>
  <c r="GZ129" i="4"/>
  <c r="HA129" i="4"/>
  <c r="HB129" i="4"/>
  <c r="HC129" i="4"/>
  <c r="HD129" i="4"/>
  <c r="HE129" i="4"/>
  <c r="HF129" i="4"/>
  <c r="HG129" i="4"/>
  <c r="HH129" i="4"/>
  <c r="HI129" i="4"/>
  <c r="HJ129" i="4"/>
  <c r="HK129" i="4"/>
  <c r="HL129" i="4"/>
  <c r="HM129" i="4"/>
  <c r="HN129" i="4"/>
  <c r="HO129" i="4"/>
  <c r="HP129" i="4"/>
  <c r="HQ129" i="4"/>
  <c r="HR129" i="4"/>
  <c r="HS129" i="4"/>
  <c r="HT129" i="4"/>
  <c r="HU129" i="4"/>
  <c r="HV129" i="4"/>
  <c r="HW129" i="4"/>
  <c r="HX129" i="4"/>
  <c r="HY129" i="4"/>
  <c r="HZ129" i="4"/>
  <c r="IA129" i="4"/>
  <c r="IB129" i="4"/>
  <c r="IC129" i="4"/>
  <c r="ID129" i="4"/>
  <c r="IE129" i="4"/>
  <c r="IF129" i="4"/>
  <c r="IG129" i="4"/>
  <c r="IH129" i="4"/>
  <c r="II129" i="4"/>
  <c r="IJ129" i="4"/>
  <c r="IK129" i="4"/>
  <c r="IL129" i="4"/>
  <c r="IM129" i="4"/>
  <c r="IN129" i="4"/>
  <c r="IO129" i="4"/>
  <c r="IP129" i="4"/>
  <c r="IQ129" i="4"/>
  <c r="IR129" i="4"/>
  <c r="IS129" i="4"/>
  <c r="IT129" i="4"/>
  <c r="IU129" i="4"/>
  <c r="IV129" i="4"/>
  <c r="A128" i="4"/>
  <c r="B128" i="4"/>
  <c r="C128" i="4"/>
  <c r="D128" i="4"/>
  <c r="E128" i="4"/>
  <c r="F128" i="4"/>
  <c r="G128" i="4"/>
  <c r="H128" i="4"/>
  <c r="I128" i="4"/>
  <c r="J128" i="4"/>
  <c r="K128" i="4"/>
  <c r="L128" i="4"/>
  <c r="M128" i="4"/>
  <c r="N128" i="4"/>
  <c r="P128" i="4"/>
  <c r="Q128" i="4"/>
  <c r="R128" i="4"/>
  <c r="S128" i="4"/>
  <c r="T128" i="4"/>
  <c r="U128" i="4"/>
  <c r="V128" i="4"/>
  <c r="W128" i="4"/>
  <c r="X128" i="4"/>
  <c r="Y128" i="4"/>
  <c r="Z128" i="4"/>
  <c r="AA128" i="4"/>
  <c r="AB128" i="4"/>
  <c r="AC128" i="4"/>
  <c r="AD128" i="4"/>
  <c r="AE128" i="4"/>
  <c r="AF128" i="4"/>
  <c r="AG128" i="4"/>
  <c r="AH128" i="4"/>
  <c r="AI128" i="4"/>
  <c r="AJ128" i="4"/>
  <c r="AK128" i="4"/>
  <c r="AL128" i="4"/>
  <c r="AM128" i="4"/>
  <c r="AN128" i="4"/>
  <c r="AO128" i="4"/>
  <c r="AP128" i="4"/>
  <c r="AQ128" i="4"/>
  <c r="AR128" i="4"/>
  <c r="AS128" i="4"/>
  <c r="AT128" i="4"/>
  <c r="AU128" i="4"/>
  <c r="AV128" i="4"/>
  <c r="AW128" i="4"/>
  <c r="AX128" i="4"/>
  <c r="AY128" i="4"/>
  <c r="AZ128" i="4"/>
  <c r="BA128" i="4"/>
  <c r="BB128" i="4"/>
  <c r="BC128" i="4"/>
  <c r="BD128" i="4"/>
  <c r="BE128" i="4"/>
  <c r="BF128" i="4"/>
  <c r="BG128" i="4"/>
  <c r="BH128" i="4"/>
  <c r="BI128" i="4"/>
  <c r="BJ128" i="4"/>
  <c r="BK128" i="4"/>
  <c r="BL128" i="4"/>
  <c r="BM128" i="4"/>
  <c r="BN128" i="4"/>
  <c r="BO128" i="4"/>
  <c r="BP128" i="4"/>
  <c r="BQ128" i="4"/>
  <c r="BR128" i="4"/>
  <c r="BS128" i="4"/>
  <c r="BT128" i="4"/>
  <c r="BU128" i="4"/>
  <c r="BV128" i="4"/>
  <c r="BW128" i="4"/>
  <c r="BX128" i="4"/>
  <c r="BY128" i="4"/>
  <c r="BZ128" i="4"/>
  <c r="CA128" i="4"/>
  <c r="CB128" i="4"/>
  <c r="CC128" i="4"/>
  <c r="CD128" i="4"/>
  <c r="CE128" i="4"/>
  <c r="CF128" i="4"/>
  <c r="CG128" i="4"/>
  <c r="CH128" i="4"/>
  <c r="CI128" i="4"/>
  <c r="CJ128" i="4"/>
  <c r="CK128" i="4"/>
  <c r="CL128" i="4"/>
  <c r="CM128" i="4"/>
  <c r="CN128" i="4"/>
  <c r="CO128" i="4"/>
  <c r="CP128" i="4"/>
  <c r="CQ128" i="4"/>
  <c r="CR128" i="4"/>
  <c r="CS128" i="4"/>
  <c r="CT128" i="4"/>
  <c r="CU128" i="4"/>
  <c r="CV128" i="4"/>
  <c r="CW128" i="4"/>
  <c r="CX128" i="4"/>
  <c r="CY128" i="4"/>
  <c r="CZ128" i="4"/>
  <c r="DA128" i="4"/>
  <c r="DB128" i="4"/>
  <c r="DC128" i="4"/>
  <c r="DD128" i="4"/>
  <c r="DE128" i="4"/>
  <c r="DF128" i="4"/>
  <c r="DG128" i="4"/>
  <c r="DH128" i="4"/>
  <c r="DI128" i="4"/>
  <c r="DJ128" i="4"/>
  <c r="DK128" i="4"/>
  <c r="DL128" i="4"/>
  <c r="DM128" i="4"/>
  <c r="DN128" i="4"/>
  <c r="DO128" i="4"/>
  <c r="DP128" i="4"/>
  <c r="DQ128" i="4"/>
  <c r="DR128" i="4"/>
  <c r="DS128" i="4"/>
  <c r="DT128" i="4"/>
  <c r="DU128" i="4"/>
  <c r="DV128" i="4"/>
  <c r="DW128" i="4"/>
  <c r="DX128" i="4"/>
  <c r="DY128" i="4"/>
  <c r="DZ128" i="4"/>
  <c r="EA128" i="4"/>
  <c r="EB128" i="4"/>
  <c r="EC128" i="4"/>
  <c r="ED128" i="4"/>
  <c r="EE128" i="4"/>
  <c r="EF128" i="4"/>
  <c r="EG128" i="4"/>
  <c r="EH128" i="4"/>
  <c r="EI128" i="4"/>
  <c r="EJ128" i="4"/>
  <c r="EK128" i="4"/>
  <c r="EL128" i="4"/>
  <c r="EM128" i="4"/>
  <c r="EN128" i="4"/>
  <c r="EO128" i="4"/>
  <c r="EP128" i="4"/>
  <c r="EQ128" i="4"/>
  <c r="ER128" i="4"/>
  <c r="ES128" i="4"/>
  <c r="ET128" i="4"/>
  <c r="EU128" i="4"/>
  <c r="EV128" i="4"/>
  <c r="EW128" i="4"/>
  <c r="EX128" i="4"/>
  <c r="EY128" i="4"/>
  <c r="EZ128" i="4"/>
  <c r="FA128" i="4"/>
  <c r="FB128" i="4"/>
  <c r="FC128" i="4"/>
  <c r="FD128" i="4"/>
  <c r="FE128" i="4"/>
  <c r="FF128" i="4"/>
  <c r="FG128" i="4"/>
  <c r="FH128" i="4"/>
  <c r="FI128" i="4"/>
  <c r="FJ128" i="4"/>
  <c r="FK128" i="4"/>
  <c r="FL128" i="4"/>
  <c r="FM128" i="4"/>
  <c r="FN128" i="4"/>
  <c r="FO128" i="4"/>
  <c r="FP128" i="4"/>
  <c r="FQ128" i="4"/>
  <c r="FR128" i="4"/>
  <c r="FS128" i="4"/>
  <c r="FT128" i="4"/>
  <c r="FU128" i="4"/>
  <c r="FV128" i="4"/>
  <c r="FW128" i="4"/>
  <c r="FX128" i="4"/>
  <c r="FY128" i="4"/>
  <c r="FZ128" i="4"/>
  <c r="GA128" i="4"/>
  <c r="GB128" i="4"/>
  <c r="GC128" i="4"/>
  <c r="GD128" i="4"/>
  <c r="GE128" i="4"/>
  <c r="GF128" i="4"/>
  <c r="GG128" i="4"/>
  <c r="GH128" i="4"/>
  <c r="GI128" i="4"/>
  <c r="GJ128" i="4"/>
  <c r="GK128" i="4"/>
  <c r="GL128" i="4"/>
  <c r="GM128" i="4"/>
  <c r="GN128" i="4"/>
  <c r="GO128" i="4"/>
  <c r="GP128" i="4"/>
  <c r="GQ128" i="4"/>
  <c r="GR128" i="4"/>
  <c r="GS128" i="4"/>
  <c r="GT128" i="4"/>
  <c r="GU128" i="4"/>
  <c r="GV128" i="4"/>
  <c r="GW128" i="4"/>
  <c r="GX128" i="4"/>
  <c r="GY128" i="4"/>
  <c r="GZ128" i="4"/>
  <c r="HA128" i="4"/>
  <c r="HB128" i="4"/>
  <c r="HC128" i="4"/>
  <c r="HD128" i="4"/>
  <c r="HE128" i="4"/>
  <c r="HF128" i="4"/>
  <c r="HG128" i="4"/>
  <c r="HH128" i="4"/>
  <c r="HI128" i="4"/>
  <c r="HJ128" i="4"/>
  <c r="HK128" i="4"/>
  <c r="HL128" i="4"/>
  <c r="HM128" i="4"/>
  <c r="HN128" i="4"/>
  <c r="HO128" i="4"/>
  <c r="HP128" i="4"/>
  <c r="HQ128" i="4"/>
  <c r="HR128" i="4"/>
  <c r="HS128" i="4"/>
  <c r="HT128" i="4"/>
  <c r="HU128" i="4"/>
  <c r="HV128" i="4"/>
  <c r="HW128" i="4"/>
  <c r="HX128" i="4"/>
  <c r="HY128" i="4"/>
  <c r="HZ128" i="4"/>
  <c r="IA128" i="4"/>
  <c r="IB128" i="4"/>
  <c r="IC128" i="4"/>
  <c r="ID128" i="4"/>
  <c r="IE128" i="4"/>
  <c r="IF128" i="4"/>
  <c r="IG128" i="4"/>
  <c r="IH128" i="4"/>
  <c r="II128" i="4"/>
  <c r="IJ128" i="4"/>
  <c r="IK128" i="4"/>
  <c r="IL128" i="4"/>
  <c r="IM128" i="4"/>
  <c r="IN128" i="4"/>
  <c r="IO128" i="4"/>
  <c r="IP128" i="4"/>
  <c r="IQ128" i="4"/>
  <c r="IR128" i="4"/>
  <c r="IS128" i="4"/>
  <c r="IT128" i="4"/>
  <c r="IU128" i="4"/>
  <c r="IV128" i="4"/>
  <c r="A127" i="4"/>
  <c r="B127" i="4"/>
  <c r="C127" i="4"/>
  <c r="D127" i="4"/>
  <c r="E127" i="4"/>
  <c r="F127" i="4"/>
  <c r="G127" i="4"/>
  <c r="H127" i="4"/>
  <c r="I127" i="4"/>
  <c r="J127" i="4"/>
  <c r="K127" i="4"/>
  <c r="L127" i="4"/>
  <c r="M127" i="4"/>
  <c r="N127" i="4"/>
  <c r="O127" i="4"/>
  <c r="Q127" i="4"/>
  <c r="R127" i="4"/>
  <c r="S127" i="4"/>
  <c r="T127" i="4"/>
  <c r="U127" i="4"/>
  <c r="V127" i="4"/>
  <c r="W127" i="4"/>
  <c r="X127" i="4"/>
  <c r="Y127" i="4"/>
  <c r="Z127" i="4"/>
  <c r="AA127" i="4"/>
  <c r="AB127" i="4"/>
  <c r="AC127" i="4"/>
  <c r="AD127" i="4"/>
  <c r="AE127" i="4"/>
  <c r="AF127" i="4"/>
  <c r="AG127" i="4"/>
  <c r="AH127" i="4"/>
  <c r="AI127" i="4"/>
  <c r="AJ127" i="4"/>
  <c r="AK127" i="4"/>
  <c r="AL127" i="4"/>
  <c r="AM127" i="4"/>
  <c r="AN127" i="4"/>
  <c r="AO127" i="4"/>
  <c r="AP127" i="4"/>
  <c r="AQ127" i="4"/>
  <c r="AR127" i="4"/>
  <c r="AS127" i="4"/>
  <c r="AT127" i="4"/>
  <c r="AU127" i="4"/>
  <c r="AV127" i="4"/>
  <c r="AW127" i="4"/>
  <c r="AX127" i="4"/>
  <c r="AY127" i="4"/>
  <c r="AZ127" i="4"/>
  <c r="BA127" i="4"/>
  <c r="BB127" i="4"/>
  <c r="BC127" i="4"/>
  <c r="BD127" i="4"/>
  <c r="BE127" i="4"/>
  <c r="BF127" i="4"/>
  <c r="BG127" i="4"/>
  <c r="BH127" i="4"/>
  <c r="BI127" i="4"/>
  <c r="BJ127" i="4"/>
  <c r="BK127" i="4"/>
  <c r="BL127" i="4"/>
  <c r="BM127" i="4"/>
  <c r="BN127" i="4"/>
  <c r="BO127" i="4"/>
  <c r="BP127" i="4"/>
  <c r="BQ127" i="4"/>
  <c r="BR127" i="4"/>
  <c r="BS127" i="4"/>
  <c r="BT127" i="4"/>
  <c r="BU127" i="4"/>
  <c r="BV127" i="4"/>
  <c r="BW127" i="4"/>
  <c r="BX127" i="4"/>
  <c r="BY127" i="4"/>
  <c r="BZ127" i="4"/>
  <c r="CA127" i="4"/>
  <c r="CB127" i="4"/>
  <c r="CC127" i="4"/>
  <c r="CD127" i="4"/>
  <c r="CE127" i="4"/>
  <c r="CF127" i="4"/>
  <c r="CG127" i="4"/>
  <c r="CH127" i="4"/>
  <c r="CI127" i="4"/>
  <c r="CJ127" i="4"/>
  <c r="CK127" i="4"/>
  <c r="CL127" i="4"/>
  <c r="CM127" i="4"/>
  <c r="CN127" i="4"/>
  <c r="CO127" i="4"/>
  <c r="CP127" i="4"/>
  <c r="CQ127" i="4"/>
  <c r="CR127" i="4"/>
  <c r="CS127" i="4"/>
  <c r="CT127" i="4"/>
  <c r="CU127" i="4"/>
  <c r="CV127" i="4"/>
  <c r="CW127" i="4"/>
  <c r="CX127" i="4"/>
  <c r="CY127" i="4"/>
  <c r="CZ127" i="4"/>
  <c r="DA127" i="4"/>
  <c r="DB127" i="4"/>
  <c r="DC127" i="4"/>
  <c r="DD127" i="4"/>
  <c r="DE127" i="4"/>
  <c r="DF127" i="4"/>
  <c r="DG127" i="4"/>
  <c r="DH127" i="4"/>
  <c r="DI127" i="4"/>
  <c r="DJ127" i="4"/>
  <c r="DK127" i="4"/>
  <c r="DL127" i="4"/>
  <c r="DM127" i="4"/>
  <c r="DN127" i="4"/>
  <c r="DO127" i="4"/>
  <c r="DP127" i="4"/>
  <c r="DQ127" i="4"/>
  <c r="DR127" i="4"/>
  <c r="DS127" i="4"/>
  <c r="DT127" i="4"/>
  <c r="DU127" i="4"/>
  <c r="DV127" i="4"/>
  <c r="DW127" i="4"/>
  <c r="DX127" i="4"/>
  <c r="DY127" i="4"/>
  <c r="DZ127" i="4"/>
  <c r="EA127" i="4"/>
  <c r="EB127" i="4"/>
  <c r="EC127" i="4"/>
  <c r="ED127" i="4"/>
  <c r="EE127" i="4"/>
  <c r="EF127" i="4"/>
  <c r="EG127" i="4"/>
  <c r="EH127" i="4"/>
  <c r="EI127" i="4"/>
  <c r="EJ127" i="4"/>
  <c r="EK127" i="4"/>
  <c r="EL127" i="4"/>
  <c r="EM127" i="4"/>
  <c r="EN127" i="4"/>
  <c r="EO127" i="4"/>
  <c r="EP127" i="4"/>
  <c r="EQ127" i="4"/>
  <c r="ER127" i="4"/>
  <c r="ES127" i="4"/>
  <c r="ET127" i="4"/>
  <c r="EU127" i="4"/>
  <c r="EV127" i="4"/>
  <c r="EW127" i="4"/>
  <c r="EX127" i="4"/>
  <c r="EY127" i="4"/>
  <c r="EZ127" i="4"/>
  <c r="FA127" i="4"/>
  <c r="FB127" i="4"/>
  <c r="FC127" i="4"/>
  <c r="FD127" i="4"/>
  <c r="FE127" i="4"/>
  <c r="FF127" i="4"/>
  <c r="FG127" i="4"/>
  <c r="FH127" i="4"/>
  <c r="FI127" i="4"/>
  <c r="FJ127" i="4"/>
  <c r="FK127" i="4"/>
  <c r="FL127" i="4"/>
  <c r="FM127" i="4"/>
  <c r="FN127" i="4"/>
  <c r="FO127" i="4"/>
  <c r="FP127" i="4"/>
  <c r="FQ127" i="4"/>
  <c r="FR127" i="4"/>
  <c r="FS127" i="4"/>
  <c r="FT127" i="4"/>
  <c r="FU127" i="4"/>
  <c r="FV127" i="4"/>
  <c r="FW127" i="4"/>
  <c r="FX127" i="4"/>
  <c r="FY127" i="4"/>
  <c r="FZ127" i="4"/>
  <c r="GA127" i="4"/>
  <c r="GB127" i="4"/>
  <c r="GC127" i="4"/>
  <c r="GD127" i="4"/>
  <c r="GE127" i="4"/>
  <c r="GF127" i="4"/>
  <c r="GG127" i="4"/>
  <c r="GH127" i="4"/>
  <c r="GI127" i="4"/>
  <c r="GJ127" i="4"/>
  <c r="GK127" i="4"/>
  <c r="GL127" i="4"/>
  <c r="GM127" i="4"/>
  <c r="GN127" i="4"/>
  <c r="GO127" i="4"/>
  <c r="GP127" i="4"/>
  <c r="GQ127" i="4"/>
  <c r="GR127" i="4"/>
  <c r="GS127" i="4"/>
  <c r="GT127" i="4"/>
  <c r="GU127" i="4"/>
  <c r="GV127" i="4"/>
  <c r="GW127" i="4"/>
  <c r="GX127" i="4"/>
  <c r="GY127" i="4"/>
  <c r="GZ127" i="4"/>
  <c r="HA127" i="4"/>
  <c r="HB127" i="4"/>
  <c r="HC127" i="4"/>
  <c r="HD127" i="4"/>
  <c r="HE127" i="4"/>
  <c r="HF127" i="4"/>
  <c r="HG127" i="4"/>
  <c r="HH127" i="4"/>
  <c r="HI127" i="4"/>
  <c r="HJ127" i="4"/>
  <c r="HK127" i="4"/>
  <c r="HL127" i="4"/>
  <c r="HM127" i="4"/>
  <c r="HN127" i="4"/>
  <c r="HO127" i="4"/>
  <c r="HP127" i="4"/>
  <c r="HQ127" i="4"/>
  <c r="HR127" i="4"/>
  <c r="HS127" i="4"/>
  <c r="HT127" i="4"/>
  <c r="HU127" i="4"/>
  <c r="HV127" i="4"/>
  <c r="HW127" i="4"/>
  <c r="HX127" i="4"/>
  <c r="HY127" i="4"/>
  <c r="HZ127" i="4"/>
  <c r="IA127" i="4"/>
  <c r="IB127" i="4"/>
  <c r="IC127" i="4"/>
  <c r="ID127" i="4"/>
  <c r="IE127" i="4"/>
  <c r="IF127" i="4"/>
  <c r="IG127" i="4"/>
  <c r="IH127" i="4"/>
  <c r="II127" i="4"/>
  <c r="IJ127" i="4"/>
  <c r="IK127" i="4"/>
  <c r="IL127" i="4"/>
  <c r="IM127" i="4"/>
  <c r="IN127" i="4"/>
  <c r="IO127" i="4"/>
  <c r="IP127" i="4"/>
  <c r="IQ127" i="4"/>
  <c r="IR127" i="4"/>
  <c r="IS127" i="4"/>
  <c r="IT127" i="4"/>
  <c r="IU127" i="4"/>
  <c r="IV127" i="4"/>
  <c r="A126" i="4"/>
  <c r="B126" i="4"/>
  <c r="C126" i="4"/>
  <c r="D126" i="4"/>
  <c r="E126" i="4"/>
  <c r="F126" i="4"/>
  <c r="G126" i="4"/>
  <c r="H126" i="4"/>
  <c r="I126" i="4"/>
  <c r="J126" i="4"/>
  <c r="K126" i="4"/>
  <c r="L126" i="4"/>
  <c r="M126" i="4"/>
  <c r="N126" i="4"/>
  <c r="O126" i="4"/>
  <c r="P126" i="4"/>
  <c r="R126" i="4"/>
  <c r="S126" i="4"/>
  <c r="T126" i="4"/>
  <c r="U126" i="4"/>
  <c r="V126" i="4"/>
  <c r="W126" i="4"/>
  <c r="X126" i="4"/>
  <c r="Y126" i="4"/>
  <c r="Z126" i="4"/>
  <c r="AA126" i="4"/>
  <c r="AB126" i="4"/>
  <c r="AC126" i="4"/>
  <c r="AD126" i="4"/>
  <c r="AE126" i="4"/>
  <c r="AF126" i="4"/>
  <c r="AG126" i="4"/>
  <c r="AH126" i="4"/>
  <c r="AI126" i="4"/>
  <c r="AJ126" i="4"/>
  <c r="AK126" i="4"/>
  <c r="AL126" i="4"/>
  <c r="AM126" i="4"/>
  <c r="AN126" i="4"/>
  <c r="AO126" i="4"/>
  <c r="AP126" i="4"/>
  <c r="AQ126" i="4"/>
  <c r="AR126" i="4"/>
  <c r="AS126" i="4"/>
  <c r="AT126" i="4"/>
  <c r="AU126" i="4"/>
  <c r="AV126" i="4"/>
  <c r="AW126" i="4"/>
  <c r="AX126" i="4"/>
  <c r="AY126" i="4"/>
  <c r="AZ126" i="4"/>
  <c r="BA126" i="4"/>
  <c r="BB126" i="4"/>
  <c r="BC126" i="4"/>
  <c r="BD126" i="4"/>
  <c r="BE126" i="4"/>
  <c r="BF126" i="4"/>
  <c r="BG126" i="4"/>
  <c r="BH126" i="4"/>
  <c r="BI126" i="4"/>
  <c r="BJ126" i="4"/>
  <c r="BK126" i="4"/>
  <c r="BL126" i="4"/>
  <c r="BM126" i="4"/>
  <c r="BN126" i="4"/>
  <c r="BO126" i="4"/>
  <c r="BP126" i="4"/>
  <c r="BQ126" i="4"/>
  <c r="BR126" i="4"/>
  <c r="BS126" i="4"/>
  <c r="BT126" i="4"/>
  <c r="BU126" i="4"/>
  <c r="BV126" i="4"/>
  <c r="BW126" i="4"/>
  <c r="BX126" i="4"/>
  <c r="BY126" i="4"/>
  <c r="BZ126" i="4"/>
  <c r="CA126" i="4"/>
  <c r="CB126" i="4"/>
  <c r="CC126" i="4"/>
  <c r="CD126" i="4"/>
  <c r="CE126" i="4"/>
  <c r="CF126" i="4"/>
  <c r="CG126" i="4"/>
  <c r="CH126" i="4"/>
  <c r="CI126" i="4"/>
  <c r="CJ126" i="4"/>
  <c r="CK126" i="4"/>
  <c r="CL126" i="4"/>
  <c r="CM126" i="4"/>
  <c r="CN126" i="4"/>
  <c r="CO126" i="4"/>
  <c r="CP126" i="4"/>
  <c r="CQ126" i="4"/>
  <c r="CR126" i="4"/>
  <c r="CS126" i="4"/>
  <c r="CT126" i="4"/>
  <c r="CU126" i="4"/>
  <c r="CV126" i="4"/>
  <c r="CW126" i="4"/>
  <c r="CX126" i="4"/>
  <c r="CY126" i="4"/>
  <c r="CZ126" i="4"/>
  <c r="DA126" i="4"/>
  <c r="DB126" i="4"/>
  <c r="DC126" i="4"/>
  <c r="DD126" i="4"/>
  <c r="DE126" i="4"/>
  <c r="DF126" i="4"/>
  <c r="DG126" i="4"/>
  <c r="DH126" i="4"/>
  <c r="DI126" i="4"/>
  <c r="DJ126" i="4"/>
  <c r="DK126" i="4"/>
  <c r="DL126" i="4"/>
  <c r="DM126" i="4"/>
  <c r="DN126" i="4"/>
  <c r="DO126" i="4"/>
  <c r="DP126" i="4"/>
  <c r="DQ126" i="4"/>
  <c r="DR126" i="4"/>
  <c r="DS126" i="4"/>
  <c r="DT126" i="4"/>
  <c r="DU126" i="4"/>
  <c r="DV126" i="4"/>
  <c r="DW126" i="4"/>
  <c r="DX126" i="4"/>
  <c r="DY126" i="4"/>
  <c r="DZ126" i="4"/>
  <c r="EA126" i="4"/>
  <c r="EB126" i="4"/>
  <c r="EC126" i="4"/>
  <c r="ED126" i="4"/>
  <c r="EE126" i="4"/>
  <c r="EF126" i="4"/>
  <c r="EG126" i="4"/>
  <c r="EH126" i="4"/>
  <c r="EI126" i="4"/>
  <c r="EJ126" i="4"/>
  <c r="EK126" i="4"/>
  <c r="EL126" i="4"/>
  <c r="EM126" i="4"/>
  <c r="EN126" i="4"/>
  <c r="EO126" i="4"/>
  <c r="EP126" i="4"/>
  <c r="EQ126" i="4"/>
  <c r="ER126" i="4"/>
  <c r="ES126" i="4"/>
  <c r="ET126" i="4"/>
  <c r="EU126" i="4"/>
  <c r="EV126" i="4"/>
  <c r="EW126" i="4"/>
  <c r="EX126" i="4"/>
  <c r="EY126" i="4"/>
  <c r="EZ126" i="4"/>
  <c r="FA126" i="4"/>
  <c r="FB126" i="4"/>
  <c r="FC126" i="4"/>
  <c r="FD126" i="4"/>
  <c r="FE126" i="4"/>
  <c r="FF126" i="4"/>
  <c r="FG126" i="4"/>
  <c r="FH126" i="4"/>
  <c r="FI126" i="4"/>
  <c r="FJ126" i="4"/>
  <c r="FK126" i="4"/>
  <c r="FL126" i="4"/>
  <c r="FM126" i="4"/>
  <c r="FN126" i="4"/>
  <c r="FO126" i="4"/>
  <c r="FP126" i="4"/>
  <c r="FQ126" i="4"/>
  <c r="FR126" i="4"/>
  <c r="FS126" i="4"/>
  <c r="FT126" i="4"/>
  <c r="FU126" i="4"/>
  <c r="FV126" i="4"/>
  <c r="FW126" i="4"/>
  <c r="FX126" i="4"/>
  <c r="FY126" i="4"/>
  <c r="FZ126" i="4"/>
  <c r="GA126" i="4"/>
  <c r="GB126" i="4"/>
  <c r="GC126" i="4"/>
  <c r="GD126" i="4"/>
  <c r="GE126" i="4"/>
  <c r="GF126" i="4"/>
  <c r="GG126" i="4"/>
  <c r="GH126" i="4"/>
  <c r="GI126" i="4"/>
  <c r="GJ126" i="4"/>
  <c r="GK126" i="4"/>
  <c r="GL126" i="4"/>
  <c r="GM126" i="4"/>
  <c r="GN126" i="4"/>
  <c r="GO126" i="4"/>
  <c r="GP126" i="4"/>
  <c r="GQ126" i="4"/>
  <c r="GR126" i="4"/>
  <c r="GS126" i="4"/>
  <c r="GT126" i="4"/>
  <c r="GU126" i="4"/>
  <c r="GV126" i="4"/>
  <c r="GW126" i="4"/>
  <c r="GX126" i="4"/>
  <c r="GY126" i="4"/>
  <c r="GZ126" i="4"/>
  <c r="HA126" i="4"/>
  <c r="HB126" i="4"/>
  <c r="HC126" i="4"/>
  <c r="HD126" i="4"/>
  <c r="HE126" i="4"/>
  <c r="HF126" i="4"/>
  <c r="HG126" i="4"/>
  <c r="HH126" i="4"/>
  <c r="HI126" i="4"/>
  <c r="HJ126" i="4"/>
  <c r="HK126" i="4"/>
  <c r="HL126" i="4"/>
  <c r="HM126" i="4"/>
  <c r="HN126" i="4"/>
  <c r="HO126" i="4"/>
  <c r="HP126" i="4"/>
  <c r="HQ126" i="4"/>
  <c r="HR126" i="4"/>
  <c r="HS126" i="4"/>
  <c r="HT126" i="4"/>
  <c r="HU126" i="4"/>
  <c r="HV126" i="4"/>
  <c r="HW126" i="4"/>
  <c r="HX126" i="4"/>
  <c r="HY126" i="4"/>
  <c r="HZ126" i="4"/>
  <c r="IA126" i="4"/>
  <c r="IB126" i="4"/>
  <c r="IC126" i="4"/>
  <c r="ID126" i="4"/>
  <c r="IE126" i="4"/>
  <c r="IF126" i="4"/>
  <c r="IG126" i="4"/>
  <c r="IH126" i="4"/>
  <c r="II126" i="4"/>
  <c r="IJ126" i="4"/>
  <c r="IK126" i="4"/>
  <c r="IL126" i="4"/>
  <c r="IM126" i="4"/>
  <c r="IN126" i="4"/>
  <c r="IO126" i="4"/>
  <c r="IP126" i="4"/>
  <c r="IQ126" i="4"/>
  <c r="IR126" i="4"/>
  <c r="IS126" i="4"/>
  <c r="IT126" i="4"/>
  <c r="IU126" i="4"/>
  <c r="IV126" i="4"/>
  <c r="A125" i="4"/>
  <c r="B125" i="4"/>
  <c r="C125" i="4"/>
  <c r="D125" i="4"/>
  <c r="E125" i="4"/>
  <c r="F125" i="4"/>
  <c r="G125" i="4"/>
  <c r="H125" i="4"/>
  <c r="I125" i="4"/>
  <c r="J125" i="4"/>
  <c r="K125" i="4"/>
  <c r="L125" i="4"/>
  <c r="M125" i="4"/>
  <c r="N125" i="4"/>
  <c r="O125" i="4"/>
  <c r="P125" i="4"/>
  <c r="Q125" i="4"/>
  <c r="R125" i="4"/>
  <c r="S125" i="4"/>
  <c r="T125" i="4"/>
  <c r="U125" i="4"/>
  <c r="V125" i="4"/>
  <c r="W125" i="4"/>
  <c r="X125" i="4"/>
  <c r="Y125" i="4"/>
  <c r="Z125" i="4"/>
  <c r="AA125" i="4"/>
  <c r="AB125" i="4"/>
  <c r="AC125" i="4"/>
  <c r="AD125" i="4"/>
  <c r="AE125" i="4"/>
  <c r="AF125" i="4"/>
  <c r="AG125" i="4"/>
  <c r="AH125" i="4"/>
  <c r="AI125" i="4"/>
  <c r="AJ125" i="4"/>
  <c r="AK125" i="4"/>
  <c r="AL125" i="4"/>
  <c r="AM125" i="4"/>
  <c r="AN125" i="4"/>
  <c r="AO125" i="4"/>
  <c r="AP125" i="4"/>
  <c r="AQ125" i="4"/>
  <c r="AR125" i="4"/>
  <c r="AS125" i="4"/>
  <c r="AT125" i="4"/>
  <c r="AU125" i="4"/>
  <c r="AV125" i="4"/>
  <c r="AW125" i="4"/>
  <c r="AX125" i="4"/>
  <c r="AY125" i="4"/>
  <c r="AZ125" i="4"/>
  <c r="BA125" i="4"/>
  <c r="BB125" i="4"/>
  <c r="BC125" i="4"/>
  <c r="BD125" i="4"/>
  <c r="BE125" i="4"/>
  <c r="BF125" i="4"/>
  <c r="BG125" i="4"/>
  <c r="BH125" i="4"/>
  <c r="BI125" i="4"/>
  <c r="BJ125" i="4"/>
  <c r="BK125" i="4"/>
  <c r="BL125" i="4"/>
  <c r="BM125" i="4"/>
  <c r="BN125" i="4"/>
  <c r="BO125" i="4"/>
  <c r="BP125" i="4"/>
  <c r="BQ125" i="4"/>
  <c r="BR125" i="4"/>
  <c r="BS125" i="4"/>
  <c r="BT125" i="4"/>
  <c r="BU125" i="4"/>
  <c r="BV125" i="4"/>
  <c r="BW125" i="4"/>
  <c r="BX125" i="4"/>
  <c r="BY125" i="4"/>
  <c r="BZ125" i="4"/>
  <c r="CA125" i="4"/>
  <c r="CB125" i="4"/>
  <c r="CC125" i="4"/>
  <c r="CD125" i="4"/>
  <c r="CE125" i="4"/>
  <c r="CF125" i="4"/>
  <c r="CG125" i="4"/>
  <c r="CH125" i="4"/>
  <c r="CI125" i="4"/>
  <c r="CJ125" i="4"/>
  <c r="CK125" i="4"/>
  <c r="CL125" i="4"/>
  <c r="CM125" i="4"/>
  <c r="CN125" i="4"/>
  <c r="CO125" i="4"/>
  <c r="CP125" i="4"/>
  <c r="CQ125" i="4"/>
  <c r="CR125" i="4"/>
  <c r="CS125" i="4"/>
  <c r="CT125" i="4"/>
  <c r="CU125" i="4"/>
  <c r="CV125" i="4"/>
  <c r="CW125" i="4"/>
  <c r="CX125" i="4"/>
  <c r="CY125" i="4"/>
  <c r="CZ125" i="4"/>
  <c r="DA125" i="4"/>
  <c r="DB125" i="4"/>
  <c r="DC125" i="4"/>
  <c r="DD125" i="4"/>
  <c r="DE125" i="4"/>
  <c r="DF125" i="4"/>
  <c r="DG125" i="4"/>
  <c r="DH125" i="4"/>
  <c r="DI125" i="4"/>
  <c r="DJ125" i="4"/>
  <c r="DK125" i="4"/>
  <c r="DL125" i="4"/>
  <c r="DM125" i="4"/>
  <c r="DN125" i="4"/>
  <c r="DO125" i="4"/>
  <c r="DP125" i="4"/>
  <c r="DQ125" i="4"/>
  <c r="DR125" i="4"/>
  <c r="DS125" i="4"/>
  <c r="DT125" i="4"/>
  <c r="DU125" i="4"/>
  <c r="DV125" i="4"/>
  <c r="DW125" i="4"/>
  <c r="DX125" i="4"/>
  <c r="DY125" i="4"/>
  <c r="DZ125" i="4"/>
  <c r="EA125" i="4"/>
  <c r="EB125" i="4"/>
  <c r="EC125" i="4"/>
  <c r="ED125" i="4"/>
  <c r="EE125" i="4"/>
  <c r="EF125" i="4"/>
  <c r="EG125" i="4"/>
  <c r="EH125" i="4"/>
  <c r="EI125" i="4"/>
  <c r="EJ125" i="4"/>
  <c r="EK125" i="4"/>
  <c r="EL125" i="4"/>
  <c r="EM125" i="4"/>
  <c r="EN125" i="4"/>
  <c r="EO125" i="4"/>
  <c r="EP125" i="4"/>
  <c r="EQ125" i="4"/>
  <c r="ER125" i="4"/>
  <c r="ES125" i="4"/>
  <c r="ET125" i="4"/>
  <c r="EU125" i="4"/>
  <c r="EV125" i="4"/>
  <c r="EW125" i="4"/>
  <c r="EX125" i="4"/>
  <c r="EY125" i="4"/>
  <c r="EZ125" i="4"/>
  <c r="FA125" i="4"/>
  <c r="FB125" i="4"/>
  <c r="FC125" i="4"/>
  <c r="FD125" i="4"/>
  <c r="FE125" i="4"/>
  <c r="FF125" i="4"/>
  <c r="FG125" i="4"/>
  <c r="FH125" i="4"/>
  <c r="FI125" i="4"/>
  <c r="FJ125" i="4"/>
  <c r="FK125" i="4"/>
  <c r="FL125" i="4"/>
  <c r="FM125" i="4"/>
  <c r="FN125" i="4"/>
  <c r="FO125" i="4"/>
  <c r="FP125" i="4"/>
  <c r="FQ125" i="4"/>
  <c r="FR125" i="4"/>
  <c r="FS125" i="4"/>
  <c r="FT125" i="4"/>
  <c r="FU125" i="4"/>
  <c r="FV125" i="4"/>
  <c r="FW125" i="4"/>
  <c r="FX125" i="4"/>
  <c r="FY125" i="4"/>
  <c r="FZ125" i="4"/>
  <c r="GA125" i="4"/>
  <c r="GB125" i="4"/>
  <c r="GC125" i="4"/>
  <c r="GD125" i="4"/>
  <c r="GE125" i="4"/>
  <c r="GF125" i="4"/>
  <c r="GG125" i="4"/>
  <c r="GH125" i="4"/>
  <c r="GI125" i="4"/>
  <c r="GJ125" i="4"/>
  <c r="GK125" i="4"/>
  <c r="GL125" i="4"/>
  <c r="GM125" i="4"/>
  <c r="GN125" i="4"/>
  <c r="GO125" i="4"/>
  <c r="GP125" i="4"/>
  <c r="GQ125" i="4"/>
  <c r="GR125" i="4"/>
  <c r="GS125" i="4"/>
  <c r="GT125" i="4"/>
  <c r="GU125" i="4"/>
  <c r="GV125" i="4"/>
  <c r="GW125" i="4"/>
  <c r="GX125" i="4"/>
  <c r="GY125" i="4"/>
  <c r="GZ125" i="4"/>
  <c r="HA125" i="4"/>
  <c r="HB125" i="4"/>
  <c r="HC125" i="4"/>
  <c r="HD125" i="4"/>
  <c r="HE125" i="4"/>
  <c r="HF125" i="4"/>
  <c r="HG125" i="4"/>
  <c r="HH125" i="4"/>
  <c r="HI125" i="4"/>
  <c r="HJ125" i="4"/>
  <c r="HK125" i="4"/>
  <c r="HL125" i="4"/>
  <c r="HM125" i="4"/>
  <c r="HN125" i="4"/>
  <c r="HO125" i="4"/>
  <c r="HP125" i="4"/>
  <c r="HQ125" i="4"/>
  <c r="HR125" i="4"/>
  <c r="HS125" i="4"/>
  <c r="HT125" i="4"/>
  <c r="HU125" i="4"/>
  <c r="HV125" i="4"/>
  <c r="HW125" i="4"/>
  <c r="HX125" i="4"/>
  <c r="HY125" i="4"/>
  <c r="HZ125" i="4"/>
  <c r="IA125" i="4"/>
  <c r="IB125" i="4"/>
  <c r="IC125" i="4"/>
  <c r="ID125" i="4"/>
  <c r="IE125" i="4"/>
  <c r="IF125" i="4"/>
  <c r="IG125" i="4"/>
  <c r="IH125" i="4"/>
  <c r="II125" i="4"/>
  <c r="IJ125" i="4"/>
  <c r="IK125" i="4"/>
  <c r="IL125" i="4"/>
  <c r="IM125" i="4"/>
  <c r="IN125" i="4"/>
  <c r="IO125" i="4"/>
  <c r="IP125" i="4"/>
  <c r="IQ125" i="4"/>
  <c r="IR125" i="4"/>
  <c r="IS125" i="4"/>
  <c r="IT125" i="4"/>
  <c r="IU125" i="4"/>
  <c r="IV125" i="4"/>
  <c r="A124" i="4"/>
  <c r="B124" i="4"/>
  <c r="C124" i="4"/>
  <c r="D124" i="4"/>
  <c r="E124" i="4"/>
  <c r="F124" i="4"/>
  <c r="G124" i="4"/>
  <c r="H124" i="4"/>
  <c r="I124" i="4"/>
  <c r="J124" i="4"/>
  <c r="K124" i="4"/>
  <c r="L124" i="4"/>
  <c r="M124" i="4"/>
  <c r="N124" i="4"/>
  <c r="O124" i="4"/>
  <c r="P124" i="4"/>
  <c r="Q124" i="4"/>
  <c r="R124" i="4"/>
  <c r="T124" i="4"/>
  <c r="U124" i="4"/>
  <c r="V124" i="4"/>
  <c r="W124" i="4"/>
  <c r="X124" i="4"/>
  <c r="Y124" i="4"/>
  <c r="Z124" i="4"/>
  <c r="AA124" i="4"/>
  <c r="AB124" i="4"/>
  <c r="AC124" i="4"/>
  <c r="AD124" i="4"/>
  <c r="AE124" i="4"/>
  <c r="AF124" i="4"/>
  <c r="AG124" i="4"/>
  <c r="AH124" i="4"/>
  <c r="AI124" i="4"/>
  <c r="AJ124" i="4"/>
  <c r="AK124" i="4"/>
  <c r="AL124" i="4"/>
  <c r="AM124" i="4"/>
  <c r="AN124" i="4"/>
  <c r="AO124" i="4"/>
  <c r="AP124" i="4"/>
  <c r="AQ124" i="4"/>
  <c r="AR124" i="4"/>
  <c r="AS124" i="4"/>
  <c r="AT124" i="4"/>
  <c r="AU124" i="4"/>
  <c r="AV124" i="4"/>
  <c r="AW124" i="4"/>
  <c r="AX124" i="4"/>
  <c r="AY124" i="4"/>
  <c r="AZ124" i="4"/>
  <c r="BA124" i="4"/>
  <c r="BB124" i="4"/>
  <c r="BC124" i="4"/>
  <c r="BD124" i="4"/>
  <c r="BE124" i="4"/>
  <c r="BF124" i="4"/>
  <c r="BG124" i="4"/>
  <c r="BH124" i="4"/>
  <c r="BI124" i="4"/>
  <c r="BJ124" i="4"/>
  <c r="BK124" i="4"/>
  <c r="BL124" i="4"/>
  <c r="BM124" i="4"/>
  <c r="BN124" i="4"/>
  <c r="BO124" i="4"/>
  <c r="BP124" i="4"/>
  <c r="BQ124" i="4"/>
  <c r="BR124" i="4"/>
  <c r="BS124" i="4"/>
  <c r="BT124" i="4"/>
  <c r="BU124" i="4"/>
  <c r="BV124" i="4"/>
  <c r="BW124" i="4"/>
  <c r="BX124" i="4"/>
  <c r="BY124" i="4"/>
  <c r="BZ124" i="4"/>
  <c r="CA124" i="4"/>
  <c r="CB124" i="4"/>
  <c r="CC124" i="4"/>
  <c r="CD124" i="4"/>
  <c r="CE124" i="4"/>
  <c r="CF124" i="4"/>
  <c r="CG124" i="4"/>
  <c r="CH124" i="4"/>
  <c r="CI124" i="4"/>
  <c r="CJ124" i="4"/>
  <c r="CK124" i="4"/>
  <c r="CL124" i="4"/>
  <c r="CM124" i="4"/>
  <c r="CN124" i="4"/>
  <c r="CO124" i="4"/>
  <c r="CP124" i="4"/>
  <c r="CQ124" i="4"/>
  <c r="CR124" i="4"/>
  <c r="CS124" i="4"/>
  <c r="CT124" i="4"/>
  <c r="CU124" i="4"/>
  <c r="CV124" i="4"/>
  <c r="CW124" i="4"/>
  <c r="CX124" i="4"/>
  <c r="CY124" i="4"/>
  <c r="CZ124" i="4"/>
  <c r="DA124" i="4"/>
  <c r="DB124" i="4"/>
  <c r="DC124" i="4"/>
  <c r="DD124" i="4"/>
  <c r="DE124" i="4"/>
  <c r="DF124" i="4"/>
  <c r="DG124" i="4"/>
  <c r="DH124" i="4"/>
  <c r="DI124" i="4"/>
  <c r="DJ124" i="4"/>
  <c r="DK124" i="4"/>
  <c r="DL124" i="4"/>
  <c r="DM124" i="4"/>
  <c r="DN124" i="4"/>
  <c r="DO124" i="4"/>
  <c r="DP124" i="4"/>
  <c r="DQ124" i="4"/>
  <c r="DR124" i="4"/>
  <c r="DS124" i="4"/>
  <c r="DT124" i="4"/>
  <c r="DU124" i="4"/>
  <c r="DV124" i="4"/>
  <c r="DW124" i="4"/>
  <c r="DX124" i="4"/>
  <c r="DY124" i="4"/>
  <c r="DZ124" i="4"/>
  <c r="EA124" i="4"/>
  <c r="EB124" i="4"/>
  <c r="EC124" i="4"/>
  <c r="ED124" i="4"/>
  <c r="EE124" i="4"/>
  <c r="EF124" i="4"/>
  <c r="EG124" i="4"/>
  <c r="EH124" i="4"/>
  <c r="EI124" i="4"/>
  <c r="EJ124" i="4"/>
  <c r="EK124" i="4"/>
  <c r="EL124" i="4"/>
  <c r="EM124" i="4"/>
  <c r="EN124" i="4"/>
  <c r="EO124" i="4"/>
  <c r="EP124" i="4"/>
  <c r="EQ124" i="4"/>
  <c r="ER124" i="4"/>
  <c r="ES124" i="4"/>
  <c r="ET124" i="4"/>
  <c r="EU124" i="4"/>
  <c r="EV124" i="4"/>
  <c r="EW124" i="4"/>
  <c r="EX124" i="4"/>
  <c r="EY124" i="4"/>
  <c r="EZ124" i="4"/>
  <c r="FA124" i="4"/>
  <c r="FB124" i="4"/>
  <c r="FC124" i="4"/>
  <c r="FD124" i="4"/>
  <c r="FE124" i="4"/>
  <c r="FF124" i="4"/>
  <c r="FG124" i="4"/>
  <c r="FH124" i="4"/>
  <c r="FI124" i="4"/>
  <c r="FJ124" i="4"/>
  <c r="FK124" i="4"/>
  <c r="FL124" i="4"/>
  <c r="FM124" i="4"/>
  <c r="FN124" i="4"/>
  <c r="FO124" i="4"/>
  <c r="FP124" i="4"/>
  <c r="FQ124" i="4"/>
  <c r="FR124" i="4"/>
  <c r="FS124" i="4"/>
  <c r="FT124" i="4"/>
  <c r="FU124" i="4"/>
  <c r="FV124" i="4"/>
  <c r="FW124" i="4"/>
  <c r="FX124" i="4"/>
  <c r="FY124" i="4"/>
  <c r="FZ124" i="4"/>
  <c r="GA124" i="4"/>
  <c r="GB124" i="4"/>
  <c r="GC124" i="4"/>
  <c r="GD124" i="4"/>
  <c r="GE124" i="4"/>
  <c r="GF124" i="4"/>
  <c r="GG124" i="4"/>
  <c r="GH124" i="4"/>
  <c r="GI124" i="4"/>
  <c r="GJ124" i="4"/>
  <c r="GK124" i="4"/>
  <c r="GL124" i="4"/>
  <c r="GM124" i="4"/>
  <c r="GN124" i="4"/>
  <c r="GO124" i="4"/>
  <c r="GP124" i="4"/>
  <c r="GQ124" i="4"/>
  <c r="GR124" i="4"/>
  <c r="GS124" i="4"/>
  <c r="GT124" i="4"/>
  <c r="GU124" i="4"/>
  <c r="GV124" i="4"/>
  <c r="GW124" i="4"/>
  <c r="GX124" i="4"/>
  <c r="GY124" i="4"/>
  <c r="GZ124" i="4"/>
  <c r="HA124" i="4"/>
  <c r="HB124" i="4"/>
  <c r="HC124" i="4"/>
  <c r="HD124" i="4"/>
  <c r="HE124" i="4"/>
  <c r="HF124" i="4"/>
  <c r="HG124" i="4"/>
  <c r="HH124" i="4"/>
  <c r="HI124" i="4"/>
  <c r="HJ124" i="4"/>
  <c r="HK124" i="4"/>
  <c r="HL124" i="4"/>
  <c r="HM124" i="4"/>
  <c r="HN124" i="4"/>
  <c r="HO124" i="4"/>
  <c r="HP124" i="4"/>
  <c r="HQ124" i="4"/>
  <c r="HR124" i="4"/>
  <c r="HS124" i="4"/>
  <c r="HT124" i="4"/>
  <c r="HU124" i="4"/>
  <c r="HV124" i="4"/>
  <c r="HW124" i="4"/>
  <c r="HX124" i="4"/>
  <c r="HY124" i="4"/>
  <c r="HZ124" i="4"/>
  <c r="IA124" i="4"/>
  <c r="IB124" i="4"/>
  <c r="IC124" i="4"/>
  <c r="ID124" i="4"/>
  <c r="IE124" i="4"/>
  <c r="IF124" i="4"/>
  <c r="IG124" i="4"/>
  <c r="IH124" i="4"/>
  <c r="II124" i="4"/>
  <c r="IJ124" i="4"/>
  <c r="IK124" i="4"/>
  <c r="IL124" i="4"/>
  <c r="IM124" i="4"/>
  <c r="IN124" i="4"/>
  <c r="IO124" i="4"/>
  <c r="IP124" i="4"/>
  <c r="IQ124" i="4"/>
  <c r="IR124" i="4"/>
  <c r="IS124" i="4"/>
  <c r="IT124" i="4"/>
  <c r="IU124" i="4"/>
  <c r="IV124" i="4"/>
  <c r="A123" i="4"/>
  <c r="B123" i="4"/>
  <c r="C123" i="4"/>
  <c r="D123" i="4"/>
  <c r="E123" i="4"/>
  <c r="F123" i="4"/>
  <c r="G123" i="4"/>
  <c r="H123" i="4"/>
  <c r="I123" i="4"/>
  <c r="J123" i="4"/>
  <c r="K123" i="4"/>
  <c r="L123" i="4"/>
  <c r="M123" i="4"/>
  <c r="N123" i="4"/>
  <c r="O123" i="4"/>
  <c r="P123" i="4"/>
  <c r="Q123" i="4"/>
  <c r="R123" i="4"/>
  <c r="S123" i="4"/>
  <c r="U123" i="4"/>
  <c r="V123" i="4"/>
  <c r="W123" i="4"/>
  <c r="X123" i="4"/>
  <c r="Y123" i="4"/>
  <c r="Z123" i="4"/>
  <c r="AA123" i="4"/>
  <c r="AB123" i="4"/>
  <c r="AC123" i="4"/>
  <c r="AD123" i="4"/>
  <c r="AE123" i="4"/>
  <c r="AF123" i="4"/>
  <c r="AG123" i="4"/>
  <c r="AH123" i="4"/>
  <c r="AI123" i="4"/>
  <c r="AJ123" i="4"/>
  <c r="AK123" i="4"/>
  <c r="AL123" i="4"/>
  <c r="AM123" i="4"/>
  <c r="AN123" i="4"/>
  <c r="AO123" i="4"/>
  <c r="AP123" i="4"/>
  <c r="AQ123" i="4"/>
  <c r="AR123" i="4"/>
  <c r="AS123" i="4"/>
  <c r="AT123" i="4"/>
  <c r="AU123" i="4"/>
  <c r="AV123" i="4"/>
  <c r="AW123" i="4"/>
  <c r="AX123" i="4"/>
  <c r="AY123" i="4"/>
  <c r="AZ123" i="4"/>
  <c r="BA123" i="4"/>
  <c r="BB123" i="4"/>
  <c r="BC123" i="4"/>
  <c r="BD123" i="4"/>
  <c r="BE123" i="4"/>
  <c r="BF123" i="4"/>
  <c r="BG123" i="4"/>
  <c r="BH123" i="4"/>
  <c r="BI123" i="4"/>
  <c r="BJ123" i="4"/>
  <c r="BK123" i="4"/>
  <c r="BL123" i="4"/>
  <c r="BM123" i="4"/>
  <c r="BN123" i="4"/>
  <c r="BO123" i="4"/>
  <c r="BP123" i="4"/>
  <c r="BQ123" i="4"/>
  <c r="BR123" i="4"/>
  <c r="BS123" i="4"/>
  <c r="BT123" i="4"/>
  <c r="BU123" i="4"/>
  <c r="BV123" i="4"/>
  <c r="BW123" i="4"/>
  <c r="BX123" i="4"/>
  <c r="BY123" i="4"/>
  <c r="BZ123" i="4"/>
  <c r="CA123" i="4"/>
  <c r="CB123" i="4"/>
  <c r="CC123" i="4"/>
  <c r="CD123" i="4"/>
  <c r="CE123" i="4"/>
  <c r="CF123" i="4"/>
  <c r="CG123" i="4"/>
  <c r="CH123" i="4"/>
  <c r="CI123" i="4"/>
  <c r="CJ123" i="4"/>
  <c r="CK123" i="4"/>
  <c r="CL123" i="4"/>
  <c r="CM123" i="4"/>
  <c r="CN123" i="4"/>
  <c r="CO123" i="4"/>
  <c r="CP123" i="4"/>
  <c r="CQ123" i="4"/>
  <c r="CR123" i="4"/>
  <c r="CS123" i="4"/>
  <c r="CT123" i="4"/>
  <c r="CU123" i="4"/>
  <c r="CV123" i="4"/>
  <c r="CW123" i="4"/>
  <c r="CX123" i="4"/>
  <c r="CY123" i="4"/>
  <c r="CZ123" i="4"/>
  <c r="DA123" i="4"/>
  <c r="DB123" i="4"/>
  <c r="DC123" i="4"/>
  <c r="DD123" i="4"/>
  <c r="DE123" i="4"/>
  <c r="DF123" i="4"/>
  <c r="DG123" i="4"/>
  <c r="DH123" i="4"/>
  <c r="DI123" i="4"/>
  <c r="DJ123" i="4"/>
  <c r="DK123" i="4"/>
  <c r="DL123" i="4"/>
  <c r="DM123" i="4"/>
  <c r="DN123" i="4"/>
  <c r="DO123" i="4"/>
  <c r="DP123" i="4"/>
  <c r="DQ123" i="4"/>
  <c r="DR123" i="4"/>
  <c r="DS123" i="4"/>
  <c r="DT123" i="4"/>
  <c r="DU123" i="4"/>
  <c r="DV123" i="4"/>
  <c r="DW123" i="4"/>
  <c r="DX123" i="4"/>
  <c r="DY123" i="4"/>
  <c r="DZ123" i="4"/>
  <c r="EA123" i="4"/>
  <c r="EB123" i="4"/>
  <c r="EC123" i="4"/>
  <c r="ED123" i="4"/>
  <c r="EE123" i="4"/>
  <c r="EF123" i="4"/>
  <c r="EG123" i="4"/>
  <c r="EH123" i="4"/>
  <c r="EI123" i="4"/>
  <c r="EJ123" i="4"/>
  <c r="EK123" i="4"/>
  <c r="EL123" i="4"/>
  <c r="EM123" i="4"/>
  <c r="EN123" i="4"/>
  <c r="EO123" i="4"/>
  <c r="EP123" i="4"/>
  <c r="EQ123" i="4"/>
  <c r="ER123" i="4"/>
  <c r="ES123" i="4"/>
  <c r="ET123" i="4"/>
  <c r="EU123" i="4"/>
  <c r="EV123" i="4"/>
  <c r="EW123" i="4"/>
  <c r="EX123" i="4"/>
  <c r="EY123" i="4"/>
  <c r="EZ123" i="4"/>
  <c r="FA123" i="4"/>
  <c r="FB123" i="4"/>
  <c r="FC123" i="4"/>
  <c r="FD123" i="4"/>
  <c r="FE123" i="4"/>
  <c r="FF123" i="4"/>
  <c r="FG123" i="4"/>
  <c r="FH123" i="4"/>
  <c r="FI123" i="4"/>
  <c r="FJ123" i="4"/>
  <c r="FK123" i="4"/>
  <c r="FL123" i="4"/>
  <c r="FM123" i="4"/>
  <c r="FN123" i="4"/>
  <c r="FO123" i="4"/>
  <c r="FP123" i="4"/>
  <c r="FQ123" i="4"/>
  <c r="FR123" i="4"/>
  <c r="FS123" i="4"/>
  <c r="FT123" i="4"/>
  <c r="FU123" i="4"/>
  <c r="FV123" i="4"/>
  <c r="FW123" i="4"/>
  <c r="FX123" i="4"/>
  <c r="FY123" i="4"/>
  <c r="FZ123" i="4"/>
  <c r="GA123" i="4"/>
  <c r="GB123" i="4"/>
  <c r="GC123" i="4"/>
  <c r="GD123" i="4"/>
  <c r="GE123" i="4"/>
  <c r="GF123" i="4"/>
  <c r="GG123" i="4"/>
  <c r="GH123" i="4"/>
  <c r="GI123" i="4"/>
  <c r="GJ123" i="4"/>
  <c r="GK123" i="4"/>
  <c r="GL123" i="4"/>
  <c r="GM123" i="4"/>
  <c r="GN123" i="4"/>
  <c r="GO123" i="4"/>
  <c r="GP123" i="4"/>
  <c r="GQ123" i="4"/>
  <c r="GR123" i="4"/>
  <c r="GS123" i="4"/>
  <c r="GT123" i="4"/>
  <c r="GU123" i="4"/>
  <c r="GV123" i="4"/>
  <c r="GW123" i="4"/>
  <c r="GX123" i="4"/>
  <c r="GY123" i="4"/>
  <c r="GZ123" i="4"/>
  <c r="HA123" i="4"/>
  <c r="HB123" i="4"/>
  <c r="HC123" i="4"/>
  <c r="HD123" i="4"/>
  <c r="HE123" i="4"/>
  <c r="HF123" i="4"/>
  <c r="HG123" i="4"/>
  <c r="HH123" i="4"/>
  <c r="HI123" i="4"/>
  <c r="HJ123" i="4"/>
  <c r="HK123" i="4"/>
  <c r="HL123" i="4"/>
  <c r="HM123" i="4"/>
  <c r="HN123" i="4"/>
  <c r="HO123" i="4"/>
  <c r="HP123" i="4"/>
  <c r="HQ123" i="4"/>
  <c r="HR123" i="4"/>
  <c r="HS123" i="4"/>
  <c r="HT123" i="4"/>
  <c r="HU123" i="4"/>
  <c r="HV123" i="4"/>
  <c r="HW123" i="4"/>
  <c r="HX123" i="4"/>
  <c r="HY123" i="4"/>
  <c r="HZ123" i="4"/>
  <c r="IA123" i="4"/>
  <c r="IB123" i="4"/>
  <c r="IC123" i="4"/>
  <c r="ID123" i="4"/>
  <c r="IE123" i="4"/>
  <c r="IF123" i="4"/>
  <c r="IG123" i="4"/>
  <c r="IH123" i="4"/>
  <c r="II123" i="4"/>
  <c r="IJ123" i="4"/>
  <c r="IK123" i="4"/>
  <c r="IL123" i="4"/>
  <c r="IM123" i="4"/>
  <c r="IN123" i="4"/>
  <c r="IO123" i="4"/>
  <c r="IP123" i="4"/>
  <c r="IQ123" i="4"/>
  <c r="IR123" i="4"/>
  <c r="IS123" i="4"/>
  <c r="IT123" i="4"/>
  <c r="IU123" i="4"/>
  <c r="IV123" i="4"/>
  <c r="A122" i="4"/>
  <c r="B122" i="4"/>
  <c r="C122" i="4"/>
  <c r="D122" i="4"/>
  <c r="E122" i="4"/>
  <c r="F122" i="4"/>
  <c r="G122" i="4"/>
  <c r="H122" i="4"/>
  <c r="I122" i="4"/>
  <c r="J122" i="4"/>
  <c r="K122" i="4"/>
  <c r="L122" i="4"/>
  <c r="M122" i="4"/>
  <c r="N122" i="4"/>
  <c r="O122" i="4"/>
  <c r="P122" i="4"/>
  <c r="Q122" i="4"/>
  <c r="R122" i="4"/>
  <c r="S122" i="4"/>
  <c r="T122" i="4"/>
  <c r="U122" i="4"/>
  <c r="V122" i="4"/>
  <c r="W122" i="4"/>
  <c r="X122" i="4"/>
  <c r="Y122" i="4"/>
  <c r="Z122" i="4"/>
  <c r="AA122" i="4"/>
  <c r="AB122" i="4"/>
  <c r="AC122" i="4"/>
  <c r="AD122" i="4"/>
  <c r="AE122" i="4"/>
  <c r="AF122" i="4"/>
  <c r="AG122" i="4"/>
  <c r="AH122" i="4"/>
  <c r="AI122" i="4"/>
  <c r="AJ122" i="4"/>
  <c r="AK122" i="4"/>
  <c r="AL122" i="4"/>
  <c r="AM122" i="4"/>
  <c r="AN122" i="4"/>
  <c r="AO122" i="4"/>
  <c r="AP122" i="4"/>
  <c r="AQ122" i="4"/>
  <c r="AR122" i="4"/>
  <c r="AS122" i="4"/>
  <c r="AT122" i="4"/>
  <c r="AU122" i="4"/>
  <c r="AV122" i="4"/>
  <c r="AW122" i="4"/>
  <c r="AX122" i="4"/>
  <c r="AY122" i="4"/>
  <c r="AZ122" i="4"/>
  <c r="BA122" i="4"/>
  <c r="BB122" i="4"/>
  <c r="BC122" i="4"/>
  <c r="BD122" i="4"/>
  <c r="BE122" i="4"/>
  <c r="BF122" i="4"/>
  <c r="BG122" i="4"/>
  <c r="BH122" i="4"/>
  <c r="BI122" i="4"/>
  <c r="BJ122" i="4"/>
  <c r="BK122" i="4"/>
  <c r="BL122" i="4"/>
  <c r="BM122" i="4"/>
  <c r="BN122" i="4"/>
  <c r="BO122" i="4"/>
  <c r="BP122" i="4"/>
  <c r="BQ122" i="4"/>
  <c r="BR122" i="4"/>
  <c r="BS122" i="4"/>
  <c r="BT122" i="4"/>
  <c r="BU122" i="4"/>
  <c r="BV122" i="4"/>
  <c r="BW122" i="4"/>
  <c r="BX122" i="4"/>
  <c r="BY122" i="4"/>
  <c r="BZ122" i="4"/>
  <c r="CA122" i="4"/>
  <c r="CB122" i="4"/>
  <c r="CC122" i="4"/>
  <c r="CD122" i="4"/>
  <c r="CE122" i="4"/>
  <c r="CF122" i="4"/>
  <c r="CG122" i="4"/>
  <c r="CH122" i="4"/>
  <c r="CI122" i="4"/>
  <c r="CJ122" i="4"/>
  <c r="CK122" i="4"/>
  <c r="CL122" i="4"/>
  <c r="CM122" i="4"/>
  <c r="CN122" i="4"/>
  <c r="CO122" i="4"/>
  <c r="CP122" i="4"/>
  <c r="CQ122" i="4"/>
  <c r="CR122" i="4"/>
  <c r="CS122" i="4"/>
  <c r="CT122" i="4"/>
  <c r="CU122" i="4"/>
  <c r="CV122" i="4"/>
  <c r="CW122" i="4"/>
  <c r="CX122" i="4"/>
  <c r="CY122" i="4"/>
  <c r="CZ122" i="4"/>
  <c r="DA122" i="4"/>
  <c r="DB122" i="4"/>
  <c r="DC122" i="4"/>
  <c r="DD122" i="4"/>
  <c r="DE122" i="4"/>
  <c r="DF122" i="4"/>
  <c r="DG122" i="4"/>
  <c r="DH122" i="4"/>
  <c r="DI122" i="4"/>
  <c r="DJ122" i="4"/>
  <c r="DK122" i="4"/>
  <c r="DL122" i="4"/>
  <c r="DM122" i="4"/>
  <c r="DN122" i="4"/>
  <c r="DO122" i="4"/>
  <c r="DP122" i="4"/>
  <c r="DQ122" i="4"/>
  <c r="DR122" i="4"/>
  <c r="DS122" i="4"/>
  <c r="DT122" i="4"/>
  <c r="DU122" i="4"/>
  <c r="DV122" i="4"/>
  <c r="DW122" i="4"/>
  <c r="DX122" i="4"/>
  <c r="DY122" i="4"/>
  <c r="DZ122" i="4"/>
  <c r="EA122" i="4"/>
  <c r="EB122" i="4"/>
  <c r="EC122" i="4"/>
  <c r="ED122" i="4"/>
  <c r="EE122" i="4"/>
  <c r="EF122" i="4"/>
  <c r="EG122" i="4"/>
  <c r="EH122" i="4"/>
  <c r="EI122" i="4"/>
  <c r="EJ122" i="4"/>
  <c r="EK122" i="4"/>
  <c r="EL122" i="4"/>
  <c r="EM122" i="4"/>
  <c r="EN122" i="4"/>
  <c r="EO122" i="4"/>
  <c r="EP122" i="4"/>
  <c r="EQ122" i="4"/>
  <c r="ER122" i="4"/>
  <c r="ES122" i="4"/>
  <c r="ET122" i="4"/>
  <c r="EU122" i="4"/>
  <c r="EV122" i="4"/>
  <c r="EW122" i="4"/>
  <c r="EX122" i="4"/>
  <c r="EY122" i="4"/>
  <c r="EZ122" i="4"/>
  <c r="FA122" i="4"/>
  <c r="FB122" i="4"/>
  <c r="FC122" i="4"/>
  <c r="FD122" i="4"/>
  <c r="FE122" i="4"/>
  <c r="FF122" i="4"/>
  <c r="FG122" i="4"/>
  <c r="FH122" i="4"/>
  <c r="FI122" i="4"/>
  <c r="FJ122" i="4"/>
  <c r="FK122" i="4"/>
  <c r="FL122" i="4"/>
  <c r="FM122" i="4"/>
  <c r="FN122" i="4"/>
  <c r="FO122" i="4"/>
  <c r="FP122" i="4"/>
  <c r="FQ122" i="4"/>
  <c r="FR122" i="4"/>
  <c r="FS122" i="4"/>
  <c r="FT122" i="4"/>
  <c r="FU122" i="4"/>
  <c r="FV122" i="4"/>
  <c r="FW122" i="4"/>
  <c r="FX122" i="4"/>
  <c r="FY122" i="4"/>
  <c r="FZ122" i="4"/>
  <c r="GA122" i="4"/>
  <c r="GB122" i="4"/>
  <c r="GC122" i="4"/>
  <c r="GD122" i="4"/>
  <c r="GE122" i="4"/>
  <c r="GF122" i="4"/>
  <c r="GG122" i="4"/>
  <c r="GH122" i="4"/>
  <c r="GI122" i="4"/>
  <c r="GJ122" i="4"/>
  <c r="GK122" i="4"/>
  <c r="GL122" i="4"/>
  <c r="GM122" i="4"/>
  <c r="GN122" i="4"/>
  <c r="GO122" i="4"/>
  <c r="GP122" i="4"/>
  <c r="GQ122" i="4"/>
  <c r="GR122" i="4"/>
  <c r="GS122" i="4"/>
  <c r="GT122" i="4"/>
  <c r="GU122" i="4"/>
  <c r="GV122" i="4"/>
  <c r="GW122" i="4"/>
  <c r="GX122" i="4"/>
  <c r="GY122" i="4"/>
  <c r="GZ122" i="4"/>
  <c r="HA122" i="4"/>
  <c r="HB122" i="4"/>
  <c r="HC122" i="4"/>
  <c r="HD122" i="4"/>
  <c r="HE122" i="4"/>
  <c r="HF122" i="4"/>
  <c r="HG122" i="4"/>
  <c r="HH122" i="4"/>
  <c r="HI122" i="4"/>
  <c r="HJ122" i="4"/>
  <c r="HK122" i="4"/>
  <c r="HL122" i="4"/>
  <c r="HM122" i="4"/>
  <c r="HN122" i="4"/>
  <c r="HO122" i="4"/>
  <c r="HP122" i="4"/>
  <c r="HQ122" i="4"/>
  <c r="HR122" i="4"/>
  <c r="HS122" i="4"/>
  <c r="HT122" i="4"/>
  <c r="HU122" i="4"/>
  <c r="HV122" i="4"/>
  <c r="HW122" i="4"/>
  <c r="HX122" i="4"/>
  <c r="HY122" i="4"/>
  <c r="HZ122" i="4"/>
  <c r="IA122" i="4"/>
  <c r="IB122" i="4"/>
  <c r="IC122" i="4"/>
  <c r="ID122" i="4"/>
  <c r="IE122" i="4"/>
  <c r="IF122" i="4"/>
  <c r="IG122" i="4"/>
  <c r="IH122" i="4"/>
  <c r="II122" i="4"/>
  <c r="IJ122" i="4"/>
  <c r="IK122" i="4"/>
  <c r="IL122" i="4"/>
  <c r="IM122" i="4"/>
  <c r="IN122" i="4"/>
  <c r="IO122" i="4"/>
  <c r="IP122" i="4"/>
  <c r="IQ122" i="4"/>
  <c r="IR122" i="4"/>
  <c r="IS122" i="4"/>
  <c r="IT122" i="4"/>
  <c r="IU122" i="4"/>
  <c r="IV122" i="4"/>
  <c r="A121" i="4"/>
  <c r="B121" i="4"/>
  <c r="C121" i="4"/>
  <c r="D121" i="4"/>
  <c r="E121" i="4"/>
  <c r="F121" i="4"/>
  <c r="G121" i="4"/>
  <c r="H121" i="4"/>
  <c r="I121" i="4"/>
  <c r="J121" i="4"/>
  <c r="K121" i="4"/>
  <c r="L121" i="4"/>
  <c r="M121" i="4"/>
  <c r="N121" i="4"/>
  <c r="O121" i="4"/>
  <c r="P121" i="4"/>
  <c r="Q121" i="4"/>
  <c r="R121" i="4"/>
  <c r="S121" i="4"/>
  <c r="T121" i="4"/>
  <c r="U121" i="4"/>
  <c r="V121" i="4"/>
  <c r="W121" i="4"/>
  <c r="X121" i="4"/>
  <c r="Y121" i="4"/>
  <c r="Z121" i="4"/>
  <c r="AA121" i="4"/>
  <c r="AB121" i="4"/>
  <c r="AC121" i="4"/>
  <c r="AD121" i="4"/>
  <c r="AE121" i="4"/>
  <c r="AF121" i="4"/>
  <c r="AG121" i="4"/>
  <c r="AH121" i="4"/>
  <c r="AI121" i="4"/>
  <c r="AJ121" i="4"/>
  <c r="AK121" i="4"/>
  <c r="AL121" i="4"/>
  <c r="AM121" i="4"/>
  <c r="AN121" i="4"/>
  <c r="AO121" i="4"/>
  <c r="AP121" i="4"/>
  <c r="AQ121" i="4"/>
  <c r="AR121" i="4"/>
  <c r="AS121" i="4"/>
  <c r="AT121" i="4"/>
  <c r="AU121" i="4"/>
  <c r="AV121" i="4"/>
  <c r="AW121" i="4"/>
  <c r="AX121" i="4"/>
  <c r="AY121" i="4"/>
  <c r="AZ121" i="4"/>
  <c r="BA121" i="4"/>
  <c r="BB121" i="4"/>
  <c r="BC121" i="4"/>
  <c r="BD121" i="4"/>
  <c r="BE121" i="4"/>
  <c r="BF121" i="4"/>
  <c r="BG121" i="4"/>
  <c r="BH121" i="4"/>
  <c r="BI121" i="4"/>
  <c r="BJ121" i="4"/>
  <c r="BK121" i="4"/>
  <c r="BL121" i="4"/>
  <c r="BM121" i="4"/>
  <c r="BN121" i="4"/>
  <c r="BO121" i="4"/>
  <c r="BP121" i="4"/>
  <c r="BQ121" i="4"/>
  <c r="BR121" i="4"/>
  <c r="BS121" i="4"/>
  <c r="BT121" i="4"/>
  <c r="BU121" i="4"/>
  <c r="BV121" i="4"/>
  <c r="BW121" i="4"/>
  <c r="BX121" i="4"/>
  <c r="BY121" i="4"/>
  <c r="BZ121" i="4"/>
  <c r="CA121" i="4"/>
  <c r="CB121" i="4"/>
  <c r="CC121" i="4"/>
  <c r="CD121" i="4"/>
  <c r="CE121" i="4"/>
  <c r="CF121" i="4"/>
  <c r="CG121" i="4"/>
  <c r="CH121" i="4"/>
  <c r="CI121" i="4"/>
  <c r="CJ121" i="4"/>
  <c r="CK121" i="4"/>
  <c r="CL121" i="4"/>
  <c r="CM121" i="4"/>
  <c r="CN121" i="4"/>
  <c r="CO121" i="4"/>
  <c r="CP121" i="4"/>
  <c r="CQ121" i="4"/>
  <c r="CR121" i="4"/>
  <c r="CS121" i="4"/>
  <c r="CT121" i="4"/>
  <c r="CU121" i="4"/>
  <c r="CV121" i="4"/>
  <c r="CW121" i="4"/>
  <c r="CX121" i="4"/>
  <c r="CY121" i="4"/>
  <c r="CZ121" i="4"/>
  <c r="DA121" i="4"/>
  <c r="DB121" i="4"/>
  <c r="DC121" i="4"/>
  <c r="DD121" i="4"/>
  <c r="DE121" i="4"/>
  <c r="DF121" i="4"/>
  <c r="DG121" i="4"/>
  <c r="DH121" i="4"/>
  <c r="DI121" i="4"/>
  <c r="DJ121" i="4"/>
  <c r="DK121" i="4"/>
  <c r="DL121" i="4"/>
  <c r="DM121" i="4"/>
  <c r="DN121" i="4"/>
  <c r="DO121" i="4"/>
  <c r="DP121" i="4"/>
  <c r="DQ121" i="4"/>
  <c r="DR121" i="4"/>
  <c r="DS121" i="4"/>
  <c r="DT121" i="4"/>
  <c r="DU121" i="4"/>
  <c r="DV121" i="4"/>
  <c r="DW121" i="4"/>
  <c r="DX121" i="4"/>
  <c r="DY121" i="4"/>
  <c r="DZ121" i="4"/>
  <c r="EA121" i="4"/>
  <c r="EB121" i="4"/>
  <c r="EC121" i="4"/>
  <c r="ED121" i="4"/>
  <c r="EE121" i="4"/>
  <c r="EF121" i="4"/>
  <c r="EG121" i="4"/>
  <c r="EH121" i="4"/>
  <c r="EI121" i="4"/>
  <c r="EJ121" i="4"/>
  <c r="EK121" i="4"/>
  <c r="EL121" i="4"/>
  <c r="EM121" i="4"/>
  <c r="EN121" i="4"/>
  <c r="EO121" i="4"/>
  <c r="EP121" i="4"/>
  <c r="EQ121" i="4"/>
  <c r="ER121" i="4"/>
  <c r="ES121" i="4"/>
  <c r="ET121" i="4"/>
  <c r="EU121" i="4"/>
  <c r="EV121" i="4"/>
  <c r="EW121" i="4"/>
  <c r="EX121" i="4"/>
  <c r="EY121" i="4"/>
  <c r="EZ121" i="4"/>
  <c r="FA121" i="4"/>
  <c r="FB121" i="4"/>
  <c r="FC121" i="4"/>
  <c r="FD121" i="4"/>
  <c r="FE121" i="4"/>
  <c r="FF121" i="4"/>
  <c r="FG121" i="4"/>
  <c r="FH121" i="4"/>
  <c r="FI121" i="4"/>
  <c r="FJ121" i="4"/>
  <c r="FK121" i="4"/>
  <c r="FL121" i="4"/>
  <c r="FM121" i="4"/>
  <c r="FN121" i="4"/>
  <c r="FO121" i="4"/>
  <c r="FP121" i="4"/>
  <c r="FQ121" i="4"/>
  <c r="FR121" i="4"/>
  <c r="FS121" i="4"/>
  <c r="FT121" i="4"/>
  <c r="FU121" i="4"/>
  <c r="FV121" i="4"/>
  <c r="FW121" i="4"/>
  <c r="FX121" i="4"/>
  <c r="FY121" i="4"/>
  <c r="FZ121" i="4"/>
  <c r="GA121" i="4"/>
  <c r="GB121" i="4"/>
  <c r="GC121" i="4"/>
  <c r="GD121" i="4"/>
  <c r="GE121" i="4"/>
  <c r="GF121" i="4"/>
  <c r="GG121" i="4"/>
  <c r="GH121" i="4"/>
  <c r="GI121" i="4"/>
  <c r="GJ121" i="4"/>
  <c r="GK121" i="4"/>
  <c r="GL121" i="4"/>
  <c r="GM121" i="4"/>
  <c r="GN121" i="4"/>
  <c r="GO121" i="4"/>
  <c r="GP121" i="4"/>
  <c r="GQ121" i="4"/>
  <c r="GR121" i="4"/>
  <c r="GS121" i="4"/>
  <c r="GT121" i="4"/>
  <c r="GU121" i="4"/>
  <c r="GV121" i="4"/>
  <c r="GW121" i="4"/>
  <c r="GX121" i="4"/>
  <c r="GY121" i="4"/>
  <c r="GZ121" i="4"/>
  <c r="HA121" i="4"/>
  <c r="HB121" i="4"/>
  <c r="HC121" i="4"/>
  <c r="HD121" i="4"/>
  <c r="HE121" i="4"/>
  <c r="HF121" i="4"/>
  <c r="HG121" i="4"/>
  <c r="HH121" i="4"/>
  <c r="HI121" i="4"/>
  <c r="HJ121" i="4"/>
  <c r="HK121" i="4"/>
  <c r="HL121" i="4"/>
  <c r="HM121" i="4"/>
  <c r="HN121" i="4"/>
  <c r="HO121" i="4"/>
  <c r="HP121" i="4"/>
  <c r="HQ121" i="4"/>
  <c r="HR121" i="4"/>
  <c r="HS121" i="4"/>
  <c r="HT121" i="4"/>
  <c r="HU121" i="4"/>
  <c r="HV121" i="4"/>
  <c r="HW121" i="4"/>
  <c r="HX121" i="4"/>
  <c r="HY121" i="4"/>
  <c r="HZ121" i="4"/>
  <c r="IA121" i="4"/>
  <c r="IB121" i="4"/>
  <c r="IC121" i="4"/>
  <c r="ID121" i="4"/>
  <c r="IE121" i="4"/>
  <c r="IF121" i="4"/>
  <c r="IG121" i="4"/>
  <c r="IH121" i="4"/>
  <c r="II121" i="4"/>
  <c r="IJ121" i="4"/>
  <c r="IK121" i="4"/>
  <c r="IL121" i="4"/>
  <c r="IM121" i="4"/>
  <c r="IN121" i="4"/>
  <c r="IO121" i="4"/>
  <c r="IP121" i="4"/>
  <c r="IQ121" i="4"/>
  <c r="IR121" i="4"/>
  <c r="IS121" i="4"/>
  <c r="IT121" i="4"/>
  <c r="IU121" i="4"/>
  <c r="IV121" i="4"/>
  <c r="A120" i="4"/>
  <c r="B120" i="4"/>
  <c r="C120" i="4"/>
  <c r="D120" i="4"/>
  <c r="E120" i="4"/>
  <c r="F120" i="4"/>
  <c r="G120" i="4"/>
  <c r="H120" i="4"/>
  <c r="I120" i="4"/>
  <c r="J120" i="4"/>
  <c r="K120" i="4"/>
  <c r="L120" i="4"/>
  <c r="M120" i="4"/>
  <c r="N120" i="4"/>
  <c r="O120" i="4"/>
  <c r="P120" i="4"/>
  <c r="Q120" i="4"/>
  <c r="R120" i="4"/>
  <c r="S120" i="4"/>
  <c r="T120" i="4"/>
  <c r="U120" i="4"/>
  <c r="V120" i="4"/>
  <c r="W120" i="4"/>
  <c r="X120" i="4"/>
  <c r="Y120" i="4"/>
  <c r="Z120" i="4"/>
  <c r="AA120" i="4"/>
  <c r="AB120" i="4"/>
  <c r="AC120" i="4"/>
  <c r="AD120" i="4"/>
  <c r="AE120" i="4"/>
  <c r="AF120" i="4"/>
  <c r="AG120" i="4"/>
  <c r="AH120" i="4"/>
  <c r="AI120" i="4"/>
  <c r="AJ120" i="4"/>
  <c r="AK120" i="4"/>
  <c r="AL120" i="4"/>
  <c r="AM120" i="4"/>
  <c r="AN120" i="4"/>
  <c r="AO120" i="4"/>
  <c r="AP120" i="4"/>
  <c r="AQ120" i="4"/>
  <c r="AR120" i="4"/>
  <c r="AS120" i="4"/>
  <c r="AT120" i="4"/>
  <c r="AU120" i="4"/>
  <c r="AV120" i="4"/>
  <c r="AW120" i="4"/>
  <c r="AX120" i="4"/>
  <c r="AY120" i="4"/>
  <c r="AZ120" i="4"/>
  <c r="BA120" i="4"/>
  <c r="BB120" i="4"/>
  <c r="BC120" i="4"/>
  <c r="BD120" i="4"/>
  <c r="BE120" i="4"/>
  <c r="BF120" i="4"/>
  <c r="BG120" i="4"/>
  <c r="BH120" i="4"/>
  <c r="BI120" i="4"/>
  <c r="BJ120" i="4"/>
  <c r="BK120" i="4"/>
  <c r="BL120" i="4"/>
  <c r="BM120" i="4"/>
  <c r="BN120" i="4"/>
  <c r="BO120" i="4"/>
  <c r="BP120" i="4"/>
  <c r="BQ120" i="4"/>
  <c r="BR120" i="4"/>
  <c r="BS120" i="4"/>
  <c r="BT120" i="4"/>
  <c r="BU120" i="4"/>
  <c r="BV120" i="4"/>
  <c r="BW120" i="4"/>
  <c r="BX120" i="4"/>
  <c r="BY120" i="4"/>
  <c r="BZ120" i="4"/>
  <c r="CA120" i="4"/>
  <c r="CB120" i="4"/>
  <c r="CC120" i="4"/>
  <c r="CD120" i="4"/>
  <c r="CE120" i="4"/>
  <c r="CF120" i="4"/>
  <c r="CG120" i="4"/>
  <c r="CH120" i="4"/>
  <c r="CI120" i="4"/>
  <c r="CJ120" i="4"/>
  <c r="CK120" i="4"/>
  <c r="CL120" i="4"/>
  <c r="CM120" i="4"/>
  <c r="CN120" i="4"/>
  <c r="CO120" i="4"/>
  <c r="CP120" i="4"/>
  <c r="CQ120" i="4"/>
  <c r="CR120" i="4"/>
  <c r="CS120" i="4"/>
  <c r="CT120" i="4"/>
  <c r="CU120" i="4"/>
  <c r="CV120" i="4"/>
  <c r="CW120" i="4"/>
  <c r="CX120" i="4"/>
  <c r="CY120" i="4"/>
  <c r="CZ120" i="4"/>
  <c r="DA120" i="4"/>
  <c r="DB120" i="4"/>
  <c r="DC120" i="4"/>
  <c r="DD120" i="4"/>
  <c r="DE120" i="4"/>
  <c r="DF120" i="4"/>
  <c r="DG120" i="4"/>
  <c r="DH120" i="4"/>
  <c r="DI120" i="4"/>
  <c r="DJ120" i="4"/>
  <c r="DK120" i="4"/>
  <c r="DL120" i="4"/>
  <c r="DM120" i="4"/>
  <c r="DN120" i="4"/>
  <c r="DO120" i="4"/>
  <c r="DP120" i="4"/>
  <c r="DQ120" i="4"/>
  <c r="DR120" i="4"/>
  <c r="DS120" i="4"/>
  <c r="DT120" i="4"/>
  <c r="DU120" i="4"/>
  <c r="DV120" i="4"/>
  <c r="DW120" i="4"/>
  <c r="DX120" i="4"/>
  <c r="DY120" i="4"/>
  <c r="DZ120" i="4"/>
  <c r="EA120" i="4"/>
  <c r="EB120" i="4"/>
  <c r="EC120" i="4"/>
  <c r="ED120" i="4"/>
  <c r="EE120" i="4"/>
  <c r="EF120" i="4"/>
  <c r="EG120" i="4"/>
  <c r="EH120" i="4"/>
  <c r="EI120" i="4"/>
  <c r="EJ120" i="4"/>
  <c r="EK120" i="4"/>
  <c r="EL120" i="4"/>
  <c r="EM120" i="4"/>
  <c r="EN120" i="4"/>
  <c r="EO120" i="4"/>
  <c r="EP120" i="4"/>
  <c r="EQ120" i="4"/>
  <c r="ER120" i="4"/>
  <c r="ES120" i="4"/>
  <c r="ET120" i="4"/>
  <c r="EU120" i="4"/>
  <c r="EV120" i="4"/>
  <c r="EW120" i="4"/>
  <c r="EX120" i="4"/>
  <c r="EY120" i="4"/>
  <c r="EZ120" i="4"/>
  <c r="FA120" i="4"/>
  <c r="FB120" i="4"/>
  <c r="FC120" i="4"/>
  <c r="FD120" i="4"/>
  <c r="FE120" i="4"/>
  <c r="FF120" i="4"/>
  <c r="FG120" i="4"/>
  <c r="FH120" i="4"/>
  <c r="FI120" i="4"/>
  <c r="FJ120" i="4"/>
  <c r="FK120" i="4"/>
  <c r="FL120" i="4"/>
  <c r="FM120" i="4"/>
  <c r="FN120" i="4"/>
  <c r="FO120" i="4"/>
  <c r="FP120" i="4"/>
  <c r="FQ120" i="4"/>
  <c r="FR120" i="4"/>
  <c r="FS120" i="4"/>
  <c r="FT120" i="4"/>
  <c r="FU120" i="4"/>
  <c r="FV120" i="4"/>
  <c r="FW120" i="4"/>
  <c r="FX120" i="4"/>
  <c r="FY120" i="4"/>
  <c r="FZ120" i="4"/>
  <c r="GA120" i="4"/>
  <c r="GB120" i="4"/>
  <c r="GC120" i="4"/>
  <c r="GD120" i="4"/>
  <c r="GE120" i="4"/>
  <c r="GF120" i="4"/>
  <c r="GG120" i="4"/>
  <c r="GH120" i="4"/>
  <c r="GI120" i="4"/>
  <c r="GJ120" i="4"/>
  <c r="GK120" i="4"/>
  <c r="GL120" i="4"/>
  <c r="GM120" i="4"/>
  <c r="GN120" i="4"/>
  <c r="GO120" i="4"/>
  <c r="GP120" i="4"/>
  <c r="GQ120" i="4"/>
  <c r="GR120" i="4"/>
  <c r="GS120" i="4"/>
  <c r="GT120" i="4"/>
  <c r="GU120" i="4"/>
  <c r="GV120" i="4"/>
  <c r="GW120" i="4"/>
  <c r="GX120" i="4"/>
  <c r="GY120" i="4"/>
  <c r="GZ120" i="4"/>
  <c r="HA120" i="4"/>
  <c r="HB120" i="4"/>
  <c r="HC120" i="4"/>
  <c r="HD120" i="4"/>
  <c r="HE120" i="4"/>
  <c r="HF120" i="4"/>
  <c r="HG120" i="4"/>
  <c r="HH120" i="4"/>
  <c r="HI120" i="4"/>
  <c r="HJ120" i="4"/>
  <c r="HK120" i="4"/>
  <c r="HL120" i="4"/>
  <c r="HM120" i="4"/>
  <c r="HN120" i="4"/>
  <c r="HO120" i="4"/>
  <c r="HP120" i="4"/>
  <c r="HQ120" i="4"/>
  <c r="HR120" i="4"/>
  <c r="HS120" i="4"/>
  <c r="HT120" i="4"/>
  <c r="HU120" i="4"/>
  <c r="HV120" i="4"/>
  <c r="HW120" i="4"/>
  <c r="HX120" i="4"/>
  <c r="HY120" i="4"/>
  <c r="HZ120" i="4"/>
  <c r="IA120" i="4"/>
  <c r="IB120" i="4"/>
  <c r="IC120" i="4"/>
  <c r="ID120" i="4"/>
  <c r="IE120" i="4"/>
  <c r="IF120" i="4"/>
  <c r="IG120" i="4"/>
  <c r="IH120" i="4"/>
  <c r="II120" i="4"/>
  <c r="IJ120" i="4"/>
  <c r="IK120" i="4"/>
  <c r="IL120" i="4"/>
  <c r="IM120" i="4"/>
  <c r="IN120" i="4"/>
  <c r="IO120" i="4"/>
  <c r="IP120" i="4"/>
  <c r="IQ120" i="4"/>
  <c r="IR120" i="4"/>
  <c r="IS120" i="4"/>
  <c r="IT120" i="4"/>
  <c r="IU120" i="4"/>
  <c r="IV120" i="4"/>
  <c r="A119" i="4"/>
  <c r="B119" i="4"/>
  <c r="C119" i="4"/>
  <c r="D119" i="4"/>
  <c r="E119" i="4"/>
  <c r="F119" i="4"/>
  <c r="G119" i="4"/>
  <c r="H119" i="4"/>
  <c r="I119" i="4"/>
  <c r="J119" i="4"/>
  <c r="K119" i="4"/>
  <c r="L119" i="4"/>
  <c r="M119" i="4"/>
  <c r="N119" i="4"/>
  <c r="O119" i="4"/>
  <c r="P119" i="4"/>
  <c r="Q119" i="4"/>
  <c r="R119" i="4"/>
  <c r="S119" i="4"/>
  <c r="T119" i="4"/>
  <c r="U119" i="4"/>
  <c r="V119" i="4"/>
  <c r="W119" i="4"/>
  <c r="X119" i="4"/>
  <c r="Y119" i="4"/>
  <c r="Z119" i="4"/>
  <c r="AA119" i="4"/>
  <c r="AB119" i="4"/>
  <c r="AC119" i="4"/>
  <c r="AD119" i="4"/>
  <c r="AE119" i="4"/>
  <c r="AF119" i="4"/>
  <c r="AG119" i="4"/>
  <c r="AH119" i="4"/>
  <c r="AI119" i="4"/>
  <c r="AJ119" i="4"/>
  <c r="AK119" i="4"/>
  <c r="AL119" i="4"/>
  <c r="AM119" i="4"/>
  <c r="AN119" i="4"/>
  <c r="AO119" i="4"/>
  <c r="AP119" i="4"/>
  <c r="AQ119" i="4"/>
  <c r="AR119" i="4"/>
  <c r="AS119" i="4"/>
  <c r="AT119" i="4"/>
  <c r="AU119" i="4"/>
  <c r="AV119" i="4"/>
  <c r="AW119" i="4"/>
  <c r="AX119" i="4"/>
  <c r="AY119" i="4"/>
  <c r="AZ119" i="4"/>
  <c r="BA119" i="4"/>
  <c r="BB119" i="4"/>
  <c r="BC119" i="4"/>
  <c r="BD119" i="4"/>
  <c r="BE119" i="4"/>
  <c r="BF119" i="4"/>
  <c r="BG119" i="4"/>
  <c r="BH119" i="4"/>
  <c r="BI119" i="4"/>
  <c r="BJ119" i="4"/>
  <c r="BK119" i="4"/>
  <c r="BL119" i="4"/>
  <c r="BM119" i="4"/>
  <c r="BN119" i="4"/>
  <c r="BO119" i="4"/>
  <c r="BP119" i="4"/>
  <c r="BQ119" i="4"/>
  <c r="BR119" i="4"/>
  <c r="BS119" i="4"/>
  <c r="BT119" i="4"/>
  <c r="BU119" i="4"/>
  <c r="BV119" i="4"/>
  <c r="BW119" i="4"/>
  <c r="BX119" i="4"/>
  <c r="BY119" i="4"/>
  <c r="BZ119" i="4"/>
  <c r="CA119" i="4"/>
  <c r="CB119" i="4"/>
  <c r="CC119" i="4"/>
  <c r="CD119" i="4"/>
  <c r="CE119" i="4"/>
  <c r="CF119" i="4"/>
  <c r="CG119" i="4"/>
  <c r="CH119" i="4"/>
  <c r="CI119" i="4"/>
  <c r="CJ119" i="4"/>
  <c r="CK119" i="4"/>
  <c r="CL119" i="4"/>
  <c r="CM119" i="4"/>
  <c r="CN119" i="4"/>
  <c r="CO119" i="4"/>
  <c r="CP119" i="4"/>
  <c r="CQ119" i="4"/>
  <c r="CR119" i="4"/>
  <c r="CS119" i="4"/>
  <c r="CT119" i="4"/>
  <c r="CU119" i="4"/>
  <c r="CV119" i="4"/>
  <c r="CW119" i="4"/>
  <c r="CX119" i="4"/>
  <c r="CY119" i="4"/>
  <c r="CZ119" i="4"/>
  <c r="DA119" i="4"/>
  <c r="DB119" i="4"/>
  <c r="DC119" i="4"/>
  <c r="DD119" i="4"/>
  <c r="DE119" i="4"/>
  <c r="DF119" i="4"/>
  <c r="DG119" i="4"/>
  <c r="DH119" i="4"/>
  <c r="DI119" i="4"/>
  <c r="DJ119" i="4"/>
  <c r="DK119" i="4"/>
  <c r="DL119" i="4"/>
  <c r="DM119" i="4"/>
  <c r="DN119" i="4"/>
  <c r="DO119" i="4"/>
  <c r="DP119" i="4"/>
  <c r="DQ119" i="4"/>
  <c r="DR119" i="4"/>
  <c r="DS119" i="4"/>
  <c r="DT119" i="4"/>
  <c r="DU119" i="4"/>
  <c r="DV119" i="4"/>
  <c r="DW119" i="4"/>
  <c r="DX119" i="4"/>
  <c r="DY119" i="4"/>
  <c r="DZ119" i="4"/>
  <c r="EA119" i="4"/>
  <c r="EB119" i="4"/>
  <c r="EC119" i="4"/>
  <c r="ED119" i="4"/>
  <c r="EE119" i="4"/>
  <c r="EF119" i="4"/>
  <c r="EG119" i="4"/>
  <c r="EH119" i="4"/>
  <c r="EI119" i="4"/>
  <c r="EJ119" i="4"/>
  <c r="EK119" i="4"/>
  <c r="EL119" i="4"/>
  <c r="EM119" i="4"/>
  <c r="EN119" i="4"/>
  <c r="EO119" i="4"/>
  <c r="EP119" i="4"/>
  <c r="EQ119" i="4"/>
  <c r="ER119" i="4"/>
  <c r="ES119" i="4"/>
  <c r="ET119" i="4"/>
  <c r="EU119" i="4"/>
  <c r="EV119" i="4"/>
  <c r="EW119" i="4"/>
  <c r="EX119" i="4"/>
  <c r="EY119" i="4"/>
  <c r="EZ119" i="4"/>
  <c r="FA119" i="4"/>
  <c r="FB119" i="4"/>
  <c r="FC119" i="4"/>
  <c r="FD119" i="4"/>
  <c r="FE119" i="4"/>
  <c r="FF119" i="4"/>
  <c r="FG119" i="4"/>
  <c r="FH119" i="4"/>
  <c r="FI119" i="4"/>
  <c r="FJ119" i="4"/>
  <c r="FK119" i="4"/>
  <c r="FL119" i="4"/>
  <c r="FM119" i="4"/>
  <c r="FN119" i="4"/>
  <c r="FO119" i="4"/>
  <c r="FP119" i="4"/>
  <c r="FQ119" i="4"/>
  <c r="FR119" i="4"/>
  <c r="FS119" i="4"/>
  <c r="FT119" i="4"/>
  <c r="FU119" i="4"/>
  <c r="FV119" i="4"/>
  <c r="FW119" i="4"/>
  <c r="FX119" i="4"/>
  <c r="FY119" i="4"/>
  <c r="FZ119" i="4"/>
  <c r="GA119" i="4"/>
  <c r="GB119" i="4"/>
  <c r="GC119" i="4"/>
  <c r="GD119" i="4"/>
  <c r="GE119" i="4"/>
  <c r="GF119" i="4"/>
  <c r="GG119" i="4"/>
  <c r="GH119" i="4"/>
  <c r="GI119" i="4"/>
  <c r="GJ119" i="4"/>
  <c r="GK119" i="4"/>
  <c r="GL119" i="4"/>
  <c r="GM119" i="4"/>
  <c r="GN119" i="4"/>
  <c r="GO119" i="4"/>
  <c r="GP119" i="4"/>
  <c r="GQ119" i="4"/>
  <c r="GR119" i="4"/>
  <c r="GS119" i="4"/>
  <c r="GT119" i="4"/>
  <c r="GU119" i="4"/>
  <c r="GV119" i="4"/>
  <c r="GW119" i="4"/>
  <c r="GX119" i="4"/>
  <c r="GY119" i="4"/>
  <c r="GZ119" i="4"/>
  <c r="HA119" i="4"/>
  <c r="HB119" i="4"/>
  <c r="HC119" i="4"/>
  <c r="HD119" i="4"/>
  <c r="HE119" i="4"/>
  <c r="HF119" i="4"/>
  <c r="HG119" i="4"/>
  <c r="HH119" i="4"/>
  <c r="HI119" i="4"/>
  <c r="HJ119" i="4"/>
  <c r="HK119" i="4"/>
  <c r="HL119" i="4"/>
  <c r="HM119" i="4"/>
  <c r="HN119" i="4"/>
  <c r="HO119" i="4"/>
  <c r="HP119" i="4"/>
  <c r="HQ119" i="4"/>
  <c r="HR119" i="4"/>
  <c r="HS119" i="4"/>
  <c r="HT119" i="4"/>
  <c r="HU119" i="4"/>
  <c r="HV119" i="4"/>
  <c r="HW119" i="4"/>
  <c r="HX119" i="4"/>
  <c r="HY119" i="4"/>
  <c r="HZ119" i="4"/>
  <c r="IA119" i="4"/>
  <c r="IB119" i="4"/>
  <c r="IC119" i="4"/>
  <c r="ID119" i="4"/>
  <c r="IE119" i="4"/>
  <c r="IF119" i="4"/>
  <c r="IG119" i="4"/>
  <c r="IH119" i="4"/>
  <c r="II119" i="4"/>
  <c r="IJ119" i="4"/>
  <c r="IK119" i="4"/>
  <c r="IL119" i="4"/>
  <c r="IM119" i="4"/>
  <c r="IN119" i="4"/>
  <c r="IO119" i="4"/>
  <c r="IP119" i="4"/>
  <c r="IQ119" i="4"/>
  <c r="IR119" i="4"/>
  <c r="IS119" i="4"/>
  <c r="IT119" i="4"/>
  <c r="IU119" i="4"/>
  <c r="IV119" i="4"/>
  <c r="A118" i="4"/>
  <c r="B118" i="4"/>
  <c r="C118" i="4"/>
  <c r="D118" i="4"/>
  <c r="E118" i="4"/>
  <c r="F118" i="4"/>
  <c r="G118" i="4"/>
  <c r="H118" i="4"/>
  <c r="I118" i="4"/>
  <c r="J118" i="4"/>
  <c r="K118" i="4"/>
  <c r="L118" i="4"/>
  <c r="M118" i="4"/>
  <c r="N118" i="4"/>
  <c r="O118" i="4"/>
  <c r="P118" i="4"/>
  <c r="Q118" i="4"/>
  <c r="R118" i="4"/>
  <c r="S118" i="4"/>
  <c r="T118" i="4"/>
  <c r="U118" i="4"/>
  <c r="V118" i="4"/>
  <c r="W118" i="4"/>
  <c r="X118" i="4"/>
  <c r="Y118" i="4"/>
  <c r="Z118" i="4"/>
  <c r="AA118" i="4"/>
  <c r="AB118" i="4"/>
  <c r="AC118" i="4"/>
  <c r="AD118" i="4"/>
  <c r="AE118" i="4"/>
  <c r="AF118" i="4"/>
  <c r="AG118" i="4"/>
  <c r="AH118" i="4"/>
  <c r="AI118" i="4"/>
  <c r="AJ118" i="4"/>
  <c r="AK118" i="4"/>
  <c r="AL118" i="4"/>
  <c r="AM118" i="4"/>
  <c r="AN118" i="4"/>
  <c r="AO118" i="4"/>
  <c r="AP118" i="4"/>
  <c r="AQ118" i="4"/>
  <c r="AR118" i="4"/>
  <c r="AS118" i="4"/>
  <c r="AT118" i="4"/>
  <c r="AU118" i="4"/>
  <c r="AV118" i="4"/>
  <c r="AW118" i="4"/>
  <c r="AX118" i="4"/>
  <c r="AY118" i="4"/>
  <c r="AZ118" i="4"/>
  <c r="BA118" i="4"/>
  <c r="BB118" i="4"/>
  <c r="BC118" i="4"/>
  <c r="BD118" i="4"/>
  <c r="BE118" i="4"/>
  <c r="BF118" i="4"/>
  <c r="BG118" i="4"/>
  <c r="BH118" i="4"/>
  <c r="BI118" i="4"/>
  <c r="BJ118" i="4"/>
  <c r="BK118" i="4"/>
  <c r="BL118" i="4"/>
  <c r="BM118" i="4"/>
  <c r="BN118" i="4"/>
  <c r="BO118" i="4"/>
  <c r="BP118" i="4"/>
  <c r="BQ118" i="4"/>
  <c r="BR118" i="4"/>
  <c r="BS118" i="4"/>
  <c r="BT118" i="4"/>
  <c r="BU118" i="4"/>
  <c r="BV118" i="4"/>
  <c r="BW118" i="4"/>
  <c r="BX118" i="4"/>
  <c r="BY118" i="4"/>
  <c r="BZ118" i="4"/>
  <c r="CA118" i="4"/>
  <c r="CB118" i="4"/>
  <c r="CC118" i="4"/>
  <c r="CD118" i="4"/>
  <c r="CE118" i="4"/>
  <c r="CF118" i="4"/>
  <c r="CG118" i="4"/>
  <c r="CH118" i="4"/>
  <c r="CI118" i="4"/>
  <c r="CJ118" i="4"/>
  <c r="CK118" i="4"/>
  <c r="CL118" i="4"/>
  <c r="CM118" i="4"/>
  <c r="CN118" i="4"/>
  <c r="CO118" i="4"/>
  <c r="CP118" i="4"/>
  <c r="CQ118" i="4"/>
  <c r="CR118" i="4"/>
  <c r="CS118" i="4"/>
  <c r="CT118" i="4"/>
  <c r="CU118" i="4"/>
  <c r="CV118" i="4"/>
  <c r="CW118" i="4"/>
  <c r="CX118" i="4"/>
  <c r="CY118" i="4"/>
  <c r="CZ118" i="4"/>
  <c r="DA118" i="4"/>
  <c r="DB118" i="4"/>
  <c r="DC118" i="4"/>
  <c r="DD118" i="4"/>
  <c r="DE118" i="4"/>
  <c r="DF118" i="4"/>
  <c r="DG118" i="4"/>
  <c r="DH118" i="4"/>
  <c r="DI118" i="4"/>
  <c r="DJ118" i="4"/>
  <c r="DK118" i="4"/>
  <c r="DL118" i="4"/>
  <c r="DM118" i="4"/>
  <c r="DN118" i="4"/>
  <c r="DO118" i="4"/>
  <c r="DP118" i="4"/>
  <c r="DQ118" i="4"/>
  <c r="DR118" i="4"/>
  <c r="DS118" i="4"/>
  <c r="DT118" i="4"/>
  <c r="DU118" i="4"/>
  <c r="DV118" i="4"/>
  <c r="DW118" i="4"/>
  <c r="DX118" i="4"/>
  <c r="DY118" i="4"/>
  <c r="DZ118" i="4"/>
  <c r="EA118" i="4"/>
  <c r="EB118" i="4"/>
  <c r="EC118" i="4"/>
  <c r="ED118" i="4"/>
  <c r="EE118" i="4"/>
  <c r="EF118" i="4"/>
  <c r="EG118" i="4"/>
  <c r="EH118" i="4"/>
  <c r="EI118" i="4"/>
  <c r="EJ118" i="4"/>
  <c r="EK118" i="4"/>
  <c r="EL118" i="4"/>
  <c r="EM118" i="4"/>
  <c r="EN118" i="4"/>
  <c r="EO118" i="4"/>
  <c r="EP118" i="4"/>
  <c r="EQ118" i="4"/>
  <c r="ER118" i="4"/>
  <c r="ES118" i="4"/>
  <c r="ET118" i="4"/>
  <c r="EU118" i="4"/>
  <c r="EV118" i="4"/>
  <c r="EW118" i="4"/>
  <c r="EX118" i="4"/>
  <c r="EY118" i="4"/>
  <c r="EZ118" i="4"/>
  <c r="FA118" i="4"/>
  <c r="FB118" i="4"/>
  <c r="FC118" i="4"/>
  <c r="FD118" i="4"/>
  <c r="FE118" i="4"/>
  <c r="FF118" i="4"/>
  <c r="FG118" i="4"/>
  <c r="FH118" i="4"/>
  <c r="FI118" i="4"/>
  <c r="FJ118" i="4"/>
  <c r="FK118" i="4"/>
  <c r="FL118" i="4"/>
  <c r="FM118" i="4"/>
  <c r="FN118" i="4"/>
  <c r="FO118" i="4"/>
  <c r="FP118" i="4"/>
  <c r="FQ118" i="4"/>
  <c r="FR118" i="4"/>
  <c r="FS118" i="4"/>
  <c r="FT118" i="4"/>
  <c r="FU118" i="4"/>
  <c r="FV118" i="4"/>
  <c r="FW118" i="4"/>
  <c r="FX118" i="4"/>
  <c r="FY118" i="4"/>
  <c r="FZ118" i="4"/>
  <c r="GA118" i="4"/>
  <c r="GB118" i="4"/>
  <c r="GC118" i="4"/>
  <c r="GD118" i="4"/>
  <c r="GE118" i="4"/>
  <c r="GF118" i="4"/>
  <c r="GG118" i="4"/>
  <c r="GH118" i="4"/>
  <c r="GI118" i="4"/>
  <c r="GJ118" i="4"/>
  <c r="GK118" i="4"/>
  <c r="GL118" i="4"/>
  <c r="GM118" i="4"/>
  <c r="GN118" i="4"/>
  <c r="GO118" i="4"/>
  <c r="GP118" i="4"/>
  <c r="GQ118" i="4"/>
  <c r="GR118" i="4"/>
  <c r="GS118" i="4"/>
  <c r="GT118" i="4"/>
  <c r="GU118" i="4"/>
  <c r="GV118" i="4"/>
  <c r="GW118" i="4"/>
  <c r="GX118" i="4"/>
  <c r="GY118" i="4"/>
  <c r="GZ118" i="4"/>
  <c r="HA118" i="4"/>
  <c r="HB118" i="4"/>
  <c r="HC118" i="4"/>
  <c r="HD118" i="4"/>
  <c r="HE118" i="4"/>
  <c r="HF118" i="4"/>
  <c r="HG118" i="4"/>
  <c r="HH118" i="4"/>
  <c r="HI118" i="4"/>
  <c r="HJ118" i="4"/>
  <c r="HK118" i="4"/>
  <c r="HL118" i="4"/>
  <c r="HM118" i="4"/>
  <c r="HN118" i="4"/>
  <c r="HO118" i="4"/>
  <c r="HP118" i="4"/>
  <c r="HQ118" i="4"/>
  <c r="HR118" i="4"/>
  <c r="HS118" i="4"/>
  <c r="HT118" i="4"/>
  <c r="HU118" i="4"/>
  <c r="HV118" i="4"/>
  <c r="HW118" i="4"/>
  <c r="HX118" i="4"/>
  <c r="HY118" i="4"/>
  <c r="HZ118" i="4"/>
  <c r="IA118" i="4"/>
  <c r="IB118" i="4"/>
  <c r="IC118" i="4"/>
  <c r="ID118" i="4"/>
  <c r="IE118" i="4"/>
  <c r="IF118" i="4"/>
  <c r="IG118" i="4"/>
  <c r="IH118" i="4"/>
  <c r="II118" i="4"/>
  <c r="IJ118" i="4"/>
  <c r="IK118" i="4"/>
  <c r="IL118" i="4"/>
  <c r="IM118" i="4"/>
  <c r="IN118" i="4"/>
  <c r="IO118" i="4"/>
  <c r="IP118" i="4"/>
  <c r="IQ118" i="4"/>
  <c r="IR118" i="4"/>
  <c r="IS118" i="4"/>
  <c r="IT118" i="4"/>
  <c r="IU118" i="4"/>
  <c r="IV118" i="4"/>
  <c r="A117" i="4"/>
  <c r="B117" i="4"/>
  <c r="C117" i="4"/>
  <c r="D117" i="4"/>
  <c r="E117" i="4"/>
  <c r="F117" i="4"/>
  <c r="G117" i="4"/>
  <c r="H117" i="4"/>
  <c r="I117" i="4"/>
  <c r="J117" i="4"/>
  <c r="K117" i="4"/>
  <c r="L117" i="4"/>
  <c r="M117" i="4"/>
  <c r="N117" i="4"/>
  <c r="O117" i="4"/>
  <c r="P117" i="4"/>
  <c r="Q117" i="4"/>
  <c r="R117" i="4"/>
  <c r="S117" i="4"/>
  <c r="T117" i="4"/>
  <c r="U117" i="4"/>
  <c r="V117" i="4"/>
  <c r="W117" i="4"/>
  <c r="X117" i="4"/>
  <c r="Y117" i="4"/>
  <c r="AA117" i="4"/>
  <c r="AB117" i="4"/>
  <c r="AC117" i="4"/>
  <c r="AD117" i="4"/>
  <c r="AE117" i="4"/>
  <c r="AF117" i="4"/>
  <c r="AG117" i="4"/>
  <c r="AH117" i="4"/>
  <c r="AI117" i="4"/>
  <c r="AJ117" i="4"/>
  <c r="AK117" i="4"/>
  <c r="AL117" i="4"/>
  <c r="AM117" i="4"/>
  <c r="AN117" i="4"/>
  <c r="AO117" i="4"/>
  <c r="AP117" i="4"/>
  <c r="AQ117" i="4"/>
  <c r="AR117" i="4"/>
  <c r="AS117" i="4"/>
  <c r="AT117" i="4"/>
  <c r="AU117" i="4"/>
  <c r="AV117" i="4"/>
  <c r="AW117" i="4"/>
  <c r="AX117" i="4"/>
  <c r="AY117" i="4"/>
  <c r="AZ117" i="4"/>
  <c r="BA117" i="4"/>
  <c r="BB117" i="4"/>
  <c r="BC117" i="4"/>
  <c r="BD117" i="4"/>
  <c r="BE117" i="4"/>
  <c r="BF117" i="4"/>
  <c r="BG117" i="4"/>
  <c r="BH117" i="4"/>
  <c r="BI117" i="4"/>
  <c r="BJ117" i="4"/>
  <c r="BK117" i="4"/>
  <c r="BL117" i="4"/>
  <c r="BM117" i="4"/>
  <c r="BN117" i="4"/>
  <c r="BO117" i="4"/>
  <c r="BP117" i="4"/>
  <c r="BQ117" i="4"/>
  <c r="BR117" i="4"/>
  <c r="BS117" i="4"/>
  <c r="BT117" i="4"/>
  <c r="BU117" i="4"/>
  <c r="BV117" i="4"/>
  <c r="BW117" i="4"/>
  <c r="BX117" i="4"/>
  <c r="BY117" i="4"/>
  <c r="BZ117" i="4"/>
  <c r="CA117" i="4"/>
  <c r="CB117" i="4"/>
  <c r="CC117" i="4"/>
  <c r="CD117" i="4"/>
  <c r="CE117" i="4"/>
  <c r="CF117" i="4"/>
  <c r="CG117" i="4"/>
  <c r="CH117" i="4"/>
  <c r="CI117" i="4"/>
  <c r="CJ117" i="4"/>
  <c r="CK117" i="4"/>
  <c r="CL117" i="4"/>
  <c r="CM117" i="4"/>
  <c r="CN117" i="4"/>
  <c r="CO117" i="4"/>
  <c r="CP117" i="4"/>
  <c r="CQ117" i="4"/>
  <c r="CR117" i="4"/>
  <c r="CS117" i="4"/>
  <c r="CT117" i="4"/>
  <c r="CU117" i="4"/>
  <c r="CV117" i="4"/>
  <c r="CW117" i="4"/>
  <c r="CX117" i="4"/>
  <c r="CY117" i="4"/>
  <c r="CZ117" i="4"/>
  <c r="DA117" i="4"/>
  <c r="DB117" i="4"/>
  <c r="DC117" i="4"/>
  <c r="DD117" i="4"/>
  <c r="DE117" i="4"/>
  <c r="DF117" i="4"/>
  <c r="DG117" i="4"/>
  <c r="DH117" i="4"/>
  <c r="DI117" i="4"/>
  <c r="DJ117" i="4"/>
  <c r="DK117" i="4"/>
  <c r="DL117" i="4"/>
  <c r="DM117" i="4"/>
  <c r="DN117" i="4"/>
  <c r="DO117" i="4"/>
  <c r="DP117" i="4"/>
  <c r="DQ117" i="4"/>
  <c r="DR117" i="4"/>
  <c r="DS117" i="4"/>
  <c r="DT117" i="4"/>
  <c r="DU117" i="4"/>
  <c r="DV117" i="4"/>
  <c r="DW117" i="4"/>
  <c r="DX117" i="4"/>
  <c r="DY117" i="4"/>
  <c r="DZ117" i="4"/>
  <c r="EA117" i="4"/>
  <c r="EB117" i="4"/>
  <c r="EC117" i="4"/>
  <c r="ED117" i="4"/>
  <c r="EE117" i="4"/>
  <c r="EF117" i="4"/>
  <c r="EG117" i="4"/>
  <c r="EH117" i="4"/>
  <c r="EI117" i="4"/>
  <c r="EJ117" i="4"/>
  <c r="EK117" i="4"/>
  <c r="EL117" i="4"/>
  <c r="EM117" i="4"/>
  <c r="EN117" i="4"/>
  <c r="EO117" i="4"/>
  <c r="EP117" i="4"/>
  <c r="EQ117" i="4"/>
  <c r="ER117" i="4"/>
  <c r="ES117" i="4"/>
  <c r="ET117" i="4"/>
  <c r="EU117" i="4"/>
  <c r="EV117" i="4"/>
  <c r="EW117" i="4"/>
  <c r="EX117" i="4"/>
  <c r="EY117" i="4"/>
  <c r="EZ117" i="4"/>
  <c r="FA117" i="4"/>
  <c r="FB117" i="4"/>
  <c r="FC117" i="4"/>
  <c r="FD117" i="4"/>
  <c r="FE117" i="4"/>
  <c r="FF117" i="4"/>
  <c r="FG117" i="4"/>
  <c r="FH117" i="4"/>
  <c r="FI117" i="4"/>
  <c r="FJ117" i="4"/>
  <c r="FK117" i="4"/>
  <c r="FL117" i="4"/>
  <c r="FM117" i="4"/>
  <c r="FN117" i="4"/>
  <c r="FO117" i="4"/>
  <c r="FP117" i="4"/>
  <c r="FQ117" i="4"/>
  <c r="FR117" i="4"/>
  <c r="FS117" i="4"/>
  <c r="FT117" i="4"/>
  <c r="FU117" i="4"/>
  <c r="FV117" i="4"/>
  <c r="FW117" i="4"/>
  <c r="FX117" i="4"/>
  <c r="FY117" i="4"/>
  <c r="FZ117" i="4"/>
  <c r="GA117" i="4"/>
  <c r="GB117" i="4"/>
  <c r="GC117" i="4"/>
  <c r="GD117" i="4"/>
  <c r="GE117" i="4"/>
  <c r="GF117" i="4"/>
  <c r="GG117" i="4"/>
  <c r="GH117" i="4"/>
  <c r="GI117" i="4"/>
  <c r="GJ117" i="4"/>
  <c r="GK117" i="4"/>
  <c r="GL117" i="4"/>
  <c r="GM117" i="4"/>
  <c r="GN117" i="4"/>
  <c r="GO117" i="4"/>
  <c r="GP117" i="4"/>
  <c r="GQ117" i="4"/>
  <c r="GR117" i="4"/>
  <c r="GS117" i="4"/>
  <c r="GT117" i="4"/>
  <c r="GU117" i="4"/>
  <c r="GV117" i="4"/>
  <c r="GW117" i="4"/>
  <c r="GX117" i="4"/>
  <c r="GY117" i="4"/>
  <c r="GZ117" i="4"/>
  <c r="HA117" i="4"/>
  <c r="HB117" i="4"/>
  <c r="HC117" i="4"/>
  <c r="HD117" i="4"/>
  <c r="HE117" i="4"/>
  <c r="HF117" i="4"/>
  <c r="HG117" i="4"/>
  <c r="HH117" i="4"/>
  <c r="HI117" i="4"/>
  <c r="HJ117" i="4"/>
  <c r="HK117" i="4"/>
  <c r="HL117" i="4"/>
  <c r="HM117" i="4"/>
  <c r="HN117" i="4"/>
  <c r="HO117" i="4"/>
  <c r="HP117" i="4"/>
  <c r="HQ117" i="4"/>
  <c r="HR117" i="4"/>
  <c r="HS117" i="4"/>
  <c r="HT117" i="4"/>
  <c r="HU117" i="4"/>
  <c r="HV117" i="4"/>
  <c r="HW117" i="4"/>
  <c r="HX117" i="4"/>
  <c r="HY117" i="4"/>
  <c r="HZ117" i="4"/>
  <c r="IA117" i="4"/>
  <c r="IB117" i="4"/>
  <c r="IC117" i="4"/>
  <c r="ID117" i="4"/>
  <c r="IE117" i="4"/>
  <c r="IF117" i="4"/>
  <c r="IG117" i="4"/>
  <c r="IH117" i="4"/>
  <c r="II117" i="4"/>
  <c r="IJ117" i="4"/>
  <c r="IK117" i="4"/>
  <c r="IL117" i="4"/>
  <c r="IM117" i="4"/>
  <c r="IN117" i="4"/>
  <c r="IO117" i="4"/>
  <c r="IP117" i="4"/>
  <c r="IQ117" i="4"/>
  <c r="IR117" i="4"/>
  <c r="IS117" i="4"/>
  <c r="IT117" i="4"/>
  <c r="IU117" i="4"/>
  <c r="IV117" i="4"/>
  <c r="A116" i="4"/>
  <c r="B116" i="4"/>
  <c r="C116" i="4"/>
  <c r="D116" i="4"/>
  <c r="E116" i="4"/>
  <c r="F116" i="4"/>
  <c r="G116" i="4"/>
  <c r="H116" i="4"/>
  <c r="I116" i="4"/>
  <c r="J116" i="4"/>
  <c r="K116" i="4"/>
  <c r="L116" i="4"/>
  <c r="M116" i="4"/>
  <c r="N116" i="4"/>
  <c r="O116" i="4"/>
  <c r="P116" i="4"/>
  <c r="Q116" i="4"/>
  <c r="R116" i="4"/>
  <c r="S116" i="4"/>
  <c r="T116" i="4"/>
  <c r="U116" i="4"/>
  <c r="V116" i="4"/>
  <c r="W116" i="4"/>
  <c r="X116" i="4"/>
  <c r="Y116" i="4"/>
  <c r="Z116" i="4"/>
  <c r="AB116" i="4"/>
  <c r="AC116" i="4"/>
  <c r="AD116" i="4"/>
  <c r="AE116" i="4"/>
  <c r="AF116" i="4"/>
  <c r="AG116" i="4"/>
  <c r="AH116" i="4"/>
  <c r="AI116" i="4"/>
  <c r="AJ116" i="4"/>
  <c r="AK116" i="4"/>
  <c r="AL116" i="4"/>
  <c r="AM116" i="4"/>
  <c r="AN116" i="4"/>
  <c r="AO116" i="4"/>
  <c r="AP116" i="4"/>
  <c r="AQ116" i="4"/>
  <c r="AR116" i="4"/>
  <c r="AS116" i="4"/>
  <c r="AT116" i="4"/>
  <c r="AU116" i="4"/>
  <c r="AV116" i="4"/>
  <c r="AW116" i="4"/>
  <c r="AX116" i="4"/>
  <c r="AY116" i="4"/>
  <c r="AZ116" i="4"/>
  <c r="BA116" i="4"/>
  <c r="BB116" i="4"/>
  <c r="BC116" i="4"/>
  <c r="BD116" i="4"/>
  <c r="BE116" i="4"/>
  <c r="BF116" i="4"/>
  <c r="BG116" i="4"/>
  <c r="BH116" i="4"/>
  <c r="BI116" i="4"/>
  <c r="BJ116" i="4"/>
  <c r="BK116" i="4"/>
  <c r="BL116" i="4"/>
  <c r="BM116" i="4"/>
  <c r="BN116" i="4"/>
  <c r="BO116" i="4"/>
  <c r="BP116" i="4"/>
  <c r="BQ116" i="4"/>
  <c r="BR116" i="4"/>
  <c r="BS116" i="4"/>
  <c r="BT116" i="4"/>
  <c r="BU116" i="4"/>
  <c r="BV116" i="4"/>
  <c r="BW116" i="4"/>
  <c r="BX116" i="4"/>
  <c r="BY116" i="4"/>
  <c r="BZ116" i="4"/>
  <c r="CA116" i="4"/>
  <c r="CB116" i="4"/>
  <c r="CC116" i="4"/>
  <c r="CD116" i="4"/>
  <c r="CE116" i="4"/>
  <c r="CF116" i="4"/>
  <c r="CG116" i="4"/>
  <c r="CH116" i="4"/>
  <c r="CI116" i="4"/>
  <c r="CJ116" i="4"/>
  <c r="CK116" i="4"/>
  <c r="CL116" i="4"/>
  <c r="CM116" i="4"/>
  <c r="CN116" i="4"/>
  <c r="CO116" i="4"/>
  <c r="CP116" i="4"/>
  <c r="CQ116" i="4"/>
  <c r="CR116" i="4"/>
  <c r="CS116" i="4"/>
  <c r="CT116" i="4"/>
  <c r="CU116" i="4"/>
  <c r="CV116" i="4"/>
  <c r="CW116" i="4"/>
  <c r="CX116" i="4"/>
  <c r="CY116" i="4"/>
  <c r="CZ116" i="4"/>
  <c r="DA116" i="4"/>
  <c r="DB116" i="4"/>
  <c r="DC116" i="4"/>
  <c r="DD116" i="4"/>
  <c r="DE116" i="4"/>
  <c r="DF116" i="4"/>
  <c r="DG116" i="4"/>
  <c r="DH116" i="4"/>
  <c r="DI116" i="4"/>
  <c r="DJ116" i="4"/>
  <c r="DK116" i="4"/>
  <c r="DL116" i="4"/>
  <c r="DM116" i="4"/>
  <c r="DN116" i="4"/>
  <c r="DO116" i="4"/>
  <c r="DP116" i="4"/>
  <c r="DQ116" i="4"/>
  <c r="DR116" i="4"/>
  <c r="DS116" i="4"/>
  <c r="DT116" i="4"/>
  <c r="DU116" i="4"/>
  <c r="DV116" i="4"/>
  <c r="DW116" i="4"/>
  <c r="DX116" i="4"/>
  <c r="DY116" i="4"/>
  <c r="DZ116" i="4"/>
  <c r="EA116" i="4"/>
  <c r="EB116" i="4"/>
  <c r="EC116" i="4"/>
  <c r="ED116" i="4"/>
  <c r="EE116" i="4"/>
  <c r="EF116" i="4"/>
  <c r="EG116" i="4"/>
  <c r="EH116" i="4"/>
  <c r="EI116" i="4"/>
  <c r="EJ116" i="4"/>
  <c r="EK116" i="4"/>
  <c r="EL116" i="4"/>
  <c r="EM116" i="4"/>
  <c r="EN116" i="4"/>
  <c r="EO116" i="4"/>
  <c r="EP116" i="4"/>
  <c r="EQ116" i="4"/>
  <c r="ER116" i="4"/>
  <c r="ES116" i="4"/>
  <c r="ET116" i="4"/>
  <c r="EU116" i="4"/>
  <c r="EV116" i="4"/>
  <c r="EW116" i="4"/>
  <c r="EX116" i="4"/>
  <c r="EY116" i="4"/>
  <c r="EZ116" i="4"/>
  <c r="FA116" i="4"/>
  <c r="FB116" i="4"/>
  <c r="FC116" i="4"/>
  <c r="FD116" i="4"/>
  <c r="FE116" i="4"/>
  <c r="FF116" i="4"/>
  <c r="FG116" i="4"/>
  <c r="FH116" i="4"/>
  <c r="FI116" i="4"/>
  <c r="FJ116" i="4"/>
  <c r="FK116" i="4"/>
  <c r="FL116" i="4"/>
  <c r="FM116" i="4"/>
  <c r="FN116" i="4"/>
  <c r="FO116" i="4"/>
  <c r="FP116" i="4"/>
  <c r="FQ116" i="4"/>
  <c r="FR116" i="4"/>
  <c r="FS116" i="4"/>
  <c r="FT116" i="4"/>
  <c r="FU116" i="4"/>
  <c r="FV116" i="4"/>
  <c r="FW116" i="4"/>
  <c r="FX116" i="4"/>
  <c r="FY116" i="4"/>
  <c r="FZ116" i="4"/>
  <c r="GA116" i="4"/>
  <c r="GB116" i="4"/>
  <c r="GC116" i="4"/>
  <c r="GD116" i="4"/>
  <c r="GE116" i="4"/>
  <c r="GF116" i="4"/>
  <c r="GG116" i="4"/>
  <c r="GH116" i="4"/>
  <c r="GI116" i="4"/>
  <c r="GJ116" i="4"/>
  <c r="GK116" i="4"/>
  <c r="GL116" i="4"/>
  <c r="GM116" i="4"/>
  <c r="GN116" i="4"/>
  <c r="GO116" i="4"/>
  <c r="GP116" i="4"/>
  <c r="GQ116" i="4"/>
  <c r="GR116" i="4"/>
  <c r="GS116" i="4"/>
  <c r="GT116" i="4"/>
  <c r="GU116" i="4"/>
  <c r="GV116" i="4"/>
  <c r="GW116" i="4"/>
  <c r="GX116" i="4"/>
  <c r="GY116" i="4"/>
  <c r="GZ116" i="4"/>
  <c r="HA116" i="4"/>
  <c r="HB116" i="4"/>
  <c r="HC116" i="4"/>
  <c r="HD116" i="4"/>
  <c r="HE116" i="4"/>
  <c r="HF116" i="4"/>
  <c r="HG116" i="4"/>
  <c r="HH116" i="4"/>
  <c r="HI116" i="4"/>
  <c r="HJ116" i="4"/>
  <c r="HK116" i="4"/>
  <c r="HL116" i="4"/>
  <c r="HM116" i="4"/>
  <c r="HN116" i="4"/>
  <c r="HO116" i="4"/>
  <c r="HP116" i="4"/>
  <c r="HQ116" i="4"/>
  <c r="HR116" i="4"/>
  <c r="HS116" i="4"/>
  <c r="HT116" i="4"/>
  <c r="HU116" i="4"/>
  <c r="HV116" i="4"/>
  <c r="HW116" i="4"/>
  <c r="HX116" i="4"/>
  <c r="HY116" i="4"/>
  <c r="HZ116" i="4"/>
  <c r="IA116" i="4"/>
  <c r="IB116" i="4"/>
  <c r="IC116" i="4"/>
  <c r="ID116" i="4"/>
  <c r="IE116" i="4"/>
  <c r="IF116" i="4"/>
  <c r="IG116" i="4"/>
  <c r="IH116" i="4"/>
  <c r="II116" i="4"/>
  <c r="IJ116" i="4"/>
  <c r="IK116" i="4"/>
  <c r="IL116" i="4"/>
  <c r="IM116" i="4"/>
  <c r="IN116" i="4"/>
  <c r="IO116" i="4"/>
  <c r="IP116" i="4"/>
  <c r="IQ116" i="4"/>
  <c r="IR116" i="4"/>
  <c r="IS116" i="4"/>
  <c r="IT116" i="4"/>
  <c r="IU116" i="4"/>
  <c r="IV116" i="4"/>
  <c r="A115" i="4"/>
  <c r="B115" i="4"/>
  <c r="C115" i="4"/>
  <c r="D115" i="4"/>
  <c r="E115" i="4"/>
  <c r="F115" i="4"/>
  <c r="G115" i="4"/>
  <c r="H115" i="4"/>
  <c r="I115" i="4"/>
  <c r="J115" i="4"/>
  <c r="K115" i="4"/>
  <c r="L115" i="4"/>
  <c r="M115" i="4"/>
  <c r="N115" i="4"/>
  <c r="O115" i="4"/>
  <c r="P115" i="4"/>
  <c r="Q115" i="4"/>
  <c r="R115" i="4"/>
  <c r="S115" i="4"/>
  <c r="T115" i="4"/>
  <c r="U115" i="4"/>
  <c r="V115" i="4"/>
  <c r="W115" i="4"/>
  <c r="X115" i="4"/>
  <c r="Y115" i="4"/>
  <c r="Z115" i="4"/>
  <c r="AA115" i="4"/>
  <c r="AC115" i="4"/>
  <c r="AD115" i="4"/>
  <c r="AE115" i="4"/>
  <c r="AF115" i="4"/>
  <c r="AG115" i="4"/>
  <c r="AH115" i="4"/>
  <c r="AI115" i="4"/>
  <c r="AJ115" i="4"/>
  <c r="AK115" i="4"/>
  <c r="AL115" i="4"/>
  <c r="AM115" i="4"/>
  <c r="AN115" i="4"/>
  <c r="AO115" i="4"/>
  <c r="AP115" i="4"/>
  <c r="AQ115" i="4"/>
  <c r="AR115" i="4"/>
  <c r="AS115" i="4"/>
  <c r="AT115" i="4"/>
  <c r="AU115" i="4"/>
  <c r="AV115" i="4"/>
  <c r="AW115" i="4"/>
  <c r="AX115" i="4"/>
  <c r="AY115" i="4"/>
  <c r="AZ115" i="4"/>
  <c r="BA115" i="4"/>
  <c r="BB115" i="4"/>
  <c r="BC115" i="4"/>
  <c r="BD115" i="4"/>
  <c r="BE115" i="4"/>
  <c r="BF115" i="4"/>
  <c r="BG115" i="4"/>
  <c r="BH115" i="4"/>
  <c r="BI115" i="4"/>
  <c r="BJ115" i="4"/>
  <c r="BK115" i="4"/>
  <c r="BL115" i="4"/>
  <c r="BM115" i="4"/>
  <c r="BN115" i="4"/>
  <c r="BO115" i="4"/>
  <c r="BP115" i="4"/>
  <c r="BQ115" i="4"/>
  <c r="BR115" i="4"/>
  <c r="BS115" i="4"/>
  <c r="BT115" i="4"/>
  <c r="BU115" i="4"/>
  <c r="BV115" i="4"/>
  <c r="BW115" i="4"/>
  <c r="BX115" i="4"/>
  <c r="BY115" i="4"/>
  <c r="BZ115" i="4"/>
  <c r="CA115" i="4"/>
  <c r="CB115" i="4"/>
  <c r="CC115" i="4"/>
  <c r="CD115" i="4"/>
  <c r="CE115" i="4"/>
  <c r="CF115" i="4"/>
  <c r="CG115" i="4"/>
  <c r="CH115" i="4"/>
  <c r="CI115" i="4"/>
  <c r="CJ115" i="4"/>
  <c r="CK115" i="4"/>
  <c r="CL115" i="4"/>
  <c r="CM115" i="4"/>
  <c r="CN115" i="4"/>
  <c r="CO115" i="4"/>
  <c r="CP115" i="4"/>
  <c r="CQ115" i="4"/>
  <c r="CR115" i="4"/>
  <c r="CS115" i="4"/>
  <c r="CT115" i="4"/>
  <c r="CU115" i="4"/>
  <c r="CV115" i="4"/>
  <c r="CW115" i="4"/>
  <c r="CX115" i="4"/>
  <c r="CY115" i="4"/>
  <c r="CZ115" i="4"/>
  <c r="DA115" i="4"/>
  <c r="DB115" i="4"/>
  <c r="DC115" i="4"/>
  <c r="DD115" i="4"/>
  <c r="DE115" i="4"/>
  <c r="DF115" i="4"/>
  <c r="DG115" i="4"/>
  <c r="DH115" i="4"/>
  <c r="DI115" i="4"/>
  <c r="DJ115" i="4"/>
  <c r="DK115" i="4"/>
  <c r="DL115" i="4"/>
  <c r="DM115" i="4"/>
  <c r="DN115" i="4"/>
  <c r="DO115" i="4"/>
  <c r="DP115" i="4"/>
  <c r="DQ115" i="4"/>
  <c r="DR115" i="4"/>
  <c r="DS115" i="4"/>
  <c r="DT115" i="4"/>
  <c r="DU115" i="4"/>
  <c r="DV115" i="4"/>
  <c r="DW115" i="4"/>
  <c r="DX115" i="4"/>
  <c r="DY115" i="4"/>
  <c r="DZ115" i="4"/>
  <c r="EA115" i="4"/>
  <c r="EB115" i="4"/>
  <c r="EC115" i="4"/>
  <c r="ED115" i="4"/>
  <c r="EE115" i="4"/>
  <c r="EF115" i="4"/>
  <c r="EG115" i="4"/>
  <c r="EH115" i="4"/>
  <c r="EI115" i="4"/>
  <c r="EJ115" i="4"/>
  <c r="EK115" i="4"/>
  <c r="EL115" i="4"/>
  <c r="EM115" i="4"/>
  <c r="EN115" i="4"/>
  <c r="EO115" i="4"/>
  <c r="EP115" i="4"/>
  <c r="EQ115" i="4"/>
  <c r="ER115" i="4"/>
  <c r="ES115" i="4"/>
  <c r="ET115" i="4"/>
  <c r="EU115" i="4"/>
  <c r="EV115" i="4"/>
  <c r="EW115" i="4"/>
  <c r="EX115" i="4"/>
  <c r="EY115" i="4"/>
  <c r="EZ115" i="4"/>
  <c r="FA115" i="4"/>
  <c r="FB115" i="4"/>
  <c r="FC115" i="4"/>
  <c r="FD115" i="4"/>
  <c r="FE115" i="4"/>
  <c r="FF115" i="4"/>
  <c r="FG115" i="4"/>
  <c r="FH115" i="4"/>
  <c r="FI115" i="4"/>
  <c r="FJ115" i="4"/>
  <c r="FK115" i="4"/>
  <c r="FL115" i="4"/>
  <c r="FM115" i="4"/>
  <c r="FN115" i="4"/>
  <c r="FO115" i="4"/>
  <c r="FP115" i="4"/>
  <c r="FQ115" i="4"/>
  <c r="FR115" i="4"/>
  <c r="FS115" i="4"/>
  <c r="FT115" i="4"/>
  <c r="FU115" i="4"/>
  <c r="FV115" i="4"/>
  <c r="FW115" i="4"/>
  <c r="FX115" i="4"/>
  <c r="FY115" i="4"/>
  <c r="FZ115" i="4"/>
  <c r="GA115" i="4"/>
  <c r="GB115" i="4"/>
  <c r="GC115" i="4"/>
  <c r="GD115" i="4"/>
  <c r="GE115" i="4"/>
  <c r="GF115" i="4"/>
  <c r="GG115" i="4"/>
  <c r="GH115" i="4"/>
  <c r="GI115" i="4"/>
  <c r="GJ115" i="4"/>
  <c r="GK115" i="4"/>
  <c r="GL115" i="4"/>
  <c r="GM115" i="4"/>
  <c r="GN115" i="4"/>
  <c r="GO115" i="4"/>
  <c r="GP115" i="4"/>
  <c r="GQ115" i="4"/>
  <c r="GR115" i="4"/>
  <c r="GS115" i="4"/>
  <c r="GT115" i="4"/>
  <c r="GU115" i="4"/>
  <c r="GV115" i="4"/>
  <c r="GW115" i="4"/>
  <c r="GX115" i="4"/>
  <c r="GY115" i="4"/>
  <c r="GZ115" i="4"/>
  <c r="HA115" i="4"/>
  <c r="HB115" i="4"/>
  <c r="HC115" i="4"/>
  <c r="HD115" i="4"/>
  <c r="HE115" i="4"/>
  <c r="HF115" i="4"/>
  <c r="HG115" i="4"/>
  <c r="HH115" i="4"/>
  <c r="HI115" i="4"/>
  <c r="HJ115" i="4"/>
  <c r="HK115" i="4"/>
  <c r="HL115" i="4"/>
  <c r="HM115" i="4"/>
  <c r="HN115" i="4"/>
  <c r="HO115" i="4"/>
  <c r="HP115" i="4"/>
  <c r="HQ115" i="4"/>
  <c r="HR115" i="4"/>
  <c r="HS115" i="4"/>
  <c r="HT115" i="4"/>
  <c r="HU115" i="4"/>
  <c r="HV115" i="4"/>
  <c r="HW115" i="4"/>
  <c r="HX115" i="4"/>
  <c r="HY115" i="4"/>
  <c r="HZ115" i="4"/>
  <c r="IA115" i="4"/>
  <c r="IB115" i="4"/>
  <c r="IC115" i="4"/>
  <c r="ID115" i="4"/>
  <c r="IE115" i="4"/>
  <c r="IF115" i="4"/>
  <c r="IG115" i="4"/>
  <c r="IH115" i="4"/>
  <c r="II115" i="4"/>
  <c r="IJ115" i="4"/>
  <c r="IK115" i="4"/>
  <c r="IL115" i="4"/>
  <c r="IM115" i="4"/>
  <c r="IN115" i="4"/>
  <c r="IO115" i="4"/>
  <c r="IP115" i="4"/>
  <c r="IQ115" i="4"/>
  <c r="IR115" i="4"/>
  <c r="IS115" i="4"/>
  <c r="IT115" i="4"/>
  <c r="IU115" i="4"/>
  <c r="IV115" i="4"/>
  <c r="A114" i="4"/>
  <c r="B114" i="4"/>
  <c r="C114" i="4"/>
  <c r="D114" i="4"/>
  <c r="E114" i="4"/>
  <c r="F114" i="4"/>
  <c r="G114" i="4"/>
  <c r="H114" i="4"/>
  <c r="I114" i="4"/>
  <c r="J114" i="4"/>
  <c r="K114" i="4"/>
  <c r="L114" i="4"/>
  <c r="M114" i="4"/>
  <c r="N114" i="4"/>
  <c r="O114" i="4"/>
  <c r="P114" i="4"/>
  <c r="Q114" i="4"/>
  <c r="R114" i="4"/>
  <c r="S114" i="4"/>
  <c r="T114" i="4"/>
  <c r="U114" i="4"/>
  <c r="V114" i="4"/>
  <c r="W114" i="4"/>
  <c r="X114" i="4"/>
  <c r="Y114" i="4"/>
  <c r="Z114" i="4"/>
  <c r="AA114" i="4"/>
  <c r="AB114" i="4"/>
  <c r="AD114" i="4"/>
  <c r="AE114" i="4"/>
  <c r="AF114" i="4"/>
  <c r="AG114" i="4"/>
  <c r="AH114" i="4"/>
  <c r="AI114" i="4"/>
  <c r="AJ114" i="4"/>
  <c r="AK114" i="4"/>
  <c r="AL114" i="4"/>
  <c r="AM114" i="4"/>
  <c r="AN114" i="4"/>
  <c r="AO114" i="4"/>
  <c r="AP114" i="4"/>
  <c r="AQ114" i="4"/>
  <c r="AR114" i="4"/>
  <c r="AS114" i="4"/>
  <c r="AT114" i="4"/>
  <c r="AU114" i="4"/>
  <c r="AV114" i="4"/>
  <c r="AW114" i="4"/>
  <c r="AX114" i="4"/>
  <c r="AY114" i="4"/>
  <c r="AZ114" i="4"/>
  <c r="BA114" i="4"/>
  <c r="BB114" i="4"/>
  <c r="BC114" i="4"/>
  <c r="BD114" i="4"/>
  <c r="BE114" i="4"/>
  <c r="BF114" i="4"/>
  <c r="BG114" i="4"/>
  <c r="BH114" i="4"/>
  <c r="BI114" i="4"/>
  <c r="BJ114" i="4"/>
  <c r="BK114" i="4"/>
  <c r="BL114" i="4"/>
  <c r="BM114" i="4"/>
  <c r="BN114" i="4"/>
  <c r="BO114" i="4"/>
  <c r="BP114" i="4"/>
  <c r="BQ114" i="4"/>
  <c r="BR114" i="4"/>
  <c r="BS114" i="4"/>
  <c r="BT114" i="4"/>
  <c r="BU114" i="4"/>
  <c r="BV114" i="4"/>
  <c r="BW114" i="4"/>
  <c r="BX114" i="4"/>
  <c r="BY114" i="4"/>
  <c r="BZ114" i="4"/>
  <c r="CA114" i="4"/>
  <c r="CB114" i="4"/>
  <c r="CC114" i="4"/>
  <c r="CD114" i="4"/>
  <c r="CE114" i="4"/>
  <c r="CF114" i="4"/>
  <c r="CG114" i="4"/>
  <c r="CH114" i="4"/>
  <c r="CI114" i="4"/>
  <c r="CJ114" i="4"/>
  <c r="CK114" i="4"/>
  <c r="CL114" i="4"/>
  <c r="CM114" i="4"/>
  <c r="CN114" i="4"/>
  <c r="CO114" i="4"/>
  <c r="CP114" i="4"/>
  <c r="CQ114" i="4"/>
  <c r="CR114" i="4"/>
  <c r="CS114" i="4"/>
  <c r="CT114" i="4"/>
  <c r="CU114" i="4"/>
  <c r="CV114" i="4"/>
  <c r="CW114" i="4"/>
  <c r="CX114" i="4"/>
  <c r="CY114" i="4"/>
  <c r="CZ114" i="4"/>
  <c r="DA114" i="4"/>
  <c r="DB114" i="4"/>
  <c r="DC114" i="4"/>
  <c r="DD114" i="4"/>
  <c r="DE114" i="4"/>
  <c r="DF114" i="4"/>
  <c r="DG114" i="4"/>
  <c r="DH114" i="4"/>
  <c r="DI114" i="4"/>
  <c r="DJ114" i="4"/>
  <c r="DK114" i="4"/>
  <c r="DL114" i="4"/>
  <c r="DM114" i="4"/>
  <c r="DN114" i="4"/>
  <c r="DO114" i="4"/>
  <c r="DP114" i="4"/>
  <c r="DQ114" i="4"/>
  <c r="DR114" i="4"/>
  <c r="DS114" i="4"/>
  <c r="DT114" i="4"/>
  <c r="DU114" i="4"/>
  <c r="DV114" i="4"/>
  <c r="DW114" i="4"/>
  <c r="DX114" i="4"/>
  <c r="DY114" i="4"/>
  <c r="DZ114" i="4"/>
  <c r="EA114" i="4"/>
  <c r="EB114" i="4"/>
  <c r="EC114" i="4"/>
  <c r="ED114" i="4"/>
  <c r="EE114" i="4"/>
  <c r="EF114" i="4"/>
  <c r="EG114" i="4"/>
  <c r="EH114" i="4"/>
  <c r="EI114" i="4"/>
  <c r="EJ114" i="4"/>
  <c r="EK114" i="4"/>
  <c r="EL114" i="4"/>
  <c r="EM114" i="4"/>
  <c r="EN114" i="4"/>
  <c r="EO114" i="4"/>
  <c r="EP114" i="4"/>
  <c r="EQ114" i="4"/>
  <c r="ER114" i="4"/>
  <c r="ES114" i="4"/>
  <c r="ET114" i="4"/>
  <c r="EU114" i="4"/>
  <c r="EV114" i="4"/>
  <c r="EW114" i="4"/>
  <c r="EX114" i="4"/>
  <c r="EY114" i="4"/>
  <c r="EZ114" i="4"/>
  <c r="FA114" i="4"/>
  <c r="FB114" i="4"/>
  <c r="FC114" i="4"/>
  <c r="FD114" i="4"/>
  <c r="FE114" i="4"/>
  <c r="FF114" i="4"/>
  <c r="FG114" i="4"/>
  <c r="FH114" i="4"/>
  <c r="FI114" i="4"/>
  <c r="FJ114" i="4"/>
  <c r="FK114" i="4"/>
  <c r="FL114" i="4"/>
  <c r="FM114" i="4"/>
  <c r="FN114" i="4"/>
  <c r="FO114" i="4"/>
  <c r="FP114" i="4"/>
  <c r="FQ114" i="4"/>
  <c r="FR114" i="4"/>
  <c r="FS114" i="4"/>
  <c r="FT114" i="4"/>
  <c r="FU114" i="4"/>
  <c r="FV114" i="4"/>
  <c r="FW114" i="4"/>
  <c r="FX114" i="4"/>
  <c r="FY114" i="4"/>
  <c r="FZ114" i="4"/>
  <c r="GA114" i="4"/>
  <c r="GB114" i="4"/>
  <c r="GC114" i="4"/>
  <c r="GD114" i="4"/>
  <c r="GE114" i="4"/>
  <c r="GF114" i="4"/>
  <c r="GG114" i="4"/>
  <c r="GH114" i="4"/>
  <c r="GI114" i="4"/>
  <c r="GJ114" i="4"/>
  <c r="GK114" i="4"/>
  <c r="GL114" i="4"/>
  <c r="GM114" i="4"/>
  <c r="GN114" i="4"/>
  <c r="GO114" i="4"/>
  <c r="GP114" i="4"/>
  <c r="GQ114" i="4"/>
  <c r="GR114" i="4"/>
  <c r="GS114" i="4"/>
  <c r="GT114" i="4"/>
  <c r="GU114" i="4"/>
  <c r="GV114" i="4"/>
  <c r="GW114" i="4"/>
  <c r="GX114" i="4"/>
  <c r="GY114" i="4"/>
  <c r="GZ114" i="4"/>
  <c r="HA114" i="4"/>
  <c r="HB114" i="4"/>
  <c r="HC114" i="4"/>
  <c r="HD114" i="4"/>
  <c r="HE114" i="4"/>
  <c r="HF114" i="4"/>
  <c r="HG114" i="4"/>
  <c r="HH114" i="4"/>
  <c r="HI114" i="4"/>
  <c r="HJ114" i="4"/>
  <c r="HK114" i="4"/>
  <c r="HL114" i="4"/>
  <c r="HM114" i="4"/>
  <c r="HN114" i="4"/>
  <c r="HO114" i="4"/>
  <c r="HP114" i="4"/>
  <c r="HQ114" i="4"/>
  <c r="HR114" i="4"/>
  <c r="HS114" i="4"/>
  <c r="HT114" i="4"/>
  <c r="HU114" i="4"/>
  <c r="HV114" i="4"/>
  <c r="HW114" i="4"/>
  <c r="HX114" i="4"/>
  <c r="HY114" i="4"/>
  <c r="HZ114" i="4"/>
  <c r="IA114" i="4"/>
  <c r="IB114" i="4"/>
  <c r="IC114" i="4"/>
  <c r="ID114" i="4"/>
  <c r="IE114" i="4"/>
  <c r="IF114" i="4"/>
  <c r="IG114" i="4"/>
  <c r="IH114" i="4"/>
  <c r="II114" i="4"/>
  <c r="IJ114" i="4"/>
  <c r="IK114" i="4"/>
  <c r="IL114" i="4"/>
  <c r="IM114" i="4"/>
  <c r="IN114" i="4"/>
  <c r="IO114" i="4"/>
  <c r="IP114" i="4"/>
  <c r="IQ114" i="4"/>
  <c r="IR114" i="4"/>
  <c r="IS114" i="4"/>
  <c r="IT114" i="4"/>
  <c r="IU114" i="4"/>
  <c r="IV114" i="4"/>
  <c r="A113" i="4"/>
  <c r="B113" i="4"/>
  <c r="C113" i="4"/>
  <c r="D113" i="4"/>
  <c r="E113" i="4"/>
  <c r="F113" i="4"/>
  <c r="G113" i="4"/>
  <c r="H113" i="4"/>
  <c r="I113" i="4"/>
  <c r="J113" i="4"/>
  <c r="K113" i="4"/>
  <c r="L113" i="4"/>
  <c r="M113" i="4"/>
  <c r="N113" i="4"/>
  <c r="O113" i="4"/>
  <c r="P113" i="4"/>
  <c r="Q113" i="4"/>
  <c r="R113" i="4"/>
  <c r="S113" i="4"/>
  <c r="T113" i="4"/>
  <c r="U113" i="4"/>
  <c r="V113" i="4"/>
  <c r="W113" i="4"/>
  <c r="X113" i="4"/>
  <c r="Y113" i="4"/>
  <c r="Z113" i="4"/>
  <c r="AA113" i="4"/>
  <c r="AB113" i="4"/>
  <c r="AC113" i="4"/>
  <c r="AE113" i="4"/>
  <c r="AF113" i="4"/>
  <c r="AG113" i="4"/>
  <c r="AH113" i="4"/>
  <c r="AI113" i="4"/>
  <c r="AJ113" i="4"/>
  <c r="AK113" i="4"/>
  <c r="AL113" i="4"/>
  <c r="AM113" i="4"/>
  <c r="AN113" i="4"/>
  <c r="AO113" i="4"/>
  <c r="AP113" i="4"/>
  <c r="AQ113" i="4"/>
  <c r="AR113" i="4"/>
  <c r="AS113" i="4"/>
  <c r="AT113" i="4"/>
  <c r="AU113" i="4"/>
  <c r="AV113" i="4"/>
  <c r="AW113" i="4"/>
  <c r="AX113" i="4"/>
  <c r="AY113" i="4"/>
  <c r="AZ113" i="4"/>
  <c r="BA113" i="4"/>
  <c r="BB113" i="4"/>
  <c r="BC113" i="4"/>
  <c r="BD113" i="4"/>
  <c r="BE113" i="4"/>
  <c r="BF113" i="4"/>
  <c r="BG113" i="4"/>
  <c r="BH113" i="4"/>
  <c r="BI113" i="4"/>
  <c r="BJ113" i="4"/>
  <c r="BK113" i="4"/>
  <c r="BL113" i="4"/>
  <c r="BM113" i="4"/>
  <c r="BN113" i="4"/>
  <c r="BO113" i="4"/>
  <c r="BP113" i="4"/>
  <c r="BQ113" i="4"/>
  <c r="BR113" i="4"/>
  <c r="BS113" i="4"/>
  <c r="BT113" i="4"/>
  <c r="BU113" i="4"/>
  <c r="BV113" i="4"/>
  <c r="BW113" i="4"/>
  <c r="BX113" i="4"/>
  <c r="BY113" i="4"/>
  <c r="BZ113" i="4"/>
  <c r="CA113" i="4"/>
  <c r="CB113" i="4"/>
  <c r="CC113" i="4"/>
  <c r="CD113" i="4"/>
  <c r="CE113" i="4"/>
  <c r="CF113" i="4"/>
  <c r="CG113" i="4"/>
  <c r="CH113" i="4"/>
  <c r="CI113" i="4"/>
  <c r="CJ113" i="4"/>
  <c r="CK113" i="4"/>
  <c r="CL113" i="4"/>
  <c r="CM113" i="4"/>
  <c r="CN113" i="4"/>
  <c r="CO113" i="4"/>
  <c r="CP113" i="4"/>
  <c r="CQ113" i="4"/>
  <c r="CR113" i="4"/>
  <c r="CS113" i="4"/>
  <c r="CT113" i="4"/>
  <c r="CU113" i="4"/>
  <c r="CV113" i="4"/>
  <c r="CW113" i="4"/>
  <c r="CX113" i="4"/>
  <c r="CY113" i="4"/>
  <c r="CZ113" i="4"/>
  <c r="DA113" i="4"/>
  <c r="DB113" i="4"/>
  <c r="DC113" i="4"/>
  <c r="DD113" i="4"/>
  <c r="DE113" i="4"/>
  <c r="DF113" i="4"/>
  <c r="DG113" i="4"/>
  <c r="DH113" i="4"/>
  <c r="DI113" i="4"/>
  <c r="DJ113" i="4"/>
  <c r="DK113" i="4"/>
  <c r="DL113" i="4"/>
  <c r="DM113" i="4"/>
  <c r="DN113" i="4"/>
  <c r="DO113" i="4"/>
  <c r="DP113" i="4"/>
  <c r="DQ113" i="4"/>
  <c r="DR113" i="4"/>
  <c r="DS113" i="4"/>
  <c r="DT113" i="4"/>
  <c r="DU113" i="4"/>
  <c r="DV113" i="4"/>
  <c r="DW113" i="4"/>
  <c r="DX113" i="4"/>
  <c r="DY113" i="4"/>
  <c r="DZ113" i="4"/>
  <c r="EA113" i="4"/>
  <c r="EB113" i="4"/>
  <c r="EC113" i="4"/>
  <c r="ED113" i="4"/>
  <c r="EE113" i="4"/>
  <c r="EF113" i="4"/>
  <c r="EG113" i="4"/>
  <c r="EH113" i="4"/>
  <c r="EI113" i="4"/>
  <c r="EJ113" i="4"/>
  <c r="EK113" i="4"/>
  <c r="EL113" i="4"/>
  <c r="EM113" i="4"/>
  <c r="EN113" i="4"/>
  <c r="EO113" i="4"/>
  <c r="EP113" i="4"/>
  <c r="EQ113" i="4"/>
  <c r="ER113" i="4"/>
  <c r="ES113" i="4"/>
  <c r="ET113" i="4"/>
  <c r="EU113" i="4"/>
  <c r="EV113" i="4"/>
  <c r="EW113" i="4"/>
  <c r="EX113" i="4"/>
  <c r="EY113" i="4"/>
  <c r="EZ113" i="4"/>
  <c r="FA113" i="4"/>
  <c r="FB113" i="4"/>
  <c r="FC113" i="4"/>
  <c r="FD113" i="4"/>
  <c r="FE113" i="4"/>
  <c r="FF113" i="4"/>
  <c r="FG113" i="4"/>
  <c r="FH113" i="4"/>
  <c r="FI113" i="4"/>
  <c r="FJ113" i="4"/>
  <c r="FK113" i="4"/>
  <c r="FL113" i="4"/>
  <c r="FM113" i="4"/>
  <c r="FN113" i="4"/>
  <c r="FO113" i="4"/>
  <c r="FP113" i="4"/>
  <c r="FQ113" i="4"/>
  <c r="FR113" i="4"/>
  <c r="FS113" i="4"/>
  <c r="FT113" i="4"/>
  <c r="FU113" i="4"/>
  <c r="FV113" i="4"/>
  <c r="FW113" i="4"/>
  <c r="FX113" i="4"/>
  <c r="FY113" i="4"/>
  <c r="FZ113" i="4"/>
  <c r="GA113" i="4"/>
  <c r="GB113" i="4"/>
  <c r="GC113" i="4"/>
  <c r="GD113" i="4"/>
  <c r="GE113" i="4"/>
  <c r="GF113" i="4"/>
  <c r="GG113" i="4"/>
  <c r="GH113" i="4"/>
  <c r="GI113" i="4"/>
  <c r="GJ113" i="4"/>
  <c r="GK113" i="4"/>
  <c r="GL113" i="4"/>
  <c r="GM113" i="4"/>
  <c r="GN113" i="4"/>
  <c r="GO113" i="4"/>
  <c r="GP113" i="4"/>
  <c r="GQ113" i="4"/>
  <c r="GR113" i="4"/>
  <c r="GS113" i="4"/>
  <c r="GT113" i="4"/>
  <c r="GU113" i="4"/>
  <c r="GV113" i="4"/>
  <c r="GW113" i="4"/>
  <c r="GX113" i="4"/>
  <c r="GY113" i="4"/>
  <c r="GZ113" i="4"/>
  <c r="HA113" i="4"/>
  <c r="HB113" i="4"/>
  <c r="HC113" i="4"/>
  <c r="HD113" i="4"/>
  <c r="HE113" i="4"/>
  <c r="HF113" i="4"/>
  <c r="HG113" i="4"/>
  <c r="HH113" i="4"/>
  <c r="HI113" i="4"/>
  <c r="HJ113" i="4"/>
  <c r="HK113" i="4"/>
  <c r="HL113" i="4"/>
  <c r="HM113" i="4"/>
  <c r="HN113" i="4"/>
  <c r="HO113" i="4"/>
  <c r="HP113" i="4"/>
  <c r="HQ113" i="4"/>
  <c r="HR113" i="4"/>
  <c r="HS113" i="4"/>
  <c r="HT113" i="4"/>
  <c r="HU113" i="4"/>
  <c r="HV113" i="4"/>
  <c r="HW113" i="4"/>
  <c r="HX113" i="4"/>
  <c r="HY113" i="4"/>
  <c r="HZ113" i="4"/>
  <c r="IA113" i="4"/>
  <c r="IB113" i="4"/>
  <c r="IC113" i="4"/>
  <c r="ID113" i="4"/>
  <c r="IE113" i="4"/>
  <c r="IF113" i="4"/>
  <c r="IG113" i="4"/>
  <c r="IH113" i="4"/>
  <c r="II113" i="4"/>
  <c r="IJ113" i="4"/>
  <c r="IK113" i="4"/>
  <c r="IL113" i="4"/>
  <c r="IM113" i="4"/>
  <c r="IN113" i="4"/>
  <c r="IO113" i="4"/>
  <c r="IP113" i="4"/>
  <c r="IQ113" i="4"/>
  <c r="IR113" i="4"/>
  <c r="IS113" i="4"/>
  <c r="IT113" i="4"/>
  <c r="IU113" i="4"/>
  <c r="IV113" i="4"/>
  <c r="A112" i="4"/>
  <c r="B112" i="4"/>
  <c r="C112" i="4"/>
  <c r="D112" i="4"/>
  <c r="E112" i="4"/>
  <c r="F112" i="4"/>
  <c r="G112" i="4"/>
  <c r="H112" i="4"/>
  <c r="I112" i="4"/>
  <c r="J112" i="4"/>
  <c r="K112" i="4"/>
  <c r="L112" i="4"/>
  <c r="M112" i="4"/>
  <c r="N112" i="4"/>
  <c r="O112" i="4"/>
  <c r="P112" i="4"/>
  <c r="Q112" i="4"/>
  <c r="R112" i="4"/>
  <c r="S112" i="4"/>
  <c r="T112" i="4"/>
  <c r="U112" i="4"/>
  <c r="V112" i="4"/>
  <c r="W112" i="4"/>
  <c r="X112" i="4"/>
  <c r="Y112" i="4"/>
  <c r="Z112" i="4"/>
  <c r="AA112" i="4"/>
  <c r="AB112" i="4"/>
  <c r="AC112" i="4"/>
  <c r="AD112" i="4"/>
  <c r="AF112" i="4"/>
  <c r="AG112" i="4"/>
  <c r="AH112" i="4"/>
  <c r="AI112" i="4"/>
  <c r="AJ112" i="4"/>
  <c r="AK112" i="4"/>
  <c r="AL112" i="4"/>
  <c r="AM112" i="4"/>
  <c r="AN112" i="4"/>
  <c r="AO112" i="4"/>
  <c r="AP112" i="4"/>
  <c r="AQ112" i="4"/>
  <c r="AR112" i="4"/>
  <c r="AS112" i="4"/>
  <c r="AT112" i="4"/>
  <c r="AU112" i="4"/>
  <c r="AV112" i="4"/>
  <c r="AW112" i="4"/>
  <c r="AX112" i="4"/>
  <c r="AY112" i="4"/>
  <c r="AZ112" i="4"/>
  <c r="BA112" i="4"/>
  <c r="BB112" i="4"/>
  <c r="BC112" i="4"/>
  <c r="BD112" i="4"/>
  <c r="BE112" i="4"/>
  <c r="BF112" i="4"/>
  <c r="BG112" i="4"/>
  <c r="BH112" i="4"/>
  <c r="BI112" i="4"/>
  <c r="BJ112" i="4"/>
  <c r="BK112" i="4"/>
  <c r="BL112" i="4"/>
  <c r="BM112" i="4"/>
  <c r="BN112" i="4"/>
  <c r="BO112" i="4"/>
  <c r="BP112" i="4"/>
  <c r="BQ112" i="4"/>
  <c r="BR112" i="4"/>
  <c r="BS112" i="4"/>
  <c r="BT112" i="4"/>
  <c r="BU112" i="4"/>
  <c r="BV112" i="4"/>
  <c r="BW112" i="4"/>
  <c r="BX112" i="4"/>
  <c r="BY112" i="4"/>
  <c r="BZ112" i="4"/>
  <c r="CA112" i="4"/>
  <c r="CB112" i="4"/>
  <c r="CC112" i="4"/>
  <c r="CD112" i="4"/>
  <c r="CE112" i="4"/>
  <c r="CF112" i="4"/>
  <c r="CG112" i="4"/>
  <c r="CH112" i="4"/>
  <c r="CI112" i="4"/>
  <c r="CJ112" i="4"/>
  <c r="CK112" i="4"/>
  <c r="CL112" i="4"/>
  <c r="CM112" i="4"/>
  <c r="CN112" i="4"/>
  <c r="CO112" i="4"/>
  <c r="CP112" i="4"/>
  <c r="CQ112" i="4"/>
  <c r="CR112" i="4"/>
  <c r="CS112" i="4"/>
  <c r="CT112" i="4"/>
  <c r="CU112" i="4"/>
  <c r="CV112" i="4"/>
  <c r="CW112" i="4"/>
  <c r="CX112" i="4"/>
  <c r="CY112" i="4"/>
  <c r="CZ112" i="4"/>
  <c r="DA112" i="4"/>
  <c r="DB112" i="4"/>
  <c r="DC112" i="4"/>
  <c r="DD112" i="4"/>
  <c r="DE112" i="4"/>
  <c r="DF112" i="4"/>
  <c r="DG112" i="4"/>
  <c r="DH112" i="4"/>
  <c r="DI112" i="4"/>
  <c r="DJ112" i="4"/>
  <c r="DK112" i="4"/>
  <c r="DL112" i="4"/>
  <c r="DM112" i="4"/>
  <c r="DN112" i="4"/>
  <c r="DO112" i="4"/>
  <c r="DP112" i="4"/>
  <c r="DQ112" i="4"/>
  <c r="DR112" i="4"/>
  <c r="DS112" i="4"/>
  <c r="DT112" i="4"/>
  <c r="DU112" i="4"/>
  <c r="DV112" i="4"/>
  <c r="DW112" i="4"/>
  <c r="DX112" i="4"/>
  <c r="DY112" i="4"/>
  <c r="DZ112" i="4"/>
  <c r="EA112" i="4"/>
  <c r="EB112" i="4"/>
  <c r="EC112" i="4"/>
  <c r="ED112" i="4"/>
  <c r="EE112" i="4"/>
  <c r="EF112" i="4"/>
  <c r="EG112" i="4"/>
  <c r="EH112" i="4"/>
  <c r="EI112" i="4"/>
  <c r="EJ112" i="4"/>
  <c r="EK112" i="4"/>
  <c r="EL112" i="4"/>
  <c r="EM112" i="4"/>
  <c r="EN112" i="4"/>
  <c r="EO112" i="4"/>
  <c r="EP112" i="4"/>
  <c r="EQ112" i="4"/>
  <c r="ER112" i="4"/>
  <c r="ES112" i="4"/>
  <c r="ET112" i="4"/>
  <c r="EU112" i="4"/>
  <c r="EV112" i="4"/>
  <c r="EW112" i="4"/>
  <c r="EX112" i="4"/>
  <c r="EY112" i="4"/>
  <c r="EZ112" i="4"/>
  <c r="FA112" i="4"/>
  <c r="FB112" i="4"/>
  <c r="FC112" i="4"/>
  <c r="FD112" i="4"/>
  <c r="FE112" i="4"/>
  <c r="FF112" i="4"/>
  <c r="FG112" i="4"/>
  <c r="FH112" i="4"/>
  <c r="FI112" i="4"/>
  <c r="FJ112" i="4"/>
  <c r="FK112" i="4"/>
  <c r="FL112" i="4"/>
  <c r="FM112" i="4"/>
  <c r="FN112" i="4"/>
  <c r="FO112" i="4"/>
  <c r="FP112" i="4"/>
  <c r="FQ112" i="4"/>
  <c r="FR112" i="4"/>
  <c r="FS112" i="4"/>
  <c r="FT112" i="4"/>
  <c r="FU112" i="4"/>
  <c r="FV112" i="4"/>
  <c r="FW112" i="4"/>
  <c r="FX112" i="4"/>
  <c r="FY112" i="4"/>
  <c r="FZ112" i="4"/>
  <c r="GA112" i="4"/>
  <c r="GB112" i="4"/>
  <c r="GC112" i="4"/>
  <c r="GD112" i="4"/>
  <c r="GE112" i="4"/>
  <c r="GF112" i="4"/>
  <c r="GG112" i="4"/>
  <c r="GH112" i="4"/>
  <c r="GI112" i="4"/>
  <c r="GJ112" i="4"/>
  <c r="GK112" i="4"/>
  <c r="GL112" i="4"/>
  <c r="GM112" i="4"/>
  <c r="GN112" i="4"/>
  <c r="GO112" i="4"/>
  <c r="GP112" i="4"/>
  <c r="GQ112" i="4"/>
  <c r="GR112" i="4"/>
  <c r="GS112" i="4"/>
  <c r="GT112" i="4"/>
  <c r="GU112" i="4"/>
  <c r="GV112" i="4"/>
  <c r="GW112" i="4"/>
  <c r="GX112" i="4"/>
  <c r="GY112" i="4"/>
  <c r="GZ112" i="4"/>
  <c r="HA112" i="4"/>
  <c r="HB112" i="4"/>
  <c r="HC112" i="4"/>
  <c r="HD112" i="4"/>
  <c r="HE112" i="4"/>
  <c r="HF112" i="4"/>
  <c r="HG112" i="4"/>
  <c r="HH112" i="4"/>
  <c r="HI112" i="4"/>
  <c r="HJ112" i="4"/>
  <c r="HK112" i="4"/>
  <c r="HL112" i="4"/>
  <c r="HM112" i="4"/>
  <c r="HN112" i="4"/>
  <c r="HO112" i="4"/>
  <c r="HP112" i="4"/>
  <c r="HQ112" i="4"/>
  <c r="HR112" i="4"/>
  <c r="HS112" i="4"/>
  <c r="HT112" i="4"/>
  <c r="HU112" i="4"/>
  <c r="HV112" i="4"/>
  <c r="HW112" i="4"/>
  <c r="HX112" i="4"/>
  <c r="HY112" i="4"/>
  <c r="HZ112" i="4"/>
  <c r="IA112" i="4"/>
  <c r="IB112" i="4"/>
  <c r="IC112" i="4"/>
  <c r="ID112" i="4"/>
  <c r="IE112" i="4"/>
  <c r="IF112" i="4"/>
  <c r="IG112" i="4"/>
  <c r="IH112" i="4"/>
  <c r="II112" i="4"/>
  <c r="IJ112" i="4"/>
  <c r="IK112" i="4"/>
  <c r="IL112" i="4"/>
  <c r="IM112" i="4"/>
  <c r="IN112" i="4"/>
  <c r="IO112" i="4"/>
  <c r="IP112" i="4"/>
  <c r="IQ112" i="4"/>
  <c r="IR112" i="4"/>
  <c r="IS112" i="4"/>
  <c r="IT112" i="4"/>
  <c r="IU112" i="4"/>
  <c r="IV112" i="4"/>
  <c r="A111" i="4"/>
  <c r="B111" i="4"/>
  <c r="C111" i="4"/>
  <c r="D111" i="4"/>
  <c r="E111" i="4"/>
  <c r="F111" i="4"/>
  <c r="G111" i="4"/>
  <c r="H111" i="4"/>
  <c r="I111" i="4"/>
  <c r="J111" i="4"/>
  <c r="K111" i="4"/>
  <c r="L111" i="4"/>
  <c r="M111" i="4"/>
  <c r="N111" i="4"/>
  <c r="O111" i="4"/>
  <c r="P111" i="4"/>
  <c r="Q111" i="4"/>
  <c r="R111" i="4"/>
  <c r="S111" i="4"/>
  <c r="T111" i="4"/>
  <c r="U111" i="4"/>
  <c r="V111" i="4"/>
  <c r="W111" i="4"/>
  <c r="X111" i="4"/>
  <c r="Y111" i="4"/>
  <c r="Z111" i="4"/>
  <c r="AA111" i="4"/>
  <c r="AB111" i="4"/>
  <c r="AC111" i="4"/>
  <c r="AD111" i="4"/>
  <c r="AE111" i="4"/>
  <c r="AG111" i="4"/>
  <c r="AH111" i="4"/>
  <c r="AI111" i="4"/>
  <c r="AJ111" i="4"/>
  <c r="AK111" i="4"/>
  <c r="AL111" i="4"/>
  <c r="AM111" i="4"/>
  <c r="AN111" i="4"/>
  <c r="AO111" i="4"/>
  <c r="AP111" i="4"/>
  <c r="AQ111" i="4"/>
  <c r="AR111" i="4"/>
  <c r="AS111" i="4"/>
  <c r="AT111" i="4"/>
  <c r="AU111" i="4"/>
  <c r="AV111" i="4"/>
  <c r="AW111" i="4"/>
  <c r="AX111" i="4"/>
  <c r="AY111" i="4"/>
  <c r="AZ111" i="4"/>
  <c r="BA111" i="4"/>
  <c r="BB111" i="4"/>
  <c r="BC111" i="4"/>
  <c r="BD111" i="4"/>
  <c r="BE111" i="4"/>
  <c r="BF111" i="4"/>
  <c r="BG111" i="4"/>
  <c r="BH111" i="4"/>
  <c r="BI111" i="4"/>
  <c r="BJ111" i="4"/>
  <c r="BK111" i="4"/>
  <c r="BL111" i="4"/>
  <c r="BM111" i="4"/>
  <c r="BN111" i="4"/>
  <c r="BO111" i="4"/>
  <c r="BP111" i="4"/>
  <c r="BQ111" i="4"/>
  <c r="BR111" i="4"/>
  <c r="BS111" i="4"/>
  <c r="BT111" i="4"/>
  <c r="BU111" i="4"/>
  <c r="BV111" i="4"/>
  <c r="BW111" i="4"/>
  <c r="BX111" i="4"/>
  <c r="BY111" i="4"/>
  <c r="BZ111" i="4"/>
  <c r="CA111" i="4"/>
  <c r="CB111" i="4"/>
  <c r="CC111" i="4"/>
  <c r="CD111" i="4"/>
  <c r="CE111" i="4"/>
  <c r="CF111" i="4"/>
  <c r="CG111" i="4"/>
  <c r="CH111" i="4"/>
  <c r="CI111" i="4"/>
  <c r="CJ111" i="4"/>
  <c r="CK111" i="4"/>
  <c r="CL111" i="4"/>
  <c r="CM111" i="4"/>
  <c r="CN111" i="4"/>
  <c r="CO111" i="4"/>
  <c r="CP111" i="4"/>
  <c r="CQ111" i="4"/>
  <c r="CR111" i="4"/>
  <c r="CS111" i="4"/>
  <c r="CT111" i="4"/>
  <c r="CU111" i="4"/>
  <c r="CV111" i="4"/>
  <c r="CW111" i="4"/>
  <c r="CX111" i="4"/>
  <c r="CY111" i="4"/>
  <c r="CZ111" i="4"/>
  <c r="DA111" i="4"/>
  <c r="DB111" i="4"/>
  <c r="DC111" i="4"/>
  <c r="DD111" i="4"/>
  <c r="DE111" i="4"/>
  <c r="DF111" i="4"/>
  <c r="DG111" i="4"/>
  <c r="DH111" i="4"/>
  <c r="DI111" i="4"/>
  <c r="DJ111" i="4"/>
  <c r="DK111" i="4"/>
  <c r="DL111" i="4"/>
  <c r="DM111" i="4"/>
  <c r="DN111" i="4"/>
  <c r="DO111" i="4"/>
  <c r="DP111" i="4"/>
  <c r="DQ111" i="4"/>
  <c r="DR111" i="4"/>
  <c r="DS111" i="4"/>
  <c r="DT111" i="4"/>
  <c r="DU111" i="4"/>
  <c r="DV111" i="4"/>
  <c r="DW111" i="4"/>
  <c r="DX111" i="4"/>
  <c r="DY111" i="4"/>
  <c r="DZ111" i="4"/>
  <c r="EA111" i="4"/>
  <c r="EB111" i="4"/>
  <c r="EC111" i="4"/>
  <c r="ED111" i="4"/>
  <c r="EE111" i="4"/>
  <c r="EF111" i="4"/>
  <c r="EG111" i="4"/>
  <c r="EH111" i="4"/>
  <c r="EI111" i="4"/>
  <c r="EJ111" i="4"/>
  <c r="EK111" i="4"/>
  <c r="EL111" i="4"/>
  <c r="EM111" i="4"/>
  <c r="EN111" i="4"/>
  <c r="EO111" i="4"/>
  <c r="EP111" i="4"/>
  <c r="EQ111" i="4"/>
  <c r="ER111" i="4"/>
  <c r="ES111" i="4"/>
  <c r="ET111" i="4"/>
  <c r="EU111" i="4"/>
  <c r="EV111" i="4"/>
  <c r="EW111" i="4"/>
  <c r="EX111" i="4"/>
  <c r="EY111" i="4"/>
  <c r="EZ111" i="4"/>
  <c r="FA111" i="4"/>
  <c r="FB111" i="4"/>
  <c r="FC111" i="4"/>
  <c r="FD111" i="4"/>
  <c r="FE111" i="4"/>
  <c r="FF111" i="4"/>
  <c r="FG111" i="4"/>
  <c r="FH111" i="4"/>
  <c r="FI111" i="4"/>
  <c r="FJ111" i="4"/>
  <c r="FK111" i="4"/>
  <c r="FL111" i="4"/>
  <c r="FM111" i="4"/>
  <c r="FN111" i="4"/>
  <c r="FO111" i="4"/>
  <c r="FP111" i="4"/>
  <c r="FQ111" i="4"/>
  <c r="FR111" i="4"/>
  <c r="FS111" i="4"/>
  <c r="FT111" i="4"/>
  <c r="FU111" i="4"/>
  <c r="FV111" i="4"/>
  <c r="FW111" i="4"/>
  <c r="FX111" i="4"/>
  <c r="FY111" i="4"/>
  <c r="FZ111" i="4"/>
  <c r="GA111" i="4"/>
  <c r="GB111" i="4"/>
  <c r="GC111" i="4"/>
  <c r="GD111" i="4"/>
  <c r="GE111" i="4"/>
  <c r="GF111" i="4"/>
  <c r="GG111" i="4"/>
  <c r="GH111" i="4"/>
  <c r="GI111" i="4"/>
  <c r="GJ111" i="4"/>
  <c r="GK111" i="4"/>
  <c r="GL111" i="4"/>
  <c r="GM111" i="4"/>
  <c r="GN111" i="4"/>
  <c r="GO111" i="4"/>
  <c r="GP111" i="4"/>
  <c r="GQ111" i="4"/>
  <c r="GR111" i="4"/>
  <c r="GS111" i="4"/>
  <c r="GT111" i="4"/>
  <c r="GU111" i="4"/>
  <c r="GV111" i="4"/>
  <c r="GW111" i="4"/>
  <c r="GX111" i="4"/>
  <c r="GY111" i="4"/>
  <c r="GZ111" i="4"/>
  <c r="HA111" i="4"/>
  <c r="HB111" i="4"/>
  <c r="HC111" i="4"/>
  <c r="HD111" i="4"/>
  <c r="HE111" i="4"/>
  <c r="HF111" i="4"/>
  <c r="HG111" i="4"/>
  <c r="HH111" i="4"/>
  <c r="HI111" i="4"/>
  <c r="HJ111" i="4"/>
  <c r="HK111" i="4"/>
  <c r="HL111" i="4"/>
  <c r="HM111" i="4"/>
  <c r="HN111" i="4"/>
  <c r="HO111" i="4"/>
  <c r="HP111" i="4"/>
  <c r="HQ111" i="4"/>
  <c r="HR111" i="4"/>
  <c r="HS111" i="4"/>
  <c r="HT111" i="4"/>
  <c r="HU111" i="4"/>
  <c r="HV111" i="4"/>
  <c r="HW111" i="4"/>
  <c r="HX111" i="4"/>
  <c r="HY111" i="4"/>
  <c r="HZ111" i="4"/>
  <c r="IA111" i="4"/>
  <c r="IB111" i="4"/>
  <c r="IC111" i="4"/>
  <c r="ID111" i="4"/>
  <c r="IE111" i="4"/>
  <c r="IF111" i="4"/>
  <c r="IG111" i="4"/>
  <c r="IH111" i="4"/>
  <c r="II111" i="4"/>
  <c r="IJ111" i="4"/>
  <c r="IK111" i="4"/>
  <c r="IL111" i="4"/>
  <c r="IM111" i="4"/>
  <c r="IN111" i="4"/>
  <c r="IO111" i="4"/>
  <c r="IP111" i="4"/>
  <c r="IQ111" i="4"/>
  <c r="IR111" i="4"/>
  <c r="IS111" i="4"/>
  <c r="IT111" i="4"/>
  <c r="IU111" i="4"/>
  <c r="IV111" i="4"/>
  <c r="A110" i="4"/>
  <c r="B110" i="4"/>
  <c r="C110" i="4"/>
  <c r="D110" i="4"/>
  <c r="E110" i="4"/>
  <c r="F110" i="4"/>
  <c r="G110" i="4"/>
  <c r="H110" i="4"/>
  <c r="I110" i="4"/>
  <c r="J110" i="4"/>
  <c r="K110" i="4"/>
  <c r="L110" i="4"/>
  <c r="M110" i="4"/>
  <c r="N110" i="4"/>
  <c r="O110" i="4"/>
  <c r="P110" i="4"/>
  <c r="Q110" i="4"/>
  <c r="R110" i="4"/>
  <c r="S110" i="4"/>
  <c r="T110" i="4"/>
  <c r="U110" i="4"/>
  <c r="V110" i="4"/>
  <c r="W110" i="4"/>
  <c r="X110" i="4"/>
  <c r="Y110" i="4"/>
  <c r="Z110" i="4"/>
  <c r="AA110" i="4"/>
  <c r="AB110" i="4"/>
  <c r="AC110" i="4"/>
  <c r="AD110" i="4"/>
  <c r="AE110" i="4"/>
  <c r="AF110" i="4"/>
  <c r="AH110" i="4"/>
  <c r="AI110" i="4"/>
  <c r="AJ110" i="4"/>
  <c r="AK110" i="4"/>
  <c r="AL110" i="4"/>
  <c r="AM110" i="4"/>
  <c r="AN110" i="4"/>
  <c r="AO110" i="4"/>
  <c r="AP110" i="4"/>
  <c r="AQ110" i="4"/>
  <c r="AR110" i="4"/>
  <c r="AS110" i="4"/>
  <c r="AT110" i="4"/>
  <c r="AU110" i="4"/>
  <c r="AV110" i="4"/>
  <c r="AW110" i="4"/>
  <c r="AX110" i="4"/>
  <c r="AY110" i="4"/>
  <c r="AZ110" i="4"/>
  <c r="BA110" i="4"/>
  <c r="BB110" i="4"/>
  <c r="BC110" i="4"/>
  <c r="BD110" i="4"/>
  <c r="BE110" i="4"/>
  <c r="BF110" i="4"/>
  <c r="BG110" i="4"/>
  <c r="BH110" i="4"/>
  <c r="BI110" i="4"/>
  <c r="BJ110" i="4"/>
  <c r="BK110" i="4"/>
  <c r="BL110" i="4"/>
  <c r="BM110" i="4"/>
  <c r="BN110" i="4"/>
  <c r="BO110" i="4"/>
  <c r="BP110" i="4"/>
  <c r="BQ110" i="4"/>
  <c r="BR110" i="4"/>
  <c r="BS110" i="4"/>
  <c r="BT110" i="4"/>
  <c r="BU110" i="4"/>
  <c r="BV110" i="4"/>
  <c r="BW110" i="4"/>
  <c r="BX110" i="4"/>
  <c r="BY110" i="4"/>
  <c r="BZ110" i="4"/>
  <c r="CA110" i="4"/>
  <c r="CB110" i="4"/>
  <c r="CC110" i="4"/>
  <c r="CD110" i="4"/>
  <c r="CE110" i="4"/>
  <c r="CF110" i="4"/>
  <c r="CG110" i="4"/>
  <c r="CH110" i="4"/>
  <c r="CI110" i="4"/>
  <c r="CJ110" i="4"/>
  <c r="CK110" i="4"/>
  <c r="CL110" i="4"/>
  <c r="CM110" i="4"/>
  <c r="CN110" i="4"/>
  <c r="CO110" i="4"/>
  <c r="CP110" i="4"/>
  <c r="CQ110" i="4"/>
  <c r="CR110" i="4"/>
  <c r="CS110" i="4"/>
  <c r="CT110" i="4"/>
  <c r="CU110" i="4"/>
  <c r="CV110" i="4"/>
  <c r="CW110" i="4"/>
  <c r="CX110" i="4"/>
  <c r="CY110" i="4"/>
  <c r="CZ110" i="4"/>
  <c r="DA110" i="4"/>
  <c r="DB110" i="4"/>
  <c r="DC110" i="4"/>
  <c r="DD110" i="4"/>
  <c r="DE110" i="4"/>
  <c r="DF110" i="4"/>
  <c r="DG110" i="4"/>
  <c r="DH110" i="4"/>
  <c r="DI110" i="4"/>
  <c r="DJ110" i="4"/>
  <c r="DK110" i="4"/>
  <c r="DL110" i="4"/>
  <c r="DM110" i="4"/>
  <c r="DN110" i="4"/>
  <c r="DO110" i="4"/>
  <c r="DP110" i="4"/>
  <c r="DQ110" i="4"/>
  <c r="DR110" i="4"/>
  <c r="DS110" i="4"/>
  <c r="DT110" i="4"/>
  <c r="DU110" i="4"/>
  <c r="DV110" i="4"/>
  <c r="DW110" i="4"/>
  <c r="DX110" i="4"/>
  <c r="DY110" i="4"/>
  <c r="DZ110" i="4"/>
  <c r="EA110" i="4"/>
  <c r="EB110" i="4"/>
  <c r="EC110" i="4"/>
  <c r="ED110" i="4"/>
  <c r="EE110" i="4"/>
  <c r="EF110" i="4"/>
  <c r="EG110" i="4"/>
  <c r="EH110" i="4"/>
  <c r="EI110" i="4"/>
  <c r="EJ110" i="4"/>
  <c r="EK110" i="4"/>
  <c r="EL110" i="4"/>
  <c r="EM110" i="4"/>
  <c r="EN110" i="4"/>
  <c r="EO110" i="4"/>
  <c r="EP110" i="4"/>
  <c r="EQ110" i="4"/>
  <c r="ER110" i="4"/>
  <c r="ES110" i="4"/>
  <c r="ET110" i="4"/>
  <c r="EU110" i="4"/>
  <c r="EV110" i="4"/>
  <c r="EW110" i="4"/>
  <c r="EX110" i="4"/>
  <c r="EY110" i="4"/>
  <c r="EZ110" i="4"/>
  <c r="FA110" i="4"/>
  <c r="FB110" i="4"/>
  <c r="FC110" i="4"/>
  <c r="FD110" i="4"/>
  <c r="FE110" i="4"/>
  <c r="FF110" i="4"/>
  <c r="FG110" i="4"/>
  <c r="FH110" i="4"/>
  <c r="FI110" i="4"/>
  <c r="FJ110" i="4"/>
  <c r="FK110" i="4"/>
  <c r="FL110" i="4"/>
  <c r="FM110" i="4"/>
  <c r="FN110" i="4"/>
  <c r="FO110" i="4"/>
  <c r="FP110" i="4"/>
  <c r="FQ110" i="4"/>
  <c r="FR110" i="4"/>
  <c r="FS110" i="4"/>
  <c r="FT110" i="4"/>
  <c r="FU110" i="4"/>
  <c r="FV110" i="4"/>
  <c r="FW110" i="4"/>
  <c r="FX110" i="4"/>
  <c r="FY110" i="4"/>
  <c r="FZ110" i="4"/>
  <c r="GA110" i="4"/>
  <c r="GB110" i="4"/>
  <c r="GC110" i="4"/>
  <c r="GD110" i="4"/>
  <c r="GE110" i="4"/>
  <c r="GF110" i="4"/>
  <c r="GG110" i="4"/>
  <c r="GH110" i="4"/>
  <c r="GI110" i="4"/>
  <c r="GJ110" i="4"/>
  <c r="GK110" i="4"/>
  <c r="GL110" i="4"/>
  <c r="GM110" i="4"/>
  <c r="GN110" i="4"/>
  <c r="GO110" i="4"/>
  <c r="GP110" i="4"/>
  <c r="GQ110" i="4"/>
  <c r="GR110" i="4"/>
  <c r="GS110" i="4"/>
  <c r="GT110" i="4"/>
  <c r="GU110" i="4"/>
  <c r="GV110" i="4"/>
  <c r="GW110" i="4"/>
  <c r="GX110" i="4"/>
  <c r="GY110" i="4"/>
  <c r="GZ110" i="4"/>
  <c r="HA110" i="4"/>
  <c r="HB110" i="4"/>
  <c r="HC110" i="4"/>
  <c r="HD110" i="4"/>
  <c r="HE110" i="4"/>
  <c r="HF110" i="4"/>
  <c r="HG110" i="4"/>
  <c r="HH110" i="4"/>
  <c r="HI110" i="4"/>
  <c r="HJ110" i="4"/>
  <c r="HK110" i="4"/>
  <c r="HL110" i="4"/>
  <c r="HM110" i="4"/>
  <c r="HN110" i="4"/>
  <c r="HO110" i="4"/>
  <c r="HP110" i="4"/>
  <c r="HQ110" i="4"/>
  <c r="HR110" i="4"/>
  <c r="HS110" i="4"/>
  <c r="HT110" i="4"/>
  <c r="HU110" i="4"/>
  <c r="HV110" i="4"/>
  <c r="HW110" i="4"/>
  <c r="HX110" i="4"/>
  <c r="HY110" i="4"/>
  <c r="HZ110" i="4"/>
  <c r="IA110" i="4"/>
  <c r="IB110" i="4"/>
  <c r="IC110" i="4"/>
  <c r="ID110" i="4"/>
  <c r="IE110" i="4"/>
  <c r="IF110" i="4"/>
  <c r="IG110" i="4"/>
  <c r="IH110" i="4"/>
  <c r="II110" i="4"/>
  <c r="IJ110" i="4"/>
  <c r="IK110" i="4"/>
  <c r="IL110" i="4"/>
  <c r="IM110" i="4"/>
  <c r="IN110" i="4"/>
  <c r="IO110" i="4"/>
  <c r="IP110" i="4"/>
  <c r="IQ110" i="4"/>
  <c r="IR110" i="4"/>
  <c r="IS110" i="4"/>
  <c r="IT110" i="4"/>
  <c r="IU110" i="4"/>
  <c r="IV110" i="4"/>
  <c r="A109" i="4"/>
  <c r="B109" i="4"/>
  <c r="C109" i="4"/>
  <c r="D109" i="4"/>
  <c r="E109" i="4"/>
  <c r="F109" i="4"/>
  <c r="G109" i="4"/>
  <c r="H109" i="4"/>
  <c r="I109" i="4"/>
  <c r="J109" i="4"/>
  <c r="K109" i="4"/>
  <c r="L109" i="4"/>
  <c r="M109" i="4"/>
  <c r="N109" i="4"/>
  <c r="O109" i="4"/>
  <c r="P109" i="4"/>
  <c r="Q109" i="4"/>
  <c r="R109" i="4"/>
  <c r="S109" i="4"/>
  <c r="T109" i="4"/>
  <c r="U109" i="4"/>
  <c r="V109" i="4"/>
  <c r="W109" i="4"/>
  <c r="X109" i="4"/>
  <c r="Y109" i="4"/>
  <c r="Z109" i="4"/>
  <c r="AA109" i="4"/>
  <c r="AB109" i="4"/>
  <c r="AC109" i="4"/>
  <c r="AD109" i="4"/>
  <c r="AE109" i="4"/>
  <c r="AF109" i="4"/>
  <c r="AG109" i="4"/>
  <c r="AI109" i="4"/>
  <c r="AJ109" i="4"/>
  <c r="AK109" i="4"/>
  <c r="AL109" i="4"/>
  <c r="AM109" i="4"/>
  <c r="AN109" i="4"/>
  <c r="AO109" i="4"/>
  <c r="AP109" i="4"/>
  <c r="AQ109" i="4"/>
  <c r="AR109" i="4"/>
  <c r="AS109" i="4"/>
  <c r="AT109" i="4"/>
  <c r="AU109" i="4"/>
  <c r="AV109" i="4"/>
  <c r="AW109" i="4"/>
  <c r="AX109" i="4"/>
  <c r="AY109" i="4"/>
  <c r="AZ109" i="4"/>
  <c r="BA109" i="4"/>
  <c r="BB109" i="4"/>
  <c r="BC109" i="4"/>
  <c r="BD109" i="4"/>
  <c r="BE109" i="4"/>
  <c r="BF109" i="4"/>
  <c r="BG109" i="4"/>
  <c r="BH109" i="4"/>
  <c r="BI109" i="4"/>
  <c r="BJ109" i="4"/>
  <c r="BK109" i="4"/>
  <c r="BL109" i="4"/>
  <c r="BM109" i="4"/>
  <c r="BN109" i="4"/>
  <c r="BO109" i="4"/>
  <c r="BP109" i="4"/>
  <c r="BQ109" i="4"/>
  <c r="BR109" i="4"/>
  <c r="BS109" i="4"/>
  <c r="BT109" i="4"/>
  <c r="BU109" i="4"/>
  <c r="BV109" i="4"/>
  <c r="BW109" i="4"/>
  <c r="BX109" i="4"/>
  <c r="BY109" i="4"/>
  <c r="BZ109" i="4"/>
  <c r="CA109" i="4"/>
  <c r="CB109" i="4"/>
  <c r="CC109" i="4"/>
  <c r="CD109" i="4"/>
  <c r="CE109" i="4"/>
  <c r="CF109" i="4"/>
  <c r="CG109" i="4"/>
  <c r="CH109" i="4"/>
  <c r="CI109" i="4"/>
  <c r="CJ109" i="4"/>
  <c r="CK109" i="4"/>
  <c r="CL109" i="4"/>
  <c r="CM109" i="4"/>
  <c r="CN109" i="4"/>
  <c r="CO109" i="4"/>
  <c r="CP109" i="4"/>
  <c r="CQ109" i="4"/>
  <c r="CR109" i="4"/>
  <c r="CS109" i="4"/>
  <c r="CT109" i="4"/>
  <c r="CU109" i="4"/>
  <c r="CV109" i="4"/>
  <c r="CW109" i="4"/>
  <c r="CX109" i="4"/>
  <c r="CY109" i="4"/>
  <c r="CZ109" i="4"/>
  <c r="DA109" i="4"/>
  <c r="DB109" i="4"/>
  <c r="DC109" i="4"/>
  <c r="DD109" i="4"/>
  <c r="DE109" i="4"/>
  <c r="DF109" i="4"/>
  <c r="DG109" i="4"/>
  <c r="DH109" i="4"/>
  <c r="DI109" i="4"/>
  <c r="DJ109" i="4"/>
  <c r="DK109" i="4"/>
  <c r="DL109" i="4"/>
  <c r="DM109" i="4"/>
  <c r="DN109" i="4"/>
  <c r="DO109" i="4"/>
  <c r="DP109" i="4"/>
  <c r="DQ109" i="4"/>
  <c r="DR109" i="4"/>
  <c r="DS109" i="4"/>
  <c r="DT109" i="4"/>
  <c r="DU109" i="4"/>
  <c r="DV109" i="4"/>
  <c r="DW109" i="4"/>
  <c r="DX109" i="4"/>
  <c r="DY109" i="4"/>
  <c r="DZ109" i="4"/>
  <c r="EA109" i="4"/>
  <c r="EB109" i="4"/>
  <c r="EC109" i="4"/>
  <c r="ED109" i="4"/>
  <c r="EE109" i="4"/>
  <c r="EF109" i="4"/>
  <c r="EG109" i="4"/>
  <c r="EH109" i="4"/>
  <c r="EI109" i="4"/>
  <c r="EJ109" i="4"/>
  <c r="EK109" i="4"/>
  <c r="EL109" i="4"/>
  <c r="EM109" i="4"/>
  <c r="EN109" i="4"/>
  <c r="EO109" i="4"/>
  <c r="EP109" i="4"/>
  <c r="EQ109" i="4"/>
  <c r="ER109" i="4"/>
  <c r="ES109" i="4"/>
  <c r="ET109" i="4"/>
  <c r="EU109" i="4"/>
  <c r="EV109" i="4"/>
  <c r="EW109" i="4"/>
  <c r="EX109" i="4"/>
  <c r="EY109" i="4"/>
  <c r="EZ109" i="4"/>
  <c r="FA109" i="4"/>
  <c r="FB109" i="4"/>
  <c r="FC109" i="4"/>
  <c r="FD109" i="4"/>
  <c r="FE109" i="4"/>
  <c r="FF109" i="4"/>
  <c r="FG109" i="4"/>
  <c r="FH109" i="4"/>
  <c r="FI109" i="4"/>
  <c r="FJ109" i="4"/>
  <c r="FK109" i="4"/>
  <c r="FL109" i="4"/>
  <c r="FM109" i="4"/>
  <c r="FN109" i="4"/>
  <c r="FO109" i="4"/>
  <c r="FP109" i="4"/>
  <c r="FQ109" i="4"/>
  <c r="FR109" i="4"/>
  <c r="FS109" i="4"/>
  <c r="FT109" i="4"/>
  <c r="FU109" i="4"/>
  <c r="FV109" i="4"/>
  <c r="FW109" i="4"/>
  <c r="FX109" i="4"/>
  <c r="FY109" i="4"/>
  <c r="FZ109" i="4"/>
  <c r="GA109" i="4"/>
  <c r="GB109" i="4"/>
  <c r="GC109" i="4"/>
  <c r="GD109" i="4"/>
  <c r="GE109" i="4"/>
  <c r="GF109" i="4"/>
  <c r="GG109" i="4"/>
  <c r="GH109" i="4"/>
  <c r="GI109" i="4"/>
  <c r="GJ109" i="4"/>
  <c r="GK109" i="4"/>
  <c r="GL109" i="4"/>
  <c r="GM109" i="4"/>
  <c r="GN109" i="4"/>
  <c r="GO109" i="4"/>
  <c r="GP109" i="4"/>
  <c r="GQ109" i="4"/>
  <c r="GR109" i="4"/>
  <c r="GS109" i="4"/>
  <c r="GT109" i="4"/>
  <c r="GU109" i="4"/>
  <c r="GV109" i="4"/>
  <c r="GW109" i="4"/>
  <c r="GX109" i="4"/>
  <c r="GY109" i="4"/>
  <c r="GZ109" i="4"/>
  <c r="HA109" i="4"/>
  <c r="HB109" i="4"/>
  <c r="HC109" i="4"/>
  <c r="HD109" i="4"/>
  <c r="HE109" i="4"/>
  <c r="HF109" i="4"/>
  <c r="HG109" i="4"/>
  <c r="HH109" i="4"/>
  <c r="HI109" i="4"/>
  <c r="HJ109" i="4"/>
  <c r="HK109" i="4"/>
  <c r="HL109" i="4"/>
  <c r="HM109" i="4"/>
  <c r="HN109" i="4"/>
  <c r="HO109" i="4"/>
  <c r="HP109" i="4"/>
  <c r="HQ109" i="4"/>
  <c r="HR109" i="4"/>
  <c r="HS109" i="4"/>
  <c r="HT109" i="4"/>
  <c r="HU109" i="4"/>
  <c r="HV109" i="4"/>
  <c r="HW109" i="4"/>
  <c r="HX109" i="4"/>
  <c r="HY109" i="4"/>
  <c r="HZ109" i="4"/>
  <c r="IA109" i="4"/>
  <c r="IB109" i="4"/>
  <c r="IC109" i="4"/>
  <c r="ID109" i="4"/>
  <c r="IE109" i="4"/>
  <c r="IF109" i="4"/>
  <c r="IG109" i="4"/>
  <c r="IH109" i="4"/>
  <c r="II109" i="4"/>
  <c r="IJ109" i="4"/>
  <c r="IK109" i="4"/>
  <c r="IL109" i="4"/>
  <c r="IM109" i="4"/>
  <c r="IN109" i="4"/>
  <c r="IO109" i="4"/>
  <c r="IP109" i="4"/>
  <c r="IQ109" i="4"/>
  <c r="IR109" i="4"/>
  <c r="IS109" i="4"/>
  <c r="IT109" i="4"/>
  <c r="IU109" i="4"/>
  <c r="IV109" i="4"/>
  <c r="A108" i="4"/>
  <c r="B108" i="4"/>
  <c r="C108" i="4"/>
  <c r="D108" i="4"/>
  <c r="E108" i="4"/>
  <c r="F108" i="4"/>
  <c r="G108" i="4"/>
  <c r="H108" i="4"/>
  <c r="I108" i="4"/>
  <c r="J108" i="4"/>
  <c r="K108" i="4"/>
  <c r="L108" i="4"/>
  <c r="M108" i="4"/>
  <c r="N108" i="4"/>
  <c r="O108" i="4"/>
  <c r="P108" i="4"/>
  <c r="Q108" i="4"/>
  <c r="R108" i="4"/>
  <c r="S108" i="4"/>
  <c r="T108" i="4"/>
  <c r="U108" i="4"/>
  <c r="V108" i="4"/>
  <c r="W108" i="4"/>
  <c r="X108" i="4"/>
  <c r="Y108" i="4"/>
  <c r="Z108" i="4"/>
  <c r="AA108" i="4"/>
  <c r="AB108" i="4"/>
  <c r="AC108" i="4"/>
  <c r="AD108" i="4"/>
  <c r="AE108" i="4"/>
  <c r="AF108" i="4"/>
  <c r="AG108" i="4"/>
  <c r="AH108" i="4"/>
  <c r="AJ108" i="4"/>
  <c r="AK108" i="4"/>
  <c r="AL108" i="4"/>
  <c r="AM108" i="4"/>
  <c r="AN108" i="4"/>
  <c r="AO108" i="4"/>
  <c r="AP108" i="4"/>
  <c r="AQ108" i="4"/>
  <c r="AR108" i="4"/>
  <c r="AS108" i="4"/>
  <c r="AT108" i="4"/>
  <c r="AU108" i="4"/>
  <c r="AV108" i="4"/>
  <c r="AW108" i="4"/>
  <c r="AX108" i="4"/>
  <c r="AY108" i="4"/>
  <c r="AZ108" i="4"/>
  <c r="BA108" i="4"/>
  <c r="BB108" i="4"/>
  <c r="BC108" i="4"/>
  <c r="BD108" i="4"/>
  <c r="BE108" i="4"/>
  <c r="BF108" i="4"/>
  <c r="BG108" i="4"/>
  <c r="BH108" i="4"/>
  <c r="BI108" i="4"/>
  <c r="BJ108" i="4"/>
  <c r="BK108" i="4"/>
  <c r="BL108" i="4"/>
  <c r="BM108" i="4"/>
  <c r="BN108" i="4"/>
  <c r="BO108" i="4"/>
  <c r="BP108" i="4"/>
  <c r="BQ108" i="4"/>
  <c r="BR108" i="4"/>
  <c r="BS108" i="4"/>
  <c r="BT108" i="4"/>
  <c r="BU108" i="4"/>
  <c r="BV108" i="4"/>
  <c r="BW108" i="4"/>
  <c r="BX108" i="4"/>
  <c r="BY108" i="4"/>
  <c r="BZ108" i="4"/>
  <c r="CA108" i="4"/>
  <c r="CB108" i="4"/>
  <c r="CC108" i="4"/>
  <c r="CD108" i="4"/>
  <c r="CE108" i="4"/>
  <c r="CF108" i="4"/>
  <c r="CG108" i="4"/>
  <c r="CH108" i="4"/>
  <c r="CI108" i="4"/>
  <c r="CJ108" i="4"/>
  <c r="CK108" i="4"/>
  <c r="CL108" i="4"/>
  <c r="CM108" i="4"/>
  <c r="CN108" i="4"/>
  <c r="CO108" i="4"/>
  <c r="CP108" i="4"/>
  <c r="CQ108" i="4"/>
  <c r="CR108" i="4"/>
  <c r="CS108" i="4"/>
  <c r="CT108" i="4"/>
  <c r="CU108" i="4"/>
  <c r="CV108" i="4"/>
  <c r="CW108" i="4"/>
  <c r="CX108" i="4"/>
  <c r="CY108" i="4"/>
  <c r="CZ108" i="4"/>
  <c r="DA108" i="4"/>
  <c r="DB108" i="4"/>
  <c r="DC108" i="4"/>
  <c r="DD108" i="4"/>
  <c r="DE108" i="4"/>
  <c r="DF108" i="4"/>
  <c r="DG108" i="4"/>
  <c r="DH108" i="4"/>
  <c r="DI108" i="4"/>
  <c r="DJ108" i="4"/>
  <c r="DK108" i="4"/>
  <c r="DL108" i="4"/>
  <c r="DM108" i="4"/>
  <c r="DN108" i="4"/>
  <c r="DO108" i="4"/>
  <c r="DP108" i="4"/>
  <c r="DQ108" i="4"/>
  <c r="DR108" i="4"/>
  <c r="DS108" i="4"/>
  <c r="DT108" i="4"/>
  <c r="DU108" i="4"/>
  <c r="DV108" i="4"/>
  <c r="DW108" i="4"/>
  <c r="DX108" i="4"/>
  <c r="DY108" i="4"/>
  <c r="DZ108" i="4"/>
  <c r="EA108" i="4"/>
  <c r="EB108" i="4"/>
  <c r="EC108" i="4"/>
  <c r="ED108" i="4"/>
  <c r="EE108" i="4"/>
  <c r="EF108" i="4"/>
  <c r="EG108" i="4"/>
  <c r="EH108" i="4"/>
  <c r="EI108" i="4"/>
  <c r="EJ108" i="4"/>
  <c r="EK108" i="4"/>
  <c r="EL108" i="4"/>
  <c r="EM108" i="4"/>
  <c r="EN108" i="4"/>
  <c r="EO108" i="4"/>
  <c r="EP108" i="4"/>
  <c r="EQ108" i="4"/>
  <c r="ER108" i="4"/>
  <c r="ES108" i="4"/>
  <c r="ET108" i="4"/>
  <c r="EU108" i="4"/>
  <c r="EV108" i="4"/>
  <c r="EW108" i="4"/>
  <c r="EX108" i="4"/>
  <c r="EY108" i="4"/>
  <c r="EZ108" i="4"/>
  <c r="FA108" i="4"/>
  <c r="FB108" i="4"/>
  <c r="FC108" i="4"/>
  <c r="FD108" i="4"/>
  <c r="FE108" i="4"/>
  <c r="FF108" i="4"/>
  <c r="FG108" i="4"/>
  <c r="FH108" i="4"/>
  <c r="FI108" i="4"/>
  <c r="FJ108" i="4"/>
  <c r="FK108" i="4"/>
  <c r="FL108" i="4"/>
  <c r="FM108" i="4"/>
  <c r="FN108" i="4"/>
  <c r="FO108" i="4"/>
  <c r="FP108" i="4"/>
  <c r="FQ108" i="4"/>
  <c r="FR108" i="4"/>
  <c r="FS108" i="4"/>
  <c r="FT108" i="4"/>
  <c r="FU108" i="4"/>
  <c r="FV108" i="4"/>
  <c r="FW108" i="4"/>
  <c r="FX108" i="4"/>
  <c r="FY108" i="4"/>
  <c r="FZ108" i="4"/>
  <c r="GA108" i="4"/>
  <c r="GB108" i="4"/>
  <c r="GC108" i="4"/>
  <c r="GD108" i="4"/>
  <c r="GE108" i="4"/>
  <c r="GF108" i="4"/>
  <c r="GG108" i="4"/>
  <c r="GH108" i="4"/>
  <c r="GI108" i="4"/>
  <c r="GJ108" i="4"/>
  <c r="GK108" i="4"/>
  <c r="GL108" i="4"/>
  <c r="GM108" i="4"/>
  <c r="GN108" i="4"/>
  <c r="GO108" i="4"/>
  <c r="GP108" i="4"/>
  <c r="GQ108" i="4"/>
  <c r="GR108" i="4"/>
  <c r="GS108" i="4"/>
  <c r="GT108" i="4"/>
  <c r="GU108" i="4"/>
  <c r="GV108" i="4"/>
  <c r="GW108" i="4"/>
  <c r="GX108" i="4"/>
  <c r="GY108" i="4"/>
  <c r="GZ108" i="4"/>
  <c r="HA108" i="4"/>
  <c r="HB108" i="4"/>
  <c r="HC108" i="4"/>
  <c r="HD108" i="4"/>
  <c r="HE108" i="4"/>
  <c r="HF108" i="4"/>
  <c r="HG108" i="4"/>
  <c r="HH108" i="4"/>
  <c r="HI108" i="4"/>
  <c r="HJ108" i="4"/>
  <c r="HK108" i="4"/>
  <c r="HL108" i="4"/>
  <c r="HM108" i="4"/>
  <c r="HN108" i="4"/>
  <c r="HO108" i="4"/>
  <c r="HP108" i="4"/>
  <c r="HQ108" i="4"/>
  <c r="HR108" i="4"/>
  <c r="HS108" i="4"/>
  <c r="HT108" i="4"/>
  <c r="HU108" i="4"/>
  <c r="HV108" i="4"/>
  <c r="HW108" i="4"/>
  <c r="HX108" i="4"/>
  <c r="HY108" i="4"/>
  <c r="HZ108" i="4"/>
  <c r="IA108" i="4"/>
  <c r="IB108" i="4"/>
  <c r="IC108" i="4"/>
  <c r="ID108" i="4"/>
  <c r="IE108" i="4"/>
  <c r="IF108" i="4"/>
  <c r="IG108" i="4"/>
  <c r="IH108" i="4"/>
  <c r="II108" i="4"/>
  <c r="IJ108" i="4"/>
  <c r="IK108" i="4"/>
  <c r="IL108" i="4"/>
  <c r="IM108" i="4"/>
  <c r="IN108" i="4"/>
  <c r="IO108" i="4"/>
  <c r="IP108" i="4"/>
  <c r="IQ108" i="4"/>
  <c r="IR108" i="4"/>
  <c r="IS108" i="4"/>
  <c r="IT108" i="4"/>
  <c r="IU108" i="4"/>
  <c r="IV108" i="4"/>
  <c r="A107" i="4"/>
  <c r="B107" i="4"/>
  <c r="C107" i="4"/>
  <c r="D107" i="4"/>
  <c r="E107" i="4"/>
  <c r="F107" i="4"/>
  <c r="G107" i="4"/>
  <c r="H107" i="4"/>
  <c r="I107" i="4"/>
  <c r="J107" i="4"/>
  <c r="K107" i="4"/>
  <c r="L107" i="4"/>
  <c r="M107" i="4"/>
  <c r="N107" i="4"/>
  <c r="O107" i="4"/>
  <c r="P107" i="4"/>
  <c r="Q107" i="4"/>
  <c r="R107" i="4"/>
  <c r="S107" i="4"/>
  <c r="T107" i="4"/>
  <c r="U107" i="4"/>
  <c r="V107" i="4"/>
  <c r="W107" i="4"/>
  <c r="X107" i="4"/>
  <c r="Y107" i="4"/>
  <c r="Z107" i="4"/>
  <c r="AA107" i="4"/>
  <c r="AB107" i="4"/>
  <c r="AC107" i="4"/>
  <c r="AD107" i="4"/>
  <c r="AE107" i="4"/>
  <c r="AF107" i="4"/>
  <c r="AG107" i="4"/>
  <c r="AH107" i="4"/>
  <c r="AI107" i="4"/>
  <c r="AK107" i="4"/>
  <c r="AL107" i="4"/>
  <c r="AM107" i="4"/>
  <c r="AN107" i="4"/>
  <c r="AO107" i="4"/>
  <c r="AP107" i="4"/>
  <c r="AQ107" i="4"/>
  <c r="AR107" i="4"/>
  <c r="AS107" i="4"/>
  <c r="AT107" i="4"/>
  <c r="AU107" i="4"/>
  <c r="AV107" i="4"/>
  <c r="AW107" i="4"/>
  <c r="AX107" i="4"/>
  <c r="AY107" i="4"/>
  <c r="AZ107" i="4"/>
  <c r="BA107" i="4"/>
  <c r="BB107" i="4"/>
  <c r="BC107" i="4"/>
  <c r="BD107" i="4"/>
  <c r="BE107" i="4"/>
  <c r="BF107" i="4"/>
  <c r="BG107" i="4"/>
  <c r="BH107" i="4"/>
  <c r="BI107" i="4"/>
  <c r="BJ107" i="4"/>
  <c r="BK107" i="4"/>
  <c r="BL107" i="4"/>
  <c r="BM107" i="4"/>
  <c r="BN107" i="4"/>
  <c r="BO107" i="4"/>
  <c r="BP107" i="4"/>
  <c r="BQ107" i="4"/>
  <c r="BR107" i="4"/>
  <c r="BS107" i="4"/>
  <c r="BT107" i="4"/>
  <c r="BU107" i="4"/>
  <c r="BV107" i="4"/>
  <c r="BW107" i="4"/>
  <c r="BX107" i="4"/>
  <c r="BY107" i="4"/>
  <c r="BZ107" i="4"/>
  <c r="CA107" i="4"/>
  <c r="CB107" i="4"/>
  <c r="CC107" i="4"/>
  <c r="CD107" i="4"/>
  <c r="CE107" i="4"/>
  <c r="CF107" i="4"/>
  <c r="CG107" i="4"/>
  <c r="CH107" i="4"/>
  <c r="CI107" i="4"/>
  <c r="CJ107" i="4"/>
  <c r="CK107" i="4"/>
  <c r="CL107" i="4"/>
  <c r="CM107" i="4"/>
  <c r="CN107" i="4"/>
  <c r="CO107" i="4"/>
  <c r="CP107" i="4"/>
  <c r="CQ107" i="4"/>
  <c r="CR107" i="4"/>
  <c r="CS107" i="4"/>
  <c r="CT107" i="4"/>
  <c r="CU107" i="4"/>
  <c r="CV107" i="4"/>
  <c r="CW107" i="4"/>
  <c r="CX107" i="4"/>
  <c r="CY107" i="4"/>
  <c r="CZ107" i="4"/>
  <c r="DA107" i="4"/>
  <c r="DB107" i="4"/>
  <c r="DC107" i="4"/>
  <c r="DD107" i="4"/>
  <c r="DE107" i="4"/>
  <c r="DF107" i="4"/>
  <c r="DG107" i="4"/>
  <c r="DH107" i="4"/>
  <c r="DI107" i="4"/>
  <c r="DJ107" i="4"/>
  <c r="DK107" i="4"/>
  <c r="DL107" i="4"/>
  <c r="DM107" i="4"/>
  <c r="DN107" i="4"/>
  <c r="DO107" i="4"/>
  <c r="DP107" i="4"/>
  <c r="DQ107" i="4"/>
  <c r="DR107" i="4"/>
  <c r="DS107" i="4"/>
  <c r="DT107" i="4"/>
  <c r="DU107" i="4"/>
  <c r="DV107" i="4"/>
  <c r="DW107" i="4"/>
  <c r="DX107" i="4"/>
  <c r="DY107" i="4"/>
  <c r="DZ107" i="4"/>
  <c r="EA107" i="4"/>
  <c r="EB107" i="4"/>
  <c r="EC107" i="4"/>
  <c r="ED107" i="4"/>
  <c r="EE107" i="4"/>
  <c r="EF107" i="4"/>
  <c r="EG107" i="4"/>
  <c r="EH107" i="4"/>
  <c r="EI107" i="4"/>
  <c r="EJ107" i="4"/>
  <c r="EK107" i="4"/>
  <c r="EL107" i="4"/>
  <c r="EM107" i="4"/>
  <c r="EN107" i="4"/>
  <c r="EO107" i="4"/>
  <c r="EP107" i="4"/>
  <c r="EQ107" i="4"/>
  <c r="ER107" i="4"/>
  <c r="ES107" i="4"/>
  <c r="ET107" i="4"/>
  <c r="EU107" i="4"/>
  <c r="EV107" i="4"/>
  <c r="EW107" i="4"/>
  <c r="EX107" i="4"/>
  <c r="EY107" i="4"/>
  <c r="EZ107" i="4"/>
  <c r="FA107" i="4"/>
  <c r="FB107" i="4"/>
  <c r="FC107" i="4"/>
  <c r="FD107" i="4"/>
  <c r="FE107" i="4"/>
  <c r="FF107" i="4"/>
  <c r="FG107" i="4"/>
  <c r="FH107" i="4"/>
  <c r="FI107" i="4"/>
  <c r="FJ107" i="4"/>
  <c r="FK107" i="4"/>
  <c r="FL107" i="4"/>
  <c r="FM107" i="4"/>
  <c r="FN107" i="4"/>
  <c r="FO107" i="4"/>
  <c r="FP107" i="4"/>
  <c r="FQ107" i="4"/>
  <c r="FR107" i="4"/>
  <c r="FS107" i="4"/>
  <c r="FT107" i="4"/>
  <c r="FU107" i="4"/>
  <c r="FV107" i="4"/>
  <c r="FW107" i="4"/>
  <c r="FX107" i="4"/>
  <c r="FY107" i="4"/>
  <c r="FZ107" i="4"/>
  <c r="GA107" i="4"/>
  <c r="GB107" i="4"/>
  <c r="GC107" i="4"/>
  <c r="GD107" i="4"/>
  <c r="GE107" i="4"/>
  <c r="GF107" i="4"/>
  <c r="GG107" i="4"/>
  <c r="GH107" i="4"/>
  <c r="GI107" i="4"/>
  <c r="GJ107" i="4"/>
  <c r="GK107" i="4"/>
  <c r="GL107" i="4"/>
  <c r="GM107" i="4"/>
  <c r="GN107" i="4"/>
  <c r="GO107" i="4"/>
  <c r="GP107" i="4"/>
  <c r="GQ107" i="4"/>
  <c r="GR107" i="4"/>
  <c r="GS107" i="4"/>
  <c r="GT107" i="4"/>
  <c r="GU107" i="4"/>
  <c r="GV107" i="4"/>
  <c r="GW107" i="4"/>
  <c r="GX107" i="4"/>
  <c r="GY107" i="4"/>
  <c r="GZ107" i="4"/>
  <c r="HA107" i="4"/>
  <c r="HB107" i="4"/>
  <c r="HC107" i="4"/>
  <c r="HD107" i="4"/>
  <c r="HE107" i="4"/>
  <c r="HF107" i="4"/>
  <c r="HG107" i="4"/>
  <c r="HH107" i="4"/>
  <c r="HI107" i="4"/>
  <c r="HJ107" i="4"/>
  <c r="HK107" i="4"/>
  <c r="HL107" i="4"/>
  <c r="HM107" i="4"/>
  <c r="HN107" i="4"/>
  <c r="HO107" i="4"/>
  <c r="HP107" i="4"/>
  <c r="HQ107" i="4"/>
  <c r="HR107" i="4"/>
  <c r="HS107" i="4"/>
  <c r="HT107" i="4"/>
  <c r="HU107" i="4"/>
  <c r="HV107" i="4"/>
  <c r="HW107" i="4"/>
  <c r="HX107" i="4"/>
  <c r="HY107" i="4"/>
  <c r="HZ107" i="4"/>
  <c r="IA107" i="4"/>
  <c r="IB107" i="4"/>
  <c r="IC107" i="4"/>
  <c r="ID107" i="4"/>
  <c r="IE107" i="4"/>
  <c r="IF107" i="4"/>
  <c r="IG107" i="4"/>
  <c r="IH107" i="4"/>
  <c r="II107" i="4"/>
  <c r="IJ107" i="4"/>
  <c r="IK107" i="4"/>
  <c r="IL107" i="4"/>
  <c r="IM107" i="4"/>
  <c r="IN107" i="4"/>
  <c r="IO107" i="4"/>
  <c r="IP107" i="4"/>
  <c r="IQ107" i="4"/>
  <c r="IR107" i="4"/>
  <c r="IS107" i="4"/>
  <c r="IT107" i="4"/>
  <c r="IU107" i="4"/>
  <c r="IV107" i="4"/>
  <c r="A106" i="4"/>
  <c r="B106" i="4"/>
  <c r="C106" i="4"/>
  <c r="D106" i="4"/>
  <c r="E106" i="4"/>
  <c r="F106" i="4"/>
  <c r="G106" i="4"/>
  <c r="H106" i="4"/>
  <c r="I106" i="4"/>
  <c r="J106" i="4"/>
  <c r="K106" i="4"/>
  <c r="L106" i="4"/>
  <c r="M106" i="4"/>
  <c r="N106" i="4"/>
  <c r="O106" i="4"/>
  <c r="P106" i="4"/>
  <c r="Q106" i="4"/>
  <c r="R106" i="4"/>
  <c r="S106" i="4"/>
  <c r="T106" i="4"/>
  <c r="U106" i="4"/>
  <c r="V106" i="4"/>
  <c r="W106" i="4"/>
  <c r="X106" i="4"/>
  <c r="Y106" i="4"/>
  <c r="Z106" i="4"/>
  <c r="AA106" i="4"/>
  <c r="AB106" i="4"/>
  <c r="AC106" i="4"/>
  <c r="AD106" i="4"/>
  <c r="AE106" i="4"/>
  <c r="AF106" i="4"/>
  <c r="AG106" i="4"/>
  <c r="AH106" i="4"/>
  <c r="AI106" i="4"/>
  <c r="AJ106" i="4"/>
  <c r="AL106" i="4"/>
  <c r="AM106" i="4"/>
  <c r="AN106" i="4"/>
  <c r="AO106" i="4"/>
  <c r="AP106" i="4"/>
  <c r="AQ106" i="4"/>
  <c r="AR106" i="4"/>
  <c r="AS106" i="4"/>
  <c r="AT106" i="4"/>
  <c r="AU106" i="4"/>
  <c r="AV106" i="4"/>
  <c r="AW106" i="4"/>
  <c r="AX106" i="4"/>
  <c r="AY106" i="4"/>
  <c r="AZ106" i="4"/>
  <c r="BA106" i="4"/>
  <c r="BB106" i="4"/>
  <c r="BC106" i="4"/>
  <c r="BD106" i="4"/>
  <c r="BE106" i="4"/>
  <c r="BF106" i="4"/>
  <c r="BG106" i="4"/>
  <c r="BH106" i="4"/>
  <c r="BI106" i="4"/>
  <c r="BJ106" i="4"/>
  <c r="BK106" i="4"/>
  <c r="BL106" i="4"/>
  <c r="BM106" i="4"/>
  <c r="BN106" i="4"/>
  <c r="BO106" i="4"/>
  <c r="BP106" i="4"/>
  <c r="BQ106" i="4"/>
  <c r="BR106" i="4"/>
  <c r="BS106" i="4"/>
  <c r="BT106" i="4"/>
  <c r="BU106" i="4"/>
  <c r="BV106" i="4"/>
  <c r="BW106" i="4"/>
  <c r="BX106" i="4"/>
  <c r="BY106" i="4"/>
  <c r="BZ106" i="4"/>
  <c r="CA106" i="4"/>
  <c r="CB106" i="4"/>
  <c r="CC106" i="4"/>
  <c r="CD106" i="4"/>
  <c r="CE106" i="4"/>
  <c r="CF106" i="4"/>
  <c r="CG106" i="4"/>
  <c r="CH106" i="4"/>
  <c r="CI106" i="4"/>
  <c r="CJ106" i="4"/>
  <c r="CK106" i="4"/>
  <c r="CL106" i="4"/>
  <c r="CM106" i="4"/>
  <c r="CN106" i="4"/>
  <c r="CO106" i="4"/>
  <c r="CP106" i="4"/>
  <c r="CQ106" i="4"/>
  <c r="CR106" i="4"/>
  <c r="CS106" i="4"/>
  <c r="CT106" i="4"/>
  <c r="CU106" i="4"/>
  <c r="CV106" i="4"/>
  <c r="CW106" i="4"/>
  <c r="CX106" i="4"/>
  <c r="CY106" i="4"/>
  <c r="CZ106" i="4"/>
  <c r="DA106" i="4"/>
  <c r="DB106" i="4"/>
  <c r="DC106" i="4"/>
  <c r="DD106" i="4"/>
  <c r="DE106" i="4"/>
  <c r="DF106" i="4"/>
  <c r="DG106" i="4"/>
  <c r="DH106" i="4"/>
  <c r="DI106" i="4"/>
  <c r="DJ106" i="4"/>
  <c r="DK106" i="4"/>
  <c r="DL106" i="4"/>
  <c r="DM106" i="4"/>
  <c r="DN106" i="4"/>
  <c r="DO106" i="4"/>
  <c r="DP106" i="4"/>
  <c r="DQ106" i="4"/>
  <c r="DR106" i="4"/>
  <c r="DS106" i="4"/>
  <c r="DT106" i="4"/>
  <c r="DU106" i="4"/>
  <c r="DV106" i="4"/>
  <c r="DW106" i="4"/>
  <c r="DX106" i="4"/>
  <c r="DY106" i="4"/>
  <c r="DZ106" i="4"/>
  <c r="EA106" i="4"/>
  <c r="EB106" i="4"/>
  <c r="EC106" i="4"/>
  <c r="ED106" i="4"/>
  <c r="EE106" i="4"/>
  <c r="EF106" i="4"/>
  <c r="EG106" i="4"/>
  <c r="EH106" i="4"/>
  <c r="EI106" i="4"/>
  <c r="EJ106" i="4"/>
  <c r="EK106" i="4"/>
  <c r="EL106" i="4"/>
  <c r="EM106" i="4"/>
  <c r="EN106" i="4"/>
  <c r="EO106" i="4"/>
  <c r="EP106" i="4"/>
  <c r="EQ106" i="4"/>
  <c r="ER106" i="4"/>
  <c r="ES106" i="4"/>
  <c r="ET106" i="4"/>
  <c r="EU106" i="4"/>
  <c r="EV106" i="4"/>
  <c r="EW106" i="4"/>
  <c r="EX106" i="4"/>
  <c r="EY106" i="4"/>
  <c r="EZ106" i="4"/>
  <c r="FA106" i="4"/>
  <c r="FB106" i="4"/>
  <c r="FC106" i="4"/>
  <c r="FD106" i="4"/>
  <c r="FE106" i="4"/>
  <c r="FF106" i="4"/>
  <c r="FG106" i="4"/>
  <c r="FH106" i="4"/>
  <c r="FI106" i="4"/>
  <c r="FJ106" i="4"/>
  <c r="FK106" i="4"/>
  <c r="FL106" i="4"/>
  <c r="FM106" i="4"/>
  <c r="FN106" i="4"/>
  <c r="FO106" i="4"/>
  <c r="FP106" i="4"/>
  <c r="FQ106" i="4"/>
  <c r="FR106" i="4"/>
  <c r="FS106" i="4"/>
  <c r="FT106" i="4"/>
  <c r="FU106" i="4"/>
  <c r="FV106" i="4"/>
  <c r="FW106" i="4"/>
  <c r="FX106" i="4"/>
  <c r="FY106" i="4"/>
  <c r="FZ106" i="4"/>
  <c r="GA106" i="4"/>
  <c r="GB106" i="4"/>
  <c r="GC106" i="4"/>
  <c r="GD106" i="4"/>
  <c r="GE106" i="4"/>
  <c r="GF106" i="4"/>
  <c r="GG106" i="4"/>
  <c r="GH106" i="4"/>
  <c r="GI106" i="4"/>
  <c r="GJ106" i="4"/>
  <c r="GK106" i="4"/>
  <c r="GL106" i="4"/>
  <c r="GM106" i="4"/>
  <c r="GN106" i="4"/>
  <c r="GO106" i="4"/>
  <c r="GP106" i="4"/>
  <c r="GQ106" i="4"/>
  <c r="GR106" i="4"/>
  <c r="GS106" i="4"/>
  <c r="GT106" i="4"/>
  <c r="GU106" i="4"/>
  <c r="GV106" i="4"/>
  <c r="GW106" i="4"/>
  <c r="GX106" i="4"/>
  <c r="GY106" i="4"/>
  <c r="GZ106" i="4"/>
  <c r="HA106" i="4"/>
  <c r="HB106" i="4"/>
  <c r="HC106" i="4"/>
  <c r="HD106" i="4"/>
  <c r="HE106" i="4"/>
  <c r="HF106" i="4"/>
  <c r="HG106" i="4"/>
  <c r="HH106" i="4"/>
  <c r="HI106" i="4"/>
  <c r="HJ106" i="4"/>
  <c r="HK106" i="4"/>
  <c r="HL106" i="4"/>
  <c r="HM106" i="4"/>
  <c r="HN106" i="4"/>
  <c r="HO106" i="4"/>
  <c r="HP106" i="4"/>
  <c r="HQ106" i="4"/>
  <c r="HR106" i="4"/>
  <c r="HS106" i="4"/>
  <c r="HT106" i="4"/>
  <c r="HU106" i="4"/>
  <c r="HV106" i="4"/>
  <c r="HW106" i="4"/>
  <c r="HX106" i="4"/>
  <c r="HY106" i="4"/>
  <c r="HZ106" i="4"/>
  <c r="IA106" i="4"/>
  <c r="IB106" i="4"/>
  <c r="IC106" i="4"/>
  <c r="ID106" i="4"/>
  <c r="IE106" i="4"/>
  <c r="IF106" i="4"/>
  <c r="IG106" i="4"/>
  <c r="IH106" i="4"/>
  <c r="II106" i="4"/>
  <c r="IJ106" i="4"/>
  <c r="IK106" i="4"/>
  <c r="IL106" i="4"/>
  <c r="IM106" i="4"/>
  <c r="IN106" i="4"/>
  <c r="IO106" i="4"/>
  <c r="IP106" i="4"/>
  <c r="IQ106" i="4"/>
  <c r="IR106" i="4"/>
  <c r="IS106" i="4"/>
  <c r="IT106" i="4"/>
  <c r="IU106" i="4"/>
  <c r="IV106" i="4"/>
  <c r="A105" i="4"/>
  <c r="B105" i="4"/>
  <c r="C105" i="4"/>
  <c r="D105" i="4"/>
  <c r="E105" i="4"/>
  <c r="F105" i="4"/>
  <c r="G105" i="4"/>
  <c r="H105" i="4"/>
  <c r="I105" i="4"/>
  <c r="J105" i="4"/>
  <c r="K105" i="4"/>
  <c r="L105" i="4"/>
  <c r="M105" i="4"/>
  <c r="N105" i="4"/>
  <c r="O105" i="4"/>
  <c r="P105" i="4"/>
  <c r="Q105" i="4"/>
  <c r="R105" i="4"/>
  <c r="S105" i="4"/>
  <c r="T105" i="4"/>
  <c r="U105" i="4"/>
  <c r="V105" i="4"/>
  <c r="W105" i="4"/>
  <c r="X105" i="4"/>
  <c r="Y105" i="4"/>
  <c r="Z105" i="4"/>
  <c r="AA105" i="4"/>
  <c r="AB105" i="4"/>
  <c r="AC105" i="4"/>
  <c r="AD105" i="4"/>
  <c r="AE105" i="4"/>
  <c r="AF105" i="4"/>
  <c r="AG105" i="4"/>
  <c r="AH105" i="4"/>
  <c r="AI105" i="4"/>
  <c r="AJ105" i="4"/>
  <c r="AK105" i="4"/>
  <c r="AM105" i="4"/>
  <c r="AN105" i="4"/>
  <c r="AO105" i="4"/>
  <c r="AP105" i="4"/>
  <c r="AQ105" i="4"/>
  <c r="AR105" i="4"/>
  <c r="AS105" i="4"/>
  <c r="AT105" i="4"/>
  <c r="AU105" i="4"/>
  <c r="AV105" i="4"/>
  <c r="AW105" i="4"/>
  <c r="AX105" i="4"/>
  <c r="AY105" i="4"/>
  <c r="AZ105" i="4"/>
  <c r="BA105" i="4"/>
  <c r="BB105" i="4"/>
  <c r="BC105" i="4"/>
  <c r="BD105" i="4"/>
  <c r="BE105" i="4"/>
  <c r="BF105" i="4"/>
  <c r="BG105" i="4"/>
  <c r="BH105" i="4"/>
  <c r="BI105" i="4"/>
  <c r="BJ105" i="4"/>
  <c r="BK105" i="4"/>
  <c r="BL105" i="4"/>
  <c r="BM105" i="4"/>
  <c r="BN105" i="4"/>
  <c r="BO105" i="4"/>
  <c r="BP105" i="4"/>
  <c r="BQ105" i="4"/>
  <c r="BR105" i="4"/>
  <c r="BS105" i="4"/>
  <c r="BT105" i="4"/>
  <c r="BU105" i="4"/>
  <c r="BV105" i="4"/>
  <c r="BW105" i="4"/>
  <c r="BX105" i="4"/>
  <c r="BY105" i="4"/>
  <c r="BZ105" i="4"/>
  <c r="CA105" i="4"/>
  <c r="CB105" i="4"/>
  <c r="CC105" i="4"/>
  <c r="CD105" i="4"/>
  <c r="CE105" i="4"/>
  <c r="CF105" i="4"/>
  <c r="CG105" i="4"/>
  <c r="CH105" i="4"/>
  <c r="CI105" i="4"/>
  <c r="CJ105" i="4"/>
  <c r="CK105" i="4"/>
  <c r="CL105" i="4"/>
  <c r="CM105" i="4"/>
  <c r="CN105" i="4"/>
  <c r="CO105" i="4"/>
  <c r="CP105" i="4"/>
  <c r="CQ105" i="4"/>
  <c r="CR105" i="4"/>
  <c r="CS105" i="4"/>
  <c r="CT105" i="4"/>
  <c r="CU105" i="4"/>
  <c r="CV105" i="4"/>
  <c r="CW105" i="4"/>
  <c r="CX105" i="4"/>
  <c r="CY105" i="4"/>
  <c r="CZ105" i="4"/>
  <c r="DA105" i="4"/>
  <c r="DB105" i="4"/>
  <c r="DC105" i="4"/>
  <c r="DD105" i="4"/>
  <c r="DE105" i="4"/>
  <c r="DF105" i="4"/>
  <c r="DG105" i="4"/>
  <c r="DH105" i="4"/>
  <c r="DI105" i="4"/>
  <c r="DJ105" i="4"/>
  <c r="DK105" i="4"/>
  <c r="DL105" i="4"/>
  <c r="DM105" i="4"/>
  <c r="DN105" i="4"/>
  <c r="DO105" i="4"/>
  <c r="DP105" i="4"/>
  <c r="DQ105" i="4"/>
  <c r="DR105" i="4"/>
  <c r="DS105" i="4"/>
  <c r="DT105" i="4"/>
  <c r="DU105" i="4"/>
  <c r="DV105" i="4"/>
  <c r="DW105" i="4"/>
  <c r="DX105" i="4"/>
  <c r="DY105" i="4"/>
  <c r="DZ105" i="4"/>
  <c r="EA105" i="4"/>
  <c r="EB105" i="4"/>
  <c r="EC105" i="4"/>
  <c r="ED105" i="4"/>
  <c r="EE105" i="4"/>
  <c r="EF105" i="4"/>
  <c r="EG105" i="4"/>
  <c r="EH105" i="4"/>
  <c r="EI105" i="4"/>
  <c r="EJ105" i="4"/>
  <c r="EK105" i="4"/>
  <c r="EL105" i="4"/>
  <c r="EM105" i="4"/>
  <c r="EN105" i="4"/>
  <c r="EO105" i="4"/>
  <c r="EP105" i="4"/>
  <c r="EQ105" i="4"/>
  <c r="ER105" i="4"/>
  <c r="ES105" i="4"/>
  <c r="ET105" i="4"/>
  <c r="EU105" i="4"/>
  <c r="EV105" i="4"/>
  <c r="EW105" i="4"/>
  <c r="EX105" i="4"/>
  <c r="EY105" i="4"/>
  <c r="EZ105" i="4"/>
  <c r="FA105" i="4"/>
  <c r="FB105" i="4"/>
  <c r="FC105" i="4"/>
  <c r="FD105" i="4"/>
  <c r="FE105" i="4"/>
  <c r="FF105" i="4"/>
  <c r="FG105" i="4"/>
  <c r="FH105" i="4"/>
  <c r="FI105" i="4"/>
  <c r="FJ105" i="4"/>
  <c r="FK105" i="4"/>
  <c r="FL105" i="4"/>
  <c r="FM105" i="4"/>
  <c r="FN105" i="4"/>
  <c r="FO105" i="4"/>
  <c r="FP105" i="4"/>
  <c r="FQ105" i="4"/>
  <c r="FR105" i="4"/>
  <c r="FS105" i="4"/>
  <c r="FT105" i="4"/>
  <c r="FU105" i="4"/>
  <c r="FV105" i="4"/>
  <c r="FW105" i="4"/>
  <c r="FX105" i="4"/>
  <c r="FY105" i="4"/>
  <c r="FZ105" i="4"/>
  <c r="GA105" i="4"/>
  <c r="GB105" i="4"/>
  <c r="GC105" i="4"/>
  <c r="GD105" i="4"/>
  <c r="GE105" i="4"/>
  <c r="GF105" i="4"/>
  <c r="GG105" i="4"/>
  <c r="GH105" i="4"/>
  <c r="GI105" i="4"/>
  <c r="GJ105" i="4"/>
  <c r="GK105" i="4"/>
  <c r="GL105" i="4"/>
  <c r="GM105" i="4"/>
  <c r="GN105" i="4"/>
  <c r="GO105" i="4"/>
  <c r="GP105" i="4"/>
  <c r="GQ105" i="4"/>
  <c r="GR105" i="4"/>
  <c r="GS105" i="4"/>
  <c r="GT105" i="4"/>
  <c r="GU105" i="4"/>
  <c r="GV105" i="4"/>
  <c r="GW105" i="4"/>
  <c r="GX105" i="4"/>
  <c r="GY105" i="4"/>
  <c r="GZ105" i="4"/>
  <c r="HA105" i="4"/>
  <c r="HB105" i="4"/>
  <c r="HC105" i="4"/>
  <c r="HD105" i="4"/>
  <c r="HE105" i="4"/>
  <c r="HF105" i="4"/>
  <c r="HG105" i="4"/>
  <c r="HH105" i="4"/>
  <c r="HI105" i="4"/>
  <c r="HJ105" i="4"/>
  <c r="HK105" i="4"/>
  <c r="HL105" i="4"/>
  <c r="HM105" i="4"/>
  <c r="HN105" i="4"/>
  <c r="HO105" i="4"/>
  <c r="HP105" i="4"/>
  <c r="HQ105" i="4"/>
  <c r="HR105" i="4"/>
  <c r="HS105" i="4"/>
  <c r="HT105" i="4"/>
  <c r="HU105" i="4"/>
  <c r="HV105" i="4"/>
  <c r="HW105" i="4"/>
  <c r="HX105" i="4"/>
  <c r="HY105" i="4"/>
  <c r="HZ105" i="4"/>
  <c r="IA105" i="4"/>
  <c r="IB105" i="4"/>
  <c r="IC105" i="4"/>
  <c r="ID105" i="4"/>
  <c r="IE105" i="4"/>
  <c r="IF105" i="4"/>
  <c r="IG105" i="4"/>
  <c r="IH105" i="4"/>
  <c r="II105" i="4"/>
  <c r="IJ105" i="4"/>
  <c r="IK105" i="4"/>
  <c r="IL105" i="4"/>
  <c r="IM105" i="4"/>
  <c r="IN105" i="4"/>
  <c r="IO105" i="4"/>
  <c r="IP105" i="4"/>
  <c r="IQ105" i="4"/>
  <c r="IR105" i="4"/>
  <c r="IS105" i="4"/>
  <c r="IT105" i="4"/>
  <c r="IU105" i="4"/>
  <c r="IV105" i="4"/>
  <c r="A104" i="4"/>
  <c r="B104" i="4"/>
  <c r="C104" i="4"/>
  <c r="D104" i="4"/>
  <c r="E104" i="4"/>
  <c r="F104" i="4"/>
  <c r="G104" i="4"/>
  <c r="H104" i="4"/>
  <c r="I104" i="4"/>
  <c r="J104" i="4"/>
  <c r="K104" i="4"/>
  <c r="L104" i="4"/>
  <c r="M104" i="4"/>
  <c r="N104" i="4"/>
  <c r="O104" i="4"/>
  <c r="P104" i="4"/>
  <c r="Q104" i="4"/>
  <c r="R104" i="4"/>
  <c r="S104" i="4"/>
  <c r="T104" i="4"/>
  <c r="U104" i="4"/>
  <c r="V104" i="4"/>
  <c r="W104" i="4"/>
  <c r="X104" i="4"/>
  <c r="Y104" i="4"/>
  <c r="Z104" i="4"/>
  <c r="AA104" i="4"/>
  <c r="AB104" i="4"/>
  <c r="AC104" i="4"/>
  <c r="AD104" i="4"/>
  <c r="AE104" i="4"/>
  <c r="AF104" i="4"/>
  <c r="AG104" i="4"/>
  <c r="AH104" i="4"/>
  <c r="AI104" i="4"/>
  <c r="AJ104" i="4"/>
  <c r="AK104" i="4"/>
  <c r="AL104" i="4"/>
  <c r="AN104" i="4"/>
  <c r="AO104" i="4"/>
  <c r="AP104" i="4"/>
  <c r="AQ104" i="4"/>
  <c r="AR104" i="4"/>
  <c r="AS104" i="4"/>
  <c r="AT104" i="4"/>
  <c r="AU104" i="4"/>
  <c r="AV104" i="4"/>
  <c r="AW104" i="4"/>
  <c r="AX104" i="4"/>
  <c r="AY104" i="4"/>
  <c r="AZ104" i="4"/>
  <c r="BA104" i="4"/>
  <c r="BB104" i="4"/>
  <c r="BC104" i="4"/>
  <c r="BD104" i="4"/>
  <c r="BE104" i="4"/>
  <c r="BF104" i="4"/>
  <c r="BG104" i="4"/>
  <c r="BH104" i="4"/>
  <c r="BI104" i="4"/>
  <c r="BJ104" i="4"/>
  <c r="BK104" i="4"/>
  <c r="BL104" i="4"/>
  <c r="BM104" i="4"/>
  <c r="BN104" i="4"/>
  <c r="BO104" i="4"/>
  <c r="BP104" i="4"/>
  <c r="BQ104" i="4"/>
  <c r="BR104" i="4"/>
  <c r="BS104" i="4"/>
  <c r="BT104" i="4"/>
  <c r="BU104" i="4"/>
  <c r="BV104" i="4"/>
  <c r="BW104" i="4"/>
  <c r="BX104" i="4"/>
  <c r="BY104" i="4"/>
  <c r="BZ104" i="4"/>
  <c r="CA104" i="4"/>
  <c r="CB104" i="4"/>
  <c r="CC104" i="4"/>
  <c r="CD104" i="4"/>
  <c r="CE104" i="4"/>
  <c r="CF104" i="4"/>
  <c r="CG104" i="4"/>
  <c r="CH104" i="4"/>
  <c r="CI104" i="4"/>
  <c r="CJ104" i="4"/>
  <c r="CK104" i="4"/>
  <c r="CL104" i="4"/>
  <c r="CM104" i="4"/>
  <c r="CN104" i="4"/>
  <c r="CO104" i="4"/>
  <c r="CP104" i="4"/>
  <c r="CQ104" i="4"/>
  <c r="CR104" i="4"/>
  <c r="CS104" i="4"/>
  <c r="CT104" i="4"/>
  <c r="CU104" i="4"/>
  <c r="CV104" i="4"/>
  <c r="CW104" i="4"/>
  <c r="CX104" i="4"/>
  <c r="CY104" i="4"/>
  <c r="CZ104" i="4"/>
  <c r="DA104" i="4"/>
  <c r="DB104" i="4"/>
  <c r="DC104" i="4"/>
  <c r="DD104" i="4"/>
  <c r="DE104" i="4"/>
  <c r="DF104" i="4"/>
  <c r="DG104" i="4"/>
  <c r="DH104" i="4"/>
  <c r="DI104" i="4"/>
  <c r="DJ104" i="4"/>
  <c r="DK104" i="4"/>
  <c r="DL104" i="4"/>
  <c r="DM104" i="4"/>
  <c r="DN104" i="4"/>
  <c r="DO104" i="4"/>
  <c r="DP104" i="4"/>
  <c r="DQ104" i="4"/>
  <c r="DR104" i="4"/>
  <c r="DS104" i="4"/>
  <c r="DT104" i="4"/>
  <c r="DU104" i="4"/>
  <c r="DV104" i="4"/>
  <c r="DW104" i="4"/>
  <c r="DX104" i="4"/>
  <c r="DY104" i="4"/>
  <c r="DZ104" i="4"/>
  <c r="EA104" i="4"/>
  <c r="EB104" i="4"/>
  <c r="EC104" i="4"/>
  <c r="ED104" i="4"/>
  <c r="EE104" i="4"/>
  <c r="EF104" i="4"/>
  <c r="EG104" i="4"/>
  <c r="EH104" i="4"/>
  <c r="EI104" i="4"/>
  <c r="EJ104" i="4"/>
  <c r="EK104" i="4"/>
  <c r="EL104" i="4"/>
  <c r="EM104" i="4"/>
  <c r="EN104" i="4"/>
  <c r="EO104" i="4"/>
  <c r="EP104" i="4"/>
  <c r="EQ104" i="4"/>
  <c r="ER104" i="4"/>
  <c r="ES104" i="4"/>
  <c r="ET104" i="4"/>
  <c r="EU104" i="4"/>
  <c r="EV104" i="4"/>
  <c r="EW104" i="4"/>
  <c r="EX104" i="4"/>
  <c r="EY104" i="4"/>
  <c r="EZ104" i="4"/>
  <c r="FA104" i="4"/>
  <c r="FB104" i="4"/>
  <c r="FC104" i="4"/>
  <c r="FD104" i="4"/>
  <c r="FE104" i="4"/>
  <c r="FF104" i="4"/>
  <c r="FG104" i="4"/>
  <c r="FH104" i="4"/>
  <c r="FI104" i="4"/>
  <c r="FJ104" i="4"/>
  <c r="FK104" i="4"/>
  <c r="FL104" i="4"/>
  <c r="FM104" i="4"/>
  <c r="FN104" i="4"/>
  <c r="FO104" i="4"/>
  <c r="FP104" i="4"/>
  <c r="FQ104" i="4"/>
  <c r="FR104" i="4"/>
  <c r="FS104" i="4"/>
  <c r="FT104" i="4"/>
  <c r="FU104" i="4"/>
  <c r="FV104" i="4"/>
  <c r="FW104" i="4"/>
  <c r="FX104" i="4"/>
  <c r="FY104" i="4"/>
  <c r="FZ104" i="4"/>
  <c r="GA104" i="4"/>
  <c r="GB104" i="4"/>
  <c r="GC104" i="4"/>
  <c r="GD104" i="4"/>
  <c r="GE104" i="4"/>
  <c r="GF104" i="4"/>
  <c r="GG104" i="4"/>
  <c r="GH104" i="4"/>
  <c r="GI104" i="4"/>
  <c r="GJ104" i="4"/>
  <c r="GK104" i="4"/>
  <c r="GL104" i="4"/>
  <c r="GM104" i="4"/>
  <c r="GN104" i="4"/>
  <c r="GO104" i="4"/>
  <c r="GP104" i="4"/>
  <c r="GQ104" i="4"/>
  <c r="GR104" i="4"/>
  <c r="GS104" i="4"/>
  <c r="GT104" i="4"/>
  <c r="GU104" i="4"/>
  <c r="GV104" i="4"/>
  <c r="GW104" i="4"/>
  <c r="GX104" i="4"/>
  <c r="GY104" i="4"/>
  <c r="GZ104" i="4"/>
  <c r="HA104" i="4"/>
  <c r="HB104" i="4"/>
  <c r="HC104" i="4"/>
  <c r="HD104" i="4"/>
  <c r="HE104" i="4"/>
  <c r="HF104" i="4"/>
  <c r="HG104" i="4"/>
  <c r="HH104" i="4"/>
  <c r="HI104" i="4"/>
  <c r="HJ104" i="4"/>
  <c r="HK104" i="4"/>
  <c r="HL104" i="4"/>
  <c r="HM104" i="4"/>
  <c r="HN104" i="4"/>
  <c r="HO104" i="4"/>
  <c r="HP104" i="4"/>
  <c r="HQ104" i="4"/>
  <c r="HR104" i="4"/>
  <c r="HS104" i="4"/>
  <c r="HT104" i="4"/>
  <c r="HU104" i="4"/>
  <c r="HV104" i="4"/>
  <c r="HW104" i="4"/>
  <c r="HX104" i="4"/>
  <c r="HY104" i="4"/>
  <c r="HZ104" i="4"/>
  <c r="IA104" i="4"/>
  <c r="IB104" i="4"/>
  <c r="IC104" i="4"/>
  <c r="ID104" i="4"/>
  <c r="IE104" i="4"/>
  <c r="IF104" i="4"/>
  <c r="IG104" i="4"/>
  <c r="IH104" i="4"/>
  <c r="II104" i="4"/>
  <c r="IJ104" i="4"/>
  <c r="IK104" i="4"/>
  <c r="IL104" i="4"/>
  <c r="IM104" i="4"/>
  <c r="IN104" i="4"/>
  <c r="IO104" i="4"/>
  <c r="IP104" i="4"/>
  <c r="IQ104" i="4"/>
  <c r="IR104" i="4"/>
  <c r="IS104" i="4"/>
  <c r="IT104" i="4"/>
  <c r="IU104" i="4"/>
  <c r="IV104" i="4"/>
  <c r="A103" i="4"/>
  <c r="B103" i="4"/>
  <c r="C103" i="4"/>
  <c r="D103" i="4"/>
  <c r="E103" i="4"/>
  <c r="F103" i="4"/>
  <c r="G103" i="4"/>
  <c r="H103" i="4"/>
  <c r="I103" i="4"/>
  <c r="J103" i="4"/>
  <c r="K103" i="4"/>
  <c r="L103" i="4"/>
  <c r="M103" i="4"/>
  <c r="N103" i="4"/>
  <c r="O103" i="4"/>
  <c r="P103" i="4"/>
  <c r="Q103" i="4"/>
  <c r="R103" i="4"/>
  <c r="S103" i="4"/>
  <c r="T103" i="4"/>
  <c r="U103" i="4"/>
  <c r="V103" i="4"/>
  <c r="W103" i="4"/>
  <c r="X103" i="4"/>
  <c r="Y103" i="4"/>
  <c r="Z103" i="4"/>
  <c r="AA103" i="4"/>
  <c r="AB103" i="4"/>
  <c r="AC103" i="4"/>
  <c r="AD103" i="4"/>
  <c r="AE103" i="4"/>
  <c r="AF103" i="4"/>
  <c r="AG103" i="4"/>
  <c r="AH103" i="4"/>
  <c r="AI103" i="4"/>
  <c r="AJ103" i="4"/>
  <c r="AK103" i="4"/>
  <c r="AL103" i="4"/>
  <c r="AM103" i="4"/>
  <c r="AN103" i="4"/>
  <c r="AO103" i="4"/>
  <c r="AP103" i="4"/>
  <c r="AQ103" i="4"/>
  <c r="AR103" i="4"/>
  <c r="AS103" i="4"/>
  <c r="AT103" i="4"/>
  <c r="AU103" i="4"/>
  <c r="AV103" i="4"/>
  <c r="AW103" i="4"/>
  <c r="AX103" i="4"/>
  <c r="AY103" i="4"/>
  <c r="AZ103" i="4"/>
  <c r="BA103" i="4"/>
  <c r="BB103" i="4"/>
  <c r="BC103" i="4"/>
  <c r="BD103" i="4"/>
  <c r="BE103" i="4"/>
  <c r="BF103" i="4"/>
  <c r="BG103" i="4"/>
  <c r="BH103" i="4"/>
  <c r="BI103" i="4"/>
  <c r="BJ103" i="4"/>
  <c r="BK103" i="4"/>
  <c r="BL103" i="4"/>
  <c r="BM103" i="4"/>
  <c r="BN103" i="4"/>
  <c r="BO103" i="4"/>
  <c r="BP103" i="4"/>
  <c r="BQ103" i="4"/>
  <c r="BR103" i="4"/>
  <c r="BS103" i="4"/>
  <c r="BT103" i="4"/>
  <c r="BU103" i="4"/>
  <c r="BV103" i="4"/>
  <c r="BW103" i="4"/>
  <c r="BX103" i="4"/>
  <c r="BY103" i="4"/>
  <c r="BZ103" i="4"/>
  <c r="CA103" i="4"/>
  <c r="CB103" i="4"/>
  <c r="CC103" i="4"/>
  <c r="CD103" i="4"/>
  <c r="CE103" i="4"/>
  <c r="CF103" i="4"/>
  <c r="CG103" i="4"/>
  <c r="CH103" i="4"/>
  <c r="CI103" i="4"/>
  <c r="CJ103" i="4"/>
  <c r="CK103" i="4"/>
  <c r="CL103" i="4"/>
  <c r="CM103" i="4"/>
  <c r="CN103" i="4"/>
  <c r="CO103" i="4"/>
  <c r="CP103" i="4"/>
  <c r="CQ103" i="4"/>
  <c r="CR103" i="4"/>
  <c r="CS103" i="4"/>
  <c r="CT103" i="4"/>
  <c r="CU103" i="4"/>
  <c r="CV103" i="4"/>
  <c r="CW103" i="4"/>
  <c r="CX103" i="4"/>
  <c r="CY103" i="4"/>
  <c r="CZ103" i="4"/>
  <c r="DA103" i="4"/>
  <c r="DB103" i="4"/>
  <c r="DC103" i="4"/>
  <c r="DD103" i="4"/>
  <c r="DE103" i="4"/>
  <c r="DF103" i="4"/>
  <c r="DG103" i="4"/>
  <c r="DH103" i="4"/>
  <c r="DI103" i="4"/>
  <c r="DJ103" i="4"/>
  <c r="DK103" i="4"/>
  <c r="DL103" i="4"/>
  <c r="DM103" i="4"/>
  <c r="DN103" i="4"/>
  <c r="DO103" i="4"/>
  <c r="DP103" i="4"/>
  <c r="DQ103" i="4"/>
  <c r="DR103" i="4"/>
  <c r="DS103" i="4"/>
  <c r="DT103" i="4"/>
  <c r="DU103" i="4"/>
  <c r="DV103" i="4"/>
  <c r="DW103" i="4"/>
  <c r="DX103" i="4"/>
  <c r="DY103" i="4"/>
  <c r="DZ103" i="4"/>
  <c r="EA103" i="4"/>
  <c r="EB103" i="4"/>
  <c r="EC103" i="4"/>
  <c r="ED103" i="4"/>
  <c r="EE103" i="4"/>
  <c r="EF103" i="4"/>
  <c r="EG103" i="4"/>
  <c r="EH103" i="4"/>
  <c r="EI103" i="4"/>
  <c r="EJ103" i="4"/>
  <c r="EK103" i="4"/>
  <c r="EL103" i="4"/>
  <c r="EM103" i="4"/>
  <c r="EN103" i="4"/>
  <c r="EO103" i="4"/>
  <c r="EP103" i="4"/>
  <c r="EQ103" i="4"/>
  <c r="ER103" i="4"/>
  <c r="ES103" i="4"/>
  <c r="ET103" i="4"/>
  <c r="EU103" i="4"/>
  <c r="EV103" i="4"/>
  <c r="EW103" i="4"/>
  <c r="EX103" i="4"/>
  <c r="EY103" i="4"/>
  <c r="EZ103" i="4"/>
  <c r="FA103" i="4"/>
  <c r="FB103" i="4"/>
  <c r="FC103" i="4"/>
  <c r="FD103" i="4"/>
  <c r="FE103" i="4"/>
  <c r="FF103" i="4"/>
  <c r="FG103" i="4"/>
  <c r="FH103" i="4"/>
  <c r="FI103" i="4"/>
  <c r="FJ103" i="4"/>
  <c r="FK103" i="4"/>
  <c r="FL103" i="4"/>
  <c r="FM103" i="4"/>
  <c r="FN103" i="4"/>
  <c r="FO103" i="4"/>
  <c r="FP103" i="4"/>
  <c r="FQ103" i="4"/>
  <c r="FR103" i="4"/>
  <c r="FS103" i="4"/>
  <c r="FT103" i="4"/>
  <c r="FU103" i="4"/>
  <c r="FV103" i="4"/>
  <c r="FW103" i="4"/>
  <c r="FX103" i="4"/>
  <c r="FY103" i="4"/>
  <c r="FZ103" i="4"/>
  <c r="GA103" i="4"/>
  <c r="GB103" i="4"/>
  <c r="GC103" i="4"/>
  <c r="GD103" i="4"/>
  <c r="GE103" i="4"/>
  <c r="GF103" i="4"/>
  <c r="GG103" i="4"/>
  <c r="GH103" i="4"/>
  <c r="GI103" i="4"/>
  <c r="GJ103" i="4"/>
  <c r="GK103" i="4"/>
  <c r="GL103" i="4"/>
  <c r="GM103" i="4"/>
  <c r="GN103" i="4"/>
  <c r="GO103" i="4"/>
  <c r="GP103" i="4"/>
  <c r="GQ103" i="4"/>
  <c r="GR103" i="4"/>
  <c r="GS103" i="4"/>
  <c r="GT103" i="4"/>
  <c r="GU103" i="4"/>
  <c r="GV103" i="4"/>
  <c r="GW103" i="4"/>
  <c r="GX103" i="4"/>
  <c r="GY103" i="4"/>
  <c r="GZ103" i="4"/>
  <c r="HA103" i="4"/>
  <c r="HB103" i="4"/>
  <c r="HC103" i="4"/>
  <c r="HD103" i="4"/>
  <c r="HE103" i="4"/>
  <c r="HF103" i="4"/>
  <c r="HG103" i="4"/>
  <c r="HH103" i="4"/>
  <c r="HI103" i="4"/>
  <c r="HJ103" i="4"/>
  <c r="HK103" i="4"/>
  <c r="HL103" i="4"/>
  <c r="HM103" i="4"/>
  <c r="HN103" i="4"/>
  <c r="HO103" i="4"/>
  <c r="HP103" i="4"/>
  <c r="HQ103" i="4"/>
  <c r="HR103" i="4"/>
  <c r="HS103" i="4"/>
  <c r="HT103" i="4"/>
  <c r="HU103" i="4"/>
  <c r="HV103" i="4"/>
  <c r="HW103" i="4"/>
  <c r="HX103" i="4"/>
  <c r="HY103" i="4"/>
  <c r="HZ103" i="4"/>
  <c r="IA103" i="4"/>
  <c r="IB103" i="4"/>
  <c r="IC103" i="4"/>
  <c r="ID103" i="4"/>
  <c r="IE103" i="4"/>
  <c r="IF103" i="4"/>
  <c r="IG103" i="4"/>
  <c r="IH103" i="4"/>
  <c r="II103" i="4"/>
  <c r="IJ103" i="4"/>
  <c r="IK103" i="4"/>
  <c r="IL103" i="4"/>
  <c r="IM103" i="4"/>
  <c r="IN103" i="4"/>
  <c r="IO103" i="4"/>
  <c r="IP103" i="4"/>
  <c r="IQ103" i="4"/>
  <c r="IR103" i="4"/>
  <c r="IS103" i="4"/>
  <c r="IT103" i="4"/>
  <c r="IU103" i="4"/>
  <c r="IV103" i="4"/>
  <c r="A102" i="4"/>
  <c r="B102" i="4"/>
  <c r="C102" i="4"/>
  <c r="D102" i="4"/>
  <c r="E102" i="4"/>
  <c r="F102" i="4"/>
  <c r="G102" i="4"/>
  <c r="H102" i="4"/>
  <c r="I102" i="4"/>
  <c r="J102" i="4"/>
  <c r="K102" i="4"/>
  <c r="L102" i="4"/>
  <c r="M102" i="4"/>
  <c r="N102" i="4"/>
  <c r="O102" i="4"/>
  <c r="P102" i="4"/>
  <c r="Q102" i="4"/>
  <c r="R102" i="4"/>
  <c r="S102" i="4"/>
  <c r="T102" i="4"/>
  <c r="U102" i="4"/>
  <c r="V102" i="4"/>
  <c r="W102" i="4"/>
  <c r="X102" i="4"/>
  <c r="Y102" i="4"/>
  <c r="Z102" i="4"/>
  <c r="AA102" i="4"/>
  <c r="AB102" i="4"/>
  <c r="AC102" i="4"/>
  <c r="AD102" i="4"/>
  <c r="AE102" i="4"/>
  <c r="AF102" i="4"/>
  <c r="AG102" i="4"/>
  <c r="AH102" i="4"/>
  <c r="AI102" i="4"/>
  <c r="AJ102" i="4"/>
  <c r="AK102" i="4"/>
  <c r="AL102" i="4"/>
  <c r="AM102" i="4"/>
  <c r="AN102" i="4"/>
  <c r="AO102" i="4"/>
  <c r="AP102" i="4"/>
  <c r="AQ102" i="4"/>
  <c r="AR102" i="4"/>
  <c r="AS102" i="4"/>
  <c r="AT102" i="4"/>
  <c r="AU102" i="4"/>
  <c r="AV102" i="4"/>
  <c r="AW102" i="4"/>
  <c r="AX102" i="4"/>
  <c r="AY102" i="4"/>
  <c r="AZ102" i="4"/>
  <c r="BA102" i="4"/>
  <c r="BB102" i="4"/>
  <c r="BC102" i="4"/>
  <c r="BD102" i="4"/>
  <c r="BE102" i="4"/>
  <c r="BF102" i="4"/>
  <c r="BG102" i="4"/>
  <c r="BH102" i="4"/>
  <c r="BI102" i="4"/>
  <c r="BJ102" i="4"/>
  <c r="BK102" i="4"/>
  <c r="BL102" i="4"/>
  <c r="BM102" i="4"/>
  <c r="BN102" i="4"/>
  <c r="BO102" i="4"/>
  <c r="BP102" i="4"/>
  <c r="BQ102" i="4"/>
  <c r="BR102" i="4"/>
  <c r="BS102" i="4"/>
  <c r="BT102" i="4"/>
  <c r="BU102" i="4"/>
  <c r="BV102" i="4"/>
  <c r="BW102" i="4"/>
  <c r="BX102" i="4"/>
  <c r="BY102" i="4"/>
  <c r="BZ102" i="4"/>
  <c r="CA102" i="4"/>
  <c r="CB102" i="4"/>
  <c r="CC102" i="4"/>
  <c r="CD102" i="4"/>
  <c r="CE102" i="4"/>
  <c r="CF102" i="4"/>
  <c r="CG102" i="4"/>
  <c r="CH102" i="4"/>
  <c r="CI102" i="4"/>
  <c r="CJ102" i="4"/>
  <c r="CK102" i="4"/>
  <c r="CL102" i="4"/>
  <c r="CM102" i="4"/>
  <c r="CN102" i="4"/>
  <c r="CO102" i="4"/>
  <c r="CP102" i="4"/>
  <c r="CQ102" i="4"/>
  <c r="CR102" i="4"/>
  <c r="CS102" i="4"/>
  <c r="CT102" i="4"/>
  <c r="CU102" i="4"/>
  <c r="CV102" i="4"/>
  <c r="CW102" i="4"/>
  <c r="CX102" i="4"/>
  <c r="CY102" i="4"/>
  <c r="CZ102" i="4"/>
  <c r="DA102" i="4"/>
  <c r="DB102" i="4"/>
  <c r="DC102" i="4"/>
  <c r="DD102" i="4"/>
  <c r="DE102" i="4"/>
  <c r="DF102" i="4"/>
  <c r="DG102" i="4"/>
  <c r="DH102" i="4"/>
  <c r="DI102" i="4"/>
  <c r="DJ102" i="4"/>
  <c r="DK102" i="4"/>
  <c r="DL102" i="4"/>
  <c r="DM102" i="4"/>
  <c r="DN102" i="4"/>
  <c r="DO102" i="4"/>
  <c r="DP102" i="4"/>
  <c r="DQ102" i="4"/>
  <c r="DR102" i="4"/>
  <c r="DS102" i="4"/>
  <c r="DT102" i="4"/>
  <c r="DU102" i="4"/>
  <c r="DV102" i="4"/>
  <c r="DW102" i="4"/>
  <c r="DX102" i="4"/>
  <c r="DY102" i="4"/>
  <c r="DZ102" i="4"/>
  <c r="EA102" i="4"/>
  <c r="EB102" i="4"/>
  <c r="EC102" i="4"/>
  <c r="ED102" i="4"/>
  <c r="EE102" i="4"/>
  <c r="EF102" i="4"/>
  <c r="EG102" i="4"/>
  <c r="EH102" i="4"/>
  <c r="EI102" i="4"/>
  <c r="EJ102" i="4"/>
  <c r="EK102" i="4"/>
  <c r="EL102" i="4"/>
  <c r="EM102" i="4"/>
  <c r="EN102" i="4"/>
  <c r="EO102" i="4"/>
  <c r="EP102" i="4"/>
  <c r="EQ102" i="4"/>
  <c r="ER102" i="4"/>
  <c r="ES102" i="4"/>
  <c r="ET102" i="4"/>
  <c r="EU102" i="4"/>
  <c r="EV102" i="4"/>
  <c r="EW102" i="4"/>
  <c r="EX102" i="4"/>
  <c r="EY102" i="4"/>
  <c r="EZ102" i="4"/>
  <c r="FA102" i="4"/>
  <c r="FB102" i="4"/>
  <c r="FC102" i="4"/>
  <c r="FD102" i="4"/>
  <c r="FE102" i="4"/>
  <c r="FF102" i="4"/>
  <c r="FG102" i="4"/>
  <c r="FH102" i="4"/>
  <c r="FI102" i="4"/>
  <c r="FJ102" i="4"/>
  <c r="FK102" i="4"/>
  <c r="FL102" i="4"/>
  <c r="FM102" i="4"/>
  <c r="FN102" i="4"/>
  <c r="FO102" i="4"/>
  <c r="FP102" i="4"/>
  <c r="FQ102" i="4"/>
  <c r="FR102" i="4"/>
  <c r="FS102" i="4"/>
  <c r="FT102" i="4"/>
  <c r="FU102" i="4"/>
  <c r="FV102" i="4"/>
  <c r="FW102" i="4"/>
  <c r="FX102" i="4"/>
  <c r="FY102" i="4"/>
  <c r="FZ102" i="4"/>
  <c r="GA102" i="4"/>
  <c r="GB102" i="4"/>
  <c r="GC102" i="4"/>
  <c r="GD102" i="4"/>
  <c r="GE102" i="4"/>
  <c r="GF102" i="4"/>
  <c r="GG102" i="4"/>
  <c r="GH102" i="4"/>
  <c r="GI102" i="4"/>
  <c r="GJ102" i="4"/>
  <c r="GK102" i="4"/>
  <c r="GL102" i="4"/>
  <c r="GM102" i="4"/>
  <c r="GN102" i="4"/>
  <c r="GO102" i="4"/>
  <c r="GP102" i="4"/>
  <c r="GQ102" i="4"/>
  <c r="GR102" i="4"/>
  <c r="GS102" i="4"/>
  <c r="GT102" i="4"/>
  <c r="GU102" i="4"/>
  <c r="GV102" i="4"/>
  <c r="GW102" i="4"/>
  <c r="GX102" i="4"/>
  <c r="GY102" i="4"/>
  <c r="GZ102" i="4"/>
  <c r="HA102" i="4"/>
  <c r="HB102" i="4"/>
  <c r="HC102" i="4"/>
  <c r="HD102" i="4"/>
  <c r="HE102" i="4"/>
  <c r="HF102" i="4"/>
  <c r="HG102" i="4"/>
  <c r="HH102" i="4"/>
  <c r="HI102" i="4"/>
  <c r="HJ102" i="4"/>
  <c r="HK102" i="4"/>
  <c r="HL102" i="4"/>
  <c r="HM102" i="4"/>
  <c r="HN102" i="4"/>
  <c r="HO102" i="4"/>
  <c r="HP102" i="4"/>
  <c r="HQ102" i="4"/>
  <c r="HR102" i="4"/>
  <c r="HS102" i="4"/>
  <c r="HT102" i="4"/>
  <c r="HU102" i="4"/>
  <c r="HV102" i="4"/>
  <c r="HW102" i="4"/>
  <c r="HX102" i="4"/>
  <c r="HY102" i="4"/>
  <c r="HZ102" i="4"/>
  <c r="IA102" i="4"/>
  <c r="IB102" i="4"/>
  <c r="IC102" i="4"/>
  <c r="ID102" i="4"/>
  <c r="IE102" i="4"/>
  <c r="IF102" i="4"/>
  <c r="IG102" i="4"/>
  <c r="IH102" i="4"/>
  <c r="II102" i="4"/>
  <c r="IJ102" i="4"/>
  <c r="IK102" i="4"/>
  <c r="IL102" i="4"/>
  <c r="IM102" i="4"/>
  <c r="IN102" i="4"/>
  <c r="IO102" i="4"/>
  <c r="IP102" i="4"/>
  <c r="IQ102" i="4"/>
  <c r="IR102" i="4"/>
  <c r="IS102" i="4"/>
  <c r="IT102" i="4"/>
  <c r="IU102" i="4"/>
  <c r="IV102" i="4"/>
  <c r="A101" i="4"/>
  <c r="B101" i="4"/>
  <c r="C101" i="4"/>
  <c r="D101" i="4"/>
  <c r="E101" i="4"/>
  <c r="F101" i="4"/>
  <c r="G101" i="4"/>
  <c r="H101" i="4"/>
  <c r="I101" i="4"/>
  <c r="J101" i="4"/>
  <c r="K101" i="4"/>
  <c r="L101" i="4"/>
  <c r="M101" i="4"/>
  <c r="N101" i="4"/>
  <c r="O101" i="4"/>
  <c r="P101" i="4"/>
  <c r="Q101" i="4"/>
  <c r="R101" i="4"/>
  <c r="S101" i="4"/>
  <c r="T101" i="4"/>
  <c r="U101" i="4"/>
  <c r="V101" i="4"/>
  <c r="W101" i="4"/>
  <c r="X101" i="4"/>
  <c r="Y101" i="4"/>
  <c r="Z101" i="4"/>
  <c r="AA101" i="4"/>
  <c r="AB101" i="4"/>
  <c r="AC101" i="4"/>
  <c r="AD101" i="4"/>
  <c r="AE101" i="4"/>
  <c r="AF101" i="4"/>
  <c r="AG101" i="4"/>
  <c r="AH101" i="4"/>
  <c r="AI101" i="4"/>
  <c r="AJ101" i="4"/>
  <c r="AK101" i="4"/>
  <c r="AL101" i="4"/>
  <c r="AM101" i="4"/>
  <c r="AN101" i="4"/>
  <c r="AO101" i="4"/>
  <c r="AP101" i="4"/>
  <c r="AQ101" i="4"/>
  <c r="AR101" i="4"/>
  <c r="AS101" i="4"/>
  <c r="AT101" i="4"/>
  <c r="AU101" i="4"/>
  <c r="AV101" i="4"/>
  <c r="AW101" i="4"/>
  <c r="AX101" i="4"/>
  <c r="AY101" i="4"/>
  <c r="AZ101" i="4"/>
  <c r="BA101" i="4"/>
  <c r="BB101" i="4"/>
  <c r="BC101" i="4"/>
  <c r="BD101" i="4"/>
  <c r="BE101" i="4"/>
  <c r="BF101" i="4"/>
  <c r="BG101" i="4"/>
  <c r="BH101" i="4"/>
  <c r="BI101" i="4"/>
  <c r="BJ101" i="4"/>
  <c r="BK101" i="4"/>
  <c r="BL101" i="4"/>
  <c r="BM101" i="4"/>
  <c r="BN101" i="4"/>
  <c r="BO101" i="4"/>
  <c r="BP101" i="4"/>
  <c r="BQ101" i="4"/>
  <c r="BR101" i="4"/>
  <c r="BS101" i="4"/>
  <c r="BT101" i="4"/>
  <c r="BU101" i="4"/>
  <c r="BV101" i="4"/>
  <c r="BW101" i="4"/>
  <c r="BX101" i="4"/>
  <c r="BY101" i="4"/>
  <c r="BZ101" i="4"/>
  <c r="CA101" i="4"/>
  <c r="CB101" i="4"/>
  <c r="CC101" i="4"/>
  <c r="CD101" i="4"/>
  <c r="CE101" i="4"/>
  <c r="CF101" i="4"/>
  <c r="CG101" i="4"/>
  <c r="CH101" i="4"/>
  <c r="CI101" i="4"/>
  <c r="CJ101" i="4"/>
  <c r="CK101" i="4"/>
  <c r="CL101" i="4"/>
  <c r="CM101" i="4"/>
  <c r="CN101" i="4"/>
  <c r="CO101" i="4"/>
  <c r="CP101" i="4"/>
  <c r="CQ101" i="4"/>
  <c r="CR101" i="4"/>
  <c r="CS101" i="4"/>
  <c r="CT101" i="4"/>
  <c r="CU101" i="4"/>
  <c r="CV101" i="4"/>
  <c r="CW101" i="4"/>
  <c r="CX101" i="4"/>
  <c r="CY101" i="4"/>
  <c r="CZ101" i="4"/>
  <c r="DA101" i="4"/>
  <c r="DB101" i="4"/>
  <c r="DC101" i="4"/>
  <c r="DD101" i="4"/>
  <c r="DE101" i="4"/>
  <c r="DF101" i="4"/>
  <c r="DG101" i="4"/>
  <c r="DH101" i="4"/>
  <c r="DI101" i="4"/>
  <c r="DJ101" i="4"/>
  <c r="DK101" i="4"/>
  <c r="DL101" i="4"/>
  <c r="DM101" i="4"/>
  <c r="DN101" i="4"/>
  <c r="DO101" i="4"/>
  <c r="DP101" i="4"/>
  <c r="DQ101" i="4"/>
  <c r="DR101" i="4"/>
  <c r="DS101" i="4"/>
  <c r="DT101" i="4"/>
  <c r="DU101" i="4"/>
  <c r="DV101" i="4"/>
  <c r="DW101" i="4"/>
  <c r="DX101" i="4"/>
  <c r="DY101" i="4"/>
  <c r="DZ101" i="4"/>
  <c r="EA101" i="4"/>
  <c r="EB101" i="4"/>
  <c r="EC101" i="4"/>
  <c r="ED101" i="4"/>
  <c r="EE101" i="4"/>
  <c r="EF101" i="4"/>
  <c r="EG101" i="4"/>
  <c r="EH101" i="4"/>
  <c r="EI101" i="4"/>
  <c r="EJ101" i="4"/>
  <c r="EK101" i="4"/>
  <c r="EL101" i="4"/>
  <c r="EM101" i="4"/>
  <c r="EN101" i="4"/>
  <c r="EO101" i="4"/>
  <c r="EP101" i="4"/>
  <c r="EQ101" i="4"/>
  <c r="ER101" i="4"/>
  <c r="ES101" i="4"/>
  <c r="ET101" i="4"/>
  <c r="EU101" i="4"/>
  <c r="EV101" i="4"/>
  <c r="EW101" i="4"/>
  <c r="EX101" i="4"/>
  <c r="EY101" i="4"/>
  <c r="EZ101" i="4"/>
  <c r="FA101" i="4"/>
  <c r="FB101" i="4"/>
  <c r="FC101" i="4"/>
  <c r="FD101" i="4"/>
  <c r="FE101" i="4"/>
  <c r="FF101" i="4"/>
  <c r="FG101" i="4"/>
  <c r="FH101" i="4"/>
  <c r="FI101" i="4"/>
  <c r="FJ101" i="4"/>
  <c r="FK101" i="4"/>
  <c r="FL101" i="4"/>
  <c r="FM101" i="4"/>
  <c r="FN101" i="4"/>
  <c r="FO101" i="4"/>
  <c r="FP101" i="4"/>
  <c r="FQ101" i="4"/>
  <c r="FR101" i="4"/>
  <c r="FS101" i="4"/>
  <c r="FT101" i="4"/>
  <c r="FU101" i="4"/>
  <c r="FV101" i="4"/>
  <c r="FW101" i="4"/>
  <c r="FX101" i="4"/>
  <c r="FY101" i="4"/>
  <c r="FZ101" i="4"/>
  <c r="GA101" i="4"/>
  <c r="GB101" i="4"/>
  <c r="GC101" i="4"/>
  <c r="GD101" i="4"/>
  <c r="GE101" i="4"/>
  <c r="GF101" i="4"/>
  <c r="GG101" i="4"/>
  <c r="GH101" i="4"/>
  <c r="GI101" i="4"/>
  <c r="GJ101" i="4"/>
  <c r="GK101" i="4"/>
  <c r="GL101" i="4"/>
  <c r="GM101" i="4"/>
  <c r="GN101" i="4"/>
  <c r="GO101" i="4"/>
  <c r="GP101" i="4"/>
  <c r="GQ101" i="4"/>
  <c r="GR101" i="4"/>
  <c r="GS101" i="4"/>
  <c r="GT101" i="4"/>
  <c r="GU101" i="4"/>
  <c r="GV101" i="4"/>
  <c r="GW101" i="4"/>
  <c r="GX101" i="4"/>
  <c r="GY101" i="4"/>
  <c r="GZ101" i="4"/>
  <c r="HA101" i="4"/>
  <c r="HB101" i="4"/>
  <c r="HC101" i="4"/>
  <c r="HD101" i="4"/>
  <c r="HE101" i="4"/>
  <c r="HF101" i="4"/>
  <c r="HG101" i="4"/>
  <c r="HH101" i="4"/>
  <c r="HI101" i="4"/>
  <c r="HJ101" i="4"/>
  <c r="HK101" i="4"/>
  <c r="HL101" i="4"/>
  <c r="HM101" i="4"/>
  <c r="HN101" i="4"/>
  <c r="HO101" i="4"/>
  <c r="HP101" i="4"/>
  <c r="HQ101" i="4"/>
  <c r="HR101" i="4"/>
  <c r="HS101" i="4"/>
  <c r="HT101" i="4"/>
  <c r="HU101" i="4"/>
  <c r="HV101" i="4"/>
  <c r="HW101" i="4"/>
  <c r="HX101" i="4"/>
  <c r="HY101" i="4"/>
  <c r="HZ101" i="4"/>
  <c r="IA101" i="4"/>
  <c r="IB101" i="4"/>
  <c r="IC101" i="4"/>
  <c r="ID101" i="4"/>
  <c r="IE101" i="4"/>
  <c r="IF101" i="4"/>
  <c r="IG101" i="4"/>
  <c r="IH101" i="4"/>
  <c r="II101" i="4"/>
  <c r="IJ101" i="4"/>
  <c r="IK101" i="4"/>
  <c r="IL101" i="4"/>
  <c r="IM101" i="4"/>
  <c r="IN101" i="4"/>
  <c r="IO101" i="4"/>
  <c r="IP101" i="4"/>
  <c r="IQ101" i="4"/>
  <c r="IR101" i="4"/>
  <c r="IS101" i="4"/>
  <c r="IT101" i="4"/>
  <c r="IU101" i="4"/>
  <c r="IV101" i="4"/>
  <c r="A100" i="4"/>
  <c r="B100" i="4"/>
  <c r="C100" i="4"/>
  <c r="D100" i="4"/>
  <c r="E100" i="4"/>
  <c r="F100" i="4"/>
  <c r="G100" i="4"/>
  <c r="H100" i="4"/>
  <c r="I100" i="4"/>
  <c r="J100" i="4"/>
  <c r="K100" i="4"/>
  <c r="L100" i="4"/>
  <c r="M100" i="4"/>
  <c r="N100" i="4"/>
  <c r="O100" i="4"/>
  <c r="P100" i="4"/>
  <c r="Q100" i="4"/>
  <c r="R100" i="4"/>
  <c r="S100" i="4"/>
  <c r="T100" i="4"/>
  <c r="U100" i="4"/>
  <c r="V100" i="4"/>
  <c r="W100" i="4"/>
  <c r="X100" i="4"/>
  <c r="Y100" i="4"/>
  <c r="Z100" i="4"/>
  <c r="AA100" i="4"/>
  <c r="AB100" i="4"/>
  <c r="AC100" i="4"/>
  <c r="AD100" i="4"/>
  <c r="AE100" i="4"/>
  <c r="AF100" i="4"/>
  <c r="AG100" i="4"/>
  <c r="AH100" i="4"/>
  <c r="AI100" i="4"/>
  <c r="AJ100" i="4"/>
  <c r="AK100" i="4"/>
  <c r="AL100" i="4"/>
  <c r="AM100" i="4"/>
  <c r="AN100" i="4"/>
  <c r="AO100" i="4"/>
  <c r="AP100" i="4"/>
  <c r="AR100" i="4"/>
  <c r="AS100" i="4"/>
  <c r="AT100" i="4"/>
  <c r="AU100" i="4"/>
  <c r="AV100" i="4"/>
  <c r="AW100" i="4"/>
  <c r="AX100" i="4"/>
  <c r="AY100" i="4"/>
  <c r="AZ100" i="4"/>
  <c r="BA100" i="4"/>
  <c r="BB100" i="4"/>
  <c r="BC100" i="4"/>
  <c r="BD100" i="4"/>
  <c r="BE100" i="4"/>
  <c r="BF100" i="4"/>
  <c r="BG100" i="4"/>
  <c r="BH100" i="4"/>
  <c r="BI100" i="4"/>
  <c r="BJ100" i="4"/>
  <c r="BK100" i="4"/>
  <c r="BL100" i="4"/>
  <c r="BM100" i="4"/>
  <c r="BN100" i="4"/>
  <c r="BO100" i="4"/>
  <c r="BP100" i="4"/>
  <c r="BQ100" i="4"/>
  <c r="BR100" i="4"/>
  <c r="BS100" i="4"/>
  <c r="BT100" i="4"/>
  <c r="BU100" i="4"/>
  <c r="BV100" i="4"/>
  <c r="BW100" i="4"/>
  <c r="BX100" i="4"/>
  <c r="BY100" i="4"/>
  <c r="BZ100" i="4"/>
  <c r="CA100" i="4"/>
  <c r="CB100" i="4"/>
  <c r="CC100" i="4"/>
  <c r="CD100" i="4"/>
  <c r="CE100" i="4"/>
  <c r="CF100" i="4"/>
  <c r="CG100" i="4"/>
  <c r="CH100" i="4"/>
  <c r="CI100" i="4"/>
  <c r="CJ100" i="4"/>
  <c r="CK100" i="4"/>
  <c r="CL100" i="4"/>
  <c r="CM100" i="4"/>
  <c r="CN100" i="4"/>
  <c r="CO100" i="4"/>
  <c r="CP100" i="4"/>
  <c r="CQ100" i="4"/>
  <c r="CR100" i="4"/>
  <c r="CS100" i="4"/>
  <c r="CT100" i="4"/>
  <c r="CU100" i="4"/>
  <c r="CV100" i="4"/>
  <c r="CW100" i="4"/>
  <c r="CX100" i="4"/>
  <c r="CY100" i="4"/>
  <c r="CZ100" i="4"/>
  <c r="DA100" i="4"/>
  <c r="DB100" i="4"/>
  <c r="DC100" i="4"/>
  <c r="DD100" i="4"/>
  <c r="DE100" i="4"/>
  <c r="DF100" i="4"/>
  <c r="DG100" i="4"/>
  <c r="DH100" i="4"/>
  <c r="DI100" i="4"/>
  <c r="DJ100" i="4"/>
  <c r="DK100" i="4"/>
  <c r="DL100" i="4"/>
  <c r="DM100" i="4"/>
  <c r="DN100" i="4"/>
  <c r="DO100" i="4"/>
  <c r="DP100" i="4"/>
  <c r="DQ100" i="4"/>
  <c r="DR100" i="4"/>
  <c r="DS100" i="4"/>
  <c r="DT100" i="4"/>
  <c r="DU100" i="4"/>
  <c r="DV100" i="4"/>
  <c r="DW100" i="4"/>
  <c r="DX100" i="4"/>
  <c r="DY100" i="4"/>
  <c r="DZ100" i="4"/>
  <c r="EA100" i="4"/>
  <c r="EB100" i="4"/>
  <c r="EC100" i="4"/>
  <c r="ED100" i="4"/>
  <c r="EE100" i="4"/>
  <c r="EF100" i="4"/>
  <c r="EG100" i="4"/>
  <c r="EH100" i="4"/>
  <c r="EI100" i="4"/>
  <c r="EJ100" i="4"/>
  <c r="EK100" i="4"/>
  <c r="EL100" i="4"/>
  <c r="EM100" i="4"/>
  <c r="EN100" i="4"/>
  <c r="EO100" i="4"/>
  <c r="EP100" i="4"/>
  <c r="EQ100" i="4"/>
  <c r="ER100" i="4"/>
  <c r="ES100" i="4"/>
  <c r="ET100" i="4"/>
  <c r="EU100" i="4"/>
  <c r="EV100" i="4"/>
  <c r="EW100" i="4"/>
  <c r="EX100" i="4"/>
  <c r="EY100" i="4"/>
  <c r="EZ100" i="4"/>
  <c r="FA100" i="4"/>
  <c r="FB100" i="4"/>
  <c r="FC100" i="4"/>
  <c r="FD100" i="4"/>
  <c r="FE100" i="4"/>
  <c r="FF100" i="4"/>
  <c r="FG100" i="4"/>
  <c r="FH100" i="4"/>
  <c r="FI100" i="4"/>
  <c r="FJ100" i="4"/>
  <c r="FK100" i="4"/>
  <c r="FL100" i="4"/>
  <c r="FM100" i="4"/>
  <c r="FN100" i="4"/>
  <c r="FO100" i="4"/>
  <c r="FP100" i="4"/>
  <c r="FQ100" i="4"/>
  <c r="FR100" i="4"/>
  <c r="FS100" i="4"/>
  <c r="FT100" i="4"/>
  <c r="FU100" i="4"/>
  <c r="FV100" i="4"/>
  <c r="FW100" i="4"/>
  <c r="FX100" i="4"/>
  <c r="FY100" i="4"/>
  <c r="FZ100" i="4"/>
  <c r="GA100" i="4"/>
  <c r="GB100" i="4"/>
  <c r="GC100" i="4"/>
  <c r="GD100" i="4"/>
  <c r="GE100" i="4"/>
  <c r="GF100" i="4"/>
  <c r="GG100" i="4"/>
  <c r="GH100" i="4"/>
  <c r="GI100" i="4"/>
  <c r="GJ100" i="4"/>
  <c r="GK100" i="4"/>
  <c r="GL100" i="4"/>
  <c r="GM100" i="4"/>
  <c r="GN100" i="4"/>
  <c r="GO100" i="4"/>
  <c r="GP100" i="4"/>
  <c r="GQ100" i="4"/>
  <c r="GR100" i="4"/>
  <c r="GS100" i="4"/>
  <c r="GT100" i="4"/>
  <c r="GU100" i="4"/>
  <c r="GV100" i="4"/>
  <c r="GW100" i="4"/>
  <c r="GX100" i="4"/>
  <c r="GY100" i="4"/>
  <c r="GZ100" i="4"/>
  <c r="HA100" i="4"/>
  <c r="HB100" i="4"/>
  <c r="HC100" i="4"/>
  <c r="HD100" i="4"/>
  <c r="HE100" i="4"/>
  <c r="HF100" i="4"/>
  <c r="HG100" i="4"/>
  <c r="HH100" i="4"/>
  <c r="HI100" i="4"/>
  <c r="HJ100" i="4"/>
  <c r="HK100" i="4"/>
  <c r="HL100" i="4"/>
  <c r="HM100" i="4"/>
  <c r="HN100" i="4"/>
  <c r="HO100" i="4"/>
  <c r="HP100" i="4"/>
  <c r="HQ100" i="4"/>
  <c r="HR100" i="4"/>
  <c r="HS100" i="4"/>
  <c r="HT100" i="4"/>
  <c r="HU100" i="4"/>
  <c r="HV100" i="4"/>
  <c r="HW100" i="4"/>
  <c r="HX100" i="4"/>
  <c r="HY100" i="4"/>
  <c r="HZ100" i="4"/>
  <c r="IA100" i="4"/>
  <c r="IB100" i="4"/>
  <c r="IC100" i="4"/>
  <c r="ID100" i="4"/>
  <c r="IE100" i="4"/>
  <c r="IF100" i="4"/>
  <c r="IG100" i="4"/>
  <c r="IH100" i="4"/>
  <c r="II100" i="4"/>
  <c r="IJ100" i="4"/>
  <c r="IK100" i="4"/>
  <c r="IL100" i="4"/>
  <c r="IM100" i="4"/>
  <c r="IN100" i="4"/>
  <c r="IO100" i="4"/>
  <c r="IP100" i="4"/>
  <c r="IQ100" i="4"/>
  <c r="IR100" i="4"/>
  <c r="IS100" i="4"/>
  <c r="IT100" i="4"/>
  <c r="IU100" i="4"/>
  <c r="IV100" i="4"/>
  <c r="A99" i="4"/>
  <c r="B99" i="4"/>
  <c r="C99" i="4"/>
  <c r="D99" i="4"/>
  <c r="E99" i="4"/>
  <c r="F99" i="4"/>
  <c r="G99" i="4"/>
  <c r="H99" i="4"/>
  <c r="I99" i="4"/>
  <c r="J99" i="4"/>
  <c r="K99" i="4"/>
  <c r="L99" i="4"/>
  <c r="M99" i="4"/>
  <c r="N99" i="4"/>
  <c r="O99" i="4"/>
  <c r="P99" i="4"/>
  <c r="Q99" i="4"/>
  <c r="R99" i="4"/>
  <c r="S99" i="4"/>
  <c r="T99" i="4"/>
  <c r="U99" i="4"/>
  <c r="V99" i="4"/>
  <c r="W99" i="4"/>
  <c r="X99" i="4"/>
  <c r="Y99" i="4"/>
  <c r="Z99" i="4"/>
  <c r="AA99" i="4"/>
  <c r="AB99" i="4"/>
  <c r="AC99" i="4"/>
  <c r="AD99" i="4"/>
  <c r="AE99" i="4"/>
  <c r="AF99" i="4"/>
  <c r="AG99" i="4"/>
  <c r="AH99" i="4"/>
  <c r="AI99" i="4"/>
  <c r="AJ99" i="4"/>
  <c r="AK99" i="4"/>
  <c r="AL99" i="4"/>
  <c r="AM99" i="4"/>
  <c r="AN99" i="4"/>
  <c r="AO99" i="4"/>
  <c r="AP99" i="4"/>
  <c r="AQ99" i="4"/>
  <c r="AS99" i="4"/>
  <c r="AT99" i="4"/>
  <c r="AU99" i="4"/>
  <c r="AV99" i="4"/>
  <c r="AW99" i="4"/>
  <c r="AX99" i="4"/>
  <c r="AY99" i="4"/>
  <c r="AZ99" i="4"/>
  <c r="BA99" i="4"/>
  <c r="BB99" i="4"/>
  <c r="BC99" i="4"/>
  <c r="BD99" i="4"/>
  <c r="BE99" i="4"/>
  <c r="BF99" i="4"/>
  <c r="BG99" i="4"/>
  <c r="BH99" i="4"/>
  <c r="BI99" i="4"/>
  <c r="BJ99" i="4"/>
  <c r="BK99" i="4"/>
  <c r="BL99" i="4"/>
  <c r="BM99" i="4"/>
  <c r="BN99" i="4"/>
  <c r="BO99" i="4"/>
  <c r="BP99" i="4"/>
  <c r="BQ99" i="4"/>
  <c r="BR99" i="4"/>
  <c r="BS99" i="4"/>
  <c r="BT99" i="4"/>
  <c r="BU99" i="4"/>
  <c r="BV99" i="4"/>
  <c r="BW99" i="4"/>
  <c r="BX99" i="4"/>
  <c r="BY99" i="4"/>
  <c r="BZ99" i="4"/>
  <c r="CA99" i="4"/>
  <c r="CB99" i="4"/>
  <c r="CC99" i="4"/>
  <c r="CD99" i="4"/>
  <c r="CE99" i="4"/>
  <c r="CF99" i="4"/>
  <c r="CG99" i="4"/>
  <c r="CH99" i="4"/>
  <c r="CI99" i="4"/>
  <c r="CJ99" i="4"/>
  <c r="CK99" i="4"/>
  <c r="CL99" i="4"/>
  <c r="CM99" i="4"/>
  <c r="CN99" i="4"/>
  <c r="CO99" i="4"/>
  <c r="CP99" i="4"/>
  <c r="CQ99" i="4"/>
  <c r="CR99" i="4"/>
  <c r="CS99" i="4"/>
  <c r="CT99" i="4"/>
  <c r="CU99" i="4"/>
  <c r="CV99" i="4"/>
  <c r="CW99" i="4"/>
  <c r="CX99" i="4"/>
  <c r="CY99" i="4"/>
  <c r="CZ99" i="4"/>
  <c r="DA99" i="4"/>
  <c r="DB99" i="4"/>
  <c r="DC99" i="4"/>
  <c r="DD99" i="4"/>
  <c r="DE99" i="4"/>
  <c r="DF99" i="4"/>
  <c r="DG99" i="4"/>
  <c r="DH99" i="4"/>
  <c r="DI99" i="4"/>
  <c r="DJ99" i="4"/>
  <c r="DK99" i="4"/>
  <c r="DL99" i="4"/>
  <c r="DM99" i="4"/>
  <c r="DN99" i="4"/>
  <c r="DO99" i="4"/>
  <c r="DP99" i="4"/>
  <c r="DQ99" i="4"/>
  <c r="DR99" i="4"/>
  <c r="DS99" i="4"/>
  <c r="DT99" i="4"/>
  <c r="DU99" i="4"/>
  <c r="DV99" i="4"/>
  <c r="DW99" i="4"/>
  <c r="DX99" i="4"/>
  <c r="DY99" i="4"/>
  <c r="DZ99" i="4"/>
  <c r="EA99" i="4"/>
  <c r="EB99" i="4"/>
  <c r="EC99" i="4"/>
  <c r="ED99" i="4"/>
  <c r="EE99" i="4"/>
  <c r="EF99" i="4"/>
  <c r="EG99" i="4"/>
  <c r="EH99" i="4"/>
  <c r="EI99" i="4"/>
  <c r="EJ99" i="4"/>
  <c r="EK99" i="4"/>
  <c r="EL99" i="4"/>
  <c r="EM99" i="4"/>
  <c r="EN99" i="4"/>
  <c r="EO99" i="4"/>
  <c r="EP99" i="4"/>
  <c r="EQ99" i="4"/>
  <c r="ER99" i="4"/>
  <c r="ES99" i="4"/>
  <c r="ET99" i="4"/>
  <c r="EU99" i="4"/>
  <c r="EV99" i="4"/>
  <c r="EW99" i="4"/>
  <c r="EX99" i="4"/>
  <c r="EY99" i="4"/>
  <c r="EZ99" i="4"/>
  <c r="FA99" i="4"/>
  <c r="FB99" i="4"/>
  <c r="FC99" i="4"/>
  <c r="FD99" i="4"/>
  <c r="FE99" i="4"/>
  <c r="FF99" i="4"/>
  <c r="FG99" i="4"/>
  <c r="FH99" i="4"/>
  <c r="FI99" i="4"/>
  <c r="FJ99" i="4"/>
  <c r="FK99" i="4"/>
  <c r="FL99" i="4"/>
  <c r="FM99" i="4"/>
  <c r="FN99" i="4"/>
  <c r="FO99" i="4"/>
  <c r="FP99" i="4"/>
  <c r="FQ99" i="4"/>
  <c r="FR99" i="4"/>
  <c r="FS99" i="4"/>
  <c r="FT99" i="4"/>
  <c r="FU99" i="4"/>
  <c r="FV99" i="4"/>
  <c r="FW99" i="4"/>
  <c r="FX99" i="4"/>
  <c r="FY99" i="4"/>
  <c r="FZ99" i="4"/>
  <c r="GA99" i="4"/>
  <c r="GB99" i="4"/>
  <c r="GC99" i="4"/>
  <c r="GD99" i="4"/>
  <c r="GE99" i="4"/>
  <c r="GF99" i="4"/>
  <c r="GG99" i="4"/>
  <c r="GH99" i="4"/>
  <c r="GI99" i="4"/>
  <c r="GJ99" i="4"/>
  <c r="GK99" i="4"/>
  <c r="GL99" i="4"/>
  <c r="GM99" i="4"/>
  <c r="GN99" i="4"/>
  <c r="GO99" i="4"/>
  <c r="GP99" i="4"/>
  <c r="GQ99" i="4"/>
  <c r="GR99" i="4"/>
  <c r="GS99" i="4"/>
  <c r="GT99" i="4"/>
  <c r="GU99" i="4"/>
  <c r="GV99" i="4"/>
  <c r="GW99" i="4"/>
  <c r="GX99" i="4"/>
  <c r="GY99" i="4"/>
  <c r="GZ99" i="4"/>
  <c r="HA99" i="4"/>
  <c r="HB99" i="4"/>
  <c r="HC99" i="4"/>
  <c r="HD99" i="4"/>
  <c r="HE99" i="4"/>
  <c r="HF99" i="4"/>
  <c r="HG99" i="4"/>
  <c r="HH99" i="4"/>
  <c r="HI99" i="4"/>
  <c r="HJ99" i="4"/>
  <c r="HK99" i="4"/>
  <c r="HL99" i="4"/>
  <c r="HM99" i="4"/>
  <c r="HN99" i="4"/>
  <c r="HO99" i="4"/>
  <c r="HP99" i="4"/>
  <c r="HQ99" i="4"/>
  <c r="HR99" i="4"/>
  <c r="HS99" i="4"/>
  <c r="HT99" i="4"/>
  <c r="HU99" i="4"/>
  <c r="HV99" i="4"/>
  <c r="HW99" i="4"/>
  <c r="HX99" i="4"/>
  <c r="HY99" i="4"/>
  <c r="HZ99" i="4"/>
  <c r="IA99" i="4"/>
  <c r="IB99" i="4"/>
  <c r="IC99" i="4"/>
  <c r="ID99" i="4"/>
  <c r="IE99" i="4"/>
  <c r="IF99" i="4"/>
  <c r="IG99" i="4"/>
  <c r="IH99" i="4"/>
  <c r="II99" i="4"/>
  <c r="IJ99" i="4"/>
  <c r="IK99" i="4"/>
  <c r="IL99" i="4"/>
  <c r="IM99" i="4"/>
  <c r="IN99" i="4"/>
  <c r="IO99" i="4"/>
  <c r="IP99" i="4"/>
  <c r="IQ99" i="4"/>
  <c r="IR99" i="4"/>
  <c r="IS99" i="4"/>
  <c r="IT99" i="4"/>
  <c r="IU99" i="4"/>
  <c r="IV99" i="4"/>
  <c r="A98" i="4"/>
  <c r="B98" i="4"/>
  <c r="C98" i="4"/>
  <c r="D98" i="4"/>
  <c r="E98" i="4"/>
  <c r="F98" i="4"/>
  <c r="G98" i="4"/>
  <c r="H98" i="4"/>
  <c r="I98" i="4"/>
  <c r="J98" i="4"/>
  <c r="K98" i="4"/>
  <c r="L98" i="4"/>
  <c r="M98" i="4"/>
  <c r="N98" i="4"/>
  <c r="O98" i="4"/>
  <c r="P98" i="4"/>
  <c r="Q98" i="4"/>
  <c r="R98" i="4"/>
  <c r="S98" i="4"/>
  <c r="T98" i="4"/>
  <c r="U98" i="4"/>
  <c r="V98" i="4"/>
  <c r="W98" i="4"/>
  <c r="X98" i="4"/>
  <c r="Y98" i="4"/>
  <c r="Z98" i="4"/>
  <c r="AA98" i="4"/>
  <c r="AB98" i="4"/>
  <c r="AC98" i="4"/>
  <c r="AD98" i="4"/>
  <c r="AE98" i="4"/>
  <c r="AF98" i="4"/>
  <c r="AG98" i="4"/>
  <c r="AH98" i="4"/>
  <c r="AI98" i="4"/>
  <c r="AJ98" i="4"/>
  <c r="AK98" i="4"/>
  <c r="AL98" i="4"/>
  <c r="AM98" i="4"/>
  <c r="AN98" i="4"/>
  <c r="AO98" i="4"/>
  <c r="AP98" i="4"/>
  <c r="AQ98" i="4"/>
  <c r="AR98" i="4"/>
  <c r="AS98" i="4"/>
  <c r="AT98" i="4"/>
  <c r="AU98" i="4"/>
  <c r="AV98" i="4"/>
  <c r="AW98" i="4"/>
  <c r="AX98" i="4"/>
  <c r="AY98" i="4"/>
  <c r="AZ98" i="4"/>
  <c r="BA98" i="4"/>
  <c r="BB98" i="4"/>
  <c r="BC98" i="4"/>
  <c r="BD98" i="4"/>
  <c r="BE98" i="4"/>
  <c r="BF98" i="4"/>
  <c r="BG98" i="4"/>
  <c r="BH98" i="4"/>
  <c r="BI98" i="4"/>
  <c r="BJ98" i="4"/>
  <c r="BK98" i="4"/>
  <c r="BL98" i="4"/>
  <c r="BM98" i="4"/>
  <c r="BN98" i="4"/>
  <c r="BO98" i="4"/>
  <c r="BP98" i="4"/>
  <c r="BQ98" i="4"/>
  <c r="BR98" i="4"/>
  <c r="BS98" i="4"/>
  <c r="BT98" i="4"/>
  <c r="BU98" i="4"/>
  <c r="BV98" i="4"/>
  <c r="BW98" i="4"/>
  <c r="BX98" i="4"/>
  <c r="BY98" i="4"/>
  <c r="BZ98" i="4"/>
  <c r="CA98" i="4"/>
  <c r="CB98" i="4"/>
  <c r="CC98" i="4"/>
  <c r="CD98" i="4"/>
  <c r="CE98" i="4"/>
  <c r="CF98" i="4"/>
  <c r="CG98" i="4"/>
  <c r="CH98" i="4"/>
  <c r="CI98" i="4"/>
  <c r="CJ98" i="4"/>
  <c r="CK98" i="4"/>
  <c r="CL98" i="4"/>
  <c r="CM98" i="4"/>
  <c r="CN98" i="4"/>
  <c r="CO98" i="4"/>
  <c r="CP98" i="4"/>
  <c r="CQ98" i="4"/>
  <c r="CR98" i="4"/>
  <c r="CS98" i="4"/>
  <c r="CT98" i="4"/>
  <c r="CU98" i="4"/>
  <c r="CV98" i="4"/>
  <c r="CW98" i="4"/>
  <c r="CX98" i="4"/>
  <c r="CY98" i="4"/>
  <c r="CZ98" i="4"/>
  <c r="DA98" i="4"/>
  <c r="DB98" i="4"/>
  <c r="DC98" i="4"/>
  <c r="DD98" i="4"/>
  <c r="DE98" i="4"/>
  <c r="DF98" i="4"/>
  <c r="DG98" i="4"/>
  <c r="DH98" i="4"/>
  <c r="DI98" i="4"/>
  <c r="DJ98" i="4"/>
  <c r="DK98" i="4"/>
  <c r="DL98" i="4"/>
  <c r="DM98" i="4"/>
  <c r="DN98" i="4"/>
  <c r="DO98" i="4"/>
  <c r="DP98" i="4"/>
  <c r="DQ98" i="4"/>
  <c r="DR98" i="4"/>
  <c r="DS98" i="4"/>
  <c r="DT98" i="4"/>
  <c r="DU98" i="4"/>
  <c r="DV98" i="4"/>
  <c r="DW98" i="4"/>
  <c r="DX98" i="4"/>
  <c r="DY98" i="4"/>
  <c r="DZ98" i="4"/>
  <c r="EA98" i="4"/>
  <c r="EB98" i="4"/>
  <c r="EC98" i="4"/>
  <c r="ED98" i="4"/>
  <c r="EE98" i="4"/>
  <c r="EF98" i="4"/>
  <c r="EG98" i="4"/>
  <c r="EH98" i="4"/>
  <c r="EI98" i="4"/>
  <c r="EJ98" i="4"/>
  <c r="EK98" i="4"/>
  <c r="EL98" i="4"/>
  <c r="EM98" i="4"/>
  <c r="EN98" i="4"/>
  <c r="EO98" i="4"/>
  <c r="EP98" i="4"/>
  <c r="EQ98" i="4"/>
  <c r="ER98" i="4"/>
  <c r="ES98" i="4"/>
  <c r="ET98" i="4"/>
  <c r="EU98" i="4"/>
  <c r="EV98" i="4"/>
  <c r="EW98" i="4"/>
  <c r="EX98" i="4"/>
  <c r="EY98" i="4"/>
  <c r="EZ98" i="4"/>
  <c r="FA98" i="4"/>
  <c r="FB98" i="4"/>
  <c r="FC98" i="4"/>
  <c r="FD98" i="4"/>
  <c r="FE98" i="4"/>
  <c r="FF98" i="4"/>
  <c r="FG98" i="4"/>
  <c r="FH98" i="4"/>
  <c r="FI98" i="4"/>
  <c r="FJ98" i="4"/>
  <c r="FK98" i="4"/>
  <c r="FL98" i="4"/>
  <c r="FM98" i="4"/>
  <c r="FN98" i="4"/>
  <c r="FO98" i="4"/>
  <c r="FP98" i="4"/>
  <c r="FQ98" i="4"/>
  <c r="FR98" i="4"/>
  <c r="FS98" i="4"/>
  <c r="FT98" i="4"/>
  <c r="FU98" i="4"/>
  <c r="FV98" i="4"/>
  <c r="FW98" i="4"/>
  <c r="FX98" i="4"/>
  <c r="FY98" i="4"/>
  <c r="FZ98" i="4"/>
  <c r="GA98" i="4"/>
  <c r="GB98" i="4"/>
  <c r="GC98" i="4"/>
  <c r="GD98" i="4"/>
  <c r="GE98" i="4"/>
  <c r="GF98" i="4"/>
  <c r="GG98" i="4"/>
  <c r="GH98" i="4"/>
  <c r="GI98" i="4"/>
  <c r="GJ98" i="4"/>
  <c r="GK98" i="4"/>
  <c r="GL98" i="4"/>
  <c r="GM98" i="4"/>
  <c r="GN98" i="4"/>
  <c r="GO98" i="4"/>
  <c r="GP98" i="4"/>
  <c r="GQ98" i="4"/>
  <c r="GR98" i="4"/>
  <c r="GS98" i="4"/>
  <c r="GT98" i="4"/>
  <c r="GU98" i="4"/>
  <c r="GV98" i="4"/>
  <c r="GW98" i="4"/>
  <c r="GX98" i="4"/>
  <c r="GY98" i="4"/>
  <c r="GZ98" i="4"/>
  <c r="HA98" i="4"/>
  <c r="HB98" i="4"/>
  <c r="HC98" i="4"/>
  <c r="HD98" i="4"/>
  <c r="HE98" i="4"/>
  <c r="HF98" i="4"/>
  <c r="HG98" i="4"/>
  <c r="HH98" i="4"/>
  <c r="HI98" i="4"/>
  <c r="HJ98" i="4"/>
  <c r="HK98" i="4"/>
  <c r="HL98" i="4"/>
  <c r="HM98" i="4"/>
  <c r="HN98" i="4"/>
  <c r="HO98" i="4"/>
  <c r="HP98" i="4"/>
  <c r="HQ98" i="4"/>
  <c r="HR98" i="4"/>
  <c r="HS98" i="4"/>
  <c r="HT98" i="4"/>
  <c r="HU98" i="4"/>
  <c r="HV98" i="4"/>
  <c r="HW98" i="4"/>
  <c r="HX98" i="4"/>
  <c r="HY98" i="4"/>
  <c r="HZ98" i="4"/>
  <c r="IA98" i="4"/>
  <c r="IB98" i="4"/>
  <c r="IC98" i="4"/>
  <c r="ID98" i="4"/>
  <c r="IE98" i="4"/>
  <c r="IF98" i="4"/>
  <c r="IG98" i="4"/>
  <c r="IH98" i="4"/>
  <c r="II98" i="4"/>
  <c r="IJ98" i="4"/>
  <c r="IK98" i="4"/>
  <c r="IL98" i="4"/>
  <c r="IM98" i="4"/>
  <c r="IN98" i="4"/>
  <c r="IO98" i="4"/>
  <c r="IP98" i="4"/>
  <c r="IQ98" i="4"/>
  <c r="IR98" i="4"/>
  <c r="IS98" i="4"/>
  <c r="IT98" i="4"/>
  <c r="IU98" i="4"/>
  <c r="IV98" i="4"/>
  <c r="A97" i="4"/>
  <c r="B97" i="4"/>
  <c r="C97" i="4"/>
  <c r="D97" i="4"/>
  <c r="E97" i="4"/>
  <c r="F97" i="4"/>
  <c r="G97" i="4"/>
  <c r="H97" i="4"/>
  <c r="I97" i="4"/>
  <c r="J97" i="4"/>
  <c r="K97" i="4"/>
  <c r="L97" i="4"/>
  <c r="M97" i="4"/>
  <c r="N97" i="4"/>
  <c r="O97" i="4"/>
  <c r="P97" i="4"/>
  <c r="Q97" i="4"/>
  <c r="R97" i="4"/>
  <c r="S97" i="4"/>
  <c r="T97" i="4"/>
  <c r="U97" i="4"/>
  <c r="V97" i="4"/>
  <c r="W97" i="4"/>
  <c r="X97" i="4"/>
  <c r="Y97" i="4"/>
  <c r="Z97" i="4"/>
  <c r="AA97" i="4"/>
  <c r="AB97" i="4"/>
  <c r="AC97" i="4"/>
  <c r="AD97" i="4"/>
  <c r="AE97" i="4"/>
  <c r="AF97" i="4"/>
  <c r="AG97" i="4"/>
  <c r="AH97" i="4"/>
  <c r="AI97" i="4"/>
  <c r="AJ97" i="4"/>
  <c r="AK97" i="4"/>
  <c r="AL97" i="4"/>
  <c r="AM97" i="4"/>
  <c r="AN97" i="4"/>
  <c r="AO97" i="4"/>
  <c r="AP97" i="4"/>
  <c r="AQ97" i="4"/>
  <c r="AR97" i="4"/>
  <c r="AS97" i="4"/>
  <c r="AT97" i="4"/>
  <c r="AU97" i="4"/>
  <c r="AV97" i="4"/>
  <c r="AW97" i="4"/>
  <c r="AX97" i="4"/>
  <c r="AY97" i="4"/>
  <c r="AZ97" i="4"/>
  <c r="BA97" i="4"/>
  <c r="BB97" i="4"/>
  <c r="BC97" i="4"/>
  <c r="BD97" i="4"/>
  <c r="BE97" i="4"/>
  <c r="BF97" i="4"/>
  <c r="BG97" i="4"/>
  <c r="BH97" i="4"/>
  <c r="BI97" i="4"/>
  <c r="BJ97" i="4"/>
  <c r="BK97" i="4"/>
  <c r="BL97" i="4"/>
  <c r="BM97" i="4"/>
  <c r="BN97" i="4"/>
  <c r="BO97" i="4"/>
  <c r="BP97" i="4"/>
  <c r="BQ97" i="4"/>
  <c r="BR97" i="4"/>
  <c r="BS97" i="4"/>
  <c r="BT97" i="4"/>
  <c r="BU97" i="4"/>
  <c r="BV97" i="4"/>
  <c r="BW97" i="4"/>
  <c r="BX97" i="4"/>
  <c r="BY97" i="4"/>
  <c r="BZ97" i="4"/>
  <c r="CA97" i="4"/>
  <c r="CB97" i="4"/>
  <c r="CC97" i="4"/>
  <c r="CD97" i="4"/>
  <c r="CE97" i="4"/>
  <c r="CF97" i="4"/>
  <c r="CG97" i="4"/>
  <c r="CH97" i="4"/>
  <c r="CI97" i="4"/>
  <c r="CJ97" i="4"/>
  <c r="CK97" i="4"/>
  <c r="CL97" i="4"/>
  <c r="CM97" i="4"/>
  <c r="CN97" i="4"/>
  <c r="CO97" i="4"/>
  <c r="CP97" i="4"/>
  <c r="CQ97" i="4"/>
  <c r="CR97" i="4"/>
  <c r="CS97" i="4"/>
  <c r="CT97" i="4"/>
  <c r="CU97" i="4"/>
  <c r="CV97" i="4"/>
  <c r="CW97" i="4"/>
  <c r="CX97" i="4"/>
  <c r="CY97" i="4"/>
  <c r="CZ97" i="4"/>
  <c r="DA97" i="4"/>
  <c r="DB97" i="4"/>
  <c r="DC97" i="4"/>
  <c r="DD97" i="4"/>
  <c r="DE97" i="4"/>
  <c r="DF97" i="4"/>
  <c r="DG97" i="4"/>
  <c r="DH97" i="4"/>
  <c r="DI97" i="4"/>
  <c r="DJ97" i="4"/>
  <c r="DK97" i="4"/>
  <c r="DL97" i="4"/>
  <c r="DM97" i="4"/>
  <c r="DN97" i="4"/>
  <c r="DO97" i="4"/>
  <c r="DP97" i="4"/>
  <c r="DQ97" i="4"/>
  <c r="DR97" i="4"/>
  <c r="DS97" i="4"/>
  <c r="DT97" i="4"/>
  <c r="DU97" i="4"/>
  <c r="DV97" i="4"/>
  <c r="DW97" i="4"/>
  <c r="DX97" i="4"/>
  <c r="DY97" i="4"/>
  <c r="DZ97" i="4"/>
  <c r="EA97" i="4"/>
  <c r="EB97" i="4"/>
  <c r="EC97" i="4"/>
  <c r="ED97" i="4"/>
  <c r="EE97" i="4"/>
  <c r="EF97" i="4"/>
  <c r="EG97" i="4"/>
  <c r="EH97" i="4"/>
  <c r="EI97" i="4"/>
  <c r="EJ97" i="4"/>
  <c r="EK97" i="4"/>
  <c r="EL97" i="4"/>
  <c r="EM97" i="4"/>
  <c r="EN97" i="4"/>
  <c r="EO97" i="4"/>
  <c r="EP97" i="4"/>
  <c r="EQ97" i="4"/>
  <c r="ER97" i="4"/>
  <c r="ES97" i="4"/>
  <c r="ET97" i="4"/>
  <c r="EU97" i="4"/>
  <c r="EV97" i="4"/>
  <c r="EW97" i="4"/>
  <c r="EX97" i="4"/>
  <c r="EY97" i="4"/>
  <c r="EZ97" i="4"/>
  <c r="FA97" i="4"/>
  <c r="FB97" i="4"/>
  <c r="FC97" i="4"/>
  <c r="FD97" i="4"/>
  <c r="FE97" i="4"/>
  <c r="FF97" i="4"/>
  <c r="FG97" i="4"/>
  <c r="FH97" i="4"/>
  <c r="FI97" i="4"/>
  <c r="FJ97" i="4"/>
  <c r="FK97" i="4"/>
  <c r="FL97" i="4"/>
  <c r="FM97" i="4"/>
  <c r="FN97" i="4"/>
  <c r="FO97" i="4"/>
  <c r="FP97" i="4"/>
  <c r="FQ97" i="4"/>
  <c r="FR97" i="4"/>
  <c r="FS97" i="4"/>
  <c r="FT97" i="4"/>
  <c r="FU97" i="4"/>
  <c r="FV97" i="4"/>
  <c r="FW97" i="4"/>
  <c r="FX97" i="4"/>
  <c r="FY97" i="4"/>
  <c r="FZ97" i="4"/>
  <c r="GA97" i="4"/>
  <c r="GB97" i="4"/>
  <c r="GC97" i="4"/>
  <c r="GD97" i="4"/>
  <c r="GE97" i="4"/>
  <c r="GF97" i="4"/>
  <c r="GG97" i="4"/>
  <c r="GH97" i="4"/>
  <c r="GI97" i="4"/>
  <c r="GJ97" i="4"/>
  <c r="GK97" i="4"/>
  <c r="GL97" i="4"/>
  <c r="GM97" i="4"/>
  <c r="GN97" i="4"/>
  <c r="GO97" i="4"/>
  <c r="GP97" i="4"/>
  <c r="GQ97" i="4"/>
  <c r="GR97" i="4"/>
  <c r="GS97" i="4"/>
  <c r="GT97" i="4"/>
  <c r="GU97" i="4"/>
  <c r="GV97" i="4"/>
  <c r="GW97" i="4"/>
  <c r="GX97" i="4"/>
  <c r="GY97" i="4"/>
  <c r="GZ97" i="4"/>
  <c r="HA97" i="4"/>
  <c r="HB97" i="4"/>
  <c r="HC97" i="4"/>
  <c r="HD97" i="4"/>
  <c r="HE97" i="4"/>
  <c r="HF97" i="4"/>
  <c r="HG97" i="4"/>
  <c r="HH97" i="4"/>
  <c r="HI97" i="4"/>
  <c r="HJ97" i="4"/>
  <c r="HK97" i="4"/>
  <c r="HL97" i="4"/>
  <c r="HM97" i="4"/>
  <c r="HN97" i="4"/>
  <c r="HO97" i="4"/>
  <c r="HP97" i="4"/>
  <c r="HQ97" i="4"/>
  <c r="HR97" i="4"/>
  <c r="HS97" i="4"/>
  <c r="HT97" i="4"/>
  <c r="HU97" i="4"/>
  <c r="HV97" i="4"/>
  <c r="HW97" i="4"/>
  <c r="HX97" i="4"/>
  <c r="HY97" i="4"/>
  <c r="HZ97" i="4"/>
  <c r="IA97" i="4"/>
  <c r="IB97" i="4"/>
  <c r="IC97" i="4"/>
  <c r="ID97" i="4"/>
  <c r="IE97" i="4"/>
  <c r="IF97" i="4"/>
  <c r="IG97" i="4"/>
  <c r="IH97" i="4"/>
  <c r="II97" i="4"/>
  <c r="IJ97" i="4"/>
  <c r="IK97" i="4"/>
  <c r="IL97" i="4"/>
  <c r="IM97" i="4"/>
  <c r="IN97" i="4"/>
  <c r="IO97" i="4"/>
  <c r="IP97" i="4"/>
  <c r="IQ97" i="4"/>
  <c r="IR97" i="4"/>
  <c r="IS97" i="4"/>
  <c r="IT97" i="4"/>
  <c r="IU97" i="4"/>
  <c r="IV97" i="4"/>
  <c r="A96" i="4"/>
  <c r="B96" i="4"/>
  <c r="C96" i="4"/>
  <c r="D96" i="4"/>
  <c r="E96" i="4"/>
  <c r="F96" i="4"/>
  <c r="G96" i="4"/>
  <c r="H96" i="4"/>
  <c r="I96" i="4"/>
  <c r="J96" i="4"/>
  <c r="K96" i="4"/>
  <c r="L96" i="4"/>
  <c r="M96" i="4"/>
  <c r="N96" i="4"/>
  <c r="O96" i="4"/>
  <c r="P96" i="4"/>
  <c r="Q96" i="4"/>
  <c r="R96" i="4"/>
  <c r="S96" i="4"/>
  <c r="T96" i="4"/>
  <c r="U96" i="4"/>
  <c r="V96" i="4"/>
  <c r="W96" i="4"/>
  <c r="X96" i="4"/>
  <c r="Y96" i="4"/>
  <c r="Z96" i="4"/>
  <c r="AA96" i="4"/>
  <c r="AB96" i="4"/>
  <c r="AC96" i="4"/>
  <c r="AD96" i="4"/>
  <c r="AE96" i="4"/>
  <c r="AF96" i="4"/>
  <c r="AG96" i="4"/>
  <c r="AH96" i="4"/>
  <c r="AI96" i="4"/>
  <c r="AJ96" i="4"/>
  <c r="AK96" i="4"/>
  <c r="AL96" i="4"/>
  <c r="AM96" i="4"/>
  <c r="AN96" i="4"/>
  <c r="AO96" i="4"/>
  <c r="AP96" i="4"/>
  <c r="AQ96" i="4"/>
  <c r="AR96" i="4"/>
  <c r="AS96" i="4"/>
  <c r="AT96" i="4"/>
  <c r="AV96" i="4"/>
  <c r="AW96" i="4"/>
  <c r="AX96" i="4"/>
  <c r="AY96" i="4"/>
  <c r="AZ96" i="4"/>
  <c r="BA96" i="4"/>
  <c r="BB96" i="4"/>
  <c r="BC96" i="4"/>
  <c r="BD96" i="4"/>
  <c r="BE96" i="4"/>
  <c r="BF96" i="4"/>
  <c r="BG96" i="4"/>
  <c r="BH96" i="4"/>
  <c r="BI96" i="4"/>
  <c r="BJ96" i="4"/>
  <c r="BK96" i="4"/>
  <c r="BL96" i="4"/>
  <c r="BM96" i="4"/>
  <c r="BN96" i="4"/>
  <c r="BO96" i="4"/>
  <c r="BP96" i="4"/>
  <c r="BQ96" i="4"/>
  <c r="BR96" i="4"/>
  <c r="BS96" i="4"/>
  <c r="BT96" i="4"/>
  <c r="BU96" i="4"/>
  <c r="BV96" i="4"/>
  <c r="BW96" i="4"/>
  <c r="BX96" i="4"/>
  <c r="BY96" i="4"/>
  <c r="BZ96" i="4"/>
  <c r="CA96" i="4"/>
  <c r="CB96" i="4"/>
  <c r="CC96" i="4"/>
  <c r="CD96" i="4"/>
  <c r="CE96" i="4"/>
  <c r="CF96" i="4"/>
  <c r="CG96" i="4"/>
  <c r="CH96" i="4"/>
  <c r="CI96" i="4"/>
  <c r="CJ96" i="4"/>
  <c r="CK96" i="4"/>
  <c r="CL96" i="4"/>
  <c r="CM96" i="4"/>
  <c r="CN96" i="4"/>
  <c r="CO96" i="4"/>
  <c r="CP96" i="4"/>
  <c r="CQ96" i="4"/>
  <c r="CR96" i="4"/>
  <c r="CS96" i="4"/>
  <c r="CT96" i="4"/>
  <c r="CU96" i="4"/>
  <c r="CV96" i="4"/>
  <c r="CW96" i="4"/>
  <c r="CX96" i="4"/>
  <c r="CY96" i="4"/>
  <c r="CZ96" i="4"/>
  <c r="DA96" i="4"/>
  <c r="DB96" i="4"/>
  <c r="DC96" i="4"/>
  <c r="DD96" i="4"/>
  <c r="DE96" i="4"/>
  <c r="DF96" i="4"/>
  <c r="DG96" i="4"/>
  <c r="DH96" i="4"/>
  <c r="DI96" i="4"/>
  <c r="DJ96" i="4"/>
  <c r="DK96" i="4"/>
  <c r="DL96" i="4"/>
  <c r="DM96" i="4"/>
  <c r="DN96" i="4"/>
  <c r="DO96" i="4"/>
  <c r="DP96" i="4"/>
  <c r="DQ96" i="4"/>
  <c r="DR96" i="4"/>
  <c r="DS96" i="4"/>
  <c r="DT96" i="4"/>
  <c r="DU96" i="4"/>
  <c r="DV96" i="4"/>
  <c r="DW96" i="4"/>
  <c r="DX96" i="4"/>
  <c r="DY96" i="4"/>
  <c r="DZ96" i="4"/>
  <c r="EA96" i="4"/>
  <c r="EB96" i="4"/>
  <c r="EC96" i="4"/>
  <c r="ED96" i="4"/>
  <c r="EE96" i="4"/>
  <c r="EF96" i="4"/>
  <c r="EG96" i="4"/>
  <c r="EH96" i="4"/>
  <c r="EI96" i="4"/>
  <c r="EJ96" i="4"/>
  <c r="EK96" i="4"/>
  <c r="EL96" i="4"/>
  <c r="EM96" i="4"/>
  <c r="EN96" i="4"/>
  <c r="EO96" i="4"/>
  <c r="EP96" i="4"/>
  <c r="EQ96" i="4"/>
  <c r="ER96" i="4"/>
  <c r="ES96" i="4"/>
  <c r="ET96" i="4"/>
  <c r="EU96" i="4"/>
  <c r="EV96" i="4"/>
  <c r="EW96" i="4"/>
  <c r="EX96" i="4"/>
  <c r="EY96" i="4"/>
  <c r="EZ96" i="4"/>
  <c r="FA96" i="4"/>
  <c r="FB96" i="4"/>
  <c r="FC96" i="4"/>
  <c r="FD96" i="4"/>
  <c r="FE96" i="4"/>
  <c r="FF96" i="4"/>
  <c r="FG96" i="4"/>
  <c r="FH96" i="4"/>
  <c r="FI96" i="4"/>
  <c r="FJ96" i="4"/>
  <c r="FK96" i="4"/>
  <c r="FL96" i="4"/>
  <c r="FM96" i="4"/>
  <c r="FN96" i="4"/>
  <c r="FO96" i="4"/>
  <c r="FP96" i="4"/>
  <c r="FQ96" i="4"/>
  <c r="FR96" i="4"/>
  <c r="FS96" i="4"/>
  <c r="FT96" i="4"/>
  <c r="FU96" i="4"/>
  <c r="FV96" i="4"/>
  <c r="FW96" i="4"/>
  <c r="FX96" i="4"/>
  <c r="FY96" i="4"/>
  <c r="FZ96" i="4"/>
  <c r="GA96" i="4"/>
  <c r="GB96" i="4"/>
  <c r="GC96" i="4"/>
  <c r="GD96" i="4"/>
  <c r="GE96" i="4"/>
  <c r="GF96" i="4"/>
  <c r="GG96" i="4"/>
  <c r="GH96" i="4"/>
  <c r="GI96" i="4"/>
  <c r="GJ96" i="4"/>
  <c r="GK96" i="4"/>
  <c r="GL96" i="4"/>
  <c r="GM96" i="4"/>
  <c r="GN96" i="4"/>
  <c r="GO96" i="4"/>
  <c r="GP96" i="4"/>
  <c r="GQ96" i="4"/>
  <c r="GR96" i="4"/>
  <c r="GS96" i="4"/>
  <c r="GT96" i="4"/>
  <c r="GU96" i="4"/>
  <c r="GV96" i="4"/>
  <c r="GW96" i="4"/>
  <c r="GX96" i="4"/>
  <c r="GY96" i="4"/>
  <c r="GZ96" i="4"/>
  <c r="HA96" i="4"/>
  <c r="HB96" i="4"/>
  <c r="HC96" i="4"/>
  <c r="HD96" i="4"/>
  <c r="HE96" i="4"/>
  <c r="HF96" i="4"/>
  <c r="HG96" i="4"/>
  <c r="HH96" i="4"/>
  <c r="HI96" i="4"/>
  <c r="HJ96" i="4"/>
  <c r="HK96" i="4"/>
  <c r="HL96" i="4"/>
  <c r="HM96" i="4"/>
  <c r="HN96" i="4"/>
  <c r="HO96" i="4"/>
  <c r="HP96" i="4"/>
  <c r="HQ96" i="4"/>
  <c r="HR96" i="4"/>
  <c r="HS96" i="4"/>
  <c r="HT96" i="4"/>
  <c r="HU96" i="4"/>
  <c r="HV96" i="4"/>
  <c r="HW96" i="4"/>
  <c r="HX96" i="4"/>
  <c r="HY96" i="4"/>
  <c r="HZ96" i="4"/>
  <c r="IA96" i="4"/>
  <c r="IB96" i="4"/>
  <c r="IC96" i="4"/>
  <c r="ID96" i="4"/>
  <c r="IE96" i="4"/>
  <c r="IF96" i="4"/>
  <c r="IG96" i="4"/>
  <c r="IH96" i="4"/>
  <c r="II96" i="4"/>
  <c r="IJ96" i="4"/>
  <c r="IK96" i="4"/>
  <c r="IL96" i="4"/>
  <c r="IM96" i="4"/>
  <c r="IN96" i="4"/>
  <c r="IO96" i="4"/>
  <c r="IP96" i="4"/>
  <c r="IQ96" i="4"/>
  <c r="IR96" i="4"/>
  <c r="IS96" i="4"/>
  <c r="IT96" i="4"/>
  <c r="IU96" i="4"/>
  <c r="IV96" i="4"/>
  <c r="A95" i="4"/>
  <c r="B95" i="4"/>
  <c r="C95" i="4"/>
  <c r="D95" i="4"/>
  <c r="E95" i="4"/>
  <c r="F95" i="4"/>
  <c r="G95" i="4"/>
  <c r="H95" i="4"/>
  <c r="I95" i="4"/>
  <c r="J95" i="4"/>
  <c r="K95" i="4"/>
  <c r="L95" i="4"/>
  <c r="M95" i="4"/>
  <c r="N95" i="4"/>
  <c r="O95" i="4"/>
  <c r="P95" i="4"/>
  <c r="Q95" i="4"/>
  <c r="R95" i="4"/>
  <c r="S95" i="4"/>
  <c r="T95" i="4"/>
  <c r="U95" i="4"/>
  <c r="V95" i="4"/>
  <c r="W95" i="4"/>
  <c r="X95" i="4"/>
  <c r="Y95" i="4"/>
  <c r="Z95" i="4"/>
  <c r="AA95" i="4"/>
  <c r="AB95" i="4"/>
  <c r="AC95" i="4"/>
  <c r="AD95" i="4"/>
  <c r="AE95" i="4"/>
  <c r="AF95" i="4"/>
  <c r="AG95" i="4"/>
  <c r="AH95" i="4"/>
  <c r="AI95" i="4"/>
  <c r="AJ95" i="4"/>
  <c r="AK95" i="4"/>
  <c r="AL95" i="4"/>
  <c r="AM95" i="4"/>
  <c r="AN95" i="4"/>
  <c r="AO95" i="4"/>
  <c r="AP95" i="4"/>
  <c r="AQ95" i="4"/>
  <c r="AR95" i="4"/>
  <c r="AS95" i="4"/>
  <c r="AT95" i="4"/>
  <c r="AU95" i="4"/>
  <c r="AV95" i="4"/>
  <c r="AW95" i="4"/>
  <c r="AX95" i="4"/>
  <c r="AY95" i="4"/>
  <c r="AZ95" i="4"/>
  <c r="BA95" i="4"/>
  <c r="BB95" i="4"/>
  <c r="BC95" i="4"/>
  <c r="BD95" i="4"/>
  <c r="BE95" i="4"/>
  <c r="BF95" i="4"/>
  <c r="BG95" i="4"/>
  <c r="BH95" i="4"/>
  <c r="BI95" i="4"/>
  <c r="BJ95" i="4"/>
  <c r="BK95" i="4"/>
  <c r="BL95" i="4"/>
  <c r="BM95" i="4"/>
  <c r="BN95" i="4"/>
  <c r="BO95" i="4"/>
  <c r="BP95" i="4"/>
  <c r="BQ95" i="4"/>
  <c r="BR95" i="4"/>
  <c r="BS95" i="4"/>
  <c r="BT95" i="4"/>
  <c r="BU95" i="4"/>
  <c r="BV95" i="4"/>
  <c r="BW95" i="4"/>
  <c r="BX95" i="4"/>
  <c r="BY95" i="4"/>
  <c r="BZ95" i="4"/>
  <c r="CA95" i="4"/>
  <c r="CB95" i="4"/>
  <c r="CC95" i="4"/>
  <c r="CD95" i="4"/>
  <c r="CE95" i="4"/>
  <c r="CF95" i="4"/>
  <c r="CG95" i="4"/>
  <c r="CH95" i="4"/>
  <c r="CI95" i="4"/>
  <c r="CJ95" i="4"/>
  <c r="CK95" i="4"/>
  <c r="CL95" i="4"/>
  <c r="CM95" i="4"/>
  <c r="CN95" i="4"/>
  <c r="CO95" i="4"/>
  <c r="CP95" i="4"/>
  <c r="CQ95" i="4"/>
  <c r="CR95" i="4"/>
  <c r="CS95" i="4"/>
  <c r="CT95" i="4"/>
  <c r="CU95" i="4"/>
  <c r="CV95" i="4"/>
  <c r="CW95" i="4"/>
  <c r="CX95" i="4"/>
  <c r="CY95" i="4"/>
  <c r="CZ95" i="4"/>
  <c r="DA95" i="4"/>
  <c r="DB95" i="4"/>
  <c r="DC95" i="4"/>
  <c r="DD95" i="4"/>
  <c r="DE95" i="4"/>
  <c r="DF95" i="4"/>
  <c r="DG95" i="4"/>
  <c r="DH95" i="4"/>
  <c r="DI95" i="4"/>
  <c r="DJ95" i="4"/>
  <c r="DK95" i="4"/>
  <c r="DL95" i="4"/>
  <c r="DM95" i="4"/>
  <c r="DN95" i="4"/>
  <c r="DO95" i="4"/>
  <c r="DP95" i="4"/>
  <c r="DQ95" i="4"/>
  <c r="DR95" i="4"/>
  <c r="DS95" i="4"/>
  <c r="DT95" i="4"/>
  <c r="DU95" i="4"/>
  <c r="DV95" i="4"/>
  <c r="DW95" i="4"/>
  <c r="DX95" i="4"/>
  <c r="DY95" i="4"/>
  <c r="DZ95" i="4"/>
  <c r="EA95" i="4"/>
  <c r="EB95" i="4"/>
  <c r="EC95" i="4"/>
  <c r="ED95" i="4"/>
  <c r="EE95" i="4"/>
  <c r="EF95" i="4"/>
  <c r="EG95" i="4"/>
  <c r="EH95" i="4"/>
  <c r="EI95" i="4"/>
  <c r="EJ95" i="4"/>
  <c r="EK95" i="4"/>
  <c r="EL95" i="4"/>
  <c r="EM95" i="4"/>
  <c r="EN95" i="4"/>
  <c r="EO95" i="4"/>
  <c r="EP95" i="4"/>
  <c r="EQ95" i="4"/>
  <c r="ER95" i="4"/>
  <c r="ES95" i="4"/>
  <c r="ET95" i="4"/>
  <c r="EU95" i="4"/>
  <c r="EV95" i="4"/>
  <c r="EW95" i="4"/>
  <c r="EX95" i="4"/>
  <c r="EY95" i="4"/>
  <c r="EZ95" i="4"/>
  <c r="FA95" i="4"/>
  <c r="FB95" i="4"/>
  <c r="FC95" i="4"/>
  <c r="FD95" i="4"/>
  <c r="FE95" i="4"/>
  <c r="FF95" i="4"/>
  <c r="FG95" i="4"/>
  <c r="FH95" i="4"/>
  <c r="FI95" i="4"/>
  <c r="FJ95" i="4"/>
  <c r="FK95" i="4"/>
  <c r="FL95" i="4"/>
  <c r="FM95" i="4"/>
  <c r="FN95" i="4"/>
  <c r="FO95" i="4"/>
  <c r="FP95" i="4"/>
  <c r="FQ95" i="4"/>
  <c r="FR95" i="4"/>
  <c r="FS95" i="4"/>
  <c r="FT95" i="4"/>
  <c r="FU95" i="4"/>
  <c r="FV95" i="4"/>
  <c r="FW95" i="4"/>
  <c r="FX95" i="4"/>
  <c r="FY95" i="4"/>
  <c r="FZ95" i="4"/>
  <c r="GA95" i="4"/>
  <c r="GB95" i="4"/>
  <c r="GC95" i="4"/>
  <c r="GD95" i="4"/>
  <c r="GE95" i="4"/>
  <c r="GF95" i="4"/>
  <c r="GG95" i="4"/>
  <c r="GH95" i="4"/>
  <c r="GI95" i="4"/>
  <c r="GJ95" i="4"/>
  <c r="GK95" i="4"/>
  <c r="GL95" i="4"/>
  <c r="GM95" i="4"/>
  <c r="GN95" i="4"/>
  <c r="GO95" i="4"/>
  <c r="GP95" i="4"/>
  <c r="GQ95" i="4"/>
  <c r="GR95" i="4"/>
  <c r="GS95" i="4"/>
  <c r="GT95" i="4"/>
  <c r="GU95" i="4"/>
  <c r="GV95" i="4"/>
  <c r="GW95" i="4"/>
  <c r="GX95" i="4"/>
  <c r="GY95" i="4"/>
  <c r="GZ95" i="4"/>
  <c r="HA95" i="4"/>
  <c r="HB95" i="4"/>
  <c r="HC95" i="4"/>
  <c r="HD95" i="4"/>
  <c r="HE95" i="4"/>
  <c r="HF95" i="4"/>
  <c r="HG95" i="4"/>
  <c r="HH95" i="4"/>
  <c r="HI95" i="4"/>
  <c r="HJ95" i="4"/>
  <c r="HK95" i="4"/>
  <c r="HL95" i="4"/>
  <c r="HM95" i="4"/>
  <c r="HN95" i="4"/>
  <c r="HO95" i="4"/>
  <c r="HP95" i="4"/>
  <c r="HQ95" i="4"/>
  <c r="HR95" i="4"/>
  <c r="HS95" i="4"/>
  <c r="HT95" i="4"/>
  <c r="HU95" i="4"/>
  <c r="HV95" i="4"/>
  <c r="HW95" i="4"/>
  <c r="HX95" i="4"/>
  <c r="HY95" i="4"/>
  <c r="HZ95" i="4"/>
  <c r="IA95" i="4"/>
  <c r="IB95" i="4"/>
  <c r="IC95" i="4"/>
  <c r="ID95" i="4"/>
  <c r="IE95" i="4"/>
  <c r="IF95" i="4"/>
  <c r="IG95" i="4"/>
  <c r="IH95" i="4"/>
  <c r="II95" i="4"/>
  <c r="IJ95" i="4"/>
  <c r="IK95" i="4"/>
  <c r="IL95" i="4"/>
  <c r="IM95" i="4"/>
  <c r="IN95" i="4"/>
  <c r="IO95" i="4"/>
  <c r="IP95" i="4"/>
  <c r="IQ95" i="4"/>
  <c r="IR95" i="4"/>
  <c r="IS95" i="4"/>
  <c r="IT95" i="4"/>
  <c r="IU95" i="4"/>
  <c r="IV95" i="4"/>
  <c r="A94" i="4"/>
  <c r="B94" i="4"/>
  <c r="C94" i="4"/>
  <c r="D94" i="4"/>
  <c r="E94" i="4"/>
  <c r="F94" i="4"/>
  <c r="G94" i="4"/>
  <c r="H94" i="4"/>
  <c r="I94" i="4"/>
  <c r="J94" i="4"/>
  <c r="K94" i="4"/>
  <c r="L94" i="4"/>
  <c r="M94" i="4"/>
  <c r="N94" i="4"/>
  <c r="O94" i="4"/>
  <c r="P94" i="4"/>
  <c r="Q94" i="4"/>
  <c r="R94" i="4"/>
  <c r="S94" i="4"/>
  <c r="T94" i="4"/>
  <c r="U94" i="4"/>
  <c r="V94" i="4"/>
  <c r="W94" i="4"/>
  <c r="X94" i="4"/>
  <c r="Y94" i="4"/>
  <c r="Z94" i="4"/>
  <c r="AA94" i="4"/>
  <c r="AB94" i="4"/>
  <c r="AC94" i="4"/>
  <c r="AD94" i="4"/>
  <c r="AE94" i="4"/>
  <c r="AF94" i="4"/>
  <c r="AG94" i="4"/>
  <c r="AH94" i="4"/>
  <c r="AI94" i="4"/>
  <c r="AJ94" i="4"/>
  <c r="AK94" i="4"/>
  <c r="AL94" i="4"/>
  <c r="AM94" i="4"/>
  <c r="AN94" i="4"/>
  <c r="AO94" i="4"/>
  <c r="AP94" i="4"/>
  <c r="AQ94" i="4"/>
  <c r="AR94" i="4"/>
  <c r="AS94" i="4"/>
  <c r="AT94" i="4"/>
  <c r="AU94" i="4"/>
  <c r="AV94" i="4"/>
  <c r="AW94" i="4"/>
  <c r="AX94" i="4"/>
  <c r="AY94" i="4"/>
  <c r="AZ94" i="4"/>
  <c r="BA94" i="4"/>
  <c r="BB94" i="4"/>
  <c r="BC94" i="4"/>
  <c r="BD94" i="4"/>
  <c r="BE94" i="4"/>
  <c r="BF94" i="4"/>
  <c r="BG94" i="4"/>
  <c r="BH94" i="4"/>
  <c r="BI94" i="4"/>
  <c r="BJ94" i="4"/>
  <c r="BK94" i="4"/>
  <c r="BL94" i="4"/>
  <c r="BM94" i="4"/>
  <c r="BN94" i="4"/>
  <c r="BO94" i="4"/>
  <c r="BP94" i="4"/>
  <c r="BQ94" i="4"/>
  <c r="BR94" i="4"/>
  <c r="BS94" i="4"/>
  <c r="BT94" i="4"/>
  <c r="BU94" i="4"/>
  <c r="BV94" i="4"/>
  <c r="BW94" i="4"/>
  <c r="BX94" i="4"/>
  <c r="BY94" i="4"/>
  <c r="BZ94" i="4"/>
  <c r="CA94" i="4"/>
  <c r="CB94" i="4"/>
  <c r="CC94" i="4"/>
  <c r="CD94" i="4"/>
  <c r="CE94" i="4"/>
  <c r="CF94" i="4"/>
  <c r="CG94" i="4"/>
  <c r="CH94" i="4"/>
  <c r="CI94" i="4"/>
  <c r="CJ94" i="4"/>
  <c r="CK94" i="4"/>
  <c r="CL94" i="4"/>
  <c r="CM94" i="4"/>
  <c r="CN94" i="4"/>
  <c r="CO94" i="4"/>
  <c r="CP94" i="4"/>
  <c r="CQ94" i="4"/>
  <c r="CR94" i="4"/>
  <c r="CS94" i="4"/>
  <c r="CT94" i="4"/>
  <c r="CU94" i="4"/>
  <c r="CV94" i="4"/>
  <c r="CW94" i="4"/>
  <c r="CX94" i="4"/>
  <c r="CY94" i="4"/>
  <c r="CZ94" i="4"/>
  <c r="DA94" i="4"/>
  <c r="DB94" i="4"/>
  <c r="DC94" i="4"/>
  <c r="DD94" i="4"/>
  <c r="DE94" i="4"/>
  <c r="DF94" i="4"/>
  <c r="DG94" i="4"/>
  <c r="DH94" i="4"/>
  <c r="DI94" i="4"/>
  <c r="DJ94" i="4"/>
  <c r="DK94" i="4"/>
  <c r="DL94" i="4"/>
  <c r="DM94" i="4"/>
  <c r="DN94" i="4"/>
  <c r="DO94" i="4"/>
  <c r="DP94" i="4"/>
  <c r="DQ94" i="4"/>
  <c r="DR94" i="4"/>
  <c r="DS94" i="4"/>
  <c r="DT94" i="4"/>
  <c r="DU94" i="4"/>
  <c r="DV94" i="4"/>
  <c r="DW94" i="4"/>
  <c r="DX94" i="4"/>
  <c r="DY94" i="4"/>
  <c r="DZ94" i="4"/>
  <c r="EA94" i="4"/>
  <c r="EB94" i="4"/>
  <c r="EC94" i="4"/>
  <c r="ED94" i="4"/>
  <c r="EE94" i="4"/>
  <c r="EF94" i="4"/>
  <c r="EG94" i="4"/>
  <c r="EH94" i="4"/>
  <c r="EI94" i="4"/>
  <c r="EJ94" i="4"/>
  <c r="EK94" i="4"/>
  <c r="EL94" i="4"/>
  <c r="EM94" i="4"/>
  <c r="EN94" i="4"/>
  <c r="EO94" i="4"/>
  <c r="EP94" i="4"/>
  <c r="EQ94" i="4"/>
  <c r="ER94" i="4"/>
  <c r="ES94" i="4"/>
  <c r="ET94" i="4"/>
  <c r="EU94" i="4"/>
  <c r="EV94" i="4"/>
  <c r="EW94" i="4"/>
  <c r="EX94" i="4"/>
  <c r="EY94" i="4"/>
  <c r="EZ94" i="4"/>
  <c r="FA94" i="4"/>
  <c r="FB94" i="4"/>
  <c r="FC94" i="4"/>
  <c r="FD94" i="4"/>
  <c r="FE94" i="4"/>
  <c r="FF94" i="4"/>
  <c r="FG94" i="4"/>
  <c r="FH94" i="4"/>
  <c r="FI94" i="4"/>
  <c r="FJ94" i="4"/>
  <c r="FK94" i="4"/>
  <c r="FL94" i="4"/>
  <c r="FM94" i="4"/>
  <c r="FN94" i="4"/>
  <c r="FO94" i="4"/>
  <c r="FP94" i="4"/>
  <c r="FQ94" i="4"/>
  <c r="FR94" i="4"/>
  <c r="FS94" i="4"/>
  <c r="FT94" i="4"/>
  <c r="FU94" i="4"/>
  <c r="FV94" i="4"/>
  <c r="FW94" i="4"/>
  <c r="FX94" i="4"/>
  <c r="FY94" i="4"/>
  <c r="FZ94" i="4"/>
  <c r="GA94" i="4"/>
  <c r="GB94" i="4"/>
  <c r="GC94" i="4"/>
  <c r="GD94" i="4"/>
  <c r="GE94" i="4"/>
  <c r="GF94" i="4"/>
  <c r="GG94" i="4"/>
  <c r="GH94" i="4"/>
  <c r="GI94" i="4"/>
  <c r="GJ94" i="4"/>
  <c r="GK94" i="4"/>
  <c r="GL94" i="4"/>
  <c r="GM94" i="4"/>
  <c r="GN94" i="4"/>
  <c r="GO94" i="4"/>
  <c r="GP94" i="4"/>
  <c r="GQ94" i="4"/>
  <c r="GR94" i="4"/>
  <c r="GS94" i="4"/>
  <c r="GT94" i="4"/>
  <c r="GU94" i="4"/>
  <c r="GV94" i="4"/>
  <c r="GW94" i="4"/>
  <c r="GX94" i="4"/>
  <c r="GY94" i="4"/>
  <c r="GZ94" i="4"/>
  <c r="HA94" i="4"/>
  <c r="HB94" i="4"/>
  <c r="HC94" i="4"/>
  <c r="HD94" i="4"/>
  <c r="HE94" i="4"/>
  <c r="HF94" i="4"/>
  <c r="HG94" i="4"/>
  <c r="HH94" i="4"/>
  <c r="HI94" i="4"/>
  <c r="HJ94" i="4"/>
  <c r="HK94" i="4"/>
  <c r="HL94" i="4"/>
  <c r="HM94" i="4"/>
  <c r="HN94" i="4"/>
  <c r="HO94" i="4"/>
  <c r="HP94" i="4"/>
  <c r="HQ94" i="4"/>
  <c r="HR94" i="4"/>
  <c r="HS94" i="4"/>
  <c r="HT94" i="4"/>
  <c r="HU94" i="4"/>
  <c r="HV94" i="4"/>
  <c r="HW94" i="4"/>
  <c r="HX94" i="4"/>
  <c r="HY94" i="4"/>
  <c r="HZ94" i="4"/>
  <c r="IA94" i="4"/>
  <c r="IB94" i="4"/>
  <c r="IC94" i="4"/>
  <c r="ID94" i="4"/>
  <c r="IE94" i="4"/>
  <c r="IF94" i="4"/>
  <c r="IG94" i="4"/>
  <c r="IH94" i="4"/>
  <c r="II94" i="4"/>
  <c r="IJ94" i="4"/>
  <c r="IK94" i="4"/>
  <c r="IL94" i="4"/>
  <c r="IM94" i="4"/>
  <c r="IN94" i="4"/>
  <c r="IO94" i="4"/>
  <c r="IP94" i="4"/>
  <c r="IQ94" i="4"/>
  <c r="IR94" i="4"/>
  <c r="IS94" i="4"/>
  <c r="IT94" i="4"/>
  <c r="IU94" i="4"/>
  <c r="IV94" i="4"/>
  <c r="A93" i="4"/>
  <c r="B93" i="4"/>
  <c r="C93" i="4"/>
  <c r="D93" i="4"/>
  <c r="E93" i="4"/>
  <c r="F93" i="4"/>
  <c r="G93" i="4"/>
  <c r="H93" i="4"/>
  <c r="I93" i="4"/>
  <c r="J93" i="4"/>
  <c r="K93" i="4"/>
  <c r="L93" i="4"/>
  <c r="M93" i="4"/>
  <c r="N93" i="4"/>
  <c r="O93" i="4"/>
  <c r="P93" i="4"/>
  <c r="Q93" i="4"/>
  <c r="R93" i="4"/>
  <c r="S93" i="4"/>
  <c r="T93" i="4"/>
  <c r="U93" i="4"/>
  <c r="V93" i="4"/>
  <c r="W93" i="4"/>
  <c r="X93" i="4"/>
  <c r="Y93" i="4"/>
  <c r="Z93" i="4"/>
  <c r="AA93" i="4"/>
  <c r="AB93" i="4"/>
  <c r="AC93" i="4"/>
  <c r="AD93" i="4"/>
  <c r="AE93" i="4"/>
  <c r="AF93" i="4"/>
  <c r="AG93" i="4"/>
  <c r="AH93" i="4"/>
  <c r="AI93" i="4"/>
  <c r="AJ93" i="4"/>
  <c r="AK93" i="4"/>
  <c r="AL93" i="4"/>
  <c r="AM93" i="4"/>
  <c r="AN93" i="4"/>
  <c r="AO93" i="4"/>
  <c r="AP93" i="4"/>
  <c r="AQ93" i="4"/>
  <c r="AR93" i="4"/>
  <c r="AS93" i="4"/>
  <c r="AT93" i="4"/>
  <c r="AU93" i="4"/>
  <c r="AV93" i="4"/>
  <c r="AW93" i="4"/>
  <c r="AY93" i="4"/>
  <c r="AZ93" i="4"/>
  <c r="BA93" i="4"/>
  <c r="BB93" i="4"/>
  <c r="BC93" i="4"/>
  <c r="BD93" i="4"/>
  <c r="BE93" i="4"/>
  <c r="BF93" i="4"/>
  <c r="BG93" i="4"/>
  <c r="BH93" i="4"/>
  <c r="BI93" i="4"/>
  <c r="BJ93" i="4"/>
  <c r="BK93" i="4"/>
  <c r="BL93" i="4"/>
  <c r="BM93" i="4"/>
  <c r="BN93" i="4"/>
  <c r="BO93" i="4"/>
  <c r="BP93" i="4"/>
  <c r="BQ93" i="4"/>
  <c r="BR93" i="4"/>
  <c r="BS93" i="4"/>
  <c r="BT93" i="4"/>
  <c r="BU93" i="4"/>
  <c r="BV93" i="4"/>
  <c r="BW93" i="4"/>
  <c r="BX93" i="4"/>
  <c r="BY93" i="4"/>
  <c r="BZ93" i="4"/>
  <c r="CA93" i="4"/>
  <c r="CB93" i="4"/>
  <c r="CC93" i="4"/>
  <c r="CD93" i="4"/>
  <c r="CE93" i="4"/>
  <c r="CF93" i="4"/>
  <c r="CG93" i="4"/>
  <c r="CH93" i="4"/>
  <c r="CI93" i="4"/>
  <c r="CJ93" i="4"/>
  <c r="CK93" i="4"/>
  <c r="CL93" i="4"/>
  <c r="CM93" i="4"/>
  <c r="CN93" i="4"/>
  <c r="CO93" i="4"/>
  <c r="CP93" i="4"/>
  <c r="CQ93" i="4"/>
  <c r="CR93" i="4"/>
  <c r="CS93" i="4"/>
  <c r="CT93" i="4"/>
  <c r="CU93" i="4"/>
  <c r="CV93" i="4"/>
  <c r="CW93" i="4"/>
  <c r="CX93" i="4"/>
  <c r="CY93" i="4"/>
  <c r="CZ93" i="4"/>
  <c r="DA93" i="4"/>
  <c r="DB93" i="4"/>
  <c r="DC93" i="4"/>
  <c r="DD93" i="4"/>
  <c r="DE93" i="4"/>
  <c r="DF93" i="4"/>
  <c r="DG93" i="4"/>
  <c r="DH93" i="4"/>
  <c r="DI93" i="4"/>
  <c r="DJ93" i="4"/>
  <c r="DK93" i="4"/>
  <c r="DL93" i="4"/>
  <c r="DM93" i="4"/>
  <c r="DN93" i="4"/>
  <c r="DO93" i="4"/>
  <c r="DP93" i="4"/>
  <c r="DQ93" i="4"/>
  <c r="DR93" i="4"/>
  <c r="DS93" i="4"/>
  <c r="DT93" i="4"/>
  <c r="DU93" i="4"/>
  <c r="DV93" i="4"/>
  <c r="DW93" i="4"/>
  <c r="DX93" i="4"/>
  <c r="DY93" i="4"/>
  <c r="DZ93" i="4"/>
  <c r="EA93" i="4"/>
  <c r="EB93" i="4"/>
  <c r="EC93" i="4"/>
  <c r="ED93" i="4"/>
  <c r="EE93" i="4"/>
  <c r="EF93" i="4"/>
  <c r="EG93" i="4"/>
  <c r="EH93" i="4"/>
  <c r="EI93" i="4"/>
  <c r="EJ93" i="4"/>
  <c r="EK93" i="4"/>
  <c r="EL93" i="4"/>
  <c r="EM93" i="4"/>
  <c r="EN93" i="4"/>
  <c r="EO93" i="4"/>
  <c r="EP93" i="4"/>
  <c r="EQ93" i="4"/>
  <c r="ER93" i="4"/>
  <c r="ES93" i="4"/>
  <c r="ET93" i="4"/>
  <c r="EU93" i="4"/>
  <c r="EV93" i="4"/>
  <c r="EW93" i="4"/>
  <c r="EX93" i="4"/>
  <c r="EY93" i="4"/>
  <c r="EZ93" i="4"/>
  <c r="FA93" i="4"/>
  <c r="FB93" i="4"/>
  <c r="FC93" i="4"/>
  <c r="FD93" i="4"/>
  <c r="FE93" i="4"/>
  <c r="FF93" i="4"/>
  <c r="FG93" i="4"/>
  <c r="FH93" i="4"/>
  <c r="FI93" i="4"/>
  <c r="FJ93" i="4"/>
  <c r="FK93" i="4"/>
  <c r="FL93" i="4"/>
  <c r="FM93" i="4"/>
  <c r="FN93" i="4"/>
  <c r="FO93" i="4"/>
  <c r="FP93" i="4"/>
  <c r="FQ93" i="4"/>
  <c r="FR93" i="4"/>
  <c r="FS93" i="4"/>
  <c r="FT93" i="4"/>
  <c r="FU93" i="4"/>
  <c r="FV93" i="4"/>
  <c r="FW93" i="4"/>
  <c r="FX93" i="4"/>
  <c r="FY93" i="4"/>
  <c r="FZ93" i="4"/>
  <c r="GA93" i="4"/>
  <c r="GB93" i="4"/>
  <c r="GC93" i="4"/>
  <c r="GD93" i="4"/>
  <c r="GE93" i="4"/>
  <c r="GF93" i="4"/>
  <c r="GG93" i="4"/>
  <c r="GH93" i="4"/>
  <c r="GI93" i="4"/>
  <c r="GJ93" i="4"/>
  <c r="GK93" i="4"/>
  <c r="GL93" i="4"/>
  <c r="GM93" i="4"/>
  <c r="GN93" i="4"/>
  <c r="GO93" i="4"/>
  <c r="GP93" i="4"/>
  <c r="GQ93" i="4"/>
  <c r="GR93" i="4"/>
  <c r="GS93" i="4"/>
  <c r="GT93" i="4"/>
  <c r="GU93" i="4"/>
  <c r="GV93" i="4"/>
  <c r="GW93" i="4"/>
  <c r="GX93" i="4"/>
  <c r="GY93" i="4"/>
  <c r="GZ93" i="4"/>
  <c r="HA93" i="4"/>
  <c r="HB93" i="4"/>
  <c r="HC93" i="4"/>
  <c r="HD93" i="4"/>
  <c r="HE93" i="4"/>
  <c r="HF93" i="4"/>
  <c r="HG93" i="4"/>
  <c r="HH93" i="4"/>
  <c r="HI93" i="4"/>
  <c r="HJ93" i="4"/>
  <c r="HK93" i="4"/>
  <c r="HL93" i="4"/>
  <c r="HM93" i="4"/>
  <c r="HN93" i="4"/>
  <c r="HO93" i="4"/>
  <c r="HP93" i="4"/>
  <c r="HQ93" i="4"/>
  <c r="HR93" i="4"/>
  <c r="HS93" i="4"/>
  <c r="HT93" i="4"/>
  <c r="HU93" i="4"/>
  <c r="HV93" i="4"/>
  <c r="HW93" i="4"/>
  <c r="HX93" i="4"/>
  <c r="HY93" i="4"/>
  <c r="HZ93" i="4"/>
  <c r="IA93" i="4"/>
  <c r="IB93" i="4"/>
  <c r="IC93" i="4"/>
  <c r="ID93" i="4"/>
  <c r="IE93" i="4"/>
  <c r="IF93" i="4"/>
  <c r="IG93" i="4"/>
  <c r="IH93" i="4"/>
  <c r="II93" i="4"/>
  <c r="IJ93" i="4"/>
  <c r="IK93" i="4"/>
  <c r="IL93" i="4"/>
  <c r="IM93" i="4"/>
  <c r="IN93" i="4"/>
  <c r="IO93" i="4"/>
  <c r="IP93" i="4"/>
  <c r="IQ93" i="4"/>
  <c r="IR93" i="4"/>
  <c r="IS93" i="4"/>
  <c r="IT93" i="4"/>
  <c r="IU93" i="4"/>
  <c r="IV93" i="4"/>
  <c r="A92" i="4"/>
  <c r="B92" i="4"/>
  <c r="C92" i="4"/>
  <c r="D92" i="4"/>
  <c r="E92" i="4"/>
  <c r="F92" i="4"/>
  <c r="G92" i="4"/>
  <c r="H92" i="4"/>
  <c r="I92" i="4"/>
  <c r="J92" i="4"/>
  <c r="K92" i="4"/>
  <c r="L92" i="4"/>
  <c r="M92" i="4"/>
  <c r="N92" i="4"/>
  <c r="O92" i="4"/>
  <c r="P92" i="4"/>
  <c r="Q92" i="4"/>
  <c r="R92" i="4"/>
  <c r="S92" i="4"/>
  <c r="T92" i="4"/>
  <c r="U92" i="4"/>
  <c r="V92" i="4"/>
  <c r="W92" i="4"/>
  <c r="X92" i="4"/>
  <c r="Y92" i="4"/>
  <c r="Z92" i="4"/>
  <c r="AA92" i="4"/>
  <c r="AB92" i="4"/>
  <c r="AC92" i="4"/>
  <c r="AD92" i="4"/>
  <c r="AE92" i="4"/>
  <c r="AF92" i="4"/>
  <c r="AG92" i="4"/>
  <c r="AH92" i="4"/>
  <c r="AI92" i="4"/>
  <c r="AJ92" i="4"/>
  <c r="AK92" i="4"/>
  <c r="AL92" i="4"/>
  <c r="AM92" i="4"/>
  <c r="AN92" i="4"/>
  <c r="AO92" i="4"/>
  <c r="AP92" i="4"/>
  <c r="AQ92" i="4"/>
  <c r="AR92" i="4"/>
  <c r="AS92" i="4"/>
  <c r="AT92" i="4"/>
  <c r="AU92" i="4"/>
  <c r="AV92" i="4"/>
  <c r="AW92" i="4"/>
  <c r="AX92" i="4"/>
  <c r="AY92" i="4"/>
  <c r="AZ92" i="4"/>
  <c r="BA92" i="4"/>
  <c r="BB92" i="4"/>
  <c r="BC92" i="4"/>
  <c r="BD92" i="4"/>
  <c r="BE92" i="4"/>
  <c r="BF92" i="4"/>
  <c r="BG92" i="4"/>
  <c r="BH92" i="4"/>
  <c r="BI92" i="4"/>
  <c r="BJ92" i="4"/>
  <c r="BK92" i="4"/>
  <c r="BL92" i="4"/>
  <c r="BM92" i="4"/>
  <c r="BN92" i="4"/>
  <c r="BO92" i="4"/>
  <c r="BP92" i="4"/>
  <c r="BQ92" i="4"/>
  <c r="BR92" i="4"/>
  <c r="BS92" i="4"/>
  <c r="BT92" i="4"/>
  <c r="BU92" i="4"/>
  <c r="BV92" i="4"/>
  <c r="BW92" i="4"/>
  <c r="BX92" i="4"/>
  <c r="BY92" i="4"/>
  <c r="BZ92" i="4"/>
  <c r="CA92" i="4"/>
  <c r="CB92" i="4"/>
  <c r="CC92" i="4"/>
  <c r="CD92" i="4"/>
  <c r="CE92" i="4"/>
  <c r="CF92" i="4"/>
  <c r="CG92" i="4"/>
  <c r="CH92" i="4"/>
  <c r="CI92" i="4"/>
  <c r="CJ92" i="4"/>
  <c r="CK92" i="4"/>
  <c r="CL92" i="4"/>
  <c r="CM92" i="4"/>
  <c r="CN92" i="4"/>
  <c r="CO92" i="4"/>
  <c r="CP92" i="4"/>
  <c r="CQ92" i="4"/>
  <c r="CR92" i="4"/>
  <c r="CS92" i="4"/>
  <c r="CT92" i="4"/>
  <c r="CU92" i="4"/>
  <c r="CV92" i="4"/>
  <c r="CW92" i="4"/>
  <c r="CX92" i="4"/>
  <c r="CY92" i="4"/>
  <c r="CZ92" i="4"/>
  <c r="DA92" i="4"/>
  <c r="DB92" i="4"/>
  <c r="DC92" i="4"/>
  <c r="DD92" i="4"/>
  <c r="DE92" i="4"/>
  <c r="DF92" i="4"/>
  <c r="DG92" i="4"/>
  <c r="DH92" i="4"/>
  <c r="DI92" i="4"/>
  <c r="DJ92" i="4"/>
  <c r="DK92" i="4"/>
  <c r="DL92" i="4"/>
  <c r="DM92" i="4"/>
  <c r="DN92" i="4"/>
  <c r="DO92" i="4"/>
  <c r="DP92" i="4"/>
  <c r="DQ92" i="4"/>
  <c r="DR92" i="4"/>
  <c r="DS92" i="4"/>
  <c r="DT92" i="4"/>
  <c r="DU92" i="4"/>
  <c r="DV92" i="4"/>
  <c r="DW92" i="4"/>
  <c r="DX92" i="4"/>
  <c r="DY92" i="4"/>
  <c r="DZ92" i="4"/>
  <c r="EA92" i="4"/>
  <c r="EB92" i="4"/>
  <c r="EC92" i="4"/>
  <c r="ED92" i="4"/>
  <c r="EE92" i="4"/>
  <c r="EF92" i="4"/>
  <c r="EG92" i="4"/>
  <c r="EH92" i="4"/>
  <c r="EI92" i="4"/>
  <c r="EJ92" i="4"/>
  <c r="EK92" i="4"/>
  <c r="EL92" i="4"/>
  <c r="EM92" i="4"/>
  <c r="EN92" i="4"/>
  <c r="EO92" i="4"/>
  <c r="EP92" i="4"/>
  <c r="EQ92" i="4"/>
  <c r="ER92" i="4"/>
  <c r="ES92" i="4"/>
  <c r="ET92" i="4"/>
  <c r="EU92" i="4"/>
  <c r="EV92" i="4"/>
  <c r="EW92" i="4"/>
  <c r="EX92" i="4"/>
  <c r="EY92" i="4"/>
  <c r="EZ92" i="4"/>
  <c r="FA92" i="4"/>
  <c r="FB92" i="4"/>
  <c r="FC92" i="4"/>
  <c r="FD92" i="4"/>
  <c r="FE92" i="4"/>
  <c r="FF92" i="4"/>
  <c r="FG92" i="4"/>
  <c r="FH92" i="4"/>
  <c r="FI92" i="4"/>
  <c r="FJ92" i="4"/>
  <c r="FK92" i="4"/>
  <c r="FL92" i="4"/>
  <c r="FM92" i="4"/>
  <c r="FN92" i="4"/>
  <c r="FO92" i="4"/>
  <c r="FP92" i="4"/>
  <c r="FQ92" i="4"/>
  <c r="FR92" i="4"/>
  <c r="FS92" i="4"/>
  <c r="FT92" i="4"/>
  <c r="FU92" i="4"/>
  <c r="FV92" i="4"/>
  <c r="FW92" i="4"/>
  <c r="FX92" i="4"/>
  <c r="FY92" i="4"/>
  <c r="FZ92" i="4"/>
  <c r="GA92" i="4"/>
  <c r="GB92" i="4"/>
  <c r="GC92" i="4"/>
  <c r="GD92" i="4"/>
  <c r="GE92" i="4"/>
  <c r="GF92" i="4"/>
  <c r="GG92" i="4"/>
  <c r="GH92" i="4"/>
  <c r="GI92" i="4"/>
  <c r="GJ92" i="4"/>
  <c r="GK92" i="4"/>
  <c r="GL92" i="4"/>
  <c r="GM92" i="4"/>
  <c r="GN92" i="4"/>
  <c r="GO92" i="4"/>
  <c r="GP92" i="4"/>
  <c r="GQ92" i="4"/>
  <c r="GR92" i="4"/>
  <c r="GS92" i="4"/>
  <c r="GT92" i="4"/>
  <c r="GU92" i="4"/>
  <c r="GV92" i="4"/>
  <c r="GW92" i="4"/>
  <c r="GX92" i="4"/>
  <c r="GY92" i="4"/>
  <c r="GZ92" i="4"/>
  <c r="HA92" i="4"/>
  <c r="HB92" i="4"/>
  <c r="HC92" i="4"/>
  <c r="HD92" i="4"/>
  <c r="HE92" i="4"/>
  <c r="HF92" i="4"/>
  <c r="HG92" i="4"/>
  <c r="HH92" i="4"/>
  <c r="HI92" i="4"/>
  <c r="HJ92" i="4"/>
  <c r="HK92" i="4"/>
  <c r="HL92" i="4"/>
  <c r="HM92" i="4"/>
  <c r="HN92" i="4"/>
  <c r="HO92" i="4"/>
  <c r="HP92" i="4"/>
  <c r="HQ92" i="4"/>
  <c r="HR92" i="4"/>
  <c r="HS92" i="4"/>
  <c r="HT92" i="4"/>
  <c r="HU92" i="4"/>
  <c r="HV92" i="4"/>
  <c r="HW92" i="4"/>
  <c r="HX92" i="4"/>
  <c r="HY92" i="4"/>
  <c r="HZ92" i="4"/>
  <c r="IA92" i="4"/>
  <c r="IB92" i="4"/>
  <c r="IC92" i="4"/>
  <c r="ID92" i="4"/>
  <c r="IE92" i="4"/>
  <c r="IF92" i="4"/>
  <c r="IG92" i="4"/>
  <c r="IH92" i="4"/>
  <c r="II92" i="4"/>
  <c r="IJ92" i="4"/>
  <c r="IK92" i="4"/>
  <c r="IL92" i="4"/>
  <c r="IM92" i="4"/>
  <c r="IN92" i="4"/>
  <c r="IO92" i="4"/>
  <c r="IP92" i="4"/>
  <c r="IQ92" i="4"/>
  <c r="IR92" i="4"/>
  <c r="IS92" i="4"/>
  <c r="IT92" i="4"/>
  <c r="IU92" i="4"/>
  <c r="IV92" i="4"/>
  <c r="B91" i="4"/>
  <c r="C91" i="4"/>
  <c r="D91" i="4"/>
  <c r="E91" i="4"/>
  <c r="F91" i="4"/>
  <c r="G91" i="4"/>
  <c r="H91" i="4"/>
  <c r="I91" i="4"/>
  <c r="J91" i="4"/>
  <c r="K91" i="4"/>
  <c r="L91" i="4"/>
  <c r="M91" i="4"/>
  <c r="N91" i="4"/>
  <c r="O91" i="4"/>
  <c r="P91" i="4"/>
  <c r="Q91" i="4"/>
  <c r="R91" i="4"/>
  <c r="S91" i="4"/>
  <c r="T91" i="4"/>
  <c r="U91" i="4"/>
  <c r="V91" i="4"/>
  <c r="W91" i="4"/>
  <c r="X91" i="4"/>
  <c r="Y91" i="4"/>
  <c r="Z91" i="4"/>
  <c r="AA91" i="4"/>
  <c r="AB91" i="4"/>
  <c r="AC91" i="4"/>
  <c r="AD91" i="4"/>
  <c r="AE91" i="4"/>
  <c r="AF91" i="4"/>
  <c r="AG91" i="4"/>
  <c r="AH91" i="4"/>
  <c r="AI91" i="4"/>
  <c r="AJ91" i="4"/>
  <c r="AK91" i="4"/>
  <c r="AL91" i="4"/>
  <c r="AM91" i="4"/>
  <c r="AN91" i="4"/>
  <c r="AO91" i="4"/>
  <c r="AP91" i="4"/>
  <c r="AQ91" i="4"/>
  <c r="AR91" i="4"/>
  <c r="AS91" i="4"/>
  <c r="AT91" i="4"/>
  <c r="AU91" i="4"/>
  <c r="AV91" i="4"/>
  <c r="AW91" i="4"/>
  <c r="AX91" i="4"/>
  <c r="AY91" i="4"/>
  <c r="AZ91" i="4"/>
  <c r="BA91" i="4"/>
  <c r="BB91" i="4"/>
  <c r="BC91" i="4"/>
  <c r="BD91" i="4"/>
  <c r="BE91" i="4"/>
  <c r="BF91" i="4"/>
  <c r="BG91" i="4"/>
  <c r="BH91" i="4"/>
  <c r="BI91" i="4"/>
  <c r="BJ91" i="4"/>
  <c r="BK91" i="4"/>
  <c r="BL91" i="4"/>
  <c r="BM91" i="4"/>
  <c r="BN91" i="4"/>
  <c r="BO91" i="4"/>
  <c r="BP91" i="4"/>
  <c r="BQ91" i="4"/>
  <c r="BR91" i="4"/>
  <c r="BS91" i="4"/>
  <c r="BT91" i="4"/>
  <c r="BU91" i="4"/>
  <c r="BV91" i="4"/>
  <c r="BW91" i="4"/>
  <c r="BX91" i="4"/>
  <c r="BY91" i="4"/>
  <c r="BZ91" i="4"/>
  <c r="CA91" i="4"/>
  <c r="CB91" i="4"/>
  <c r="CC91" i="4"/>
  <c r="CD91" i="4"/>
  <c r="CE91" i="4"/>
  <c r="CF91" i="4"/>
  <c r="CG91" i="4"/>
  <c r="CH91" i="4"/>
  <c r="CI91" i="4"/>
  <c r="CJ91" i="4"/>
  <c r="CK91" i="4"/>
  <c r="CL91" i="4"/>
  <c r="CM91" i="4"/>
  <c r="CN91" i="4"/>
  <c r="CO91" i="4"/>
  <c r="CP91" i="4"/>
  <c r="CQ91" i="4"/>
  <c r="CR91" i="4"/>
  <c r="CS91" i="4"/>
  <c r="CT91" i="4"/>
  <c r="CU91" i="4"/>
  <c r="CV91" i="4"/>
  <c r="CW91" i="4"/>
  <c r="CX91" i="4"/>
  <c r="CY91" i="4"/>
  <c r="CZ91" i="4"/>
  <c r="DA91" i="4"/>
  <c r="DB91" i="4"/>
  <c r="DC91" i="4"/>
  <c r="DD91" i="4"/>
  <c r="DE91" i="4"/>
  <c r="DF91" i="4"/>
  <c r="DG91" i="4"/>
  <c r="DH91" i="4"/>
  <c r="DI91" i="4"/>
  <c r="DJ91" i="4"/>
  <c r="DK91" i="4"/>
  <c r="DL91" i="4"/>
  <c r="DM91" i="4"/>
  <c r="DN91" i="4"/>
  <c r="DO91" i="4"/>
  <c r="DP91" i="4"/>
  <c r="DQ91" i="4"/>
  <c r="DR91" i="4"/>
  <c r="DS91" i="4"/>
  <c r="DT91" i="4"/>
  <c r="DU91" i="4"/>
  <c r="DV91" i="4"/>
  <c r="DW91" i="4"/>
  <c r="DX91" i="4"/>
  <c r="DY91" i="4"/>
  <c r="DZ91" i="4"/>
  <c r="EA91" i="4"/>
  <c r="EB91" i="4"/>
  <c r="EC91" i="4"/>
  <c r="ED91" i="4"/>
  <c r="EE91" i="4"/>
  <c r="EF91" i="4"/>
  <c r="EG91" i="4"/>
  <c r="EH91" i="4"/>
  <c r="EI91" i="4"/>
  <c r="EJ91" i="4"/>
  <c r="EK91" i="4"/>
  <c r="EL91" i="4"/>
  <c r="EM91" i="4"/>
  <c r="EN91" i="4"/>
  <c r="EO91" i="4"/>
  <c r="EP91" i="4"/>
  <c r="EQ91" i="4"/>
  <c r="ER91" i="4"/>
  <c r="ES91" i="4"/>
  <c r="ET91" i="4"/>
  <c r="EU91" i="4"/>
  <c r="EV91" i="4"/>
  <c r="EW91" i="4"/>
  <c r="EX91" i="4"/>
  <c r="EY91" i="4"/>
  <c r="EZ91" i="4"/>
  <c r="FA91" i="4"/>
  <c r="FB91" i="4"/>
  <c r="FC91" i="4"/>
  <c r="FD91" i="4"/>
  <c r="FE91" i="4"/>
  <c r="FF91" i="4"/>
  <c r="FG91" i="4"/>
  <c r="FH91" i="4"/>
  <c r="FI91" i="4"/>
  <c r="FJ91" i="4"/>
  <c r="FK91" i="4"/>
  <c r="FL91" i="4"/>
  <c r="FM91" i="4"/>
  <c r="FN91" i="4"/>
  <c r="FO91" i="4"/>
  <c r="FP91" i="4"/>
  <c r="FQ91" i="4"/>
  <c r="FR91" i="4"/>
  <c r="FS91" i="4"/>
  <c r="FT91" i="4"/>
  <c r="FU91" i="4"/>
  <c r="FV91" i="4"/>
  <c r="FW91" i="4"/>
  <c r="FX91" i="4"/>
  <c r="FY91" i="4"/>
  <c r="FZ91" i="4"/>
  <c r="GA91" i="4"/>
  <c r="GB91" i="4"/>
  <c r="GC91" i="4"/>
  <c r="GD91" i="4"/>
  <c r="GE91" i="4"/>
  <c r="GF91" i="4"/>
  <c r="GG91" i="4"/>
  <c r="GH91" i="4"/>
  <c r="GI91" i="4"/>
  <c r="GJ91" i="4"/>
  <c r="GK91" i="4"/>
  <c r="GL91" i="4"/>
  <c r="GM91" i="4"/>
  <c r="GN91" i="4"/>
  <c r="GO91" i="4"/>
  <c r="GP91" i="4"/>
  <c r="GQ91" i="4"/>
  <c r="GR91" i="4"/>
  <c r="GS91" i="4"/>
  <c r="GT91" i="4"/>
  <c r="GU91" i="4"/>
  <c r="GV91" i="4"/>
  <c r="GW91" i="4"/>
  <c r="GX91" i="4"/>
  <c r="GY91" i="4"/>
  <c r="GZ91" i="4"/>
  <c r="HA91" i="4"/>
  <c r="HB91" i="4"/>
  <c r="HC91" i="4"/>
  <c r="HD91" i="4"/>
  <c r="HE91" i="4"/>
  <c r="HF91" i="4"/>
  <c r="HG91" i="4"/>
  <c r="HH91" i="4"/>
  <c r="HI91" i="4"/>
  <c r="HJ91" i="4"/>
  <c r="HK91" i="4"/>
  <c r="HL91" i="4"/>
  <c r="HM91" i="4"/>
  <c r="HN91" i="4"/>
  <c r="HO91" i="4"/>
  <c r="HP91" i="4"/>
  <c r="HQ91" i="4"/>
  <c r="HR91" i="4"/>
  <c r="HS91" i="4"/>
  <c r="HT91" i="4"/>
  <c r="HU91" i="4"/>
  <c r="HV91" i="4"/>
  <c r="HW91" i="4"/>
  <c r="HX91" i="4"/>
  <c r="HY91" i="4"/>
  <c r="HZ91" i="4"/>
  <c r="IA91" i="4"/>
  <c r="IB91" i="4"/>
  <c r="IC91" i="4"/>
  <c r="ID91" i="4"/>
  <c r="IE91" i="4"/>
  <c r="IF91" i="4"/>
  <c r="IG91" i="4"/>
  <c r="IH91" i="4"/>
  <c r="II91" i="4"/>
  <c r="IJ91" i="4"/>
  <c r="IK91" i="4"/>
  <c r="IL91" i="4"/>
  <c r="IM91" i="4"/>
  <c r="IN91" i="4"/>
  <c r="IO91" i="4"/>
  <c r="IP91" i="4"/>
  <c r="IQ91" i="4"/>
  <c r="IR91" i="4"/>
  <c r="IS91" i="4"/>
  <c r="IT91" i="4"/>
  <c r="IU91" i="4"/>
  <c r="IV91" i="4"/>
  <c r="A90"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C90" i="4"/>
  <c r="AD90" i="4"/>
  <c r="AE90" i="4"/>
  <c r="AF90" i="4"/>
  <c r="AG90" i="4"/>
  <c r="AH90" i="4"/>
  <c r="AI90" i="4"/>
  <c r="AJ90" i="4"/>
  <c r="AK90" i="4"/>
  <c r="AL90" i="4"/>
  <c r="AM90" i="4"/>
  <c r="AN90" i="4"/>
  <c r="AO90" i="4"/>
  <c r="AP90" i="4"/>
  <c r="AQ90" i="4"/>
  <c r="AR90" i="4"/>
  <c r="AS90" i="4"/>
  <c r="AT90" i="4"/>
  <c r="AU90" i="4"/>
  <c r="AV90" i="4"/>
  <c r="AW90" i="4"/>
  <c r="AX90" i="4"/>
  <c r="AY90" i="4"/>
  <c r="AZ90" i="4"/>
  <c r="BA90" i="4"/>
  <c r="BB90" i="4"/>
  <c r="BC90" i="4"/>
  <c r="BD90" i="4"/>
  <c r="BE90" i="4"/>
  <c r="BF90" i="4"/>
  <c r="BG90" i="4"/>
  <c r="BH90" i="4"/>
  <c r="BI90" i="4"/>
  <c r="BJ90" i="4"/>
  <c r="BK90" i="4"/>
  <c r="BL90" i="4"/>
  <c r="BM90" i="4"/>
  <c r="BN90" i="4"/>
  <c r="BO90" i="4"/>
  <c r="BP90" i="4"/>
  <c r="BQ90" i="4"/>
  <c r="BR90" i="4"/>
  <c r="BS90" i="4"/>
  <c r="BT90" i="4"/>
  <c r="BU90" i="4"/>
  <c r="BV90" i="4"/>
  <c r="BW90" i="4"/>
  <c r="BX90" i="4"/>
  <c r="BY90" i="4"/>
  <c r="BZ90" i="4"/>
  <c r="CA90" i="4"/>
  <c r="CB90" i="4"/>
  <c r="CC90" i="4"/>
  <c r="CD90" i="4"/>
  <c r="CE90" i="4"/>
  <c r="CF90" i="4"/>
  <c r="CG90" i="4"/>
  <c r="CH90" i="4"/>
  <c r="CI90" i="4"/>
  <c r="CJ90" i="4"/>
  <c r="CK90" i="4"/>
  <c r="CL90" i="4"/>
  <c r="CM90" i="4"/>
  <c r="CN90" i="4"/>
  <c r="CO90" i="4"/>
  <c r="CP90" i="4"/>
  <c r="CQ90" i="4"/>
  <c r="CR90" i="4"/>
  <c r="CS90" i="4"/>
  <c r="CT90" i="4"/>
  <c r="CU90" i="4"/>
  <c r="CV90" i="4"/>
  <c r="CW90" i="4"/>
  <c r="CX90" i="4"/>
  <c r="CY90" i="4"/>
  <c r="CZ90" i="4"/>
  <c r="DA90" i="4"/>
  <c r="DB90" i="4"/>
  <c r="DC90" i="4"/>
  <c r="DD90" i="4"/>
  <c r="DE90" i="4"/>
  <c r="DF90" i="4"/>
  <c r="DG90" i="4"/>
  <c r="DH90" i="4"/>
  <c r="DI90" i="4"/>
  <c r="DJ90" i="4"/>
  <c r="DK90" i="4"/>
  <c r="DL90" i="4"/>
  <c r="DM90" i="4"/>
  <c r="DN90" i="4"/>
  <c r="DO90" i="4"/>
  <c r="DP90" i="4"/>
  <c r="DQ90" i="4"/>
  <c r="DR90" i="4"/>
  <c r="DS90" i="4"/>
  <c r="DT90" i="4"/>
  <c r="DU90" i="4"/>
  <c r="DV90" i="4"/>
  <c r="DW90" i="4"/>
  <c r="DX90" i="4"/>
  <c r="DY90" i="4"/>
  <c r="DZ90" i="4"/>
  <c r="EA90" i="4"/>
  <c r="EB90" i="4"/>
  <c r="EC90" i="4"/>
  <c r="ED90" i="4"/>
  <c r="EE90" i="4"/>
  <c r="EF90" i="4"/>
  <c r="EG90" i="4"/>
  <c r="EH90" i="4"/>
  <c r="EI90" i="4"/>
  <c r="EJ90" i="4"/>
  <c r="EK90" i="4"/>
  <c r="EL90" i="4"/>
  <c r="EM90" i="4"/>
  <c r="EN90" i="4"/>
  <c r="EO90" i="4"/>
  <c r="EP90" i="4"/>
  <c r="EQ90" i="4"/>
  <c r="ER90" i="4"/>
  <c r="ES90" i="4"/>
  <c r="ET90" i="4"/>
  <c r="EU90" i="4"/>
  <c r="EV90" i="4"/>
  <c r="EW90" i="4"/>
  <c r="EX90" i="4"/>
  <c r="EY90" i="4"/>
  <c r="EZ90" i="4"/>
  <c r="FA90" i="4"/>
  <c r="FB90" i="4"/>
  <c r="FC90" i="4"/>
  <c r="FD90" i="4"/>
  <c r="FE90" i="4"/>
  <c r="FF90" i="4"/>
  <c r="FG90" i="4"/>
  <c r="FH90" i="4"/>
  <c r="FI90" i="4"/>
  <c r="FJ90" i="4"/>
  <c r="FK90" i="4"/>
  <c r="FL90" i="4"/>
  <c r="FM90" i="4"/>
  <c r="FN90" i="4"/>
  <c r="FO90" i="4"/>
  <c r="FP90" i="4"/>
  <c r="FQ90" i="4"/>
  <c r="FR90" i="4"/>
  <c r="FS90" i="4"/>
  <c r="FT90" i="4"/>
  <c r="FU90" i="4"/>
  <c r="FV90" i="4"/>
  <c r="FW90" i="4"/>
  <c r="FX90" i="4"/>
  <c r="FY90" i="4"/>
  <c r="FZ90" i="4"/>
  <c r="GA90" i="4"/>
  <c r="GB90" i="4"/>
  <c r="GC90" i="4"/>
  <c r="GD90" i="4"/>
  <c r="GE90" i="4"/>
  <c r="GF90" i="4"/>
  <c r="GG90" i="4"/>
  <c r="GH90" i="4"/>
  <c r="GI90" i="4"/>
  <c r="GJ90" i="4"/>
  <c r="GK90" i="4"/>
  <c r="GL90" i="4"/>
  <c r="GM90" i="4"/>
  <c r="GN90" i="4"/>
  <c r="GO90" i="4"/>
  <c r="GP90" i="4"/>
  <c r="GQ90" i="4"/>
  <c r="GR90" i="4"/>
  <c r="GS90" i="4"/>
  <c r="GT90" i="4"/>
  <c r="GU90" i="4"/>
  <c r="GV90" i="4"/>
  <c r="GW90" i="4"/>
  <c r="GX90" i="4"/>
  <c r="GY90" i="4"/>
  <c r="GZ90" i="4"/>
  <c r="HA90" i="4"/>
  <c r="HB90" i="4"/>
  <c r="HC90" i="4"/>
  <c r="HD90" i="4"/>
  <c r="HE90" i="4"/>
  <c r="HF90" i="4"/>
  <c r="HG90" i="4"/>
  <c r="HH90" i="4"/>
  <c r="HI90" i="4"/>
  <c r="HJ90" i="4"/>
  <c r="HK90" i="4"/>
  <c r="HL90" i="4"/>
  <c r="HM90" i="4"/>
  <c r="HN90" i="4"/>
  <c r="HO90" i="4"/>
  <c r="HP90" i="4"/>
  <c r="HQ90" i="4"/>
  <c r="HR90" i="4"/>
  <c r="HS90" i="4"/>
  <c r="HT90" i="4"/>
  <c r="HU90" i="4"/>
  <c r="HV90" i="4"/>
  <c r="HW90" i="4"/>
  <c r="HX90" i="4"/>
  <c r="HY90" i="4"/>
  <c r="HZ90" i="4"/>
  <c r="IA90" i="4"/>
  <c r="IB90" i="4"/>
  <c r="IC90" i="4"/>
  <c r="ID90" i="4"/>
  <c r="IE90" i="4"/>
  <c r="IF90" i="4"/>
  <c r="IG90" i="4"/>
  <c r="IH90" i="4"/>
  <c r="II90" i="4"/>
  <c r="IJ90" i="4"/>
  <c r="IK90" i="4"/>
  <c r="IL90" i="4"/>
  <c r="IM90" i="4"/>
  <c r="IN90" i="4"/>
  <c r="IO90" i="4"/>
  <c r="IP90" i="4"/>
  <c r="IQ90" i="4"/>
  <c r="IR90" i="4"/>
  <c r="IS90" i="4"/>
  <c r="IT90" i="4"/>
  <c r="IU90" i="4"/>
  <c r="IV90" i="4"/>
  <c r="A89"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C89" i="4"/>
  <c r="AD89" i="4"/>
  <c r="AE89" i="4"/>
  <c r="AF89" i="4"/>
  <c r="AG89" i="4"/>
  <c r="AH89" i="4"/>
  <c r="AI89" i="4"/>
  <c r="AJ89" i="4"/>
  <c r="AK89" i="4"/>
  <c r="AL89" i="4"/>
  <c r="AM89" i="4"/>
  <c r="AN89" i="4"/>
  <c r="AO89" i="4"/>
  <c r="AP89" i="4"/>
  <c r="AQ89" i="4"/>
  <c r="AR89" i="4"/>
  <c r="AS89" i="4"/>
  <c r="AT89" i="4"/>
  <c r="AU89" i="4"/>
  <c r="AV89" i="4"/>
  <c r="AW89" i="4"/>
  <c r="AX89" i="4"/>
  <c r="AY89" i="4"/>
  <c r="AZ89" i="4"/>
  <c r="BA89" i="4"/>
  <c r="BB89" i="4"/>
  <c r="BC89" i="4"/>
  <c r="BD89" i="4"/>
  <c r="BE89" i="4"/>
  <c r="BF89" i="4"/>
  <c r="BG89" i="4"/>
  <c r="BH89" i="4"/>
  <c r="BI89" i="4"/>
  <c r="BJ89" i="4"/>
  <c r="BK89" i="4"/>
  <c r="BL89" i="4"/>
  <c r="BM89" i="4"/>
  <c r="BN89" i="4"/>
  <c r="BO89" i="4"/>
  <c r="BP89" i="4"/>
  <c r="BQ89" i="4"/>
  <c r="BR89" i="4"/>
  <c r="BS89" i="4"/>
  <c r="BT89" i="4"/>
  <c r="BU89" i="4"/>
  <c r="BV89" i="4"/>
  <c r="BW89" i="4"/>
  <c r="BX89" i="4"/>
  <c r="BY89" i="4"/>
  <c r="BZ89" i="4"/>
  <c r="CA89" i="4"/>
  <c r="CB89" i="4"/>
  <c r="CC89" i="4"/>
  <c r="CD89" i="4"/>
  <c r="CE89" i="4"/>
  <c r="CF89" i="4"/>
  <c r="CG89" i="4"/>
  <c r="CH89" i="4"/>
  <c r="CI89" i="4"/>
  <c r="CJ89" i="4"/>
  <c r="CK89" i="4"/>
  <c r="CL89" i="4"/>
  <c r="CM89" i="4"/>
  <c r="CN89" i="4"/>
  <c r="CO89" i="4"/>
  <c r="CP89" i="4"/>
  <c r="CQ89" i="4"/>
  <c r="CR89" i="4"/>
  <c r="CS89" i="4"/>
  <c r="CT89" i="4"/>
  <c r="CU89" i="4"/>
  <c r="CV89" i="4"/>
  <c r="CW89" i="4"/>
  <c r="CX89" i="4"/>
  <c r="CY89" i="4"/>
  <c r="CZ89" i="4"/>
  <c r="DA89" i="4"/>
  <c r="DB89" i="4"/>
  <c r="DC89" i="4"/>
  <c r="DD89" i="4"/>
  <c r="DE89" i="4"/>
  <c r="DF89" i="4"/>
  <c r="DG89" i="4"/>
  <c r="DH89" i="4"/>
  <c r="DI89" i="4"/>
  <c r="DJ89" i="4"/>
  <c r="DK89" i="4"/>
  <c r="DL89" i="4"/>
  <c r="DM89" i="4"/>
  <c r="DN89" i="4"/>
  <c r="DO89" i="4"/>
  <c r="DP89" i="4"/>
  <c r="DQ89" i="4"/>
  <c r="DR89" i="4"/>
  <c r="DS89" i="4"/>
  <c r="DT89" i="4"/>
  <c r="DU89" i="4"/>
  <c r="DV89" i="4"/>
  <c r="DW89" i="4"/>
  <c r="DX89" i="4"/>
  <c r="DY89" i="4"/>
  <c r="DZ89" i="4"/>
  <c r="EA89" i="4"/>
  <c r="EB89" i="4"/>
  <c r="EC89" i="4"/>
  <c r="ED89" i="4"/>
  <c r="EE89" i="4"/>
  <c r="EF89" i="4"/>
  <c r="EG89" i="4"/>
  <c r="EH89" i="4"/>
  <c r="EI89" i="4"/>
  <c r="EJ89" i="4"/>
  <c r="EK89" i="4"/>
  <c r="EL89" i="4"/>
  <c r="EM89" i="4"/>
  <c r="EN89" i="4"/>
  <c r="EO89" i="4"/>
  <c r="EP89" i="4"/>
  <c r="EQ89" i="4"/>
  <c r="ER89" i="4"/>
  <c r="ES89" i="4"/>
  <c r="ET89" i="4"/>
  <c r="EU89" i="4"/>
  <c r="EV89" i="4"/>
  <c r="EW89" i="4"/>
  <c r="EX89" i="4"/>
  <c r="EY89" i="4"/>
  <c r="EZ89" i="4"/>
  <c r="FA89" i="4"/>
  <c r="FB89" i="4"/>
  <c r="FC89" i="4"/>
  <c r="FD89" i="4"/>
  <c r="FE89" i="4"/>
  <c r="FF89" i="4"/>
  <c r="FG89" i="4"/>
  <c r="FH89" i="4"/>
  <c r="FI89" i="4"/>
  <c r="FJ89" i="4"/>
  <c r="FK89" i="4"/>
  <c r="FL89" i="4"/>
  <c r="FM89" i="4"/>
  <c r="FN89" i="4"/>
  <c r="FO89" i="4"/>
  <c r="FP89" i="4"/>
  <c r="FQ89" i="4"/>
  <c r="FR89" i="4"/>
  <c r="FS89" i="4"/>
  <c r="FT89" i="4"/>
  <c r="FU89" i="4"/>
  <c r="FV89" i="4"/>
  <c r="FW89" i="4"/>
  <c r="FX89" i="4"/>
  <c r="FY89" i="4"/>
  <c r="FZ89" i="4"/>
  <c r="GA89" i="4"/>
  <c r="GB89" i="4"/>
  <c r="GC89" i="4"/>
  <c r="GD89" i="4"/>
  <c r="GE89" i="4"/>
  <c r="GF89" i="4"/>
  <c r="GG89" i="4"/>
  <c r="GH89" i="4"/>
  <c r="GI89" i="4"/>
  <c r="GJ89" i="4"/>
  <c r="GK89" i="4"/>
  <c r="GL89" i="4"/>
  <c r="GM89" i="4"/>
  <c r="GN89" i="4"/>
  <c r="GO89" i="4"/>
  <c r="GP89" i="4"/>
  <c r="GQ89" i="4"/>
  <c r="GR89" i="4"/>
  <c r="GS89" i="4"/>
  <c r="GT89" i="4"/>
  <c r="GU89" i="4"/>
  <c r="GV89" i="4"/>
  <c r="GW89" i="4"/>
  <c r="GX89" i="4"/>
  <c r="GY89" i="4"/>
  <c r="GZ89" i="4"/>
  <c r="HA89" i="4"/>
  <c r="HB89" i="4"/>
  <c r="HC89" i="4"/>
  <c r="HD89" i="4"/>
  <c r="HE89" i="4"/>
  <c r="HF89" i="4"/>
  <c r="HG89" i="4"/>
  <c r="HH89" i="4"/>
  <c r="HI89" i="4"/>
  <c r="HJ89" i="4"/>
  <c r="HK89" i="4"/>
  <c r="HL89" i="4"/>
  <c r="HM89" i="4"/>
  <c r="HN89" i="4"/>
  <c r="HO89" i="4"/>
  <c r="HP89" i="4"/>
  <c r="HQ89" i="4"/>
  <c r="HR89" i="4"/>
  <c r="HS89" i="4"/>
  <c r="HT89" i="4"/>
  <c r="HU89" i="4"/>
  <c r="HV89" i="4"/>
  <c r="HW89" i="4"/>
  <c r="HX89" i="4"/>
  <c r="HY89" i="4"/>
  <c r="HZ89" i="4"/>
  <c r="IA89" i="4"/>
  <c r="IB89" i="4"/>
  <c r="IC89" i="4"/>
  <c r="ID89" i="4"/>
  <c r="IE89" i="4"/>
  <c r="IF89" i="4"/>
  <c r="IG89" i="4"/>
  <c r="IH89" i="4"/>
  <c r="II89" i="4"/>
  <c r="IJ89" i="4"/>
  <c r="IK89" i="4"/>
  <c r="IL89" i="4"/>
  <c r="IM89" i="4"/>
  <c r="IN89" i="4"/>
  <c r="IO89" i="4"/>
  <c r="IP89" i="4"/>
  <c r="IQ89" i="4"/>
  <c r="IR89" i="4"/>
  <c r="IS89" i="4"/>
  <c r="IT89" i="4"/>
  <c r="IU89" i="4"/>
  <c r="IV89" i="4"/>
  <c r="A88"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C88" i="4"/>
  <c r="AD88" i="4"/>
  <c r="AE88" i="4"/>
  <c r="AF88" i="4"/>
  <c r="AG88" i="4"/>
  <c r="AH88" i="4"/>
  <c r="AI88" i="4"/>
  <c r="AJ88" i="4"/>
  <c r="AK88" i="4"/>
  <c r="AL88" i="4"/>
  <c r="AM88" i="4"/>
  <c r="AN88" i="4"/>
  <c r="AO88" i="4"/>
  <c r="AP88" i="4"/>
  <c r="AQ88" i="4"/>
  <c r="AR88" i="4"/>
  <c r="AS88" i="4"/>
  <c r="AT88" i="4"/>
  <c r="AU88" i="4"/>
  <c r="AV88" i="4"/>
  <c r="AW88" i="4"/>
  <c r="AX88" i="4"/>
  <c r="AY88" i="4"/>
  <c r="AZ88" i="4"/>
  <c r="BA88" i="4"/>
  <c r="BB88" i="4"/>
  <c r="BC88" i="4"/>
  <c r="BD88" i="4"/>
  <c r="BE88" i="4"/>
  <c r="BF88" i="4"/>
  <c r="BG88" i="4"/>
  <c r="BH88" i="4"/>
  <c r="BI88" i="4"/>
  <c r="BJ88" i="4"/>
  <c r="BK88" i="4"/>
  <c r="BL88" i="4"/>
  <c r="BM88" i="4"/>
  <c r="BN88" i="4"/>
  <c r="BO88" i="4"/>
  <c r="BP88" i="4"/>
  <c r="BQ88" i="4"/>
  <c r="BR88" i="4"/>
  <c r="BS88" i="4"/>
  <c r="BT88" i="4"/>
  <c r="BU88" i="4"/>
  <c r="BV88" i="4"/>
  <c r="BW88" i="4"/>
  <c r="BX88" i="4"/>
  <c r="BY88" i="4"/>
  <c r="BZ88" i="4"/>
  <c r="CA88" i="4"/>
  <c r="CB88" i="4"/>
  <c r="CC88" i="4"/>
  <c r="CD88" i="4"/>
  <c r="CE88" i="4"/>
  <c r="CF88" i="4"/>
  <c r="CG88" i="4"/>
  <c r="CH88" i="4"/>
  <c r="CI88" i="4"/>
  <c r="CJ88" i="4"/>
  <c r="CK88" i="4"/>
  <c r="CL88" i="4"/>
  <c r="CM88" i="4"/>
  <c r="CN88" i="4"/>
  <c r="CO88" i="4"/>
  <c r="CP88" i="4"/>
  <c r="CQ88" i="4"/>
  <c r="CR88" i="4"/>
  <c r="CS88" i="4"/>
  <c r="CT88" i="4"/>
  <c r="CU88" i="4"/>
  <c r="CV88" i="4"/>
  <c r="CW88" i="4"/>
  <c r="CX88" i="4"/>
  <c r="CY88" i="4"/>
  <c r="CZ88" i="4"/>
  <c r="DA88" i="4"/>
  <c r="DB88" i="4"/>
  <c r="DC88" i="4"/>
  <c r="DD88" i="4"/>
  <c r="DE88" i="4"/>
  <c r="DF88" i="4"/>
  <c r="DG88" i="4"/>
  <c r="DH88" i="4"/>
  <c r="DI88" i="4"/>
  <c r="DJ88" i="4"/>
  <c r="DK88" i="4"/>
  <c r="DL88" i="4"/>
  <c r="DM88" i="4"/>
  <c r="DN88" i="4"/>
  <c r="DO88" i="4"/>
  <c r="DP88" i="4"/>
  <c r="DQ88" i="4"/>
  <c r="DR88" i="4"/>
  <c r="DS88" i="4"/>
  <c r="DT88" i="4"/>
  <c r="DU88" i="4"/>
  <c r="DV88" i="4"/>
  <c r="DW88" i="4"/>
  <c r="DX88" i="4"/>
  <c r="DY88" i="4"/>
  <c r="DZ88" i="4"/>
  <c r="EA88" i="4"/>
  <c r="EB88" i="4"/>
  <c r="EC88" i="4"/>
  <c r="ED88" i="4"/>
  <c r="EE88" i="4"/>
  <c r="EF88" i="4"/>
  <c r="EG88" i="4"/>
  <c r="EH88" i="4"/>
  <c r="EI88" i="4"/>
  <c r="EJ88" i="4"/>
  <c r="EK88" i="4"/>
  <c r="EL88" i="4"/>
  <c r="EM88" i="4"/>
  <c r="EN88" i="4"/>
  <c r="EO88" i="4"/>
  <c r="EP88" i="4"/>
  <c r="EQ88" i="4"/>
  <c r="ER88" i="4"/>
  <c r="ES88" i="4"/>
  <c r="ET88" i="4"/>
  <c r="EU88" i="4"/>
  <c r="EV88" i="4"/>
  <c r="EW88" i="4"/>
  <c r="EX88" i="4"/>
  <c r="EY88" i="4"/>
  <c r="EZ88" i="4"/>
  <c r="FA88" i="4"/>
  <c r="FB88" i="4"/>
  <c r="FC88" i="4"/>
  <c r="FD88" i="4"/>
  <c r="FE88" i="4"/>
  <c r="FF88" i="4"/>
  <c r="FG88" i="4"/>
  <c r="FH88" i="4"/>
  <c r="FI88" i="4"/>
  <c r="FJ88" i="4"/>
  <c r="FK88" i="4"/>
  <c r="FL88" i="4"/>
  <c r="FM88" i="4"/>
  <c r="FN88" i="4"/>
  <c r="FO88" i="4"/>
  <c r="FP88" i="4"/>
  <c r="FQ88" i="4"/>
  <c r="FR88" i="4"/>
  <c r="FS88" i="4"/>
  <c r="FT88" i="4"/>
  <c r="FU88" i="4"/>
  <c r="FV88" i="4"/>
  <c r="FW88" i="4"/>
  <c r="FX88" i="4"/>
  <c r="FY88" i="4"/>
  <c r="FZ88" i="4"/>
  <c r="GA88" i="4"/>
  <c r="GB88" i="4"/>
  <c r="GC88" i="4"/>
  <c r="GD88" i="4"/>
  <c r="GE88" i="4"/>
  <c r="GF88" i="4"/>
  <c r="GG88" i="4"/>
  <c r="GH88" i="4"/>
  <c r="GI88" i="4"/>
  <c r="GJ88" i="4"/>
  <c r="GK88" i="4"/>
  <c r="GL88" i="4"/>
  <c r="GM88" i="4"/>
  <c r="GN88" i="4"/>
  <c r="GO88" i="4"/>
  <c r="GP88" i="4"/>
  <c r="GQ88" i="4"/>
  <c r="GR88" i="4"/>
  <c r="GS88" i="4"/>
  <c r="GT88" i="4"/>
  <c r="GU88" i="4"/>
  <c r="GV88" i="4"/>
  <c r="GW88" i="4"/>
  <c r="GX88" i="4"/>
  <c r="GY88" i="4"/>
  <c r="GZ88" i="4"/>
  <c r="HA88" i="4"/>
  <c r="HB88" i="4"/>
  <c r="HC88" i="4"/>
  <c r="HD88" i="4"/>
  <c r="HE88" i="4"/>
  <c r="HF88" i="4"/>
  <c r="HG88" i="4"/>
  <c r="HH88" i="4"/>
  <c r="HI88" i="4"/>
  <c r="HJ88" i="4"/>
  <c r="HK88" i="4"/>
  <c r="HL88" i="4"/>
  <c r="HM88" i="4"/>
  <c r="HN88" i="4"/>
  <c r="HO88" i="4"/>
  <c r="HP88" i="4"/>
  <c r="HQ88" i="4"/>
  <c r="HR88" i="4"/>
  <c r="HS88" i="4"/>
  <c r="HT88" i="4"/>
  <c r="HU88" i="4"/>
  <c r="HV88" i="4"/>
  <c r="HW88" i="4"/>
  <c r="HX88" i="4"/>
  <c r="HY88" i="4"/>
  <c r="HZ88" i="4"/>
  <c r="IA88" i="4"/>
  <c r="IB88" i="4"/>
  <c r="IC88" i="4"/>
  <c r="ID88" i="4"/>
  <c r="IE88" i="4"/>
  <c r="IF88" i="4"/>
  <c r="IG88" i="4"/>
  <c r="IH88" i="4"/>
  <c r="II88" i="4"/>
  <c r="IJ88" i="4"/>
  <c r="IK88" i="4"/>
  <c r="IL88" i="4"/>
  <c r="IM88" i="4"/>
  <c r="IN88" i="4"/>
  <c r="IO88" i="4"/>
  <c r="IP88" i="4"/>
  <c r="IQ88" i="4"/>
  <c r="IR88" i="4"/>
  <c r="IS88" i="4"/>
  <c r="IT88" i="4"/>
  <c r="IU88" i="4"/>
  <c r="IV88" i="4"/>
  <c r="A87" i="4"/>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D87" i="4"/>
  <c r="AE87" i="4"/>
  <c r="AF87" i="4"/>
  <c r="AG87" i="4"/>
  <c r="AH87" i="4"/>
  <c r="AI87" i="4"/>
  <c r="AJ87" i="4"/>
  <c r="AK87" i="4"/>
  <c r="AL87" i="4"/>
  <c r="AM87" i="4"/>
  <c r="AN87" i="4"/>
  <c r="AO87" i="4"/>
  <c r="AP87" i="4"/>
  <c r="AQ87" i="4"/>
  <c r="AR87" i="4"/>
  <c r="AS87" i="4"/>
  <c r="AT87" i="4"/>
  <c r="AU87" i="4"/>
  <c r="AV87" i="4"/>
  <c r="AW87" i="4"/>
  <c r="AX87" i="4"/>
  <c r="AY87" i="4"/>
  <c r="AZ87" i="4"/>
  <c r="BA87" i="4"/>
  <c r="BB87" i="4"/>
  <c r="BC87" i="4"/>
  <c r="BD87" i="4"/>
  <c r="BE87" i="4"/>
  <c r="BF87" i="4"/>
  <c r="BG87" i="4"/>
  <c r="BH87" i="4"/>
  <c r="BI87" i="4"/>
  <c r="BJ87" i="4"/>
  <c r="BK87" i="4"/>
  <c r="BL87" i="4"/>
  <c r="BM87" i="4"/>
  <c r="BN87" i="4"/>
  <c r="BO87" i="4"/>
  <c r="BP87" i="4"/>
  <c r="BQ87" i="4"/>
  <c r="BR87" i="4"/>
  <c r="BS87" i="4"/>
  <c r="BT87" i="4"/>
  <c r="BU87" i="4"/>
  <c r="BV87" i="4"/>
  <c r="BW87" i="4"/>
  <c r="BX87" i="4"/>
  <c r="BY87" i="4"/>
  <c r="BZ87" i="4"/>
  <c r="CA87" i="4"/>
  <c r="CB87" i="4"/>
  <c r="CC87" i="4"/>
  <c r="CD87" i="4"/>
  <c r="CE87" i="4"/>
  <c r="CF87" i="4"/>
  <c r="CG87" i="4"/>
  <c r="CH87" i="4"/>
  <c r="CI87" i="4"/>
  <c r="CJ87" i="4"/>
  <c r="CK87" i="4"/>
  <c r="CL87" i="4"/>
  <c r="CM87" i="4"/>
  <c r="CN87" i="4"/>
  <c r="CO87" i="4"/>
  <c r="CP87" i="4"/>
  <c r="CQ87" i="4"/>
  <c r="CR87" i="4"/>
  <c r="CS87" i="4"/>
  <c r="CT87" i="4"/>
  <c r="CU87" i="4"/>
  <c r="CV87" i="4"/>
  <c r="CW87" i="4"/>
  <c r="CX87" i="4"/>
  <c r="CY87" i="4"/>
  <c r="CZ87" i="4"/>
  <c r="DA87" i="4"/>
  <c r="DB87" i="4"/>
  <c r="DC87" i="4"/>
  <c r="DD87" i="4"/>
  <c r="DE87" i="4"/>
  <c r="DF87" i="4"/>
  <c r="DG87" i="4"/>
  <c r="DH87" i="4"/>
  <c r="DI87" i="4"/>
  <c r="DJ87" i="4"/>
  <c r="DK87" i="4"/>
  <c r="DL87" i="4"/>
  <c r="DM87" i="4"/>
  <c r="DN87" i="4"/>
  <c r="DO87" i="4"/>
  <c r="DP87" i="4"/>
  <c r="DQ87" i="4"/>
  <c r="DR87" i="4"/>
  <c r="DS87" i="4"/>
  <c r="DT87" i="4"/>
  <c r="DU87" i="4"/>
  <c r="DV87" i="4"/>
  <c r="DW87" i="4"/>
  <c r="DX87" i="4"/>
  <c r="DY87" i="4"/>
  <c r="DZ87" i="4"/>
  <c r="EA87" i="4"/>
  <c r="EB87" i="4"/>
  <c r="EC87" i="4"/>
  <c r="ED87" i="4"/>
  <c r="EE87" i="4"/>
  <c r="EF87" i="4"/>
  <c r="EG87" i="4"/>
  <c r="EH87" i="4"/>
  <c r="EI87" i="4"/>
  <c r="EJ87" i="4"/>
  <c r="EK87" i="4"/>
  <c r="EL87" i="4"/>
  <c r="EM87" i="4"/>
  <c r="EN87" i="4"/>
  <c r="EO87" i="4"/>
  <c r="EP87" i="4"/>
  <c r="EQ87" i="4"/>
  <c r="ER87" i="4"/>
  <c r="ES87" i="4"/>
  <c r="ET87" i="4"/>
  <c r="EU87" i="4"/>
  <c r="EV87" i="4"/>
  <c r="EW87" i="4"/>
  <c r="EX87" i="4"/>
  <c r="EY87" i="4"/>
  <c r="EZ87" i="4"/>
  <c r="FA87" i="4"/>
  <c r="FB87" i="4"/>
  <c r="FC87" i="4"/>
  <c r="FD87" i="4"/>
  <c r="FE87" i="4"/>
  <c r="FF87" i="4"/>
  <c r="FG87" i="4"/>
  <c r="FH87" i="4"/>
  <c r="FI87" i="4"/>
  <c r="FJ87" i="4"/>
  <c r="FK87" i="4"/>
  <c r="FL87" i="4"/>
  <c r="FM87" i="4"/>
  <c r="FN87" i="4"/>
  <c r="FO87" i="4"/>
  <c r="FP87" i="4"/>
  <c r="FQ87" i="4"/>
  <c r="FR87" i="4"/>
  <c r="FS87" i="4"/>
  <c r="FT87" i="4"/>
  <c r="FU87" i="4"/>
  <c r="FV87" i="4"/>
  <c r="FW87" i="4"/>
  <c r="FX87" i="4"/>
  <c r="FY87" i="4"/>
  <c r="FZ87" i="4"/>
  <c r="GA87" i="4"/>
  <c r="GB87" i="4"/>
  <c r="GC87" i="4"/>
  <c r="GD87" i="4"/>
  <c r="GE87" i="4"/>
  <c r="GF87" i="4"/>
  <c r="GG87" i="4"/>
  <c r="GH87" i="4"/>
  <c r="GI87" i="4"/>
  <c r="GJ87" i="4"/>
  <c r="GK87" i="4"/>
  <c r="GL87" i="4"/>
  <c r="GM87" i="4"/>
  <c r="GN87" i="4"/>
  <c r="GO87" i="4"/>
  <c r="GP87" i="4"/>
  <c r="GQ87" i="4"/>
  <c r="GR87" i="4"/>
  <c r="GS87" i="4"/>
  <c r="GT87" i="4"/>
  <c r="GU87" i="4"/>
  <c r="GV87" i="4"/>
  <c r="GW87" i="4"/>
  <c r="GX87" i="4"/>
  <c r="GY87" i="4"/>
  <c r="GZ87" i="4"/>
  <c r="HA87" i="4"/>
  <c r="HB87" i="4"/>
  <c r="HC87" i="4"/>
  <c r="HD87" i="4"/>
  <c r="HE87" i="4"/>
  <c r="HF87" i="4"/>
  <c r="HG87" i="4"/>
  <c r="HH87" i="4"/>
  <c r="HI87" i="4"/>
  <c r="HJ87" i="4"/>
  <c r="HK87" i="4"/>
  <c r="HL87" i="4"/>
  <c r="HM87" i="4"/>
  <c r="HN87" i="4"/>
  <c r="HO87" i="4"/>
  <c r="HP87" i="4"/>
  <c r="HQ87" i="4"/>
  <c r="HR87" i="4"/>
  <c r="HS87" i="4"/>
  <c r="HT87" i="4"/>
  <c r="HU87" i="4"/>
  <c r="HV87" i="4"/>
  <c r="HW87" i="4"/>
  <c r="HX87" i="4"/>
  <c r="HY87" i="4"/>
  <c r="HZ87" i="4"/>
  <c r="IA87" i="4"/>
  <c r="IB87" i="4"/>
  <c r="IC87" i="4"/>
  <c r="ID87" i="4"/>
  <c r="IE87" i="4"/>
  <c r="IF87" i="4"/>
  <c r="IG87" i="4"/>
  <c r="IH87" i="4"/>
  <c r="II87" i="4"/>
  <c r="IJ87" i="4"/>
  <c r="IK87" i="4"/>
  <c r="IL87" i="4"/>
  <c r="IM87" i="4"/>
  <c r="IN87" i="4"/>
  <c r="IO87" i="4"/>
  <c r="IP87" i="4"/>
  <c r="IQ87" i="4"/>
  <c r="IR87" i="4"/>
  <c r="IS87" i="4"/>
  <c r="IT87" i="4"/>
  <c r="IU87" i="4"/>
  <c r="IV87" i="4"/>
  <c r="A86"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C86" i="4"/>
  <c r="AD86" i="4"/>
  <c r="AE86" i="4"/>
  <c r="AF86" i="4"/>
  <c r="AG86" i="4"/>
  <c r="AH86" i="4"/>
  <c r="AI86" i="4"/>
  <c r="AJ86" i="4"/>
  <c r="AK86" i="4"/>
  <c r="AL86" i="4"/>
  <c r="AM86" i="4"/>
  <c r="AN86" i="4"/>
  <c r="AO86" i="4"/>
  <c r="AP86" i="4"/>
  <c r="AQ86" i="4"/>
  <c r="AR86" i="4"/>
  <c r="AS86" i="4"/>
  <c r="AT86" i="4"/>
  <c r="AU86" i="4"/>
  <c r="AV86" i="4"/>
  <c r="AW86" i="4"/>
  <c r="AX86" i="4"/>
  <c r="AY86" i="4"/>
  <c r="AZ86" i="4"/>
  <c r="BA86" i="4"/>
  <c r="BB86" i="4"/>
  <c r="BC86" i="4"/>
  <c r="BD86" i="4"/>
  <c r="BE86" i="4"/>
  <c r="BF86" i="4"/>
  <c r="BG86" i="4"/>
  <c r="BH86" i="4"/>
  <c r="BI86" i="4"/>
  <c r="BJ86" i="4"/>
  <c r="BK86" i="4"/>
  <c r="BL86" i="4"/>
  <c r="BM86" i="4"/>
  <c r="BN86" i="4"/>
  <c r="BO86" i="4"/>
  <c r="BP86" i="4"/>
  <c r="BQ86" i="4"/>
  <c r="BR86" i="4"/>
  <c r="BS86" i="4"/>
  <c r="BT86" i="4"/>
  <c r="BU86" i="4"/>
  <c r="BV86" i="4"/>
  <c r="BW86" i="4"/>
  <c r="BX86" i="4"/>
  <c r="BY86" i="4"/>
  <c r="BZ86" i="4"/>
  <c r="CA86" i="4"/>
  <c r="CB86" i="4"/>
  <c r="CC86" i="4"/>
  <c r="CD86" i="4"/>
  <c r="CE86" i="4"/>
  <c r="CF86" i="4"/>
  <c r="CG86" i="4"/>
  <c r="CH86" i="4"/>
  <c r="CI86" i="4"/>
  <c r="CJ86" i="4"/>
  <c r="CK86" i="4"/>
  <c r="CL86" i="4"/>
  <c r="CM86" i="4"/>
  <c r="CN86" i="4"/>
  <c r="CO86" i="4"/>
  <c r="CP86" i="4"/>
  <c r="CQ86" i="4"/>
  <c r="CR86" i="4"/>
  <c r="CS86" i="4"/>
  <c r="CT86" i="4"/>
  <c r="CU86" i="4"/>
  <c r="CV86" i="4"/>
  <c r="CW86" i="4"/>
  <c r="CX86" i="4"/>
  <c r="CY86" i="4"/>
  <c r="CZ86" i="4"/>
  <c r="DA86" i="4"/>
  <c r="DB86" i="4"/>
  <c r="DC86" i="4"/>
  <c r="DD86" i="4"/>
  <c r="DE86" i="4"/>
  <c r="DF86" i="4"/>
  <c r="DG86" i="4"/>
  <c r="DH86" i="4"/>
  <c r="DI86" i="4"/>
  <c r="DJ86" i="4"/>
  <c r="DK86" i="4"/>
  <c r="DL86" i="4"/>
  <c r="DM86" i="4"/>
  <c r="DN86" i="4"/>
  <c r="DO86" i="4"/>
  <c r="DP86" i="4"/>
  <c r="DQ86" i="4"/>
  <c r="DR86" i="4"/>
  <c r="DS86" i="4"/>
  <c r="DT86" i="4"/>
  <c r="DU86" i="4"/>
  <c r="DV86" i="4"/>
  <c r="DW86" i="4"/>
  <c r="DX86" i="4"/>
  <c r="DY86" i="4"/>
  <c r="DZ86" i="4"/>
  <c r="EA86" i="4"/>
  <c r="EB86" i="4"/>
  <c r="EC86" i="4"/>
  <c r="ED86" i="4"/>
  <c r="EE86" i="4"/>
  <c r="EF86" i="4"/>
  <c r="EG86" i="4"/>
  <c r="EH86" i="4"/>
  <c r="EI86" i="4"/>
  <c r="EJ86" i="4"/>
  <c r="EK86" i="4"/>
  <c r="EL86" i="4"/>
  <c r="EM86" i="4"/>
  <c r="EN86" i="4"/>
  <c r="EO86" i="4"/>
  <c r="EP86" i="4"/>
  <c r="EQ86" i="4"/>
  <c r="ER86" i="4"/>
  <c r="ES86" i="4"/>
  <c r="ET86" i="4"/>
  <c r="EU86" i="4"/>
  <c r="EV86" i="4"/>
  <c r="EW86" i="4"/>
  <c r="EX86" i="4"/>
  <c r="EY86" i="4"/>
  <c r="EZ86" i="4"/>
  <c r="FA86" i="4"/>
  <c r="FB86" i="4"/>
  <c r="FC86" i="4"/>
  <c r="FD86" i="4"/>
  <c r="FE86" i="4"/>
  <c r="FF86" i="4"/>
  <c r="FG86" i="4"/>
  <c r="FH86" i="4"/>
  <c r="FI86" i="4"/>
  <c r="FJ86" i="4"/>
  <c r="FK86" i="4"/>
  <c r="FL86" i="4"/>
  <c r="FM86" i="4"/>
  <c r="FN86" i="4"/>
  <c r="FO86" i="4"/>
  <c r="FP86" i="4"/>
  <c r="FQ86" i="4"/>
  <c r="FR86" i="4"/>
  <c r="FS86" i="4"/>
  <c r="FT86" i="4"/>
  <c r="FU86" i="4"/>
  <c r="FV86" i="4"/>
  <c r="FW86" i="4"/>
  <c r="FX86" i="4"/>
  <c r="FY86" i="4"/>
  <c r="FZ86" i="4"/>
  <c r="GA86" i="4"/>
  <c r="GB86" i="4"/>
  <c r="GC86" i="4"/>
  <c r="GD86" i="4"/>
  <c r="GE86" i="4"/>
  <c r="GF86" i="4"/>
  <c r="GG86" i="4"/>
  <c r="GH86" i="4"/>
  <c r="GI86" i="4"/>
  <c r="GJ86" i="4"/>
  <c r="GK86" i="4"/>
  <c r="GL86" i="4"/>
  <c r="GM86" i="4"/>
  <c r="GN86" i="4"/>
  <c r="GO86" i="4"/>
  <c r="GP86" i="4"/>
  <c r="GQ86" i="4"/>
  <c r="GR86" i="4"/>
  <c r="GS86" i="4"/>
  <c r="GT86" i="4"/>
  <c r="GU86" i="4"/>
  <c r="GV86" i="4"/>
  <c r="GW86" i="4"/>
  <c r="GX86" i="4"/>
  <c r="GY86" i="4"/>
  <c r="GZ86" i="4"/>
  <c r="HA86" i="4"/>
  <c r="HB86" i="4"/>
  <c r="HC86" i="4"/>
  <c r="HD86" i="4"/>
  <c r="HE86" i="4"/>
  <c r="HF86" i="4"/>
  <c r="HG86" i="4"/>
  <c r="HH86" i="4"/>
  <c r="HI86" i="4"/>
  <c r="HJ86" i="4"/>
  <c r="HK86" i="4"/>
  <c r="HL86" i="4"/>
  <c r="HM86" i="4"/>
  <c r="HN86" i="4"/>
  <c r="HO86" i="4"/>
  <c r="HP86" i="4"/>
  <c r="HQ86" i="4"/>
  <c r="HR86" i="4"/>
  <c r="HS86" i="4"/>
  <c r="HT86" i="4"/>
  <c r="HU86" i="4"/>
  <c r="HV86" i="4"/>
  <c r="HW86" i="4"/>
  <c r="HX86" i="4"/>
  <c r="HY86" i="4"/>
  <c r="HZ86" i="4"/>
  <c r="IA86" i="4"/>
  <c r="IB86" i="4"/>
  <c r="IC86" i="4"/>
  <c r="ID86" i="4"/>
  <c r="IE86" i="4"/>
  <c r="IF86" i="4"/>
  <c r="IG86" i="4"/>
  <c r="IH86" i="4"/>
  <c r="II86" i="4"/>
  <c r="IJ86" i="4"/>
  <c r="IK86" i="4"/>
  <c r="IL86" i="4"/>
  <c r="IM86" i="4"/>
  <c r="IN86" i="4"/>
  <c r="IO86" i="4"/>
  <c r="IP86" i="4"/>
  <c r="IQ86" i="4"/>
  <c r="IR86" i="4"/>
  <c r="IS86" i="4"/>
  <c r="IT86" i="4"/>
  <c r="IU86" i="4"/>
  <c r="IV86" i="4"/>
  <c r="A85" i="4"/>
  <c r="B85" i="4"/>
  <c r="C85" i="4"/>
  <c r="D85" i="4"/>
  <c r="E85" i="4"/>
  <c r="F85" i="4"/>
  <c r="H85" i="4"/>
  <c r="I85" i="4"/>
  <c r="J85" i="4"/>
  <c r="K85" i="4"/>
  <c r="L85" i="4"/>
  <c r="M85" i="4"/>
  <c r="N85" i="4"/>
  <c r="O85" i="4"/>
  <c r="P85" i="4"/>
  <c r="Q85" i="4"/>
  <c r="R85" i="4"/>
  <c r="S85" i="4"/>
  <c r="T85" i="4"/>
  <c r="U85" i="4"/>
  <c r="V85" i="4"/>
  <c r="W85" i="4"/>
  <c r="X85" i="4"/>
  <c r="Y85" i="4"/>
  <c r="Z85" i="4"/>
  <c r="AA85" i="4"/>
  <c r="AB85" i="4"/>
  <c r="AC85" i="4"/>
  <c r="AD85" i="4"/>
  <c r="AE85" i="4"/>
  <c r="AF85" i="4"/>
  <c r="AG85" i="4"/>
  <c r="AH85" i="4"/>
  <c r="AI85" i="4"/>
  <c r="AJ85" i="4"/>
  <c r="AK85" i="4"/>
  <c r="AL85" i="4"/>
  <c r="AM85" i="4"/>
  <c r="AN85" i="4"/>
  <c r="AO85" i="4"/>
  <c r="AP85" i="4"/>
  <c r="AQ85" i="4"/>
  <c r="AR85" i="4"/>
  <c r="AS85" i="4"/>
  <c r="AT85" i="4"/>
  <c r="AU85" i="4"/>
  <c r="AV85" i="4"/>
  <c r="AW85" i="4"/>
  <c r="AX85" i="4"/>
  <c r="AY85" i="4"/>
  <c r="AZ85" i="4"/>
  <c r="BA85" i="4"/>
  <c r="BB85" i="4"/>
  <c r="BC85" i="4"/>
  <c r="BD85" i="4"/>
  <c r="BE85" i="4"/>
  <c r="BF85" i="4"/>
  <c r="BG85" i="4"/>
  <c r="BH85" i="4"/>
  <c r="BI85" i="4"/>
  <c r="BJ85" i="4"/>
  <c r="BK85" i="4"/>
  <c r="BL85" i="4"/>
  <c r="BM85" i="4"/>
  <c r="BN85" i="4"/>
  <c r="BO85" i="4"/>
  <c r="BP85" i="4"/>
  <c r="BQ85" i="4"/>
  <c r="BR85" i="4"/>
  <c r="BS85" i="4"/>
  <c r="BT85" i="4"/>
  <c r="BU85" i="4"/>
  <c r="BV85" i="4"/>
  <c r="BW85" i="4"/>
  <c r="BX85" i="4"/>
  <c r="BY85" i="4"/>
  <c r="BZ85" i="4"/>
  <c r="CA85" i="4"/>
  <c r="CB85" i="4"/>
  <c r="CC85" i="4"/>
  <c r="CD85" i="4"/>
  <c r="CE85" i="4"/>
  <c r="CF85" i="4"/>
  <c r="CG85" i="4"/>
  <c r="CH85" i="4"/>
  <c r="CI85" i="4"/>
  <c r="CJ85" i="4"/>
  <c r="CK85" i="4"/>
  <c r="CL85" i="4"/>
  <c r="CM85" i="4"/>
  <c r="CN85" i="4"/>
  <c r="CO85" i="4"/>
  <c r="CP85" i="4"/>
  <c r="CQ85" i="4"/>
  <c r="CR85" i="4"/>
  <c r="CS85" i="4"/>
  <c r="CT85" i="4"/>
  <c r="CU85" i="4"/>
  <c r="CV85" i="4"/>
  <c r="CW85" i="4"/>
  <c r="CX85" i="4"/>
  <c r="CY85" i="4"/>
  <c r="CZ85" i="4"/>
  <c r="DA85" i="4"/>
  <c r="DB85" i="4"/>
  <c r="DC85" i="4"/>
  <c r="DD85" i="4"/>
  <c r="DE85" i="4"/>
  <c r="DF85" i="4"/>
  <c r="DG85" i="4"/>
  <c r="DH85" i="4"/>
  <c r="DI85" i="4"/>
  <c r="DJ85" i="4"/>
  <c r="DK85" i="4"/>
  <c r="DL85" i="4"/>
  <c r="DM85" i="4"/>
  <c r="DN85" i="4"/>
  <c r="DO85" i="4"/>
  <c r="DP85" i="4"/>
  <c r="DQ85" i="4"/>
  <c r="DR85" i="4"/>
  <c r="DS85" i="4"/>
  <c r="DT85" i="4"/>
  <c r="DU85" i="4"/>
  <c r="DV85" i="4"/>
  <c r="DW85" i="4"/>
  <c r="DX85" i="4"/>
  <c r="DY85" i="4"/>
  <c r="DZ85" i="4"/>
  <c r="EA85" i="4"/>
  <c r="EB85" i="4"/>
  <c r="EC85" i="4"/>
  <c r="ED85" i="4"/>
  <c r="EE85" i="4"/>
  <c r="EF85" i="4"/>
  <c r="EG85" i="4"/>
  <c r="EH85" i="4"/>
  <c r="EI85" i="4"/>
  <c r="EJ85" i="4"/>
  <c r="EK85" i="4"/>
  <c r="EL85" i="4"/>
  <c r="EM85" i="4"/>
  <c r="EN85" i="4"/>
  <c r="EO85" i="4"/>
  <c r="EP85" i="4"/>
  <c r="EQ85" i="4"/>
  <c r="ER85" i="4"/>
  <c r="ES85" i="4"/>
  <c r="ET85" i="4"/>
  <c r="EU85" i="4"/>
  <c r="EV85" i="4"/>
  <c r="EW85" i="4"/>
  <c r="EX85" i="4"/>
  <c r="EY85" i="4"/>
  <c r="EZ85" i="4"/>
  <c r="FA85" i="4"/>
  <c r="FB85" i="4"/>
  <c r="FC85" i="4"/>
  <c r="FD85" i="4"/>
  <c r="FE85" i="4"/>
  <c r="FF85" i="4"/>
  <c r="FG85" i="4"/>
  <c r="FH85" i="4"/>
  <c r="FI85" i="4"/>
  <c r="FJ85" i="4"/>
  <c r="FK85" i="4"/>
  <c r="FL85" i="4"/>
  <c r="FM85" i="4"/>
  <c r="FN85" i="4"/>
  <c r="FO85" i="4"/>
  <c r="FP85" i="4"/>
  <c r="FQ85" i="4"/>
  <c r="FR85" i="4"/>
  <c r="FS85" i="4"/>
  <c r="FT85" i="4"/>
  <c r="FU85" i="4"/>
  <c r="FV85" i="4"/>
  <c r="FW85" i="4"/>
  <c r="FX85" i="4"/>
  <c r="FY85" i="4"/>
  <c r="FZ85" i="4"/>
  <c r="GA85" i="4"/>
  <c r="GB85" i="4"/>
  <c r="GC85" i="4"/>
  <c r="GD85" i="4"/>
  <c r="GE85" i="4"/>
  <c r="GF85" i="4"/>
  <c r="GG85" i="4"/>
  <c r="GH85" i="4"/>
  <c r="GI85" i="4"/>
  <c r="GJ85" i="4"/>
  <c r="GK85" i="4"/>
  <c r="GL85" i="4"/>
  <c r="GM85" i="4"/>
  <c r="GN85" i="4"/>
  <c r="GO85" i="4"/>
  <c r="GP85" i="4"/>
  <c r="GQ85" i="4"/>
  <c r="GR85" i="4"/>
  <c r="GS85" i="4"/>
  <c r="GT85" i="4"/>
  <c r="GU85" i="4"/>
  <c r="GV85" i="4"/>
  <c r="GW85" i="4"/>
  <c r="GX85" i="4"/>
  <c r="GY85" i="4"/>
  <c r="GZ85" i="4"/>
  <c r="HA85" i="4"/>
  <c r="HB85" i="4"/>
  <c r="HC85" i="4"/>
  <c r="HD85" i="4"/>
  <c r="HE85" i="4"/>
  <c r="HF85" i="4"/>
  <c r="HG85" i="4"/>
  <c r="HH85" i="4"/>
  <c r="HI85" i="4"/>
  <c r="HJ85" i="4"/>
  <c r="HK85" i="4"/>
  <c r="HL85" i="4"/>
  <c r="HM85" i="4"/>
  <c r="HN85" i="4"/>
  <c r="HO85" i="4"/>
  <c r="HP85" i="4"/>
  <c r="HQ85" i="4"/>
  <c r="HR85" i="4"/>
  <c r="HS85" i="4"/>
  <c r="HT85" i="4"/>
  <c r="HU85" i="4"/>
  <c r="HV85" i="4"/>
  <c r="HW85" i="4"/>
  <c r="HX85" i="4"/>
  <c r="HY85" i="4"/>
  <c r="HZ85" i="4"/>
  <c r="IA85" i="4"/>
  <c r="IB85" i="4"/>
  <c r="IC85" i="4"/>
  <c r="ID85" i="4"/>
  <c r="IE85" i="4"/>
  <c r="IF85" i="4"/>
  <c r="IG85" i="4"/>
  <c r="IH85" i="4"/>
  <c r="II85" i="4"/>
  <c r="IJ85" i="4"/>
  <c r="IK85" i="4"/>
  <c r="IL85" i="4"/>
  <c r="IM85" i="4"/>
  <c r="IN85" i="4"/>
  <c r="IO85" i="4"/>
  <c r="IP85" i="4"/>
  <c r="IQ85" i="4"/>
  <c r="IR85" i="4"/>
  <c r="IS85" i="4"/>
  <c r="IT85" i="4"/>
  <c r="IU85" i="4"/>
  <c r="IV85" i="4"/>
  <c r="A84" i="4"/>
  <c r="B84" i="4"/>
  <c r="C84" i="4"/>
  <c r="D84" i="4"/>
  <c r="E84" i="4"/>
  <c r="F84" i="4"/>
  <c r="G84" i="4"/>
  <c r="I84" i="4"/>
  <c r="J84" i="4"/>
  <c r="K84" i="4"/>
  <c r="L84" i="4"/>
  <c r="M84" i="4"/>
  <c r="N84" i="4"/>
  <c r="O84" i="4"/>
  <c r="P84" i="4"/>
  <c r="Q84" i="4"/>
  <c r="R84" i="4"/>
  <c r="S84" i="4"/>
  <c r="T84" i="4"/>
  <c r="U84" i="4"/>
  <c r="V84" i="4"/>
  <c r="W84" i="4"/>
  <c r="X84" i="4"/>
  <c r="Y84" i="4"/>
  <c r="Z84" i="4"/>
  <c r="AA84" i="4"/>
  <c r="AB84" i="4"/>
  <c r="AC84" i="4"/>
  <c r="AD84" i="4"/>
  <c r="AE84" i="4"/>
  <c r="AF84" i="4"/>
  <c r="AG84" i="4"/>
  <c r="AH84" i="4"/>
  <c r="AI84" i="4"/>
  <c r="AJ84" i="4"/>
  <c r="AK84" i="4"/>
  <c r="AL84" i="4"/>
  <c r="AM84" i="4"/>
  <c r="AN84" i="4"/>
  <c r="AO84" i="4"/>
  <c r="AP84" i="4"/>
  <c r="AQ84" i="4"/>
  <c r="AR84" i="4"/>
  <c r="AS84" i="4"/>
  <c r="AT84" i="4"/>
  <c r="AU84" i="4"/>
  <c r="AV84" i="4"/>
  <c r="AW84" i="4"/>
  <c r="AX84" i="4"/>
  <c r="AY84" i="4"/>
  <c r="AZ84" i="4"/>
  <c r="BA84" i="4"/>
  <c r="BB84" i="4"/>
  <c r="BC84" i="4"/>
  <c r="BD84" i="4"/>
  <c r="BE84" i="4"/>
  <c r="BF84" i="4"/>
  <c r="BG84" i="4"/>
  <c r="BH84" i="4"/>
  <c r="BI84" i="4"/>
  <c r="BJ84" i="4"/>
  <c r="BK84" i="4"/>
  <c r="BL84" i="4"/>
  <c r="BM84" i="4"/>
  <c r="BN84" i="4"/>
  <c r="BO84" i="4"/>
  <c r="BP84" i="4"/>
  <c r="BQ84" i="4"/>
  <c r="BR84" i="4"/>
  <c r="BS84" i="4"/>
  <c r="BT84" i="4"/>
  <c r="BU84" i="4"/>
  <c r="BV84" i="4"/>
  <c r="BW84" i="4"/>
  <c r="BX84" i="4"/>
  <c r="BY84" i="4"/>
  <c r="BZ84" i="4"/>
  <c r="CA84" i="4"/>
  <c r="CB84" i="4"/>
  <c r="CC84" i="4"/>
  <c r="CD84" i="4"/>
  <c r="CE84" i="4"/>
  <c r="CF84" i="4"/>
  <c r="CG84" i="4"/>
  <c r="CH84" i="4"/>
  <c r="CI84" i="4"/>
  <c r="CJ84" i="4"/>
  <c r="CK84" i="4"/>
  <c r="CL84" i="4"/>
  <c r="CM84" i="4"/>
  <c r="CN84" i="4"/>
  <c r="CO84" i="4"/>
  <c r="CP84" i="4"/>
  <c r="CQ84" i="4"/>
  <c r="CR84" i="4"/>
  <c r="CS84" i="4"/>
  <c r="CT84" i="4"/>
  <c r="CU84" i="4"/>
  <c r="CV84" i="4"/>
  <c r="CW84" i="4"/>
  <c r="CX84" i="4"/>
  <c r="CY84" i="4"/>
  <c r="CZ84" i="4"/>
  <c r="DA84" i="4"/>
  <c r="DB84" i="4"/>
  <c r="DC84" i="4"/>
  <c r="DD84" i="4"/>
  <c r="DE84" i="4"/>
  <c r="DF84" i="4"/>
  <c r="DG84" i="4"/>
  <c r="DH84" i="4"/>
  <c r="DI84" i="4"/>
  <c r="DJ84" i="4"/>
  <c r="DK84" i="4"/>
  <c r="DL84" i="4"/>
  <c r="DM84" i="4"/>
  <c r="DN84" i="4"/>
  <c r="DO84" i="4"/>
  <c r="DP84" i="4"/>
  <c r="DQ84" i="4"/>
  <c r="DR84" i="4"/>
  <c r="DS84" i="4"/>
  <c r="DT84" i="4"/>
  <c r="DU84" i="4"/>
  <c r="DV84" i="4"/>
  <c r="DW84" i="4"/>
  <c r="DX84" i="4"/>
  <c r="DY84" i="4"/>
  <c r="DZ84" i="4"/>
  <c r="EA84" i="4"/>
  <c r="EB84" i="4"/>
  <c r="EC84" i="4"/>
  <c r="ED84" i="4"/>
  <c r="EE84" i="4"/>
  <c r="EF84" i="4"/>
  <c r="EG84" i="4"/>
  <c r="EH84" i="4"/>
  <c r="EI84" i="4"/>
  <c r="EJ84" i="4"/>
  <c r="EK84" i="4"/>
  <c r="EL84" i="4"/>
  <c r="EM84" i="4"/>
  <c r="EN84" i="4"/>
  <c r="EO84" i="4"/>
  <c r="EP84" i="4"/>
  <c r="EQ84" i="4"/>
  <c r="ER84" i="4"/>
  <c r="ES84" i="4"/>
  <c r="ET84" i="4"/>
  <c r="EU84" i="4"/>
  <c r="EV84" i="4"/>
  <c r="EW84" i="4"/>
  <c r="EX84" i="4"/>
  <c r="EY84" i="4"/>
  <c r="EZ84" i="4"/>
  <c r="FA84" i="4"/>
  <c r="FB84" i="4"/>
  <c r="FC84" i="4"/>
  <c r="FD84" i="4"/>
  <c r="FE84" i="4"/>
  <c r="FF84" i="4"/>
  <c r="FG84" i="4"/>
  <c r="FH84" i="4"/>
  <c r="FI84" i="4"/>
  <c r="FJ84" i="4"/>
  <c r="FK84" i="4"/>
  <c r="FL84" i="4"/>
  <c r="FM84" i="4"/>
  <c r="FN84" i="4"/>
  <c r="FO84" i="4"/>
  <c r="FP84" i="4"/>
  <c r="FQ84" i="4"/>
  <c r="FR84" i="4"/>
  <c r="FS84" i="4"/>
  <c r="FT84" i="4"/>
  <c r="FU84" i="4"/>
  <c r="FV84" i="4"/>
  <c r="FW84" i="4"/>
  <c r="FX84" i="4"/>
  <c r="FY84" i="4"/>
  <c r="FZ84" i="4"/>
  <c r="GA84" i="4"/>
  <c r="GB84" i="4"/>
  <c r="GC84" i="4"/>
  <c r="GD84" i="4"/>
  <c r="GE84" i="4"/>
  <c r="GF84" i="4"/>
  <c r="GG84" i="4"/>
  <c r="GH84" i="4"/>
  <c r="GI84" i="4"/>
  <c r="GJ84" i="4"/>
  <c r="GK84" i="4"/>
  <c r="GL84" i="4"/>
  <c r="GM84" i="4"/>
  <c r="GN84" i="4"/>
  <c r="GO84" i="4"/>
  <c r="GP84" i="4"/>
  <c r="GQ84" i="4"/>
  <c r="GR84" i="4"/>
  <c r="GS84" i="4"/>
  <c r="GT84" i="4"/>
  <c r="GU84" i="4"/>
  <c r="GV84" i="4"/>
  <c r="GW84" i="4"/>
  <c r="GX84" i="4"/>
  <c r="GY84" i="4"/>
  <c r="GZ84" i="4"/>
  <c r="HA84" i="4"/>
  <c r="HB84" i="4"/>
  <c r="HC84" i="4"/>
  <c r="HD84" i="4"/>
  <c r="HE84" i="4"/>
  <c r="HF84" i="4"/>
  <c r="HG84" i="4"/>
  <c r="HH84" i="4"/>
  <c r="HI84" i="4"/>
  <c r="HJ84" i="4"/>
  <c r="HK84" i="4"/>
  <c r="HL84" i="4"/>
  <c r="HM84" i="4"/>
  <c r="HN84" i="4"/>
  <c r="HO84" i="4"/>
  <c r="HP84" i="4"/>
  <c r="HQ84" i="4"/>
  <c r="HR84" i="4"/>
  <c r="HS84" i="4"/>
  <c r="HT84" i="4"/>
  <c r="HU84" i="4"/>
  <c r="HV84" i="4"/>
  <c r="HW84" i="4"/>
  <c r="HX84" i="4"/>
  <c r="HY84" i="4"/>
  <c r="HZ84" i="4"/>
  <c r="IA84" i="4"/>
  <c r="IB84" i="4"/>
  <c r="IC84" i="4"/>
  <c r="ID84" i="4"/>
  <c r="IE84" i="4"/>
  <c r="IF84" i="4"/>
  <c r="IG84" i="4"/>
  <c r="IH84" i="4"/>
  <c r="II84" i="4"/>
  <c r="IJ84" i="4"/>
  <c r="IK84" i="4"/>
  <c r="IL84" i="4"/>
  <c r="IM84" i="4"/>
  <c r="IN84" i="4"/>
  <c r="IO84" i="4"/>
  <c r="IP84" i="4"/>
  <c r="IQ84" i="4"/>
  <c r="IR84" i="4"/>
  <c r="IS84" i="4"/>
  <c r="IT84" i="4"/>
  <c r="IU84" i="4"/>
  <c r="IV84" i="4"/>
  <c r="A83" i="4"/>
  <c r="B83" i="4"/>
  <c r="C83" i="4"/>
  <c r="D83" i="4"/>
  <c r="E83" i="4"/>
  <c r="F83" i="4"/>
  <c r="G83" i="4"/>
  <c r="H83" i="4"/>
  <c r="I83" i="4"/>
  <c r="J83" i="4"/>
  <c r="K83" i="4"/>
  <c r="L83" i="4"/>
  <c r="M83" i="4"/>
  <c r="N83" i="4"/>
  <c r="O83" i="4"/>
  <c r="P83" i="4"/>
  <c r="Q83" i="4"/>
  <c r="R83" i="4"/>
  <c r="S83" i="4"/>
  <c r="T83" i="4"/>
  <c r="U83" i="4"/>
  <c r="V83" i="4"/>
  <c r="W83" i="4"/>
  <c r="X83" i="4"/>
  <c r="Y83" i="4"/>
  <c r="Z83" i="4"/>
  <c r="AA83" i="4"/>
  <c r="AB83" i="4"/>
  <c r="AC83" i="4"/>
  <c r="AD83" i="4"/>
  <c r="AE83" i="4"/>
  <c r="AF83" i="4"/>
  <c r="AG83" i="4"/>
  <c r="AH83" i="4"/>
  <c r="AI83" i="4"/>
  <c r="AJ83" i="4"/>
  <c r="AK83" i="4"/>
  <c r="AL83" i="4"/>
  <c r="AM83" i="4"/>
  <c r="AN83" i="4"/>
  <c r="AO83" i="4"/>
  <c r="AP83" i="4"/>
  <c r="AQ83" i="4"/>
  <c r="AR83" i="4"/>
  <c r="AS83" i="4"/>
  <c r="AT83" i="4"/>
  <c r="AU83" i="4"/>
  <c r="AV83" i="4"/>
  <c r="AW83" i="4"/>
  <c r="AX83" i="4"/>
  <c r="AY83" i="4"/>
  <c r="AZ83" i="4"/>
  <c r="BA83" i="4"/>
  <c r="BB83" i="4"/>
  <c r="BC83" i="4"/>
  <c r="BD83" i="4"/>
  <c r="BE83" i="4"/>
  <c r="BF83" i="4"/>
  <c r="BG83" i="4"/>
  <c r="BH83" i="4"/>
  <c r="BI83" i="4"/>
  <c r="BJ83" i="4"/>
  <c r="BK83" i="4"/>
  <c r="BL83" i="4"/>
  <c r="BM83" i="4"/>
  <c r="BN83" i="4"/>
  <c r="BO83" i="4"/>
  <c r="BP83" i="4"/>
  <c r="BQ83" i="4"/>
  <c r="BR83" i="4"/>
  <c r="BS83" i="4"/>
  <c r="BT83" i="4"/>
  <c r="BU83" i="4"/>
  <c r="BV83" i="4"/>
  <c r="BW83" i="4"/>
  <c r="BX83" i="4"/>
  <c r="BY83" i="4"/>
  <c r="BZ83" i="4"/>
  <c r="CA83" i="4"/>
  <c r="CB83" i="4"/>
  <c r="CC83" i="4"/>
  <c r="CD83" i="4"/>
  <c r="CE83" i="4"/>
  <c r="CF83" i="4"/>
  <c r="CG83" i="4"/>
  <c r="CH83" i="4"/>
  <c r="CI83" i="4"/>
  <c r="CJ83" i="4"/>
  <c r="CK83" i="4"/>
  <c r="CL83" i="4"/>
  <c r="CM83" i="4"/>
  <c r="CN83" i="4"/>
  <c r="CO83" i="4"/>
  <c r="CP83" i="4"/>
  <c r="CQ83" i="4"/>
  <c r="CR83" i="4"/>
  <c r="CS83" i="4"/>
  <c r="CT83" i="4"/>
  <c r="CU83" i="4"/>
  <c r="CV83" i="4"/>
  <c r="CW83" i="4"/>
  <c r="CX83" i="4"/>
  <c r="CY83" i="4"/>
  <c r="CZ83" i="4"/>
  <c r="DA83" i="4"/>
  <c r="DB83" i="4"/>
  <c r="DC83" i="4"/>
  <c r="DD83" i="4"/>
  <c r="DE83" i="4"/>
  <c r="DF83" i="4"/>
  <c r="DG83" i="4"/>
  <c r="DH83" i="4"/>
  <c r="DI83" i="4"/>
  <c r="DJ83" i="4"/>
  <c r="DK83" i="4"/>
  <c r="DL83" i="4"/>
  <c r="DM83" i="4"/>
  <c r="DN83" i="4"/>
  <c r="DO83" i="4"/>
  <c r="DP83" i="4"/>
  <c r="DQ83" i="4"/>
  <c r="DR83" i="4"/>
  <c r="DS83" i="4"/>
  <c r="DT83" i="4"/>
  <c r="DU83" i="4"/>
  <c r="DV83" i="4"/>
  <c r="DW83" i="4"/>
  <c r="DX83" i="4"/>
  <c r="DY83" i="4"/>
  <c r="DZ83" i="4"/>
  <c r="EA83" i="4"/>
  <c r="EB83" i="4"/>
  <c r="EC83" i="4"/>
  <c r="ED83" i="4"/>
  <c r="EE83" i="4"/>
  <c r="EF83" i="4"/>
  <c r="EG83" i="4"/>
  <c r="EH83" i="4"/>
  <c r="EI83" i="4"/>
  <c r="EJ83" i="4"/>
  <c r="EK83" i="4"/>
  <c r="EL83" i="4"/>
  <c r="EM83" i="4"/>
  <c r="EN83" i="4"/>
  <c r="EO83" i="4"/>
  <c r="EP83" i="4"/>
  <c r="EQ83" i="4"/>
  <c r="ER83" i="4"/>
  <c r="ES83" i="4"/>
  <c r="ET83" i="4"/>
  <c r="EU83" i="4"/>
  <c r="EV83" i="4"/>
  <c r="EW83" i="4"/>
  <c r="EX83" i="4"/>
  <c r="EY83" i="4"/>
  <c r="EZ83" i="4"/>
  <c r="FA83" i="4"/>
  <c r="FB83" i="4"/>
  <c r="FC83" i="4"/>
  <c r="FD83" i="4"/>
  <c r="FE83" i="4"/>
  <c r="FF83" i="4"/>
  <c r="FG83" i="4"/>
  <c r="FH83" i="4"/>
  <c r="FI83" i="4"/>
  <c r="FJ83" i="4"/>
  <c r="FK83" i="4"/>
  <c r="FL83" i="4"/>
  <c r="FM83" i="4"/>
  <c r="FN83" i="4"/>
  <c r="FO83" i="4"/>
  <c r="FP83" i="4"/>
  <c r="FQ83" i="4"/>
  <c r="FR83" i="4"/>
  <c r="FS83" i="4"/>
  <c r="FT83" i="4"/>
  <c r="FU83" i="4"/>
  <c r="FV83" i="4"/>
  <c r="FW83" i="4"/>
  <c r="FX83" i="4"/>
  <c r="FY83" i="4"/>
  <c r="FZ83" i="4"/>
  <c r="GA83" i="4"/>
  <c r="GB83" i="4"/>
  <c r="GC83" i="4"/>
  <c r="GD83" i="4"/>
  <c r="GE83" i="4"/>
  <c r="GF83" i="4"/>
  <c r="GG83" i="4"/>
  <c r="GH83" i="4"/>
  <c r="GI83" i="4"/>
  <c r="GJ83" i="4"/>
  <c r="GK83" i="4"/>
  <c r="GL83" i="4"/>
  <c r="GM83" i="4"/>
  <c r="GN83" i="4"/>
  <c r="GO83" i="4"/>
  <c r="GP83" i="4"/>
  <c r="GQ83" i="4"/>
  <c r="GR83" i="4"/>
  <c r="GS83" i="4"/>
  <c r="GT83" i="4"/>
  <c r="GU83" i="4"/>
  <c r="GV83" i="4"/>
  <c r="GW83" i="4"/>
  <c r="GX83" i="4"/>
  <c r="GY83" i="4"/>
  <c r="GZ83" i="4"/>
  <c r="HA83" i="4"/>
  <c r="HB83" i="4"/>
  <c r="HC83" i="4"/>
  <c r="HD83" i="4"/>
  <c r="HE83" i="4"/>
  <c r="HF83" i="4"/>
  <c r="HG83" i="4"/>
  <c r="HH83" i="4"/>
  <c r="HI83" i="4"/>
  <c r="HJ83" i="4"/>
  <c r="HK83" i="4"/>
  <c r="HL83" i="4"/>
  <c r="HM83" i="4"/>
  <c r="HN83" i="4"/>
  <c r="HO83" i="4"/>
  <c r="HP83" i="4"/>
  <c r="HQ83" i="4"/>
  <c r="HR83" i="4"/>
  <c r="HS83" i="4"/>
  <c r="HT83" i="4"/>
  <c r="HU83" i="4"/>
  <c r="HV83" i="4"/>
  <c r="HW83" i="4"/>
  <c r="HX83" i="4"/>
  <c r="HY83" i="4"/>
  <c r="HZ83" i="4"/>
  <c r="IA83" i="4"/>
  <c r="IB83" i="4"/>
  <c r="IC83" i="4"/>
  <c r="ID83" i="4"/>
  <c r="IE83" i="4"/>
  <c r="IF83" i="4"/>
  <c r="IG83" i="4"/>
  <c r="IH83" i="4"/>
  <c r="II83" i="4"/>
  <c r="IJ83" i="4"/>
  <c r="IK83" i="4"/>
  <c r="IL83" i="4"/>
  <c r="IM83" i="4"/>
  <c r="IN83" i="4"/>
  <c r="IO83" i="4"/>
  <c r="IP83" i="4"/>
  <c r="IQ83" i="4"/>
  <c r="IR83" i="4"/>
  <c r="IS83" i="4"/>
  <c r="IT83" i="4"/>
  <c r="IU83" i="4"/>
  <c r="IV83" i="4"/>
  <c r="A82" i="4"/>
  <c r="B82" i="4"/>
  <c r="C82" i="4"/>
  <c r="D82" i="4"/>
  <c r="E82" i="4"/>
  <c r="F82" i="4"/>
  <c r="G82" i="4"/>
  <c r="H82" i="4"/>
  <c r="I82" i="4"/>
  <c r="J82" i="4"/>
  <c r="K82" i="4"/>
  <c r="L82" i="4"/>
  <c r="M82" i="4"/>
  <c r="N82" i="4"/>
  <c r="O82" i="4"/>
  <c r="P82" i="4"/>
  <c r="Q82" i="4"/>
  <c r="R82" i="4"/>
  <c r="S82" i="4"/>
  <c r="T82" i="4"/>
  <c r="U82" i="4"/>
  <c r="V82" i="4"/>
  <c r="W82" i="4"/>
  <c r="X82" i="4"/>
  <c r="Y82" i="4"/>
  <c r="Z82" i="4"/>
  <c r="AA82" i="4"/>
  <c r="AB82" i="4"/>
  <c r="AC82" i="4"/>
  <c r="AD82" i="4"/>
  <c r="AE82" i="4"/>
  <c r="AF82" i="4"/>
  <c r="AG82" i="4"/>
  <c r="AH82" i="4"/>
  <c r="AI82" i="4"/>
  <c r="AJ82" i="4"/>
  <c r="AK82" i="4"/>
  <c r="AL82" i="4"/>
  <c r="AM82" i="4"/>
  <c r="AN82" i="4"/>
  <c r="AO82" i="4"/>
  <c r="AP82" i="4"/>
  <c r="AQ82" i="4"/>
  <c r="AR82" i="4"/>
  <c r="AS82" i="4"/>
  <c r="AT82" i="4"/>
  <c r="AU82" i="4"/>
  <c r="AV82" i="4"/>
  <c r="AW82" i="4"/>
  <c r="AX82" i="4"/>
  <c r="AY82" i="4"/>
  <c r="AZ82" i="4"/>
  <c r="BA82" i="4"/>
  <c r="BB82" i="4"/>
  <c r="BC82" i="4"/>
  <c r="BD82" i="4"/>
  <c r="BE82" i="4"/>
  <c r="BF82" i="4"/>
  <c r="BG82" i="4"/>
  <c r="BH82" i="4"/>
  <c r="BI82" i="4"/>
  <c r="BJ82" i="4"/>
  <c r="BK82" i="4"/>
  <c r="BL82" i="4"/>
  <c r="BM82" i="4"/>
  <c r="BN82" i="4"/>
  <c r="BO82" i="4"/>
  <c r="BP82" i="4"/>
  <c r="BQ82" i="4"/>
  <c r="BR82" i="4"/>
  <c r="BS82" i="4"/>
  <c r="BT82" i="4"/>
  <c r="BU82" i="4"/>
  <c r="BV82" i="4"/>
  <c r="BW82" i="4"/>
  <c r="BX82" i="4"/>
  <c r="BY82" i="4"/>
  <c r="BZ82" i="4"/>
  <c r="CA82" i="4"/>
  <c r="CB82" i="4"/>
  <c r="CC82" i="4"/>
  <c r="CD82" i="4"/>
  <c r="CE82" i="4"/>
  <c r="CF82" i="4"/>
  <c r="CG82" i="4"/>
  <c r="CH82" i="4"/>
  <c r="CI82" i="4"/>
  <c r="CJ82" i="4"/>
  <c r="CK82" i="4"/>
  <c r="CL82" i="4"/>
  <c r="CM82" i="4"/>
  <c r="CN82" i="4"/>
  <c r="CO82" i="4"/>
  <c r="CP82" i="4"/>
  <c r="CQ82" i="4"/>
  <c r="CR82" i="4"/>
  <c r="CS82" i="4"/>
  <c r="CT82" i="4"/>
  <c r="CU82" i="4"/>
  <c r="CV82" i="4"/>
  <c r="CW82" i="4"/>
  <c r="CX82" i="4"/>
  <c r="CY82" i="4"/>
  <c r="CZ82" i="4"/>
  <c r="DA82" i="4"/>
  <c r="DB82" i="4"/>
  <c r="DC82" i="4"/>
  <c r="DD82" i="4"/>
  <c r="DE82" i="4"/>
  <c r="DF82" i="4"/>
  <c r="DG82" i="4"/>
  <c r="DH82" i="4"/>
  <c r="DI82" i="4"/>
  <c r="DJ82" i="4"/>
  <c r="DK82" i="4"/>
  <c r="DL82" i="4"/>
  <c r="DM82" i="4"/>
  <c r="DN82" i="4"/>
  <c r="DO82" i="4"/>
  <c r="DP82" i="4"/>
  <c r="DQ82" i="4"/>
  <c r="DR82" i="4"/>
  <c r="DS82" i="4"/>
  <c r="DT82" i="4"/>
  <c r="DU82" i="4"/>
  <c r="DV82" i="4"/>
  <c r="DW82" i="4"/>
  <c r="DX82" i="4"/>
  <c r="DY82" i="4"/>
  <c r="DZ82" i="4"/>
  <c r="EA82" i="4"/>
  <c r="EB82" i="4"/>
  <c r="EC82" i="4"/>
  <c r="ED82" i="4"/>
  <c r="EE82" i="4"/>
  <c r="EF82" i="4"/>
  <c r="EG82" i="4"/>
  <c r="EH82" i="4"/>
  <c r="EI82" i="4"/>
  <c r="EJ82" i="4"/>
  <c r="EK82" i="4"/>
  <c r="EL82" i="4"/>
  <c r="EM82" i="4"/>
  <c r="EN82" i="4"/>
  <c r="EO82" i="4"/>
  <c r="EP82" i="4"/>
  <c r="EQ82" i="4"/>
  <c r="ER82" i="4"/>
  <c r="ES82" i="4"/>
  <c r="ET82" i="4"/>
  <c r="EU82" i="4"/>
  <c r="EV82" i="4"/>
  <c r="EW82" i="4"/>
  <c r="EX82" i="4"/>
  <c r="EY82" i="4"/>
  <c r="EZ82" i="4"/>
  <c r="FA82" i="4"/>
  <c r="FB82" i="4"/>
  <c r="FC82" i="4"/>
  <c r="FD82" i="4"/>
  <c r="FE82" i="4"/>
  <c r="FF82" i="4"/>
  <c r="FG82" i="4"/>
  <c r="FH82" i="4"/>
  <c r="FI82" i="4"/>
  <c r="FJ82" i="4"/>
  <c r="FK82" i="4"/>
  <c r="FL82" i="4"/>
  <c r="FM82" i="4"/>
  <c r="FN82" i="4"/>
  <c r="FO82" i="4"/>
  <c r="FP82" i="4"/>
  <c r="FQ82" i="4"/>
  <c r="FR82" i="4"/>
  <c r="FS82" i="4"/>
  <c r="FT82" i="4"/>
  <c r="FU82" i="4"/>
  <c r="FV82" i="4"/>
  <c r="FW82" i="4"/>
  <c r="FX82" i="4"/>
  <c r="FY82" i="4"/>
  <c r="FZ82" i="4"/>
  <c r="GA82" i="4"/>
  <c r="GB82" i="4"/>
  <c r="GC82" i="4"/>
  <c r="GD82" i="4"/>
  <c r="GE82" i="4"/>
  <c r="GF82" i="4"/>
  <c r="GG82" i="4"/>
  <c r="GH82" i="4"/>
  <c r="GI82" i="4"/>
  <c r="GJ82" i="4"/>
  <c r="GK82" i="4"/>
  <c r="GL82" i="4"/>
  <c r="GM82" i="4"/>
  <c r="GN82" i="4"/>
  <c r="GO82" i="4"/>
  <c r="GP82" i="4"/>
  <c r="GQ82" i="4"/>
  <c r="GR82" i="4"/>
  <c r="GS82" i="4"/>
  <c r="GT82" i="4"/>
  <c r="GU82" i="4"/>
  <c r="GV82" i="4"/>
  <c r="GW82" i="4"/>
  <c r="GX82" i="4"/>
  <c r="GY82" i="4"/>
  <c r="GZ82" i="4"/>
  <c r="HA82" i="4"/>
  <c r="HB82" i="4"/>
  <c r="HC82" i="4"/>
  <c r="HD82" i="4"/>
  <c r="HE82" i="4"/>
  <c r="HF82" i="4"/>
  <c r="HG82" i="4"/>
  <c r="HH82" i="4"/>
  <c r="HI82" i="4"/>
  <c r="HJ82" i="4"/>
  <c r="HK82" i="4"/>
  <c r="HL82" i="4"/>
  <c r="HM82" i="4"/>
  <c r="HN82" i="4"/>
  <c r="HO82" i="4"/>
  <c r="HP82" i="4"/>
  <c r="HQ82" i="4"/>
  <c r="HR82" i="4"/>
  <c r="HS82" i="4"/>
  <c r="HT82" i="4"/>
  <c r="HU82" i="4"/>
  <c r="HV82" i="4"/>
  <c r="HW82" i="4"/>
  <c r="HX82" i="4"/>
  <c r="HY82" i="4"/>
  <c r="HZ82" i="4"/>
  <c r="IA82" i="4"/>
  <c r="IB82" i="4"/>
  <c r="IC82" i="4"/>
  <c r="ID82" i="4"/>
  <c r="IE82" i="4"/>
  <c r="IF82" i="4"/>
  <c r="IG82" i="4"/>
  <c r="IH82" i="4"/>
  <c r="II82" i="4"/>
  <c r="IJ82" i="4"/>
  <c r="IK82" i="4"/>
  <c r="IL82" i="4"/>
  <c r="IM82" i="4"/>
  <c r="IN82" i="4"/>
  <c r="IO82" i="4"/>
  <c r="IP82" i="4"/>
  <c r="IQ82" i="4"/>
  <c r="IR82" i="4"/>
  <c r="IS82" i="4"/>
  <c r="IT82" i="4"/>
  <c r="IU82" i="4"/>
  <c r="IV82" i="4"/>
  <c r="A81" i="4"/>
  <c r="B81" i="4"/>
  <c r="C81" i="4"/>
  <c r="D81" i="4"/>
  <c r="E81" i="4"/>
  <c r="F81" i="4"/>
  <c r="G81" i="4"/>
  <c r="H81" i="4"/>
  <c r="I81" i="4"/>
  <c r="J81" i="4"/>
  <c r="K81" i="4"/>
  <c r="L81" i="4"/>
  <c r="M81" i="4"/>
  <c r="N81" i="4"/>
  <c r="O81" i="4"/>
  <c r="P81" i="4"/>
  <c r="Q81" i="4"/>
  <c r="R81" i="4"/>
  <c r="S81" i="4"/>
  <c r="T81" i="4"/>
  <c r="U81" i="4"/>
  <c r="V81" i="4"/>
  <c r="W81" i="4"/>
  <c r="X81" i="4"/>
  <c r="Y81" i="4"/>
  <c r="Z81" i="4"/>
  <c r="AA81" i="4"/>
  <c r="AB81" i="4"/>
  <c r="AC81" i="4"/>
  <c r="AD81" i="4"/>
  <c r="AE81" i="4"/>
  <c r="AF81" i="4"/>
  <c r="AG81" i="4"/>
  <c r="AH81" i="4"/>
  <c r="AI81" i="4"/>
  <c r="AJ81" i="4"/>
  <c r="AK81" i="4"/>
  <c r="AL81" i="4"/>
  <c r="AM81" i="4"/>
  <c r="AN81" i="4"/>
  <c r="AO81" i="4"/>
  <c r="AP81" i="4"/>
  <c r="AQ81" i="4"/>
  <c r="AR81" i="4"/>
  <c r="AS81" i="4"/>
  <c r="AT81" i="4"/>
  <c r="AU81" i="4"/>
  <c r="AV81" i="4"/>
  <c r="AW81" i="4"/>
  <c r="AX81" i="4"/>
  <c r="AY81" i="4"/>
  <c r="AZ81" i="4"/>
  <c r="BA81" i="4"/>
  <c r="BB81" i="4"/>
  <c r="BC81" i="4"/>
  <c r="BD81" i="4"/>
  <c r="BE81" i="4"/>
  <c r="BF81" i="4"/>
  <c r="BG81" i="4"/>
  <c r="BH81" i="4"/>
  <c r="BI81" i="4"/>
  <c r="BJ81" i="4"/>
  <c r="BK81" i="4"/>
  <c r="BL81" i="4"/>
  <c r="BM81" i="4"/>
  <c r="BN81" i="4"/>
  <c r="BO81" i="4"/>
  <c r="BP81" i="4"/>
  <c r="BQ81" i="4"/>
  <c r="BR81" i="4"/>
  <c r="BS81" i="4"/>
  <c r="BT81" i="4"/>
  <c r="BU81" i="4"/>
  <c r="BV81" i="4"/>
  <c r="BW81" i="4"/>
  <c r="BX81" i="4"/>
  <c r="BY81" i="4"/>
  <c r="BZ81" i="4"/>
  <c r="CA81" i="4"/>
  <c r="CB81" i="4"/>
  <c r="CC81" i="4"/>
  <c r="CD81" i="4"/>
  <c r="CE81" i="4"/>
  <c r="CF81" i="4"/>
  <c r="CG81" i="4"/>
  <c r="CH81" i="4"/>
  <c r="CI81" i="4"/>
  <c r="CJ81" i="4"/>
  <c r="CK81" i="4"/>
  <c r="CL81" i="4"/>
  <c r="CM81" i="4"/>
  <c r="CN81" i="4"/>
  <c r="CO81" i="4"/>
  <c r="CP81" i="4"/>
  <c r="CQ81" i="4"/>
  <c r="CR81" i="4"/>
  <c r="CS81" i="4"/>
  <c r="CT81" i="4"/>
  <c r="CU81" i="4"/>
  <c r="CV81" i="4"/>
  <c r="CW81" i="4"/>
  <c r="CX81" i="4"/>
  <c r="CY81" i="4"/>
  <c r="CZ81" i="4"/>
  <c r="DA81" i="4"/>
  <c r="DB81" i="4"/>
  <c r="DC81" i="4"/>
  <c r="DD81" i="4"/>
  <c r="DE81" i="4"/>
  <c r="DF81" i="4"/>
  <c r="DG81" i="4"/>
  <c r="DH81" i="4"/>
  <c r="DI81" i="4"/>
  <c r="DJ81" i="4"/>
  <c r="DK81" i="4"/>
  <c r="DL81" i="4"/>
  <c r="DM81" i="4"/>
  <c r="DN81" i="4"/>
  <c r="DO81" i="4"/>
  <c r="DP81" i="4"/>
  <c r="DQ81" i="4"/>
  <c r="DR81" i="4"/>
  <c r="DS81" i="4"/>
  <c r="DT81" i="4"/>
  <c r="DU81" i="4"/>
  <c r="DV81" i="4"/>
  <c r="DW81" i="4"/>
  <c r="DX81" i="4"/>
  <c r="DY81" i="4"/>
  <c r="DZ81" i="4"/>
  <c r="EA81" i="4"/>
  <c r="EB81" i="4"/>
  <c r="EC81" i="4"/>
  <c r="ED81" i="4"/>
  <c r="EE81" i="4"/>
  <c r="EF81" i="4"/>
  <c r="EG81" i="4"/>
  <c r="EH81" i="4"/>
  <c r="EI81" i="4"/>
  <c r="EJ81" i="4"/>
  <c r="EK81" i="4"/>
  <c r="EL81" i="4"/>
  <c r="EM81" i="4"/>
  <c r="EN81" i="4"/>
  <c r="EO81" i="4"/>
  <c r="EP81" i="4"/>
  <c r="EQ81" i="4"/>
  <c r="ER81" i="4"/>
  <c r="ES81" i="4"/>
  <c r="ET81" i="4"/>
  <c r="EU81" i="4"/>
  <c r="EV81" i="4"/>
  <c r="EW81" i="4"/>
  <c r="EX81" i="4"/>
  <c r="EY81" i="4"/>
  <c r="EZ81" i="4"/>
  <c r="FA81" i="4"/>
  <c r="FB81" i="4"/>
  <c r="FC81" i="4"/>
  <c r="FD81" i="4"/>
  <c r="FE81" i="4"/>
  <c r="FF81" i="4"/>
  <c r="FG81" i="4"/>
  <c r="FH81" i="4"/>
  <c r="FI81" i="4"/>
  <c r="FJ81" i="4"/>
  <c r="FK81" i="4"/>
  <c r="FL81" i="4"/>
  <c r="FM81" i="4"/>
  <c r="FN81" i="4"/>
  <c r="FO81" i="4"/>
  <c r="FP81" i="4"/>
  <c r="FQ81" i="4"/>
  <c r="FR81" i="4"/>
  <c r="FS81" i="4"/>
  <c r="FT81" i="4"/>
  <c r="FU81" i="4"/>
  <c r="FV81" i="4"/>
  <c r="FW81" i="4"/>
  <c r="FX81" i="4"/>
  <c r="FY81" i="4"/>
  <c r="FZ81" i="4"/>
  <c r="GA81" i="4"/>
  <c r="GB81" i="4"/>
  <c r="GC81" i="4"/>
  <c r="GD81" i="4"/>
  <c r="GE81" i="4"/>
  <c r="GF81" i="4"/>
  <c r="GG81" i="4"/>
  <c r="GH81" i="4"/>
  <c r="GI81" i="4"/>
  <c r="GJ81" i="4"/>
  <c r="GK81" i="4"/>
  <c r="GL81" i="4"/>
  <c r="GM81" i="4"/>
  <c r="GN81" i="4"/>
  <c r="GO81" i="4"/>
  <c r="GP81" i="4"/>
  <c r="GQ81" i="4"/>
  <c r="GR81" i="4"/>
  <c r="GS81" i="4"/>
  <c r="GT81" i="4"/>
  <c r="GU81" i="4"/>
  <c r="GV81" i="4"/>
  <c r="GW81" i="4"/>
  <c r="GX81" i="4"/>
  <c r="GY81" i="4"/>
  <c r="GZ81" i="4"/>
  <c r="HA81" i="4"/>
  <c r="HB81" i="4"/>
  <c r="HC81" i="4"/>
  <c r="HD81" i="4"/>
  <c r="HE81" i="4"/>
  <c r="HF81" i="4"/>
  <c r="HG81" i="4"/>
  <c r="HH81" i="4"/>
  <c r="HI81" i="4"/>
  <c r="HJ81" i="4"/>
  <c r="HK81" i="4"/>
  <c r="HL81" i="4"/>
  <c r="HM81" i="4"/>
  <c r="HN81" i="4"/>
  <c r="HO81" i="4"/>
  <c r="HP81" i="4"/>
  <c r="HQ81" i="4"/>
  <c r="HR81" i="4"/>
  <c r="HS81" i="4"/>
  <c r="HT81" i="4"/>
  <c r="HU81" i="4"/>
  <c r="HV81" i="4"/>
  <c r="HW81" i="4"/>
  <c r="HX81" i="4"/>
  <c r="HY81" i="4"/>
  <c r="HZ81" i="4"/>
  <c r="IA81" i="4"/>
  <c r="IB81" i="4"/>
  <c r="IC81" i="4"/>
  <c r="ID81" i="4"/>
  <c r="IE81" i="4"/>
  <c r="IF81" i="4"/>
  <c r="IG81" i="4"/>
  <c r="IH81" i="4"/>
  <c r="II81" i="4"/>
  <c r="IJ81" i="4"/>
  <c r="IK81" i="4"/>
  <c r="IL81" i="4"/>
  <c r="IM81" i="4"/>
  <c r="IN81" i="4"/>
  <c r="IO81" i="4"/>
  <c r="IP81" i="4"/>
  <c r="IQ81" i="4"/>
  <c r="IR81" i="4"/>
  <c r="IS81" i="4"/>
  <c r="IT81" i="4"/>
  <c r="IU81" i="4"/>
  <c r="IV81" i="4"/>
  <c r="A80" i="4"/>
  <c r="B80" i="4"/>
  <c r="C80" i="4"/>
  <c r="D80" i="4"/>
  <c r="E80" i="4"/>
  <c r="F80" i="4"/>
  <c r="G80" i="4"/>
  <c r="H80" i="4"/>
  <c r="I80" i="4"/>
  <c r="J80" i="4"/>
  <c r="K80" i="4"/>
  <c r="L80" i="4"/>
  <c r="M80" i="4"/>
  <c r="N80" i="4"/>
  <c r="O80" i="4"/>
  <c r="P80" i="4"/>
  <c r="Q80" i="4"/>
  <c r="R80" i="4"/>
  <c r="S80" i="4"/>
  <c r="T80" i="4"/>
  <c r="U80" i="4"/>
  <c r="V80" i="4"/>
  <c r="W80" i="4"/>
  <c r="X80" i="4"/>
  <c r="Y80" i="4"/>
  <c r="Z80" i="4"/>
  <c r="AA80" i="4"/>
  <c r="AB80" i="4"/>
  <c r="AC80" i="4"/>
  <c r="AD80" i="4"/>
  <c r="AE80" i="4"/>
  <c r="AF80" i="4"/>
  <c r="AG80" i="4"/>
  <c r="AH80" i="4"/>
  <c r="AI80" i="4"/>
  <c r="AJ80" i="4"/>
  <c r="AK80" i="4"/>
  <c r="AL80" i="4"/>
  <c r="AM80" i="4"/>
  <c r="AN80" i="4"/>
  <c r="AO80" i="4"/>
  <c r="AP80" i="4"/>
  <c r="AQ80" i="4"/>
  <c r="AR80" i="4"/>
  <c r="AS80" i="4"/>
  <c r="AT80" i="4"/>
  <c r="AU80" i="4"/>
  <c r="AV80" i="4"/>
  <c r="AW80" i="4"/>
  <c r="AX80" i="4"/>
  <c r="AY80" i="4"/>
  <c r="AZ80" i="4"/>
  <c r="BA80" i="4"/>
  <c r="BB80" i="4"/>
  <c r="BC80" i="4"/>
  <c r="BD80" i="4"/>
  <c r="BE80" i="4"/>
  <c r="BF80" i="4"/>
  <c r="BG80" i="4"/>
  <c r="BH80" i="4"/>
  <c r="BI80" i="4"/>
  <c r="BJ80" i="4"/>
  <c r="BK80" i="4"/>
  <c r="BL80" i="4"/>
  <c r="BM80" i="4"/>
  <c r="BN80" i="4"/>
  <c r="BO80" i="4"/>
  <c r="BP80" i="4"/>
  <c r="BQ80" i="4"/>
  <c r="BR80" i="4"/>
  <c r="BS80" i="4"/>
  <c r="BT80" i="4"/>
  <c r="BU80" i="4"/>
  <c r="BV80" i="4"/>
  <c r="BW80" i="4"/>
  <c r="BX80" i="4"/>
  <c r="BY80" i="4"/>
  <c r="BZ80" i="4"/>
  <c r="CA80" i="4"/>
  <c r="CB80" i="4"/>
  <c r="CC80" i="4"/>
  <c r="CD80" i="4"/>
  <c r="CE80" i="4"/>
  <c r="CF80" i="4"/>
  <c r="CG80" i="4"/>
  <c r="CH80" i="4"/>
  <c r="CI80" i="4"/>
  <c r="CJ80" i="4"/>
  <c r="CK80" i="4"/>
  <c r="CL80" i="4"/>
  <c r="CM80" i="4"/>
  <c r="CN80" i="4"/>
  <c r="CO80" i="4"/>
  <c r="CP80" i="4"/>
  <c r="CQ80" i="4"/>
  <c r="CR80" i="4"/>
  <c r="CS80" i="4"/>
  <c r="CT80" i="4"/>
  <c r="CU80" i="4"/>
  <c r="CV80" i="4"/>
  <c r="CW80" i="4"/>
  <c r="CX80" i="4"/>
  <c r="CY80" i="4"/>
  <c r="CZ80" i="4"/>
  <c r="DA80" i="4"/>
  <c r="DB80" i="4"/>
  <c r="DC80" i="4"/>
  <c r="DD80" i="4"/>
  <c r="DE80" i="4"/>
  <c r="DF80" i="4"/>
  <c r="DG80" i="4"/>
  <c r="DH80" i="4"/>
  <c r="DI80" i="4"/>
  <c r="DJ80" i="4"/>
  <c r="DK80" i="4"/>
  <c r="DL80" i="4"/>
  <c r="DM80" i="4"/>
  <c r="DN80" i="4"/>
  <c r="DO80" i="4"/>
  <c r="DP80" i="4"/>
  <c r="DQ80" i="4"/>
  <c r="DR80" i="4"/>
  <c r="DS80" i="4"/>
  <c r="DT80" i="4"/>
  <c r="DU80" i="4"/>
  <c r="DV80" i="4"/>
  <c r="DW80" i="4"/>
  <c r="DX80" i="4"/>
  <c r="DY80" i="4"/>
  <c r="DZ80" i="4"/>
  <c r="EA80" i="4"/>
  <c r="EB80" i="4"/>
  <c r="EC80" i="4"/>
  <c r="ED80" i="4"/>
  <c r="EE80" i="4"/>
  <c r="EF80" i="4"/>
  <c r="EG80" i="4"/>
  <c r="EH80" i="4"/>
  <c r="EI80" i="4"/>
  <c r="EJ80" i="4"/>
  <c r="EK80" i="4"/>
  <c r="EL80" i="4"/>
  <c r="EM80" i="4"/>
  <c r="EN80" i="4"/>
  <c r="EO80" i="4"/>
  <c r="EP80" i="4"/>
  <c r="EQ80" i="4"/>
  <c r="ER80" i="4"/>
  <c r="ES80" i="4"/>
  <c r="ET80" i="4"/>
  <c r="EU80" i="4"/>
  <c r="EV80" i="4"/>
  <c r="EW80" i="4"/>
  <c r="EX80" i="4"/>
  <c r="EY80" i="4"/>
  <c r="EZ80" i="4"/>
  <c r="FA80" i="4"/>
  <c r="FB80" i="4"/>
  <c r="FC80" i="4"/>
  <c r="FD80" i="4"/>
  <c r="FE80" i="4"/>
  <c r="FF80" i="4"/>
  <c r="FG80" i="4"/>
  <c r="FH80" i="4"/>
  <c r="FI80" i="4"/>
  <c r="FJ80" i="4"/>
  <c r="FK80" i="4"/>
  <c r="FL80" i="4"/>
  <c r="FM80" i="4"/>
  <c r="FN80" i="4"/>
  <c r="FO80" i="4"/>
  <c r="FP80" i="4"/>
  <c r="FQ80" i="4"/>
  <c r="FR80" i="4"/>
  <c r="FS80" i="4"/>
  <c r="FT80" i="4"/>
  <c r="FU80" i="4"/>
  <c r="FV80" i="4"/>
  <c r="FW80" i="4"/>
  <c r="FX80" i="4"/>
  <c r="FY80" i="4"/>
  <c r="FZ80" i="4"/>
  <c r="GA80" i="4"/>
  <c r="GB80" i="4"/>
  <c r="GC80" i="4"/>
  <c r="GD80" i="4"/>
  <c r="GE80" i="4"/>
  <c r="GF80" i="4"/>
  <c r="GG80" i="4"/>
  <c r="GH80" i="4"/>
  <c r="GI80" i="4"/>
  <c r="GJ80" i="4"/>
  <c r="GK80" i="4"/>
  <c r="GL80" i="4"/>
  <c r="GM80" i="4"/>
  <c r="GN80" i="4"/>
  <c r="GO80" i="4"/>
  <c r="GP80" i="4"/>
  <c r="GQ80" i="4"/>
  <c r="GR80" i="4"/>
  <c r="GS80" i="4"/>
  <c r="GT80" i="4"/>
  <c r="GU80" i="4"/>
  <c r="GV80" i="4"/>
  <c r="GW80" i="4"/>
  <c r="GX80" i="4"/>
  <c r="GY80" i="4"/>
  <c r="GZ80" i="4"/>
  <c r="HA80" i="4"/>
  <c r="HB80" i="4"/>
  <c r="HC80" i="4"/>
  <c r="HD80" i="4"/>
  <c r="HE80" i="4"/>
  <c r="HF80" i="4"/>
  <c r="HG80" i="4"/>
  <c r="HH80" i="4"/>
  <c r="HI80" i="4"/>
  <c r="HJ80" i="4"/>
  <c r="HK80" i="4"/>
  <c r="HL80" i="4"/>
  <c r="HM80" i="4"/>
  <c r="HN80" i="4"/>
  <c r="HO80" i="4"/>
  <c r="HP80" i="4"/>
  <c r="HQ80" i="4"/>
  <c r="HR80" i="4"/>
  <c r="HS80" i="4"/>
  <c r="HT80" i="4"/>
  <c r="HU80" i="4"/>
  <c r="HV80" i="4"/>
  <c r="HW80" i="4"/>
  <c r="HX80" i="4"/>
  <c r="HY80" i="4"/>
  <c r="HZ80" i="4"/>
  <c r="IA80" i="4"/>
  <c r="IB80" i="4"/>
  <c r="IC80" i="4"/>
  <c r="ID80" i="4"/>
  <c r="IE80" i="4"/>
  <c r="IF80" i="4"/>
  <c r="IG80" i="4"/>
  <c r="IH80" i="4"/>
  <c r="II80" i="4"/>
  <c r="IJ80" i="4"/>
  <c r="IK80" i="4"/>
  <c r="IL80" i="4"/>
  <c r="IM80" i="4"/>
  <c r="IN80" i="4"/>
  <c r="IO80" i="4"/>
  <c r="IP80" i="4"/>
  <c r="IQ80" i="4"/>
  <c r="IR80" i="4"/>
  <c r="IS80" i="4"/>
  <c r="IT80" i="4"/>
  <c r="IU80" i="4"/>
  <c r="IV80" i="4"/>
  <c r="A79" i="4"/>
  <c r="B79" i="4"/>
  <c r="C79" i="4"/>
  <c r="D79" i="4"/>
  <c r="E79" i="4"/>
  <c r="F79" i="4"/>
  <c r="G79" i="4"/>
  <c r="H79" i="4"/>
  <c r="I79" i="4"/>
  <c r="J79" i="4"/>
  <c r="K79" i="4"/>
  <c r="L79" i="4"/>
  <c r="M79" i="4"/>
  <c r="N79" i="4"/>
  <c r="O79" i="4"/>
  <c r="P79" i="4"/>
  <c r="Q79" i="4"/>
  <c r="R79" i="4"/>
  <c r="S79" i="4"/>
  <c r="T79" i="4"/>
  <c r="U79" i="4"/>
  <c r="V79" i="4"/>
  <c r="W79" i="4"/>
  <c r="X79" i="4"/>
  <c r="Y79" i="4"/>
  <c r="Z79" i="4"/>
  <c r="AA79" i="4"/>
  <c r="AB79" i="4"/>
  <c r="AC79" i="4"/>
  <c r="AD79" i="4"/>
  <c r="AE79" i="4"/>
  <c r="AF79" i="4"/>
  <c r="AG79" i="4"/>
  <c r="AH79" i="4"/>
  <c r="AI79" i="4"/>
  <c r="AJ79" i="4"/>
  <c r="AK79" i="4"/>
  <c r="AL79" i="4"/>
  <c r="AM79" i="4"/>
  <c r="AN79" i="4"/>
  <c r="AO79" i="4"/>
  <c r="AP79" i="4"/>
  <c r="AQ79" i="4"/>
  <c r="AR79" i="4"/>
  <c r="AS79" i="4"/>
  <c r="AT79" i="4"/>
  <c r="AU79" i="4"/>
  <c r="AV79" i="4"/>
  <c r="AW79" i="4"/>
  <c r="AX79" i="4"/>
  <c r="AY79" i="4"/>
  <c r="AZ79" i="4"/>
  <c r="BA79" i="4"/>
  <c r="BB79" i="4"/>
  <c r="BC79" i="4"/>
  <c r="BD79" i="4"/>
  <c r="BE79" i="4"/>
  <c r="BF79" i="4"/>
  <c r="BG79" i="4"/>
  <c r="BH79" i="4"/>
  <c r="BI79" i="4"/>
  <c r="BJ79" i="4"/>
  <c r="BK79" i="4"/>
  <c r="BL79" i="4"/>
  <c r="BM79" i="4"/>
  <c r="BN79" i="4"/>
  <c r="BO79" i="4"/>
  <c r="BP79" i="4"/>
  <c r="BQ79" i="4"/>
  <c r="BR79" i="4"/>
  <c r="BS79" i="4"/>
  <c r="BT79" i="4"/>
  <c r="BU79" i="4"/>
  <c r="BV79" i="4"/>
  <c r="BW79" i="4"/>
  <c r="BX79" i="4"/>
  <c r="BY79" i="4"/>
  <c r="BZ79" i="4"/>
  <c r="CA79" i="4"/>
  <c r="CB79" i="4"/>
  <c r="CC79" i="4"/>
  <c r="CD79" i="4"/>
  <c r="CE79" i="4"/>
  <c r="CF79" i="4"/>
  <c r="CG79" i="4"/>
  <c r="CH79" i="4"/>
  <c r="CI79" i="4"/>
  <c r="CJ79" i="4"/>
  <c r="CK79" i="4"/>
  <c r="CL79" i="4"/>
  <c r="CM79" i="4"/>
  <c r="CN79" i="4"/>
  <c r="CO79" i="4"/>
  <c r="CP79" i="4"/>
  <c r="CQ79" i="4"/>
  <c r="CR79" i="4"/>
  <c r="CS79" i="4"/>
  <c r="CT79" i="4"/>
  <c r="CU79" i="4"/>
  <c r="CV79" i="4"/>
  <c r="CW79" i="4"/>
  <c r="CX79" i="4"/>
  <c r="CY79" i="4"/>
  <c r="CZ79" i="4"/>
  <c r="DA79" i="4"/>
  <c r="DB79" i="4"/>
  <c r="DC79" i="4"/>
  <c r="DD79" i="4"/>
  <c r="DE79" i="4"/>
  <c r="DF79" i="4"/>
  <c r="DG79" i="4"/>
  <c r="DH79" i="4"/>
  <c r="DI79" i="4"/>
  <c r="DJ79" i="4"/>
  <c r="DK79" i="4"/>
  <c r="DL79" i="4"/>
  <c r="DM79" i="4"/>
  <c r="DN79" i="4"/>
  <c r="DO79" i="4"/>
  <c r="DP79" i="4"/>
  <c r="DQ79" i="4"/>
  <c r="DR79" i="4"/>
  <c r="DS79" i="4"/>
  <c r="DT79" i="4"/>
  <c r="DU79" i="4"/>
  <c r="DV79" i="4"/>
  <c r="DW79" i="4"/>
  <c r="DX79" i="4"/>
  <c r="DY79" i="4"/>
  <c r="DZ79" i="4"/>
  <c r="EA79" i="4"/>
  <c r="EB79" i="4"/>
  <c r="EC79" i="4"/>
  <c r="ED79" i="4"/>
  <c r="EE79" i="4"/>
  <c r="EF79" i="4"/>
  <c r="EG79" i="4"/>
  <c r="EH79" i="4"/>
  <c r="EI79" i="4"/>
  <c r="EJ79" i="4"/>
  <c r="EK79" i="4"/>
  <c r="EL79" i="4"/>
  <c r="EM79" i="4"/>
  <c r="EN79" i="4"/>
  <c r="EO79" i="4"/>
  <c r="EP79" i="4"/>
  <c r="EQ79" i="4"/>
  <c r="ER79" i="4"/>
  <c r="ES79" i="4"/>
  <c r="ET79" i="4"/>
  <c r="EU79" i="4"/>
  <c r="EV79" i="4"/>
  <c r="EW79" i="4"/>
  <c r="EX79" i="4"/>
  <c r="EY79" i="4"/>
  <c r="EZ79" i="4"/>
  <c r="FA79" i="4"/>
  <c r="FB79" i="4"/>
  <c r="FC79" i="4"/>
  <c r="FD79" i="4"/>
  <c r="FE79" i="4"/>
  <c r="FF79" i="4"/>
  <c r="FG79" i="4"/>
  <c r="FH79" i="4"/>
  <c r="FI79" i="4"/>
  <c r="FJ79" i="4"/>
  <c r="FK79" i="4"/>
  <c r="FL79" i="4"/>
  <c r="FM79" i="4"/>
  <c r="FN79" i="4"/>
  <c r="FO79" i="4"/>
  <c r="FP79" i="4"/>
  <c r="FQ79" i="4"/>
  <c r="FR79" i="4"/>
  <c r="FS79" i="4"/>
  <c r="FT79" i="4"/>
  <c r="FU79" i="4"/>
  <c r="FV79" i="4"/>
  <c r="FW79" i="4"/>
  <c r="FX79" i="4"/>
  <c r="FY79" i="4"/>
  <c r="FZ79" i="4"/>
  <c r="GA79" i="4"/>
  <c r="GB79" i="4"/>
  <c r="GC79" i="4"/>
  <c r="GD79" i="4"/>
  <c r="GE79" i="4"/>
  <c r="GF79" i="4"/>
  <c r="GG79" i="4"/>
  <c r="GH79" i="4"/>
  <c r="GI79" i="4"/>
  <c r="GJ79" i="4"/>
  <c r="GK79" i="4"/>
  <c r="GL79" i="4"/>
  <c r="GM79" i="4"/>
  <c r="GN79" i="4"/>
  <c r="GO79" i="4"/>
  <c r="GP79" i="4"/>
  <c r="GQ79" i="4"/>
  <c r="GR79" i="4"/>
  <c r="GS79" i="4"/>
  <c r="GT79" i="4"/>
  <c r="GU79" i="4"/>
  <c r="GV79" i="4"/>
  <c r="GW79" i="4"/>
  <c r="GX79" i="4"/>
  <c r="GY79" i="4"/>
  <c r="GZ79" i="4"/>
  <c r="HA79" i="4"/>
  <c r="HB79" i="4"/>
  <c r="HC79" i="4"/>
  <c r="HD79" i="4"/>
  <c r="HE79" i="4"/>
  <c r="HF79" i="4"/>
  <c r="HG79" i="4"/>
  <c r="HH79" i="4"/>
  <c r="HI79" i="4"/>
  <c r="HJ79" i="4"/>
  <c r="HK79" i="4"/>
  <c r="HL79" i="4"/>
  <c r="HM79" i="4"/>
  <c r="HN79" i="4"/>
  <c r="HO79" i="4"/>
  <c r="HP79" i="4"/>
  <c r="HQ79" i="4"/>
  <c r="HR79" i="4"/>
  <c r="HS79" i="4"/>
  <c r="HT79" i="4"/>
  <c r="HU79" i="4"/>
  <c r="HV79" i="4"/>
  <c r="HW79" i="4"/>
  <c r="HX79" i="4"/>
  <c r="HY79" i="4"/>
  <c r="HZ79" i="4"/>
  <c r="IA79" i="4"/>
  <c r="IB79" i="4"/>
  <c r="IC79" i="4"/>
  <c r="ID79" i="4"/>
  <c r="IE79" i="4"/>
  <c r="IF79" i="4"/>
  <c r="IG79" i="4"/>
  <c r="IH79" i="4"/>
  <c r="II79" i="4"/>
  <c r="IJ79" i="4"/>
  <c r="IK79" i="4"/>
  <c r="IL79" i="4"/>
  <c r="IM79" i="4"/>
  <c r="IN79" i="4"/>
  <c r="IO79" i="4"/>
  <c r="IP79" i="4"/>
  <c r="IQ79" i="4"/>
  <c r="IR79" i="4"/>
  <c r="IS79" i="4"/>
  <c r="IT79" i="4"/>
  <c r="IU79" i="4"/>
  <c r="IV79" i="4"/>
  <c r="A78" i="4"/>
  <c r="B78" i="4"/>
  <c r="C78" i="4"/>
  <c r="D78" i="4"/>
  <c r="E78" i="4"/>
  <c r="F78" i="4"/>
  <c r="G78" i="4"/>
  <c r="H78" i="4"/>
  <c r="I78" i="4"/>
  <c r="J78" i="4"/>
  <c r="K78" i="4"/>
  <c r="L78" i="4"/>
  <c r="M78" i="4"/>
  <c r="O78" i="4"/>
  <c r="P78" i="4"/>
  <c r="Q78" i="4"/>
  <c r="R78" i="4"/>
  <c r="S78" i="4"/>
  <c r="T78" i="4"/>
  <c r="U78" i="4"/>
  <c r="V78" i="4"/>
  <c r="W78" i="4"/>
  <c r="X78" i="4"/>
  <c r="Y78" i="4"/>
  <c r="Z78" i="4"/>
  <c r="AA78" i="4"/>
  <c r="AB78" i="4"/>
  <c r="AC78" i="4"/>
  <c r="AD78" i="4"/>
  <c r="AE78" i="4"/>
  <c r="AF78" i="4"/>
  <c r="AG78" i="4"/>
  <c r="AH78" i="4"/>
  <c r="AI78" i="4"/>
  <c r="AJ78" i="4"/>
  <c r="AK78" i="4"/>
  <c r="AL78" i="4"/>
  <c r="AM78" i="4"/>
  <c r="AN78" i="4"/>
  <c r="AO78" i="4"/>
  <c r="AP78" i="4"/>
  <c r="AQ78" i="4"/>
  <c r="AR78" i="4"/>
  <c r="AS78" i="4"/>
  <c r="AT78" i="4"/>
  <c r="AU78" i="4"/>
  <c r="AV78" i="4"/>
  <c r="AW78" i="4"/>
  <c r="AX78" i="4"/>
  <c r="AY78" i="4"/>
  <c r="AZ78" i="4"/>
  <c r="BA78" i="4"/>
  <c r="BB78" i="4"/>
  <c r="BC78" i="4"/>
  <c r="BD78" i="4"/>
  <c r="BE78" i="4"/>
  <c r="BF78" i="4"/>
  <c r="BG78" i="4"/>
  <c r="BH78" i="4"/>
  <c r="BI78" i="4"/>
  <c r="BJ78" i="4"/>
  <c r="BK78" i="4"/>
  <c r="BL78" i="4"/>
  <c r="BM78" i="4"/>
  <c r="BN78" i="4"/>
  <c r="BO78" i="4"/>
  <c r="BP78" i="4"/>
  <c r="BQ78" i="4"/>
  <c r="BR78" i="4"/>
  <c r="BS78" i="4"/>
  <c r="BT78" i="4"/>
  <c r="BU78" i="4"/>
  <c r="BV78" i="4"/>
  <c r="BW78" i="4"/>
  <c r="BX78" i="4"/>
  <c r="BY78" i="4"/>
  <c r="BZ78" i="4"/>
  <c r="CA78" i="4"/>
  <c r="CB78" i="4"/>
  <c r="CC78" i="4"/>
  <c r="CD78" i="4"/>
  <c r="CE78" i="4"/>
  <c r="CF78" i="4"/>
  <c r="CG78" i="4"/>
  <c r="CH78" i="4"/>
  <c r="CI78" i="4"/>
  <c r="CJ78" i="4"/>
  <c r="CK78" i="4"/>
  <c r="CL78" i="4"/>
  <c r="CM78" i="4"/>
  <c r="CN78" i="4"/>
  <c r="CO78" i="4"/>
  <c r="CP78" i="4"/>
  <c r="CQ78" i="4"/>
  <c r="CR78" i="4"/>
  <c r="CS78" i="4"/>
  <c r="CT78" i="4"/>
  <c r="CU78" i="4"/>
  <c r="CV78" i="4"/>
  <c r="CW78" i="4"/>
  <c r="CX78" i="4"/>
  <c r="CY78" i="4"/>
  <c r="CZ78" i="4"/>
  <c r="DA78" i="4"/>
  <c r="DB78" i="4"/>
  <c r="DC78" i="4"/>
  <c r="DD78" i="4"/>
  <c r="DE78" i="4"/>
  <c r="DF78" i="4"/>
  <c r="DG78" i="4"/>
  <c r="DH78" i="4"/>
  <c r="DI78" i="4"/>
  <c r="DJ78" i="4"/>
  <c r="DK78" i="4"/>
  <c r="DL78" i="4"/>
  <c r="DM78" i="4"/>
  <c r="DN78" i="4"/>
  <c r="DO78" i="4"/>
  <c r="DP78" i="4"/>
  <c r="DQ78" i="4"/>
  <c r="DR78" i="4"/>
  <c r="DS78" i="4"/>
  <c r="DT78" i="4"/>
  <c r="DU78" i="4"/>
  <c r="DV78" i="4"/>
  <c r="DW78" i="4"/>
  <c r="DX78" i="4"/>
  <c r="DY78" i="4"/>
  <c r="DZ78" i="4"/>
  <c r="EA78" i="4"/>
  <c r="EB78" i="4"/>
  <c r="EC78" i="4"/>
  <c r="ED78" i="4"/>
  <c r="EE78" i="4"/>
  <c r="EF78" i="4"/>
  <c r="EG78" i="4"/>
  <c r="EH78" i="4"/>
  <c r="EI78" i="4"/>
  <c r="EJ78" i="4"/>
  <c r="EK78" i="4"/>
  <c r="EL78" i="4"/>
  <c r="EM78" i="4"/>
  <c r="EN78" i="4"/>
  <c r="EO78" i="4"/>
  <c r="EP78" i="4"/>
  <c r="EQ78" i="4"/>
  <c r="ER78" i="4"/>
  <c r="ES78" i="4"/>
  <c r="ET78" i="4"/>
  <c r="EU78" i="4"/>
  <c r="EV78" i="4"/>
  <c r="EW78" i="4"/>
  <c r="EX78" i="4"/>
  <c r="EY78" i="4"/>
  <c r="EZ78" i="4"/>
  <c r="FA78" i="4"/>
  <c r="FB78" i="4"/>
  <c r="FC78" i="4"/>
  <c r="FD78" i="4"/>
  <c r="FE78" i="4"/>
  <c r="FF78" i="4"/>
  <c r="FG78" i="4"/>
  <c r="FH78" i="4"/>
  <c r="FI78" i="4"/>
  <c r="FJ78" i="4"/>
  <c r="FK78" i="4"/>
  <c r="FL78" i="4"/>
  <c r="FM78" i="4"/>
  <c r="FN78" i="4"/>
  <c r="FO78" i="4"/>
  <c r="FP78" i="4"/>
  <c r="FQ78" i="4"/>
  <c r="FR78" i="4"/>
  <c r="FS78" i="4"/>
  <c r="FT78" i="4"/>
  <c r="FU78" i="4"/>
  <c r="FV78" i="4"/>
  <c r="FW78" i="4"/>
  <c r="FX78" i="4"/>
  <c r="FY78" i="4"/>
  <c r="FZ78" i="4"/>
  <c r="GA78" i="4"/>
  <c r="GB78" i="4"/>
  <c r="GC78" i="4"/>
  <c r="GD78" i="4"/>
  <c r="GE78" i="4"/>
  <c r="GF78" i="4"/>
  <c r="GG78" i="4"/>
  <c r="GH78" i="4"/>
  <c r="GI78" i="4"/>
  <c r="GJ78" i="4"/>
  <c r="GK78" i="4"/>
  <c r="GL78" i="4"/>
  <c r="GM78" i="4"/>
  <c r="GN78" i="4"/>
  <c r="GO78" i="4"/>
  <c r="GP78" i="4"/>
  <c r="GQ78" i="4"/>
  <c r="GR78" i="4"/>
  <c r="GS78" i="4"/>
  <c r="GT78" i="4"/>
  <c r="GU78" i="4"/>
  <c r="GV78" i="4"/>
  <c r="GW78" i="4"/>
  <c r="GX78" i="4"/>
  <c r="GY78" i="4"/>
  <c r="GZ78" i="4"/>
  <c r="HA78" i="4"/>
  <c r="HB78" i="4"/>
  <c r="HC78" i="4"/>
  <c r="HD78" i="4"/>
  <c r="HE78" i="4"/>
  <c r="HF78" i="4"/>
  <c r="HG78" i="4"/>
  <c r="HH78" i="4"/>
  <c r="HI78" i="4"/>
  <c r="HJ78" i="4"/>
  <c r="HK78" i="4"/>
  <c r="HL78" i="4"/>
  <c r="HM78" i="4"/>
  <c r="HN78" i="4"/>
  <c r="HO78" i="4"/>
  <c r="HP78" i="4"/>
  <c r="HQ78" i="4"/>
  <c r="HR78" i="4"/>
  <c r="HS78" i="4"/>
  <c r="HT78" i="4"/>
  <c r="HU78" i="4"/>
  <c r="HV78" i="4"/>
  <c r="HW78" i="4"/>
  <c r="HX78" i="4"/>
  <c r="HY78" i="4"/>
  <c r="HZ78" i="4"/>
  <c r="IA78" i="4"/>
  <c r="IB78" i="4"/>
  <c r="IC78" i="4"/>
  <c r="ID78" i="4"/>
  <c r="IE78" i="4"/>
  <c r="IF78" i="4"/>
  <c r="IG78" i="4"/>
  <c r="IH78" i="4"/>
  <c r="II78" i="4"/>
  <c r="IJ78" i="4"/>
  <c r="IK78" i="4"/>
  <c r="IL78" i="4"/>
  <c r="IM78" i="4"/>
  <c r="IN78" i="4"/>
  <c r="IO78" i="4"/>
  <c r="IP78" i="4"/>
  <c r="IQ78" i="4"/>
  <c r="IR78" i="4"/>
  <c r="IS78" i="4"/>
  <c r="IT78" i="4"/>
  <c r="IU78" i="4"/>
  <c r="IV78" i="4"/>
  <c r="A77" i="4"/>
  <c r="B77" i="4"/>
  <c r="C77" i="4"/>
  <c r="D77" i="4"/>
  <c r="E77" i="4"/>
  <c r="F77" i="4"/>
  <c r="G77" i="4"/>
  <c r="H77" i="4"/>
  <c r="I77" i="4"/>
  <c r="J77" i="4"/>
  <c r="K77" i="4"/>
  <c r="L77" i="4"/>
  <c r="M77" i="4"/>
  <c r="N77" i="4"/>
  <c r="P77" i="4"/>
  <c r="Q77" i="4"/>
  <c r="R77" i="4"/>
  <c r="S77" i="4"/>
  <c r="T77" i="4"/>
  <c r="U77" i="4"/>
  <c r="V77" i="4"/>
  <c r="W77" i="4"/>
  <c r="X77" i="4"/>
  <c r="Y77" i="4"/>
  <c r="Z77" i="4"/>
  <c r="AA77" i="4"/>
  <c r="AB77" i="4"/>
  <c r="AC77" i="4"/>
  <c r="AD77" i="4"/>
  <c r="AE77" i="4"/>
  <c r="AF77" i="4"/>
  <c r="AG77" i="4"/>
  <c r="AH77" i="4"/>
  <c r="AI77" i="4"/>
  <c r="AJ77" i="4"/>
  <c r="AK77" i="4"/>
  <c r="AL77" i="4"/>
  <c r="AM77" i="4"/>
  <c r="AN77" i="4"/>
  <c r="AO77" i="4"/>
  <c r="AP77" i="4"/>
  <c r="AQ77" i="4"/>
  <c r="AR77" i="4"/>
  <c r="AS77" i="4"/>
  <c r="AT77" i="4"/>
  <c r="AU77" i="4"/>
  <c r="AV77" i="4"/>
  <c r="AW77" i="4"/>
  <c r="AX77" i="4"/>
  <c r="AY77" i="4"/>
  <c r="AZ77" i="4"/>
  <c r="BA77" i="4"/>
  <c r="BB77" i="4"/>
  <c r="BC77" i="4"/>
  <c r="BD77" i="4"/>
  <c r="BE77" i="4"/>
  <c r="BF77" i="4"/>
  <c r="BG77" i="4"/>
  <c r="BH77" i="4"/>
  <c r="BI77" i="4"/>
  <c r="BJ77" i="4"/>
  <c r="BK77" i="4"/>
  <c r="BL77" i="4"/>
  <c r="BM77" i="4"/>
  <c r="BN77" i="4"/>
  <c r="BO77" i="4"/>
  <c r="BP77" i="4"/>
  <c r="BQ77" i="4"/>
  <c r="BR77" i="4"/>
  <c r="BS77" i="4"/>
  <c r="BT77" i="4"/>
  <c r="BU77" i="4"/>
  <c r="BV77" i="4"/>
  <c r="BW77" i="4"/>
  <c r="BX77" i="4"/>
  <c r="BY77" i="4"/>
  <c r="BZ77" i="4"/>
  <c r="CA77" i="4"/>
  <c r="CB77" i="4"/>
  <c r="CC77" i="4"/>
  <c r="CD77" i="4"/>
  <c r="CE77" i="4"/>
  <c r="CF77" i="4"/>
  <c r="CG77" i="4"/>
  <c r="CH77" i="4"/>
  <c r="CI77" i="4"/>
  <c r="CJ77" i="4"/>
  <c r="CK77" i="4"/>
  <c r="CL77" i="4"/>
  <c r="CM77" i="4"/>
  <c r="CN77" i="4"/>
  <c r="CO77" i="4"/>
  <c r="CP77" i="4"/>
  <c r="CQ77" i="4"/>
  <c r="CR77" i="4"/>
  <c r="CS77" i="4"/>
  <c r="CT77" i="4"/>
  <c r="CU77" i="4"/>
  <c r="CV77" i="4"/>
  <c r="CW77" i="4"/>
  <c r="CX77" i="4"/>
  <c r="CY77" i="4"/>
  <c r="CZ77" i="4"/>
  <c r="DA77" i="4"/>
  <c r="DB77" i="4"/>
  <c r="DC77" i="4"/>
  <c r="DD77" i="4"/>
  <c r="DE77" i="4"/>
  <c r="DF77" i="4"/>
  <c r="DG77" i="4"/>
  <c r="DH77" i="4"/>
  <c r="DI77" i="4"/>
  <c r="DJ77" i="4"/>
  <c r="DK77" i="4"/>
  <c r="DL77" i="4"/>
  <c r="DM77" i="4"/>
  <c r="DN77" i="4"/>
  <c r="DO77" i="4"/>
  <c r="DP77" i="4"/>
  <c r="DQ77" i="4"/>
  <c r="DR77" i="4"/>
  <c r="DS77" i="4"/>
  <c r="DT77" i="4"/>
  <c r="DU77" i="4"/>
  <c r="DV77" i="4"/>
  <c r="DW77" i="4"/>
  <c r="DX77" i="4"/>
  <c r="DY77" i="4"/>
  <c r="DZ77" i="4"/>
  <c r="EA77" i="4"/>
  <c r="EB77" i="4"/>
  <c r="EC77" i="4"/>
  <c r="ED77" i="4"/>
  <c r="EE77" i="4"/>
  <c r="EF77" i="4"/>
  <c r="EG77" i="4"/>
  <c r="EH77" i="4"/>
  <c r="EI77" i="4"/>
  <c r="EJ77" i="4"/>
  <c r="EK77" i="4"/>
  <c r="EL77" i="4"/>
  <c r="EM77" i="4"/>
  <c r="EN77" i="4"/>
  <c r="EO77" i="4"/>
  <c r="EP77" i="4"/>
  <c r="EQ77" i="4"/>
  <c r="ER77" i="4"/>
  <c r="ES77" i="4"/>
  <c r="ET77" i="4"/>
  <c r="EU77" i="4"/>
  <c r="EV77" i="4"/>
  <c r="EW77" i="4"/>
  <c r="EX77" i="4"/>
  <c r="EY77" i="4"/>
  <c r="EZ77" i="4"/>
  <c r="FA77" i="4"/>
  <c r="FB77" i="4"/>
  <c r="FC77" i="4"/>
  <c r="FD77" i="4"/>
  <c r="FE77" i="4"/>
  <c r="FF77" i="4"/>
  <c r="FG77" i="4"/>
  <c r="FH77" i="4"/>
  <c r="FI77" i="4"/>
  <c r="FJ77" i="4"/>
  <c r="FK77" i="4"/>
  <c r="FL77" i="4"/>
  <c r="FM77" i="4"/>
  <c r="FN77" i="4"/>
  <c r="FO77" i="4"/>
  <c r="FP77" i="4"/>
  <c r="FQ77" i="4"/>
  <c r="FR77" i="4"/>
  <c r="FS77" i="4"/>
  <c r="FT77" i="4"/>
  <c r="FU77" i="4"/>
  <c r="FV77" i="4"/>
  <c r="FW77" i="4"/>
  <c r="FX77" i="4"/>
  <c r="FY77" i="4"/>
  <c r="FZ77" i="4"/>
  <c r="GA77" i="4"/>
  <c r="GB77" i="4"/>
  <c r="GC77" i="4"/>
  <c r="GD77" i="4"/>
  <c r="GE77" i="4"/>
  <c r="GF77" i="4"/>
  <c r="GG77" i="4"/>
  <c r="GH77" i="4"/>
  <c r="GI77" i="4"/>
  <c r="GJ77" i="4"/>
  <c r="GK77" i="4"/>
  <c r="GL77" i="4"/>
  <c r="GM77" i="4"/>
  <c r="GN77" i="4"/>
  <c r="GO77" i="4"/>
  <c r="GP77" i="4"/>
  <c r="GQ77" i="4"/>
  <c r="GR77" i="4"/>
  <c r="GS77" i="4"/>
  <c r="GT77" i="4"/>
  <c r="GU77" i="4"/>
  <c r="GV77" i="4"/>
  <c r="GW77" i="4"/>
  <c r="GX77" i="4"/>
  <c r="GY77" i="4"/>
  <c r="GZ77" i="4"/>
  <c r="HA77" i="4"/>
  <c r="HB77" i="4"/>
  <c r="HC77" i="4"/>
  <c r="HD77" i="4"/>
  <c r="HE77" i="4"/>
  <c r="HF77" i="4"/>
  <c r="HG77" i="4"/>
  <c r="HH77" i="4"/>
  <c r="HI77" i="4"/>
  <c r="HJ77" i="4"/>
  <c r="HK77" i="4"/>
  <c r="HL77" i="4"/>
  <c r="HM77" i="4"/>
  <c r="HN77" i="4"/>
  <c r="HO77" i="4"/>
  <c r="HP77" i="4"/>
  <c r="HQ77" i="4"/>
  <c r="HR77" i="4"/>
  <c r="HS77" i="4"/>
  <c r="HT77" i="4"/>
  <c r="HU77" i="4"/>
  <c r="HV77" i="4"/>
  <c r="HW77" i="4"/>
  <c r="HX77" i="4"/>
  <c r="HY77" i="4"/>
  <c r="HZ77" i="4"/>
  <c r="IA77" i="4"/>
  <c r="IB77" i="4"/>
  <c r="IC77" i="4"/>
  <c r="ID77" i="4"/>
  <c r="IE77" i="4"/>
  <c r="IF77" i="4"/>
  <c r="IG77" i="4"/>
  <c r="IH77" i="4"/>
  <c r="II77" i="4"/>
  <c r="IJ77" i="4"/>
  <c r="IK77" i="4"/>
  <c r="IL77" i="4"/>
  <c r="IM77" i="4"/>
  <c r="IN77" i="4"/>
  <c r="IO77" i="4"/>
  <c r="IP77" i="4"/>
  <c r="IQ77" i="4"/>
  <c r="IR77" i="4"/>
  <c r="IS77" i="4"/>
  <c r="IT77" i="4"/>
  <c r="IU77" i="4"/>
  <c r="IV77" i="4"/>
  <c r="A76" i="4"/>
  <c r="B76" i="4"/>
  <c r="C76" i="4"/>
  <c r="D76" i="4"/>
  <c r="E76" i="4"/>
  <c r="F76" i="4"/>
  <c r="G76" i="4"/>
  <c r="H76" i="4"/>
  <c r="I76" i="4"/>
  <c r="J76" i="4"/>
  <c r="K76" i="4"/>
  <c r="L76" i="4"/>
  <c r="M76" i="4"/>
  <c r="N76" i="4"/>
  <c r="O76" i="4"/>
  <c r="Q76" i="4"/>
  <c r="R76" i="4"/>
  <c r="S76" i="4"/>
  <c r="T76" i="4"/>
  <c r="U76" i="4"/>
  <c r="V76" i="4"/>
  <c r="W76" i="4"/>
  <c r="X76" i="4"/>
  <c r="Y76" i="4"/>
  <c r="Z76" i="4"/>
  <c r="AA76" i="4"/>
  <c r="AB76" i="4"/>
  <c r="AC76" i="4"/>
  <c r="AD76" i="4"/>
  <c r="AE76" i="4"/>
  <c r="AF76" i="4"/>
  <c r="AG76" i="4"/>
  <c r="AH76" i="4"/>
  <c r="AI76" i="4"/>
  <c r="AJ76" i="4"/>
  <c r="AK76" i="4"/>
  <c r="AL76" i="4"/>
  <c r="AM76" i="4"/>
  <c r="AN76" i="4"/>
  <c r="AO76" i="4"/>
  <c r="AP76" i="4"/>
  <c r="AQ76" i="4"/>
  <c r="AR76" i="4"/>
  <c r="AS76" i="4"/>
  <c r="AT76" i="4"/>
  <c r="AU76" i="4"/>
  <c r="AV76" i="4"/>
  <c r="AW76" i="4"/>
  <c r="AX76" i="4"/>
  <c r="AY76" i="4"/>
  <c r="AZ76" i="4"/>
  <c r="BA76" i="4"/>
  <c r="BB76" i="4"/>
  <c r="BC76" i="4"/>
  <c r="BD76" i="4"/>
  <c r="BE76" i="4"/>
  <c r="BF76" i="4"/>
  <c r="BG76" i="4"/>
  <c r="BH76" i="4"/>
  <c r="BI76" i="4"/>
  <c r="BJ76" i="4"/>
  <c r="BK76" i="4"/>
  <c r="BL76" i="4"/>
  <c r="BM76" i="4"/>
  <c r="BN76" i="4"/>
  <c r="BO76" i="4"/>
  <c r="BP76" i="4"/>
  <c r="BQ76" i="4"/>
  <c r="BR76" i="4"/>
  <c r="BS76" i="4"/>
  <c r="BT76" i="4"/>
  <c r="BU76" i="4"/>
  <c r="BV76" i="4"/>
  <c r="BW76" i="4"/>
  <c r="BX76" i="4"/>
  <c r="BY76" i="4"/>
  <c r="BZ76" i="4"/>
  <c r="CA76" i="4"/>
  <c r="CB76" i="4"/>
  <c r="CC76" i="4"/>
  <c r="CD76" i="4"/>
  <c r="CE76" i="4"/>
  <c r="CF76" i="4"/>
  <c r="CG76" i="4"/>
  <c r="CH76" i="4"/>
  <c r="CI76" i="4"/>
  <c r="CJ76" i="4"/>
  <c r="CK76" i="4"/>
  <c r="CL76" i="4"/>
  <c r="CM76" i="4"/>
  <c r="CN76" i="4"/>
  <c r="CO76" i="4"/>
  <c r="CP76" i="4"/>
  <c r="CQ76" i="4"/>
  <c r="CR76" i="4"/>
  <c r="CS76" i="4"/>
  <c r="CT76" i="4"/>
  <c r="CU76" i="4"/>
  <c r="CV76" i="4"/>
  <c r="CW76" i="4"/>
  <c r="CX76" i="4"/>
  <c r="CY76" i="4"/>
  <c r="CZ76" i="4"/>
  <c r="DA76" i="4"/>
  <c r="DB76" i="4"/>
  <c r="DC76" i="4"/>
  <c r="DD76" i="4"/>
  <c r="DE76" i="4"/>
  <c r="DF76" i="4"/>
  <c r="DG76" i="4"/>
  <c r="DH76" i="4"/>
  <c r="DI76" i="4"/>
  <c r="DJ76" i="4"/>
  <c r="DK76" i="4"/>
  <c r="DL76" i="4"/>
  <c r="DM76" i="4"/>
  <c r="DN76" i="4"/>
  <c r="DO76" i="4"/>
  <c r="DP76" i="4"/>
  <c r="DQ76" i="4"/>
  <c r="DR76" i="4"/>
  <c r="DS76" i="4"/>
  <c r="DT76" i="4"/>
  <c r="DU76" i="4"/>
  <c r="DV76" i="4"/>
  <c r="DW76" i="4"/>
  <c r="DX76" i="4"/>
  <c r="DY76" i="4"/>
  <c r="DZ76" i="4"/>
  <c r="EA76" i="4"/>
  <c r="EB76" i="4"/>
  <c r="EC76" i="4"/>
  <c r="ED76" i="4"/>
  <c r="EE76" i="4"/>
  <c r="EF76" i="4"/>
  <c r="EG76" i="4"/>
  <c r="EH76" i="4"/>
  <c r="EI76" i="4"/>
  <c r="EJ76" i="4"/>
  <c r="EK76" i="4"/>
  <c r="EL76" i="4"/>
  <c r="EM76" i="4"/>
  <c r="EN76" i="4"/>
  <c r="EO76" i="4"/>
  <c r="EP76" i="4"/>
  <c r="EQ76" i="4"/>
  <c r="ER76" i="4"/>
  <c r="ES76" i="4"/>
  <c r="ET76" i="4"/>
  <c r="EU76" i="4"/>
  <c r="EV76" i="4"/>
  <c r="EW76" i="4"/>
  <c r="EX76" i="4"/>
  <c r="EY76" i="4"/>
  <c r="EZ76" i="4"/>
  <c r="FA76" i="4"/>
  <c r="FB76" i="4"/>
  <c r="FC76" i="4"/>
  <c r="FD76" i="4"/>
  <c r="FE76" i="4"/>
  <c r="FF76" i="4"/>
  <c r="FG76" i="4"/>
  <c r="FH76" i="4"/>
  <c r="FI76" i="4"/>
  <c r="FJ76" i="4"/>
  <c r="FK76" i="4"/>
  <c r="FL76" i="4"/>
  <c r="FM76" i="4"/>
  <c r="FN76" i="4"/>
  <c r="FO76" i="4"/>
  <c r="FP76" i="4"/>
  <c r="FQ76" i="4"/>
  <c r="FR76" i="4"/>
  <c r="FS76" i="4"/>
  <c r="FT76" i="4"/>
  <c r="FU76" i="4"/>
  <c r="FV76" i="4"/>
  <c r="FW76" i="4"/>
  <c r="FX76" i="4"/>
  <c r="FY76" i="4"/>
  <c r="FZ76" i="4"/>
  <c r="GA76" i="4"/>
  <c r="GB76" i="4"/>
  <c r="GC76" i="4"/>
  <c r="GD76" i="4"/>
  <c r="GE76" i="4"/>
  <c r="GF76" i="4"/>
  <c r="GG76" i="4"/>
  <c r="GH76" i="4"/>
  <c r="GI76" i="4"/>
  <c r="GJ76" i="4"/>
  <c r="GK76" i="4"/>
  <c r="GL76" i="4"/>
  <c r="GM76" i="4"/>
  <c r="GN76" i="4"/>
  <c r="GO76" i="4"/>
  <c r="GP76" i="4"/>
  <c r="GQ76" i="4"/>
  <c r="GR76" i="4"/>
  <c r="GS76" i="4"/>
  <c r="GT76" i="4"/>
  <c r="GU76" i="4"/>
  <c r="GV76" i="4"/>
  <c r="GW76" i="4"/>
  <c r="GX76" i="4"/>
  <c r="GY76" i="4"/>
  <c r="GZ76" i="4"/>
  <c r="HA76" i="4"/>
  <c r="HB76" i="4"/>
  <c r="HC76" i="4"/>
  <c r="HD76" i="4"/>
  <c r="HE76" i="4"/>
  <c r="HF76" i="4"/>
  <c r="HG76" i="4"/>
  <c r="HH76" i="4"/>
  <c r="HI76" i="4"/>
  <c r="HJ76" i="4"/>
  <c r="HK76" i="4"/>
  <c r="HL76" i="4"/>
  <c r="HM76" i="4"/>
  <c r="HN76" i="4"/>
  <c r="HO76" i="4"/>
  <c r="HP76" i="4"/>
  <c r="HQ76" i="4"/>
  <c r="HR76" i="4"/>
  <c r="HS76" i="4"/>
  <c r="HT76" i="4"/>
  <c r="HU76" i="4"/>
  <c r="HV76" i="4"/>
  <c r="HW76" i="4"/>
  <c r="HX76" i="4"/>
  <c r="HY76" i="4"/>
  <c r="HZ76" i="4"/>
  <c r="IA76" i="4"/>
  <c r="IB76" i="4"/>
  <c r="IC76" i="4"/>
  <c r="ID76" i="4"/>
  <c r="IE76" i="4"/>
  <c r="IF76" i="4"/>
  <c r="IG76" i="4"/>
  <c r="IH76" i="4"/>
  <c r="II76" i="4"/>
  <c r="IJ76" i="4"/>
  <c r="IK76" i="4"/>
  <c r="IL76" i="4"/>
  <c r="IM76" i="4"/>
  <c r="IN76" i="4"/>
  <c r="IO76" i="4"/>
  <c r="IP76" i="4"/>
  <c r="IQ76" i="4"/>
  <c r="IR76" i="4"/>
  <c r="IS76" i="4"/>
  <c r="IT76" i="4"/>
  <c r="IU76" i="4"/>
  <c r="IV76" i="4"/>
  <c r="A75" i="4"/>
  <c r="B75" i="4"/>
  <c r="C75" i="4"/>
  <c r="D75" i="4"/>
  <c r="E75" i="4"/>
  <c r="F75" i="4"/>
  <c r="G75" i="4"/>
  <c r="H75" i="4"/>
  <c r="I75" i="4"/>
  <c r="J75" i="4"/>
  <c r="K75" i="4"/>
  <c r="L75" i="4"/>
  <c r="M75" i="4"/>
  <c r="N75" i="4"/>
  <c r="O75" i="4"/>
  <c r="P75" i="4"/>
  <c r="R75" i="4"/>
  <c r="S75" i="4"/>
  <c r="T75" i="4"/>
  <c r="U75" i="4"/>
  <c r="V75" i="4"/>
  <c r="W75" i="4"/>
  <c r="X75" i="4"/>
  <c r="Y75" i="4"/>
  <c r="Z75" i="4"/>
  <c r="AA75" i="4"/>
  <c r="AB75" i="4"/>
  <c r="AC75" i="4"/>
  <c r="AD75" i="4"/>
  <c r="AE75" i="4"/>
  <c r="AF75" i="4"/>
  <c r="AG75" i="4"/>
  <c r="AH75" i="4"/>
  <c r="AI75" i="4"/>
  <c r="AJ75" i="4"/>
  <c r="AK75" i="4"/>
  <c r="AL75" i="4"/>
  <c r="AM75" i="4"/>
  <c r="AN75" i="4"/>
  <c r="AO75" i="4"/>
  <c r="AP75" i="4"/>
  <c r="AQ75" i="4"/>
  <c r="AR75" i="4"/>
  <c r="AS75" i="4"/>
  <c r="AT75" i="4"/>
  <c r="AU75" i="4"/>
  <c r="AV75" i="4"/>
  <c r="AW75" i="4"/>
  <c r="AX75" i="4"/>
  <c r="AY75" i="4"/>
  <c r="AZ75" i="4"/>
  <c r="BA75" i="4"/>
  <c r="BB75" i="4"/>
  <c r="BC75" i="4"/>
  <c r="BD75" i="4"/>
  <c r="BE75" i="4"/>
  <c r="BF75" i="4"/>
  <c r="BG75" i="4"/>
  <c r="BH75" i="4"/>
  <c r="BI75" i="4"/>
  <c r="BJ75" i="4"/>
  <c r="BK75" i="4"/>
  <c r="BL75" i="4"/>
  <c r="BM75" i="4"/>
  <c r="BN75" i="4"/>
  <c r="BO75" i="4"/>
  <c r="BP75" i="4"/>
  <c r="BQ75" i="4"/>
  <c r="BR75" i="4"/>
  <c r="BS75" i="4"/>
  <c r="BT75" i="4"/>
  <c r="BU75" i="4"/>
  <c r="BV75" i="4"/>
  <c r="BW75" i="4"/>
  <c r="BX75" i="4"/>
  <c r="BY75" i="4"/>
  <c r="BZ75" i="4"/>
  <c r="CA75" i="4"/>
  <c r="CB75" i="4"/>
  <c r="CC75" i="4"/>
  <c r="CD75" i="4"/>
  <c r="CE75" i="4"/>
  <c r="CF75" i="4"/>
  <c r="CG75" i="4"/>
  <c r="CH75" i="4"/>
  <c r="CI75" i="4"/>
  <c r="CJ75" i="4"/>
  <c r="CK75" i="4"/>
  <c r="CL75" i="4"/>
  <c r="CM75" i="4"/>
  <c r="CN75" i="4"/>
  <c r="CO75" i="4"/>
  <c r="CP75" i="4"/>
  <c r="CQ75" i="4"/>
  <c r="CR75" i="4"/>
  <c r="CS75" i="4"/>
  <c r="CT75" i="4"/>
  <c r="CU75" i="4"/>
  <c r="CV75" i="4"/>
  <c r="CW75" i="4"/>
  <c r="CX75" i="4"/>
  <c r="CY75" i="4"/>
  <c r="CZ75" i="4"/>
  <c r="DA75" i="4"/>
  <c r="DB75" i="4"/>
  <c r="DC75" i="4"/>
  <c r="DD75" i="4"/>
  <c r="DE75" i="4"/>
  <c r="DF75" i="4"/>
  <c r="DG75" i="4"/>
  <c r="DH75" i="4"/>
  <c r="DI75" i="4"/>
  <c r="DJ75" i="4"/>
  <c r="DK75" i="4"/>
  <c r="DL75" i="4"/>
  <c r="DM75" i="4"/>
  <c r="DN75" i="4"/>
  <c r="DO75" i="4"/>
  <c r="DP75" i="4"/>
  <c r="DQ75" i="4"/>
  <c r="DR75" i="4"/>
  <c r="DS75" i="4"/>
  <c r="DT75" i="4"/>
  <c r="DU75" i="4"/>
  <c r="DV75" i="4"/>
  <c r="DW75" i="4"/>
  <c r="DX75" i="4"/>
  <c r="DY75" i="4"/>
  <c r="DZ75" i="4"/>
  <c r="EA75" i="4"/>
  <c r="EB75" i="4"/>
  <c r="EC75" i="4"/>
  <c r="ED75" i="4"/>
  <c r="EE75" i="4"/>
  <c r="EF75" i="4"/>
  <c r="EG75" i="4"/>
  <c r="EH75" i="4"/>
  <c r="EI75" i="4"/>
  <c r="EJ75" i="4"/>
  <c r="EK75" i="4"/>
  <c r="EL75" i="4"/>
  <c r="EM75" i="4"/>
  <c r="EN75" i="4"/>
  <c r="EO75" i="4"/>
  <c r="EP75" i="4"/>
  <c r="EQ75" i="4"/>
  <c r="ER75" i="4"/>
  <c r="ES75" i="4"/>
  <c r="ET75" i="4"/>
  <c r="EU75" i="4"/>
  <c r="EV75" i="4"/>
  <c r="EW75" i="4"/>
  <c r="EX75" i="4"/>
  <c r="EY75" i="4"/>
  <c r="EZ75" i="4"/>
  <c r="FA75" i="4"/>
  <c r="FB75" i="4"/>
  <c r="FC75" i="4"/>
  <c r="FD75" i="4"/>
  <c r="FE75" i="4"/>
  <c r="FF75" i="4"/>
  <c r="FG75" i="4"/>
  <c r="FH75" i="4"/>
  <c r="FI75" i="4"/>
  <c r="FJ75" i="4"/>
  <c r="FK75" i="4"/>
  <c r="FL75" i="4"/>
  <c r="FM75" i="4"/>
  <c r="FN75" i="4"/>
  <c r="FO75" i="4"/>
  <c r="FP75" i="4"/>
  <c r="FQ75" i="4"/>
  <c r="FR75" i="4"/>
  <c r="FS75" i="4"/>
  <c r="FT75" i="4"/>
  <c r="FU75" i="4"/>
  <c r="FV75" i="4"/>
  <c r="FW75" i="4"/>
  <c r="FX75" i="4"/>
  <c r="FY75" i="4"/>
  <c r="FZ75" i="4"/>
  <c r="GA75" i="4"/>
  <c r="GB75" i="4"/>
  <c r="GC75" i="4"/>
  <c r="GD75" i="4"/>
  <c r="GE75" i="4"/>
  <c r="GF75" i="4"/>
  <c r="GG75" i="4"/>
  <c r="GH75" i="4"/>
  <c r="GI75" i="4"/>
  <c r="GJ75" i="4"/>
  <c r="GK75" i="4"/>
  <c r="GL75" i="4"/>
  <c r="GM75" i="4"/>
  <c r="GN75" i="4"/>
  <c r="GO75" i="4"/>
  <c r="GP75" i="4"/>
  <c r="GQ75" i="4"/>
  <c r="GR75" i="4"/>
  <c r="GS75" i="4"/>
  <c r="GT75" i="4"/>
  <c r="GU75" i="4"/>
  <c r="GV75" i="4"/>
  <c r="GW75" i="4"/>
  <c r="GX75" i="4"/>
  <c r="GY75" i="4"/>
  <c r="GZ75" i="4"/>
  <c r="HA75" i="4"/>
  <c r="HB75" i="4"/>
  <c r="HC75" i="4"/>
  <c r="HD75" i="4"/>
  <c r="HE75" i="4"/>
  <c r="HF75" i="4"/>
  <c r="HG75" i="4"/>
  <c r="HH75" i="4"/>
  <c r="HI75" i="4"/>
  <c r="HJ75" i="4"/>
  <c r="HK75" i="4"/>
  <c r="HL75" i="4"/>
  <c r="HM75" i="4"/>
  <c r="HN75" i="4"/>
  <c r="HO75" i="4"/>
  <c r="HP75" i="4"/>
  <c r="HQ75" i="4"/>
  <c r="HR75" i="4"/>
  <c r="HS75" i="4"/>
  <c r="HT75" i="4"/>
  <c r="HU75" i="4"/>
  <c r="HV75" i="4"/>
  <c r="HW75" i="4"/>
  <c r="HX75" i="4"/>
  <c r="HY75" i="4"/>
  <c r="HZ75" i="4"/>
  <c r="IA75" i="4"/>
  <c r="IB75" i="4"/>
  <c r="IC75" i="4"/>
  <c r="ID75" i="4"/>
  <c r="IE75" i="4"/>
  <c r="IF75" i="4"/>
  <c r="IG75" i="4"/>
  <c r="IH75" i="4"/>
  <c r="II75" i="4"/>
  <c r="IJ75" i="4"/>
  <c r="IK75" i="4"/>
  <c r="IL75" i="4"/>
  <c r="IM75" i="4"/>
  <c r="IN75" i="4"/>
  <c r="IO75" i="4"/>
  <c r="IP75" i="4"/>
  <c r="IQ75" i="4"/>
  <c r="IR75" i="4"/>
  <c r="IS75" i="4"/>
  <c r="IT75" i="4"/>
  <c r="IU75" i="4"/>
  <c r="IV75" i="4"/>
  <c r="A74" i="4"/>
  <c r="B74" i="4"/>
  <c r="C74" i="4"/>
  <c r="D74" i="4"/>
  <c r="E74" i="4"/>
  <c r="F74" i="4"/>
  <c r="G74" i="4"/>
  <c r="H74" i="4"/>
  <c r="I74" i="4"/>
  <c r="J74" i="4"/>
  <c r="K74" i="4"/>
  <c r="L74" i="4"/>
  <c r="M74" i="4"/>
  <c r="N74" i="4"/>
  <c r="O74" i="4"/>
  <c r="P74" i="4"/>
  <c r="Q74" i="4"/>
  <c r="R74" i="4"/>
  <c r="S74" i="4"/>
  <c r="T74" i="4"/>
  <c r="U74" i="4"/>
  <c r="V74" i="4"/>
  <c r="W74" i="4"/>
  <c r="X74" i="4"/>
  <c r="Y74" i="4"/>
  <c r="Z74" i="4"/>
  <c r="AA74" i="4"/>
  <c r="AB74" i="4"/>
  <c r="AC74" i="4"/>
  <c r="AD74" i="4"/>
  <c r="AE74" i="4"/>
  <c r="AF74" i="4"/>
  <c r="AG74" i="4"/>
  <c r="AH74" i="4"/>
  <c r="AI74" i="4"/>
  <c r="AJ74" i="4"/>
  <c r="AK74" i="4"/>
  <c r="AL74" i="4"/>
  <c r="AM74" i="4"/>
  <c r="AN74" i="4"/>
  <c r="AO74" i="4"/>
  <c r="AP74" i="4"/>
  <c r="AQ74" i="4"/>
  <c r="AR74" i="4"/>
  <c r="AS74" i="4"/>
  <c r="AT74" i="4"/>
  <c r="AU74" i="4"/>
  <c r="AV74" i="4"/>
  <c r="AW74" i="4"/>
  <c r="AX74" i="4"/>
  <c r="AY74" i="4"/>
  <c r="AZ74" i="4"/>
  <c r="BA74" i="4"/>
  <c r="BB74" i="4"/>
  <c r="BC74" i="4"/>
  <c r="BD74" i="4"/>
  <c r="BE74" i="4"/>
  <c r="BF74" i="4"/>
  <c r="BG74" i="4"/>
  <c r="BH74" i="4"/>
  <c r="BI74" i="4"/>
  <c r="BJ74" i="4"/>
  <c r="BK74" i="4"/>
  <c r="BL74" i="4"/>
  <c r="BM74" i="4"/>
  <c r="BN74" i="4"/>
  <c r="BO74" i="4"/>
  <c r="BP74" i="4"/>
  <c r="BQ74" i="4"/>
  <c r="BR74" i="4"/>
  <c r="BS74" i="4"/>
  <c r="BT74" i="4"/>
  <c r="BU74" i="4"/>
  <c r="BV74" i="4"/>
  <c r="BW74" i="4"/>
  <c r="BX74" i="4"/>
  <c r="BY74" i="4"/>
  <c r="BZ74" i="4"/>
  <c r="CA74" i="4"/>
  <c r="CB74" i="4"/>
  <c r="CC74" i="4"/>
  <c r="CD74" i="4"/>
  <c r="CE74" i="4"/>
  <c r="CF74" i="4"/>
  <c r="CG74" i="4"/>
  <c r="CH74" i="4"/>
  <c r="CI74" i="4"/>
  <c r="CJ74" i="4"/>
  <c r="CK74" i="4"/>
  <c r="CL74" i="4"/>
  <c r="CM74" i="4"/>
  <c r="CN74" i="4"/>
  <c r="CO74" i="4"/>
  <c r="CP74" i="4"/>
  <c r="CQ74" i="4"/>
  <c r="CR74" i="4"/>
  <c r="CS74" i="4"/>
  <c r="CT74" i="4"/>
  <c r="CU74" i="4"/>
  <c r="CV74" i="4"/>
  <c r="CW74" i="4"/>
  <c r="CX74" i="4"/>
  <c r="CY74" i="4"/>
  <c r="CZ74" i="4"/>
  <c r="DA74" i="4"/>
  <c r="DB74" i="4"/>
  <c r="DC74" i="4"/>
  <c r="DD74" i="4"/>
  <c r="DE74" i="4"/>
  <c r="DF74" i="4"/>
  <c r="DG74" i="4"/>
  <c r="DH74" i="4"/>
  <c r="DI74" i="4"/>
  <c r="DJ74" i="4"/>
  <c r="DK74" i="4"/>
  <c r="DL74" i="4"/>
  <c r="DM74" i="4"/>
  <c r="DN74" i="4"/>
  <c r="DO74" i="4"/>
  <c r="DP74" i="4"/>
  <c r="DQ74" i="4"/>
  <c r="DR74" i="4"/>
  <c r="DS74" i="4"/>
  <c r="DT74" i="4"/>
  <c r="DU74" i="4"/>
  <c r="DV74" i="4"/>
  <c r="DW74" i="4"/>
  <c r="DX74" i="4"/>
  <c r="DY74" i="4"/>
  <c r="DZ74" i="4"/>
  <c r="EA74" i="4"/>
  <c r="EB74" i="4"/>
  <c r="EC74" i="4"/>
  <c r="ED74" i="4"/>
  <c r="EE74" i="4"/>
  <c r="EF74" i="4"/>
  <c r="EG74" i="4"/>
  <c r="EH74" i="4"/>
  <c r="EI74" i="4"/>
  <c r="EJ74" i="4"/>
  <c r="EK74" i="4"/>
  <c r="EL74" i="4"/>
  <c r="EM74" i="4"/>
  <c r="EN74" i="4"/>
  <c r="EO74" i="4"/>
  <c r="EP74" i="4"/>
  <c r="EQ74" i="4"/>
  <c r="ER74" i="4"/>
  <c r="ES74" i="4"/>
  <c r="ET74" i="4"/>
  <c r="EU74" i="4"/>
  <c r="EV74" i="4"/>
  <c r="EW74" i="4"/>
  <c r="EX74" i="4"/>
  <c r="EY74" i="4"/>
  <c r="EZ74" i="4"/>
  <c r="FA74" i="4"/>
  <c r="FB74" i="4"/>
  <c r="FC74" i="4"/>
  <c r="FD74" i="4"/>
  <c r="FE74" i="4"/>
  <c r="FF74" i="4"/>
  <c r="FG74" i="4"/>
  <c r="FH74" i="4"/>
  <c r="FI74" i="4"/>
  <c r="FJ74" i="4"/>
  <c r="FK74" i="4"/>
  <c r="FL74" i="4"/>
  <c r="FM74" i="4"/>
  <c r="FN74" i="4"/>
  <c r="FO74" i="4"/>
  <c r="FP74" i="4"/>
  <c r="FQ74" i="4"/>
  <c r="FR74" i="4"/>
  <c r="FS74" i="4"/>
  <c r="FT74" i="4"/>
  <c r="FU74" i="4"/>
  <c r="FV74" i="4"/>
  <c r="FW74" i="4"/>
  <c r="FX74" i="4"/>
  <c r="FY74" i="4"/>
  <c r="FZ74" i="4"/>
  <c r="GA74" i="4"/>
  <c r="GB74" i="4"/>
  <c r="GC74" i="4"/>
  <c r="GD74" i="4"/>
  <c r="GE74" i="4"/>
  <c r="GF74" i="4"/>
  <c r="GG74" i="4"/>
  <c r="GH74" i="4"/>
  <c r="GI74" i="4"/>
  <c r="GJ74" i="4"/>
  <c r="GK74" i="4"/>
  <c r="GL74" i="4"/>
  <c r="GM74" i="4"/>
  <c r="GN74" i="4"/>
  <c r="GO74" i="4"/>
  <c r="GP74" i="4"/>
  <c r="GQ74" i="4"/>
  <c r="GR74" i="4"/>
  <c r="GS74" i="4"/>
  <c r="GT74" i="4"/>
  <c r="GU74" i="4"/>
  <c r="GV74" i="4"/>
  <c r="GW74" i="4"/>
  <c r="GX74" i="4"/>
  <c r="GY74" i="4"/>
  <c r="GZ74" i="4"/>
  <c r="HA74" i="4"/>
  <c r="HB74" i="4"/>
  <c r="HC74" i="4"/>
  <c r="HD74" i="4"/>
  <c r="HE74" i="4"/>
  <c r="HF74" i="4"/>
  <c r="HG74" i="4"/>
  <c r="HH74" i="4"/>
  <c r="HI74" i="4"/>
  <c r="HJ74" i="4"/>
  <c r="HK74" i="4"/>
  <c r="HL74" i="4"/>
  <c r="HM74" i="4"/>
  <c r="HN74" i="4"/>
  <c r="HO74" i="4"/>
  <c r="HP74" i="4"/>
  <c r="HQ74" i="4"/>
  <c r="HR74" i="4"/>
  <c r="HS74" i="4"/>
  <c r="HT74" i="4"/>
  <c r="HU74" i="4"/>
  <c r="HV74" i="4"/>
  <c r="HW74" i="4"/>
  <c r="HX74" i="4"/>
  <c r="HY74" i="4"/>
  <c r="HZ74" i="4"/>
  <c r="IA74" i="4"/>
  <c r="IB74" i="4"/>
  <c r="IC74" i="4"/>
  <c r="ID74" i="4"/>
  <c r="IE74" i="4"/>
  <c r="IF74" i="4"/>
  <c r="IG74" i="4"/>
  <c r="IH74" i="4"/>
  <c r="II74" i="4"/>
  <c r="IJ74" i="4"/>
  <c r="IK74" i="4"/>
  <c r="IL74" i="4"/>
  <c r="IM74" i="4"/>
  <c r="IN74" i="4"/>
  <c r="IO74" i="4"/>
  <c r="IP74" i="4"/>
  <c r="IQ74" i="4"/>
  <c r="IR74" i="4"/>
  <c r="IS74" i="4"/>
  <c r="IT74" i="4"/>
  <c r="IU74" i="4"/>
  <c r="IV74" i="4"/>
  <c r="A73" i="4"/>
  <c r="B73" i="4"/>
  <c r="C73" i="4"/>
  <c r="D73" i="4"/>
  <c r="E73" i="4"/>
  <c r="F73" i="4"/>
  <c r="G73" i="4"/>
  <c r="H73" i="4"/>
  <c r="I73" i="4"/>
  <c r="J73" i="4"/>
  <c r="K73" i="4"/>
  <c r="L73" i="4"/>
  <c r="M73" i="4"/>
  <c r="N73" i="4"/>
  <c r="O73" i="4"/>
  <c r="P73" i="4"/>
  <c r="Q73" i="4"/>
  <c r="R73" i="4"/>
  <c r="T73" i="4"/>
  <c r="U73" i="4"/>
  <c r="V73" i="4"/>
  <c r="W73" i="4"/>
  <c r="X73" i="4"/>
  <c r="Y73" i="4"/>
  <c r="Z73" i="4"/>
  <c r="AA73" i="4"/>
  <c r="AB73" i="4"/>
  <c r="AC73" i="4"/>
  <c r="AD73" i="4"/>
  <c r="AE73" i="4"/>
  <c r="AF73" i="4"/>
  <c r="AG73" i="4"/>
  <c r="AH73" i="4"/>
  <c r="AI73" i="4"/>
  <c r="AJ73" i="4"/>
  <c r="AK73" i="4"/>
  <c r="AL73" i="4"/>
  <c r="AM73" i="4"/>
  <c r="AN73" i="4"/>
  <c r="AO73" i="4"/>
  <c r="AP73" i="4"/>
  <c r="AQ73" i="4"/>
  <c r="AR73" i="4"/>
  <c r="AS73" i="4"/>
  <c r="AT73" i="4"/>
  <c r="AU73" i="4"/>
  <c r="AV73" i="4"/>
  <c r="AW73" i="4"/>
  <c r="AX73" i="4"/>
  <c r="AY73" i="4"/>
  <c r="AZ73" i="4"/>
  <c r="BA73" i="4"/>
  <c r="BB73" i="4"/>
  <c r="BC73" i="4"/>
  <c r="BD73" i="4"/>
  <c r="BE73" i="4"/>
  <c r="BF73" i="4"/>
  <c r="BG73" i="4"/>
  <c r="BH73" i="4"/>
  <c r="BI73" i="4"/>
  <c r="BJ73" i="4"/>
  <c r="BK73" i="4"/>
  <c r="BL73" i="4"/>
  <c r="BM73" i="4"/>
  <c r="BN73" i="4"/>
  <c r="BO73" i="4"/>
  <c r="BP73" i="4"/>
  <c r="BQ73" i="4"/>
  <c r="BR73" i="4"/>
  <c r="BS73" i="4"/>
  <c r="BT73" i="4"/>
  <c r="BU73" i="4"/>
  <c r="BV73" i="4"/>
  <c r="BW73" i="4"/>
  <c r="BX73" i="4"/>
  <c r="BY73" i="4"/>
  <c r="BZ73" i="4"/>
  <c r="CA73" i="4"/>
  <c r="CB73" i="4"/>
  <c r="CC73" i="4"/>
  <c r="CD73" i="4"/>
  <c r="CE73" i="4"/>
  <c r="CF73" i="4"/>
  <c r="CG73" i="4"/>
  <c r="CH73" i="4"/>
  <c r="CI73" i="4"/>
  <c r="CJ73" i="4"/>
  <c r="CK73" i="4"/>
  <c r="CL73" i="4"/>
  <c r="CM73" i="4"/>
  <c r="CN73" i="4"/>
  <c r="CO73" i="4"/>
  <c r="CP73" i="4"/>
  <c r="CQ73" i="4"/>
  <c r="CR73" i="4"/>
  <c r="CS73" i="4"/>
  <c r="CT73" i="4"/>
  <c r="CU73" i="4"/>
  <c r="CV73" i="4"/>
  <c r="CW73" i="4"/>
  <c r="CX73" i="4"/>
  <c r="CY73" i="4"/>
  <c r="CZ73" i="4"/>
  <c r="DA73" i="4"/>
  <c r="DB73" i="4"/>
  <c r="DC73" i="4"/>
  <c r="DD73" i="4"/>
  <c r="DE73" i="4"/>
  <c r="DF73" i="4"/>
  <c r="DG73" i="4"/>
  <c r="DH73" i="4"/>
  <c r="DI73" i="4"/>
  <c r="DJ73" i="4"/>
  <c r="DK73" i="4"/>
  <c r="DL73" i="4"/>
  <c r="DM73" i="4"/>
  <c r="DN73" i="4"/>
  <c r="DO73" i="4"/>
  <c r="DP73" i="4"/>
  <c r="DQ73" i="4"/>
  <c r="DR73" i="4"/>
  <c r="DS73" i="4"/>
  <c r="DT73" i="4"/>
  <c r="DU73" i="4"/>
  <c r="DV73" i="4"/>
  <c r="DW73" i="4"/>
  <c r="DX73" i="4"/>
  <c r="DY73" i="4"/>
  <c r="DZ73" i="4"/>
  <c r="EA73" i="4"/>
  <c r="EB73" i="4"/>
  <c r="EC73" i="4"/>
  <c r="ED73" i="4"/>
  <c r="EE73" i="4"/>
  <c r="EF73" i="4"/>
  <c r="EG73" i="4"/>
  <c r="EH73" i="4"/>
  <c r="EI73" i="4"/>
  <c r="EJ73" i="4"/>
  <c r="EK73" i="4"/>
  <c r="EL73" i="4"/>
  <c r="EM73" i="4"/>
  <c r="EN73" i="4"/>
  <c r="EO73" i="4"/>
  <c r="EP73" i="4"/>
  <c r="EQ73" i="4"/>
  <c r="ER73" i="4"/>
  <c r="ES73" i="4"/>
  <c r="ET73" i="4"/>
  <c r="EU73" i="4"/>
  <c r="EV73" i="4"/>
  <c r="EW73" i="4"/>
  <c r="EX73" i="4"/>
  <c r="EY73" i="4"/>
  <c r="EZ73" i="4"/>
  <c r="FA73" i="4"/>
  <c r="FB73" i="4"/>
  <c r="FC73" i="4"/>
  <c r="FD73" i="4"/>
  <c r="FE73" i="4"/>
  <c r="FF73" i="4"/>
  <c r="FG73" i="4"/>
  <c r="FH73" i="4"/>
  <c r="FI73" i="4"/>
  <c r="FJ73" i="4"/>
  <c r="FK73" i="4"/>
  <c r="FL73" i="4"/>
  <c r="FM73" i="4"/>
  <c r="FN73" i="4"/>
  <c r="FO73" i="4"/>
  <c r="FP73" i="4"/>
  <c r="FQ73" i="4"/>
  <c r="FR73" i="4"/>
  <c r="FS73" i="4"/>
  <c r="FT73" i="4"/>
  <c r="FU73" i="4"/>
  <c r="FV73" i="4"/>
  <c r="FW73" i="4"/>
  <c r="FX73" i="4"/>
  <c r="FY73" i="4"/>
  <c r="FZ73" i="4"/>
  <c r="GA73" i="4"/>
  <c r="GB73" i="4"/>
  <c r="GC73" i="4"/>
  <c r="GD73" i="4"/>
  <c r="GE73" i="4"/>
  <c r="GF73" i="4"/>
  <c r="GG73" i="4"/>
  <c r="GH73" i="4"/>
  <c r="GI73" i="4"/>
  <c r="GJ73" i="4"/>
  <c r="GK73" i="4"/>
  <c r="GL73" i="4"/>
  <c r="GM73" i="4"/>
  <c r="GN73" i="4"/>
  <c r="GO73" i="4"/>
  <c r="GP73" i="4"/>
  <c r="GQ73" i="4"/>
  <c r="GR73" i="4"/>
  <c r="GS73" i="4"/>
  <c r="GT73" i="4"/>
  <c r="GU73" i="4"/>
  <c r="GV73" i="4"/>
  <c r="GW73" i="4"/>
  <c r="GX73" i="4"/>
  <c r="GY73" i="4"/>
  <c r="GZ73" i="4"/>
  <c r="HA73" i="4"/>
  <c r="HB73" i="4"/>
  <c r="HC73" i="4"/>
  <c r="HD73" i="4"/>
  <c r="HE73" i="4"/>
  <c r="HF73" i="4"/>
  <c r="HG73" i="4"/>
  <c r="HH73" i="4"/>
  <c r="HI73" i="4"/>
  <c r="HJ73" i="4"/>
  <c r="HK73" i="4"/>
  <c r="HL73" i="4"/>
  <c r="HM73" i="4"/>
  <c r="HN73" i="4"/>
  <c r="HO73" i="4"/>
  <c r="HP73" i="4"/>
  <c r="HQ73" i="4"/>
  <c r="HR73" i="4"/>
  <c r="HS73" i="4"/>
  <c r="HT73" i="4"/>
  <c r="HU73" i="4"/>
  <c r="HV73" i="4"/>
  <c r="HW73" i="4"/>
  <c r="HX73" i="4"/>
  <c r="HY73" i="4"/>
  <c r="HZ73" i="4"/>
  <c r="IA73" i="4"/>
  <c r="IB73" i="4"/>
  <c r="IC73" i="4"/>
  <c r="ID73" i="4"/>
  <c r="IE73" i="4"/>
  <c r="IF73" i="4"/>
  <c r="IG73" i="4"/>
  <c r="IH73" i="4"/>
  <c r="II73" i="4"/>
  <c r="IJ73" i="4"/>
  <c r="IK73" i="4"/>
  <c r="IL73" i="4"/>
  <c r="IM73" i="4"/>
  <c r="IN73" i="4"/>
  <c r="IO73" i="4"/>
  <c r="IP73" i="4"/>
  <c r="IQ73" i="4"/>
  <c r="IR73" i="4"/>
  <c r="IS73" i="4"/>
  <c r="IT73" i="4"/>
  <c r="IU73" i="4"/>
  <c r="IV73" i="4"/>
  <c r="A72" i="4"/>
  <c r="B72" i="4"/>
  <c r="C72" i="4"/>
  <c r="D72" i="4"/>
  <c r="E72" i="4"/>
  <c r="F72" i="4"/>
  <c r="G72" i="4"/>
  <c r="H72" i="4"/>
  <c r="I72" i="4"/>
  <c r="J72" i="4"/>
  <c r="K72" i="4"/>
  <c r="L72" i="4"/>
  <c r="M72" i="4"/>
  <c r="N72" i="4"/>
  <c r="O72" i="4"/>
  <c r="P72" i="4"/>
  <c r="Q72" i="4"/>
  <c r="R72" i="4"/>
  <c r="S72" i="4"/>
  <c r="U72" i="4"/>
  <c r="V72" i="4"/>
  <c r="W72" i="4"/>
  <c r="X72" i="4"/>
  <c r="Y72" i="4"/>
  <c r="Z72" i="4"/>
  <c r="AA72" i="4"/>
  <c r="AB72" i="4"/>
  <c r="AC72" i="4"/>
  <c r="AD72" i="4"/>
  <c r="AE72" i="4"/>
  <c r="AF72" i="4"/>
  <c r="AG72" i="4"/>
  <c r="AH72" i="4"/>
  <c r="AI72" i="4"/>
  <c r="AJ72" i="4"/>
  <c r="AK72" i="4"/>
  <c r="AL72" i="4"/>
  <c r="AM72" i="4"/>
  <c r="AN72" i="4"/>
  <c r="AO72" i="4"/>
  <c r="AP72" i="4"/>
  <c r="AQ72" i="4"/>
  <c r="AR72" i="4"/>
  <c r="AS72" i="4"/>
  <c r="AT72" i="4"/>
  <c r="AU72" i="4"/>
  <c r="AV72" i="4"/>
  <c r="AW72" i="4"/>
  <c r="AX72" i="4"/>
  <c r="AY72" i="4"/>
  <c r="AZ72" i="4"/>
  <c r="BA72" i="4"/>
  <c r="BB72" i="4"/>
  <c r="BC72" i="4"/>
  <c r="BD72" i="4"/>
  <c r="BE72" i="4"/>
  <c r="BF72" i="4"/>
  <c r="BG72" i="4"/>
  <c r="BH72" i="4"/>
  <c r="BI72" i="4"/>
  <c r="BJ72" i="4"/>
  <c r="BK72" i="4"/>
  <c r="BL72" i="4"/>
  <c r="BM72" i="4"/>
  <c r="BN72" i="4"/>
  <c r="BO72" i="4"/>
  <c r="BP72" i="4"/>
  <c r="BQ72" i="4"/>
  <c r="BR72" i="4"/>
  <c r="BS72" i="4"/>
  <c r="BT72" i="4"/>
  <c r="BU72" i="4"/>
  <c r="BV72" i="4"/>
  <c r="BW72" i="4"/>
  <c r="BX72" i="4"/>
  <c r="BY72" i="4"/>
  <c r="BZ72" i="4"/>
  <c r="CA72" i="4"/>
  <c r="CB72" i="4"/>
  <c r="CC72" i="4"/>
  <c r="CD72" i="4"/>
  <c r="CE72" i="4"/>
  <c r="CF72" i="4"/>
  <c r="CG72" i="4"/>
  <c r="CH72" i="4"/>
  <c r="CI72" i="4"/>
  <c r="CJ72" i="4"/>
  <c r="CK72" i="4"/>
  <c r="CL72" i="4"/>
  <c r="CM72" i="4"/>
  <c r="CN72" i="4"/>
  <c r="CO72" i="4"/>
  <c r="CP72" i="4"/>
  <c r="CQ72" i="4"/>
  <c r="CR72" i="4"/>
  <c r="CS72" i="4"/>
  <c r="CT72" i="4"/>
  <c r="CU72" i="4"/>
  <c r="CV72" i="4"/>
  <c r="CW72" i="4"/>
  <c r="CX72" i="4"/>
  <c r="CY72" i="4"/>
  <c r="CZ72" i="4"/>
  <c r="DA72" i="4"/>
  <c r="DB72" i="4"/>
  <c r="DC72" i="4"/>
  <c r="DD72" i="4"/>
  <c r="DE72" i="4"/>
  <c r="DF72" i="4"/>
  <c r="DG72" i="4"/>
  <c r="DH72" i="4"/>
  <c r="DI72" i="4"/>
  <c r="DJ72" i="4"/>
  <c r="DK72" i="4"/>
  <c r="DL72" i="4"/>
  <c r="DM72" i="4"/>
  <c r="DN72" i="4"/>
  <c r="DO72" i="4"/>
  <c r="DP72" i="4"/>
  <c r="DQ72" i="4"/>
  <c r="DR72" i="4"/>
  <c r="DS72" i="4"/>
  <c r="DT72" i="4"/>
  <c r="DU72" i="4"/>
  <c r="DV72" i="4"/>
  <c r="DW72" i="4"/>
  <c r="DX72" i="4"/>
  <c r="DY72" i="4"/>
  <c r="DZ72" i="4"/>
  <c r="EA72" i="4"/>
  <c r="EB72" i="4"/>
  <c r="EC72" i="4"/>
  <c r="ED72" i="4"/>
  <c r="EE72" i="4"/>
  <c r="EF72" i="4"/>
  <c r="EG72" i="4"/>
  <c r="EH72" i="4"/>
  <c r="EI72" i="4"/>
  <c r="EJ72" i="4"/>
  <c r="EK72" i="4"/>
  <c r="EL72" i="4"/>
  <c r="EM72" i="4"/>
  <c r="EN72" i="4"/>
  <c r="EO72" i="4"/>
  <c r="EP72" i="4"/>
  <c r="EQ72" i="4"/>
  <c r="ER72" i="4"/>
  <c r="ES72" i="4"/>
  <c r="ET72" i="4"/>
  <c r="EU72" i="4"/>
  <c r="EV72" i="4"/>
  <c r="EW72" i="4"/>
  <c r="EX72" i="4"/>
  <c r="EY72" i="4"/>
  <c r="EZ72" i="4"/>
  <c r="FA72" i="4"/>
  <c r="FB72" i="4"/>
  <c r="FC72" i="4"/>
  <c r="FD72" i="4"/>
  <c r="FE72" i="4"/>
  <c r="FF72" i="4"/>
  <c r="FG72" i="4"/>
  <c r="FH72" i="4"/>
  <c r="FI72" i="4"/>
  <c r="FJ72" i="4"/>
  <c r="FK72" i="4"/>
  <c r="FL72" i="4"/>
  <c r="FM72" i="4"/>
  <c r="FN72" i="4"/>
  <c r="FO72" i="4"/>
  <c r="FP72" i="4"/>
  <c r="FQ72" i="4"/>
  <c r="FR72" i="4"/>
  <c r="FS72" i="4"/>
  <c r="FT72" i="4"/>
  <c r="FU72" i="4"/>
  <c r="FV72" i="4"/>
  <c r="FW72" i="4"/>
  <c r="FX72" i="4"/>
  <c r="FY72" i="4"/>
  <c r="FZ72" i="4"/>
  <c r="GA72" i="4"/>
  <c r="GB72" i="4"/>
  <c r="GC72" i="4"/>
  <c r="GD72" i="4"/>
  <c r="GE72" i="4"/>
  <c r="GF72" i="4"/>
  <c r="GG72" i="4"/>
  <c r="GH72" i="4"/>
  <c r="GI72" i="4"/>
  <c r="GJ72" i="4"/>
  <c r="GK72" i="4"/>
  <c r="GL72" i="4"/>
  <c r="GM72" i="4"/>
  <c r="GN72" i="4"/>
  <c r="GO72" i="4"/>
  <c r="GP72" i="4"/>
  <c r="GQ72" i="4"/>
  <c r="GR72" i="4"/>
  <c r="GS72" i="4"/>
  <c r="GT72" i="4"/>
  <c r="GU72" i="4"/>
  <c r="GV72" i="4"/>
  <c r="GW72" i="4"/>
  <c r="GX72" i="4"/>
  <c r="GY72" i="4"/>
  <c r="GZ72" i="4"/>
  <c r="HA72" i="4"/>
  <c r="HB72" i="4"/>
  <c r="HC72" i="4"/>
  <c r="HD72" i="4"/>
  <c r="HE72" i="4"/>
  <c r="HF72" i="4"/>
  <c r="HG72" i="4"/>
  <c r="HH72" i="4"/>
  <c r="HI72" i="4"/>
  <c r="HJ72" i="4"/>
  <c r="HK72" i="4"/>
  <c r="HL72" i="4"/>
  <c r="HM72" i="4"/>
  <c r="HN72" i="4"/>
  <c r="HO72" i="4"/>
  <c r="HP72" i="4"/>
  <c r="HQ72" i="4"/>
  <c r="HR72" i="4"/>
  <c r="HS72" i="4"/>
  <c r="HT72" i="4"/>
  <c r="HU72" i="4"/>
  <c r="HV72" i="4"/>
  <c r="HW72" i="4"/>
  <c r="HX72" i="4"/>
  <c r="HY72" i="4"/>
  <c r="HZ72" i="4"/>
  <c r="IA72" i="4"/>
  <c r="IB72" i="4"/>
  <c r="IC72" i="4"/>
  <c r="ID72" i="4"/>
  <c r="IE72" i="4"/>
  <c r="IF72" i="4"/>
  <c r="IG72" i="4"/>
  <c r="IH72" i="4"/>
  <c r="II72" i="4"/>
  <c r="IJ72" i="4"/>
  <c r="IK72" i="4"/>
  <c r="IL72" i="4"/>
  <c r="IM72" i="4"/>
  <c r="IN72" i="4"/>
  <c r="IO72" i="4"/>
  <c r="IP72" i="4"/>
  <c r="IQ72" i="4"/>
  <c r="IR72" i="4"/>
  <c r="IS72" i="4"/>
  <c r="IT72" i="4"/>
  <c r="IU72" i="4"/>
  <c r="IV72" i="4"/>
  <c r="A71" i="4"/>
  <c r="B71" i="4"/>
  <c r="C71" i="4"/>
  <c r="D71" i="4"/>
  <c r="E71" i="4"/>
  <c r="F71" i="4"/>
  <c r="G71" i="4"/>
  <c r="H71" i="4"/>
  <c r="I71" i="4"/>
  <c r="J71" i="4"/>
  <c r="K71" i="4"/>
  <c r="L71" i="4"/>
  <c r="M71" i="4"/>
  <c r="N71" i="4"/>
  <c r="O71" i="4"/>
  <c r="P71" i="4"/>
  <c r="Q71" i="4"/>
  <c r="R71" i="4"/>
  <c r="S71" i="4"/>
  <c r="T71" i="4"/>
  <c r="U71" i="4"/>
  <c r="V71" i="4"/>
  <c r="W71" i="4"/>
  <c r="X71" i="4"/>
  <c r="Y71" i="4"/>
  <c r="Z71" i="4"/>
  <c r="AA71" i="4"/>
  <c r="AB71" i="4"/>
  <c r="AC71" i="4"/>
  <c r="AD71" i="4"/>
  <c r="AE71" i="4"/>
  <c r="AF71" i="4"/>
  <c r="AG71" i="4"/>
  <c r="AH71" i="4"/>
  <c r="AI71" i="4"/>
  <c r="AJ71" i="4"/>
  <c r="AK71" i="4"/>
  <c r="AL71" i="4"/>
  <c r="AM71" i="4"/>
  <c r="AN71" i="4"/>
  <c r="AO71" i="4"/>
  <c r="AP71" i="4"/>
  <c r="AQ71" i="4"/>
  <c r="AR71" i="4"/>
  <c r="AS71" i="4"/>
  <c r="AT71" i="4"/>
  <c r="AU71" i="4"/>
  <c r="AV71" i="4"/>
  <c r="AW71" i="4"/>
  <c r="AX71" i="4"/>
  <c r="AY71" i="4"/>
  <c r="AZ71" i="4"/>
  <c r="BA71" i="4"/>
  <c r="BB71" i="4"/>
  <c r="BC71" i="4"/>
  <c r="BD71" i="4"/>
  <c r="BE71" i="4"/>
  <c r="BF71" i="4"/>
  <c r="BG71" i="4"/>
  <c r="BH71" i="4"/>
  <c r="BI71" i="4"/>
  <c r="BJ71" i="4"/>
  <c r="BK71" i="4"/>
  <c r="BL71" i="4"/>
  <c r="BM71" i="4"/>
  <c r="BN71" i="4"/>
  <c r="BO71" i="4"/>
  <c r="BP71" i="4"/>
  <c r="BQ71" i="4"/>
  <c r="BR71" i="4"/>
  <c r="BS71" i="4"/>
  <c r="BT71" i="4"/>
  <c r="BU71" i="4"/>
  <c r="BV71" i="4"/>
  <c r="BW71" i="4"/>
  <c r="BX71" i="4"/>
  <c r="BY71" i="4"/>
  <c r="BZ71" i="4"/>
  <c r="CA71" i="4"/>
  <c r="CB71" i="4"/>
  <c r="CC71" i="4"/>
  <c r="CD71" i="4"/>
  <c r="CE71" i="4"/>
  <c r="CF71" i="4"/>
  <c r="CG71" i="4"/>
  <c r="CH71" i="4"/>
  <c r="CI71" i="4"/>
  <c r="CJ71" i="4"/>
  <c r="CK71" i="4"/>
  <c r="CL71" i="4"/>
  <c r="CM71" i="4"/>
  <c r="CN71" i="4"/>
  <c r="CO71" i="4"/>
  <c r="CP71" i="4"/>
  <c r="CQ71" i="4"/>
  <c r="CR71" i="4"/>
  <c r="CS71" i="4"/>
  <c r="CT71" i="4"/>
  <c r="CU71" i="4"/>
  <c r="CV71" i="4"/>
  <c r="CW71" i="4"/>
  <c r="CX71" i="4"/>
  <c r="CY71" i="4"/>
  <c r="CZ71" i="4"/>
  <c r="DA71" i="4"/>
  <c r="DB71" i="4"/>
  <c r="DC71" i="4"/>
  <c r="DD71" i="4"/>
  <c r="DE71" i="4"/>
  <c r="DF71" i="4"/>
  <c r="DG71" i="4"/>
  <c r="DH71" i="4"/>
  <c r="DI71" i="4"/>
  <c r="DJ71" i="4"/>
  <c r="DK71" i="4"/>
  <c r="DL71" i="4"/>
  <c r="DM71" i="4"/>
  <c r="DN71" i="4"/>
  <c r="DO71" i="4"/>
  <c r="DP71" i="4"/>
  <c r="DQ71" i="4"/>
  <c r="DR71" i="4"/>
  <c r="DS71" i="4"/>
  <c r="DT71" i="4"/>
  <c r="DU71" i="4"/>
  <c r="DV71" i="4"/>
  <c r="DW71" i="4"/>
  <c r="DX71" i="4"/>
  <c r="DY71" i="4"/>
  <c r="DZ71" i="4"/>
  <c r="EA71" i="4"/>
  <c r="EB71" i="4"/>
  <c r="EC71" i="4"/>
  <c r="ED71" i="4"/>
  <c r="EE71" i="4"/>
  <c r="EF71" i="4"/>
  <c r="EG71" i="4"/>
  <c r="EH71" i="4"/>
  <c r="EI71" i="4"/>
  <c r="EJ71" i="4"/>
  <c r="EK71" i="4"/>
  <c r="EL71" i="4"/>
  <c r="EM71" i="4"/>
  <c r="EN71" i="4"/>
  <c r="EO71" i="4"/>
  <c r="EP71" i="4"/>
  <c r="EQ71" i="4"/>
  <c r="ER71" i="4"/>
  <c r="ES71" i="4"/>
  <c r="ET71" i="4"/>
  <c r="EU71" i="4"/>
  <c r="EV71" i="4"/>
  <c r="EW71" i="4"/>
  <c r="EX71" i="4"/>
  <c r="EY71" i="4"/>
  <c r="EZ71" i="4"/>
  <c r="FA71" i="4"/>
  <c r="FB71" i="4"/>
  <c r="FC71" i="4"/>
  <c r="FD71" i="4"/>
  <c r="FE71" i="4"/>
  <c r="FF71" i="4"/>
  <c r="FG71" i="4"/>
  <c r="FH71" i="4"/>
  <c r="FI71" i="4"/>
  <c r="FJ71" i="4"/>
  <c r="FK71" i="4"/>
  <c r="FL71" i="4"/>
  <c r="FM71" i="4"/>
  <c r="FN71" i="4"/>
  <c r="FO71" i="4"/>
  <c r="FP71" i="4"/>
  <c r="FQ71" i="4"/>
  <c r="FR71" i="4"/>
  <c r="FS71" i="4"/>
  <c r="FT71" i="4"/>
  <c r="FU71" i="4"/>
  <c r="FV71" i="4"/>
  <c r="FW71" i="4"/>
  <c r="FX71" i="4"/>
  <c r="FY71" i="4"/>
  <c r="FZ71" i="4"/>
  <c r="GA71" i="4"/>
  <c r="GB71" i="4"/>
  <c r="GC71" i="4"/>
  <c r="GD71" i="4"/>
  <c r="GE71" i="4"/>
  <c r="GF71" i="4"/>
  <c r="GG71" i="4"/>
  <c r="GH71" i="4"/>
  <c r="GI71" i="4"/>
  <c r="GJ71" i="4"/>
  <c r="GK71" i="4"/>
  <c r="GL71" i="4"/>
  <c r="GM71" i="4"/>
  <c r="GN71" i="4"/>
  <c r="GO71" i="4"/>
  <c r="GP71" i="4"/>
  <c r="GQ71" i="4"/>
  <c r="GR71" i="4"/>
  <c r="GS71" i="4"/>
  <c r="GT71" i="4"/>
  <c r="GU71" i="4"/>
  <c r="GV71" i="4"/>
  <c r="GW71" i="4"/>
  <c r="GX71" i="4"/>
  <c r="GY71" i="4"/>
  <c r="GZ71" i="4"/>
  <c r="HA71" i="4"/>
  <c r="HB71" i="4"/>
  <c r="HC71" i="4"/>
  <c r="HD71" i="4"/>
  <c r="HE71" i="4"/>
  <c r="HF71" i="4"/>
  <c r="HG71" i="4"/>
  <c r="HH71" i="4"/>
  <c r="HI71" i="4"/>
  <c r="HJ71" i="4"/>
  <c r="HK71" i="4"/>
  <c r="HL71" i="4"/>
  <c r="HM71" i="4"/>
  <c r="HN71" i="4"/>
  <c r="HO71" i="4"/>
  <c r="HP71" i="4"/>
  <c r="HQ71" i="4"/>
  <c r="HR71" i="4"/>
  <c r="HS71" i="4"/>
  <c r="HT71" i="4"/>
  <c r="HU71" i="4"/>
  <c r="HV71" i="4"/>
  <c r="HW71" i="4"/>
  <c r="HX71" i="4"/>
  <c r="HY71" i="4"/>
  <c r="HZ71" i="4"/>
  <c r="IA71" i="4"/>
  <c r="IB71" i="4"/>
  <c r="IC71" i="4"/>
  <c r="ID71" i="4"/>
  <c r="IE71" i="4"/>
  <c r="IF71" i="4"/>
  <c r="IG71" i="4"/>
  <c r="IH71" i="4"/>
  <c r="II71" i="4"/>
  <c r="IJ71" i="4"/>
  <c r="IK71" i="4"/>
  <c r="IL71" i="4"/>
  <c r="IM71" i="4"/>
  <c r="IN71" i="4"/>
  <c r="IO71" i="4"/>
  <c r="IP71" i="4"/>
  <c r="IQ71" i="4"/>
  <c r="IR71" i="4"/>
  <c r="IS71" i="4"/>
  <c r="IT71" i="4"/>
  <c r="IU71" i="4"/>
  <c r="IV71" i="4"/>
  <c r="A70" i="4"/>
  <c r="B70" i="4"/>
  <c r="C70" i="4"/>
  <c r="D70" i="4"/>
  <c r="E70" i="4"/>
  <c r="F70" i="4"/>
  <c r="G70" i="4"/>
  <c r="H70" i="4"/>
  <c r="I70" i="4"/>
  <c r="J70" i="4"/>
  <c r="K70" i="4"/>
  <c r="L70" i="4"/>
  <c r="M70" i="4"/>
  <c r="N70" i="4"/>
  <c r="O70" i="4"/>
  <c r="P70" i="4"/>
  <c r="Q70" i="4"/>
  <c r="R70" i="4"/>
  <c r="S70" i="4"/>
  <c r="T70" i="4"/>
  <c r="U70" i="4"/>
  <c r="V70" i="4"/>
  <c r="W70" i="4"/>
  <c r="X70" i="4"/>
  <c r="Y70" i="4"/>
  <c r="Z70" i="4"/>
  <c r="AA70" i="4"/>
  <c r="AB70" i="4"/>
  <c r="AC70" i="4"/>
  <c r="AD70" i="4"/>
  <c r="AE70" i="4"/>
  <c r="AF70" i="4"/>
  <c r="AG70" i="4"/>
  <c r="AH70" i="4"/>
  <c r="AI70" i="4"/>
  <c r="AJ70" i="4"/>
  <c r="AK70" i="4"/>
  <c r="AL70" i="4"/>
  <c r="AM70" i="4"/>
  <c r="AN70" i="4"/>
  <c r="AO70" i="4"/>
  <c r="AP70" i="4"/>
  <c r="AQ70" i="4"/>
  <c r="AR70" i="4"/>
  <c r="AS70" i="4"/>
  <c r="AT70" i="4"/>
  <c r="AU70" i="4"/>
  <c r="AV70" i="4"/>
  <c r="AW70" i="4"/>
  <c r="AX70" i="4"/>
  <c r="AY70" i="4"/>
  <c r="AZ70" i="4"/>
  <c r="BA70" i="4"/>
  <c r="BB70" i="4"/>
  <c r="BC70" i="4"/>
  <c r="BD70" i="4"/>
  <c r="BE70" i="4"/>
  <c r="BF70" i="4"/>
  <c r="BG70" i="4"/>
  <c r="BH70" i="4"/>
  <c r="BI70" i="4"/>
  <c r="BJ70" i="4"/>
  <c r="BK70" i="4"/>
  <c r="BL70" i="4"/>
  <c r="BM70" i="4"/>
  <c r="BN70" i="4"/>
  <c r="BO70" i="4"/>
  <c r="BP70" i="4"/>
  <c r="BQ70" i="4"/>
  <c r="BR70" i="4"/>
  <c r="BS70" i="4"/>
  <c r="BT70" i="4"/>
  <c r="BU70" i="4"/>
  <c r="BV70" i="4"/>
  <c r="BW70" i="4"/>
  <c r="BX70" i="4"/>
  <c r="BY70" i="4"/>
  <c r="BZ70" i="4"/>
  <c r="CA70" i="4"/>
  <c r="CB70" i="4"/>
  <c r="CC70" i="4"/>
  <c r="CD70" i="4"/>
  <c r="CE70" i="4"/>
  <c r="CF70" i="4"/>
  <c r="CG70" i="4"/>
  <c r="CH70" i="4"/>
  <c r="CI70" i="4"/>
  <c r="CJ70" i="4"/>
  <c r="CK70" i="4"/>
  <c r="CL70" i="4"/>
  <c r="CM70" i="4"/>
  <c r="CN70" i="4"/>
  <c r="CO70" i="4"/>
  <c r="CP70" i="4"/>
  <c r="CQ70" i="4"/>
  <c r="CR70" i="4"/>
  <c r="CS70" i="4"/>
  <c r="CT70" i="4"/>
  <c r="CU70" i="4"/>
  <c r="CV70" i="4"/>
  <c r="CW70" i="4"/>
  <c r="CX70" i="4"/>
  <c r="CY70" i="4"/>
  <c r="CZ70" i="4"/>
  <c r="DA70" i="4"/>
  <c r="DB70" i="4"/>
  <c r="DC70" i="4"/>
  <c r="DD70" i="4"/>
  <c r="DE70" i="4"/>
  <c r="DF70" i="4"/>
  <c r="DG70" i="4"/>
  <c r="DH70" i="4"/>
  <c r="DI70" i="4"/>
  <c r="DJ70" i="4"/>
  <c r="DK70" i="4"/>
  <c r="DL70" i="4"/>
  <c r="DM70" i="4"/>
  <c r="DN70" i="4"/>
  <c r="DO70" i="4"/>
  <c r="DP70" i="4"/>
  <c r="DQ70" i="4"/>
  <c r="DR70" i="4"/>
  <c r="DS70" i="4"/>
  <c r="DT70" i="4"/>
  <c r="DU70" i="4"/>
  <c r="DV70" i="4"/>
  <c r="DW70" i="4"/>
  <c r="DX70" i="4"/>
  <c r="DY70" i="4"/>
  <c r="DZ70" i="4"/>
  <c r="EA70" i="4"/>
  <c r="EB70" i="4"/>
  <c r="EC70" i="4"/>
  <c r="ED70" i="4"/>
  <c r="EE70" i="4"/>
  <c r="EF70" i="4"/>
  <c r="EG70" i="4"/>
  <c r="EH70" i="4"/>
  <c r="EI70" i="4"/>
  <c r="EJ70" i="4"/>
  <c r="EK70" i="4"/>
  <c r="EL70" i="4"/>
  <c r="EM70" i="4"/>
  <c r="EN70" i="4"/>
  <c r="EO70" i="4"/>
  <c r="EP70" i="4"/>
  <c r="EQ70" i="4"/>
  <c r="ER70" i="4"/>
  <c r="ES70" i="4"/>
  <c r="ET70" i="4"/>
  <c r="EU70" i="4"/>
  <c r="EV70" i="4"/>
  <c r="EW70" i="4"/>
  <c r="EX70" i="4"/>
  <c r="EY70" i="4"/>
  <c r="EZ70" i="4"/>
  <c r="FA70" i="4"/>
  <c r="FB70" i="4"/>
  <c r="FC70" i="4"/>
  <c r="FD70" i="4"/>
  <c r="FE70" i="4"/>
  <c r="FF70" i="4"/>
  <c r="FG70" i="4"/>
  <c r="FH70" i="4"/>
  <c r="FI70" i="4"/>
  <c r="FJ70" i="4"/>
  <c r="FK70" i="4"/>
  <c r="FL70" i="4"/>
  <c r="FM70" i="4"/>
  <c r="FN70" i="4"/>
  <c r="FO70" i="4"/>
  <c r="FP70" i="4"/>
  <c r="FQ70" i="4"/>
  <c r="FR70" i="4"/>
  <c r="FS70" i="4"/>
  <c r="FT70" i="4"/>
  <c r="FU70" i="4"/>
  <c r="FV70" i="4"/>
  <c r="FW70" i="4"/>
  <c r="FX70" i="4"/>
  <c r="FY70" i="4"/>
  <c r="FZ70" i="4"/>
  <c r="GA70" i="4"/>
  <c r="GB70" i="4"/>
  <c r="GC70" i="4"/>
  <c r="GD70" i="4"/>
  <c r="GE70" i="4"/>
  <c r="GF70" i="4"/>
  <c r="GG70" i="4"/>
  <c r="GH70" i="4"/>
  <c r="GI70" i="4"/>
  <c r="GJ70" i="4"/>
  <c r="GK70" i="4"/>
  <c r="GL70" i="4"/>
  <c r="GM70" i="4"/>
  <c r="GN70" i="4"/>
  <c r="GO70" i="4"/>
  <c r="GP70" i="4"/>
  <c r="GQ70" i="4"/>
  <c r="GR70" i="4"/>
  <c r="GS70" i="4"/>
  <c r="GT70" i="4"/>
  <c r="GU70" i="4"/>
  <c r="GV70" i="4"/>
  <c r="GW70" i="4"/>
  <c r="GX70" i="4"/>
  <c r="GY70" i="4"/>
  <c r="GZ70" i="4"/>
  <c r="HA70" i="4"/>
  <c r="HB70" i="4"/>
  <c r="HC70" i="4"/>
  <c r="HD70" i="4"/>
  <c r="HE70" i="4"/>
  <c r="HF70" i="4"/>
  <c r="HG70" i="4"/>
  <c r="HH70" i="4"/>
  <c r="HI70" i="4"/>
  <c r="HJ70" i="4"/>
  <c r="HK70" i="4"/>
  <c r="HL70" i="4"/>
  <c r="HM70" i="4"/>
  <c r="HN70" i="4"/>
  <c r="HO70" i="4"/>
  <c r="HP70" i="4"/>
  <c r="HQ70" i="4"/>
  <c r="HR70" i="4"/>
  <c r="HS70" i="4"/>
  <c r="HT70" i="4"/>
  <c r="HU70" i="4"/>
  <c r="HV70" i="4"/>
  <c r="HW70" i="4"/>
  <c r="HX70" i="4"/>
  <c r="HY70" i="4"/>
  <c r="HZ70" i="4"/>
  <c r="IA70" i="4"/>
  <c r="IB70" i="4"/>
  <c r="IC70" i="4"/>
  <c r="ID70" i="4"/>
  <c r="IE70" i="4"/>
  <c r="IF70" i="4"/>
  <c r="IG70" i="4"/>
  <c r="IH70" i="4"/>
  <c r="II70" i="4"/>
  <c r="IJ70" i="4"/>
  <c r="IK70" i="4"/>
  <c r="IL70" i="4"/>
  <c r="IM70" i="4"/>
  <c r="IN70" i="4"/>
  <c r="IO70" i="4"/>
  <c r="IP70" i="4"/>
  <c r="IQ70" i="4"/>
  <c r="IR70" i="4"/>
  <c r="IS70" i="4"/>
  <c r="IT70" i="4"/>
  <c r="IU70" i="4"/>
  <c r="IV70" i="4"/>
  <c r="A69" i="4"/>
  <c r="B69" i="4"/>
  <c r="C69" i="4"/>
  <c r="D69" i="4"/>
  <c r="E69" i="4"/>
  <c r="F69" i="4"/>
  <c r="G69" i="4"/>
  <c r="H69" i="4"/>
  <c r="I69" i="4"/>
  <c r="J69" i="4"/>
  <c r="K69" i="4"/>
  <c r="L69" i="4"/>
  <c r="M69" i="4"/>
  <c r="N69" i="4"/>
  <c r="O69" i="4"/>
  <c r="P69" i="4"/>
  <c r="Q69" i="4"/>
  <c r="R69" i="4"/>
  <c r="S69" i="4"/>
  <c r="T69" i="4"/>
  <c r="U69" i="4"/>
  <c r="V69" i="4"/>
  <c r="W69" i="4"/>
  <c r="X69" i="4"/>
  <c r="Y69" i="4"/>
  <c r="Z69" i="4"/>
  <c r="AA69" i="4"/>
  <c r="AB69" i="4"/>
  <c r="AC69" i="4"/>
  <c r="AD69" i="4"/>
  <c r="AE69" i="4"/>
  <c r="AF69" i="4"/>
  <c r="AG69" i="4"/>
  <c r="AH69" i="4"/>
  <c r="AI69" i="4"/>
  <c r="AJ69" i="4"/>
  <c r="AK69" i="4"/>
  <c r="AL69" i="4"/>
  <c r="AM69" i="4"/>
  <c r="AN69" i="4"/>
  <c r="AO69" i="4"/>
  <c r="AP69" i="4"/>
  <c r="AQ69" i="4"/>
  <c r="AR69" i="4"/>
  <c r="AS69" i="4"/>
  <c r="AT69" i="4"/>
  <c r="AU69" i="4"/>
  <c r="AV69" i="4"/>
  <c r="AW69" i="4"/>
  <c r="AX69" i="4"/>
  <c r="AY69" i="4"/>
  <c r="AZ69" i="4"/>
  <c r="BA69" i="4"/>
  <c r="BB69" i="4"/>
  <c r="BC69" i="4"/>
  <c r="BD69" i="4"/>
  <c r="BE69" i="4"/>
  <c r="BF69" i="4"/>
  <c r="BG69" i="4"/>
  <c r="BH69" i="4"/>
  <c r="BI69" i="4"/>
  <c r="BJ69" i="4"/>
  <c r="BK69" i="4"/>
  <c r="BL69" i="4"/>
  <c r="BM69" i="4"/>
  <c r="BN69" i="4"/>
  <c r="BO69" i="4"/>
  <c r="BP69" i="4"/>
  <c r="BQ69" i="4"/>
  <c r="BR69" i="4"/>
  <c r="BS69" i="4"/>
  <c r="BT69" i="4"/>
  <c r="BU69" i="4"/>
  <c r="BV69" i="4"/>
  <c r="BW69" i="4"/>
  <c r="BX69" i="4"/>
  <c r="BY69" i="4"/>
  <c r="BZ69" i="4"/>
  <c r="CA69" i="4"/>
  <c r="CB69" i="4"/>
  <c r="CC69" i="4"/>
  <c r="CD69" i="4"/>
  <c r="CE69" i="4"/>
  <c r="CF69" i="4"/>
  <c r="CG69" i="4"/>
  <c r="CH69" i="4"/>
  <c r="CI69" i="4"/>
  <c r="CJ69" i="4"/>
  <c r="CK69" i="4"/>
  <c r="CL69" i="4"/>
  <c r="CM69" i="4"/>
  <c r="CN69" i="4"/>
  <c r="CO69" i="4"/>
  <c r="CP69" i="4"/>
  <c r="CQ69" i="4"/>
  <c r="CR69" i="4"/>
  <c r="CS69" i="4"/>
  <c r="CT69" i="4"/>
  <c r="CU69" i="4"/>
  <c r="CV69" i="4"/>
  <c r="CW69" i="4"/>
  <c r="CX69" i="4"/>
  <c r="CY69" i="4"/>
  <c r="CZ69" i="4"/>
  <c r="DA69" i="4"/>
  <c r="DB69" i="4"/>
  <c r="DC69" i="4"/>
  <c r="DD69" i="4"/>
  <c r="DE69" i="4"/>
  <c r="DF69" i="4"/>
  <c r="DG69" i="4"/>
  <c r="DH69" i="4"/>
  <c r="DI69" i="4"/>
  <c r="DJ69" i="4"/>
  <c r="DK69" i="4"/>
  <c r="DL69" i="4"/>
  <c r="DM69" i="4"/>
  <c r="DN69" i="4"/>
  <c r="DO69" i="4"/>
  <c r="DP69" i="4"/>
  <c r="DQ69" i="4"/>
  <c r="DR69" i="4"/>
  <c r="DS69" i="4"/>
  <c r="DT69" i="4"/>
  <c r="DU69" i="4"/>
  <c r="DV69" i="4"/>
  <c r="DW69" i="4"/>
  <c r="DX69" i="4"/>
  <c r="DY69" i="4"/>
  <c r="DZ69" i="4"/>
  <c r="EA69" i="4"/>
  <c r="EB69" i="4"/>
  <c r="EC69" i="4"/>
  <c r="ED69" i="4"/>
  <c r="EE69" i="4"/>
  <c r="EF69" i="4"/>
  <c r="EG69" i="4"/>
  <c r="EH69" i="4"/>
  <c r="EI69" i="4"/>
  <c r="EJ69" i="4"/>
  <c r="EK69" i="4"/>
  <c r="EL69" i="4"/>
  <c r="EM69" i="4"/>
  <c r="EN69" i="4"/>
  <c r="EO69" i="4"/>
  <c r="EP69" i="4"/>
  <c r="EQ69" i="4"/>
  <c r="ER69" i="4"/>
  <c r="ES69" i="4"/>
  <c r="ET69" i="4"/>
  <c r="EU69" i="4"/>
  <c r="EV69" i="4"/>
  <c r="EW69" i="4"/>
  <c r="EX69" i="4"/>
  <c r="EY69" i="4"/>
  <c r="EZ69" i="4"/>
  <c r="FA69" i="4"/>
  <c r="FB69" i="4"/>
  <c r="FC69" i="4"/>
  <c r="FD69" i="4"/>
  <c r="FE69" i="4"/>
  <c r="FF69" i="4"/>
  <c r="FG69" i="4"/>
  <c r="FH69" i="4"/>
  <c r="FI69" i="4"/>
  <c r="FJ69" i="4"/>
  <c r="FK69" i="4"/>
  <c r="FL69" i="4"/>
  <c r="FM69" i="4"/>
  <c r="FN69" i="4"/>
  <c r="FO69" i="4"/>
  <c r="FP69" i="4"/>
  <c r="FQ69" i="4"/>
  <c r="FR69" i="4"/>
  <c r="FS69" i="4"/>
  <c r="FT69" i="4"/>
  <c r="FU69" i="4"/>
  <c r="FV69" i="4"/>
  <c r="FW69" i="4"/>
  <c r="FX69" i="4"/>
  <c r="FY69" i="4"/>
  <c r="FZ69" i="4"/>
  <c r="GA69" i="4"/>
  <c r="GB69" i="4"/>
  <c r="GC69" i="4"/>
  <c r="GD69" i="4"/>
  <c r="GE69" i="4"/>
  <c r="GF69" i="4"/>
  <c r="GG69" i="4"/>
  <c r="GH69" i="4"/>
  <c r="GI69" i="4"/>
  <c r="GJ69" i="4"/>
  <c r="GK69" i="4"/>
  <c r="GL69" i="4"/>
  <c r="GM69" i="4"/>
  <c r="GN69" i="4"/>
  <c r="GO69" i="4"/>
  <c r="GP69" i="4"/>
  <c r="GQ69" i="4"/>
  <c r="GR69" i="4"/>
  <c r="GS69" i="4"/>
  <c r="GT69" i="4"/>
  <c r="GU69" i="4"/>
  <c r="GV69" i="4"/>
  <c r="GW69" i="4"/>
  <c r="GX69" i="4"/>
  <c r="GY69" i="4"/>
  <c r="GZ69" i="4"/>
  <c r="HA69" i="4"/>
  <c r="HB69" i="4"/>
  <c r="HC69" i="4"/>
  <c r="HD69" i="4"/>
  <c r="HE69" i="4"/>
  <c r="HF69" i="4"/>
  <c r="HG69" i="4"/>
  <c r="HH69" i="4"/>
  <c r="HI69" i="4"/>
  <c r="HJ69" i="4"/>
  <c r="HK69" i="4"/>
  <c r="HL69" i="4"/>
  <c r="HM69" i="4"/>
  <c r="HN69" i="4"/>
  <c r="HO69" i="4"/>
  <c r="HP69" i="4"/>
  <c r="HQ69" i="4"/>
  <c r="HR69" i="4"/>
  <c r="HS69" i="4"/>
  <c r="HT69" i="4"/>
  <c r="HU69" i="4"/>
  <c r="HV69" i="4"/>
  <c r="HW69" i="4"/>
  <c r="HX69" i="4"/>
  <c r="HY69" i="4"/>
  <c r="HZ69" i="4"/>
  <c r="IA69" i="4"/>
  <c r="IB69" i="4"/>
  <c r="IC69" i="4"/>
  <c r="ID69" i="4"/>
  <c r="IE69" i="4"/>
  <c r="IF69" i="4"/>
  <c r="IG69" i="4"/>
  <c r="IH69" i="4"/>
  <c r="II69" i="4"/>
  <c r="IJ69" i="4"/>
  <c r="IK69" i="4"/>
  <c r="IL69" i="4"/>
  <c r="IM69" i="4"/>
  <c r="IN69" i="4"/>
  <c r="IO69" i="4"/>
  <c r="IP69" i="4"/>
  <c r="IQ69" i="4"/>
  <c r="IR69" i="4"/>
  <c r="IS69" i="4"/>
  <c r="IT69" i="4"/>
  <c r="IU69" i="4"/>
  <c r="IV69" i="4"/>
  <c r="A68"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AD68" i="4"/>
  <c r="AE68" i="4"/>
  <c r="AF68" i="4"/>
  <c r="AG68" i="4"/>
  <c r="AH68" i="4"/>
  <c r="AI68" i="4"/>
  <c r="AJ68" i="4"/>
  <c r="AK68" i="4"/>
  <c r="AL68" i="4"/>
  <c r="AM68" i="4"/>
  <c r="AN68" i="4"/>
  <c r="AO68" i="4"/>
  <c r="AP68" i="4"/>
  <c r="AQ68" i="4"/>
  <c r="AR68" i="4"/>
  <c r="AS68" i="4"/>
  <c r="AT68" i="4"/>
  <c r="AU68" i="4"/>
  <c r="AV68" i="4"/>
  <c r="AW68" i="4"/>
  <c r="AX68" i="4"/>
  <c r="AY68" i="4"/>
  <c r="AZ68" i="4"/>
  <c r="BA68" i="4"/>
  <c r="BB68" i="4"/>
  <c r="BC68" i="4"/>
  <c r="BD68" i="4"/>
  <c r="BE68" i="4"/>
  <c r="BF68" i="4"/>
  <c r="BG68" i="4"/>
  <c r="BH68" i="4"/>
  <c r="BI68" i="4"/>
  <c r="BJ68" i="4"/>
  <c r="BK68" i="4"/>
  <c r="BL68" i="4"/>
  <c r="BM68" i="4"/>
  <c r="BN68" i="4"/>
  <c r="BO68" i="4"/>
  <c r="BP68" i="4"/>
  <c r="BQ68" i="4"/>
  <c r="BR68" i="4"/>
  <c r="BS68" i="4"/>
  <c r="BT68" i="4"/>
  <c r="BU68" i="4"/>
  <c r="BV68" i="4"/>
  <c r="BW68" i="4"/>
  <c r="BX68" i="4"/>
  <c r="BY68" i="4"/>
  <c r="BZ68" i="4"/>
  <c r="CA68" i="4"/>
  <c r="CB68" i="4"/>
  <c r="CC68" i="4"/>
  <c r="CD68" i="4"/>
  <c r="CE68" i="4"/>
  <c r="CF68" i="4"/>
  <c r="CG68" i="4"/>
  <c r="CH68" i="4"/>
  <c r="CI68" i="4"/>
  <c r="CJ68" i="4"/>
  <c r="CK68" i="4"/>
  <c r="CL68" i="4"/>
  <c r="CM68" i="4"/>
  <c r="CN68" i="4"/>
  <c r="CO68" i="4"/>
  <c r="CP68" i="4"/>
  <c r="CQ68" i="4"/>
  <c r="CR68" i="4"/>
  <c r="CS68" i="4"/>
  <c r="CT68" i="4"/>
  <c r="CU68" i="4"/>
  <c r="CV68" i="4"/>
  <c r="CW68" i="4"/>
  <c r="CX68" i="4"/>
  <c r="CY68" i="4"/>
  <c r="CZ68" i="4"/>
  <c r="DA68" i="4"/>
  <c r="DB68" i="4"/>
  <c r="DC68" i="4"/>
  <c r="DD68" i="4"/>
  <c r="DE68" i="4"/>
  <c r="DF68" i="4"/>
  <c r="DG68" i="4"/>
  <c r="DH68" i="4"/>
  <c r="DI68" i="4"/>
  <c r="DJ68" i="4"/>
  <c r="DK68" i="4"/>
  <c r="DL68" i="4"/>
  <c r="DM68" i="4"/>
  <c r="DN68" i="4"/>
  <c r="DO68" i="4"/>
  <c r="DP68" i="4"/>
  <c r="DQ68" i="4"/>
  <c r="DR68" i="4"/>
  <c r="DS68" i="4"/>
  <c r="DT68" i="4"/>
  <c r="DU68" i="4"/>
  <c r="DV68" i="4"/>
  <c r="DW68" i="4"/>
  <c r="DX68" i="4"/>
  <c r="DY68" i="4"/>
  <c r="DZ68" i="4"/>
  <c r="EA68" i="4"/>
  <c r="EB68" i="4"/>
  <c r="EC68" i="4"/>
  <c r="ED68" i="4"/>
  <c r="EE68" i="4"/>
  <c r="EF68" i="4"/>
  <c r="EG68" i="4"/>
  <c r="EH68" i="4"/>
  <c r="EI68" i="4"/>
  <c r="EJ68" i="4"/>
  <c r="EK68" i="4"/>
  <c r="EL68" i="4"/>
  <c r="EM68" i="4"/>
  <c r="EN68" i="4"/>
  <c r="EO68" i="4"/>
  <c r="EP68" i="4"/>
  <c r="EQ68" i="4"/>
  <c r="ER68" i="4"/>
  <c r="ES68" i="4"/>
  <c r="ET68" i="4"/>
  <c r="EU68" i="4"/>
  <c r="EV68" i="4"/>
  <c r="EW68" i="4"/>
  <c r="EX68" i="4"/>
  <c r="EY68" i="4"/>
  <c r="EZ68" i="4"/>
  <c r="FA68" i="4"/>
  <c r="FB68" i="4"/>
  <c r="FC68" i="4"/>
  <c r="FD68" i="4"/>
  <c r="FE68" i="4"/>
  <c r="FF68" i="4"/>
  <c r="FG68" i="4"/>
  <c r="FH68" i="4"/>
  <c r="FI68" i="4"/>
  <c r="FJ68" i="4"/>
  <c r="FK68" i="4"/>
  <c r="FL68" i="4"/>
  <c r="FM68" i="4"/>
  <c r="FN68" i="4"/>
  <c r="FO68" i="4"/>
  <c r="FP68" i="4"/>
  <c r="FQ68" i="4"/>
  <c r="FR68" i="4"/>
  <c r="FS68" i="4"/>
  <c r="FT68" i="4"/>
  <c r="FU68" i="4"/>
  <c r="FV68" i="4"/>
  <c r="FW68" i="4"/>
  <c r="FX68" i="4"/>
  <c r="FY68" i="4"/>
  <c r="FZ68" i="4"/>
  <c r="GA68" i="4"/>
  <c r="GB68" i="4"/>
  <c r="GC68" i="4"/>
  <c r="GD68" i="4"/>
  <c r="GE68" i="4"/>
  <c r="GF68" i="4"/>
  <c r="GG68" i="4"/>
  <c r="GH68" i="4"/>
  <c r="GI68" i="4"/>
  <c r="GJ68" i="4"/>
  <c r="GK68" i="4"/>
  <c r="GL68" i="4"/>
  <c r="GM68" i="4"/>
  <c r="GN68" i="4"/>
  <c r="GO68" i="4"/>
  <c r="GP68" i="4"/>
  <c r="GQ68" i="4"/>
  <c r="GR68" i="4"/>
  <c r="GS68" i="4"/>
  <c r="GT68" i="4"/>
  <c r="GU68" i="4"/>
  <c r="GV68" i="4"/>
  <c r="GW68" i="4"/>
  <c r="GX68" i="4"/>
  <c r="GY68" i="4"/>
  <c r="GZ68" i="4"/>
  <c r="HA68" i="4"/>
  <c r="HB68" i="4"/>
  <c r="HC68" i="4"/>
  <c r="HD68" i="4"/>
  <c r="HE68" i="4"/>
  <c r="HF68" i="4"/>
  <c r="HG68" i="4"/>
  <c r="HH68" i="4"/>
  <c r="HI68" i="4"/>
  <c r="HJ68" i="4"/>
  <c r="HK68" i="4"/>
  <c r="HL68" i="4"/>
  <c r="HM68" i="4"/>
  <c r="HN68" i="4"/>
  <c r="HO68" i="4"/>
  <c r="HP68" i="4"/>
  <c r="HQ68" i="4"/>
  <c r="HR68" i="4"/>
  <c r="HS68" i="4"/>
  <c r="HT68" i="4"/>
  <c r="HU68" i="4"/>
  <c r="HV68" i="4"/>
  <c r="HW68" i="4"/>
  <c r="HX68" i="4"/>
  <c r="HY68" i="4"/>
  <c r="HZ68" i="4"/>
  <c r="IA68" i="4"/>
  <c r="IB68" i="4"/>
  <c r="IC68" i="4"/>
  <c r="ID68" i="4"/>
  <c r="IE68" i="4"/>
  <c r="IF68" i="4"/>
  <c r="IG68" i="4"/>
  <c r="IH68" i="4"/>
  <c r="II68" i="4"/>
  <c r="IJ68" i="4"/>
  <c r="IK68" i="4"/>
  <c r="IL68" i="4"/>
  <c r="IM68" i="4"/>
  <c r="IN68" i="4"/>
  <c r="IO68" i="4"/>
  <c r="IP68" i="4"/>
  <c r="IQ68" i="4"/>
  <c r="IR68" i="4"/>
  <c r="IS68" i="4"/>
  <c r="IT68" i="4"/>
  <c r="IU68" i="4"/>
  <c r="IV68" i="4"/>
  <c r="A67"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AD67" i="4"/>
  <c r="AE67" i="4"/>
  <c r="AF67" i="4"/>
  <c r="AG67" i="4"/>
  <c r="AH67" i="4"/>
  <c r="AI67" i="4"/>
  <c r="AJ67" i="4"/>
  <c r="AK67" i="4"/>
  <c r="AL67" i="4"/>
  <c r="AM67" i="4"/>
  <c r="AN67" i="4"/>
  <c r="AO67" i="4"/>
  <c r="AP67" i="4"/>
  <c r="AQ67" i="4"/>
  <c r="AR67" i="4"/>
  <c r="AS67" i="4"/>
  <c r="AT67" i="4"/>
  <c r="AU67" i="4"/>
  <c r="AV67" i="4"/>
  <c r="AW67" i="4"/>
  <c r="AX67" i="4"/>
  <c r="AY67" i="4"/>
  <c r="AZ67" i="4"/>
  <c r="BA67" i="4"/>
  <c r="BB67" i="4"/>
  <c r="BC67" i="4"/>
  <c r="BD67" i="4"/>
  <c r="BE67" i="4"/>
  <c r="BF67" i="4"/>
  <c r="BG67" i="4"/>
  <c r="BH67" i="4"/>
  <c r="BI67" i="4"/>
  <c r="BJ67" i="4"/>
  <c r="BK67" i="4"/>
  <c r="BL67" i="4"/>
  <c r="BM67" i="4"/>
  <c r="BN67" i="4"/>
  <c r="BO67" i="4"/>
  <c r="BP67" i="4"/>
  <c r="BQ67" i="4"/>
  <c r="BR67" i="4"/>
  <c r="BS67" i="4"/>
  <c r="BT67" i="4"/>
  <c r="BU67" i="4"/>
  <c r="BV67" i="4"/>
  <c r="BW67" i="4"/>
  <c r="BX67" i="4"/>
  <c r="BY67" i="4"/>
  <c r="BZ67" i="4"/>
  <c r="CA67" i="4"/>
  <c r="CB67" i="4"/>
  <c r="CC67" i="4"/>
  <c r="CD67" i="4"/>
  <c r="CE67" i="4"/>
  <c r="CF67" i="4"/>
  <c r="CG67" i="4"/>
  <c r="CH67" i="4"/>
  <c r="CI67" i="4"/>
  <c r="CJ67" i="4"/>
  <c r="CK67" i="4"/>
  <c r="CL67" i="4"/>
  <c r="CM67" i="4"/>
  <c r="CN67" i="4"/>
  <c r="CO67" i="4"/>
  <c r="CP67" i="4"/>
  <c r="CQ67" i="4"/>
  <c r="CR67" i="4"/>
  <c r="CS67" i="4"/>
  <c r="CT67" i="4"/>
  <c r="CU67" i="4"/>
  <c r="CV67" i="4"/>
  <c r="CW67" i="4"/>
  <c r="CX67" i="4"/>
  <c r="CY67" i="4"/>
  <c r="CZ67" i="4"/>
  <c r="DA67" i="4"/>
  <c r="DB67" i="4"/>
  <c r="DC67" i="4"/>
  <c r="DD67" i="4"/>
  <c r="DE67" i="4"/>
  <c r="DF67" i="4"/>
  <c r="DG67" i="4"/>
  <c r="DH67" i="4"/>
  <c r="DI67" i="4"/>
  <c r="DJ67" i="4"/>
  <c r="DK67" i="4"/>
  <c r="DL67" i="4"/>
  <c r="DM67" i="4"/>
  <c r="DN67" i="4"/>
  <c r="DO67" i="4"/>
  <c r="DP67" i="4"/>
  <c r="DQ67" i="4"/>
  <c r="DR67" i="4"/>
  <c r="DS67" i="4"/>
  <c r="DT67" i="4"/>
  <c r="DU67" i="4"/>
  <c r="DV67" i="4"/>
  <c r="DW67" i="4"/>
  <c r="DX67" i="4"/>
  <c r="DY67" i="4"/>
  <c r="DZ67" i="4"/>
  <c r="EA67" i="4"/>
  <c r="EB67" i="4"/>
  <c r="EC67" i="4"/>
  <c r="ED67" i="4"/>
  <c r="EE67" i="4"/>
  <c r="EF67" i="4"/>
  <c r="EG67" i="4"/>
  <c r="EH67" i="4"/>
  <c r="EI67" i="4"/>
  <c r="EJ67" i="4"/>
  <c r="EK67" i="4"/>
  <c r="EL67" i="4"/>
  <c r="EM67" i="4"/>
  <c r="EN67" i="4"/>
  <c r="EO67" i="4"/>
  <c r="EP67" i="4"/>
  <c r="EQ67" i="4"/>
  <c r="ER67" i="4"/>
  <c r="ES67" i="4"/>
  <c r="ET67" i="4"/>
  <c r="EU67" i="4"/>
  <c r="EV67" i="4"/>
  <c r="EW67" i="4"/>
  <c r="EX67" i="4"/>
  <c r="EY67" i="4"/>
  <c r="EZ67" i="4"/>
  <c r="FA67" i="4"/>
  <c r="FB67" i="4"/>
  <c r="FC67" i="4"/>
  <c r="FD67" i="4"/>
  <c r="FE67" i="4"/>
  <c r="FF67" i="4"/>
  <c r="FG67" i="4"/>
  <c r="FH67" i="4"/>
  <c r="FI67" i="4"/>
  <c r="FJ67" i="4"/>
  <c r="FK67" i="4"/>
  <c r="FL67" i="4"/>
  <c r="FM67" i="4"/>
  <c r="FN67" i="4"/>
  <c r="FO67" i="4"/>
  <c r="FP67" i="4"/>
  <c r="FQ67" i="4"/>
  <c r="FR67" i="4"/>
  <c r="FS67" i="4"/>
  <c r="FT67" i="4"/>
  <c r="FU67" i="4"/>
  <c r="FV67" i="4"/>
  <c r="FW67" i="4"/>
  <c r="FX67" i="4"/>
  <c r="FY67" i="4"/>
  <c r="FZ67" i="4"/>
  <c r="GA67" i="4"/>
  <c r="GB67" i="4"/>
  <c r="GC67" i="4"/>
  <c r="GD67" i="4"/>
  <c r="GE67" i="4"/>
  <c r="GF67" i="4"/>
  <c r="GG67" i="4"/>
  <c r="GH67" i="4"/>
  <c r="GI67" i="4"/>
  <c r="GJ67" i="4"/>
  <c r="GK67" i="4"/>
  <c r="GL67" i="4"/>
  <c r="GM67" i="4"/>
  <c r="GN67" i="4"/>
  <c r="GO67" i="4"/>
  <c r="GP67" i="4"/>
  <c r="GQ67" i="4"/>
  <c r="GR67" i="4"/>
  <c r="GS67" i="4"/>
  <c r="GT67" i="4"/>
  <c r="GU67" i="4"/>
  <c r="GV67" i="4"/>
  <c r="GW67" i="4"/>
  <c r="GX67" i="4"/>
  <c r="GY67" i="4"/>
  <c r="GZ67" i="4"/>
  <c r="HA67" i="4"/>
  <c r="HB67" i="4"/>
  <c r="HC67" i="4"/>
  <c r="HD67" i="4"/>
  <c r="HE67" i="4"/>
  <c r="HF67" i="4"/>
  <c r="HG67" i="4"/>
  <c r="HH67" i="4"/>
  <c r="HI67" i="4"/>
  <c r="HJ67" i="4"/>
  <c r="HK67" i="4"/>
  <c r="HL67" i="4"/>
  <c r="HM67" i="4"/>
  <c r="HN67" i="4"/>
  <c r="HO67" i="4"/>
  <c r="HP67" i="4"/>
  <c r="HQ67" i="4"/>
  <c r="HR67" i="4"/>
  <c r="HS67" i="4"/>
  <c r="HT67" i="4"/>
  <c r="HU67" i="4"/>
  <c r="HV67" i="4"/>
  <c r="HW67" i="4"/>
  <c r="HX67" i="4"/>
  <c r="HY67" i="4"/>
  <c r="HZ67" i="4"/>
  <c r="IA67" i="4"/>
  <c r="IB67" i="4"/>
  <c r="IC67" i="4"/>
  <c r="ID67" i="4"/>
  <c r="IE67" i="4"/>
  <c r="IF67" i="4"/>
  <c r="IG67" i="4"/>
  <c r="IH67" i="4"/>
  <c r="II67" i="4"/>
  <c r="IJ67" i="4"/>
  <c r="IK67" i="4"/>
  <c r="IL67" i="4"/>
  <c r="IM67" i="4"/>
  <c r="IN67" i="4"/>
  <c r="IO67" i="4"/>
  <c r="IP67" i="4"/>
  <c r="IQ67" i="4"/>
  <c r="IR67" i="4"/>
  <c r="IS67" i="4"/>
  <c r="IT67" i="4"/>
  <c r="IU67" i="4"/>
  <c r="IV67" i="4"/>
  <c r="A66" i="4"/>
  <c r="B66" i="4"/>
  <c r="C66" i="4"/>
  <c r="D66" i="4"/>
  <c r="E66" i="4"/>
  <c r="F66" i="4"/>
  <c r="G66" i="4"/>
  <c r="H66" i="4"/>
  <c r="I66" i="4"/>
  <c r="J66" i="4"/>
  <c r="K66" i="4"/>
  <c r="L66" i="4"/>
  <c r="M66" i="4"/>
  <c r="N66" i="4"/>
  <c r="O66" i="4"/>
  <c r="P66" i="4"/>
  <c r="Q66" i="4"/>
  <c r="R66" i="4"/>
  <c r="S66" i="4"/>
  <c r="T66" i="4"/>
  <c r="U66" i="4"/>
  <c r="V66" i="4"/>
  <c r="W66" i="4"/>
  <c r="X66" i="4"/>
  <c r="Y66" i="4"/>
  <c r="AA66" i="4"/>
  <c r="AB66" i="4"/>
  <c r="AC66" i="4"/>
  <c r="AD66" i="4"/>
  <c r="AE66" i="4"/>
  <c r="AF66" i="4"/>
  <c r="AG66" i="4"/>
  <c r="AH66" i="4"/>
  <c r="AI66" i="4"/>
  <c r="AJ66" i="4"/>
  <c r="AK66" i="4"/>
  <c r="AL66" i="4"/>
  <c r="AM66" i="4"/>
  <c r="AN66" i="4"/>
  <c r="AO66" i="4"/>
  <c r="AP66" i="4"/>
  <c r="AQ66" i="4"/>
  <c r="AR66" i="4"/>
  <c r="AS66" i="4"/>
  <c r="AT66" i="4"/>
  <c r="AU66" i="4"/>
  <c r="AV66" i="4"/>
  <c r="AW66" i="4"/>
  <c r="AX66" i="4"/>
  <c r="AY66" i="4"/>
  <c r="AZ66" i="4"/>
  <c r="BA66" i="4"/>
  <c r="BB66" i="4"/>
  <c r="BC66" i="4"/>
  <c r="BD66" i="4"/>
  <c r="BE66" i="4"/>
  <c r="BF66" i="4"/>
  <c r="BG66" i="4"/>
  <c r="BH66" i="4"/>
  <c r="BI66" i="4"/>
  <c r="BJ66" i="4"/>
  <c r="BK66" i="4"/>
  <c r="BL66" i="4"/>
  <c r="BM66" i="4"/>
  <c r="BN66" i="4"/>
  <c r="BO66" i="4"/>
  <c r="BP66" i="4"/>
  <c r="BQ66" i="4"/>
  <c r="BR66" i="4"/>
  <c r="BS66" i="4"/>
  <c r="BT66" i="4"/>
  <c r="BU66" i="4"/>
  <c r="BV66" i="4"/>
  <c r="BW66" i="4"/>
  <c r="BX66" i="4"/>
  <c r="BY66" i="4"/>
  <c r="BZ66" i="4"/>
  <c r="CA66" i="4"/>
  <c r="CB66" i="4"/>
  <c r="CC66" i="4"/>
  <c r="CD66" i="4"/>
  <c r="CE66" i="4"/>
  <c r="CF66" i="4"/>
  <c r="CG66" i="4"/>
  <c r="CH66" i="4"/>
  <c r="CI66" i="4"/>
  <c r="CJ66" i="4"/>
  <c r="CK66" i="4"/>
  <c r="CL66" i="4"/>
  <c r="CM66" i="4"/>
  <c r="CN66" i="4"/>
  <c r="CO66" i="4"/>
  <c r="CP66" i="4"/>
  <c r="CQ66" i="4"/>
  <c r="CR66" i="4"/>
  <c r="CS66" i="4"/>
  <c r="CT66" i="4"/>
  <c r="CU66" i="4"/>
  <c r="CV66" i="4"/>
  <c r="CW66" i="4"/>
  <c r="CX66" i="4"/>
  <c r="CY66" i="4"/>
  <c r="CZ66" i="4"/>
  <c r="DA66" i="4"/>
  <c r="DB66" i="4"/>
  <c r="DC66" i="4"/>
  <c r="DD66" i="4"/>
  <c r="DE66" i="4"/>
  <c r="DF66" i="4"/>
  <c r="DG66" i="4"/>
  <c r="DH66" i="4"/>
  <c r="DI66" i="4"/>
  <c r="DJ66" i="4"/>
  <c r="DK66" i="4"/>
  <c r="DL66" i="4"/>
  <c r="DM66" i="4"/>
  <c r="DN66" i="4"/>
  <c r="DO66" i="4"/>
  <c r="DP66" i="4"/>
  <c r="DQ66" i="4"/>
  <c r="DR66" i="4"/>
  <c r="DS66" i="4"/>
  <c r="DT66" i="4"/>
  <c r="DU66" i="4"/>
  <c r="DV66" i="4"/>
  <c r="DW66" i="4"/>
  <c r="DX66" i="4"/>
  <c r="DY66" i="4"/>
  <c r="DZ66" i="4"/>
  <c r="EA66" i="4"/>
  <c r="EB66" i="4"/>
  <c r="EC66" i="4"/>
  <c r="ED66" i="4"/>
  <c r="EE66" i="4"/>
  <c r="EF66" i="4"/>
  <c r="EG66" i="4"/>
  <c r="EH66" i="4"/>
  <c r="EI66" i="4"/>
  <c r="EJ66" i="4"/>
  <c r="EK66" i="4"/>
  <c r="EL66" i="4"/>
  <c r="EM66" i="4"/>
  <c r="EN66" i="4"/>
  <c r="EO66" i="4"/>
  <c r="EP66" i="4"/>
  <c r="EQ66" i="4"/>
  <c r="ER66" i="4"/>
  <c r="ES66" i="4"/>
  <c r="ET66" i="4"/>
  <c r="EU66" i="4"/>
  <c r="EV66" i="4"/>
  <c r="EW66" i="4"/>
  <c r="EX66" i="4"/>
  <c r="EY66" i="4"/>
  <c r="EZ66" i="4"/>
  <c r="FA66" i="4"/>
  <c r="FB66" i="4"/>
  <c r="FC66" i="4"/>
  <c r="FD66" i="4"/>
  <c r="FE66" i="4"/>
  <c r="FF66" i="4"/>
  <c r="FG66" i="4"/>
  <c r="FH66" i="4"/>
  <c r="FI66" i="4"/>
  <c r="FJ66" i="4"/>
  <c r="FK66" i="4"/>
  <c r="FL66" i="4"/>
  <c r="FM66" i="4"/>
  <c r="FN66" i="4"/>
  <c r="FO66" i="4"/>
  <c r="FP66" i="4"/>
  <c r="FQ66" i="4"/>
  <c r="FR66" i="4"/>
  <c r="FS66" i="4"/>
  <c r="FT66" i="4"/>
  <c r="FU66" i="4"/>
  <c r="FV66" i="4"/>
  <c r="FW66" i="4"/>
  <c r="FX66" i="4"/>
  <c r="FY66" i="4"/>
  <c r="FZ66" i="4"/>
  <c r="GA66" i="4"/>
  <c r="GB66" i="4"/>
  <c r="GC66" i="4"/>
  <c r="GD66" i="4"/>
  <c r="GE66" i="4"/>
  <c r="GF66" i="4"/>
  <c r="GG66" i="4"/>
  <c r="GH66" i="4"/>
  <c r="GI66" i="4"/>
  <c r="GJ66" i="4"/>
  <c r="GK66" i="4"/>
  <c r="GL66" i="4"/>
  <c r="GM66" i="4"/>
  <c r="GN66" i="4"/>
  <c r="GO66" i="4"/>
  <c r="GP66" i="4"/>
  <c r="GQ66" i="4"/>
  <c r="GR66" i="4"/>
  <c r="GS66" i="4"/>
  <c r="GT66" i="4"/>
  <c r="GU66" i="4"/>
  <c r="GV66" i="4"/>
  <c r="GW66" i="4"/>
  <c r="GX66" i="4"/>
  <c r="GY66" i="4"/>
  <c r="GZ66" i="4"/>
  <c r="HA66" i="4"/>
  <c r="HB66" i="4"/>
  <c r="HC66" i="4"/>
  <c r="HD66" i="4"/>
  <c r="HE66" i="4"/>
  <c r="HF66" i="4"/>
  <c r="HG66" i="4"/>
  <c r="HH66" i="4"/>
  <c r="HI66" i="4"/>
  <c r="HJ66" i="4"/>
  <c r="HK66" i="4"/>
  <c r="HL66" i="4"/>
  <c r="HM66" i="4"/>
  <c r="HN66" i="4"/>
  <c r="HO66" i="4"/>
  <c r="HP66" i="4"/>
  <c r="HQ66" i="4"/>
  <c r="HR66" i="4"/>
  <c r="HS66" i="4"/>
  <c r="HT66" i="4"/>
  <c r="HU66" i="4"/>
  <c r="HV66" i="4"/>
  <c r="HW66" i="4"/>
  <c r="HX66" i="4"/>
  <c r="HY66" i="4"/>
  <c r="HZ66" i="4"/>
  <c r="IA66" i="4"/>
  <c r="IB66" i="4"/>
  <c r="IC66" i="4"/>
  <c r="ID66" i="4"/>
  <c r="IE66" i="4"/>
  <c r="IF66" i="4"/>
  <c r="IG66" i="4"/>
  <c r="IH66" i="4"/>
  <c r="II66" i="4"/>
  <c r="IJ66" i="4"/>
  <c r="IK66" i="4"/>
  <c r="IL66" i="4"/>
  <c r="IM66" i="4"/>
  <c r="IN66" i="4"/>
  <c r="IO66" i="4"/>
  <c r="IP66" i="4"/>
  <c r="IQ66" i="4"/>
  <c r="IR66" i="4"/>
  <c r="IS66" i="4"/>
  <c r="IT66" i="4"/>
  <c r="IU66" i="4"/>
  <c r="IV66" i="4"/>
  <c r="A65" i="4"/>
  <c r="B65" i="4"/>
  <c r="C65" i="4"/>
  <c r="D65" i="4"/>
  <c r="E65" i="4"/>
  <c r="F65" i="4"/>
  <c r="G65" i="4"/>
  <c r="H65" i="4"/>
  <c r="I65" i="4"/>
  <c r="J65" i="4"/>
  <c r="K65" i="4"/>
  <c r="L65" i="4"/>
  <c r="M65" i="4"/>
  <c r="N65" i="4"/>
  <c r="O65" i="4"/>
  <c r="P65" i="4"/>
  <c r="Q65" i="4"/>
  <c r="R65" i="4"/>
  <c r="S65" i="4"/>
  <c r="T65" i="4"/>
  <c r="U65" i="4"/>
  <c r="V65" i="4"/>
  <c r="W65" i="4"/>
  <c r="X65" i="4"/>
  <c r="Y65" i="4"/>
  <c r="Z65" i="4"/>
  <c r="AB65" i="4"/>
  <c r="AC65" i="4"/>
  <c r="AD65" i="4"/>
  <c r="AE65" i="4"/>
  <c r="AF65" i="4"/>
  <c r="AG65" i="4"/>
  <c r="AH65" i="4"/>
  <c r="AI65" i="4"/>
  <c r="AJ65" i="4"/>
  <c r="AK65" i="4"/>
  <c r="AL65" i="4"/>
  <c r="AM65" i="4"/>
  <c r="AN65" i="4"/>
  <c r="AO65" i="4"/>
  <c r="AP65" i="4"/>
  <c r="AQ65" i="4"/>
  <c r="AR65" i="4"/>
  <c r="AS65" i="4"/>
  <c r="AT65" i="4"/>
  <c r="AU65" i="4"/>
  <c r="AV65" i="4"/>
  <c r="AW65" i="4"/>
  <c r="AX65" i="4"/>
  <c r="AY65" i="4"/>
  <c r="AZ65" i="4"/>
  <c r="BA65" i="4"/>
  <c r="BB65" i="4"/>
  <c r="BC65" i="4"/>
  <c r="BD65" i="4"/>
  <c r="BE65" i="4"/>
  <c r="BF65" i="4"/>
  <c r="BG65" i="4"/>
  <c r="BH65" i="4"/>
  <c r="BI65" i="4"/>
  <c r="BJ65" i="4"/>
  <c r="BK65" i="4"/>
  <c r="BL65" i="4"/>
  <c r="BM65" i="4"/>
  <c r="BN65" i="4"/>
  <c r="BO65" i="4"/>
  <c r="BP65" i="4"/>
  <c r="BQ65" i="4"/>
  <c r="BR65" i="4"/>
  <c r="BS65" i="4"/>
  <c r="BT65" i="4"/>
  <c r="BU65" i="4"/>
  <c r="BV65" i="4"/>
  <c r="BW65" i="4"/>
  <c r="BX65" i="4"/>
  <c r="BY65" i="4"/>
  <c r="BZ65" i="4"/>
  <c r="CA65" i="4"/>
  <c r="CB65" i="4"/>
  <c r="CC65" i="4"/>
  <c r="CD65" i="4"/>
  <c r="CE65" i="4"/>
  <c r="CF65" i="4"/>
  <c r="CG65" i="4"/>
  <c r="CH65" i="4"/>
  <c r="CI65" i="4"/>
  <c r="CJ65" i="4"/>
  <c r="CK65" i="4"/>
  <c r="CL65" i="4"/>
  <c r="CM65" i="4"/>
  <c r="CN65" i="4"/>
  <c r="CO65" i="4"/>
  <c r="CP65" i="4"/>
  <c r="CQ65" i="4"/>
  <c r="CR65" i="4"/>
  <c r="CS65" i="4"/>
  <c r="CT65" i="4"/>
  <c r="CU65" i="4"/>
  <c r="CV65" i="4"/>
  <c r="CW65" i="4"/>
  <c r="CX65" i="4"/>
  <c r="CY65" i="4"/>
  <c r="CZ65" i="4"/>
  <c r="DA65" i="4"/>
  <c r="DB65" i="4"/>
  <c r="DC65" i="4"/>
  <c r="DD65" i="4"/>
  <c r="DE65" i="4"/>
  <c r="DF65" i="4"/>
  <c r="DG65" i="4"/>
  <c r="DH65" i="4"/>
  <c r="DI65" i="4"/>
  <c r="DJ65" i="4"/>
  <c r="DK65" i="4"/>
  <c r="DL65" i="4"/>
  <c r="DM65" i="4"/>
  <c r="DN65" i="4"/>
  <c r="DO65" i="4"/>
  <c r="DP65" i="4"/>
  <c r="DQ65" i="4"/>
  <c r="DR65" i="4"/>
  <c r="DS65" i="4"/>
  <c r="DT65" i="4"/>
  <c r="DU65" i="4"/>
  <c r="DV65" i="4"/>
  <c r="DW65" i="4"/>
  <c r="DX65" i="4"/>
  <c r="DY65" i="4"/>
  <c r="DZ65" i="4"/>
  <c r="EA65" i="4"/>
  <c r="EB65" i="4"/>
  <c r="EC65" i="4"/>
  <c r="ED65" i="4"/>
  <c r="EE65" i="4"/>
  <c r="EF65" i="4"/>
  <c r="EG65" i="4"/>
  <c r="EH65" i="4"/>
  <c r="EI65" i="4"/>
  <c r="EJ65" i="4"/>
  <c r="EK65" i="4"/>
  <c r="EL65" i="4"/>
  <c r="EM65" i="4"/>
  <c r="EN65" i="4"/>
  <c r="EO65" i="4"/>
  <c r="EP65" i="4"/>
  <c r="EQ65" i="4"/>
  <c r="ER65" i="4"/>
  <c r="ES65" i="4"/>
  <c r="ET65" i="4"/>
  <c r="EU65" i="4"/>
  <c r="EV65" i="4"/>
  <c r="EW65" i="4"/>
  <c r="EX65" i="4"/>
  <c r="EY65" i="4"/>
  <c r="EZ65" i="4"/>
  <c r="FA65" i="4"/>
  <c r="FB65" i="4"/>
  <c r="FC65" i="4"/>
  <c r="FD65" i="4"/>
  <c r="FE65" i="4"/>
  <c r="FF65" i="4"/>
  <c r="FG65" i="4"/>
  <c r="FH65" i="4"/>
  <c r="FI65" i="4"/>
  <c r="FJ65" i="4"/>
  <c r="FK65" i="4"/>
  <c r="FL65" i="4"/>
  <c r="FM65" i="4"/>
  <c r="FN65" i="4"/>
  <c r="FO65" i="4"/>
  <c r="FP65" i="4"/>
  <c r="FQ65" i="4"/>
  <c r="FR65" i="4"/>
  <c r="FS65" i="4"/>
  <c r="FT65" i="4"/>
  <c r="FU65" i="4"/>
  <c r="FV65" i="4"/>
  <c r="FW65" i="4"/>
  <c r="FX65" i="4"/>
  <c r="FY65" i="4"/>
  <c r="FZ65" i="4"/>
  <c r="GA65" i="4"/>
  <c r="GB65" i="4"/>
  <c r="GC65" i="4"/>
  <c r="GD65" i="4"/>
  <c r="GE65" i="4"/>
  <c r="GF65" i="4"/>
  <c r="GG65" i="4"/>
  <c r="GH65" i="4"/>
  <c r="GI65" i="4"/>
  <c r="GJ65" i="4"/>
  <c r="GK65" i="4"/>
  <c r="GL65" i="4"/>
  <c r="GM65" i="4"/>
  <c r="GN65" i="4"/>
  <c r="GO65" i="4"/>
  <c r="GP65" i="4"/>
  <c r="GQ65" i="4"/>
  <c r="GR65" i="4"/>
  <c r="GS65" i="4"/>
  <c r="GT65" i="4"/>
  <c r="GU65" i="4"/>
  <c r="GV65" i="4"/>
  <c r="GW65" i="4"/>
  <c r="GX65" i="4"/>
  <c r="GY65" i="4"/>
  <c r="GZ65" i="4"/>
  <c r="HA65" i="4"/>
  <c r="HB65" i="4"/>
  <c r="HC65" i="4"/>
  <c r="HD65" i="4"/>
  <c r="HE65" i="4"/>
  <c r="HF65" i="4"/>
  <c r="HG65" i="4"/>
  <c r="HH65" i="4"/>
  <c r="HI65" i="4"/>
  <c r="HJ65" i="4"/>
  <c r="HK65" i="4"/>
  <c r="HL65" i="4"/>
  <c r="HM65" i="4"/>
  <c r="HN65" i="4"/>
  <c r="HO65" i="4"/>
  <c r="HP65" i="4"/>
  <c r="HQ65" i="4"/>
  <c r="HR65" i="4"/>
  <c r="HS65" i="4"/>
  <c r="HT65" i="4"/>
  <c r="HU65" i="4"/>
  <c r="HV65" i="4"/>
  <c r="HW65" i="4"/>
  <c r="HX65" i="4"/>
  <c r="HY65" i="4"/>
  <c r="HZ65" i="4"/>
  <c r="IA65" i="4"/>
  <c r="IB65" i="4"/>
  <c r="IC65" i="4"/>
  <c r="ID65" i="4"/>
  <c r="IE65" i="4"/>
  <c r="IF65" i="4"/>
  <c r="IG65" i="4"/>
  <c r="IH65" i="4"/>
  <c r="II65" i="4"/>
  <c r="IJ65" i="4"/>
  <c r="IK65" i="4"/>
  <c r="IL65" i="4"/>
  <c r="IM65" i="4"/>
  <c r="IN65" i="4"/>
  <c r="IO65" i="4"/>
  <c r="IP65" i="4"/>
  <c r="IQ65" i="4"/>
  <c r="IR65" i="4"/>
  <c r="IS65" i="4"/>
  <c r="IT65" i="4"/>
  <c r="IU65" i="4"/>
  <c r="IV65" i="4"/>
  <c r="A64" i="4"/>
  <c r="B64" i="4"/>
  <c r="C64" i="4"/>
  <c r="D64" i="4"/>
  <c r="E64" i="4"/>
  <c r="F64" i="4"/>
  <c r="G64" i="4"/>
  <c r="H64" i="4"/>
  <c r="I64" i="4"/>
  <c r="J64" i="4"/>
  <c r="K64" i="4"/>
  <c r="L64" i="4"/>
  <c r="M64" i="4"/>
  <c r="N64" i="4"/>
  <c r="O64" i="4"/>
  <c r="P64" i="4"/>
  <c r="Q64" i="4"/>
  <c r="R64" i="4"/>
  <c r="S64" i="4"/>
  <c r="T64" i="4"/>
  <c r="U64" i="4"/>
  <c r="V64" i="4"/>
  <c r="W64" i="4"/>
  <c r="X64" i="4"/>
  <c r="Y64" i="4"/>
  <c r="Z64" i="4"/>
  <c r="AA64" i="4"/>
  <c r="AC64" i="4"/>
  <c r="AD64" i="4"/>
  <c r="AE64" i="4"/>
  <c r="AF64" i="4"/>
  <c r="AG64" i="4"/>
  <c r="AH64" i="4"/>
  <c r="AI64" i="4"/>
  <c r="AJ64" i="4"/>
  <c r="AK64" i="4"/>
  <c r="AL64" i="4"/>
  <c r="AM64" i="4"/>
  <c r="AN64" i="4"/>
  <c r="AO64" i="4"/>
  <c r="AP64" i="4"/>
  <c r="AQ64" i="4"/>
  <c r="AR64" i="4"/>
  <c r="AS64" i="4"/>
  <c r="AT64" i="4"/>
  <c r="AU64" i="4"/>
  <c r="AV64" i="4"/>
  <c r="AW64" i="4"/>
  <c r="AX64" i="4"/>
  <c r="AY64" i="4"/>
  <c r="AZ64" i="4"/>
  <c r="BA64" i="4"/>
  <c r="BB64" i="4"/>
  <c r="BC64" i="4"/>
  <c r="BD64" i="4"/>
  <c r="BE64" i="4"/>
  <c r="BF64" i="4"/>
  <c r="BG64" i="4"/>
  <c r="BH64" i="4"/>
  <c r="BI64" i="4"/>
  <c r="BJ64" i="4"/>
  <c r="BK64" i="4"/>
  <c r="BL64" i="4"/>
  <c r="BM64" i="4"/>
  <c r="BN64" i="4"/>
  <c r="BO64" i="4"/>
  <c r="BP64" i="4"/>
  <c r="BQ64" i="4"/>
  <c r="BR64" i="4"/>
  <c r="BS64" i="4"/>
  <c r="BT64" i="4"/>
  <c r="BU64" i="4"/>
  <c r="BV64" i="4"/>
  <c r="BW64" i="4"/>
  <c r="BX64" i="4"/>
  <c r="BY64" i="4"/>
  <c r="BZ64" i="4"/>
  <c r="CA64" i="4"/>
  <c r="CB64" i="4"/>
  <c r="CC64" i="4"/>
  <c r="CD64" i="4"/>
  <c r="CE64" i="4"/>
  <c r="CF64" i="4"/>
  <c r="CG64" i="4"/>
  <c r="CH64" i="4"/>
  <c r="CI64" i="4"/>
  <c r="CJ64" i="4"/>
  <c r="CK64" i="4"/>
  <c r="CL64" i="4"/>
  <c r="CM64" i="4"/>
  <c r="CN64" i="4"/>
  <c r="CO64" i="4"/>
  <c r="CP64" i="4"/>
  <c r="CQ64" i="4"/>
  <c r="CR64" i="4"/>
  <c r="CS64" i="4"/>
  <c r="CT64" i="4"/>
  <c r="CU64" i="4"/>
  <c r="CV64" i="4"/>
  <c r="CW64" i="4"/>
  <c r="CX64" i="4"/>
  <c r="CY64" i="4"/>
  <c r="CZ64" i="4"/>
  <c r="DA64" i="4"/>
  <c r="DB64" i="4"/>
  <c r="DC64" i="4"/>
  <c r="DD64" i="4"/>
  <c r="DE64" i="4"/>
  <c r="DF64" i="4"/>
  <c r="DG64" i="4"/>
  <c r="DH64" i="4"/>
  <c r="DI64" i="4"/>
  <c r="DJ64" i="4"/>
  <c r="DK64" i="4"/>
  <c r="DL64" i="4"/>
  <c r="DM64" i="4"/>
  <c r="DN64" i="4"/>
  <c r="DO64" i="4"/>
  <c r="DP64" i="4"/>
  <c r="DQ64" i="4"/>
  <c r="DR64" i="4"/>
  <c r="DS64" i="4"/>
  <c r="DT64" i="4"/>
  <c r="DU64" i="4"/>
  <c r="DV64" i="4"/>
  <c r="DW64" i="4"/>
  <c r="DX64" i="4"/>
  <c r="DY64" i="4"/>
  <c r="DZ64" i="4"/>
  <c r="EA64" i="4"/>
  <c r="EB64" i="4"/>
  <c r="EC64" i="4"/>
  <c r="ED64" i="4"/>
  <c r="EE64" i="4"/>
  <c r="EF64" i="4"/>
  <c r="EG64" i="4"/>
  <c r="EH64" i="4"/>
  <c r="EI64" i="4"/>
  <c r="EJ64" i="4"/>
  <c r="EK64" i="4"/>
  <c r="EL64" i="4"/>
  <c r="EM64" i="4"/>
  <c r="EN64" i="4"/>
  <c r="EO64" i="4"/>
  <c r="EP64" i="4"/>
  <c r="EQ64" i="4"/>
  <c r="ER64" i="4"/>
  <c r="ES64" i="4"/>
  <c r="ET64" i="4"/>
  <c r="EU64" i="4"/>
  <c r="EV64" i="4"/>
  <c r="EW64" i="4"/>
  <c r="EX64" i="4"/>
  <c r="EY64" i="4"/>
  <c r="EZ64" i="4"/>
  <c r="FA64" i="4"/>
  <c r="FB64" i="4"/>
  <c r="FC64" i="4"/>
  <c r="FD64" i="4"/>
  <c r="FE64" i="4"/>
  <c r="FF64" i="4"/>
  <c r="FG64" i="4"/>
  <c r="FH64" i="4"/>
  <c r="FI64" i="4"/>
  <c r="FJ64" i="4"/>
  <c r="FK64" i="4"/>
  <c r="FL64" i="4"/>
  <c r="FM64" i="4"/>
  <c r="FN64" i="4"/>
  <c r="FO64" i="4"/>
  <c r="FP64" i="4"/>
  <c r="FQ64" i="4"/>
  <c r="FR64" i="4"/>
  <c r="FS64" i="4"/>
  <c r="FT64" i="4"/>
  <c r="FU64" i="4"/>
  <c r="FV64" i="4"/>
  <c r="FW64" i="4"/>
  <c r="FX64" i="4"/>
  <c r="FY64" i="4"/>
  <c r="FZ64" i="4"/>
  <c r="GA64" i="4"/>
  <c r="GB64" i="4"/>
  <c r="GC64" i="4"/>
  <c r="GD64" i="4"/>
  <c r="GE64" i="4"/>
  <c r="GF64" i="4"/>
  <c r="GG64" i="4"/>
  <c r="GH64" i="4"/>
  <c r="GI64" i="4"/>
  <c r="GJ64" i="4"/>
  <c r="GK64" i="4"/>
  <c r="GL64" i="4"/>
  <c r="GM64" i="4"/>
  <c r="GN64" i="4"/>
  <c r="GO64" i="4"/>
  <c r="GP64" i="4"/>
  <c r="GQ64" i="4"/>
  <c r="GR64" i="4"/>
  <c r="GS64" i="4"/>
  <c r="GT64" i="4"/>
  <c r="GU64" i="4"/>
  <c r="GV64" i="4"/>
  <c r="GW64" i="4"/>
  <c r="GX64" i="4"/>
  <c r="GY64" i="4"/>
  <c r="GZ64" i="4"/>
  <c r="HA64" i="4"/>
  <c r="HB64" i="4"/>
  <c r="HC64" i="4"/>
  <c r="HD64" i="4"/>
  <c r="HE64" i="4"/>
  <c r="HF64" i="4"/>
  <c r="HG64" i="4"/>
  <c r="HH64" i="4"/>
  <c r="HI64" i="4"/>
  <c r="HJ64" i="4"/>
  <c r="HK64" i="4"/>
  <c r="HL64" i="4"/>
  <c r="HM64" i="4"/>
  <c r="HN64" i="4"/>
  <c r="HO64" i="4"/>
  <c r="HP64" i="4"/>
  <c r="HQ64" i="4"/>
  <c r="HR64" i="4"/>
  <c r="HS64" i="4"/>
  <c r="HT64" i="4"/>
  <c r="HU64" i="4"/>
  <c r="HV64" i="4"/>
  <c r="HW64" i="4"/>
  <c r="HX64" i="4"/>
  <c r="HY64" i="4"/>
  <c r="HZ64" i="4"/>
  <c r="IA64" i="4"/>
  <c r="IB64" i="4"/>
  <c r="IC64" i="4"/>
  <c r="ID64" i="4"/>
  <c r="IE64" i="4"/>
  <c r="IF64" i="4"/>
  <c r="IG64" i="4"/>
  <c r="IH64" i="4"/>
  <c r="II64" i="4"/>
  <c r="IJ64" i="4"/>
  <c r="IK64" i="4"/>
  <c r="IL64" i="4"/>
  <c r="IM64" i="4"/>
  <c r="IN64" i="4"/>
  <c r="IO64" i="4"/>
  <c r="IP64" i="4"/>
  <c r="IQ64" i="4"/>
  <c r="IR64" i="4"/>
  <c r="IS64" i="4"/>
  <c r="IT64" i="4"/>
  <c r="IU64" i="4"/>
  <c r="IV64" i="4"/>
  <c r="A63" i="4"/>
  <c r="B63" i="4"/>
  <c r="C63" i="4"/>
  <c r="D63" i="4"/>
  <c r="E63" i="4"/>
  <c r="F63" i="4"/>
  <c r="G63" i="4"/>
  <c r="H63" i="4"/>
  <c r="I63" i="4"/>
  <c r="J63" i="4"/>
  <c r="K63" i="4"/>
  <c r="L63" i="4"/>
  <c r="M63" i="4"/>
  <c r="N63" i="4"/>
  <c r="O63" i="4"/>
  <c r="P63" i="4"/>
  <c r="Q63" i="4"/>
  <c r="R63" i="4"/>
  <c r="S63" i="4"/>
  <c r="T63" i="4"/>
  <c r="U63" i="4"/>
  <c r="V63" i="4"/>
  <c r="W63" i="4"/>
  <c r="X63" i="4"/>
  <c r="Y63" i="4"/>
  <c r="Z63" i="4"/>
  <c r="AA63" i="4"/>
  <c r="AB63" i="4"/>
  <c r="AD63" i="4"/>
  <c r="AE63" i="4"/>
  <c r="AF63" i="4"/>
  <c r="AG63" i="4"/>
  <c r="AH63" i="4"/>
  <c r="AI63" i="4"/>
  <c r="AJ63" i="4"/>
  <c r="AK63" i="4"/>
  <c r="AL63" i="4"/>
  <c r="AM63" i="4"/>
  <c r="AN63" i="4"/>
  <c r="AO63" i="4"/>
  <c r="AP63" i="4"/>
  <c r="AQ63" i="4"/>
  <c r="AR63" i="4"/>
  <c r="AS63" i="4"/>
  <c r="AT63" i="4"/>
  <c r="AU63" i="4"/>
  <c r="AV63" i="4"/>
  <c r="AW63" i="4"/>
  <c r="AX63" i="4"/>
  <c r="AY63" i="4"/>
  <c r="AZ63" i="4"/>
  <c r="BA63" i="4"/>
  <c r="BB63" i="4"/>
  <c r="BC63" i="4"/>
  <c r="BD63" i="4"/>
  <c r="BE63" i="4"/>
  <c r="BF63" i="4"/>
  <c r="BG63" i="4"/>
  <c r="BH63" i="4"/>
  <c r="BI63" i="4"/>
  <c r="BJ63" i="4"/>
  <c r="BK63" i="4"/>
  <c r="BL63" i="4"/>
  <c r="BM63" i="4"/>
  <c r="BN63" i="4"/>
  <c r="BO63" i="4"/>
  <c r="BP63" i="4"/>
  <c r="BQ63" i="4"/>
  <c r="BR63" i="4"/>
  <c r="BS63" i="4"/>
  <c r="BT63" i="4"/>
  <c r="BU63" i="4"/>
  <c r="BV63" i="4"/>
  <c r="BW63" i="4"/>
  <c r="BX63" i="4"/>
  <c r="BY63" i="4"/>
  <c r="BZ63" i="4"/>
  <c r="CA63" i="4"/>
  <c r="CB63" i="4"/>
  <c r="CC63" i="4"/>
  <c r="CD63" i="4"/>
  <c r="CE63" i="4"/>
  <c r="CF63" i="4"/>
  <c r="CG63" i="4"/>
  <c r="CH63" i="4"/>
  <c r="CI63" i="4"/>
  <c r="CJ63" i="4"/>
  <c r="CK63" i="4"/>
  <c r="CL63" i="4"/>
  <c r="CM63" i="4"/>
  <c r="CN63" i="4"/>
  <c r="CO63" i="4"/>
  <c r="CP63" i="4"/>
  <c r="CQ63" i="4"/>
  <c r="CR63" i="4"/>
  <c r="CS63" i="4"/>
  <c r="CT63" i="4"/>
  <c r="CU63" i="4"/>
  <c r="CV63" i="4"/>
  <c r="CW63" i="4"/>
  <c r="CX63" i="4"/>
  <c r="CY63" i="4"/>
  <c r="CZ63" i="4"/>
  <c r="DA63" i="4"/>
  <c r="DB63" i="4"/>
  <c r="DC63" i="4"/>
  <c r="DD63" i="4"/>
  <c r="DE63" i="4"/>
  <c r="DF63" i="4"/>
  <c r="DG63" i="4"/>
  <c r="DH63" i="4"/>
  <c r="DI63" i="4"/>
  <c r="DJ63" i="4"/>
  <c r="DK63" i="4"/>
  <c r="DL63" i="4"/>
  <c r="DM63" i="4"/>
  <c r="DN63" i="4"/>
  <c r="DO63" i="4"/>
  <c r="DP63" i="4"/>
  <c r="DQ63" i="4"/>
  <c r="DR63" i="4"/>
  <c r="DS63" i="4"/>
  <c r="DT63" i="4"/>
  <c r="DU63" i="4"/>
  <c r="DV63" i="4"/>
  <c r="DW63" i="4"/>
  <c r="DX63" i="4"/>
  <c r="DY63" i="4"/>
  <c r="DZ63" i="4"/>
  <c r="EA63" i="4"/>
  <c r="EB63" i="4"/>
  <c r="EC63" i="4"/>
  <c r="ED63" i="4"/>
  <c r="EE63" i="4"/>
  <c r="EF63" i="4"/>
  <c r="EG63" i="4"/>
  <c r="EH63" i="4"/>
  <c r="EI63" i="4"/>
  <c r="EJ63" i="4"/>
  <c r="EK63" i="4"/>
  <c r="EL63" i="4"/>
  <c r="EM63" i="4"/>
  <c r="EN63" i="4"/>
  <c r="EO63" i="4"/>
  <c r="EP63" i="4"/>
  <c r="EQ63" i="4"/>
  <c r="ER63" i="4"/>
  <c r="ES63" i="4"/>
  <c r="ET63" i="4"/>
  <c r="EU63" i="4"/>
  <c r="EV63" i="4"/>
  <c r="EW63" i="4"/>
  <c r="EX63" i="4"/>
  <c r="EY63" i="4"/>
  <c r="EZ63" i="4"/>
  <c r="FA63" i="4"/>
  <c r="FB63" i="4"/>
  <c r="FC63" i="4"/>
  <c r="FD63" i="4"/>
  <c r="FE63" i="4"/>
  <c r="FF63" i="4"/>
  <c r="FG63" i="4"/>
  <c r="FH63" i="4"/>
  <c r="FI63" i="4"/>
  <c r="FJ63" i="4"/>
  <c r="FK63" i="4"/>
  <c r="FL63" i="4"/>
  <c r="FM63" i="4"/>
  <c r="FN63" i="4"/>
  <c r="FO63" i="4"/>
  <c r="FP63" i="4"/>
  <c r="FQ63" i="4"/>
  <c r="FR63" i="4"/>
  <c r="FS63" i="4"/>
  <c r="FT63" i="4"/>
  <c r="FU63" i="4"/>
  <c r="FV63" i="4"/>
  <c r="FW63" i="4"/>
  <c r="FX63" i="4"/>
  <c r="FY63" i="4"/>
  <c r="FZ63" i="4"/>
  <c r="GA63" i="4"/>
  <c r="GB63" i="4"/>
  <c r="GC63" i="4"/>
  <c r="GD63" i="4"/>
  <c r="GE63" i="4"/>
  <c r="GF63" i="4"/>
  <c r="GG63" i="4"/>
  <c r="GH63" i="4"/>
  <c r="GI63" i="4"/>
  <c r="GJ63" i="4"/>
  <c r="GK63" i="4"/>
  <c r="GL63" i="4"/>
  <c r="GM63" i="4"/>
  <c r="GN63" i="4"/>
  <c r="GO63" i="4"/>
  <c r="GP63" i="4"/>
  <c r="GQ63" i="4"/>
  <c r="GR63" i="4"/>
  <c r="GS63" i="4"/>
  <c r="GT63" i="4"/>
  <c r="GU63" i="4"/>
  <c r="GV63" i="4"/>
  <c r="GW63" i="4"/>
  <c r="GX63" i="4"/>
  <c r="GY63" i="4"/>
  <c r="GZ63" i="4"/>
  <c r="HA63" i="4"/>
  <c r="HB63" i="4"/>
  <c r="HC63" i="4"/>
  <c r="HD63" i="4"/>
  <c r="HE63" i="4"/>
  <c r="HF63" i="4"/>
  <c r="HG63" i="4"/>
  <c r="HH63" i="4"/>
  <c r="HI63" i="4"/>
  <c r="HJ63" i="4"/>
  <c r="HK63" i="4"/>
  <c r="HL63" i="4"/>
  <c r="HM63" i="4"/>
  <c r="HN63" i="4"/>
  <c r="HO63" i="4"/>
  <c r="HP63" i="4"/>
  <c r="HQ63" i="4"/>
  <c r="HR63" i="4"/>
  <c r="HS63" i="4"/>
  <c r="HT63" i="4"/>
  <c r="HU63" i="4"/>
  <c r="HV63" i="4"/>
  <c r="HW63" i="4"/>
  <c r="HX63" i="4"/>
  <c r="HY63" i="4"/>
  <c r="HZ63" i="4"/>
  <c r="IA63" i="4"/>
  <c r="IB63" i="4"/>
  <c r="IC63" i="4"/>
  <c r="ID63" i="4"/>
  <c r="IE63" i="4"/>
  <c r="IF63" i="4"/>
  <c r="IG63" i="4"/>
  <c r="IH63" i="4"/>
  <c r="II63" i="4"/>
  <c r="IJ63" i="4"/>
  <c r="IK63" i="4"/>
  <c r="IL63" i="4"/>
  <c r="IM63" i="4"/>
  <c r="IN63" i="4"/>
  <c r="IO63" i="4"/>
  <c r="IP63" i="4"/>
  <c r="IQ63" i="4"/>
  <c r="IR63" i="4"/>
  <c r="IS63" i="4"/>
  <c r="IT63" i="4"/>
  <c r="IU63" i="4"/>
  <c r="IV63" i="4"/>
  <c r="A62" i="4"/>
  <c r="B62" i="4"/>
  <c r="C62" i="4"/>
  <c r="D62" i="4"/>
  <c r="E62" i="4"/>
  <c r="F62" i="4"/>
  <c r="G62" i="4"/>
  <c r="H62" i="4"/>
  <c r="I62" i="4"/>
  <c r="J62" i="4"/>
  <c r="K62" i="4"/>
  <c r="L62" i="4"/>
  <c r="M62" i="4"/>
  <c r="N62" i="4"/>
  <c r="O62" i="4"/>
  <c r="P62" i="4"/>
  <c r="Q62" i="4"/>
  <c r="R62" i="4"/>
  <c r="S62" i="4"/>
  <c r="T62" i="4"/>
  <c r="U62" i="4"/>
  <c r="V62" i="4"/>
  <c r="W62" i="4"/>
  <c r="X62" i="4"/>
  <c r="Y62" i="4"/>
  <c r="Z62" i="4"/>
  <c r="AA62" i="4"/>
  <c r="AB62" i="4"/>
  <c r="AC62" i="4"/>
  <c r="AE62" i="4"/>
  <c r="AF62" i="4"/>
  <c r="AG62" i="4"/>
  <c r="AH62" i="4"/>
  <c r="AI62" i="4"/>
  <c r="AJ62" i="4"/>
  <c r="AK62" i="4"/>
  <c r="AL62" i="4"/>
  <c r="AM62" i="4"/>
  <c r="AN62" i="4"/>
  <c r="AO62" i="4"/>
  <c r="AP62" i="4"/>
  <c r="AQ62" i="4"/>
  <c r="AR62" i="4"/>
  <c r="AS62" i="4"/>
  <c r="AT62" i="4"/>
  <c r="AU62" i="4"/>
  <c r="AV62" i="4"/>
  <c r="AW62" i="4"/>
  <c r="AX62" i="4"/>
  <c r="AY62" i="4"/>
  <c r="AZ62" i="4"/>
  <c r="BA62" i="4"/>
  <c r="BB62" i="4"/>
  <c r="BC62" i="4"/>
  <c r="BD62" i="4"/>
  <c r="BE62" i="4"/>
  <c r="BF62" i="4"/>
  <c r="BG62" i="4"/>
  <c r="BH62" i="4"/>
  <c r="BI62" i="4"/>
  <c r="BJ62" i="4"/>
  <c r="BK62" i="4"/>
  <c r="BL62" i="4"/>
  <c r="BM62" i="4"/>
  <c r="BN62" i="4"/>
  <c r="BO62" i="4"/>
  <c r="BP62" i="4"/>
  <c r="BQ62" i="4"/>
  <c r="BR62" i="4"/>
  <c r="BS62" i="4"/>
  <c r="BT62" i="4"/>
  <c r="BU62" i="4"/>
  <c r="BV62" i="4"/>
  <c r="BW62" i="4"/>
  <c r="BX62" i="4"/>
  <c r="BY62" i="4"/>
  <c r="BZ62" i="4"/>
  <c r="CA62" i="4"/>
  <c r="CB62" i="4"/>
  <c r="CC62" i="4"/>
  <c r="CD62" i="4"/>
  <c r="CE62" i="4"/>
  <c r="CF62" i="4"/>
  <c r="CG62" i="4"/>
  <c r="CH62" i="4"/>
  <c r="CI62" i="4"/>
  <c r="CJ62" i="4"/>
  <c r="CK62" i="4"/>
  <c r="CL62" i="4"/>
  <c r="CM62" i="4"/>
  <c r="CN62" i="4"/>
  <c r="CO62" i="4"/>
  <c r="CP62" i="4"/>
  <c r="CQ62" i="4"/>
  <c r="CR62" i="4"/>
  <c r="CS62" i="4"/>
  <c r="CT62" i="4"/>
  <c r="CU62" i="4"/>
  <c r="CV62" i="4"/>
  <c r="CW62" i="4"/>
  <c r="CX62" i="4"/>
  <c r="CY62" i="4"/>
  <c r="CZ62" i="4"/>
  <c r="DA62" i="4"/>
  <c r="DB62" i="4"/>
  <c r="DC62" i="4"/>
  <c r="DD62" i="4"/>
  <c r="DE62" i="4"/>
  <c r="DF62" i="4"/>
  <c r="DG62" i="4"/>
  <c r="DH62" i="4"/>
  <c r="DI62" i="4"/>
  <c r="DJ62" i="4"/>
  <c r="DK62" i="4"/>
  <c r="DL62" i="4"/>
  <c r="DM62" i="4"/>
  <c r="DN62" i="4"/>
  <c r="DO62" i="4"/>
  <c r="DP62" i="4"/>
  <c r="DQ62" i="4"/>
  <c r="DR62" i="4"/>
  <c r="DS62" i="4"/>
  <c r="DT62" i="4"/>
  <c r="DU62" i="4"/>
  <c r="DV62" i="4"/>
  <c r="DW62" i="4"/>
  <c r="DX62" i="4"/>
  <c r="DY62" i="4"/>
  <c r="DZ62" i="4"/>
  <c r="EA62" i="4"/>
  <c r="EB62" i="4"/>
  <c r="EC62" i="4"/>
  <c r="ED62" i="4"/>
  <c r="EE62" i="4"/>
  <c r="EF62" i="4"/>
  <c r="EG62" i="4"/>
  <c r="EH62" i="4"/>
  <c r="EI62" i="4"/>
  <c r="EJ62" i="4"/>
  <c r="EK62" i="4"/>
  <c r="EL62" i="4"/>
  <c r="EM62" i="4"/>
  <c r="EN62" i="4"/>
  <c r="EO62" i="4"/>
  <c r="EP62" i="4"/>
  <c r="EQ62" i="4"/>
  <c r="ER62" i="4"/>
  <c r="ES62" i="4"/>
  <c r="ET62" i="4"/>
  <c r="EU62" i="4"/>
  <c r="EV62" i="4"/>
  <c r="EW62" i="4"/>
  <c r="EX62" i="4"/>
  <c r="EY62" i="4"/>
  <c r="EZ62" i="4"/>
  <c r="FA62" i="4"/>
  <c r="FB62" i="4"/>
  <c r="FC62" i="4"/>
  <c r="FD62" i="4"/>
  <c r="FE62" i="4"/>
  <c r="FF62" i="4"/>
  <c r="FG62" i="4"/>
  <c r="FH62" i="4"/>
  <c r="FI62" i="4"/>
  <c r="FJ62" i="4"/>
  <c r="FK62" i="4"/>
  <c r="FL62" i="4"/>
  <c r="FM62" i="4"/>
  <c r="FN62" i="4"/>
  <c r="FO62" i="4"/>
  <c r="FP62" i="4"/>
  <c r="FQ62" i="4"/>
  <c r="FR62" i="4"/>
  <c r="FS62" i="4"/>
  <c r="FT62" i="4"/>
  <c r="FU62" i="4"/>
  <c r="FV62" i="4"/>
  <c r="FW62" i="4"/>
  <c r="FX62" i="4"/>
  <c r="FY62" i="4"/>
  <c r="FZ62" i="4"/>
  <c r="GA62" i="4"/>
  <c r="GB62" i="4"/>
  <c r="GC62" i="4"/>
  <c r="GD62" i="4"/>
  <c r="GE62" i="4"/>
  <c r="GF62" i="4"/>
  <c r="GG62" i="4"/>
  <c r="GH62" i="4"/>
  <c r="GI62" i="4"/>
  <c r="GJ62" i="4"/>
  <c r="GK62" i="4"/>
  <c r="GL62" i="4"/>
  <c r="GM62" i="4"/>
  <c r="GN62" i="4"/>
  <c r="GO62" i="4"/>
  <c r="GP62" i="4"/>
  <c r="GQ62" i="4"/>
  <c r="GR62" i="4"/>
  <c r="GS62" i="4"/>
  <c r="GT62" i="4"/>
  <c r="GU62" i="4"/>
  <c r="GV62" i="4"/>
  <c r="GW62" i="4"/>
  <c r="GX62" i="4"/>
  <c r="GY62" i="4"/>
  <c r="GZ62" i="4"/>
  <c r="HA62" i="4"/>
  <c r="HB62" i="4"/>
  <c r="HC62" i="4"/>
  <c r="HD62" i="4"/>
  <c r="HE62" i="4"/>
  <c r="HF62" i="4"/>
  <c r="HG62" i="4"/>
  <c r="HH62" i="4"/>
  <c r="HI62" i="4"/>
  <c r="HJ62" i="4"/>
  <c r="HK62" i="4"/>
  <c r="HL62" i="4"/>
  <c r="HM62" i="4"/>
  <c r="HN62" i="4"/>
  <c r="HO62" i="4"/>
  <c r="HP62" i="4"/>
  <c r="HQ62" i="4"/>
  <c r="HR62" i="4"/>
  <c r="HS62" i="4"/>
  <c r="HT62" i="4"/>
  <c r="HU62" i="4"/>
  <c r="HV62" i="4"/>
  <c r="HW62" i="4"/>
  <c r="HX62" i="4"/>
  <c r="HY62" i="4"/>
  <c r="HZ62" i="4"/>
  <c r="IA62" i="4"/>
  <c r="IB62" i="4"/>
  <c r="IC62" i="4"/>
  <c r="ID62" i="4"/>
  <c r="IE62" i="4"/>
  <c r="IF62" i="4"/>
  <c r="IG62" i="4"/>
  <c r="IH62" i="4"/>
  <c r="II62" i="4"/>
  <c r="IJ62" i="4"/>
  <c r="IK62" i="4"/>
  <c r="IL62" i="4"/>
  <c r="IM62" i="4"/>
  <c r="IN62" i="4"/>
  <c r="IO62" i="4"/>
  <c r="IP62" i="4"/>
  <c r="IQ62" i="4"/>
  <c r="IR62" i="4"/>
  <c r="IS62" i="4"/>
  <c r="IT62" i="4"/>
  <c r="IU62" i="4"/>
  <c r="IV62" i="4"/>
  <c r="A61" i="4"/>
  <c r="B61" i="4"/>
  <c r="C61" i="4"/>
  <c r="D61" i="4"/>
  <c r="E61" i="4"/>
  <c r="F61" i="4"/>
  <c r="G61" i="4"/>
  <c r="H61" i="4"/>
  <c r="I61" i="4"/>
  <c r="J61" i="4"/>
  <c r="K61" i="4"/>
  <c r="L61" i="4"/>
  <c r="M61" i="4"/>
  <c r="N61" i="4"/>
  <c r="O61" i="4"/>
  <c r="P61" i="4"/>
  <c r="Q61" i="4"/>
  <c r="R61" i="4"/>
  <c r="S61" i="4"/>
  <c r="T61" i="4"/>
  <c r="U61" i="4"/>
  <c r="V61" i="4"/>
  <c r="W61" i="4"/>
  <c r="X61" i="4"/>
  <c r="Y61" i="4"/>
  <c r="Z61" i="4"/>
  <c r="AA61" i="4"/>
  <c r="AB61" i="4"/>
  <c r="AC61" i="4"/>
  <c r="AD61" i="4"/>
  <c r="AF61" i="4"/>
  <c r="AG61" i="4"/>
  <c r="AH61" i="4"/>
  <c r="AI61" i="4"/>
  <c r="AJ61" i="4"/>
  <c r="AK61" i="4"/>
  <c r="AL61" i="4"/>
  <c r="AM61" i="4"/>
  <c r="AN61" i="4"/>
  <c r="AO61" i="4"/>
  <c r="AP61" i="4"/>
  <c r="AQ61" i="4"/>
  <c r="AR61" i="4"/>
  <c r="AS61" i="4"/>
  <c r="AT61" i="4"/>
  <c r="AU61" i="4"/>
  <c r="AV61" i="4"/>
  <c r="AW61" i="4"/>
  <c r="AX61" i="4"/>
  <c r="AY61" i="4"/>
  <c r="AZ61" i="4"/>
  <c r="BA61" i="4"/>
  <c r="BB61" i="4"/>
  <c r="BC61" i="4"/>
  <c r="BD61" i="4"/>
  <c r="BE61" i="4"/>
  <c r="BF61" i="4"/>
  <c r="BG61" i="4"/>
  <c r="BH61" i="4"/>
  <c r="BI61" i="4"/>
  <c r="BJ61" i="4"/>
  <c r="BK61" i="4"/>
  <c r="BL61" i="4"/>
  <c r="BM61" i="4"/>
  <c r="BN61" i="4"/>
  <c r="BO61" i="4"/>
  <c r="BP61" i="4"/>
  <c r="BQ61" i="4"/>
  <c r="BR61" i="4"/>
  <c r="BS61" i="4"/>
  <c r="BT61" i="4"/>
  <c r="BU61" i="4"/>
  <c r="BV61" i="4"/>
  <c r="BW61" i="4"/>
  <c r="BX61" i="4"/>
  <c r="BY61" i="4"/>
  <c r="BZ61" i="4"/>
  <c r="CA61" i="4"/>
  <c r="CB61" i="4"/>
  <c r="CC61" i="4"/>
  <c r="CD61" i="4"/>
  <c r="CE61" i="4"/>
  <c r="CF61" i="4"/>
  <c r="CG61" i="4"/>
  <c r="CH61" i="4"/>
  <c r="CI61" i="4"/>
  <c r="CJ61" i="4"/>
  <c r="CK61" i="4"/>
  <c r="CL61" i="4"/>
  <c r="CM61" i="4"/>
  <c r="CN61" i="4"/>
  <c r="CO61" i="4"/>
  <c r="CP61" i="4"/>
  <c r="CQ61" i="4"/>
  <c r="CR61" i="4"/>
  <c r="CS61" i="4"/>
  <c r="CT61" i="4"/>
  <c r="CU61" i="4"/>
  <c r="CV61" i="4"/>
  <c r="CW61" i="4"/>
  <c r="CX61" i="4"/>
  <c r="CY61" i="4"/>
  <c r="CZ61" i="4"/>
  <c r="DA61" i="4"/>
  <c r="DB61" i="4"/>
  <c r="DC61" i="4"/>
  <c r="DD61" i="4"/>
  <c r="DE61" i="4"/>
  <c r="DF61" i="4"/>
  <c r="DG61" i="4"/>
  <c r="DH61" i="4"/>
  <c r="DI61" i="4"/>
  <c r="DJ61" i="4"/>
  <c r="DK61" i="4"/>
  <c r="DL61" i="4"/>
  <c r="DM61" i="4"/>
  <c r="DN61" i="4"/>
  <c r="DO61" i="4"/>
  <c r="DP61" i="4"/>
  <c r="DQ61" i="4"/>
  <c r="DR61" i="4"/>
  <c r="DS61" i="4"/>
  <c r="DT61" i="4"/>
  <c r="DU61" i="4"/>
  <c r="DV61" i="4"/>
  <c r="DW61" i="4"/>
  <c r="DX61" i="4"/>
  <c r="DY61" i="4"/>
  <c r="DZ61" i="4"/>
  <c r="EA61" i="4"/>
  <c r="EB61" i="4"/>
  <c r="EC61" i="4"/>
  <c r="ED61" i="4"/>
  <c r="EE61" i="4"/>
  <c r="EF61" i="4"/>
  <c r="EG61" i="4"/>
  <c r="EH61" i="4"/>
  <c r="EI61" i="4"/>
  <c r="EJ61" i="4"/>
  <c r="EK61" i="4"/>
  <c r="EL61" i="4"/>
  <c r="EM61" i="4"/>
  <c r="EN61" i="4"/>
  <c r="EO61" i="4"/>
  <c r="EP61" i="4"/>
  <c r="EQ61" i="4"/>
  <c r="ER61" i="4"/>
  <c r="ES61" i="4"/>
  <c r="ET61" i="4"/>
  <c r="EU61" i="4"/>
  <c r="EV61" i="4"/>
  <c r="EW61" i="4"/>
  <c r="EX61" i="4"/>
  <c r="EY61" i="4"/>
  <c r="EZ61" i="4"/>
  <c r="FA61" i="4"/>
  <c r="FB61" i="4"/>
  <c r="FC61" i="4"/>
  <c r="FD61" i="4"/>
  <c r="FE61" i="4"/>
  <c r="FF61" i="4"/>
  <c r="FG61" i="4"/>
  <c r="FH61" i="4"/>
  <c r="FI61" i="4"/>
  <c r="FJ61" i="4"/>
  <c r="FK61" i="4"/>
  <c r="FL61" i="4"/>
  <c r="FM61" i="4"/>
  <c r="FN61" i="4"/>
  <c r="FO61" i="4"/>
  <c r="FP61" i="4"/>
  <c r="FQ61" i="4"/>
  <c r="FR61" i="4"/>
  <c r="FS61" i="4"/>
  <c r="FT61" i="4"/>
  <c r="FU61" i="4"/>
  <c r="FV61" i="4"/>
  <c r="FW61" i="4"/>
  <c r="FX61" i="4"/>
  <c r="FY61" i="4"/>
  <c r="FZ61" i="4"/>
  <c r="GA61" i="4"/>
  <c r="GB61" i="4"/>
  <c r="GC61" i="4"/>
  <c r="GD61" i="4"/>
  <c r="GE61" i="4"/>
  <c r="GF61" i="4"/>
  <c r="GG61" i="4"/>
  <c r="GH61" i="4"/>
  <c r="GI61" i="4"/>
  <c r="GJ61" i="4"/>
  <c r="GK61" i="4"/>
  <c r="GL61" i="4"/>
  <c r="GM61" i="4"/>
  <c r="GN61" i="4"/>
  <c r="GO61" i="4"/>
  <c r="GP61" i="4"/>
  <c r="GQ61" i="4"/>
  <c r="GR61" i="4"/>
  <c r="GS61" i="4"/>
  <c r="GT61" i="4"/>
  <c r="GU61" i="4"/>
  <c r="GV61" i="4"/>
  <c r="GW61" i="4"/>
  <c r="GX61" i="4"/>
  <c r="GY61" i="4"/>
  <c r="GZ61" i="4"/>
  <c r="HA61" i="4"/>
  <c r="HB61" i="4"/>
  <c r="HC61" i="4"/>
  <c r="HD61" i="4"/>
  <c r="HE61" i="4"/>
  <c r="HF61" i="4"/>
  <c r="HG61" i="4"/>
  <c r="HH61" i="4"/>
  <c r="HI61" i="4"/>
  <c r="HJ61" i="4"/>
  <c r="HK61" i="4"/>
  <c r="HL61" i="4"/>
  <c r="HM61" i="4"/>
  <c r="HN61" i="4"/>
  <c r="HO61" i="4"/>
  <c r="HP61" i="4"/>
  <c r="HQ61" i="4"/>
  <c r="HR61" i="4"/>
  <c r="HS61" i="4"/>
  <c r="HT61" i="4"/>
  <c r="HU61" i="4"/>
  <c r="HV61" i="4"/>
  <c r="HW61" i="4"/>
  <c r="HX61" i="4"/>
  <c r="HY61" i="4"/>
  <c r="HZ61" i="4"/>
  <c r="IA61" i="4"/>
  <c r="IB61" i="4"/>
  <c r="IC61" i="4"/>
  <c r="ID61" i="4"/>
  <c r="IE61" i="4"/>
  <c r="IF61" i="4"/>
  <c r="IG61" i="4"/>
  <c r="IH61" i="4"/>
  <c r="II61" i="4"/>
  <c r="IJ61" i="4"/>
  <c r="IK61" i="4"/>
  <c r="IL61" i="4"/>
  <c r="IM61" i="4"/>
  <c r="IN61" i="4"/>
  <c r="IO61" i="4"/>
  <c r="IP61" i="4"/>
  <c r="IQ61" i="4"/>
  <c r="IR61" i="4"/>
  <c r="IS61" i="4"/>
  <c r="IT61" i="4"/>
  <c r="IU61" i="4"/>
  <c r="IV61" i="4"/>
  <c r="A60" i="4"/>
  <c r="B60" i="4"/>
  <c r="C60" i="4"/>
  <c r="D60" i="4"/>
  <c r="E60" i="4"/>
  <c r="F60" i="4"/>
  <c r="G60" i="4"/>
  <c r="H60" i="4"/>
  <c r="I60" i="4"/>
  <c r="J60" i="4"/>
  <c r="K60" i="4"/>
  <c r="L60" i="4"/>
  <c r="M60" i="4"/>
  <c r="N60" i="4"/>
  <c r="O60" i="4"/>
  <c r="P60" i="4"/>
  <c r="Q60" i="4"/>
  <c r="R60" i="4"/>
  <c r="S60" i="4"/>
  <c r="T60" i="4"/>
  <c r="U60" i="4"/>
  <c r="V60" i="4"/>
  <c r="W60" i="4"/>
  <c r="X60" i="4"/>
  <c r="Y60" i="4"/>
  <c r="Z60" i="4"/>
  <c r="AA60" i="4"/>
  <c r="AB60" i="4"/>
  <c r="AC60" i="4"/>
  <c r="AD60" i="4"/>
  <c r="AE60" i="4"/>
  <c r="AG60" i="4"/>
  <c r="AH60" i="4"/>
  <c r="AI60" i="4"/>
  <c r="AJ60" i="4"/>
  <c r="AK60" i="4"/>
  <c r="AL60" i="4"/>
  <c r="AM60" i="4"/>
  <c r="AN60" i="4"/>
  <c r="AO60" i="4"/>
  <c r="AP60" i="4"/>
  <c r="AQ60" i="4"/>
  <c r="AR60" i="4"/>
  <c r="AS60" i="4"/>
  <c r="AT60" i="4"/>
  <c r="AU60" i="4"/>
  <c r="AV60" i="4"/>
  <c r="AW60" i="4"/>
  <c r="AX60" i="4"/>
  <c r="AY60" i="4"/>
  <c r="AZ60" i="4"/>
  <c r="BA60" i="4"/>
  <c r="BB60" i="4"/>
  <c r="BC60" i="4"/>
  <c r="BD60" i="4"/>
  <c r="BE60" i="4"/>
  <c r="BF60" i="4"/>
  <c r="BG60" i="4"/>
  <c r="BH60" i="4"/>
  <c r="BI60" i="4"/>
  <c r="BJ60" i="4"/>
  <c r="BK60" i="4"/>
  <c r="BL60" i="4"/>
  <c r="BM60" i="4"/>
  <c r="BN60" i="4"/>
  <c r="BO60" i="4"/>
  <c r="BP60" i="4"/>
  <c r="BQ60" i="4"/>
  <c r="BR60" i="4"/>
  <c r="BS60" i="4"/>
  <c r="BT60" i="4"/>
  <c r="BU60" i="4"/>
  <c r="BV60" i="4"/>
  <c r="BW60" i="4"/>
  <c r="BX60" i="4"/>
  <c r="BY60" i="4"/>
  <c r="BZ60" i="4"/>
  <c r="CA60" i="4"/>
  <c r="CB60" i="4"/>
  <c r="CC60" i="4"/>
  <c r="CD60" i="4"/>
  <c r="CE60" i="4"/>
  <c r="CF60" i="4"/>
  <c r="CG60" i="4"/>
  <c r="CH60" i="4"/>
  <c r="CI60" i="4"/>
  <c r="CJ60" i="4"/>
  <c r="CK60" i="4"/>
  <c r="CL60" i="4"/>
  <c r="CM60" i="4"/>
  <c r="CN60" i="4"/>
  <c r="CO60" i="4"/>
  <c r="CP60" i="4"/>
  <c r="CQ60" i="4"/>
  <c r="CR60" i="4"/>
  <c r="CS60" i="4"/>
  <c r="CT60" i="4"/>
  <c r="CU60" i="4"/>
  <c r="CV60" i="4"/>
  <c r="CW60" i="4"/>
  <c r="CX60" i="4"/>
  <c r="CY60" i="4"/>
  <c r="CZ60" i="4"/>
  <c r="DA60" i="4"/>
  <c r="DB60" i="4"/>
  <c r="DC60" i="4"/>
  <c r="DD60" i="4"/>
  <c r="DE60" i="4"/>
  <c r="DF60" i="4"/>
  <c r="DG60" i="4"/>
  <c r="DH60" i="4"/>
  <c r="DI60" i="4"/>
  <c r="DJ60" i="4"/>
  <c r="DK60" i="4"/>
  <c r="DL60" i="4"/>
  <c r="DM60" i="4"/>
  <c r="DN60" i="4"/>
  <c r="DO60" i="4"/>
  <c r="DP60" i="4"/>
  <c r="DQ60" i="4"/>
  <c r="DR60" i="4"/>
  <c r="DS60" i="4"/>
  <c r="DT60" i="4"/>
  <c r="DU60" i="4"/>
  <c r="DV60" i="4"/>
  <c r="DW60" i="4"/>
  <c r="DX60" i="4"/>
  <c r="DY60" i="4"/>
  <c r="DZ60" i="4"/>
  <c r="EA60" i="4"/>
  <c r="EB60" i="4"/>
  <c r="EC60" i="4"/>
  <c r="ED60" i="4"/>
  <c r="EE60" i="4"/>
  <c r="EF60" i="4"/>
  <c r="EG60" i="4"/>
  <c r="EH60" i="4"/>
  <c r="EI60" i="4"/>
  <c r="EJ60" i="4"/>
  <c r="EK60" i="4"/>
  <c r="EL60" i="4"/>
  <c r="EM60" i="4"/>
  <c r="EN60" i="4"/>
  <c r="EO60" i="4"/>
  <c r="EP60" i="4"/>
  <c r="EQ60" i="4"/>
  <c r="ER60" i="4"/>
  <c r="ES60" i="4"/>
  <c r="ET60" i="4"/>
  <c r="EU60" i="4"/>
  <c r="EV60" i="4"/>
  <c r="EW60" i="4"/>
  <c r="EX60" i="4"/>
  <c r="EY60" i="4"/>
  <c r="EZ60" i="4"/>
  <c r="FA60" i="4"/>
  <c r="FB60" i="4"/>
  <c r="FC60" i="4"/>
  <c r="FD60" i="4"/>
  <c r="FE60" i="4"/>
  <c r="FF60" i="4"/>
  <c r="FG60" i="4"/>
  <c r="FH60" i="4"/>
  <c r="FI60" i="4"/>
  <c r="FJ60" i="4"/>
  <c r="FK60" i="4"/>
  <c r="FL60" i="4"/>
  <c r="FM60" i="4"/>
  <c r="FN60" i="4"/>
  <c r="FO60" i="4"/>
  <c r="FP60" i="4"/>
  <c r="FQ60" i="4"/>
  <c r="FR60" i="4"/>
  <c r="FS60" i="4"/>
  <c r="FT60" i="4"/>
  <c r="FU60" i="4"/>
  <c r="FV60" i="4"/>
  <c r="FW60" i="4"/>
  <c r="FX60" i="4"/>
  <c r="FY60" i="4"/>
  <c r="FZ60" i="4"/>
  <c r="GA60" i="4"/>
  <c r="GB60" i="4"/>
  <c r="GC60" i="4"/>
  <c r="GD60" i="4"/>
  <c r="GE60" i="4"/>
  <c r="GF60" i="4"/>
  <c r="GG60" i="4"/>
  <c r="GH60" i="4"/>
  <c r="GI60" i="4"/>
  <c r="GJ60" i="4"/>
  <c r="GK60" i="4"/>
  <c r="GL60" i="4"/>
  <c r="GM60" i="4"/>
  <c r="GN60" i="4"/>
  <c r="GO60" i="4"/>
  <c r="GP60" i="4"/>
  <c r="GQ60" i="4"/>
  <c r="GR60" i="4"/>
  <c r="GS60" i="4"/>
  <c r="GT60" i="4"/>
  <c r="GU60" i="4"/>
  <c r="GV60" i="4"/>
  <c r="GW60" i="4"/>
  <c r="GX60" i="4"/>
  <c r="GY60" i="4"/>
  <c r="GZ60" i="4"/>
  <c r="HA60" i="4"/>
  <c r="HB60" i="4"/>
  <c r="HC60" i="4"/>
  <c r="HD60" i="4"/>
  <c r="HE60" i="4"/>
  <c r="HF60" i="4"/>
  <c r="HG60" i="4"/>
  <c r="HH60" i="4"/>
  <c r="HI60" i="4"/>
  <c r="HJ60" i="4"/>
  <c r="HK60" i="4"/>
  <c r="HL60" i="4"/>
  <c r="HM60" i="4"/>
  <c r="HN60" i="4"/>
  <c r="HO60" i="4"/>
  <c r="HP60" i="4"/>
  <c r="HQ60" i="4"/>
  <c r="HR60" i="4"/>
  <c r="HS60" i="4"/>
  <c r="HT60" i="4"/>
  <c r="HU60" i="4"/>
  <c r="HV60" i="4"/>
  <c r="HW60" i="4"/>
  <c r="HX60" i="4"/>
  <c r="HY60" i="4"/>
  <c r="HZ60" i="4"/>
  <c r="IA60" i="4"/>
  <c r="IB60" i="4"/>
  <c r="IC60" i="4"/>
  <c r="ID60" i="4"/>
  <c r="IE60" i="4"/>
  <c r="IF60" i="4"/>
  <c r="IG60" i="4"/>
  <c r="IH60" i="4"/>
  <c r="II60" i="4"/>
  <c r="IJ60" i="4"/>
  <c r="IK60" i="4"/>
  <c r="IL60" i="4"/>
  <c r="IM60" i="4"/>
  <c r="IN60" i="4"/>
  <c r="IO60" i="4"/>
  <c r="IP60" i="4"/>
  <c r="IQ60" i="4"/>
  <c r="IR60" i="4"/>
  <c r="IS60" i="4"/>
  <c r="IT60" i="4"/>
  <c r="IU60" i="4"/>
  <c r="IV60" i="4"/>
  <c r="A59" i="4"/>
  <c r="B59" i="4"/>
  <c r="C59" i="4"/>
  <c r="D59" i="4"/>
  <c r="E59" i="4"/>
  <c r="F59" i="4"/>
  <c r="G59" i="4"/>
  <c r="H59" i="4"/>
  <c r="I59" i="4"/>
  <c r="J59" i="4"/>
  <c r="K59" i="4"/>
  <c r="L59" i="4"/>
  <c r="M59" i="4"/>
  <c r="N59" i="4"/>
  <c r="O59" i="4"/>
  <c r="P59" i="4"/>
  <c r="Q59" i="4"/>
  <c r="R59" i="4"/>
  <c r="S59" i="4"/>
  <c r="T59" i="4"/>
  <c r="U59" i="4"/>
  <c r="V59" i="4"/>
  <c r="W59" i="4"/>
  <c r="X59" i="4"/>
  <c r="Y59" i="4"/>
  <c r="Z59" i="4"/>
  <c r="AA59" i="4"/>
  <c r="AB59" i="4"/>
  <c r="AC59" i="4"/>
  <c r="AD59" i="4"/>
  <c r="AE59" i="4"/>
  <c r="AF59" i="4"/>
  <c r="AH59" i="4"/>
  <c r="AI59" i="4"/>
  <c r="AJ59" i="4"/>
  <c r="AK59" i="4"/>
  <c r="AL59" i="4"/>
  <c r="AM59" i="4"/>
  <c r="AN59" i="4"/>
  <c r="AO59" i="4"/>
  <c r="AP59" i="4"/>
  <c r="AQ59" i="4"/>
  <c r="AR59" i="4"/>
  <c r="AS59" i="4"/>
  <c r="AT59" i="4"/>
  <c r="AU59" i="4"/>
  <c r="AV59" i="4"/>
  <c r="AW59" i="4"/>
  <c r="AX59" i="4"/>
  <c r="AY59" i="4"/>
  <c r="AZ59" i="4"/>
  <c r="BA59" i="4"/>
  <c r="BB59" i="4"/>
  <c r="BC59" i="4"/>
  <c r="BD59" i="4"/>
  <c r="BE59" i="4"/>
  <c r="BF59" i="4"/>
  <c r="BG59" i="4"/>
  <c r="BH59" i="4"/>
  <c r="BI59" i="4"/>
  <c r="BJ59" i="4"/>
  <c r="BK59" i="4"/>
  <c r="BL59" i="4"/>
  <c r="BM59" i="4"/>
  <c r="BN59" i="4"/>
  <c r="BO59" i="4"/>
  <c r="BP59" i="4"/>
  <c r="BQ59" i="4"/>
  <c r="BR59" i="4"/>
  <c r="BS59" i="4"/>
  <c r="BT59" i="4"/>
  <c r="BU59" i="4"/>
  <c r="BV59" i="4"/>
  <c r="BW59" i="4"/>
  <c r="BX59" i="4"/>
  <c r="BY59" i="4"/>
  <c r="BZ59" i="4"/>
  <c r="CA59" i="4"/>
  <c r="CB59" i="4"/>
  <c r="CC59" i="4"/>
  <c r="CD59" i="4"/>
  <c r="CE59" i="4"/>
  <c r="CF59" i="4"/>
  <c r="CG59" i="4"/>
  <c r="CH59" i="4"/>
  <c r="CI59" i="4"/>
  <c r="CJ59" i="4"/>
  <c r="CK59" i="4"/>
  <c r="CL59" i="4"/>
  <c r="CM59" i="4"/>
  <c r="CN59" i="4"/>
  <c r="CO59" i="4"/>
  <c r="CP59" i="4"/>
  <c r="CQ59" i="4"/>
  <c r="CR59" i="4"/>
  <c r="CS59" i="4"/>
  <c r="CT59" i="4"/>
  <c r="CU59" i="4"/>
  <c r="CV59" i="4"/>
  <c r="CW59" i="4"/>
  <c r="CX59" i="4"/>
  <c r="CY59" i="4"/>
  <c r="CZ59" i="4"/>
  <c r="DA59" i="4"/>
  <c r="DB59" i="4"/>
  <c r="DC59" i="4"/>
  <c r="DD59" i="4"/>
  <c r="DE59" i="4"/>
  <c r="DF59" i="4"/>
  <c r="DG59" i="4"/>
  <c r="DH59" i="4"/>
  <c r="DI59" i="4"/>
  <c r="DJ59" i="4"/>
  <c r="DK59" i="4"/>
  <c r="DL59" i="4"/>
  <c r="DM59" i="4"/>
  <c r="DN59" i="4"/>
  <c r="DO59" i="4"/>
  <c r="DP59" i="4"/>
  <c r="DQ59" i="4"/>
  <c r="DR59" i="4"/>
  <c r="DS59" i="4"/>
  <c r="DT59" i="4"/>
  <c r="DU59" i="4"/>
  <c r="DV59" i="4"/>
  <c r="DW59" i="4"/>
  <c r="DX59" i="4"/>
  <c r="DY59" i="4"/>
  <c r="DZ59" i="4"/>
  <c r="EA59" i="4"/>
  <c r="EB59" i="4"/>
  <c r="EC59" i="4"/>
  <c r="ED59" i="4"/>
  <c r="EE59" i="4"/>
  <c r="EF59" i="4"/>
  <c r="EG59" i="4"/>
  <c r="EH59" i="4"/>
  <c r="EI59" i="4"/>
  <c r="EJ59" i="4"/>
  <c r="EK59" i="4"/>
  <c r="EL59" i="4"/>
  <c r="EM59" i="4"/>
  <c r="EN59" i="4"/>
  <c r="EO59" i="4"/>
  <c r="EP59" i="4"/>
  <c r="EQ59" i="4"/>
  <c r="ER59" i="4"/>
  <c r="ES59" i="4"/>
  <c r="ET59" i="4"/>
  <c r="EU59" i="4"/>
  <c r="EV59" i="4"/>
  <c r="EW59" i="4"/>
  <c r="EX59" i="4"/>
  <c r="EY59" i="4"/>
  <c r="EZ59" i="4"/>
  <c r="FA59" i="4"/>
  <c r="FB59" i="4"/>
  <c r="FC59" i="4"/>
  <c r="FD59" i="4"/>
  <c r="FE59" i="4"/>
  <c r="FF59" i="4"/>
  <c r="FG59" i="4"/>
  <c r="FH59" i="4"/>
  <c r="FI59" i="4"/>
  <c r="FJ59" i="4"/>
  <c r="FK59" i="4"/>
  <c r="FL59" i="4"/>
  <c r="FM59" i="4"/>
  <c r="FN59" i="4"/>
  <c r="FO59" i="4"/>
  <c r="FP59" i="4"/>
  <c r="FQ59" i="4"/>
  <c r="FR59" i="4"/>
  <c r="FS59" i="4"/>
  <c r="FT59" i="4"/>
  <c r="FU59" i="4"/>
  <c r="FV59" i="4"/>
  <c r="FW59" i="4"/>
  <c r="FX59" i="4"/>
  <c r="FY59" i="4"/>
  <c r="FZ59" i="4"/>
  <c r="GA59" i="4"/>
  <c r="GB59" i="4"/>
  <c r="GC59" i="4"/>
  <c r="GD59" i="4"/>
  <c r="GE59" i="4"/>
  <c r="GF59" i="4"/>
  <c r="GG59" i="4"/>
  <c r="GH59" i="4"/>
  <c r="GI59" i="4"/>
  <c r="GJ59" i="4"/>
  <c r="GK59" i="4"/>
  <c r="GL59" i="4"/>
  <c r="GM59" i="4"/>
  <c r="GN59" i="4"/>
  <c r="GO59" i="4"/>
  <c r="GP59" i="4"/>
  <c r="GQ59" i="4"/>
  <c r="GR59" i="4"/>
  <c r="GS59" i="4"/>
  <c r="GT59" i="4"/>
  <c r="GU59" i="4"/>
  <c r="GV59" i="4"/>
  <c r="GW59" i="4"/>
  <c r="GX59" i="4"/>
  <c r="GY59" i="4"/>
  <c r="GZ59" i="4"/>
  <c r="HA59" i="4"/>
  <c r="HB59" i="4"/>
  <c r="HC59" i="4"/>
  <c r="HD59" i="4"/>
  <c r="HE59" i="4"/>
  <c r="HF59" i="4"/>
  <c r="HG59" i="4"/>
  <c r="HH59" i="4"/>
  <c r="HI59" i="4"/>
  <c r="HJ59" i="4"/>
  <c r="HK59" i="4"/>
  <c r="HL59" i="4"/>
  <c r="HM59" i="4"/>
  <c r="HN59" i="4"/>
  <c r="HO59" i="4"/>
  <c r="HP59" i="4"/>
  <c r="HQ59" i="4"/>
  <c r="HR59" i="4"/>
  <c r="HS59" i="4"/>
  <c r="HT59" i="4"/>
  <c r="HU59" i="4"/>
  <c r="HV59" i="4"/>
  <c r="HW59" i="4"/>
  <c r="HX59" i="4"/>
  <c r="HY59" i="4"/>
  <c r="HZ59" i="4"/>
  <c r="IA59" i="4"/>
  <c r="IB59" i="4"/>
  <c r="IC59" i="4"/>
  <c r="ID59" i="4"/>
  <c r="IE59" i="4"/>
  <c r="IF59" i="4"/>
  <c r="IG59" i="4"/>
  <c r="IH59" i="4"/>
  <c r="II59" i="4"/>
  <c r="IJ59" i="4"/>
  <c r="IK59" i="4"/>
  <c r="IL59" i="4"/>
  <c r="IM59" i="4"/>
  <c r="IN59" i="4"/>
  <c r="IO59" i="4"/>
  <c r="IP59" i="4"/>
  <c r="IQ59" i="4"/>
  <c r="IR59" i="4"/>
  <c r="IS59" i="4"/>
  <c r="IT59" i="4"/>
  <c r="IU59" i="4"/>
  <c r="IV59" i="4"/>
  <c r="A58" i="4"/>
  <c r="B58" i="4"/>
  <c r="C58" i="4"/>
  <c r="D58"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I58" i="4"/>
  <c r="AJ58" i="4"/>
  <c r="AK58" i="4"/>
  <c r="AL58" i="4"/>
  <c r="AM58" i="4"/>
  <c r="AN58" i="4"/>
  <c r="AO58" i="4"/>
  <c r="AP58" i="4"/>
  <c r="AQ58" i="4"/>
  <c r="AR58" i="4"/>
  <c r="AS58" i="4"/>
  <c r="AT58" i="4"/>
  <c r="AU58" i="4"/>
  <c r="AV58" i="4"/>
  <c r="AW58" i="4"/>
  <c r="AX58" i="4"/>
  <c r="AY58" i="4"/>
  <c r="AZ58" i="4"/>
  <c r="BA58" i="4"/>
  <c r="BB58" i="4"/>
  <c r="BC58" i="4"/>
  <c r="BD58" i="4"/>
  <c r="BE58" i="4"/>
  <c r="BF58" i="4"/>
  <c r="BG58" i="4"/>
  <c r="BH58" i="4"/>
  <c r="BI58" i="4"/>
  <c r="BJ58" i="4"/>
  <c r="BK58" i="4"/>
  <c r="BL58" i="4"/>
  <c r="BM58" i="4"/>
  <c r="BN58" i="4"/>
  <c r="BO58" i="4"/>
  <c r="BP58" i="4"/>
  <c r="BQ58" i="4"/>
  <c r="BR58" i="4"/>
  <c r="BS58" i="4"/>
  <c r="BT58" i="4"/>
  <c r="BU58" i="4"/>
  <c r="BV58" i="4"/>
  <c r="BW58" i="4"/>
  <c r="BX58" i="4"/>
  <c r="BY58" i="4"/>
  <c r="BZ58" i="4"/>
  <c r="CA58" i="4"/>
  <c r="CB58" i="4"/>
  <c r="CC58" i="4"/>
  <c r="CD58" i="4"/>
  <c r="CE58" i="4"/>
  <c r="CF58" i="4"/>
  <c r="CG58" i="4"/>
  <c r="CH58" i="4"/>
  <c r="CI58" i="4"/>
  <c r="CJ58" i="4"/>
  <c r="CK58" i="4"/>
  <c r="CL58" i="4"/>
  <c r="CM58" i="4"/>
  <c r="CN58" i="4"/>
  <c r="CO58" i="4"/>
  <c r="CP58" i="4"/>
  <c r="CQ58" i="4"/>
  <c r="CR58" i="4"/>
  <c r="CS58" i="4"/>
  <c r="CT58" i="4"/>
  <c r="CU58" i="4"/>
  <c r="CV58" i="4"/>
  <c r="CW58" i="4"/>
  <c r="CX58" i="4"/>
  <c r="CY58" i="4"/>
  <c r="CZ58" i="4"/>
  <c r="DA58" i="4"/>
  <c r="DB58" i="4"/>
  <c r="DC58" i="4"/>
  <c r="DD58" i="4"/>
  <c r="DE58" i="4"/>
  <c r="DF58" i="4"/>
  <c r="DG58" i="4"/>
  <c r="DH58" i="4"/>
  <c r="DI58" i="4"/>
  <c r="DJ58" i="4"/>
  <c r="DK58" i="4"/>
  <c r="DL58" i="4"/>
  <c r="DM58" i="4"/>
  <c r="DN58" i="4"/>
  <c r="DO58" i="4"/>
  <c r="DP58" i="4"/>
  <c r="DQ58" i="4"/>
  <c r="DR58" i="4"/>
  <c r="DS58" i="4"/>
  <c r="DT58" i="4"/>
  <c r="DU58" i="4"/>
  <c r="DV58" i="4"/>
  <c r="DW58" i="4"/>
  <c r="DX58" i="4"/>
  <c r="DY58" i="4"/>
  <c r="DZ58" i="4"/>
  <c r="EA58" i="4"/>
  <c r="EB58" i="4"/>
  <c r="EC58" i="4"/>
  <c r="ED58" i="4"/>
  <c r="EE58" i="4"/>
  <c r="EF58" i="4"/>
  <c r="EG58" i="4"/>
  <c r="EH58" i="4"/>
  <c r="EI58" i="4"/>
  <c r="EJ58" i="4"/>
  <c r="EK58" i="4"/>
  <c r="EL58" i="4"/>
  <c r="EM58" i="4"/>
  <c r="EN58" i="4"/>
  <c r="EO58" i="4"/>
  <c r="EP58" i="4"/>
  <c r="EQ58" i="4"/>
  <c r="ER58" i="4"/>
  <c r="ES58" i="4"/>
  <c r="ET58" i="4"/>
  <c r="EU58" i="4"/>
  <c r="EV58" i="4"/>
  <c r="EW58" i="4"/>
  <c r="EX58" i="4"/>
  <c r="EY58" i="4"/>
  <c r="EZ58" i="4"/>
  <c r="FA58" i="4"/>
  <c r="FB58" i="4"/>
  <c r="FC58" i="4"/>
  <c r="FD58" i="4"/>
  <c r="FE58" i="4"/>
  <c r="FF58" i="4"/>
  <c r="FG58" i="4"/>
  <c r="FH58" i="4"/>
  <c r="FI58" i="4"/>
  <c r="FJ58" i="4"/>
  <c r="FK58" i="4"/>
  <c r="FL58" i="4"/>
  <c r="FM58" i="4"/>
  <c r="FN58" i="4"/>
  <c r="FO58" i="4"/>
  <c r="FP58" i="4"/>
  <c r="FQ58" i="4"/>
  <c r="FR58" i="4"/>
  <c r="FS58" i="4"/>
  <c r="FT58" i="4"/>
  <c r="FU58" i="4"/>
  <c r="FV58" i="4"/>
  <c r="FW58" i="4"/>
  <c r="FX58" i="4"/>
  <c r="FY58" i="4"/>
  <c r="FZ58" i="4"/>
  <c r="GA58" i="4"/>
  <c r="GB58" i="4"/>
  <c r="GC58" i="4"/>
  <c r="GD58" i="4"/>
  <c r="GE58" i="4"/>
  <c r="GF58" i="4"/>
  <c r="GG58" i="4"/>
  <c r="GH58" i="4"/>
  <c r="GI58" i="4"/>
  <c r="GJ58" i="4"/>
  <c r="GK58" i="4"/>
  <c r="GL58" i="4"/>
  <c r="GM58" i="4"/>
  <c r="GN58" i="4"/>
  <c r="GO58" i="4"/>
  <c r="GP58" i="4"/>
  <c r="GQ58" i="4"/>
  <c r="GR58" i="4"/>
  <c r="GS58" i="4"/>
  <c r="GT58" i="4"/>
  <c r="GU58" i="4"/>
  <c r="GV58" i="4"/>
  <c r="GW58" i="4"/>
  <c r="GX58" i="4"/>
  <c r="GY58" i="4"/>
  <c r="GZ58" i="4"/>
  <c r="HA58" i="4"/>
  <c r="HB58" i="4"/>
  <c r="HC58" i="4"/>
  <c r="HD58" i="4"/>
  <c r="HE58" i="4"/>
  <c r="HF58" i="4"/>
  <c r="HG58" i="4"/>
  <c r="HH58" i="4"/>
  <c r="HI58" i="4"/>
  <c r="HJ58" i="4"/>
  <c r="HK58" i="4"/>
  <c r="HL58" i="4"/>
  <c r="HM58" i="4"/>
  <c r="HN58" i="4"/>
  <c r="HO58" i="4"/>
  <c r="HP58" i="4"/>
  <c r="HQ58" i="4"/>
  <c r="HR58" i="4"/>
  <c r="HS58" i="4"/>
  <c r="HT58" i="4"/>
  <c r="HU58" i="4"/>
  <c r="HV58" i="4"/>
  <c r="HW58" i="4"/>
  <c r="HX58" i="4"/>
  <c r="HY58" i="4"/>
  <c r="HZ58" i="4"/>
  <c r="IA58" i="4"/>
  <c r="IB58" i="4"/>
  <c r="IC58" i="4"/>
  <c r="ID58" i="4"/>
  <c r="IE58" i="4"/>
  <c r="IF58" i="4"/>
  <c r="IG58" i="4"/>
  <c r="IH58" i="4"/>
  <c r="II58" i="4"/>
  <c r="IJ58" i="4"/>
  <c r="IK58" i="4"/>
  <c r="IL58" i="4"/>
  <c r="IM58" i="4"/>
  <c r="IN58" i="4"/>
  <c r="IO58" i="4"/>
  <c r="IP58" i="4"/>
  <c r="IQ58" i="4"/>
  <c r="IR58" i="4"/>
  <c r="IS58" i="4"/>
  <c r="IT58" i="4"/>
  <c r="IU58" i="4"/>
  <c r="IV58" i="4"/>
  <c r="A57" i="4"/>
  <c r="B57" i="4"/>
  <c r="C57" i="4"/>
  <c r="D57"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J57" i="4"/>
  <c r="AK57" i="4"/>
  <c r="AL57" i="4"/>
  <c r="AM57" i="4"/>
  <c r="AN57" i="4"/>
  <c r="AO57" i="4"/>
  <c r="AP57" i="4"/>
  <c r="AQ57" i="4"/>
  <c r="AR57" i="4"/>
  <c r="AS57" i="4"/>
  <c r="AT57" i="4"/>
  <c r="AU57" i="4"/>
  <c r="AV57" i="4"/>
  <c r="AW57" i="4"/>
  <c r="AX57" i="4"/>
  <c r="AY57" i="4"/>
  <c r="AZ57" i="4"/>
  <c r="BA57" i="4"/>
  <c r="BB57" i="4"/>
  <c r="BC57" i="4"/>
  <c r="BD57" i="4"/>
  <c r="BE57" i="4"/>
  <c r="BF57" i="4"/>
  <c r="BG57" i="4"/>
  <c r="BH57" i="4"/>
  <c r="BI57" i="4"/>
  <c r="BJ57" i="4"/>
  <c r="BK57" i="4"/>
  <c r="BL57" i="4"/>
  <c r="BM57" i="4"/>
  <c r="BN57" i="4"/>
  <c r="BO57" i="4"/>
  <c r="BP57" i="4"/>
  <c r="BQ57" i="4"/>
  <c r="BR57" i="4"/>
  <c r="BS57" i="4"/>
  <c r="BT57" i="4"/>
  <c r="BU57" i="4"/>
  <c r="BV57" i="4"/>
  <c r="BW57" i="4"/>
  <c r="BX57" i="4"/>
  <c r="BY57" i="4"/>
  <c r="BZ57" i="4"/>
  <c r="CA57" i="4"/>
  <c r="CB57" i="4"/>
  <c r="CC57" i="4"/>
  <c r="CD57" i="4"/>
  <c r="CE57" i="4"/>
  <c r="CF57" i="4"/>
  <c r="CG57" i="4"/>
  <c r="CH57" i="4"/>
  <c r="CI57" i="4"/>
  <c r="CJ57" i="4"/>
  <c r="CK57" i="4"/>
  <c r="CL57" i="4"/>
  <c r="CM57" i="4"/>
  <c r="CN57" i="4"/>
  <c r="CO57" i="4"/>
  <c r="CP57" i="4"/>
  <c r="CQ57" i="4"/>
  <c r="CR57" i="4"/>
  <c r="CS57" i="4"/>
  <c r="CT57" i="4"/>
  <c r="CU57" i="4"/>
  <c r="CV57" i="4"/>
  <c r="CW57" i="4"/>
  <c r="CX57" i="4"/>
  <c r="CY57" i="4"/>
  <c r="CZ57" i="4"/>
  <c r="DA57" i="4"/>
  <c r="DB57" i="4"/>
  <c r="DC57" i="4"/>
  <c r="DD57" i="4"/>
  <c r="DE57" i="4"/>
  <c r="DF57" i="4"/>
  <c r="DG57" i="4"/>
  <c r="DH57" i="4"/>
  <c r="DI57" i="4"/>
  <c r="DJ57" i="4"/>
  <c r="DK57" i="4"/>
  <c r="DL57" i="4"/>
  <c r="DM57" i="4"/>
  <c r="DN57" i="4"/>
  <c r="DO57" i="4"/>
  <c r="DP57" i="4"/>
  <c r="DQ57" i="4"/>
  <c r="DR57" i="4"/>
  <c r="DS57" i="4"/>
  <c r="DT57" i="4"/>
  <c r="DU57" i="4"/>
  <c r="DV57" i="4"/>
  <c r="DW57" i="4"/>
  <c r="DX57" i="4"/>
  <c r="DY57" i="4"/>
  <c r="DZ57" i="4"/>
  <c r="EA57" i="4"/>
  <c r="EB57" i="4"/>
  <c r="EC57" i="4"/>
  <c r="ED57" i="4"/>
  <c r="EE57" i="4"/>
  <c r="EF57" i="4"/>
  <c r="EG57" i="4"/>
  <c r="EH57" i="4"/>
  <c r="EI57" i="4"/>
  <c r="EJ57" i="4"/>
  <c r="EK57" i="4"/>
  <c r="EL57" i="4"/>
  <c r="EM57" i="4"/>
  <c r="EN57" i="4"/>
  <c r="EO57" i="4"/>
  <c r="EP57" i="4"/>
  <c r="EQ57" i="4"/>
  <c r="ER57" i="4"/>
  <c r="ES57" i="4"/>
  <c r="ET57" i="4"/>
  <c r="EU57" i="4"/>
  <c r="EV57" i="4"/>
  <c r="EW57" i="4"/>
  <c r="EX57" i="4"/>
  <c r="EY57" i="4"/>
  <c r="EZ57" i="4"/>
  <c r="FA57" i="4"/>
  <c r="FB57" i="4"/>
  <c r="FC57" i="4"/>
  <c r="FD57" i="4"/>
  <c r="FE57" i="4"/>
  <c r="FF57" i="4"/>
  <c r="FG57" i="4"/>
  <c r="FH57" i="4"/>
  <c r="FI57" i="4"/>
  <c r="FJ57" i="4"/>
  <c r="FK57" i="4"/>
  <c r="FL57" i="4"/>
  <c r="FM57" i="4"/>
  <c r="FN57" i="4"/>
  <c r="FO57" i="4"/>
  <c r="FP57" i="4"/>
  <c r="FQ57" i="4"/>
  <c r="FR57" i="4"/>
  <c r="FS57" i="4"/>
  <c r="FT57" i="4"/>
  <c r="FU57" i="4"/>
  <c r="FV57" i="4"/>
  <c r="FW57" i="4"/>
  <c r="FX57" i="4"/>
  <c r="FY57" i="4"/>
  <c r="FZ57" i="4"/>
  <c r="GA57" i="4"/>
  <c r="GB57" i="4"/>
  <c r="GC57" i="4"/>
  <c r="GD57" i="4"/>
  <c r="GE57" i="4"/>
  <c r="GF57" i="4"/>
  <c r="GG57" i="4"/>
  <c r="GH57" i="4"/>
  <c r="GI57" i="4"/>
  <c r="GJ57" i="4"/>
  <c r="GK57" i="4"/>
  <c r="GL57" i="4"/>
  <c r="GM57" i="4"/>
  <c r="GN57" i="4"/>
  <c r="GO57" i="4"/>
  <c r="GP57" i="4"/>
  <c r="GQ57" i="4"/>
  <c r="GR57" i="4"/>
  <c r="GS57" i="4"/>
  <c r="GT57" i="4"/>
  <c r="GU57" i="4"/>
  <c r="GV57" i="4"/>
  <c r="GW57" i="4"/>
  <c r="GX57" i="4"/>
  <c r="GY57" i="4"/>
  <c r="GZ57" i="4"/>
  <c r="HA57" i="4"/>
  <c r="HB57" i="4"/>
  <c r="HC57" i="4"/>
  <c r="HD57" i="4"/>
  <c r="HE57" i="4"/>
  <c r="HF57" i="4"/>
  <c r="HG57" i="4"/>
  <c r="HH57" i="4"/>
  <c r="HI57" i="4"/>
  <c r="HJ57" i="4"/>
  <c r="HK57" i="4"/>
  <c r="HL57" i="4"/>
  <c r="HM57" i="4"/>
  <c r="HN57" i="4"/>
  <c r="HO57" i="4"/>
  <c r="HP57" i="4"/>
  <c r="HQ57" i="4"/>
  <c r="HR57" i="4"/>
  <c r="HS57" i="4"/>
  <c r="HT57" i="4"/>
  <c r="HU57" i="4"/>
  <c r="HV57" i="4"/>
  <c r="HW57" i="4"/>
  <c r="HX57" i="4"/>
  <c r="HY57" i="4"/>
  <c r="HZ57" i="4"/>
  <c r="IA57" i="4"/>
  <c r="IB57" i="4"/>
  <c r="IC57" i="4"/>
  <c r="ID57" i="4"/>
  <c r="IE57" i="4"/>
  <c r="IF57" i="4"/>
  <c r="IG57" i="4"/>
  <c r="IH57" i="4"/>
  <c r="II57" i="4"/>
  <c r="IJ57" i="4"/>
  <c r="IK57" i="4"/>
  <c r="IL57" i="4"/>
  <c r="IM57" i="4"/>
  <c r="IN57" i="4"/>
  <c r="IO57" i="4"/>
  <c r="IP57" i="4"/>
  <c r="IQ57" i="4"/>
  <c r="IR57" i="4"/>
  <c r="IS57" i="4"/>
  <c r="IT57" i="4"/>
  <c r="IU57" i="4"/>
  <c r="IV57" i="4"/>
  <c r="A56" i="4"/>
  <c r="B56" i="4"/>
  <c r="C56" i="4"/>
  <c r="D56" i="4"/>
  <c r="E56"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K56" i="4"/>
  <c r="AL56" i="4"/>
  <c r="AM56" i="4"/>
  <c r="AN56" i="4"/>
  <c r="AO56" i="4"/>
  <c r="AP56" i="4"/>
  <c r="AQ56" i="4"/>
  <c r="AR56" i="4"/>
  <c r="AS56" i="4"/>
  <c r="AT56" i="4"/>
  <c r="AU56" i="4"/>
  <c r="AV56" i="4"/>
  <c r="AW56" i="4"/>
  <c r="AX56" i="4"/>
  <c r="AY56" i="4"/>
  <c r="AZ56" i="4"/>
  <c r="BA56" i="4"/>
  <c r="BB56" i="4"/>
  <c r="BC56" i="4"/>
  <c r="BD56" i="4"/>
  <c r="BE56" i="4"/>
  <c r="BF56" i="4"/>
  <c r="BG56" i="4"/>
  <c r="BH56" i="4"/>
  <c r="BI56" i="4"/>
  <c r="BJ56" i="4"/>
  <c r="BK56" i="4"/>
  <c r="BL56" i="4"/>
  <c r="BM56" i="4"/>
  <c r="BN56" i="4"/>
  <c r="BO56" i="4"/>
  <c r="BP56" i="4"/>
  <c r="BQ56" i="4"/>
  <c r="BR56" i="4"/>
  <c r="BS56" i="4"/>
  <c r="BT56" i="4"/>
  <c r="BU56" i="4"/>
  <c r="BV56" i="4"/>
  <c r="BW56" i="4"/>
  <c r="BX56" i="4"/>
  <c r="BY56" i="4"/>
  <c r="BZ56" i="4"/>
  <c r="CA56" i="4"/>
  <c r="CB56" i="4"/>
  <c r="CC56" i="4"/>
  <c r="CD56" i="4"/>
  <c r="CE56" i="4"/>
  <c r="CF56" i="4"/>
  <c r="CG56" i="4"/>
  <c r="CH56" i="4"/>
  <c r="CI56" i="4"/>
  <c r="CJ56" i="4"/>
  <c r="CK56" i="4"/>
  <c r="CL56" i="4"/>
  <c r="CM56" i="4"/>
  <c r="CN56" i="4"/>
  <c r="CO56" i="4"/>
  <c r="CP56" i="4"/>
  <c r="CQ56" i="4"/>
  <c r="CR56" i="4"/>
  <c r="CS56" i="4"/>
  <c r="CT56" i="4"/>
  <c r="CU56" i="4"/>
  <c r="CV56" i="4"/>
  <c r="CW56" i="4"/>
  <c r="CX56" i="4"/>
  <c r="CY56" i="4"/>
  <c r="CZ56" i="4"/>
  <c r="DA56" i="4"/>
  <c r="DB56" i="4"/>
  <c r="DC56" i="4"/>
  <c r="DD56" i="4"/>
  <c r="DE56" i="4"/>
  <c r="DF56" i="4"/>
  <c r="DG56" i="4"/>
  <c r="DH56" i="4"/>
  <c r="DI56" i="4"/>
  <c r="DJ56" i="4"/>
  <c r="DK56" i="4"/>
  <c r="DL56" i="4"/>
  <c r="DM56" i="4"/>
  <c r="DN56" i="4"/>
  <c r="DO56" i="4"/>
  <c r="DP56" i="4"/>
  <c r="DQ56" i="4"/>
  <c r="DR56" i="4"/>
  <c r="DS56" i="4"/>
  <c r="DT56" i="4"/>
  <c r="DU56" i="4"/>
  <c r="DV56" i="4"/>
  <c r="DW56" i="4"/>
  <c r="DX56" i="4"/>
  <c r="DY56" i="4"/>
  <c r="DZ56" i="4"/>
  <c r="EA56" i="4"/>
  <c r="EB56" i="4"/>
  <c r="EC56" i="4"/>
  <c r="ED56" i="4"/>
  <c r="EE56" i="4"/>
  <c r="EF56" i="4"/>
  <c r="EG56" i="4"/>
  <c r="EH56" i="4"/>
  <c r="EI56" i="4"/>
  <c r="EJ56" i="4"/>
  <c r="EK56" i="4"/>
  <c r="EL56" i="4"/>
  <c r="EM56" i="4"/>
  <c r="EN56" i="4"/>
  <c r="EO56" i="4"/>
  <c r="EP56" i="4"/>
  <c r="EQ56" i="4"/>
  <c r="ER56" i="4"/>
  <c r="ES56" i="4"/>
  <c r="ET56" i="4"/>
  <c r="EU56" i="4"/>
  <c r="EV56" i="4"/>
  <c r="EW56" i="4"/>
  <c r="EX56" i="4"/>
  <c r="EY56" i="4"/>
  <c r="EZ56" i="4"/>
  <c r="FA56" i="4"/>
  <c r="FB56" i="4"/>
  <c r="FC56" i="4"/>
  <c r="FD56" i="4"/>
  <c r="FE56" i="4"/>
  <c r="FF56" i="4"/>
  <c r="FG56" i="4"/>
  <c r="FH56" i="4"/>
  <c r="FI56" i="4"/>
  <c r="FJ56" i="4"/>
  <c r="FK56" i="4"/>
  <c r="FL56" i="4"/>
  <c r="FM56" i="4"/>
  <c r="FN56" i="4"/>
  <c r="FO56" i="4"/>
  <c r="FP56" i="4"/>
  <c r="FQ56" i="4"/>
  <c r="FR56" i="4"/>
  <c r="FS56" i="4"/>
  <c r="FT56" i="4"/>
  <c r="FU56" i="4"/>
  <c r="FV56" i="4"/>
  <c r="FW56" i="4"/>
  <c r="FX56" i="4"/>
  <c r="FY56" i="4"/>
  <c r="FZ56" i="4"/>
  <c r="GA56" i="4"/>
  <c r="GB56" i="4"/>
  <c r="GC56" i="4"/>
  <c r="GD56" i="4"/>
  <c r="GE56" i="4"/>
  <c r="GF56" i="4"/>
  <c r="GG56" i="4"/>
  <c r="GH56" i="4"/>
  <c r="GI56" i="4"/>
  <c r="GJ56" i="4"/>
  <c r="GK56" i="4"/>
  <c r="GL56" i="4"/>
  <c r="GM56" i="4"/>
  <c r="GN56" i="4"/>
  <c r="GO56" i="4"/>
  <c r="GP56" i="4"/>
  <c r="GQ56" i="4"/>
  <c r="GR56" i="4"/>
  <c r="GS56" i="4"/>
  <c r="GT56" i="4"/>
  <c r="GU56" i="4"/>
  <c r="GV56" i="4"/>
  <c r="GW56" i="4"/>
  <c r="GX56" i="4"/>
  <c r="GY56" i="4"/>
  <c r="GZ56" i="4"/>
  <c r="HA56" i="4"/>
  <c r="HB56" i="4"/>
  <c r="HC56" i="4"/>
  <c r="HD56" i="4"/>
  <c r="HE56" i="4"/>
  <c r="HF56" i="4"/>
  <c r="HG56" i="4"/>
  <c r="HH56" i="4"/>
  <c r="HI56" i="4"/>
  <c r="HJ56" i="4"/>
  <c r="HK56" i="4"/>
  <c r="HL56" i="4"/>
  <c r="HM56" i="4"/>
  <c r="HN56" i="4"/>
  <c r="HO56" i="4"/>
  <c r="HP56" i="4"/>
  <c r="HQ56" i="4"/>
  <c r="HR56" i="4"/>
  <c r="HS56" i="4"/>
  <c r="HT56" i="4"/>
  <c r="HU56" i="4"/>
  <c r="HV56" i="4"/>
  <c r="HW56" i="4"/>
  <c r="HX56" i="4"/>
  <c r="HY56" i="4"/>
  <c r="HZ56" i="4"/>
  <c r="IA56" i="4"/>
  <c r="IB56" i="4"/>
  <c r="IC56" i="4"/>
  <c r="ID56" i="4"/>
  <c r="IE56" i="4"/>
  <c r="IF56" i="4"/>
  <c r="IG56" i="4"/>
  <c r="IH56" i="4"/>
  <c r="II56" i="4"/>
  <c r="IJ56" i="4"/>
  <c r="IK56" i="4"/>
  <c r="IL56" i="4"/>
  <c r="IM56" i="4"/>
  <c r="IN56" i="4"/>
  <c r="IO56" i="4"/>
  <c r="IP56" i="4"/>
  <c r="IQ56" i="4"/>
  <c r="IR56" i="4"/>
  <c r="IS56" i="4"/>
  <c r="IT56" i="4"/>
  <c r="IU56" i="4"/>
  <c r="IV56" i="4"/>
  <c r="A55" i="4"/>
  <c r="B55" i="4"/>
  <c r="C55" i="4"/>
  <c r="D55" i="4"/>
  <c r="E55" i="4"/>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AH55" i="4"/>
  <c r="AI55" i="4"/>
  <c r="AJ55" i="4"/>
  <c r="AL55" i="4"/>
  <c r="AM55" i="4"/>
  <c r="AN55" i="4"/>
  <c r="AO55" i="4"/>
  <c r="AP55" i="4"/>
  <c r="AQ55" i="4"/>
  <c r="AR55" i="4"/>
  <c r="AS55" i="4"/>
  <c r="AT55" i="4"/>
  <c r="AU55" i="4"/>
  <c r="AV55" i="4"/>
  <c r="AW55" i="4"/>
  <c r="AX55" i="4"/>
  <c r="AY55" i="4"/>
  <c r="AZ55" i="4"/>
  <c r="BA55" i="4"/>
  <c r="BB55" i="4"/>
  <c r="BC55" i="4"/>
  <c r="BD55" i="4"/>
  <c r="BE55" i="4"/>
  <c r="BF55" i="4"/>
  <c r="BG55" i="4"/>
  <c r="BH55" i="4"/>
  <c r="BI55" i="4"/>
  <c r="BJ55" i="4"/>
  <c r="BK55" i="4"/>
  <c r="BL55" i="4"/>
  <c r="BM55" i="4"/>
  <c r="BN55" i="4"/>
  <c r="BO55" i="4"/>
  <c r="BP55" i="4"/>
  <c r="BQ55" i="4"/>
  <c r="BR55" i="4"/>
  <c r="BS55" i="4"/>
  <c r="BT55" i="4"/>
  <c r="BU55" i="4"/>
  <c r="BV55" i="4"/>
  <c r="BW55" i="4"/>
  <c r="BX55" i="4"/>
  <c r="BY55" i="4"/>
  <c r="BZ55" i="4"/>
  <c r="CA55" i="4"/>
  <c r="CB55" i="4"/>
  <c r="CC55" i="4"/>
  <c r="CD55" i="4"/>
  <c r="CE55" i="4"/>
  <c r="CF55" i="4"/>
  <c r="CG55" i="4"/>
  <c r="CH55" i="4"/>
  <c r="CI55" i="4"/>
  <c r="CJ55" i="4"/>
  <c r="CK55" i="4"/>
  <c r="CL55" i="4"/>
  <c r="CM55" i="4"/>
  <c r="CN55" i="4"/>
  <c r="CO55" i="4"/>
  <c r="CP55" i="4"/>
  <c r="CQ55" i="4"/>
  <c r="CR55" i="4"/>
  <c r="CS55" i="4"/>
  <c r="CT55" i="4"/>
  <c r="CU55" i="4"/>
  <c r="CV55" i="4"/>
  <c r="CW55" i="4"/>
  <c r="CX55" i="4"/>
  <c r="CY55" i="4"/>
  <c r="CZ55" i="4"/>
  <c r="DA55" i="4"/>
  <c r="DB55" i="4"/>
  <c r="DC55" i="4"/>
  <c r="DD55" i="4"/>
  <c r="DE55" i="4"/>
  <c r="DF55" i="4"/>
  <c r="DG55" i="4"/>
  <c r="DH55" i="4"/>
  <c r="DI55" i="4"/>
  <c r="DJ55" i="4"/>
  <c r="DK55" i="4"/>
  <c r="DL55" i="4"/>
  <c r="DM55" i="4"/>
  <c r="DN55" i="4"/>
  <c r="DO55" i="4"/>
  <c r="DP55" i="4"/>
  <c r="DQ55" i="4"/>
  <c r="DR55" i="4"/>
  <c r="DS55" i="4"/>
  <c r="DT55" i="4"/>
  <c r="DU55" i="4"/>
  <c r="DV55" i="4"/>
  <c r="DW55" i="4"/>
  <c r="DX55" i="4"/>
  <c r="DY55" i="4"/>
  <c r="DZ55" i="4"/>
  <c r="EA55" i="4"/>
  <c r="EB55" i="4"/>
  <c r="EC55" i="4"/>
  <c r="ED55" i="4"/>
  <c r="EE55" i="4"/>
  <c r="EF55" i="4"/>
  <c r="EG55" i="4"/>
  <c r="EH55" i="4"/>
  <c r="EI55" i="4"/>
  <c r="EJ55" i="4"/>
  <c r="EK55" i="4"/>
  <c r="EL55" i="4"/>
  <c r="EM55" i="4"/>
  <c r="EN55" i="4"/>
  <c r="EO55" i="4"/>
  <c r="EP55" i="4"/>
  <c r="EQ55" i="4"/>
  <c r="ER55" i="4"/>
  <c r="ES55" i="4"/>
  <c r="ET55" i="4"/>
  <c r="EU55" i="4"/>
  <c r="EV55" i="4"/>
  <c r="EW55" i="4"/>
  <c r="EX55" i="4"/>
  <c r="EY55" i="4"/>
  <c r="EZ55" i="4"/>
  <c r="FA55" i="4"/>
  <c r="FB55" i="4"/>
  <c r="FC55" i="4"/>
  <c r="FD55" i="4"/>
  <c r="FE55" i="4"/>
  <c r="FF55" i="4"/>
  <c r="FG55" i="4"/>
  <c r="FH55" i="4"/>
  <c r="FI55" i="4"/>
  <c r="FJ55" i="4"/>
  <c r="FK55" i="4"/>
  <c r="FL55" i="4"/>
  <c r="FM55" i="4"/>
  <c r="FN55" i="4"/>
  <c r="FO55" i="4"/>
  <c r="FP55" i="4"/>
  <c r="FQ55" i="4"/>
  <c r="FR55" i="4"/>
  <c r="FS55" i="4"/>
  <c r="FT55" i="4"/>
  <c r="FU55" i="4"/>
  <c r="FV55" i="4"/>
  <c r="FW55" i="4"/>
  <c r="FX55" i="4"/>
  <c r="FY55" i="4"/>
  <c r="FZ55" i="4"/>
  <c r="GA55" i="4"/>
  <c r="GB55" i="4"/>
  <c r="GC55" i="4"/>
  <c r="GD55" i="4"/>
  <c r="GE55" i="4"/>
  <c r="GF55" i="4"/>
  <c r="GG55" i="4"/>
  <c r="GH55" i="4"/>
  <c r="GI55" i="4"/>
  <c r="GJ55" i="4"/>
  <c r="GK55" i="4"/>
  <c r="GL55" i="4"/>
  <c r="GM55" i="4"/>
  <c r="GN55" i="4"/>
  <c r="GO55" i="4"/>
  <c r="GP55" i="4"/>
  <c r="GQ55" i="4"/>
  <c r="GR55" i="4"/>
  <c r="GS55" i="4"/>
  <c r="GT55" i="4"/>
  <c r="GU55" i="4"/>
  <c r="GV55" i="4"/>
  <c r="GW55" i="4"/>
  <c r="GX55" i="4"/>
  <c r="GY55" i="4"/>
  <c r="GZ55" i="4"/>
  <c r="HA55" i="4"/>
  <c r="HB55" i="4"/>
  <c r="HC55" i="4"/>
  <c r="HD55" i="4"/>
  <c r="HE55" i="4"/>
  <c r="HF55" i="4"/>
  <c r="HG55" i="4"/>
  <c r="HH55" i="4"/>
  <c r="HI55" i="4"/>
  <c r="HJ55" i="4"/>
  <c r="HK55" i="4"/>
  <c r="HL55" i="4"/>
  <c r="HM55" i="4"/>
  <c r="HN55" i="4"/>
  <c r="HO55" i="4"/>
  <c r="HP55" i="4"/>
  <c r="HQ55" i="4"/>
  <c r="HR55" i="4"/>
  <c r="HS55" i="4"/>
  <c r="HT55" i="4"/>
  <c r="HU55" i="4"/>
  <c r="HV55" i="4"/>
  <c r="HW55" i="4"/>
  <c r="HX55" i="4"/>
  <c r="HY55" i="4"/>
  <c r="HZ55" i="4"/>
  <c r="IA55" i="4"/>
  <c r="IB55" i="4"/>
  <c r="IC55" i="4"/>
  <c r="ID55" i="4"/>
  <c r="IE55" i="4"/>
  <c r="IF55" i="4"/>
  <c r="IG55" i="4"/>
  <c r="IH55" i="4"/>
  <c r="II55" i="4"/>
  <c r="IJ55" i="4"/>
  <c r="IK55" i="4"/>
  <c r="IL55" i="4"/>
  <c r="IM55" i="4"/>
  <c r="IN55" i="4"/>
  <c r="IO55" i="4"/>
  <c r="IP55" i="4"/>
  <c r="IQ55" i="4"/>
  <c r="IR55" i="4"/>
  <c r="IS55" i="4"/>
  <c r="IT55" i="4"/>
  <c r="IU55" i="4"/>
  <c r="IV55" i="4"/>
  <c r="A54" i="4"/>
  <c r="B54" i="4"/>
  <c r="C54" i="4"/>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M54" i="4"/>
  <c r="AN54" i="4"/>
  <c r="AO54" i="4"/>
  <c r="AP54" i="4"/>
  <c r="AQ54" i="4"/>
  <c r="AR54" i="4"/>
  <c r="AS54" i="4"/>
  <c r="AT54" i="4"/>
  <c r="AU54" i="4"/>
  <c r="AV54" i="4"/>
  <c r="AW54" i="4"/>
  <c r="AX54" i="4"/>
  <c r="AY54" i="4"/>
  <c r="AZ54" i="4"/>
  <c r="BA54" i="4"/>
  <c r="BB54" i="4"/>
  <c r="BC54" i="4"/>
  <c r="BD54" i="4"/>
  <c r="BE54" i="4"/>
  <c r="BF54" i="4"/>
  <c r="BG54" i="4"/>
  <c r="BH54" i="4"/>
  <c r="BI54" i="4"/>
  <c r="BJ54" i="4"/>
  <c r="BK54" i="4"/>
  <c r="BL54" i="4"/>
  <c r="BM54" i="4"/>
  <c r="BN54" i="4"/>
  <c r="BO54" i="4"/>
  <c r="BP54" i="4"/>
  <c r="BQ54" i="4"/>
  <c r="BR54" i="4"/>
  <c r="BS54" i="4"/>
  <c r="BT54" i="4"/>
  <c r="BU54" i="4"/>
  <c r="BV54" i="4"/>
  <c r="BW54" i="4"/>
  <c r="BX54" i="4"/>
  <c r="BY54" i="4"/>
  <c r="BZ54" i="4"/>
  <c r="CA54" i="4"/>
  <c r="CB54" i="4"/>
  <c r="CC54" i="4"/>
  <c r="CD54" i="4"/>
  <c r="CE54" i="4"/>
  <c r="CF54" i="4"/>
  <c r="CG54" i="4"/>
  <c r="CH54" i="4"/>
  <c r="CI54" i="4"/>
  <c r="CJ54" i="4"/>
  <c r="CK54" i="4"/>
  <c r="CL54" i="4"/>
  <c r="CM54" i="4"/>
  <c r="CN54" i="4"/>
  <c r="CO54" i="4"/>
  <c r="CP54" i="4"/>
  <c r="CQ54" i="4"/>
  <c r="CR54" i="4"/>
  <c r="CS54" i="4"/>
  <c r="CT54" i="4"/>
  <c r="CU54" i="4"/>
  <c r="CV54" i="4"/>
  <c r="CW54" i="4"/>
  <c r="CX54" i="4"/>
  <c r="CY54" i="4"/>
  <c r="CZ54" i="4"/>
  <c r="DA54" i="4"/>
  <c r="DB54" i="4"/>
  <c r="DC54" i="4"/>
  <c r="DD54" i="4"/>
  <c r="DE54" i="4"/>
  <c r="DF54" i="4"/>
  <c r="DG54" i="4"/>
  <c r="DH54" i="4"/>
  <c r="DI54" i="4"/>
  <c r="DJ54" i="4"/>
  <c r="DK54" i="4"/>
  <c r="DL54" i="4"/>
  <c r="DM54" i="4"/>
  <c r="DN54" i="4"/>
  <c r="DO54" i="4"/>
  <c r="DP54" i="4"/>
  <c r="DQ54" i="4"/>
  <c r="DR54" i="4"/>
  <c r="DS54" i="4"/>
  <c r="DT54" i="4"/>
  <c r="DU54" i="4"/>
  <c r="DV54" i="4"/>
  <c r="DW54" i="4"/>
  <c r="DX54" i="4"/>
  <c r="DY54" i="4"/>
  <c r="DZ54" i="4"/>
  <c r="EA54" i="4"/>
  <c r="EB54" i="4"/>
  <c r="EC54" i="4"/>
  <c r="ED54" i="4"/>
  <c r="EE54" i="4"/>
  <c r="EF54" i="4"/>
  <c r="EG54" i="4"/>
  <c r="EH54" i="4"/>
  <c r="EI54" i="4"/>
  <c r="EJ54" i="4"/>
  <c r="EK54" i="4"/>
  <c r="EL54" i="4"/>
  <c r="EM54" i="4"/>
  <c r="EN54" i="4"/>
  <c r="EO54" i="4"/>
  <c r="EP54" i="4"/>
  <c r="EQ54" i="4"/>
  <c r="ER54" i="4"/>
  <c r="ES54" i="4"/>
  <c r="ET54" i="4"/>
  <c r="EU54" i="4"/>
  <c r="EV54" i="4"/>
  <c r="EW54" i="4"/>
  <c r="EX54" i="4"/>
  <c r="EY54" i="4"/>
  <c r="EZ54" i="4"/>
  <c r="FA54" i="4"/>
  <c r="FB54" i="4"/>
  <c r="FC54" i="4"/>
  <c r="FD54" i="4"/>
  <c r="FE54" i="4"/>
  <c r="FF54" i="4"/>
  <c r="FG54" i="4"/>
  <c r="FH54" i="4"/>
  <c r="FI54" i="4"/>
  <c r="FJ54" i="4"/>
  <c r="FK54" i="4"/>
  <c r="FL54" i="4"/>
  <c r="FM54" i="4"/>
  <c r="FN54" i="4"/>
  <c r="FO54" i="4"/>
  <c r="FP54" i="4"/>
  <c r="FQ54" i="4"/>
  <c r="FR54" i="4"/>
  <c r="FS54" i="4"/>
  <c r="FT54" i="4"/>
  <c r="FU54" i="4"/>
  <c r="FV54" i="4"/>
  <c r="FW54" i="4"/>
  <c r="FX54" i="4"/>
  <c r="FY54" i="4"/>
  <c r="FZ54" i="4"/>
  <c r="GA54" i="4"/>
  <c r="GB54" i="4"/>
  <c r="GC54" i="4"/>
  <c r="GD54" i="4"/>
  <c r="GE54" i="4"/>
  <c r="GF54" i="4"/>
  <c r="GG54" i="4"/>
  <c r="GH54" i="4"/>
  <c r="GI54" i="4"/>
  <c r="GJ54" i="4"/>
  <c r="GK54" i="4"/>
  <c r="GL54" i="4"/>
  <c r="GM54" i="4"/>
  <c r="GN54" i="4"/>
  <c r="GO54" i="4"/>
  <c r="GP54" i="4"/>
  <c r="GQ54" i="4"/>
  <c r="GR54" i="4"/>
  <c r="GS54" i="4"/>
  <c r="GT54" i="4"/>
  <c r="GU54" i="4"/>
  <c r="GV54" i="4"/>
  <c r="GW54" i="4"/>
  <c r="GX54" i="4"/>
  <c r="GY54" i="4"/>
  <c r="GZ54" i="4"/>
  <c r="HA54" i="4"/>
  <c r="HB54" i="4"/>
  <c r="HC54" i="4"/>
  <c r="HD54" i="4"/>
  <c r="HE54" i="4"/>
  <c r="HF54" i="4"/>
  <c r="HG54" i="4"/>
  <c r="HH54" i="4"/>
  <c r="HI54" i="4"/>
  <c r="HJ54" i="4"/>
  <c r="HK54" i="4"/>
  <c r="HL54" i="4"/>
  <c r="HM54" i="4"/>
  <c r="HN54" i="4"/>
  <c r="HO54" i="4"/>
  <c r="HP54" i="4"/>
  <c r="HQ54" i="4"/>
  <c r="HR54" i="4"/>
  <c r="HS54" i="4"/>
  <c r="HT54" i="4"/>
  <c r="HU54" i="4"/>
  <c r="HV54" i="4"/>
  <c r="HW54" i="4"/>
  <c r="HX54" i="4"/>
  <c r="HY54" i="4"/>
  <c r="HZ54" i="4"/>
  <c r="IA54" i="4"/>
  <c r="IB54" i="4"/>
  <c r="IC54" i="4"/>
  <c r="ID54" i="4"/>
  <c r="IE54" i="4"/>
  <c r="IF54" i="4"/>
  <c r="IG54" i="4"/>
  <c r="IH54" i="4"/>
  <c r="II54" i="4"/>
  <c r="IJ54" i="4"/>
  <c r="IK54" i="4"/>
  <c r="IL54" i="4"/>
  <c r="IM54" i="4"/>
  <c r="IN54" i="4"/>
  <c r="IO54" i="4"/>
  <c r="IP54" i="4"/>
  <c r="IQ54" i="4"/>
  <c r="IR54" i="4"/>
  <c r="IS54" i="4"/>
  <c r="IT54" i="4"/>
  <c r="IU54" i="4"/>
  <c r="IV54" i="4"/>
  <c r="A53" i="4"/>
  <c r="B53" i="4"/>
  <c r="C53" i="4"/>
  <c r="D53" i="4"/>
  <c r="E53"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AI53" i="4"/>
  <c r="AJ53" i="4"/>
  <c r="AK53" i="4"/>
  <c r="AL53" i="4"/>
  <c r="AN53" i="4"/>
  <c r="AO53" i="4"/>
  <c r="AP53" i="4"/>
  <c r="AQ53" i="4"/>
  <c r="AR53" i="4"/>
  <c r="AS53" i="4"/>
  <c r="AT53" i="4"/>
  <c r="AU53" i="4"/>
  <c r="AV53" i="4"/>
  <c r="AW53" i="4"/>
  <c r="AX53" i="4"/>
  <c r="AY53" i="4"/>
  <c r="AZ53" i="4"/>
  <c r="BA53" i="4"/>
  <c r="BB53" i="4"/>
  <c r="BC53" i="4"/>
  <c r="BD53" i="4"/>
  <c r="BE53" i="4"/>
  <c r="BF53" i="4"/>
  <c r="BG53" i="4"/>
  <c r="BH53" i="4"/>
  <c r="BI53" i="4"/>
  <c r="BJ53" i="4"/>
  <c r="BK53" i="4"/>
  <c r="BL53" i="4"/>
  <c r="BM53" i="4"/>
  <c r="BN53" i="4"/>
  <c r="BO53" i="4"/>
  <c r="BP53" i="4"/>
  <c r="BQ53" i="4"/>
  <c r="BR53" i="4"/>
  <c r="BS53" i="4"/>
  <c r="BT53" i="4"/>
  <c r="BU53" i="4"/>
  <c r="BV53" i="4"/>
  <c r="BW53" i="4"/>
  <c r="BX53" i="4"/>
  <c r="BY53" i="4"/>
  <c r="BZ53" i="4"/>
  <c r="CA53" i="4"/>
  <c r="CB53" i="4"/>
  <c r="CC53" i="4"/>
  <c r="CD53" i="4"/>
  <c r="CE53" i="4"/>
  <c r="CF53" i="4"/>
  <c r="CG53" i="4"/>
  <c r="CH53" i="4"/>
  <c r="CI53" i="4"/>
  <c r="CJ53" i="4"/>
  <c r="CK53" i="4"/>
  <c r="CL53" i="4"/>
  <c r="CM53" i="4"/>
  <c r="CN53" i="4"/>
  <c r="CO53" i="4"/>
  <c r="CP53" i="4"/>
  <c r="CQ53" i="4"/>
  <c r="CR53" i="4"/>
  <c r="CS53" i="4"/>
  <c r="CT53" i="4"/>
  <c r="CU53" i="4"/>
  <c r="CV53" i="4"/>
  <c r="CW53" i="4"/>
  <c r="CX53" i="4"/>
  <c r="CY53" i="4"/>
  <c r="CZ53" i="4"/>
  <c r="DA53" i="4"/>
  <c r="DB53" i="4"/>
  <c r="DC53" i="4"/>
  <c r="DD53" i="4"/>
  <c r="DE53" i="4"/>
  <c r="DF53" i="4"/>
  <c r="DG53" i="4"/>
  <c r="DH53" i="4"/>
  <c r="DI53" i="4"/>
  <c r="DJ53" i="4"/>
  <c r="DK53" i="4"/>
  <c r="DL53" i="4"/>
  <c r="DM53" i="4"/>
  <c r="DN53" i="4"/>
  <c r="DO53" i="4"/>
  <c r="DP53" i="4"/>
  <c r="DQ53" i="4"/>
  <c r="DR53" i="4"/>
  <c r="DS53" i="4"/>
  <c r="DT53" i="4"/>
  <c r="DU53" i="4"/>
  <c r="DV53" i="4"/>
  <c r="DW53" i="4"/>
  <c r="DX53" i="4"/>
  <c r="DY53" i="4"/>
  <c r="DZ53" i="4"/>
  <c r="EA53" i="4"/>
  <c r="EB53" i="4"/>
  <c r="EC53" i="4"/>
  <c r="ED53" i="4"/>
  <c r="EE53" i="4"/>
  <c r="EF53" i="4"/>
  <c r="EG53" i="4"/>
  <c r="EH53" i="4"/>
  <c r="EI53" i="4"/>
  <c r="EJ53" i="4"/>
  <c r="EK53" i="4"/>
  <c r="EL53" i="4"/>
  <c r="EM53" i="4"/>
  <c r="EN53" i="4"/>
  <c r="EO53" i="4"/>
  <c r="EP53" i="4"/>
  <c r="EQ53" i="4"/>
  <c r="ER53" i="4"/>
  <c r="ES53" i="4"/>
  <c r="ET53" i="4"/>
  <c r="EU53" i="4"/>
  <c r="EV53" i="4"/>
  <c r="EW53" i="4"/>
  <c r="EX53" i="4"/>
  <c r="EY53" i="4"/>
  <c r="EZ53" i="4"/>
  <c r="FA53" i="4"/>
  <c r="FB53" i="4"/>
  <c r="FC53" i="4"/>
  <c r="FD53" i="4"/>
  <c r="FE53" i="4"/>
  <c r="FF53" i="4"/>
  <c r="FG53" i="4"/>
  <c r="FH53" i="4"/>
  <c r="FI53" i="4"/>
  <c r="FJ53" i="4"/>
  <c r="FK53" i="4"/>
  <c r="FL53" i="4"/>
  <c r="FM53" i="4"/>
  <c r="FN53" i="4"/>
  <c r="FO53" i="4"/>
  <c r="FP53" i="4"/>
  <c r="FQ53" i="4"/>
  <c r="FR53" i="4"/>
  <c r="FS53" i="4"/>
  <c r="FT53" i="4"/>
  <c r="FU53" i="4"/>
  <c r="FV53" i="4"/>
  <c r="FW53" i="4"/>
  <c r="FX53" i="4"/>
  <c r="FY53" i="4"/>
  <c r="FZ53" i="4"/>
  <c r="GA53" i="4"/>
  <c r="GB53" i="4"/>
  <c r="GC53" i="4"/>
  <c r="GD53" i="4"/>
  <c r="GE53" i="4"/>
  <c r="GF53" i="4"/>
  <c r="GG53" i="4"/>
  <c r="GH53" i="4"/>
  <c r="GI53" i="4"/>
  <c r="GJ53" i="4"/>
  <c r="GK53" i="4"/>
  <c r="GL53" i="4"/>
  <c r="GM53" i="4"/>
  <c r="GN53" i="4"/>
  <c r="GO53" i="4"/>
  <c r="GP53" i="4"/>
  <c r="GQ53" i="4"/>
  <c r="GR53" i="4"/>
  <c r="GS53" i="4"/>
  <c r="GT53" i="4"/>
  <c r="GU53" i="4"/>
  <c r="GV53" i="4"/>
  <c r="GW53" i="4"/>
  <c r="GX53" i="4"/>
  <c r="GY53" i="4"/>
  <c r="GZ53" i="4"/>
  <c r="HA53" i="4"/>
  <c r="HB53" i="4"/>
  <c r="HC53" i="4"/>
  <c r="HD53" i="4"/>
  <c r="HE53" i="4"/>
  <c r="HF53" i="4"/>
  <c r="HG53" i="4"/>
  <c r="HH53" i="4"/>
  <c r="HI53" i="4"/>
  <c r="HJ53" i="4"/>
  <c r="HK53" i="4"/>
  <c r="HL53" i="4"/>
  <c r="HM53" i="4"/>
  <c r="HN53" i="4"/>
  <c r="HO53" i="4"/>
  <c r="HP53" i="4"/>
  <c r="HQ53" i="4"/>
  <c r="HR53" i="4"/>
  <c r="HS53" i="4"/>
  <c r="HT53" i="4"/>
  <c r="HU53" i="4"/>
  <c r="HV53" i="4"/>
  <c r="HW53" i="4"/>
  <c r="HX53" i="4"/>
  <c r="HY53" i="4"/>
  <c r="HZ53" i="4"/>
  <c r="IA53" i="4"/>
  <c r="IB53" i="4"/>
  <c r="IC53" i="4"/>
  <c r="ID53" i="4"/>
  <c r="IE53" i="4"/>
  <c r="IF53" i="4"/>
  <c r="IG53" i="4"/>
  <c r="IH53" i="4"/>
  <c r="II53" i="4"/>
  <c r="IJ53" i="4"/>
  <c r="IK53" i="4"/>
  <c r="IL53" i="4"/>
  <c r="IM53" i="4"/>
  <c r="IN53" i="4"/>
  <c r="IO53" i="4"/>
  <c r="IP53" i="4"/>
  <c r="IQ53" i="4"/>
  <c r="IR53" i="4"/>
  <c r="IS53" i="4"/>
  <c r="IT53" i="4"/>
  <c r="IU53" i="4"/>
  <c r="IV53" i="4"/>
  <c r="A52" i="4"/>
  <c r="B52" i="4"/>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AQ52" i="4"/>
  <c r="AR52" i="4"/>
  <c r="AS52" i="4"/>
  <c r="AT52" i="4"/>
  <c r="AU52" i="4"/>
  <c r="AV52" i="4"/>
  <c r="AW52" i="4"/>
  <c r="AX52" i="4"/>
  <c r="AY52" i="4"/>
  <c r="AZ52" i="4"/>
  <c r="BA52" i="4"/>
  <c r="BB52" i="4"/>
  <c r="BC52" i="4"/>
  <c r="BD52" i="4"/>
  <c r="BE52" i="4"/>
  <c r="BF52" i="4"/>
  <c r="BG52" i="4"/>
  <c r="BH52" i="4"/>
  <c r="BI52" i="4"/>
  <c r="BJ52" i="4"/>
  <c r="BK52" i="4"/>
  <c r="BL52" i="4"/>
  <c r="BM52" i="4"/>
  <c r="BN52" i="4"/>
  <c r="BO52" i="4"/>
  <c r="BP52" i="4"/>
  <c r="BQ52" i="4"/>
  <c r="BR52" i="4"/>
  <c r="BS52" i="4"/>
  <c r="BT52" i="4"/>
  <c r="BU52" i="4"/>
  <c r="BV52" i="4"/>
  <c r="BW52" i="4"/>
  <c r="BX52" i="4"/>
  <c r="BY52" i="4"/>
  <c r="BZ52" i="4"/>
  <c r="CA52" i="4"/>
  <c r="CB52" i="4"/>
  <c r="CC52" i="4"/>
  <c r="CD52" i="4"/>
  <c r="CE52" i="4"/>
  <c r="CF52" i="4"/>
  <c r="CG52" i="4"/>
  <c r="CH52" i="4"/>
  <c r="CI52" i="4"/>
  <c r="CJ52" i="4"/>
  <c r="CK52" i="4"/>
  <c r="CL52" i="4"/>
  <c r="CM52" i="4"/>
  <c r="CN52" i="4"/>
  <c r="CO52" i="4"/>
  <c r="CP52" i="4"/>
  <c r="CQ52" i="4"/>
  <c r="CR52" i="4"/>
  <c r="CS52" i="4"/>
  <c r="CT52" i="4"/>
  <c r="CU52" i="4"/>
  <c r="CV52" i="4"/>
  <c r="CW52" i="4"/>
  <c r="CX52" i="4"/>
  <c r="CY52" i="4"/>
  <c r="CZ52" i="4"/>
  <c r="DA52" i="4"/>
  <c r="DB52" i="4"/>
  <c r="DC52" i="4"/>
  <c r="DD52" i="4"/>
  <c r="DE52" i="4"/>
  <c r="DF52" i="4"/>
  <c r="DG52" i="4"/>
  <c r="DH52" i="4"/>
  <c r="DI52" i="4"/>
  <c r="DJ52" i="4"/>
  <c r="DK52" i="4"/>
  <c r="DL52" i="4"/>
  <c r="DM52" i="4"/>
  <c r="DN52" i="4"/>
  <c r="DO52" i="4"/>
  <c r="DP52" i="4"/>
  <c r="DQ52" i="4"/>
  <c r="DR52" i="4"/>
  <c r="DS52" i="4"/>
  <c r="DT52" i="4"/>
  <c r="DU52" i="4"/>
  <c r="DV52" i="4"/>
  <c r="DW52" i="4"/>
  <c r="DX52" i="4"/>
  <c r="DY52" i="4"/>
  <c r="DZ52" i="4"/>
  <c r="EA52" i="4"/>
  <c r="EB52" i="4"/>
  <c r="EC52" i="4"/>
  <c r="ED52" i="4"/>
  <c r="EE52" i="4"/>
  <c r="EF52" i="4"/>
  <c r="EG52" i="4"/>
  <c r="EH52" i="4"/>
  <c r="EI52" i="4"/>
  <c r="EJ52" i="4"/>
  <c r="EK52" i="4"/>
  <c r="EL52" i="4"/>
  <c r="EM52" i="4"/>
  <c r="EN52" i="4"/>
  <c r="EO52" i="4"/>
  <c r="EP52" i="4"/>
  <c r="EQ52" i="4"/>
  <c r="ER52" i="4"/>
  <c r="ES52" i="4"/>
  <c r="ET52" i="4"/>
  <c r="EU52" i="4"/>
  <c r="EV52" i="4"/>
  <c r="EW52" i="4"/>
  <c r="EX52" i="4"/>
  <c r="EY52" i="4"/>
  <c r="EZ52" i="4"/>
  <c r="FA52" i="4"/>
  <c r="FB52" i="4"/>
  <c r="FC52" i="4"/>
  <c r="FD52" i="4"/>
  <c r="FE52" i="4"/>
  <c r="FF52" i="4"/>
  <c r="FG52" i="4"/>
  <c r="FH52" i="4"/>
  <c r="FI52" i="4"/>
  <c r="FJ52" i="4"/>
  <c r="FK52" i="4"/>
  <c r="FL52" i="4"/>
  <c r="FM52" i="4"/>
  <c r="FN52" i="4"/>
  <c r="FO52" i="4"/>
  <c r="FP52" i="4"/>
  <c r="FQ52" i="4"/>
  <c r="FR52" i="4"/>
  <c r="FS52" i="4"/>
  <c r="FT52" i="4"/>
  <c r="FU52" i="4"/>
  <c r="FV52" i="4"/>
  <c r="FW52" i="4"/>
  <c r="FX52" i="4"/>
  <c r="FY52" i="4"/>
  <c r="FZ52" i="4"/>
  <c r="GA52" i="4"/>
  <c r="GB52" i="4"/>
  <c r="GC52" i="4"/>
  <c r="GD52" i="4"/>
  <c r="GE52" i="4"/>
  <c r="GF52" i="4"/>
  <c r="GG52" i="4"/>
  <c r="GH52" i="4"/>
  <c r="GI52" i="4"/>
  <c r="GJ52" i="4"/>
  <c r="GK52" i="4"/>
  <c r="GL52" i="4"/>
  <c r="GM52" i="4"/>
  <c r="GN52" i="4"/>
  <c r="GO52" i="4"/>
  <c r="GP52" i="4"/>
  <c r="GQ52" i="4"/>
  <c r="GR52" i="4"/>
  <c r="GS52" i="4"/>
  <c r="GT52" i="4"/>
  <c r="GU52" i="4"/>
  <c r="GV52" i="4"/>
  <c r="GW52" i="4"/>
  <c r="GX52" i="4"/>
  <c r="GY52" i="4"/>
  <c r="GZ52" i="4"/>
  <c r="HA52" i="4"/>
  <c r="HB52" i="4"/>
  <c r="HC52" i="4"/>
  <c r="HD52" i="4"/>
  <c r="HE52" i="4"/>
  <c r="HF52" i="4"/>
  <c r="HG52" i="4"/>
  <c r="HH52" i="4"/>
  <c r="HI52" i="4"/>
  <c r="HJ52" i="4"/>
  <c r="HK52" i="4"/>
  <c r="HL52" i="4"/>
  <c r="HM52" i="4"/>
  <c r="HN52" i="4"/>
  <c r="HO52" i="4"/>
  <c r="HP52" i="4"/>
  <c r="HQ52" i="4"/>
  <c r="HR52" i="4"/>
  <c r="HS52" i="4"/>
  <c r="HT52" i="4"/>
  <c r="HU52" i="4"/>
  <c r="HV52" i="4"/>
  <c r="HW52" i="4"/>
  <c r="HX52" i="4"/>
  <c r="HY52" i="4"/>
  <c r="HZ52" i="4"/>
  <c r="IA52" i="4"/>
  <c r="IB52" i="4"/>
  <c r="IC52" i="4"/>
  <c r="ID52" i="4"/>
  <c r="IE52" i="4"/>
  <c r="IF52" i="4"/>
  <c r="IG52" i="4"/>
  <c r="IH52" i="4"/>
  <c r="II52" i="4"/>
  <c r="IJ52" i="4"/>
  <c r="IK52" i="4"/>
  <c r="IL52" i="4"/>
  <c r="IM52" i="4"/>
  <c r="IN52" i="4"/>
  <c r="IO52" i="4"/>
  <c r="IP52" i="4"/>
  <c r="IQ52" i="4"/>
  <c r="IR52" i="4"/>
  <c r="IS52" i="4"/>
  <c r="IT52" i="4"/>
  <c r="IU52" i="4"/>
  <c r="IV52" i="4"/>
  <c r="A51" i="4"/>
  <c r="B51" i="4"/>
  <c r="C51" i="4"/>
  <c r="D51" i="4"/>
  <c r="E51"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N51" i="4"/>
  <c r="AO51" i="4"/>
  <c r="AP51" i="4"/>
  <c r="AQ51" i="4"/>
  <c r="AR51" i="4"/>
  <c r="AS51" i="4"/>
  <c r="AT51" i="4"/>
  <c r="AU51" i="4"/>
  <c r="AV51" i="4"/>
  <c r="AW51" i="4"/>
  <c r="AX51" i="4"/>
  <c r="AY51" i="4"/>
  <c r="AZ51" i="4"/>
  <c r="BA51" i="4"/>
  <c r="BB51" i="4"/>
  <c r="BC51" i="4"/>
  <c r="BD51" i="4"/>
  <c r="BE51" i="4"/>
  <c r="BF51" i="4"/>
  <c r="BG51" i="4"/>
  <c r="BH51" i="4"/>
  <c r="BI51" i="4"/>
  <c r="BJ51" i="4"/>
  <c r="BK51" i="4"/>
  <c r="BL51" i="4"/>
  <c r="BM51" i="4"/>
  <c r="BN51" i="4"/>
  <c r="BO51" i="4"/>
  <c r="BP51" i="4"/>
  <c r="BQ51" i="4"/>
  <c r="BR51" i="4"/>
  <c r="BS51" i="4"/>
  <c r="BT51" i="4"/>
  <c r="BU51" i="4"/>
  <c r="BV51" i="4"/>
  <c r="BW51" i="4"/>
  <c r="BX51" i="4"/>
  <c r="BY51" i="4"/>
  <c r="BZ51" i="4"/>
  <c r="CA51" i="4"/>
  <c r="CB51" i="4"/>
  <c r="CC51" i="4"/>
  <c r="CD51" i="4"/>
  <c r="CE51" i="4"/>
  <c r="CF51" i="4"/>
  <c r="CG51" i="4"/>
  <c r="CH51" i="4"/>
  <c r="CI51" i="4"/>
  <c r="CJ51" i="4"/>
  <c r="CK51" i="4"/>
  <c r="CL51" i="4"/>
  <c r="CM51" i="4"/>
  <c r="CN51" i="4"/>
  <c r="CO51" i="4"/>
  <c r="CP51" i="4"/>
  <c r="CQ51" i="4"/>
  <c r="CR51" i="4"/>
  <c r="CS51" i="4"/>
  <c r="CT51" i="4"/>
  <c r="CU51" i="4"/>
  <c r="CV51" i="4"/>
  <c r="CW51" i="4"/>
  <c r="CX51" i="4"/>
  <c r="CY51" i="4"/>
  <c r="CZ51" i="4"/>
  <c r="DA51" i="4"/>
  <c r="DB51" i="4"/>
  <c r="DC51" i="4"/>
  <c r="DD51" i="4"/>
  <c r="DE51" i="4"/>
  <c r="DF51" i="4"/>
  <c r="DG51" i="4"/>
  <c r="DH51" i="4"/>
  <c r="DI51" i="4"/>
  <c r="DJ51" i="4"/>
  <c r="DK51" i="4"/>
  <c r="DL51" i="4"/>
  <c r="DM51" i="4"/>
  <c r="DN51" i="4"/>
  <c r="DO51" i="4"/>
  <c r="DP51" i="4"/>
  <c r="DQ51" i="4"/>
  <c r="DR51" i="4"/>
  <c r="DS51" i="4"/>
  <c r="DT51" i="4"/>
  <c r="DU51" i="4"/>
  <c r="DV51" i="4"/>
  <c r="DW51" i="4"/>
  <c r="DX51" i="4"/>
  <c r="DY51" i="4"/>
  <c r="DZ51" i="4"/>
  <c r="EA51" i="4"/>
  <c r="EB51" i="4"/>
  <c r="EC51" i="4"/>
  <c r="ED51" i="4"/>
  <c r="EE51" i="4"/>
  <c r="EF51" i="4"/>
  <c r="EG51" i="4"/>
  <c r="EH51" i="4"/>
  <c r="EI51" i="4"/>
  <c r="EJ51" i="4"/>
  <c r="EK51" i="4"/>
  <c r="EL51" i="4"/>
  <c r="EM51" i="4"/>
  <c r="EN51" i="4"/>
  <c r="EO51" i="4"/>
  <c r="EP51" i="4"/>
  <c r="EQ51" i="4"/>
  <c r="ER51" i="4"/>
  <c r="ES51" i="4"/>
  <c r="ET51" i="4"/>
  <c r="EU51" i="4"/>
  <c r="EV51" i="4"/>
  <c r="EW51" i="4"/>
  <c r="EX51" i="4"/>
  <c r="EY51" i="4"/>
  <c r="EZ51" i="4"/>
  <c r="FA51" i="4"/>
  <c r="FB51" i="4"/>
  <c r="FC51" i="4"/>
  <c r="FD51" i="4"/>
  <c r="FE51" i="4"/>
  <c r="FF51" i="4"/>
  <c r="FG51" i="4"/>
  <c r="FH51" i="4"/>
  <c r="FI51" i="4"/>
  <c r="FJ51" i="4"/>
  <c r="FK51" i="4"/>
  <c r="FL51" i="4"/>
  <c r="FM51" i="4"/>
  <c r="FN51" i="4"/>
  <c r="FO51" i="4"/>
  <c r="FP51" i="4"/>
  <c r="FQ51" i="4"/>
  <c r="FR51" i="4"/>
  <c r="FS51" i="4"/>
  <c r="FT51" i="4"/>
  <c r="FU51" i="4"/>
  <c r="FV51" i="4"/>
  <c r="FW51" i="4"/>
  <c r="FX51" i="4"/>
  <c r="FY51" i="4"/>
  <c r="FZ51" i="4"/>
  <c r="GA51" i="4"/>
  <c r="GB51" i="4"/>
  <c r="GC51" i="4"/>
  <c r="GD51" i="4"/>
  <c r="GE51" i="4"/>
  <c r="GF51" i="4"/>
  <c r="GG51" i="4"/>
  <c r="GH51" i="4"/>
  <c r="GI51" i="4"/>
  <c r="GJ51" i="4"/>
  <c r="GK51" i="4"/>
  <c r="GL51" i="4"/>
  <c r="GM51" i="4"/>
  <c r="GN51" i="4"/>
  <c r="GO51" i="4"/>
  <c r="GP51" i="4"/>
  <c r="GQ51" i="4"/>
  <c r="GR51" i="4"/>
  <c r="GS51" i="4"/>
  <c r="GT51" i="4"/>
  <c r="GU51" i="4"/>
  <c r="GV51" i="4"/>
  <c r="GW51" i="4"/>
  <c r="GX51" i="4"/>
  <c r="GY51" i="4"/>
  <c r="GZ51" i="4"/>
  <c r="HA51" i="4"/>
  <c r="HB51" i="4"/>
  <c r="HC51" i="4"/>
  <c r="HD51" i="4"/>
  <c r="HE51" i="4"/>
  <c r="HF51" i="4"/>
  <c r="HG51" i="4"/>
  <c r="HH51" i="4"/>
  <c r="HI51" i="4"/>
  <c r="HJ51" i="4"/>
  <c r="HK51" i="4"/>
  <c r="HL51" i="4"/>
  <c r="HM51" i="4"/>
  <c r="HN51" i="4"/>
  <c r="HO51" i="4"/>
  <c r="HP51" i="4"/>
  <c r="HQ51" i="4"/>
  <c r="HR51" i="4"/>
  <c r="HS51" i="4"/>
  <c r="HT51" i="4"/>
  <c r="HU51" i="4"/>
  <c r="HV51" i="4"/>
  <c r="HW51" i="4"/>
  <c r="HX51" i="4"/>
  <c r="HY51" i="4"/>
  <c r="HZ51" i="4"/>
  <c r="IA51" i="4"/>
  <c r="IB51" i="4"/>
  <c r="IC51" i="4"/>
  <c r="ID51" i="4"/>
  <c r="IE51" i="4"/>
  <c r="IF51" i="4"/>
  <c r="IG51" i="4"/>
  <c r="IH51" i="4"/>
  <c r="II51" i="4"/>
  <c r="IJ51" i="4"/>
  <c r="IK51" i="4"/>
  <c r="IL51" i="4"/>
  <c r="IM51" i="4"/>
  <c r="IN51" i="4"/>
  <c r="IO51" i="4"/>
  <c r="IP51" i="4"/>
  <c r="IQ51" i="4"/>
  <c r="IR51" i="4"/>
  <c r="IS51" i="4"/>
  <c r="IT51" i="4"/>
  <c r="IU51" i="4"/>
  <c r="IV51" i="4"/>
  <c r="A50" i="4"/>
  <c r="B50" i="4"/>
  <c r="C50" i="4"/>
  <c r="D50"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AJ50" i="4"/>
  <c r="AK50" i="4"/>
  <c r="AL50" i="4"/>
  <c r="AM50" i="4"/>
  <c r="AN50" i="4"/>
  <c r="AO50" i="4"/>
  <c r="AP50" i="4"/>
  <c r="AQ50" i="4"/>
  <c r="AR50" i="4"/>
  <c r="AS50" i="4"/>
  <c r="AT50" i="4"/>
  <c r="AU50" i="4"/>
  <c r="AV50" i="4"/>
  <c r="AW50" i="4"/>
  <c r="AX50" i="4"/>
  <c r="AY50" i="4"/>
  <c r="AZ50" i="4"/>
  <c r="BA50" i="4"/>
  <c r="BB50" i="4"/>
  <c r="BC50" i="4"/>
  <c r="BD50" i="4"/>
  <c r="BE50" i="4"/>
  <c r="BF50" i="4"/>
  <c r="BG50" i="4"/>
  <c r="BH50" i="4"/>
  <c r="BI50" i="4"/>
  <c r="BJ50" i="4"/>
  <c r="BK50" i="4"/>
  <c r="BL50" i="4"/>
  <c r="BM50" i="4"/>
  <c r="BN50" i="4"/>
  <c r="BO50" i="4"/>
  <c r="BP50" i="4"/>
  <c r="BQ50" i="4"/>
  <c r="BR50" i="4"/>
  <c r="BS50" i="4"/>
  <c r="BT50" i="4"/>
  <c r="BU50" i="4"/>
  <c r="BV50" i="4"/>
  <c r="BW50" i="4"/>
  <c r="BX50" i="4"/>
  <c r="BY50" i="4"/>
  <c r="BZ50" i="4"/>
  <c r="CA50" i="4"/>
  <c r="CB50" i="4"/>
  <c r="CC50" i="4"/>
  <c r="CD50" i="4"/>
  <c r="CE50" i="4"/>
  <c r="CF50" i="4"/>
  <c r="CG50" i="4"/>
  <c r="CH50" i="4"/>
  <c r="CI50" i="4"/>
  <c r="CJ50" i="4"/>
  <c r="CK50" i="4"/>
  <c r="CL50" i="4"/>
  <c r="CM50" i="4"/>
  <c r="CN50" i="4"/>
  <c r="CO50" i="4"/>
  <c r="CP50" i="4"/>
  <c r="CQ50" i="4"/>
  <c r="CR50" i="4"/>
  <c r="CS50" i="4"/>
  <c r="CT50" i="4"/>
  <c r="CU50" i="4"/>
  <c r="CV50" i="4"/>
  <c r="CW50" i="4"/>
  <c r="CX50" i="4"/>
  <c r="CY50" i="4"/>
  <c r="CZ50" i="4"/>
  <c r="DA50" i="4"/>
  <c r="DB50" i="4"/>
  <c r="DC50" i="4"/>
  <c r="DD50" i="4"/>
  <c r="DE50" i="4"/>
  <c r="DF50" i="4"/>
  <c r="DG50" i="4"/>
  <c r="DH50" i="4"/>
  <c r="DI50" i="4"/>
  <c r="DJ50" i="4"/>
  <c r="DK50" i="4"/>
  <c r="DL50" i="4"/>
  <c r="DM50" i="4"/>
  <c r="DN50" i="4"/>
  <c r="DO50" i="4"/>
  <c r="DP50" i="4"/>
  <c r="DQ50" i="4"/>
  <c r="DR50" i="4"/>
  <c r="DS50" i="4"/>
  <c r="DT50" i="4"/>
  <c r="DU50" i="4"/>
  <c r="DV50" i="4"/>
  <c r="DW50" i="4"/>
  <c r="DX50" i="4"/>
  <c r="DY50" i="4"/>
  <c r="DZ50" i="4"/>
  <c r="EA50" i="4"/>
  <c r="EB50" i="4"/>
  <c r="EC50" i="4"/>
  <c r="ED50" i="4"/>
  <c r="EE50" i="4"/>
  <c r="EF50" i="4"/>
  <c r="EG50" i="4"/>
  <c r="EH50" i="4"/>
  <c r="EI50" i="4"/>
  <c r="EJ50" i="4"/>
  <c r="EK50" i="4"/>
  <c r="EL50" i="4"/>
  <c r="EM50" i="4"/>
  <c r="EN50" i="4"/>
  <c r="EO50" i="4"/>
  <c r="EP50" i="4"/>
  <c r="EQ50" i="4"/>
  <c r="ER50" i="4"/>
  <c r="ES50" i="4"/>
  <c r="ET50" i="4"/>
  <c r="EU50" i="4"/>
  <c r="EV50" i="4"/>
  <c r="EW50" i="4"/>
  <c r="EX50" i="4"/>
  <c r="EY50" i="4"/>
  <c r="EZ50" i="4"/>
  <c r="FA50" i="4"/>
  <c r="FB50" i="4"/>
  <c r="FC50" i="4"/>
  <c r="FD50" i="4"/>
  <c r="FE50" i="4"/>
  <c r="FF50" i="4"/>
  <c r="FG50" i="4"/>
  <c r="FH50" i="4"/>
  <c r="FI50" i="4"/>
  <c r="FJ50" i="4"/>
  <c r="FK50" i="4"/>
  <c r="FL50" i="4"/>
  <c r="FM50" i="4"/>
  <c r="FN50" i="4"/>
  <c r="FO50" i="4"/>
  <c r="FP50" i="4"/>
  <c r="FQ50" i="4"/>
  <c r="FR50" i="4"/>
  <c r="FS50" i="4"/>
  <c r="FT50" i="4"/>
  <c r="FU50" i="4"/>
  <c r="FV50" i="4"/>
  <c r="FW50" i="4"/>
  <c r="FX50" i="4"/>
  <c r="FY50" i="4"/>
  <c r="FZ50" i="4"/>
  <c r="GA50" i="4"/>
  <c r="GB50" i="4"/>
  <c r="GC50" i="4"/>
  <c r="GD50" i="4"/>
  <c r="GE50" i="4"/>
  <c r="GF50" i="4"/>
  <c r="GG50" i="4"/>
  <c r="GH50" i="4"/>
  <c r="GI50" i="4"/>
  <c r="GJ50" i="4"/>
  <c r="GK50" i="4"/>
  <c r="GL50" i="4"/>
  <c r="GM50" i="4"/>
  <c r="GN50" i="4"/>
  <c r="GO50" i="4"/>
  <c r="GP50" i="4"/>
  <c r="GQ50" i="4"/>
  <c r="GR50" i="4"/>
  <c r="GS50" i="4"/>
  <c r="GT50" i="4"/>
  <c r="GU50" i="4"/>
  <c r="GV50" i="4"/>
  <c r="GW50" i="4"/>
  <c r="GX50" i="4"/>
  <c r="GY50" i="4"/>
  <c r="GZ50" i="4"/>
  <c r="HA50" i="4"/>
  <c r="HB50" i="4"/>
  <c r="HC50" i="4"/>
  <c r="HD50" i="4"/>
  <c r="HE50" i="4"/>
  <c r="HF50" i="4"/>
  <c r="HG50" i="4"/>
  <c r="HH50" i="4"/>
  <c r="HI50" i="4"/>
  <c r="HJ50" i="4"/>
  <c r="HK50" i="4"/>
  <c r="HL50" i="4"/>
  <c r="HM50" i="4"/>
  <c r="HN50" i="4"/>
  <c r="HO50" i="4"/>
  <c r="HP50" i="4"/>
  <c r="HQ50" i="4"/>
  <c r="HR50" i="4"/>
  <c r="HS50" i="4"/>
  <c r="HT50" i="4"/>
  <c r="HU50" i="4"/>
  <c r="HV50" i="4"/>
  <c r="HW50" i="4"/>
  <c r="HX50" i="4"/>
  <c r="HY50" i="4"/>
  <c r="HZ50" i="4"/>
  <c r="IA50" i="4"/>
  <c r="IB50" i="4"/>
  <c r="IC50" i="4"/>
  <c r="ID50" i="4"/>
  <c r="IE50" i="4"/>
  <c r="IF50" i="4"/>
  <c r="IG50" i="4"/>
  <c r="IH50" i="4"/>
  <c r="II50" i="4"/>
  <c r="IJ50" i="4"/>
  <c r="IK50" i="4"/>
  <c r="IL50" i="4"/>
  <c r="IM50" i="4"/>
  <c r="IN50" i="4"/>
  <c r="IO50" i="4"/>
  <c r="IP50" i="4"/>
  <c r="IQ50" i="4"/>
  <c r="IR50" i="4"/>
  <c r="IS50" i="4"/>
  <c r="IT50" i="4"/>
  <c r="IU50" i="4"/>
  <c r="IV50" i="4"/>
  <c r="A49" i="4"/>
  <c r="B49" i="4"/>
  <c r="C49" i="4"/>
  <c r="D49"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AJ49" i="4"/>
  <c r="AK49" i="4"/>
  <c r="AL49" i="4"/>
  <c r="AM49" i="4"/>
  <c r="AN49" i="4"/>
  <c r="AO49" i="4"/>
  <c r="AP49" i="4"/>
  <c r="AR49" i="4"/>
  <c r="AS49" i="4"/>
  <c r="AT49" i="4"/>
  <c r="AU49" i="4"/>
  <c r="AV49" i="4"/>
  <c r="AW49" i="4"/>
  <c r="AX49" i="4"/>
  <c r="AY49" i="4"/>
  <c r="AZ49" i="4"/>
  <c r="BA49" i="4"/>
  <c r="BB49" i="4"/>
  <c r="BC49" i="4"/>
  <c r="BD49" i="4"/>
  <c r="BE49" i="4"/>
  <c r="BF49" i="4"/>
  <c r="BG49" i="4"/>
  <c r="BH49" i="4"/>
  <c r="BI49" i="4"/>
  <c r="BJ49" i="4"/>
  <c r="BK49" i="4"/>
  <c r="BL49" i="4"/>
  <c r="BM49" i="4"/>
  <c r="BN49" i="4"/>
  <c r="BO49" i="4"/>
  <c r="BP49" i="4"/>
  <c r="BQ49" i="4"/>
  <c r="BR49" i="4"/>
  <c r="BS49" i="4"/>
  <c r="BT49" i="4"/>
  <c r="BU49" i="4"/>
  <c r="BV49" i="4"/>
  <c r="BW49" i="4"/>
  <c r="BX49" i="4"/>
  <c r="BY49" i="4"/>
  <c r="BZ49" i="4"/>
  <c r="CA49" i="4"/>
  <c r="CB49" i="4"/>
  <c r="CC49" i="4"/>
  <c r="CD49" i="4"/>
  <c r="CE49" i="4"/>
  <c r="CF49" i="4"/>
  <c r="CG49" i="4"/>
  <c r="CH49" i="4"/>
  <c r="CI49" i="4"/>
  <c r="CJ49" i="4"/>
  <c r="CK49" i="4"/>
  <c r="CL49" i="4"/>
  <c r="CM49" i="4"/>
  <c r="CN49" i="4"/>
  <c r="CO49" i="4"/>
  <c r="CP49" i="4"/>
  <c r="CQ49" i="4"/>
  <c r="CR49" i="4"/>
  <c r="CS49" i="4"/>
  <c r="CT49" i="4"/>
  <c r="CU49" i="4"/>
  <c r="CV49" i="4"/>
  <c r="CW49" i="4"/>
  <c r="CX49" i="4"/>
  <c r="CY49" i="4"/>
  <c r="CZ49" i="4"/>
  <c r="DA49" i="4"/>
  <c r="DB49" i="4"/>
  <c r="DC49" i="4"/>
  <c r="DD49" i="4"/>
  <c r="DE49" i="4"/>
  <c r="DF49" i="4"/>
  <c r="DG49" i="4"/>
  <c r="DH49" i="4"/>
  <c r="DI49" i="4"/>
  <c r="DJ49" i="4"/>
  <c r="DK49" i="4"/>
  <c r="DL49" i="4"/>
  <c r="DM49" i="4"/>
  <c r="DN49" i="4"/>
  <c r="DO49" i="4"/>
  <c r="DP49" i="4"/>
  <c r="DQ49" i="4"/>
  <c r="DR49" i="4"/>
  <c r="DS49" i="4"/>
  <c r="DT49" i="4"/>
  <c r="DU49" i="4"/>
  <c r="DV49" i="4"/>
  <c r="DW49" i="4"/>
  <c r="DX49" i="4"/>
  <c r="DY49" i="4"/>
  <c r="DZ49" i="4"/>
  <c r="EA49" i="4"/>
  <c r="EB49" i="4"/>
  <c r="EC49" i="4"/>
  <c r="ED49" i="4"/>
  <c r="EE49" i="4"/>
  <c r="EF49" i="4"/>
  <c r="EG49" i="4"/>
  <c r="EH49" i="4"/>
  <c r="EI49" i="4"/>
  <c r="EJ49" i="4"/>
  <c r="EK49" i="4"/>
  <c r="EL49" i="4"/>
  <c r="EM49" i="4"/>
  <c r="EN49" i="4"/>
  <c r="EO49" i="4"/>
  <c r="EP49" i="4"/>
  <c r="EQ49" i="4"/>
  <c r="ER49" i="4"/>
  <c r="ES49" i="4"/>
  <c r="ET49" i="4"/>
  <c r="EU49" i="4"/>
  <c r="EV49" i="4"/>
  <c r="EW49" i="4"/>
  <c r="EX49" i="4"/>
  <c r="EY49" i="4"/>
  <c r="EZ49" i="4"/>
  <c r="FA49" i="4"/>
  <c r="FB49" i="4"/>
  <c r="FC49" i="4"/>
  <c r="FD49" i="4"/>
  <c r="FE49" i="4"/>
  <c r="FF49" i="4"/>
  <c r="FG49" i="4"/>
  <c r="FH49" i="4"/>
  <c r="FI49" i="4"/>
  <c r="FJ49" i="4"/>
  <c r="FK49" i="4"/>
  <c r="FL49" i="4"/>
  <c r="FM49" i="4"/>
  <c r="FN49" i="4"/>
  <c r="FO49" i="4"/>
  <c r="FP49" i="4"/>
  <c r="FQ49" i="4"/>
  <c r="FR49" i="4"/>
  <c r="FS49" i="4"/>
  <c r="FT49" i="4"/>
  <c r="FU49" i="4"/>
  <c r="FV49" i="4"/>
  <c r="FW49" i="4"/>
  <c r="FX49" i="4"/>
  <c r="FY49" i="4"/>
  <c r="FZ49" i="4"/>
  <c r="GA49" i="4"/>
  <c r="GB49" i="4"/>
  <c r="GC49" i="4"/>
  <c r="GD49" i="4"/>
  <c r="GE49" i="4"/>
  <c r="GF49" i="4"/>
  <c r="GG49" i="4"/>
  <c r="GH49" i="4"/>
  <c r="GI49" i="4"/>
  <c r="GJ49" i="4"/>
  <c r="GK49" i="4"/>
  <c r="GL49" i="4"/>
  <c r="GM49" i="4"/>
  <c r="GN49" i="4"/>
  <c r="GO49" i="4"/>
  <c r="GP49" i="4"/>
  <c r="GQ49" i="4"/>
  <c r="GR49" i="4"/>
  <c r="GS49" i="4"/>
  <c r="GT49" i="4"/>
  <c r="GU49" i="4"/>
  <c r="GV49" i="4"/>
  <c r="GW49" i="4"/>
  <c r="GX49" i="4"/>
  <c r="GY49" i="4"/>
  <c r="GZ49" i="4"/>
  <c r="HA49" i="4"/>
  <c r="HB49" i="4"/>
  <c r="HC49" i="4"/>
  <c r="HD49" i="4"/>
  <c r="HE49" i="4"/>
  <c r="HF49" i="4"/>
  <c r="HG49" i="4"/>
  <c r="HH49" i="4"/>
  <c r="HI49" i="4"/>
  <c r="HJ49" i="4"/>
  <c r="HK49" i="4"/>
  <c r="HL49" i="4"/>
  <c r="HM49" i="4"/>
  <c r="HN49" i="4"/>
  <c r="HO49" i="4"/>
  <c r="HP49" i="4"/>
  <c r="HQ49" i="4"/>
  <c r="HR49" i="4"/>
  <c r="HS49" i="4"/>
  <c r="HT49" i="4"/>
  <c r="HU49" i="4"/>
  <c r="HV49" i="4"/>
  <c r="HW49" i="4"/>
  <c r="HX49" i="4"/>
  <c r="HY49" i="4"/>
  <c r="HZ49" i="4"/>
  <c r="IA49" i="4"/>
  <c r="IB49" i="4"/>
  <c r="IC49" i="4"/>
  <c r="ID49" i="4"/>
  <c r="IE49" i="4"/>
  <c r="IF49" i="4"/>
  <c r="IG49" i="4"/>
  <c r="IH49" i="4"/>
  <c r="II49" i="4"/>
  <c r="IJ49" i="4"/>
  <c r="IK49" i="4"/>
  <c r="IL49" i="4"/>
  <c r="IM49" i="4"/>
  <c r="IN49" i="4"/>
  <c r="IO49" i="4"/>
  <c r="IP49" i="4"/>
  <c r="IQ49" i="4"/>
  <c r="IR49" i="4"/>
  <c r="IS49" i="4"/>
  <c r="IT49" i="4"/>
  <c r="IU49" i="4"/>
  <c r="IV49" i="4"/>
  <c r="A48" i="4"/>
  <c r="B48"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N48" i="4"/>
  <c r="AO48" i="4"/>
  <c r="AP48" i="4"/>
  <c r="AQ48" i="4"/>
  <c r="AS48" i="4"/>
  <c r="AT48" i="4"/>
  <c r="AU48" i="4"/>
  <c r="AV48" i="4"/>
  <c r="AW48" i="4"/>
  <c r="AX48" i="4"/>
  <c r="AY48" i="4"/>
  <c r="AZ48" i="4"/>
  <c r="BA48" i="4"/>
  <c r="BB48" i="4"/>
  <c r="BC48" i="4"/>
  <c r="BD48" i="4"/>
  <c r="BE48" i="4"/>
  <c r="BF48" i="4"/>
  <c r="BG48" i="4"/>
  <c r="BH48" i="4"/>
  <c r="BI48" i="4"/>
  <c r="BJ48" i="4"/>
  <c r="BK48" i="4"/>
  <c r="BL48" i="4"/>
  <c r="BM48" i="4"/>
  <c r="BN48" i="4"/>
  <c r="BO48" i="4"/>
  <c r="BP48" i="4"/>
  <c r="BQ48" i="4"/>
  <c r="BR48" i="4"/>
  <c r="BS48" i="4"/>
  <c r="BT48" i="4"/>
  <c r="BU48" i="4"/>
  <c r="BV48" i="4"/>
  <c r="BW48" i="4"/>
  <c r="BX48" i="4"/>
  <c r="BY48" i="4"/>
  <c r="BZ48" i="4"/>
  <c r="CA48" i="4"/>
  <c r="CB48" i="4"/>
  <c r="CC48" i="4"/>
  <c r="CD48" i="4"/>
  <c r="CE48" i="4"/>
  <c r="CF48" i="4"/>
  <c r="CG48" i="4"/>
  <c r="CH48" i="4"/>
  <c r="CI48" i="4"/>
  <c r="CJ48" i="4"/>
  <c r="CK48" i="4"/>
  <c r="CL48" i="4"/>
  <c r="CM48" i="4"/>
  <c r="CN48" i="4"/>
  <c r="CO48" i="4"/>
  <c r="CP48" i="4"/>
  <c r="CQ48" i="4"/>
  <c r="CR48" i="4"/>
  <c r="CS48" i="4"/>
  <c r="CT48" i="4"/>
  <c r="CU48" i="4"/>
  <c r="CV48" i="4"/>
  <c r="CW48" i="4"/>
  <c r="CX48" i="4"/>
  <c r="CY48" i="4"/>
  <c r="CZ48" i="4"/>
  <c r="DA48" i="4"/>
  <c r="DB48" i="4"/>
  <c r="DC48" i="4"/>
  <c r="DD48" i="4"/>
  <c r="DE48" i="4"/>
  <c r="DF48" i="4"/>
  <c r="DG48" i="4"/>
  <c r="DH48" i="4"/>
  <c r="DI48" i="4"/>
  <c r="DJ48" i="4"/>
  <c r="DK48" i="4"/>
  <c r="DL48" i="4"/>
  <c r="DM48" i="4"/>
  <c r="DN48" i="4"/>
  <c r="DO48" i="4"/>
  <c r="DP48" i="4"/>
  <c r="DQ48" i="4"/>
  <c r="DR48" i="4"/>
  <c r="DS48" i="4"/>
  <c r="DT48" i="4"/>
  <c r="DU48" i="4"/>
  <c r="DV48" i="4"/>
  <c r="DW48" i="4"/>
  <c r="DX48" i="4"/>
  <c r="DY48" i="4"/>
  <c r="DZ48" i="4"/>
  <c r="EA48" i="4"/>
  <c r="EB48" i="4"/>
  <c r="EC48" i="4"/>
  <c r="ED48" i="4"/>
  <c r="EE48" i="4"/>
  <c r="EF48" i="4"/>
  <c r="EG48" i="4"/>
  <c r="EH48" i="4"/>
  <c r="EI48" i="4"/>
  <c r="EJ48" i="4"/>
  <c r="EK48" i="4"/>
  <c r="EL48" i="4"/>
  <c r="EM48" i="4"/>
  <c r="EN48" i="4"/>
  <c r="EO48" i="4"/>
  <c r="EP48" i="4"/>
  <c r="EQ48" i="4"/>
  <c r="ER48" i="4"/>
  <c r="ES48" i="4"/>
  <c r="ET48" i="4"/>
  <c r="EU48" i="4"/>
  <c r="EV48" i="4"/>
  <c r="EW48" i="4"/>
  <c r="EX48" i="4"/>
  <c r="EY48" i="4"/>
  <c r="EZ48" i="4"/>
  <c r="FA48" i="4"/>
  <c r="FB48" i="4"/>
  <c r="FC48" i="4"/>
  <c r="FD48" i="4"/>
  <c r="FE48" i="4"/>
  <c r="FF48" i="4"/>
  <c r="FG48" i="4"/>
  <c r="FH48" i="4"/>
  <c r="FI48" i="4"/>
  <c r="FJ48" i="4"/>
  <c r="FK48" i="4"/>
  <c r="FL48" i="4"/>
  <c r="FM48" i="4"/>
  <c r="FN48" i="4"/>
  <c r="FO48" i="4"/>
  <c r="FP48" i="4"/>
  <c r="FQ48" i="4"/>
  <c r="FR48" i="4"/>
  <c r="FS48" i="4"/>
  <c r="FT48" i="4"/>
  <c r="FU48" i="4"/>
  <c r="FV48" i="4"/>
  <c r="FW48" i="4"/>
  <c r="FX48" i="4"/>
  <c r="FY48" i="4"/>
  <c r="FZ48" i="4"/>
  <c r="GA48" i="4"/>
  <c r="GB48" i="4"/>
  <c r="GC48" i="4"/>
  <c r="GD48" i="4"/>
  <c r="GE48" i="4"/>
  <c r="GF48" i="4"/>
  <c r="GG48" i="4"/>
  <c r="GH48" i="4"/>
  <c r="GI48" i="4"/>
  <c r="GJ48" i="4"/>
  <c r="GK48" i="4"/>
  <c r="GL48" i="4"/>
  <c r="GM48" i="4"/>
  <c r="GN48" i="4"/>
  <c r="GO48" i="4"/>
  <c r="GP48" i="4"/>
  <c r="GQ48" i="4"/>
  <c r="GR48" i="4"/>
  <c r="GS48" i="4"/>
  <c r="GT48" i="4"/>
  <c r="GU48" i="4"/>
  <c r="GV48" i="4"/>
  <c r="GW48" i="4"/>
  <c r="GX48" i="4"/>
  <c r="GY48" i="4"/>
  <c r="GZ48" i="4"/>
  <c r="HA48" i="4"/>
  <c r="HB48" i="4"/>
  <c r="HC48" i="4"/>
  <c r="HD48" i="4"/>
  <c r="HE48" i="4"/>
  <c r="HF48" i="4"/>
  <c r="HG48" i="4"/>
  <c r="HH48" i="4"/>
  <c r="HI48" i="4"/>
  <c r="HJ48" i="4"/>
  <c r="HK48" i="4"/>
  <c r="HL48" i="4"/>
  <c r="HM48" i="4"/>
  <c r="HN48" i="4"/>
  <c r="HO48" i="4"/>
  <c r="HP48" i="4"/>
  <c r="HQ48" i="4"/>
  <c r="HR48" i="4"/>
  <c r="HS48" i="4"/>
  <c r="HT48" i="4"/>
  <c r="HU48" i="4"/>
  <c r="HV48" i="4"/>
  <c r="HW48" i="4"/>
  <c r="HX48" i="4"/>
  <c r="HY48" i="4"/>
  <c r="HZ48" i="4"/>
  <c r="IA48" i="4"/>
  <c r="IB48" i="4"/>
  <c r="IC48" i="4"/>
  <c r="ID48" i="4"/>
  <c r="IE48" i="4"/>
  <c r="IF48" i="4"/>
  <c r="IG48" i="4"/>
  <c r="IH48" i="4"/>
  <c r="II48" i="4"/>
  <c r="IJ48" i="4"/>
  <c r="IK48" i="4"/>
  <c r="IL48" i="4"/>
  <c r="IM48" i="4"/>
  <c r="IN48" i="4"/>
  <c r="IO48" i="4"/>
  <c r="IP48" i="4"/>
  <c r="IQ48" i="4"/>
  <c r="IR48" i="4"/>
  <c r="IS48" i="4"/>
  <c r="IT48" i="4"/>
  <c r="IU48" i="4"/>
  <c r="IV48" i="4"/>
  <c r="A47" i="4"/>
  <c r="B47" i="4"/>
  <c r="C47"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AN47" i="4"/>
  <c r="AO47" i="4"/>
  <c r="AP47" i="4"/>
  <c r="AQ47" i="4"/>
  <c r="AR47" i="4"/>
  <c r="AS47" i="4"/>
  <c r="AT47" i="4"/>
  <c r="AU47" i="4"/>
  <c r="AV47" i="4"/>
  <c r="AW47" i="4"/>
  <c r="AX47" i="4"/>
  <c r="AY47" i="4"/>
  <c r="AZ47" i="4"/>
  <c r="BA47" i="4"/>
  <c r="BB47" i="4"/>
  <c r="BC47" i="4"/>
  <c r="BD47" i="4"/>
  <c r="BE47" i="4"/>
  <c r="BF47" i="4"/>
  <c r="BG47" i="4"/>
  <c r="BH47" i="4"/>
  <c r="BI47" i="4"/>
  <c r="BJ47" i="4"/>
  <c r="BK47" i="4"/>
  <c r="BL47" i="4"/>
  <c r="BM47" i="4"/>
  <c r="BN47" i="4"/>
  <c r="BO47" i="4"/>
  <c r="BP47" i="4"/>
  <c r="BQ47" i="4"/>
  <c r="BR47" i="4"/>
  <c r="BS47" i="4"/>
  <c r="BT47" i="4"/>
  <c r="BU47" i="4"/>
  <c r="BV47" i="4"/>
  <c r="BW47" i="4"/>
  <c r="BX47" i="4"/>
  <c r="BY47" i="4"/>
  <c r="BZ47" i="4"/>
  <c r="CA47" i="4"/>
  <c r="CB47" i="4"/>
  <c r="CC47" i="4"/>
  <c r="CD47" i="4"/>
  <c r="CE47" i="4"/>
  <c r="CF47" i="4"/>
  <c r="CG47" i="4"/>
  <c r="CH47" i="4"/>
  <c r="CI47" i="4"/>
  <c r="CJ47" i="4"/>
  <c r="CK47" i="4"/>
  <c r="CL47" i="4"/>
  <c r="CM47" i="4"/>
  <c r="CN47" i="4"/>
  <c r="CO47" i="4"/>
  <c r="CP47" i="4"/>
  <c r="CQ47" i="4"/>
  <c r="CR47" i="4"/>
  <c r="CS47" i="4"/>
  <c r="CT47" i="4"/>
  <c r="CU47" i="4"/>
  <c r="CV47" i="4"/>
  <c r="CW47" i="4"/>
  <c r="CX47" i="4"/>
  <c r="CY47" i="4"/>
  <c r="CZ47" i="4"/>
  <c r="DA47" i="4"/>
  <c r="DB47" i="4"/>
  <c r="DC47" i="4"/>
  <c r="DD47" i="4"/>
  <c r="DE47" i="4"/>
  <c r="DF47" i="4"/>
  <c r="DG47" i="4"/>
  <c r="DH47" i="4"/>
  <c r="DI47" i="4"/>
  <c r="DJ47" i="4"/>
  <c r="DK47" i="4"/>
  <c r="DL47" i="4"/>
  <c r="DM47" i="4"/>
  <c r="DN47" i="4"/>
  <c r="DO47" i="4"/>
  <c r="DP47" i="4"/>
  <c r="DQ47" i="4"/>
  <c r="DR47" i="4"/>
  <c r="DS47" i="4"/>
  <c r="DT47" i="4"/>
  <c r="DU47" i="4"/>
  <c r="DV47" i="4"/>
  <c r="DW47" i="4"/>
  <c r="DX47" i="4"/>
  <c r="DY47" i="4"/>
  <c r="DZ47" i="4"/>
  <c r="EA47" i="4"/>
  <c r="EB47" i="4"/>
  <c r="EC47" i="4"/>
  <c r="ED47" i="4"/>
  <c r="EE47" i="4"/>
  <c r="EF47" i="4"/>
  <c r="EG47" i="4"/>
  <c r="EH47" i="4"/>
  <c r="EI47" i="4"/>
  <c r="EJ47" i="4"/>
  <c r="EK47" i="4"/>
  <c r="EL47" i="4"/>
  <c r="EM47" i="4"/>
  <c r="EN47" i="4"/>
  <c r="EO47" i="4"/>
  <c r="EP47" i="4"/>
  <c r="EQ47" i="4"/>
  <c r="ER47" i="4"/>
  <c r="ES47" i="4"/>
  <c r="ET47" i="4"/>
  <c r="EU47" i="4"/>
  <c r="EV47" i="4"/>
  <c r="EW47" i="4"/>
  <c r="EX47" i="4"/>
  <c r="EY47" i="4"/>
  <c r="EZ47" i="4"/>
  <c r="FA47" i="4"/>
  <c r="FB47" i="4"/>
  <c r="FC47" i="4"/>
  <c r="FD47" i="4"/>
  <c r="FE47" i="4"/>
  <c r="FF47" i="4"/>
  <c r="FG47" i="4"/>
  <c r="FH47" i="4"/>
  <c r="FI47" i="4"/>
  <c r="FJ47" i="4"/>
  <c r="FK47" i="4"/>
  <c r="FL47" i="4"/>
  <c r="FM47" i="4"/>
  <c r="FN47" i="4"/>
  <c r="FO47" i="4"/>
  <c r="FP47" i="4"/>
  <c r="FQ47" i="4"/>
  <c r="FR47" i="4"/>
  <c r="FS47" i="4"/>
  <c r="FT47" i="4"/>
  <c r="FU47" i="4"/>
  <c r="FV47" i="4"/>
  <c r="FW47" i="4"/>
  <c r="FX47" i="4"/>
  <c r="FY47" i="4"/>
  <c r="FZ47" i="4"/>
  <c r="GA47" i="4"/>
  <c r="GB47" i="4"/>
  <c r="GC47" i="4"/>
  <c r="GD47" i="4"/>
  <c r="GE47" i="4"/>
  <c r="GF47" i="4"/>
  <c r="GG47" i="4"/>
  <c r="GH47" i="4"/>
  <c r="GI47" i="4"/>
  <c r="GJ47" i="4"/>
  <c r="GK47" i="4"/>
  <c r="GL47" i="4"/>
  <c r="GM47" i="4"/>
  <c r="GN47" i="4"/>
  <c r="GO47" i="4"/>
  <c r="GP47" i="4"/>
  <c r="GQ47" i="4"/>
  <c r="GR47" i="4"/>
  <c r="GS47" i="4"/>
  <c r="GT47" i="4"/>
  <c r="GU47" i="4"/>
  <c r="GV47" i="4"/>
  <c r="GW47" i="4"/>
  <c r="GX47" i="4"/>
  <c r="GY47" i="4"/>
  <c r="GZ47" i="4"/>
  <c r="HA47" i="4"/>
  <c r="HB47" i="4"/>
  <c r="HC47" i="4"/>
  <c r="HD47" i="4"/>
  <c r="HE47" i="4"/>
  <c r="HF47" i="4"/>
  <c r="HG47" i="4"/>
  <c r="HH47" i="4"/>
  <c r="HI47" i="4"/>
  <c r="HJ47" i="4"/>
  <c r="HK47" i="4"/>
  <c r="HL47" i="4"/>
  <c r="HM47" i="4"/>
  <c r="HN47" i="4"/>
  <c r="HO47" i="4"/>
  <c r="HP47" i="4"/>
  <c r="HQ47" i="4"/>
  <c r="HR47" i="4"/>
  <c r="HS47" i="4"/>
  <c r="HT47" i="4"/>
  <c r="HU47" i="4"/>
  <c r="HV47" i="4"/>
  <c r="HW47" i="4"/>
  <c r="HX47" i="4"/>
  <c r="HY47" i="4"/>
  <c r="HZ47" i="4"/>
  <c r="IA47" i="4"/>
  <c r="IB47" i="4"/>
  <c r="IC47" i="4"/>
  <c r="ID47" i="4"/>
  <c r="IE47" i="4"/>
  <c r="IF47" i="4"/>
  <c r="IG47" i="4"/>
  <c r="IH47" i="4"/>
  <c r="II47" i="4"/>
  <c r="IJ47" i="4"/>
  <c r="IK47" i="4"/>
  <c r="IL47" i="4"/>
  <c r="IM47" i="4"/>
  <c r="IN47" i="4"/>
  <c r="IO47" i="4"/>
  <c r="IP47" i="4"/>
  <c r="IQ47" i="4"/>
  <c r="IR47" i="4"/>
  <c r="IS47" i="4"/>
  <c r="IT47" i="4"/>
  <c r="IU47" i="4"/>
  <c r="IV47" i="4"/>
  <c r="A46" i="4"/>
  <c r="B46" i="4"/>
  <c r="C46"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AJ46" i="4"/>
  <c r="AK46" i="4"/>
  <c r="AL46" i="4"/>
  <c r="AM46" i="4"/>
  <c r="AN46" i="4"/>
  <c r="AO46" i="4"/>
  <c r="AP46" i="4"/>
  <c r="AQ46" i="4"/>
  <c r="AR46" i="4"/>
  <c r="AS46" i="4"/>
  <c r="AT46" i="4"/>
  <c r="AU46" i="4"/>
  <c r="AV46" i="4"/>
  <c r="AW46" i="4"/>
  <c r="AX46" i="4"/>
  <c r="AY46" i="4"/>
  <c r="AZ46" i="4"/>
  <c r="BA46" i="4"/>
  <c r="BB46" i="4"/>
  <c r="BC46" i="4"/>
  <c r="BD46" i="4"/>
  <c r="BE46" i="4"/>
  <c r="BF46" i="4"/>
  <c r="BG46" i="4"/>
  <c r="BH46" i="4"/>
  <c r="BI46" i="4"/>
  <c r="BJ46" i="4"/>
  <c r="BK46" i="4"/>
  <c r="BL46" i="4"/>
  <c r="BM46" i="4"/>
  <c r="BN46" i="4"/>
  <c r="BO46" i="4"/>
  <c r="BP46" i="4"/>
  <c r="BQ46" i="4"/>
  <c r="BR46" i="4"/>
  <c r="BS46" i="4"/>
  <c r="BT46" i="4"/>
  <c r="BU46" i="4"/>
  <c r="BV46" i="4"/>
  <c r="BW46" i="4"/>
  <c r="BX46" i="4"/>
  <c r="BY46" i="4"/>
  <c r="BZ46" i="4"/>
  <c r="CA46" i="4"/>
  <c r="CB46" i="4"/>
  <c r="CC46" i="4"/>
  <c r="CD46" i="4"/>
  <c r="CE46" i="4"/>
  <c r="CF46" i="4"/>
  <c r="CG46" i="4"/>
  <c r="CH46" i="4"/>
  <c r="CI46" i="4"/>
  <c r="CJ46" i="4"/>
  <c r="CK46" i="4"/>
  <c r="CL46" i="4"/>
  <c r="CM46" i="4"/>
  <c r="CN46" i="4"/>
  <c r="CO46" i="4"/>
  <c r="CP46" i="4"/>
  <c r="CQ46" i="4"/>
  <c r="CR46" i="4"/>
  <c r="CS46" i="4"/>
  <c r="CT46" i="4"/>
  <c r="CU46" i="4"/>
  <c r="CV46" i="4"/>
  <c r="CW46" i="4"/>
  <c r="CX46" i="4"/>
  <c r="CY46" i="4"/>
  <c r="CZ46" i="4"/>
  <c r="DA46" i="4"/>
  <c r="DB46" i="4"/>
  <c r="DC46" i="4"/>
  <c r="DD46" i="4"/>
  <c r="DE46" i="4"/>
  <c r="DF46" i="4"/>
  <c r="DG46" i="4"/>
  <c r="DH46" i="4"/>
  <c r="DI46" i="4"/>
  <c r="DJ46" i="4"/>
  <c r="DK46" i="4"/>
  <c r="DL46" i="4"/>
  <c r="DM46" i="4"/>
  <c r="DN46" i="4"/>
  <c r="DO46" i="4"/>
  <c r="DP46" i="4"/>
  <c r="DQ46" i="4"/>
  <c r="DR46" i="4"/>
  <c r="DS46" i="4"/>
  <c r="DT46" i="4"/>
  <c r="DU46" i="4"/>
  <c r="DV46" i="4"/>
  <c r="DW46" i="4"/>
  <c r="DX46" i="4"/>
  <c r="DY46" i="4"/>
  <c r="DZ46" i="4"/>
  <c r="EA46" i="4"/>
  <c r="EB46" i="4"/>
  <c r="EC46" i="4"/>
  <c r="ED46" i="4"/>
  <c r="EE46" i="4"/>
  <c r="EF46" i="4"/>
  <c r="EG46" i="4"/>
  <c r="EH46" i="4"/>
  <c r="EI46" i="4"/>
  <c r="EJ46" i="4"/>
  <c r="EK46" i="4"/>
  <c r="EL46" i="4"/>
  <c r="EM46" i="4"/>
  <c r="EN46" i="4"/>
  <c r="EO46" i="4"/>
  <c r="EP46" i="4"/>
  <c r="EQ46" i="4"/>
  <c r="ER46" i="4"/>
  <c r="ES46" i="4"/>
  <c r="ET46" i="4"/>
  <c r="EU46" i="4"/>
  <c r="EV46" i="4"/>
  <c r="EW46" i="4"/>
  <c r="EX46" i="4"/>
  <c r="EY46" i="4"/>
  <c r="EZ46" i="4"/>
  <c r="FA46" i="4"/>
  <c r="FB46" i="4"/>
  <c r="FC46" i="4"/>
  <c r="FD46" i="4"/>
  <c r="FE46" i="4"/>
  <c r="FF46" i="4"/>
  <c r="FG46" i="4"/>
  <c r="FH46" i="4"/>
  <c r="FI46" i="4"/>
  <c r="FJ46" i="4"/>
  <c r="FK46" i="4"/>
  <c r="FL46" i="4"/>
  <c r="FM46" i="4"/>
  <c r="FN46" i="4"/>
  <c r="FO46" i="4"/>
  <c r="FP46" i="4"/>
  <c r="FQ46" i="4"/>
  <c r="FR46" i="4"/>
  <c r="FS46" i="4"/>
  <c r="FT46" i="4"/>
  <c r="FU46" i="4"/>
  <c r="FV46" i="4"/>
  <c r="FW46" i="4"/>
  <c r="FX46" i="4"/>
  <c r="FY46" i="4"/>
  <c r="FZ46" i="4"/>
  <c r="GA46" i="4"/>
  <c r="GB46" i="4"/>
  <c r="GC46" i="4"/>
  <c r="GD46" i="4"/>
  <c r="GE46" i="4"/>
  <c r="GF46" i="4"/>
  <c r="GG46" i="4"/>
  <c r="GH46" i="4"/>
  <c r="GI46" i="4"/>
  <c r="GJ46" i="4"/>
  <c r="GK46" i="4"/>
  <c r="GL46" i="4"/>
  <c r="GM46" i="4"/>
  <c r="GN46" i="4"/>
  <c r="GO46" i="4"/>
  <c r="GP46" i="4"/>
  <c r="GQ46" i="4"/>
  <c r="GR46" i="4"/>
  <c r="GS46" i="4"/>
  <c r="GT46" i="4"/>
  <c r="GU46" i="4"/>
  <c r="GV46" i="4"/>
  <c r="GW46" i="4"/>
  <c r="GX46" i="4"/>
  <c r="GY46" i="4"/>
  <c r="GZ46" i="4"/>
  <c r="HA46" i="4"/>
  <c r="HB46" i="4"/>
  <c r="HC46" i="4"/>
  <c r="HD46" i="4"/>
  <c r="HE46" i="4"/>
  <c r="HF46" i="4"/>
  <c r="HG46" i="4"/>
  <c r="HH46" i="4"/>
  <c r="HI46" i="4"/>
  <c r="HJ46" i="4"/>
  <c r="HK46" i="4"/>
  <c r="HL46" i="4"/>
  <c r="HM46" i="4"/>
  <c r="HN46" i="4"/>
  <c r="HO46" i="4"/>
  <c r="HP46" i="4"/>
  <c r="HQ46" i="4"/>
  <c r="HR46" i="4"/>
  <c r="HS46" i="4"/>
  <c r="HT46" i="4"/>
  <c r="HU46" i="4"/>
  <c r="HV46" i="4"/>
  <c r="HW46" i="4"/>
  <c r="HX46" i="4"/>
  <c r="HY46" i="4"/>
  <c r="HZ46" i="4"/>
  <c r="IA46" i="4"/>
  <c r="IB46" i="4"/>
  <c r="IC46" i="4"/>
  <c r="ID46" i="4"/>
  <c r="IE46" i="4"/>
  <c r="IF46" i="4"/>
  <c r="IG46" i="4"/>
  <c r="IH46" i="4"/>
  <c r="II46" i="4"/>
  <c r="IJ46" i="4"/>
  <c r="IK46" i="4"/>
  <c r="IL46" i="4"/>
  <c r="IM46" i="4"/>
  <c r="IN46" i="4"/>
  <c r="IO46" i="4"/>
  <c r="IP46" i="4"/>
  <c r="IQ46" i="4"/>
  <c r="IR46" i="4"/>
  <c r="IS46" i="4"/>
  <c r="IT46" i="4"/>
  <c r="IU46" i="4"/>
  <c r="IV46" i="4"/>
  <c r="A45" i="4"/>
  <c r="B45" i="4"/>
  <c r="C45" i="4"/>
  <c r="D45" i="4"/>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AJ45" i="4"/>
  <c r="AK45" i="4"/>
  <c r="AL45" i="4"/>
  <c r="AM45" i="4"/>
  <c r="AN45" i="4"/>
  <c r="AO45" i="4"/>
  <c r="AP45" i="4"/>
  <c r="AQ45" i="4"/>
  <c r="AR45" i="4"/>
  <c r="AS45" i="4"/>
  <c r="AT45" i="4"/>
  <c r="AU45" i="4"/>
  <c r="AV45" i="4"/>
  <c r="AW45" i="4"/>
  <c r="AX45" i="4"/>
  <c r="AY45" i="4"/>
  <c r="AZ45" i="4"/>
  <c r="BA45" i="4"/>
  <c r="BB45" i="4"/>
  <c r="BC45" i="4"/>
  <c r="BD45" i="4"/>
  <c r="BE45" i="4"/>
  <c r="BF45" i="4"/>
  <c r="BG45" i="4"/>
  <c r="BH45" i="4"/>
  <c r="BI45" i="4"/>
  <c r="BJ45" i="4"/>
  <c r="BK45" i="4"/>
  <c r="BL45" i="4"/>
  <c r="BM45" i="4"/>
  <c r="BN45" i="4"/>
  <c r="BO45" i="4"/>
  <c r="BP45" i="4"/>
  <c r="BQ45" i="4"/>
  <c r="BR45" i="4"/>
  <c r="BS45" i="4"/>
  <c r="BT45" i="4"/>
  <c r="BU45" i="4"/>
  <c r="BV45" i="4"/>
  <c r="BW45" i="4"/>
  <c r="BX45" i="4"/>
  <c r="BY45" i="4"/>
  <c r="BZ45" i="4"/>
  <c r="CA45" i="4"/>
  <c r="CB45" i="4"/>
  <c r="CC45" i="4"/>
  <c r="CD45" i="4"/>
  <c r="CE45" i="4"/>
  <c r="CF45" i="4"/>
  <c r="CG45" i="4"/>
  <c r="CH45" i="4"/>
  <c r="CI45" i="4"/>
  <c r="CJ45" i="4"/>
  <c r="CK45" i="4"/>
  <c r="CL45" i="4"/>
  <c r="CM45" i="4"/>
  <c r="CN45" i="4"/>
  <c r="CO45" i="4"/>
  <c r="CP45" i="4"/>
  <c r="CQ45" i="4"/>
  <c r="CR45" i="4"/>
  <c r="CS45" i="4"/>
  <c r="CT45" i="4"/>
  <c r="CU45" i="4"/>
  <c r="CV45" i="4"/>
  <c r="CW45" i="4"/>
  <c r="CX45" i="4"/>
  <c r="CY45" i="4"/>
  <c r="CZ45" i="4"/>
  <c r="DA45" i="4"/>
  <c r="DB45" i="4"/>
  <c r="DC45" i="4"/>
  <c r="DD45" i="4"/>
  <c r="DE45" i="4"/>
  <c r="DF45" i="4"/>
  <c r="DG45" i="4"/>
  <c r="DH45" i="4"/>
  <c r="DI45" i="4"/>
  <c r="DJ45" i="4"/>
  <c r="DK45" i="4"/>
  <c r="DL45" i="4"/>
  <c r="DM45" i="4"/>
  <c r="DN45" i="4"/>
  <c r="DO45" i="4"/>
  <c r="DP45" i="4"/>
  <c r="DQ45" i="4"/>
  <c r="DR45" i="4"/>
  <c r="DS45" i="4"/>
  <c r="DT45" i="4"/>
  <c r="DU45" i="4"/>
  <c r="DV45" i="4"/>
  <c r="DW45" i="4"/>
  <c r="DX45" i="4"/>
  <c r="DY45" i="4"/>
  <c r="DZ45" i="4"/>
  <c r="EA45" i="4"/>
  <c r="EB45" i="4"/>
  <c r="EC45" i="4"/>
  <c r="ED45" i="4"/>
  <c r="EE45" i="4"/>
  <c r="EF45" i="4"/>
  <c r="EG45" i="4"/>
  <c r="EH45" i="4"/>
  <c r="EI45" i="4"/>
  <c r="EJ45" i="4"/>
  <c r="EK45" i="4"/>
  <c r="EL45" i="4"/>
  <c r="EM45" i="4"/>
  <c r="EN45" i="4"/>
  <c r="EO45" i="4"/>
  <c r="EP45" i="4"/>
  <c r="EQ45" i="4"/>
  <c r="ER45" i="4"/>
  <c r="ES45" i="4"/>
  <c r="ET45" i="4"/>
  <c r="EU45" i="4"/>
  <c r="EV45" i="4"/>
  <c r="EW45" i="4"/>
  <c r="EX45" i="4"/>
  <c r="EY45" i="4"/>
  <c r="EZ45" i="4"/>
  <c r="FA45" i="4"/>
  <c r="FB45" i="4"/>
  <c r="FC45" i="4"/>
  <c r="FD45" i="4"/>
  <c r="FE45" i="4"/>
  <c r="FF45" i="4"/>
  <c r="FG45" i="4"/>
  <c r="FH45" i="4"/>
  <c r="FI45" i="4"/>
  <c r="FJ45" i="4"/>
  <c r="FK45" i="4"/>
  <c r="FL45" i="4"/>
  <c r="FM45" i="4"/>
  <c r="FN45" i="4"/>
  <c r="FO45" i="4"/>
  <c r="FP45" i="4"/>
  <c r="FQ45" i="4"/>
  <c r="FR45" i="4"/>
  <c r="FS45" i="4"/>
  <c r="FT45" i="4"/>
  <c r="FU45" i="4"/>
  <c r="FV45" i="4"/>
  <c r="FW45" i="4"/>
  <c r="FX45" i="4"/>
  <c r="FY45" i="4"/>
  <c r="FZ45" i="4"/>
  <c r="GA45" i="4"/>
  <c r="GB45" i="4"/>
  <c r="GC45" i="4"/>
  <c r="GD45" i="4"/>
  <c r="GE45" i="4"/>
  <c r="GF45" i="4"/>
  <c r="GG45" i="4"/>
  <c r="GH45" i="4"/>
  <c r="GI45" i="4"/>
  <c r="GJ45" i="4"/>
  <c r="GK45" i="4"/>
  <c r="GL45" i="4"/>
  <c r="GM45" i="4"/>
  <c r="GN45" i="4"/>
  <c r="GO45" i="4"/>
  <c r="GP45" i="4"/>
  <c r="GQ45" i="4"/>
  <c r="GR45" i="4"/>
  <c r="GS45" i="4"/>
  <c r="GT45" i="4"/>
  <c r="GU45" i="4"/>
  <c r="GV45" i="4"/>
  <c r="GW45" i="4"/>
  <c r="GX45" i="4"/>
  <c r="GY45" i="4"/>
  <c r="GZ45" i="4"/>
  <c r="HA45" i="4"/>
  <c r="HB45" i="4"/>
  <c r="HC45" i="4"/>
  <c r="HD45" i="4"/>
  <c r="HE45" i="4"/>
  <c r="HF45" i="4"/>
  <c r="HG45" i="4"/>
  <c r="HH45" i="4"/>
  <c r="HI45" i="4"/>
  <c r="HJ45" i="4"/>
  <c r="HK45" i="4"/>
  <c r="HL45" i="4"/>
  <c r="HM45" i="4"/>
  <c r="HN45" i="4"/>
  <c r="HO45" i="4"/>
  <c r="HP45" i="4"/>
  <c r="HQ45" i="4"/>
  <c r="HR45" i="4"/>
  <c r="HS45" i="4"/>
  <c r="HT45" i="4"/>
  <c r="HU45" i="4"/>
  <c r="HV45" i="4"/>
  <c r="HW45" i="4"/>
  <c r="HX45" i="4"/>
  <c r="HY45" i="4"/>
  <c r="HZ45" i="4"/>
  <c r="IA45" i="4"/>
  <c r="IB45" i="4"/>
  <c r="IC45" i="4"/>
  <c r="ID45" i="4"/>
  <c r="IE45" i="4"/>
  <c r="IF45" i="4"/>
  <c r="IG45" i="4"/>
  <c r="IH45" i="4"/>
  <c r="II45" i="4"/>
  <c r="IJ45" i="4"/>
  <c r="IK45" i="4"/>
  <c r="IL45" i="4"/>
  <c r="IM45" i="4"/>
  <c r="IN45" i="4"/>
  <c r="IO45" i="4"/>
  <c r="IP45" i="4"/>
  <c r="IQ45" i="4"/>
  <c r="IR45" i="4"/>
  <c r="IS45" i="4"/>
  <c r="IT45" i="4"/>
  <c r="IU45" i="4"/>
  <c r="IV45" i="4"/>
  <c r="A44" i="4"/>
  <c r="B44" i="4"/>
  <c r="C44"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I44" i="4"/>
  <c r="AJ44" i="4"/>
  <c r="AK44" i="4"/>
  <c r="AL44" i="4"/>
  <c r="AM44" i="4"/>
  <c r="AN44" i="4"/>
  <c r="AO44" i="4"/>
  <c r="AP44" i="4"/>
  <c r="AQ44" i="4"/>
  <c r="AR44" i="4"/>
  <c r="AS44" i="4"/>
  <c r="AT44" i="4"/>
  <c r="AU44" i="4"/>
  <c r="AV44" i="4"/>
  <c r="AW44" i="4"/>
  <c r="AX44" i="4"/>
  <c r="AY44" i="4"/>
  <c r="AZ44" i="4"/>
  <c r="BA44" i="4"/>
  <c r="BB44" i="4"/>
  <c r="BC44" i="4"/>
  <c r="BD44" i="4"/>
  <c r="BE44" i="4"/>
  <c r="BF44" i="4"/>
  <c r="BG44" i="4"/>
  <c r="BH44" i="4"/>
  <c r="BI44" i="4"/>
  <c r="BJ44" i="4"/>
  <c r="BK44" i="4"/>
  <c r="BL44" i="4"/>
  <c r="BM44" i="4"/>
  <c r="BN44" i="4"/>
  <c r="BO44" i="4"/>
  <c r="BP44" i="4"/>
  <c r="BQ44" i="4"/>
  <c r="BR44" i="4"/>
  <c r="BS44" i="4"/>
  <c r="BT44" i="4"/>
  <c r="BU44" i="4"/>
  <c r="BV44" i="4"/>
  <c r="BW44" i="4"/>
  <c r="BX44" i="4"/>
  <c r="BY44" i="4"/>
  <c r="BZ44" i="4"/>
  <c r="CA44" i="4"/>
  <c r="CB44" i="4"/>
  <c r="CC44" i="4"/>
  <c r="CD44" i="4"/>
  <c r="CE44" i="4"/>
  <c r="CF44" i="4"/>
  <c r="CG44" i="4"/>
  <c r="CH44" i="4"/>
  <c r="CI44" i="4"/>
  <c r="CJ44" i="4"/>
  <c r="CK44" i="4"/>
  <c r="CL44" i="4"/>
  <c r="CM44" i="4"/>
  <c r="CN44" i="4"/>
  <c r="CO44" i="4"/>
  <c r="CP44" i="4"/>
  <c r="CQ44" i="4"/>
  <c r="CR44" i="4"/>
  <c r="CS44" i="4"/>
  <c r="CT44" i="4"/>
  <c r="CU44" i="4"/>
  <c r="CV44" i="4"/>
  <c r="CW44" i="4"/>
  <c r="CX44" i="4"/>
  <c r="CY44" i="4"/>
  <c r="CZ44" i="4"/>
  <c r="DA44" i="4"/>
  <c r="DB44" i="4"/>
  <c r="DC44" i="4"/>
  <c r="DD44" i="4"/>
  <c r="DE44" i="4"/>
  <c r="DF44" i="4"/>
  <c r="DG44" i="4"/>
  <c r="DH44" i="4"/>
  <c r="DI44" i="4"/>
  <c r="DJ44" i="4"/>
  <c r="DK44" i="4"/>
  <c r="DL44" i="4"/>
  <c r="DM44" i="4"/>
  <c r="DN44" i="4"/>
  <c r="DO44" i="4"/>
  <c r="DP44" i="4"/>
  <c r="DQ44" i="4"/>
  <c r="DR44" i="4"/>
  <c r="DS44" i="4"/>
  <c r="DT44" i="4"/>
  <c r="DU44" i="4"/>
  <c r="DV44" i="4"/>
  <c r="DW44" i="4"/>
  <c r="DX44" i="4"/>
  <c r="DY44" i="4"/>
  <c r="DZ44" i="4"/>
  <c r="EA44" i="4"/>
  <c r="EB44" i="4"/>
  <c r="EC44" i="4"/>
  <c r="ED44" i="4"/>
  <c r="EE44" i="4"/>
  <c r="EF44" i="4"/>
  <c r="EG44" i="4"/>
  <c r="EH44" i="4"/>
  <c r="EI44" i="4"/>
  <c r="EJ44" i="4"/>
  <c r="EK44" i="4"/>
  <c r="EL44" i="4"/>
  <c r="EM44" i="4"/>
  <c r="EN44" i="4"/>
  <c r="EO44" i="4"/>
  <c r="EP44" i="4"/>
  <c r="EQ44" i="4"/>
  <c r="ER44" i="4"/>
  <c r="ES44" i="4"/>
  <c r="ET44" i="4"/>
  <c r="EU44" i="4"/>
  <c r="EV44" i="4"/>
  <c r="EW44" i="4"/>
  <c r="EX44" i="4"/>
  <c r="EY44" i="4"/>
  <c r="EZ44" i="4"/>
  <c r="FA44" i="4"/>
  <c r="FB44" i="4"/>
  <c r="FC44" i="4"/>
  <c r="FD44" i="4"/>
  <c r="FE44" i="4"/>
  <c r="FF44" i="4"/>
  <c r="FG44" i="4"/>
  <c r="FH44" i="4"/>
  <c r="FI44" i="4"/>
  <c r="FJ44" i="4"/>
  <c r="FK44" i="4"/>
  <c r="FL44" i="4"/>
  <c r="FM44" i="4"/>
  <c r="FN44" i="4"/>
  <c r="FO44" i="4"/>
  <c r="FP44" i="4"/>
  <c r="FQ44" i="4"/>
  <c r="FR44" i="4"/>
  <c r="FS44" i="4"/>
  <c r="FT44" i="4"/>
  <c r="FU44" i="4"/>
  <c r="FV44" i="4"/>
  <c r="FW44" i="4"/>
  <c r="FX44" i="4"/>
  <c r="FY44" i="4"/>
  <c r="FZ44" i="4"/>
  <c r="GA44" i="4"/>
  <c r="GB44" i="4"/>
  <c r="GC44" i="4"/>
  <c r="GD44" i="4"/>
  <c r="GE44" i="4"/>
  <c r="GF44" i="4"/>
  <c r="GG44" i="4"/>
  <c r="GH44" i="4"/>
  <c r="GI44" i="4"/>
  <c r="GJ44" i="4"/>
  <c r="GK44" i="4"/>
  <c r="GL44" i="4"/>
  <c r="GM44" i="4"/>
  <c r="GN44" i="4"/>
  <c r="GO44" i="4"/>
  <c r="GP44" i="4"/>
  <c r="GQ44" i="4"/>
  <c r="GR44" i="4"/>
  <c r="GS44" i="4"/>
  <c r="GT44" i="4"/>
  <c r="GU44" i="4"/>
  <c r="GV44" i="4"/>
  <c r="GW44" i="4"/>
  <c r="GX44" i="4"/>
  <c r="GY44" i="4"/>
  <c r="GZ44" i="4"/>
  <c r="HA44" i="4"/>
  <c r="HB44" i="4"/>
  <c r="HC44" i="4"/>
  <c r="HD44" i="4"/>
  <c r="HE44" i="4"/>
  <c r="HF44" i="4"/>
  <c r="HG44" i="4"/>
  <c r="HH44" i="4"/>
  <c r="HI44" i="4"/>
  <c r="HJ44" i="4"/>
  <c r="HK44" i="4"/>
  <c r="HL44" i="4"/>
  <c r="HM44" i="4"/>
  <c r="HN44" i="4"/>
  <c r="HO44" i="4"/>
  <c r="HP44" i="4"/>
  <c r="HQ44" i="4"/>
  <c r="HR44" i="4"/>
  <c r="HS44" i="4"/>
  <c r="HT44" i="4"/>
  <c r="HU44" i="4"/>
  <c r="HV44" i="4"/>
  <c r="HW44" i="4"/>
  <c r="HX44" i="4"/>
  <c r="HY44" i="4"/>
  <c r="HZ44" i="4"/>
  <c r="IA44" i="4"/>
  <c r="IB44" i="4"/>
  <c r="IC44" i="4"/>
  <c r="ID44" i="4"/>
  <c r="IE44" i="4"/>
  <c r="IF44" i="4"/>
  <c r="IG44" i="4"/>
  <c r="IH44" i="4"/>
  <c r="II44" i="4"/>
  <c r="IJ44" i="4"/>
  <c r="IK44" i="4"/>
  <c r="IL44" i="4"/>
  <c r="IM44" i="4"/>
  <c r="IN44" i="4"/>
  <c r="IO44" i="4"/>
  <c r="IP44" i="4"/>
  <c r="IQ44" i="4"/>
  <c r="IR44" i="4"/>
  <c r="IS44" i="4"/>
  <c r="IT44" i="4"/>
  <c r="IU44" i="4"/>
  <c r="IV44" i="4"/>
  <c r="A43" i="4"/>
  <c r="B43" i="4"/>
  <c r="C43" i="4"/>
  <c r="D43" i="4"/>
  <c r="E43" i="4"/>
  <c r="F43" i="4"/>
  <c r="G43" i="4"/>
  <c r="H43" i="4"/>
  <c r="I43" i="4"/>
  <c r="J43" i="4"/>
  <c r="K43" i="4"/>
  <c r="L43" i="4"/>
  <c r="M43" i="4"/>
  <c r="N43" i="4"/>
  <c r="O43" i="4"/>
  <c r="P43" i="4"/>
  <c r="Q43" i="4"/>
  <c r="R43" i="4"/>
  <c r="S43" i="4"/>
  <c r="T43" i="4"/>
  <c r="U43" i="4"/>
  <c r="V43" i="4"/>
  <c r="W43" i="4"/>
  <c r="X43" i="4"/>
  <c r="Y43" i="4"/>
  <c r="Z43" i="4"/>
  <c r="AA43" i="4"/>
  <c r="AB43" i="4"/>
  <c r="AC43" i="4"/>
  <c r="AD43" i="4"/>
  <c r="AE43" i="4"/>
  <c r="AF43" i="4"/>
  <c r="AG43" i="4"/>
  <c r="AH43" i="4"/>
  <c r="AI43" i="4"/>
  <c r="AJ43" i="4"/>
  <c r="AK43" i="4"/>
  <c r="AL43" i="4"/>
  <c r="AM43" i="4"/>
  <c r="AN43" i="4"/>
  <c r="AO43" i="4"/>
  <c r="AP43" i="4"/>
  <c r="AQ43" i="4"/>
  <c r="AR43" i="4"/>
  <c r="AS43" i="4"/>
  <c r="AT43" i="4"/>
  <c r="AU43" i="4"/>
  <c r="AV43" i="4"/>
  <c r="AW43" i="4"/>
  <c r="AX43" i="4"/>
  <c r="AY43" i="4"/>
  <c r="AZ43" i="4"/>
  <c r="BA43" i="4"/>
  <c r="BB43" i="4"/>
  <c r="BC43" i="4"/>
  <c r="BD43" i="4"/>
  <c r="BE43" i="4"/>
  <c r="BF43" i="4"/>
  <c r="BG43" i="4"/>
  <c r="BH43" i="4"/>
  <c r="BI43" i="4"/>
  <c r="BJ43" i="4"/>
  <c r="BK43" i="4"/>
  <c r="BL43" i="4"/>
  <c r="BM43" i="4"/>
  <c r="BN43" i="4"/>
  <c r="BO43" i="4"/>
  <c r="BP43" i="4"/>
  <c r="BQ43" i="4"/>
  <c r="BR43" i="4"/>
  <c r="BS43" i="4"/>
  <c r="BT43" i="4"/>
  <c r="BU43" i="4"/>
  <c r="BV43" i="4"/>
  <c r="BW43" i="4"/>
  <c r="BX43" i="4"/>
  <c r="BY43" i="4"/>
  <c r="BZ43" i="4"/>
  <c r="CA43" i="4"/>
  <c r="CB43" i="4"/>
  <c r="CC43" i="4"/>
  <c r="CD43" i="4"/>
  <c r="CE43" i="4"/>
  <c r="CF43" i="4"/>
  <c r="CG43" i="4"/>
  <c r="CH43" i="4"/>
  <c r="CI43" i="4"/>
  <c r="CJ43" i="4"/>
  <c r="CK43" i="4"/>
  <c r="CL43" i="4"/>
  <c r="CM43" i="4"/>
  <c r="CN43" i="4"/>
  <c r="CO43" i="4"/>
  <c r="CP43" i="4"/>
  <c r="CQ43" i="4"/>
  <c r="CR43" i="4"/>
  <c r="CS43" i="4"/>
  <c r="CT43" i="4"/>
  <c r="CU43" i="4"/>
  <c r="CV43" i="4"/>
  <c r="CW43" i="4"/>
  <c r="CX43" i="4"/>
  <c r="CY43" i="4"/>
  <c r="CZ43" i="4"/>
  <c r="DA43" i="4"/>
  <c r="DB43" i="4"/>
  <c r="DC43" i="4"/>
  <c r="DD43" i="4"/>
  <c r="DE43" i="4"/>
  <c r="DF43" i="4"/>
  <c r="DG43" i="4"/>
  <c r="DH43" i="4"/>
  <c r="DI43" i="4"/>
  <c r="DJ43" i="4"/>
  <c r="DK43" i="4"/>
  <c r="DL43" i="4"/>
  <c r="DM43" i="4"/>
  <c r="DN43" i="4"/>
  <c r="DO43" i="4"/>
  <c r="DP43" i="4"/>
  <c r="DQ43" i="4"/>
  <c r="DR43" i="4"/>
  <c r="DS43" i="4"/>
  <c r="DT43" i="4"/>
  <c r="DU43" i="4"/>
  <c r="DV43" i="4"/>
  <c r="DW43" i="4"/>
  <c r="DX43" i="4"/>
  <c r="DY43" i="4"/>
  <c r="DZ43" i="4"/>
  <c r="EA43" i="4"/>
  <c r="EB43" i="4"/>
  <c r="EC43" i="4"/>
  <c r="ED43" i="4"/>
  <c r="EE43" i="4"/>
  <c r="EF43" i="4"/>
  <c r="EG43" i="4"/>
  <c r="EH43" i="4"/>
  <c r="EI43" i="4"/>
  <c r="EJ43" i="4"/>
  <c r="EK43" i="4"/>
  <c r="EL43" i="4"/>
  <c r="EM43" i="4"/>
  <c r="EN43" i="4"/>
  <c r="EO43" i="4"/>
  <c r="EP43" i="4"/>
  <c r="EQ43" i="4"/>
  <c r="ER43" i="4"/>
  <c r="ES43" i="4"/>
  <c r="ET43" i="4"/>
  <c r="EU43" i="4"/>
  <c r="EV43" i="4"/>
  <c r="EW43" i="4"/>
  <c r="EX43" i="4"/>
  <c r="EY43" i="4"/>
  <c r="EZ43" i="4"/>
  <c r="FA43" i="4"/>
  <c r="FB43" i="4"/>
  <c r="FC43" i="4"/>
  <c r="FD43" i="4"/>
  <c r="FE43" i="4"/>
  <c r="FF43" i="4"/>
  <c r="FG43" i="4"/>
  <c r="FH43" i="4"/>
  <c r="FI43" i="4"/>
  <c r="FJ43" i="4"/>
  <c r="FK43" i="4"/>
  <c r="FL43" i="4"/>
  <c r="FM43" i="4"/>
  <c r="FN43" i="4"/>
  <c r="FO43" i="4"/>
  <c r="FP43" i="4"/>
  <c r="FQ43" i="4"/>
  <c r="FR43" i="4"/>
  <c r="FS43" i="4"/>
  <c r="FT43" i="4"/>
  <c r="FU43" i="4"/>
  <c r="FV43" i="4"/>
  <c r="FW43" i="4"/>
  <c r="FX43" i="4"/>
  <c r="FY43" i="4"/>
  <c r="FZ43" i="4"/>
  <c r="GA43" i="4"/>
  <c r="GB43" i="4"/>
  <c r="GC43" i="4"/>
  <c r="GD43" i="4"/>
  <c r="GE43" i="4"/>
  <c r="GF43" i="4"/>
  <c r="GG43" i="4"/>
  <c r="GH43" i="4"/>
  <c r="GI43" i="4"/>
  <c r="GJ43" i="4"/>
  <c r="GK43" i="4"/>
  <c r="GL43" i="4"/>
  <c r="GM43" i="4"/>
  <c r="GN43" i="4"/>
  <c r="GO43" i="4"/>
  <c r="GP43" i="4"/>
  <c r="GQ43" i="4"/>
  <c r="GR43" i="4"/>
  <c r="GS43" i="4"/>
  <c r="GT43" i="4"/>
  <c r="GU43" i="4"/>
  <c r="GV43" i="4"/>
  <c r="GW43" i="4"/>
  <c r="GX43" i="4"/>
  <c r="GY43" i="4"/>
  <c r="GZ43" i="4"/>
  <c r="HA43" i="4"/>
  <c r="HB43" i="4"/>
  <c r="HC43" i="4"/>
  <c r="HD43" i="4"/>
  <c r="HE43" i="4"/>
  <c r="HF43" i="4"/>
  <c r="HG43" i="4"/>
  <c r="HH43" i="4"/>
  <c r="HI43" i="4"/>
  <c r="HJ43" i="4"/>
  <c r="HK43" i="4"/>
  <c r="HL43" i="4"/>
  <c r="HM43" i="4"/>
  <c r="HN43" i="4"/>
  <c r="HO43" i="4"/>
  <c r="HP43" i="4"/>
  <c r="HQ43" i="4"/>
  <c r="HR43" i="4"/>
  <c r="HS43" i="4"/>
  <c r="HT43" i="4"/>
  <c r="HU43" i="4"/>
  <c r="HV43" i="4"/>
  <c r="HW43" i="4"/>
  <c r="HX43" i="4"/>
  <c r="HY43" i="4"/>
  <c r="HZ43" i="4"/>
  <c r="IA43" i="4"/>
  <c r="IB43" i="4"/>
  <c r="IC43" i="4"/>
  <c r="ID43" i="4"/>
  <c r="IE43" i="4"/>
  <c r="IF43" i="4"/>
  <c r="IG43" i="4"/>
  <c r="IH43" i="4"/>
  <c r="II43" i="4"/>
  <c r="IJ43" i="4"/>
  <c r="IK43" i="4"/>
  <c r="IL43" i="4"/>
  <c r="IM43" i="4"/>
  <c r="IN43" i="4"/>
  <c r="IO43" i="4"/>
  <c r="IP43" i="4"/>
  <c r="IQ43" i="4"/>
  <c r="IR43" i="4"/>
  <c r="IS43" i="4"/>
  <c r="IT43" i="4"/>
  <c r="IU43" i="4"/>
  <c r="IV43" i="4"/>
  <c r="A42" i="4"/>
  <c r="B42" i="4"/>
  <c r="C42" i="4"/>
  <c r="D42" i="4"/>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N42" i="4"/>
  <c r="AO42" i="4"/>
  <c r="AP42" i="4"/>
  <c r="AQ42" i="4"/>
  <c r="AR42" i="4"/>
  <c r="AS42" i="4"/>
  <c r="AT42" i="4"/>
  <c r="AU42" i="4"/>
  <c r="AV42" i="4"/>
  <c r="AW42" i="4"/>
  <c r="AY42" i="4"/>
  <c r="AZ42" i="4"/>
  <c r="BA42" i="4"/>
  <c r="BB42" i="4"/>
  <c r="BC42" i="4"/>
  <c r="BD42" i="4"/>
  <c r="BE42" i="4"/>
  <c r="BF42" i="4"/>
  <c r="BG42" i="4"/>
  <c r="BH42" i="4"/>
  <c r="BI42" i="4"/>
  <c r="BJ42" i="4"/>
  <c r="BK42" i="4"/>
  <c r="BL42" i="4"/>
  <c r="BM42" i="4"/>
  <c r="BN42" i="4"/>
  <c r="BO42" i="4"/>
  <c r="BP42" i="4"/>
  <c r="BQ42" i="4"/>
  <c r="BR42" i="4"/>
  <c r="BS42" i="4"/>
  <c r="BT42" i="4"/>
  <c r="BU42" i="4"/>
  <c r="BV42" i="4"/>
  <c r="BW42" i="4"/>
  <c r="BX42" i="4"/>
  <c r="BY42" i="4"/>
  <c r="BZ42" i="4"/>
  <c r="CA42" i="4"/>
  <c r="CB42" i="4"/>
  <c r="CC42" i="4"/>
  <c r="CD42" i="4"/>
  <c r="CE42" i="4"/>
  <c r="CF42" i="4"/>
  <c r="CG42" i="4"/>
  <c r="CH42" i="4"/>
  <c r="CI42" i="4"/>
  <c r="CJ42" i="4"/>
  <c r="CK42" i="4"/>
  <c r="CL42" i="4"/>
  <c r="CM42" i="4"/>
  <c r="CN42" i="4"/>
  <c r="CO42" i="4"/>
  <c r="CP42" i="4"/>
  <c r="CQ42" i="4"/>
  <c r="CR42" i="4"/>
  <c r="CS42" i="4"/>
  <c r="CT42" i="4"/>
  <c r="CU42" i="4"/>
  <c r="CV42" i="4"/>
  <c r="CW42" i="4"/>
  <c r="CX42" i="4"/>
  <c r="CY42" i="4"/>
  <c r="CZ42" i="4"/>
  <c r="DA42" i="4"/>
  <c r="DB42" i="4"/>
  <c r="DC42" i="4"/>
  <c r="DD42" i="4"/>
  <c r="DE42" i="4"/>
  <c r="DF42" i="4"/>
  <c r="DG42" i="4"/>
  <c r="DH42" i="4"/>
  <c r="DI42" i="4"/>
  <c r="DJ42" i="4"/>
  <c r="DK42" i="4"/>
  <c r="DL42" i="4"/>
  <c r="DM42" i="4"/>
  <c r="DN42" i="4"/>
  <c r="DO42" i="4"/>
  <c r="DP42" i="4"/>
  <c r="DQ42" i="4"/>
  <c r="DR42" i="4"/>
  <c r="DS42" i="4"/>
  <c r="DT42" i="4"/>
  <c r="DU42" i="4"/>
  <c r="DV42" i="4"/>
  <c r="DW42" i="4"/>
  <c r="DX42" i="4"/>
  <c r="DY42" i="4"/>
  <c r="DZ42" i="4"/>
  <c r="EA42" i="4"/>
  <c r="EB42" i="4"/>
  <c r="EC42" i="4"/>
  <c r="ED42" i="4"/>
  <c r="EE42" i="4"/>
  <c r="EF42" i="4"/>
  <c r="EG42" i="4"/>
  <c r="EH42" i="4"/>
  <c r="EI42" i="4"/>
  <c r="EJ42" i="4"/>
  <c r="EK42" i="4"/>
  <c r="EL42" i="4"/>
  <c r="EM42" i="4"/>
  <c r="EN42" i="4"/>
  <c r="EO42" i="4"/>
  <c r="EP42" i="4"/>
  <c r="EQ42" i="4"/>
  <c r="ER42" i="4"/>
  <c r="ES42" i="4"/>
  <c r="ET42" i="4"/>
  <c r="EU42" i="4"/>
  <c r="EV42" i="4"/>
  <c r="EW42" i="4"/>
  <c r="EX42" i="4"/>
  <c r="EY42" i="4"/>
  <c r="EZ42" i="4"/>
  <c r="FA42" i="4"/>
  <c r="FB42" i="4"/>
  <c r="FC42" i="4"/>
  <c r="FD42" i="4"/>
  <c r="FE42" i="4"/>
  <c r="FF42" i="4"/>
  <c r="FG42" i="4"/>
  <c r="FH42" i="4"/>
  <c r="FI42" i="4"/>
  <c r="FJ42" i="4"/>
  <c r="FK42" i="4"/>
  <c r="FL42" i="4"/>
  <c r="FM42" i="4"/>
  <c r="FN42" i="4"/>
  <c r="FO42" i="4"/>
  <c r="FP42" i="4"/>
  <c r="FQ42" i="4"/>
  <c r="FR42" i="4"/>
  <c r="FS42" i="4"/>
  <c r="FT42" i="4"/>
  <c r="FU42" i="4"/>
  <c r="FV42" i="4"/>
  <c r="FW42" i="4"/>
  <c r="FX42" i="4"/>
  <c r="FY42" i="4"/>
  <c r="FZ42" i="4"/>
  <c r="GA42" i="4"/>
  <c r="GB42" i="4"/>
  <c r="GC42" i="4"/>
  <c r="GD42" i="4"/>
  <c r="GE42" i="4"/>
  <c r="GF42" i="4"/>
  <c r="GG42" i="4"/>
  <c r="GH42" i="4"/>
  <c r="GI42" i="4"/>
  <c r="GJ42" i="4"/>
  <c r="GK42" i="4"/>
  <c r="GL42" i="4"/>
  <c r="GM42" i="4"/>
  <c r="GN42" i="4"/>
  <c r="GO42" i="4"/>
  <c r="GP42" i="4"/>
  <c r="GQ42" i="4"/>
  <c r="GR42" i="4"/>
  <c r="GS42" i="4"/>
  <c r="GT42" i="4"/>
  <c r="GU42" i="4"/>
  <c r="GV42" i="4"/>
  <c r="GW42" i="4"/>
  <c r="GX42" i="4"/>
  <c r="GY42" i="4"/>
  <c r="GZ42" i="4"/>
  <c r="HA42" i="4"/>
  <c r="HB42" i="4"/>
  <c r="HC42" i="4"/>
  <c r="HD42" i="4"/>
  <c r="HE42" i="4"/>
  <c r="HF42" i="4"/>
  <c r="HG42" i="4"/>
  <c r="HH42" i="4"/>
  <c r="HI42" i="4"/>
  <c r="HJ42" i="4"/>
  <c r="HK42" i="4"/>
  <c r="HL42" i="4"/>
  <c r="HM42" i="4"/>
  <c r="HN42" i="4"/>
  <c r="HO42" i="4"/>
  <c r="HP42" i="4"/>
  <c r="HQ42" i="4"/>
  <c r="HR42" i="4"/>
  <c r="HS42" i="4"/>
  <c r="HT42" i="4"/>
  <c r="HU42" i="4"/>
  <c r="HV42" i="4"/>
  <c r="HW42" i="4"/>
  <c r="HX42" i="4"/>
  <c r="HY42" i="4"/>
  <c r="HZ42" i="4"/>
  <c r="IA42" i="4"/>
  <c r="IB42" i="4"/>
  <c r="IC42" i="4"/>
  <c r="ID42" i="4"/>
  <c r="IE42" i="4"/>
  <c r="IF42" i="4"/>
  <c r="IG42" i="4"/>
  <c r="IH42" i="4"/>
  <c r="II42" i="4"/>
  <c r="IJ42" i="4"/>
  <c r="IK42" i="4"/>
  <c r="IL42" i="4"/>
  <c r="IM42" i="4"/>
  <c r="IN42" i="4"/>
  <c r="IO42" i="4"/>
  <c r="IP42" i="4"/>
  <c r="IQ42" i="4"/>
  <c r="IR42" i="4"/>
  <c r="IS42" i="4"/>
  <c r="IT42" i="4"/>
  <c r="IU42" i="4"/>
  <c r="IV42" i="4"/>
  <c r="A41" i="4"/>
  <c r="B41" i="4"/>
  <c r="C41"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AP41" i="4"/>
  <c r="AQ41" i="4"/>
  <c r="AR41" i="4"/>
  <c r="AS41" i="4"/>
  <c r="AT41" i="4"/>
  <c r="AU41" i="4"/>
  <c r="AV41" i="4"/>
  <c r="AW41" i="4"/>
  <c r="AX41" i="4"/>
  <c r="AY41" i="4"/>
  <c r="AZ41" i="4"/>
  <c r="BA41" i="4"/>
  <c r="BB41" i="4"/>
  <c r="BC41" i="4"/>
  <c r="BD41" i="4"/>
  <c r="BE41" i="4"/>
  <c r="BF41" i="4"/>
  <c r="BG41" i="4"/>
  <c r="BH41" i="4"/>
  <c r="BI41" i="4"/>
  <c r="BJ41" i="4"/>
  <c r="BK41" i="4"/>
  <c r="BL41" i="4"/>
  <c r="BM41" i="4"/>
  <c r="BN41" i="4"/>
  <c r="BO41" i="4"/>
  <c r="BP41" i="4"/>
  <c r="BQ41" i="4"/>
  <c r="BR41" i="4"/>
  <c r="BS41" i="4"/>
  <c r="BT41" i="4"/>
  <c r="BU41" i="4"/>
  <c r="BV41" i="4"/>
  <c r="BW41" i="4"/>
  <c r="BX41" i="4"/>
  <c r="BY41" i="4"/>
  <c r="BZ41" i="4"/>
  <c r="CA41" i="4"/>
  <c r="CB41" i="4"/>
  <c r="CC41" i="4"/>
  <c r="CD41" i="4"/>
  <c r="CE41" i="4"/>
  <c r="CF41" i="4"/>
  <c r="CG41" i="4"/>
  <c r="CH41" i="4"/>
  <c r="CI41" i="4"/>
  <c r="CJ41" i="4"/>
  <c r="CK41" i="4"/>
  <c r="CL41" i="4"/>
  <c r="CM41" i="4"/>
  <c r="CN41" i="4"/>
  <c r="CO41" i="4"/>
  <c r="CP41" i="4"/>
  <c r="CQ41" i="4"/>
  <c r="CR41" i="4"/>
  <c r="CS41" i="4"/>
  <c r="CT41" i="4"/>
  <c r="CU41" i="4"/>
  <c r="CV41" i="4"/>
  <c r="CW41" i="4"/>
  <c r="CX41" i="4"/>
  <c r="CY41" i="4"/>
  <c r="CZ41" i="4"/>
  <c r="DA41" i="4"/>
  <c r="DB41" i="4"/>
  <c r="DC41" i="4"/>
  <c r="DD41" i="4"/>
  <c r="DE41" i="4"/>
  <c r="DF41" i="4"/>
  <c r="DG41" i="4"/>
  <c r="DH41" i="4"/>
  <c r="DI41" i="4"/>
  <c r="DJ41" i="4"/>
  <c r="DK41" i="4"/>
  <c r="DL41" i="4"/>
  <c r="DM41" i="4"/>
  <c r="DN41" i="4"/>
  <c r="DO41" i="4"/>
  <c r="DP41" i="4"/>
  <c r="DQ41" i="4"/>
  <c r="DR41" i="4"/>
  <c r="DS41" i="4"/>
  <c r="DT41" i="4"/>
  <c r="DU41" i="4"/>
  <c r="DV41" i="4"/>
  <c r="DW41" i="4"/>
  <c r="DX41" i="4"/>
  <c r="DY41" i="4"/>
  <c r="DZ41" i="4"/>
  <c r="EA41" i="4"/>
  <c r="EB41" i="4"/>
  <c r="EC41" i="4"/>
  <c r="ED41" i="4"/>
  <c r="EE41" i="4"/>
  <c r="EF41" i="4"/>
  <c r="EG41" i="4"/>
  <c r="EH41" i="4"/>
  <c r="EI41" i="4"/>
  <c r="EJ41" i="4"/>
  <c r="EK41" i="4"/>
  <c r="EL41" i="4"/>
  <c r="EM41" i="4"/>
  <c r="EN41" i="4"/>
  <c r="EO41" i="4"/>
  <c r="EP41" i="4"/>
  <c r="EQ41" i="4"/>
  <c r="ER41" i="4"/>
  <c r="ES41" i="4"/>
  <c r="ET41" i="4"/>
  <c r="EU41" i="4"/>
  <c r="EV41" i="4"/>
  <c r="EW41" i="4"/>
  <c r="EX41" i="4"/>
  <c r="EY41" i="4"/>
  <c r="EZ41" i="4"/>
  <c r="FA41" i="4"/>
  <c r="FB41" i="4"/>
  <c r="FC41" i="4"/>
  <c r="FD41" i="4"/>
  <c r="FE41" i="4"/>
  <c r="FF41" i="4"/>
  <c r="FG41" i="4"/>
  <c r="FH41" i="4"/>
  <c r="FI41" i="4"/>
  <c r="FJ41" i="4"/>
  <c r="FK41" i="4"/>
  <c r="FL41" i="4"/>
  <c r="FM41" i="4"/>
  <c r="FN41" i="4"/>
  <c r="FO41" i="4"/>
  <c r="FP41" i="4"/>
  <c r="FQ41" i="4"/>
  <c r="FR41" i="4"/>
  <c r="FS41" i="4"/>
  <c r="FT41" i="4"/>
  <c r="FU41" i="4"/>
  <c r="FV41" i="4"/>
  <c r="FW41" i="4"/>
  <c r="FX41" i="4"/>
  <c r="FY41" i="4"/>
  <c r="FZ41" i="4"/>
  <c r="GA41" i="4"/>
  <c r="GB41" i="4"/>
  <c r="GC41" i="4"/>
  <c r="GD41" i="4"/>
  <c r="GE41" i="4"/>
  <c r="GF41" i="4"/>
  <c r="GG41" i="4"/>
  <c r="GH41" i="4"/>
  <c r="GI41" i="4"/>
  <c r="GJ41" i="4"/>
  <c r="GK41" i="4"/>
  <c r="GL41" i="4"/>
  <c r="GM41" i="4"/>
  <c r="GN41" i="4"/>
  <c r="GO41" i="4"/>
  <c r="GP41" i="4"/>
  <c r="GQ41" i="4"/>
  <c r="GR41" i="4"/>
  <c r="GS41" i="4"/>
  <c r="GT41" i="4"/>
  <c r="GU41" i="4"/>
  <c r="GV41" i="4"/>
  <c r="GW41" i="4"/>
  <c r="GX41" i="4"/>
  <c r="GY41" i="4"/>
  <c r="GZ41" i="4"/>
  <c r="HA41" i="4"/>
  <c r="HB41" i="4"/>
  <c r="HC41" i="4"/>
  <c r="HD41" i="4"/>
  <c r="HE41" i="4"/>
  <c r="HF41" i="4"/>
  <c r="HG41" i="4"/>
  <c r="HH41" i="4"/>
  <c r="HI41" i="4"/>
  <c r="HJ41" i="4"/>
  <c r="HK41" i="4"/>
  <c r="HL41" i="4"/>
  <c r="HM41" i="4"/>
  <c r="HN41" i="4"/>
  <c r="HO41" i="4"/>
  <c r="HP41" i="4"/>
  <c r="HQ41" i="4"/>
  <c r="HR41" i="4"/>
  <c r="HS41" i="4"/>
  <c r="HT41" i="4"/>
  <c r="HU41" i="4"/>
  <c r="HV41" i="4"/>
  <c r="HW41" i="4"/>
  <c r="HX41" i="4"/>
  <c r="HY41" i="4"/>
  <c r="HZ41" i="4"/>
  <c r="IA41" i="4"/>
  <c r="IB41" i="4"/>
  <c r="IC41" i="4"/>
  <c r="ID41" i="4"/>
  <c r="IE41" i="4"/>
  <c r="IF41" i="4"/>
  <c r="IG41" i="4"/>
  <c r="IH41" i="4"/>
  <c r="II41" i="4"/>
  <c r="IJ41" i="4"/>
  <c r="IK41" i="4"/>
  <c r="IL41" i="4"/>
  <c r="IM41" i="4"/>
  <c r="IN41" i="4"/>
  <c r="IO41" i="4"/>
  <c r="IP41" i="4"/>
  <c r="IQ41" i="4"/>
  <c r="IR41" i="4"/>
  <c r="IS41" i="4"/>
  <c r="IT41" i="4"/>
  <c r="IU41" i="4"/>
  <c r="IV41" i="4"/>
  <c r="B40" i="4"/>
  <c r="C40" i="4"/>
  <c r="D40" i="4"/>
  <c r="E40"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N40" i="4"/>
  <c r="AO40" i="4"/>
  <c r="AP40" i="4"/>
  <c r="AQ40" i="4"/>
  <c r="AR40" i="4"/>
  <c r="AS40" i="4"/>
  <c r="AT40" i="4"/>
  <c r="AU40" i="4"/>
  <c r="AV40" i="4"/>
  <c r="AW40" i="4"/>
  <c r="AX40" i="4"/>
  <c r="AY40" i="4"/>
  <c r="AZ40" i="4"/>
  <c r="BA40" i="4"/>
  <c r="BB40" i="4"/>
  <c r="BC40" i="4"/>
  <c r="BD40" i="4"/>
  <c r="BE40" i="4"/>
  <c r="BF40" i="4"/>
  <c r="BG40" i="4"/>
  <c r="BH40" i="4"/>
  <c r="BI40" i="4"/>
  <c r="BJ40" i="4"/>
  <c r="BK40" i="4"/>
  <c r="BL40" i="4"/>
  <c r="BM40" i="4"/>
  <c r="BN40" i="4"/>
  <c r="BO40" i="4"/>
  <c r="BP40" i="4"/>
  <c r="BQ40" i="4"/>
  <c r="BR40" i="4"/>
  <c r="BS40" i="4"/>
  <c r="BT40" i="4"/>
  <c r="BU40" i="4"/>
  <c r="BV40" i="4"/>
  <c r="BW40" i="4"/>
  <c r="BX40" i="4"/>
  <c r="BY40" i="4"/>
  <c r="BZ40" i="4"/>
  <c r="CA40" i="4"/>
  <c r="CB40" i="4"/>
  <c r="CC40" i="4"/>
  <c r="CD40" i="4"/>
  <c r="CE40" i="4"/>
  <c r="CF40" i="4"/>
  <c r="CG40" i="4"/>
  <c r="CH40" i="4"/>
  <c r="CI40" i="4"/>
  <c r="CJ40" i="4"/>
  <c r="CK40" i="4"/>
  <c r="CL40" i="4"/>
  <c r="CM40" i="4"/>
  <c r="CN40" i="4"/>
  <c r="CO40" i="4"/>
  <c r="CP40" i="4"/>
  <c r="CQ40" i="4"/>
  <c r="CR40" i="4"/>
  <c r="CS40" i="4"/>
  <c r="CT40" i="4"/>
  <c r="CU40" i="4"/>
  <c r="CV40" i="4"/>
  <c r="CW40" i="4"/>
  <c r="CX40" i="4"/>
  <c r="CY40" i="4"/>
  <c r="CZ40" i="4"/>
  <c r="DA40" i="4"/>
  <c r="DB40" i="4"/>
  <c r="DC40" i="4"/>
  <c r="DD40" i="4"/>
  <c r="DE40" i="4"/>
  <c r="DF40" i="4"/>
  <c r="DG40" i="4"/>
  <c r="DH40" i="4"/>
  <c r="DI40" i="4"/>
  <c r="DJ40" i="4"/>
  <c r="DK40" i="4"/>
  <c r="DL40" i="4"/>
  <c r="DM40" i="4"/>
  <c r="DN40" i="4"/>
  <c r="DO40" i="4"/>
  <c r="DP40" i="4"/>
  <c r="DQ40" i="4"/>
  <c r="DR40" i="4"/>
  <c r="DS40" i="4"/>
  <c r="DT40" i="4"/>
  <c r="DU40" i="4"/>
  <c r="DV40" i="4"/>
  <c r="DW40" i="4"/>
  <c r="DX40" i="4"/>
  <c r="DY40" i="4"/>
  <c r="DZ40" i="4"/>
  <c r="EA40" i="4"/>
  <c r="EB40" i="4"/>
  <c r="EC40" i="4"/>
  <c r="ED40" i="4"/>
  <c r="EE40" i="4"/>
  <c r="EF40" i="4"/>
  <c r="EG40" i="4"/>
  <c r="EH40" i="4"/>
  <c r="EI40" i="4"/>
  <c r="EJ40" i="4"/>
  <c r="EK40" i="4"/>
  <c r="EL40" i="4"/>
  <c r="EM40" i="4"/>
  <c r="EN40" i="4"/>
  <c r="EO40" i="4"/>
  <c r="EP40" i="4"/>
  <c r="EQ40" i="4"/>
  <c r="ER40" i="4"/>
  <c r="ES40" i="4"/>
  <c r="ET40" i="4"/>
  <c r="EU40" i="4"/>
  <c r="EV40" i="4"/>
  <c r="EW40" i="4"/>
  <c r="EX40" i="4"/>
  <c r="EY40" i="4"/>
  <c r="EZ40" i="4"/>
  <c r="FA40" i="4"/>
  <c r="FB40" i="4"/>
  <c r="FC40" i="4"/>
  <c r="FD40" i="4"/>
  <c r="FE40" i="4"/>
  <c r="FF40" i="4"/>
  <c r="FG40" i="4"/>
  <c r="FH40" i="4"/>
  <c r="FI40" i="4"/>
  <c r="FJ40" i="4"/>
  <c r="FK40" i="4"/>
  <c r="FL40" i="4"/>
  <c r="FM40" i="4"/>
  <c r="FN40" i="4"/>
  <c r="FO40" i="4"/>
  <c r="FP40" i="4"/>
  <c r="FQ40" i="4"/>
  <c r="FR40" i="4"/>
  <c r="FS40" i="4"/>
  <c r="FT40" i="4"/>
  <c r="FU40" i="4"/>
  <c r="FV40" i="4"/>
  <c r="FW40" i="4"/>
  <c r="FX40" i="4"/>
  <c r="FY40" i="4"/>
  <c r="FZ40" i="4"/>
  <c r="GA40" i="4"/>
  <c r="GB40" i="4"/>
  <c r="GC40" i="4"/>
  <c r="GD40" i="4"/>
  <c r="GE40" i="4"/>
  <c r="GF40" i="4"/>
  <c r="GG40" i="4"/>
  <c r="GH40" i="4"/>
  <c r="GI40" i="4"/>
  <c r="GJ40" i="4"/>
  <c r="GK40" i="4"/>
  <c r="GL40" i="4"/>
  <c r="GM40" i="4"/>
  <c r="GN40" i="4"/>
  <c r="GO40" i="4"/>
  <c r="GP40" i="4"/>
  <c r="GQ40" i="4"/>
  <c r="GR40" i="4"/>
  <c r="GS40" i="4"/>
  <c r="GT40" i="4"/>
  <c r="GU40" i="4"/>
  <c r="GV40" i="4"/>
  <c r="GW40" i="4"/>
  <c r="GX40" i="4"/>
  <c r="GY40" i="4"/>
  <c r="GZ40" i="4"/>
  <c r="HA40" i="4"/>
  <c r="HB40" i="4"/>
  <c r="HC40" i="4"/>
  <c r="HD40" i="4"/>
  <c r="HE40" i="4"/>
  <c r="HF40" i="4"/>
  <c r="HG40" i="4"/>
  <c r="HH40" i="4"/>
  <c r="HI40" i="4"/>
  <c r="HJ40" i="4"/>
  <c r="HK40" i="4"/>
  <c r="HL40" i="4"/>
  <c r="HM40" i="4"/>
  <c r="HN40" i="4"/>
  <c r="HO40" i="4"/>
  <c r="HP40" i="4"/>
  <c r="HQ40" i="4"/>
  <c r="HR40" i="4"/>
  <c r="HS40" i="4"/>
  <c r="HT40" i="4"/>
  <c r="HU40" i="4"/>
  <c r="HV40" i="4"/>
  <c r="HW40" i="4"/>
  <c r="HX40" i="4"/>
  <c r="HY40" i="4"/>
  <c r="HZ40" i="4"/>
  <c r="IA40" i="4"/>
  <c r="IB40" i="4"/>
  <c r="IC40" i="4"/>
  <c r="ID40" i="4"/>
  <c r="IE40" i="4"/>
  <c r="IF40" i="4"/>
  <c r="IG40" i="4"/>
  <c r="IH40" i="4"/>
  <c r="II40" i="4"/>
  <c r="IJ40" i="4"/>
  <c r="IK40" i="4"/>
  <c r="IL40" i="4"/>
  <c r="IM40" i="4"/>
  <c r="IN40" i="4"/>
  <c r="IO40" i="4"/>
  <c r="IP40" i="4"/>
  <c r="IQ40" i="4"/>
  <c r="IR40" i="4"/>
  <c r="IS40" i="4"/>
  <c r="IT40" i="4"/>
  <c r="IU40" i="4"/>
  <c r="IV40" i="4"/>
  <c r="A39" i="4"/>
  <c r="B39" i="4"/>
  <c r="C39" i="4"/>
  <c r="D39"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N39" i="4"/>
  <c r="AO39" i="4"/>
  <c r="AP39" i="4"/>
  <c r="AQ39" i="4"/>
  <c r="AR39" i="4"/>
  <c r="AS39" i="4"/>
  <c r="AT39" i="4"/>
  <c r="AU39" i="4"/>
  <c r="AV39" i="4"/>
  <c r="AW39" i="4"/>
  <c r="AX39" i="4"/>
  <c r="AY39" i="4"/>
  <c r="AZ39" i="4"/>
  <c r="BA39" i="4"/>
  <c r="BB39" i="4"/>
  <c r="BC39" i="4"/>
  <c r="BD39" i="4"/>
  <c r="BE39" i="4"/>
  <c r="BF39" i="4"/>
  <c r="BG39" i="4"/>
  <c r="BH39" i="4"/>
  <c r="BI39" i="4"/>
  <c r="BJ39" i="4"/>
  <c r="BK39" i="4"/>
  <c r="BL39" i="4"/>
  <c r="BM39" i="4"/>
  <c r="BN39" i="4"/>
  <c r="BO39" i="4"/>
  <c r="BP39" i="4"/>
  <c r="BQ39" i="4"/>
  <c r="BR39" i="4"/>
  <c r="BS39" i="4"/>
  <c r="BT39" i="4"/>
  <c r="BU39" i="4"/>
  <c r="BV39" i="4"/>
  <c r="BW39" i="4"/>
  <c r="BX39" i="4"/>
  <c r="BY39" i="4"/>
  <c r="BZ39" i="4"/>
  <c r="CA39" i="4"/>
  <c r="CB39" i="4"/>
  <c r="CC39" i="4"/>
  <c r="CD39" i="4"/>
  <c r="CE39" i="4"/>
  <c r="CF39" i="4"/>
  <c r="CG39" i="4"/>
  <c r="CH39" i="4"/>
  <c r="CI39" i="4"/>
  <c r="CJ39" i="4"/>
  <c r="CK39" i="4"/>
  <c r="CL39" i="4"/>
  <c r="CM39" i="4"/>
  <c r="CN39" i="4"/>
  <c r="CO39" i="4"/>
  <c r="CP39" i="4"/>
  <c r="CQ39" i="4"/>
  <c r="CR39" i="4"/>
  <c r="CS39" i="4"/>
  <c r="CT39" i="4"/>
  <c r="CU39" i="4"/>
  <c r="CV39" i="4"/>
  <c r="CW39" i="4"/>
  <c r="CX39" i="4"/>
  <c r="CY39" i="4"/>
  <c r="CZ39" i="4"/>
  <c r="DA39" i="4"/>
  <c r="DB39" i="4"/>
  <c r="DC39" i="4"/>
  <c r="DD39" i="4"/>
  <c r="DE39" i="4"/>
  <c r="DF39" i="4"/>
  <c r="DG39" i="4"/>
  <c r="DH39" i="4"/>
  <c r="DI39" i="4"/>
  <c r="DJ39" i="4"/>
  <c r="DK39" i="4"/>
  <c r="DL39" i="4"/>
  <c r="DM39" i="4"/>
  <c r="DN39" i="4"/>
  <c r="DO39" i="4"/>
  <c r="DP39" i="4"/>
  <c r="DQ39" i="4"/>
  <c r="DR39" i="4"/>
  <c r="DS39" i="4"/>
  <c r="DT39" i="4"/>
  <c r="DU39" i="4"/>
  <c r="DV39" i="4"/>
  <c r="DW39" i="4"/>
  <c r="DX39" i="4"/>
  <c r="DY39" i="4"/>
  <c r="DZ39" i="4"/>
  <c r="EA39" i="4"/>
  <c r="EB39" i="4"/>
  <c r="EC39" i="4"/>
  <c r="ED39" i="4"/>
  <c r="EE39" i="4"/>
  <c r="EF39" i="4"/>
  <c r="EG39" i="4"/>
  <c r="EH39" i="4"/>
  <c r="EI39" i="4"/>
  <c r="EJ39" i="4"/>
  <c r="EK39" i="4"/>
  <c r="EL39" i="4"/>
  <c r="EM39" i="4"/>
  <c r="EN39" i="4"/>
  <c r="EO39" i="4"/>
  <c r="EP39" i="4"/>
  <c r="EQ39" i="4"/>
  <c r="ER39" i="4"/>
  <c r="ES39" i="4"/>
  <c r="ET39" i="4"/>
  <c r="EU39" i="4"/>
  <c r="EV39" i="4"/>
  <c r="EW39" i="4"/>
  <c r="EX39" i="4"/>
  <c r="EY39" i="4"/>
  <c r="EZ39" i="4"/>
  <c r="FA39" i="4"/>
  <c r="FB39" i="4"/>
  <c r="FC39" i="4"/>
  <c r="FD39" i="4"/>
  <c r="FE39" i="4"/>
  <c r="FF39" i="4"/>
  <c r="FG39" i="4"/>
  <c r="FH39" i="4"/>
  <c r="FI39" i="4"/>
  <c r="FJ39" i="4"/>
  <c r="FK39" i="4"/>
  <c r="FL39" i="4"/>
  <c r="FM39" i="4"/>
  <c r="FN39" i="4"/>
  <c r="FO39" i="4"/>
  <c r="FP39" i="4"/>
  <c r="FQ39" i="4"/>
  <c r="FR39" i="4"/>
  <c r="FS39" i="4"/>
  <c r="FT39" i="4"/>
  <c r="FU39" i="4"/>
  <c r="FV39" i="4"/>
  <c r="FW39" i="4"/>
  <c r="FX39" i="4"/>
  <c r="FY39" i="4"/>
  <c r="FZ39" i="4"/>
  <c r="GA39" i="4"/>
  <c r="GB39" i="4"/>
  <c r="GC39" i="4"/>
  <c r="GD39" i="4"/>
  <c r="GE39" i="4"/>
  <c r="GF39" i="4"/>
  <c r="GG39" i="4"/>
  <c r="GH39" i="4"/>
  <c r="GI39" i="4"/>
  <c r="GJ39" i="4"/>
  <c r="GK39" i="4"/>
  <c r="GL39" i="4"/>
  <c r="GM39" i="4"/>
  <c r="GN39" i="4"/>
  <c r="GO39" i="4"/>
  <c r="GP39" i="4"/>
  <c r="GQ39" i="4"/>
  <c r="GR39" i="4"/>
  <c r="GS39" i="4"/>
  <c r="GT39" i="4"/>
  <c r="GU39" i="4"/>
  <c r="GV39" i="4"/>
  <c r="GW39" i="4"/>
  <c r="GX39" i="4"/>
  <c r="GY39" i="4"/>
  <c r="GZ39" i="4"/>
  <c r="HA39" i="4"/>
  <c r="HB39" i="4"/>
  <c r="HC39" i="4"/>
  <c r="HD39" i="4"/>
  <c r="HE39" i="4"/>
  <c r="HF39" i="4"/>
  <c r="HG39" i="4"/>
  <c r="HH39" i="4"/>
  <c r="HI39" i="4"/>
  <c r="HJ39" i="4"/>
  <c r="HK39" i="4"/>
  <c r="HL39" i="4"/>
  <c r="HM39" i="4"/>
  <c r="HN39" i="4"/>
  <c r="HO39" i="4"/>
  <c r="HP39" i="4"/>
  <c r="HQ39" i="4"/>
  <c r="HR39" i="4"/>
  <c r="HS39" i="4"/>
  <c r="HT39" i="4"/>
  <c r="HU39" i="4"/>
  <c r="HV39" i="4"/>
  <c r="HW39" i="4"/>
  <c r="HX39" i="4"/>
  <c r="HY39" i="4"/>
  <c r="HZ39" i="4"/>
  <c r="IA39" i="4"/>
  <c r="IB39" i="4"/>
  <c r="IC39" i="4"/>
  <c r="ID39" i="4"/>
  <c r="IE39" i="4"/>
  <c r="IF39" i="4"/>
  <c r="IG39" i="4"/>
  <c r="IH39" i="4"/>
  <c r="II39" i="4"/>
  <c r="IJ39" i="4"/>
  <c r="IK39" i="4"/>
  <c r="IL39" i="4"/>
  <c r="IM39" i="4"/>
  <c r="IN39" i="4"/>
  <c r="IO39" i="4"/>
  <c r="IP39" i="4"/>
  <c r="IQ39" i="4"/>
  <c r="IR39" i="4"/>
  <c r="IS39" i="4"/>
  <c r="IT39" i="4"/>
  <c r="IU39" i="4"/>
  <c r="IV39" i="4"/>
  <c r="A38" i="4"/>
  <c r="B38" i="4"/>
  <c r="C38" i="4"/>
  <c r="D38" i="4"/>
  <c r="E38"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AQ38" i="4"/>
  <c r="AR38" i="4"/>
  <c r="AS38" i="4"/>
  <c r="AT38" i="4"/>
  <c r="AU38" i="4"/>
  <c r="AV38" i="4"/>
  <c r="AW38" i="4"/>
  <c r="AX38" i="4"/>
  <c r="AY38" i="4"/>
  <c r="AZ38" i="4"/>
  <c r="BA38" i="4"/>
  <c r="BB38" i="4"/>
  <c r="BC38" i="4"/>
  <c r="BD38" i="4"/>
  <c r="BE38" i="4"/>
  <c r="BF38" i="4"/>
  <c r="BG38" i="4"/>
  <c r="BH38" i="4"/>
  <c r="BI38" i="4"/>
  <c r="BJ38" i="4"/>
  <c r="BK38" i="4"/>
  <c r="BL38" i="4"/>
  <c r="BM38" i="4"/>
  <c r="BN38" i="4"/>
  <c r="BO38" i="4"/>
  <c r="BP38" i="4"/>
  <c r="BQ38" i="4"/>
  <c r="BR38" i="4"/>
  <c r="BS38" i="4"/>
  <c r="BT38" i="4"/>
  <c r="BU38" i="4"/>
  <c r="BV38" i="4"/>
  <c r="BW38" i="4"/>
  <c r="BX38" i="4"/>
  <c r="BY38" i="4"/>
  <c r="BZ38" i="4"/>
  <c r="CA38" i="4"/>
  <c r="CB38" i="4"/>
  <c r="CC38" i="4"/>
  <c r="CD38" i="4"/>
  <c r="CE38" i="4"/>
  <c r="CF38" i="4"/>
  <c r="CG38" i="4"/>
  <c r="CH38" i="4"/>
  <c r="CI38" i="4"/>
  <c r="CJ38" i="4"/>
  <c r="CK38" i="4"/>
  <c r="CL38" i="4"/>
  <c r="CM38" i="4"/>
  <c r="CN38" i="4"/>
  <c r="CO38" i="4"/>
  <c r="CP38" i="4"/>
  <c r="CQ38" i="4"/>
  <c r="CR38" i="4"/>
  <c r="CS38" i="4"/>
  <c r="CT38" i="4"/>
  <c r="CU38" i="4"/>
  <c r="CV38" i="4"/>
  <c r="CW38" i="4"/>
  <c r="CX38" i="4"/>
  <c r="CY38" i="4"/>
  <c r="CZ38" i="4"/>
  <c r="DA38" i="4"/>
  <c r="DB38" i="4"/>
  <c r="DC38" i="4"/>
  <c r="DD38" i="4"/>
  <c r="DE38" i="4"/>
  <c r="DF38" i="4"/>
  <c r="DG38" i="4"/>
  <c r="DH38" i="4"/>
  <c r="DI38" i="4"/>
  <c r="DJ38" i="4"/>
  <c r="DK38" i="4"/>
  <c r="DL38" i="4"/>
  <c r="DM38" i="4"/>
  <c r="DN38" i="4"/>
  <c r="DO38" i="4"/>
  <c r="DP38" i="4"/>
  <c r="DQ38" i="4"/>
  <c r="DR38" i="4"/>
  <c r="DS38" i="4"/>
  <c r="DT38" i="4"/>
  <c r="DU38" i="4"/>
  <c r="DV38" i="4"/>
  <c r="DW38" i="4"/>
  <c r="DX38" i="4"/>
  <c r="DY38" i="4"/>
  <c r="DZ38" i="4"/>
  <c r="EA38" i="4"/>
  <c r="EB38" i="4"/>
  <c r="EC38" i="4"/>
  <c r="ED38" i="4"/>
  <c r="EE38" i="4"/>
  <c r="EF38" i="4"/>
  <c r="EG38" i="4"/>
  <c r="EH38" i="4"/>
  <c r="EI38" i="4"/>
  <c r="EJ38" i="4"/>
  <c r="EK38" i="4"/>
  <c r="EL38" i="4"/>
  <c r="EM38" i="4"/>
  <c r="EN38" i="4"/>
  <c r="EO38" i="4"/>
  <c r="EP38" i="4"/>
  <c r="EQ38" i="4"/>
  <c r="ER38" i="4"/>
  <c r="ES38" i="4"/>
  <c r="ET38" i="4"/>
  <c r="EU38" i="4"/>
  <c r="EV38" i="4"/>
  <c r="EW38" i="4"/>
  <c r="EX38" i="4"/>
  <c r="EY38" i="4"/>
  <c r="EZ38" i="4"/>
  <c r="FA38" i="4"/>
  <c r="FB38" i="4"/>
  <c r="FC38" i="4"/>
  <c r="FD38" i="4"/>
  <c r="FE38" i="4"/>
  <c r="FF38" i="4"/>
  <c r="FG38" i="4"/>
  <c r="FH38" i="4"/>
  <c r="FI38" i="4"/>
  <c r="FJ38" i="4"/>
  <c r="FK38" i="4"/>
  <c r="FL38" i="4"/>
  <c r="FM38" i="4"/>
  <c r="FN38" i="4"/>
  <c r="FO38" i="4"/>
  <c r="FP38" i="4"/>
  <c r="FQ38" i="4"/>
  <c r="FR38" i="4"/>
  <c r="FS38" i="4"/>
  <c r="FT38" i="4"/>
  <c r="FU38" i="4"/>
  <c r="FV38" i="4"/>
  <c r="FW38" i="4"/>
  <c r="FX38" i="4"/>
  <c r="FY38" i="4"/>
  <c r="FZ38" i="4"/>
  <c r="GA38" i="4"/>
  <c r="GB38" i="4"/>
  <c r="GC38" i="4"/>
  <c r="GD38" i="4"/>
  <c r="GE38" i="4"/>
  <c r="GF38" i="4"/>
  <c r="GG38" i="4"/>
  <c r="GH38" i="4"/>
  <c r="GI38" i="4"/>
  <c r="GJ38" i="4"/>
  <c r="GK38" i="4"/>
  <c r="GL38" i="4"/>
  <c r="GM38" i="4"/>
  <c r="GN38" i="4"/>
  <c r="GO38" i="4"/>
  <c r="GP38" i="4"/>
  <c r="GQ38" i="4"/>
  <c r="GR38" i="4"/>
  <c r="GS38" i="4"/>
  <c r="GT38" i="4"/>
  <c r="GU38" i="4"/>
  <c r="GV38" i="4"/>
  <c r="GW38" i="4"/>
  <c r="GX38" i="4"/>
  <c r="GY38" i="4"/>
  <c r="GZ38" i="4"/>
  <c r="HA38" i="4"/>
  <c r="HB38" i="4"/>
  <c r="HC38" i="4"/>
  <c r="HD38" i="4"/>
  <c r="HE38" i="4"/>
  <c r="HF38" i="4"/>
  <c r="HG38" i="4"/>
  <c r="HH38" i="4"/>
  <c r="HI38" i="4"/>
  <c r="HJ38" i="4"/>
  <c r="HK38" i="4"/>
  <c r="HL38" i="4"/>
  <c r="HM38" i="4"/>
  <c r="HN38" i="4"/>
  <c r="HO38" i="4"/>
  <c r="HP38" i="4"/>
  <c r="HQ38" i="4"/>
  <c r="HR38" i="4"/>
  <c r="HS38" i="4"/>
  <c r="HT38" i="4"/>
  <c r="HU38" i="4"/>
  <c r="HV38" i="4"/>
  <c r="HW38" i="4"/>
  <c r="HX38" i="4"/>
  <c r="HY38" i="4"/>
  <c r="HZ38" i="4"/>
  <c r="IA38" i="4"/>
  <c r="IB38" i="4"/>
  <c r="IC38" i="4"/>
  <c r="ID38" i="4"/>
  <c r="IE38" i="4"/>
  <c r="IF38" i="4"/>
  <c r="IG38" i="4"/>
  <c r="IH38" i="4"/>
  <c r="II38" i="4"/>
  <c r="IJ38" i="4"/>
  <c r="IK38" i="4"/>
  <c r="IL38" i="4"/>
  <c r="IM38" i="4"/>
  <c r="IN38" i="4"/>
  <c r="IO38" i="4"/>
  <c r="IP38" i="4"/>
  <c r="IQ38" i="4"/>
  <c r="IR38" i="4"/>
  <c r="IS38" i="4"/>
  <c r="IT38" i="4"/>
  <c r="IU38" i="4"/>
  <c r="IV38" i="4"/>
  <c r="A37" i="4"/>
  <c r="B37" i="4"/>
  <c r="C37" i="4"/>
  <c r="D37" i="4"/>
  <c r="E37"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AN37" i="4"/>
  <c r="AO37" i="4"/>
  <c r="AP37" i="4"/>
  <c r="AQ37" i="4"/>
  <c r="AR37" i="4"/>
  <c r="AS37" i="4"/>
  <c r="AT37" i="4"/>
  <c r="AU37" i="4"/>
  <c r="AV37" i="4"/>
  <c r="AW37" i="4"/>
  <c r="AX37" i="4"/>
  <c r="AY37" i="4"/>
  <c r="AZ37" i="4"/>
  <c r="BA37" i="4"/>
  <c r="BB37" i="4"/>
  <c r="BC37" i="4"/>
  <c r="BD37" i="4"/>
  <c r="BE37" i="4"/>
  <c r="BF37" i="4"/>
  <c r="BG37" i="4"/>
  <c r="BH37" i="4"/>
  <c r="BI37" i="4"/>
  <c r="BJ37" i="4"/>
  <c r="BK37" i="4"/>
  <c r="BL37" i="4"/>
  <c r="BM37" i="4"/>
  <c r="BN37" i="4"/>
  <c r="BO37" i="4"/>
  <c r="BP37" i="4"/>
  <c r="BQ37" i="4"/>
  <c r="BR37" i="4"/>
  <c r="BS37" i="4"/>
  <c r="BT37" i="4"/>
  <c r="BU37" i="4"/>
  <c r="BV37" i="4"/>
  <c r="BW37" i="4"/>
  <c r="BX37" i="4"/>
  <c r="BY37" i="4"/>
  <c r="BZ37" i="4"/>
  <c r="CA37" i="4"/>
  <c r="CB37" i="4"/>
  <c r="CC37" i="4"/>
  <c r="CD37" i="4"/>
  <c r="CE37" i="4"/>
  <c r="CF37" i="4"/>
  <c r="CG37" i="4"/>
  <c r="CH37" i="4"/>
  <c r="CI37" i="4"/>
  <c r="CJ37" i="4"/>
  <c r="CK37" i="4"/>
  <c r="CL37" i="4"/>
  <c r="CM37" i="4"/>
  <c r="CN37" i="4"/>
  <c r="CO37" i="4"/>
  <c r="CP37" i="4"/>
  <c r="CQ37" i="4"/>
  <c r="CR37" i="4"/>
  <c r="CS37" i="4"/>
  <c r="CT37" i="4"/>
  <c r="CU37" i="4"/>
  <c r="CV37" i="4"/>
  <c r="CW37" i="4"/>
  <c r="CX37" i="4"/>
  <c r="CY37" i="4"/>
  <c r="CZ37" i="4"/>
  <c r="DA37" i="4"/>
  <c r="DB37" i="4"/>
  <c r="DC37" i="4"/>
  <c r="DD37" i="4"/>
  <c r="DE37" i="4"/>
  <c r="DF37" i="4"/>
  <c r="DG37" i="4"/>
  <c r="DH37" i="4"/>
  <c r="DI37" i="4"/>
  <c r="DJ37" i="4"/>
  <c r="DK37" i="4"/>
  <c r="DL37" i="4"/>
  <c r="DM37" i="4"/>
  <c r="DN37" i="4"/>
  <c r="DO37" i="4"/>
  <c r="DP37" i="4"/>
  <c r="DQ37" i="4"/>
  <c r="DR37" i="4"/>
  <c r="DS37" i="4"/>
  <c r="DT37" i="4"/>
  <c r="DU37" i="4"/>
  <c r="DV37" i="4"/>
  <c r="DW37" i="4"/>
  <c r="DX37" i="4"/>
  <c r="DY37" i="4"/>
  <c r="DZ37" i="4"/>
  <c r="EA37" i="4"/>
  <c r="EB37" i="4"/>
  <c r="EC37" i="4"/>
  <c r="ED37" i="4"/>
  <c r="EE37" i="4"/>
  <c r="EF37" i="4"/>
  <c r="EG37" i="4"/>
  <c r="EH37" i="4"/>
  <c r="EI37" i="4"/>
  <c r="EJ37" i="4"/>
  <c r="EK37" i="4"/>
  <c r="EL37" i="4"/>
  <c r="EM37" i="4"/>
  <c r="EN37" i="4"/>
  <c r="EO37" i="4"/>
  <c r="EP37" i="4"/>
  <c r="EQ37" i="4"/>
  <c r="ER37" i="4"/>
  <c r="ES37" i="4"/>
  <c r="ET37" i="4"/>
  <c r="EU37" i="4"/>
  <c r="EV37" i="4"/>
  <c r="EW37" i="4"/>
  <c r="EX37" i="4"/>
  <c r="EY37" i="4"/>
  <c r="EZ37" i="4"/>
  <c r="FA37" i="4"/>
  <c r="FB37" i="4"/>
  <c r="FC37" i="4"/>
  <c r="FD37" i="4"/>
  <c r="FE37" i="4"/>
  <c r="FF37" i="4"/>
  <c r="FG37" i="4"/>
  <c r="FH37" i="4"/>
  <c r="FI37" i="4"/>
  <c r="FJ37" i="4"/>
  <c r="FK37" i="4"/>
  <c r="FL37" i="4"/>
  <c r="FM37" i="4"/>
  <c r="FN37" i="4"/>
  <c r="FO37" i="4"/>
  <c r="FP37" i="4"/>
  <c r="FQ37" i="4"/>
  <c r="FR37" i="4"/>
  <c r="FS37" i="4"/>
  <c r="FT37" i="4"/>
  <c r="FU37" i="4"/>
  <c r="FV37" i="4"/>
  <c r="FW37" i="4"/>
  <c r="FX37" i="4"/>
  <c r="FY37" i="4"/>
  <c r="FZ37" i="4"/>
  <c r="GA37" i="4"/>
  <c r="GB37" i="4"/>
  <c r="GC37" i="4"/>
  <c r="GD37" i="4"/>
  <c r="GE37" i="4"/>
  <c r="GF37" i="4"/>
  <c r="GG37" i="4"/>
  <c r="GH37" i="4"/>
  <c r="GI37" i="4"/>
  <c r="GJ37" i="4"/>
  <c r="GK37" i="4"/>
  <c r="GL37" i="4"/>
  <c r="GM37" i="4"/>
  <c r="GN37" i="4"/>
  <c r="GO37" i="4"/>
  <c r="GP37" i="4"/>
  <c r="GQ37" i="4"/>
  <c r="GR37" i="4"/>
  <c r="GS37" i="4"/>
  <c r="GT37" i="4"/>
  <c r="GU37" i="4"/>
  <c r="GV37" i="4"/>
  <c r="GW37" i="4"/>
  <c r="GX37" i="4"/>
  <c r="GY37" i="4"/>
  <c r="GZ37" i="4"/>
  <c r="HA37" i="4"/>
  <c r="HB37" i="4"/>
  <c r="HC37" i="4"/>
  <c r="HD37" i="4"/>
  <c r="HE37" i="4"/>
  <c r="HF37" i="4"/>
  <c r="HG37" i="4"/>
  <c r="HH37" i="4"/>
  <c r="HI37" i="4"/>
  <c r="HJ37" i="4"/>
  <c r="HK37" i="4"/>
  <c r="HL37" i="4"/>
  <c r="HM37" i="4"/>
  <c r="HN37" i="4"/>
  <c r="HO37" i="4"/>
  <c r="HP37" i="4"/>
  <c r="HQ37" i="4"/>
  <c r="HR37" i="4"/>
  <c r="HS37" i="4"/>
  <c r="HT37" i="4"/>
  <c r="HU37" i="4"/>
  <c r="HV37" i="4"/>
  <c r="HW37" i="4"/>
  <c r="HX37" i="4"/>
  <c r="HY37" i="4"/>
  <c r="HZ37" i="4"/>
  <c r="IA37" i="4"/>
  <c r="IB37" i="4"/>
  <c r="IC37" i="4"/>
  <c r="ID37" i="4"/>
  <c r="IE37" i="4"/>
  <c r="IF37" i="4"/>
  <c r="IG37" i="4"/>
  <c r="IH37" i="4"/>
  <c r="II37" i="4"/>
  <c r="IJ37" i="4"/>
  <c r="IK37" i="4"/>
  <c r="IL37" i="4"/>
  <c r="IM37" i="4"/>
  <c r="IN37" i="4"/>
  <c r="IO37" i="4"/>
  <c r="IP37" i="4"/>
  <c r="IQ37" i="4"/>
  <c r="IR37" i="4"/>
  <c r="IS37" i="4"/>
  <c r="IT37" i="4"/>
  <c r="IU37" i="4"/>
  <c r="IV37" i="4"/>
  <c r="A36" i="4"/>
  <c r="B36" i="4"/>
  <c r="C36" i="4"/>
  <c r="D36"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X36" i="4"/>
  <c r="AY36" i="4"/>
  <c r="AZ36" i="4"/>
  <c r="BA36" i="4"/>
  <c r="BB36" i="4"/>
  <c r="BC36" i="4"/>
  <c r="BD36" i="4"/>
  <c r="BE36" i="4"/>
  <c r="BF36" i="4"/>
  <c r="BG36" i="4"/>
  <c r="BH36" i="4"/>
  <c r="BI36" i="4"/>
  <c r="BJ36" i="4"/>
  <c r="BK36" i="4"/>
  <c r="BL36" i="4"/>
  <c r="BM36" i="4"/>
  <c r="BN36" i="4"/>
  <c r="BO36" i="4"/>
  <c r="BP36" i="4"/>
  <c r="BQ36" i="4"/>
  <c r="BR36" i="4"/>
  <c r="BS36" i="4"/>
  <c r="BT36" i="4"/>
  <c r="BU36" i="4"/>
  <c r="BV36" i="4"/>
  <c r="BW36" i="4"/>
  <c r="BX36" i="4"/>
  <c r="BY36" i="4"/>
  <c r="BZ36" i="4"/>
  <c r="CA36" i="4"/>
  <c r="CB36" i="4"/>
  <c r="CC36" i="4"/>
  <c r="CD36" i="4"/>
  <c r="CE36" i="4"/>
  <c r="CF36" i="4"/>
  <c r="CG36" i="4"/>
  <c r="CH36" i="4"/>
  <c r="CI36" i="4"/>
  <c r="CJ36" i="4"/>
  <c r="CK36" i="4"/>
  <c r="CL36" i="4"/>
  <c r="CM36" i="4"/>
  <c r="CN36" i="4"/>
  <c r="CO36" i="4"/>
  <c r="CP36" i="4"/>
  <c r="CQ36" i="4"/>
  <c r="CR36" i="4"/>
  <c r="CS36" i="4"/>
  <c r="CT36" i="4"/>
  <c r="CU36" i="4"/>
  <c r="CV36" i="4"/>
  <c r="CW36" i="4"/>
  <c r="CX36" i="4"/>
  <c r="CY36" i="4"/>
  <c r="CZ36" i="4"/>
  <c r="DA36" i="4"/>
  <c r="DB36" i="4"/>
  <c r="DC36" i="4"/>
  <c r="DD36" i="4"/>
  <c r="DE36" i="4"/>
  <c r="DF36" i="4"/>
  <c r="DG36" i="4"/>
  <c r="DH36" i="4"/>
  <c r="DI36" i="4"/>
  <c r="DJ36" i="4"/>
  <c r="DK36" i="4"/>
  <c r="DL36" i="4"/>
  <c r="DM36" i="4"/>
  <c r="DN36" i="4"/>
  <c r="DO36" i="4"/>
  <c r="DP36" i="4"/>
  <c r="DQ36" i="4"/>
  <c r="DR36" i="4"/>
  <c r="DS36" i="4"/>
  <c r="DT36" i="4"/>
  <c r="DU36" i="4"/>
  <c r="DV36" i="4"/>
  <c r="DW36" i="4"/>
  <c r="DX36" i="4"/>
  <c r="DY36" i="4"/>
  <c r="DZ36" i="4"/>
  <c r="EA36" i="4"/>
  <c r="EB36" i="4"/>
  <c r="EC36" i="4"/>
  <c r="ED36" i="4"/>
  <c r="EE36" i="4"/>
  <c r="EF36" i="4"/>
  <c r="EG36" i="4"/>
  <c r="EH36" i="4"/>
  <c r="EI36" i="4"/>
  <c r="EJ36" i="4"/>
  <c r="EK36" i="4"/>
  <c r="EL36" i="4"/>
  <c r="EM36" i="4"/>
  <c r="EN36" i="4"/>
  <c r="EO36" i="4"/>
  <c r="EP36" i="4"/>
  <c r="EQ36" i="4"/>
  <c r="ER36" i="4"/>
  <c r="ES36" i="4"/>
  <c r="ET36" i="4"/>
  <c r="EU36" i="4"/>
  <c r="EV36" i="4"/>
  <c r="EW36" i="4"/>
  <c r="EX36" i="4"/>
  <c r="EY36" i="4"/>
  <c r="EZ36" i="4"/>
  <c r="FA36" i="4"/>
  <c r="FB36" i="4"/>
  <c r="FC36" i="4"/>
  <c r="FD36" i="4"/>
  <c r="FE36" i="4"/>
  <c r="FF36" i="4"/>
  <c r="FG36" i="4"/>
  <c r="FH36" i="4"/>
  <c r="FI36" i="4"/>
  <c r="FJ36" i="4"/>
  <c r="FK36" i="4"/>
  <c r="FL36" i="4"/>
  <c r="FM36" i="4"/>
  <c r="FN36" i="4"/>
  <c r="FO36" i="4"/>
  <c r="FP36" i="4"/>
  <c r="FQ36" i="4"/>
  <c r="FR36" i="4"/>
  <c r="FS36" i="4"/>
  <c r="FT36" i="4"/>
  <c r="FU36" i="4"/>
  <c r="FV36" i="4"/>
  <c r="FW36" i="4"/>
  <c r="FX36" i="4"/>
  <c r="FY36" i="4"/>
  <c r="FZ36" i="4"/>
  <c r="GA36" i="4"/>
  <c r="GB36" i="4"/>
  <c r="GC36" i="4"/>
  <c r="GD36" i="4"/>
  <c r="GE36" i="4"/>
  <c r="GF36" i="4"/>
  <c r="GG36" i="4"/>
  <c r="GH36" i="4"/>
  <c r="GI36" i="4"/>
  <c r="GJ36" i="4"/>
  <c r="GK36" i="4"/>
  <c r="GL36" i="4"/>
  <c r="GM36" i="4"/>
  <c r="GN36" i="4"/>
  <c r="GO36" i="4"/>
  <c r="GP36" i="4"/>
  <c r="GQ36" i="4"/>
  <c r="GR36" i="4"/>
  <c r="GS36" i="4"/>
  <c r="GT36" i="4"/>
  <c r="GU36" i="4"/>
  <c r="GV36" i="4"/>
  <c r="GW36" i="4"/>
  <c r="GX36" i="4"/>
  <c r="GY36" i="4"/>
  <c r="GZ36" i="4"/>
  <c r="HA36" i="4"/>
  <c r="HB36" i="4"/>
  <c r="HC36" i="4"/>
  <c r="HD36" i="4"/>
  <c r="HE36" i="4"/>
  <c r="HF36" i="4"/>
  <c r="HG36" i="4"/>
  <c r="HH36" i="4"/>
  <c r="HI36" i="4"/>
  <c r="HJ36" i="4"/>
  <c r="HK36" i="4"/>
  <c r="HL36" i="4"/>
  <c r="HM36" i="4"/>
  <c r="HN36" i="4"/>
  <c r="HO36" i="4"/>
  <c r="HP36" i="4"/>
  <c r="HQ36" i="4"/>
  <c r="HR36" i="4"/>
  <c r="HS36" i="4"/>
  <c r="HT36" i="4"/>
  <c r="HU36" i="4"/>
  <c r="HV36" i="4"/>
  <c r="HW36" i="4"/>
  <c r="HX36" i="4"/>
  <c r="HY36" i="4"/>
  <c r="HZ36" i="4"/>
  <c r="IA36" i="4"/>
  <c r="IB36" i="4"/>
  <c r="IC36" i="4"/>
  <c r="ID36" i="4"/>
  <c r="IE36" i="4"/>
  <c r="IF36" i="4"/>
  <c r="IG36" i="4"/>
  <c r="IH36" i="4"/>
  <c r="II36" i="4"/>
  <c r="IJ36" i="4"/>
  <c r="IK36" i="4"/>
  <c r="IL36" i="4"/>
  <c r="IM36" i="4"/>
  <c r="IN36" i="4"/>
  <c r="IO36" i="4"/>
  <c r="IP36" i="4"/>
  <c r="IQ36" i="4"/>
  <c r="IR36" i="4"/>
  <c r="IS36" i="4"/>
  <c r="IT36" i="4"/>
  <c r="IU36" i="4"/>
  <c r="IV36" i="4"/>
  <c r="A35" i="4"/>
  <c r="B35" i="4"/>
  <c r="C35"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AJ35" i="4"/>
  <c r="AK35" i="4"/>
  <c r="AL35" i="4"/>
  <c r="AM35" i="4"/>
  <c r="AN35" i="4"/>
  <c r="AO35" i="4"/>
  <c r="AP35" i="4"/>
  <c r="AQ35" i="4"/>
  <c r="AR35" i="4"/>
  <c r="AS35" i="4"/>
  <c r="AT35" i="4"/>
  <c r="AU35" i="4"/>
  <c r="AV35" i="4"/>
  <c r="AW35" i="4"/>
  <c r="AX35" i="4"/>
  <c r="AY35" i="4"/>
  <c r="AZ35" i="4"/>
  <c r="BA35" i="4"/>
  <c r="BB35" i="4"/>
  <c r="BC35" i="4"/>
  <c r="BD35" i="4"/>
  <c r="BE35" i="4"/>
  <c r="BF35" i="4"/>
  <c r="BG35" i="4"/>
  <c r="BH35" i="4"/>
  <c r="BI35" i="4"/>
  <c r="BJ35" i="4"/>
  <c r="BK35" i="4"/>
  <c r="BL35" i="4"/>
  <c r="BM35" i="4"/>
  <c r="BN35" i="4"/>
  <c r="BO35" i="4"/>
  <c r="BP35" i="4"/>
  <c r="BQ35" i="4"/>
  <c r="BR35" i="4"/>
  <c r="BS35" i="4"/>
  <c r="BT35" i="4"/>
  <c r="BU35" i="4"/>
  <c r="BV35" i="4"/>
  <c r="BW35" i="4"/>
  <c r="BX35" i="4"/>
  <c r="BY35" i="4"/>
  <c r="BZ35" i="4"/>
  <c r="CA35" i="4"/>
  <c r="CB35" i="4"/>
  <c r="CC35" i="4"/>
  <c r="CD35" i="4"/>
  <c r="CE35" i="4"/>
  <c r="CF35" i="4"/>
  <c r="CG35" i="4"/>
  <c r="CH35" i="4"/>
  <c r="CI35" i="4"/>
  <c r="CJ35" i="4"/>
  <c r="CK35" i="4"/>
  <c r="CL35" i="4"/>
  <c r="CM35" i="4"/>
  <c r="CN35" i="4"/>
  <c r="CO35" i="4"/>
  <c r="CP35" i="4"/>
  <c r="CQ35" i="4"/>
  <c r="CR35" i="4"/>
  <c r="CS35" i="4"/>
  <c r="CT35" i="4"/>
  <c r="CU35" i="4"/>
  <c r="CV35" i="4"/>
  <c r="CW35" i="4"/>
  <c r="CX35" i="4"/>
  <c r="CY35" i="4"/>
  <c r="CZ35" i="4"/>
  <c r="DA35" i="4"/>
  <c r="DB35" i="4"/>
  <c r="DC35" i="4"/>
  <c r="DD35" i="4"/>
  <c r="DE35" i="4"/>
  <c r="DF35" i="4"/>
  <c r="DG35" i="4"/>
  <c r="DH35" i="4"/>
  <c r="DI35" i="4"/>
  <c r="DJ35" i="4"/>
  <c r="DK35" i="4"/>
  <c r="DL35" i="4"/>
  <c r="DM35" i="4"/>
  <c r="DN35" i="4"/>
  <c r="DO35" i="4"/>
  <c r="DP35" i="4"/>
  <c r="DQ35" i="4"/>
  <c r="DR35" i="4"/>
  <c r="DS35" i="4"/>
  <c r="DT35" i="4"/>
  <c r="DU35" i="4"/>
  <c r="DV35" i="4"/>
  <c r="DW35" i="4"/>
  <c r="DX35" i="4"/>
  <c r="DY35" i="4"/>
  <c r="DZ35" i="4"/>
  <c r="EA35" i="4"/>
  <c r="EB35" i="4"/>
  <c r="EC35" i="4"/>
  <c r="ED35" i="4"/>
  <c r="EE35" i="4"/>
  <c r="EF35" i="4"/>
  <c r="EG35" i="4"/>
  <c r="EH35" i="4"/>
  <c r="EI35" i="4"/>
  <c r="EJ35" i="4"/>
  <c r="EK35" i="4"/>
  <c r="EL35" i="4"/>
  <c r="EM35" i="4"/>
  <c r="EN35" i="4"/>
  <c r="EO35" i="4"/>
  <c r="EP35" i="4"/>
  <c r="EQ35" i="4"/>
  <c r="ER35" i="4"/>
  <c r="ES35" i="4"/>
  <c r="ET35" i="4"/>
  <c r="EU35" i="4"/>
  <c r="EV35" i="4"/>
  <c r="EW35" i="4"/>
  <c r="EX35" i="4"/>
  <c r="EY35" i="4"/>
  <c r="EZ35" i="4"/>
  <c r="FA35" i="4"/>
  <c r="FB35" i="4"/>
  <c r="FC35" i="4"/>
  <c r="FD35" i="4"/>
  <c r="FE35" i="4"/>
  <c r="FF35" i="4"/>
  <c r="FG35" i="4"/>
  <c r="FH35" i="4"/>
  <c r="FI35" i="4"/>
  <c r="FJ35" i="4"/>
  <c r="FK35" i="4"/>
  <c r="FL35" i="4"/>
  <c r="FM35" i="4"/>
  <c r="FN35" i="4"/>
  <c r="FO35" i="4"/>
  <c r="FP35" i="4"/>
  <c r="FQ35" i="4"/>
  <c r="FR35" i="4"/>
  <c r="FS35" i="4"/>
  <c r="FT35" i="4"/>
  <c r="FU35" i="4"/>
  <c r="FV35" i="4"/>
  <c r="FW35" i="4"/>
  <c r="FX35" i="4"/>
  <c r="FY35" i="4"/>
  <c r="FZ35" i="4"/>
  <c r="GA35" i="4"/>
  <c r="GB35" i="4"/>
  <c r="GC35" i="4"/>
  <c r="GD35" i="4"/>
  <c r="GE35" i="4"/>
  <c r="GF35" i="4"/>
  <c r="GG35" i="4"/>
  <c r="GH35" i="4"/>
  <c r="GI35" i="4"/>
  <c r="GJ35" i="4"/>
  <c r="GK35" i="4"/>
  <c r="GL35" i="4"/>
  <c r="GM35" i="4"/>
  <c r="GN35" i="4"/>
  <c r="GO35" i="4"/>
  <c r="GP35" i="4"/>
  <c r="GQ35" i="4"/>
  <c r="GR35" i="4"/>
  <c r="GS35" i="4"/>
  <c r="GT35" i="4"/>
  <c r="GU35" i="4"/>
  <c r="GV35" i="4"/>
  <c r="GW35" i="4"/>
  <c r="GX35" i="4"/>
  <c r="GY35" i="4"/>
  <c r="GZ35" i="4"/>
  <c r="HA35" i="4"/>
  <c r="HB35" i="4"/>
  <c r="HC35" i="4"/>
  <c r="HD35" i="4"/>
  <c r="HE35" i="4"/>
  <c r="HF35" i="4"/>
  <c r="HG35" i="4"/>
  <c r="HH35" i="4"/>
  <c r="HI35" i="4"/>
  <c r="HJ35" i="4"/>
  <c r="HK35" i="4"/>
  <c r="HL35" i="4"/>
  <c r="HM35" i="4"/>
  <c r="HN35" i="4"/>
  <c r="HO35" i="4"/>
  <c r="HP35" i="4"/>
  <c r="HQ35" i="4"/>
  <c r="HR35" i="4"/>
  <c r="HS35" i="4"/>
  <c r="HT35" i="4"/>
  <c r="HU35" i="4"/>
  <c r="HV35" i="4"/>
  <c r="HW35" i="4"/>
  <c r="HX35" i="4"/>
  <c r="HY35" i="4"/>
  <c r="HZ35" i="4"/>
  <c r="IA35" i="4"/>
  <c r="IB35" i="4"/>
  <c r="IC35" i="4"/>
  <c r="ID35" i="4"/>
  <c r="IE35" i="4"/>
  <c r="IF35" i="4"/>
  <c r="IG35" i="4"/>
  <c r="IH35" i="4"/>
  <c r="II35" i="4"/>
  <c r="IJ35" i="4"/>
  <c r="IK35" i="4"/>
  <c r="IL35" i="4"/>
  <c r="IM35" i="4"/>
  <c r="IN35" i="4"/>
  <c r="IO35" i="4"/>
  <c r="IP35" i="4"/>
  <c r="IQ35" i="4"/>
  <c r="IR35" i="4"/>
  <c r="IS35" i="4"/>
  <c r="IT35" i="4"/>
  <c r="IU35" i="4"/>
  <c r="IV35" i="4"/>
  <c r="A34" i="4"/>
  <c r="B34" i="4"/>
  <c r="C34" i="4"/>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AJ34" i="4"/>
  <c r="AK34" i="4"/>
  <c r="AL34" i="4"/>
  <c r="AM34" i="4"/>
  <c r="AN34" i="4"/>
  <c r="AO34" i="4"/>
  <c r="AP34" i="4"/>
  <c r="AQ34" i="4"/>
  <c r="AR34" i="4"/>
  <c r="AS34" i="4"/>
  <c r="AT34" i="4"/>
  <c r="AU34" i="4"/>
  <c r="AV34" i="4"/>
  <c r="AW34" i="4"/>
  <c r="AX34" i="4"/>
  <c r="AY34" i="4"/>
  <c r="AZ34" i="4"/>
  <c r="BA34" i="4"/>
  <c r="BB34" i="4"/>
  <c r="BC34" i="4"/>
  <c r="BD34" i="4"/>
  <c r="BE34" i="4"/>
  <c r="BF34" i="4"/>
  <c r="BG34" i="4"/>
  <c r="BH34" i="4"/>
  <c r="BI34" i="4"/>
  <c r="BJ34" i="4"/>
  <c r="BK34" i="4"/>
  <c r="BL34" i="4"/>
  <c r="BM34" i="4"/>
  <c r="BN34" i="4"/>
  <c r="BO34" i="4"/>
  <c r="BP34" i="4"/>
  <c r="BQ34" i="4"/>
  <c r="BR34" i="4"/>
  <c r="BS34" i="4"/>
  <c r="BT34" i="4"/>
  <c r="BU34" i="4"/>
  <c r="BV34" i="4"/>
  <c r="BW34" i="4"/>
  <c r="BX34" i="4"/>
  <c r="BY34" i="4"/>
  <c r="BZ34" i="4"/>
  <c r="CA34" i="4"/>
  <c r="CB34" i="4"/>
  <c r="CC34" i="4"/>
  <c r="CD34" i="4"/>
  <c r="CE34" i="4"/>
  <c r="CF34" i="4"/>
  <c r="CG34" i="4"/>
  <c r="CH34" i="4"/>
  <c r="CI34" i="4"/>
  <c r="CJ34" i="4"/>
  <c r="CK34" i="4"/>
  <c r="CL34" i="4"/>
  <c r="CM34" i="4"/>
  <c r="CN34" i="4"/>
  <c r="CO34" i="4"/>
  <c r="CP34" i="4"/>
  <c r="CQ34" i="4"/>
  <c r="CR34" i="4"/>
  <c r="CS34" i="4"/>
  <c r="CT34" i="4"/>
  <c r="CU34" i="4"/>
  <c r="CV34" i="4"/>
  <c r="CW34" i="4"/>
  <c r="CX34" i="4"/>
  <c r="CY34" i="4"/>
  <c r="CZ34" i="4"/>
  <c r="DA34" i="4"/>
  <c r="DB34" i="4"/>
  <c r="DC34" i="4"/>
  <c r="DD34" i="4"/>
  <c r="DE34" i="4"/>
  <c r="DF34" i="4"/>
  <c r="DG34" i="4"/>
  <c r="DH34" i="4"/>
  <c r="DI34" i="4"/>
  <c r="DJ34" i="4"/>
  <c r="DK34" i="4"/>
  <c r="DL34" i="4"/>
  <c r="DM34" i="4"/>
  <c r="DN34" i="4"/>
  <c r="DO34" i="4"/>
  <c r="DP34" i="4"/>
  <c r="DQ34" i="4"/>
  <c r="DR34" i="4"/>
  <c r="DS34" i="4"/>
  <c r="DT34" i="4"/>
  <c r="DU34" i="4"/>
  <c r="DV34" i="4"/>
  <c r="DW34" i="4"/>
  <c r="DX34" i="4"/>
  <c r="DY34" i="4"/>
  <c r="DZ34" i="4"/>
  <c r="EA34" i="4"/>
  <c r="EB34" i="4"/>
  <c r="EC34" i="4"/>
  <c r="ED34" i="4"/>
  <c r="EE34" i="4"/>
  <c r="EF34" i="4"/>
  <c r="EG34" i="4"/>
  <c r="EH34" i="4"/>
  <c r="EI34" i="4"/>
  <c r="EJ34" i="4"/>
  <c r="EK34" i="4"/>
  <c r="EL34" i="4"/>
  <c r="EM34" i="4"/>
  <c r="EN34" i="4"/>
  <c r="EO34" i="4"/>
  <c r="EP34" i="4"/>
  <c r="EQ34" i="4"/>
  <c r="ER34" i="4"/>
  <c r="ES34" i="4"/>
  <c r="ET34" i="4"/>
  <c r="EU34" i="4"/>
  <c r="EV34" i="4"/>
  <c r="EW34" i="4"/>
  <c r="EX34" i="4"/>
  <c r="EY34" i="4"/>
  <c r="EZ34" i="4"/>
  <c r="FA34" i="4"/>
  <c r="FB34" i="4"/>
  <c r="FC34" i="4"/>
  <c r="FD34" i="4"/>
  <c r="FE34" i="4"/>
  <c r="FF34" i="4"/>
  <c r="FG34" i="4"/>
  <c r="FH34" i="4"/>
  <c r="FI34" i="4"/>
  <c r="FJ34" i="4"/>
  <c r="FK34" i="4"/>
  <c r="FL34" i="4"/>
  <c r="FM34" i="4"/>
  <c r="FN34" i="4"/>
  <c r="FO34" i="4"/>
  <c r="FP34" i="4"/>
  <c r="FQ34" i="4"/>
  <c r="FR34" i="4"/>
  <c r="FS34" i="4"/>
  <c r="FT34" i="4"/>
  <c r="FU34" i="4"/>
  <c r="FV34" i="4"/>
  <c r="FW34" i="4"/>
  <c r="FX34" i="4"/>
  <c r="FY34" i="4"/>
  <c r="FZ34" i="4"/>
  <c r="GA34" i="4"/>
  <c r="GB34" i="4"/>
  <c r="GC34" i="4"/>
  <c r="GD34" i="4"/>
  <c r="GE34" i="4"/>
  <c r="GF34" i="4"/>
  <c r="GG34" i="4"/>
  <c r="GH34" i="4"/>
  <c r="GI34" i="4"/>
  <c r="GJ34" i="4"/>
  <c r="GK34" i="4"/>
  <c r="GL34" i="4"/>
  <c r="GM34" i="4"/>
  <c r="GN34" i="4"/>
  <c r="GO34" i="4"/>
  <c r="GP34" i="4"/>
  <c r="GQ34" i="4"/>
  <c r="GR34" i="4"/>
  <c r="GS34" i="4"/>
  <c r="GT34" i="4"/>
  <c r="GU34" i="4"/>
  <c r="GV34" i="4"/>
  <c r="GW34" i="4"/>
  <c r="GX34" i="4"/>
  <c r="GY34" i="4"/>
  <c r="GZ34" i="4"/>
  <c r="HA34" i="4"/>
  <c r="HB34" i="4"/>
  <c r="HC34" i="4"/>
  <c r="HD34" i="4"/>
  <c r="HE34" i="4"/>
  <c r="HF34" i="4"/>
  <c r="HG34" i="4"/>
  <c r="HH34" i="4"/>
  <c r="HI34" i="4"/>
  <c r="HJ34" i="4"/>
  <c r="HK34" i="4"/>
  <c r="HL34" i="4"/>
  <c r="HM34" i="4"/>
  <c r="HN34" i="4"/>
  <c r="HO34" i="4"/>
  <c r="HP34" i="4"/>
  <c r="HQ34" i="4"/>
  <c r="HR34" i="4"/>
  <c r="HS34" i="4"/>
  <c r="HT34" i="4"/>
  <c r="HU34" i="4"/>
  <c r="HV34" i="4"/>
  <c r="HW34" i="4"/>
  <c r="HX34" i="4"/>
  <c r="HY34" i="4"/>
  <c r="HZ34" i="4"/>
  <c r="IA34" i="4"/>
  <c r="IB34" i="4"/>
  <c r="IC34" i="4"/>
  <c r="ID34" i="4"/>
  <c r="IE34" i="4"/>
  <c r="IF34" i="4"/>
  <c r="IG34" i="4"/>
  <c r="IH34" i="4"/>
  <c r="II34" i="4"/>
  <c r="IJ34" i="4"/>
  <c r="IK34" i="4"/>
  <c r="IL34" i="4"/>
  <c r="IM34" i="4"/>
  <c r="IN34" i="4"/>
  <c r="IO34" i="4"/>
  <c r="IP34" i="4"/>
  <c r="IQ34" i="4"/>
  <c r="IR34" i="4"/>
  <c r="IS34" i="4"/>
  <c r="IT34" i="4"/>
  <c r="IU34" i="4"/>
  <c r="IV34" i="4"/>
  <c r="A33" i="4"/>
  <c r="B33" i="4"/>
  <c r="C33" i="4"/>
  <c r="D33" i="4"/>
  <c r="E33" i="4"/>
  <c r="F33" i="4"/>
  <c r="G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AJ33" i="4"/>
  <c r="AK33" i="4"/>
  <c r="AL33" i="4"/>
  <c r="AM33" i="4"/>
  <c r="AN33" i="4"/>
  <c r="AO33" i="4"/>
  <c r="AP33" i="4"/>
  <c r="AQ33" i="4"/>
  <c r="AR33" i="4"/>
  <c r="AS33" i="4"/>
  <c r="AT33" i="4"/>
  <c r="AU33" i="4"/>
  <c r="AV33" i="4"/>
  <c r="AW33" i="4"/>
  <c r="AX33" i="4"/>
  <c r="AY33" i="4"/>
  <c r="AZ33" i="4"/>
  <c r="BA33" i="4"/>
  <c r="BB33" i="4"/>
  <c r="BC33" i="4"/>
  <c r="BD33" i="4"/>
  <c r="BE33" i="4"/>
  <c r="BF33" i="4"/>
  <c r="BG33" i="4"/>
  <c r="BH33" i="4"/>
  <c r="BI33" i="4"/>
  <c r="BJ33" i="4"/>
  <c r="BK33" i="4"/>
  <c r="BL33" i="4"/>
  <c r="BM33" i="4"/>
  <c r="BN33" i="4"/>
  <c r="BO33" i="4"/>
  <c r="BP33" i="4"/>
  <c r="BQ33" i="4"/>
  <c r="BR33" i="4"/>
  <c r="BS33" i="4"/>
  <c r="BT33" i="4"/>
  <c r="BU33" i="4"/>
  <c r="BV33" i="4"/>
  <c r="BW33" i="4"/>
  <c r="BX33" i="4"/>
  <c r="BY33" i="4"/>
  <c r="BZ33" i="4"/>
  <c r="CA33" i="4"/>
  <c r="CB33" i="4"/>
  <c r="CC33" i="4"/>
  <c r="CD33" i="4"/>
  <c r="CE33" i="4"/>
  <c r="CF33" i="4"/>
  <c r="CG33" i="4"/>
  <c r="CH33" i="4"/>
  <c r="CI33" i="4"/>
  <c r="CJ33" i="4"/>
  <c r="CK33" i="4"/>
  <c r="CL33" i="4"/>
  <c r="CM33" i="4"/>
  <c r="CN33" i="4"/>
  <c r="CO33" i="4"/>
  <c r="CP33" i="4"/>
  <c r="CQ33" i="4"/>
  <c r="CR33" i="4"/>
  <c r="CS33" i="4"/>
  <c r="CT33" i="4"/>
  <c r="CU33" i="4"/>
  <c r="CV33" i="4"/>
  <c r="CW33" i="4"/>
  <c r="CX33" i="4"/>
  <c r="CY33" i="4"/>
  <c r="CZ33" i="4"/>
  <c r="DA33" i="4"/>
  <c r="DB33" i="4"/>
  <c r="DC33" i="4"/>
  <c r="DD33" i="4"/>
  <c r="DE33" i="4"/>
  <c r="DF33" i="4"/>
  <c r="DG33" i="4"/>
  <c r="DH33" i="4"/>
  <c r="DI33" i="4"/>
  <c r="DJ33" i="4"/>
  <c r="DK33" i="4"/>
  <c r="DL33" i="4"/>
  <c r="DM33" i="4"/>
  <c r="DN33" i="4"/>
  <c r="DO33" i="4"/>
  <c r="DP33" i="4"/>
  <c r="DQ33" i="4"/>
  <c r="DR33" i="4"/>
  <c r="DS33" i="4"/>
  <c r="DT33" i="4"/>
  <c r="DU33" i="4"/>
  <c r="DV33" i="4"/>
  <c r="DW33" i="4"/>
  <c r="DX33" i="4"/>
  <c r="DY33" i="4"/>
  <c r="DZ33" i="4"/>
  <c r="EA33" i="4"/>
  <c r="EB33" i="4"/>
  <c r="EC33" i="4"/>
  <c r="ED33" i="4"/>
  <c r="EE33" i="4"/>
  <c r="EF33" i="4"/>
  <c r="EG33" i="4"/>
  <c r="EH33" i="4"/>
  <c r="EI33" i="4"/>
  <c r="EJ33" i="4"/>
  <c r="EK33" i="4"/>
  <c r="EL33" i="4"/>
  <c r="EM33" i="4"/>
  <c r="EN33" i="4"/>
  <c r="EO33" i="4"/>
  <c r="EP33" i="4"/>
  <c r="EQ33" i="4"/>
  <c r="ER33" i="4"/>
  <c r="ES33" i="4"/>
  <c r="ET33" i="4"/>
  <c r="EU33" i="4"/>
  <c r="EV33" i="4"/>
  <c r="EW33" i="4"/>
  <c r="EX33" i="4"/>
  <c r="EY33" i="4"/>
  <c r="EZ33" i="4"/>
  <c r="FA33" i="4"/>
  <c r="FB33" i="4"/>
  <c r="FC33" i="4"/>
  <c r="FD33" i="4"/>
  <c r="FE33" i="4"/>
  <c r="FF33" i="4"/>
  <c r="FG33" i="4"/>
  <c r="FH33" i="4"/>
  <c r="FI33" i="4"/>
  <c r="FJ33" i="4"/>
  <c r="FK33" i="4"/>
  <c r="FL33" i="4"/>
  <c r="FM33" i="4"/>
  <c r="FN33" i="4"/>
  <c r="FO33" i="4"/>
  <c r="FP33" i="4"/>
  <c r="FQ33" i="4"/>
  <c r="FR33" i="4"/>
  <c r="FS33" i="4"/>
  <c r="FT33" i="4"/>
  <c r="FU33" i="4"/>
  <c r="FV33" i="4"/>
  <c r="FW33" i="4"/>
  <c r="FX33" i="4"/>
  <c r="FY33" i="4"/>
  <c r="FZ33" i="4"/>
  <c r="GA33" i="4"/>
  <c r="GB33" i="4"/>
  <c r="GC33" i="4"/>
  <c r="GD33" i="4"/>
  <c r="GE33" i="4"/>
  <c r="GF33" i="4"/>
  <c r="GG33" i="4"/>
  <c r="GH33" i="4"/>
  <c r="GI33" i="4"/>
  <c r="GJ33" i="4"/>
  <c r="GK33" i="4"/>
  <c r="GL33" i="4"/>
  <c r="GM33" i="4"/>
  <c r="GN33" i="4"/>
  <c r="GO33" i="4"/>
  <c r="GP33" i="4"/>
  <c r="GQ33" i="4"/>
  <c r="GR33" i="4"/>
  <c r="GS33" i="4"/>
  <c r="GT33" i="4"/>
  <c r="GU33" i="4"/>
  <c r="GV33" i="4"/>
  <c r="GW33" i="4"/>
  <c r="GX33" i="4"/>
  <c r="GY33" i="4"/>
  <c r="GZ33" i="4"/>
  <c r="HA33" i="4"/>
  <c r="HB33" i="4"/>
  <c r="HC33" i="4"/>
  <c r="HD33" i="4"/>
  <c r="HE33" i="4"/>
  <c r="HF33" i="4"/>
  <c r="HG33" i="4"/>
  <c r="HH33" i="4"/>
  <c r="HI33" i="4"/>
  <c r="HJ33" i="4"/>
  <c r="HK33" i="4"/>
  <c r="HL33" i="4"/>
  <c r="HM33" i="4"/>
  <c r="HN33" i="4"/>
  <c r="HO33" i="4"/>
  <c r="HP33" i="4"/>
  <c r="HQ33" i="4"/>
  <c r="HR33" i="4"/>
  <c r="HS33" i="4"/>
  <c r="HT33" i="4"/>
  <c r="HU33" i="4"/>
  <c r="HV33" i="4"/>
  <c r="HW33" i="4"/>
  <c r="HX33" i="4"/>
  <c r="HY33" i="4"/>
  <c r="HZ33" i="4"/>
  <c r="IA33" i="4"/>
  <c r="IB33" i="4"/>
  <c r="IC33" i="4"/>
  <c r="ID33" i="4"/>
  <c r="IE33" i="4"/>
  <c r="IF33" i="4"/>
  <c r="IG33" i="4"/>
  <c r="IH33" i="4"/>
  <c r="II33" i="4"/>
  <c r="IJ33" i="4"/>
  <c r="IK33" i="4"/>
  <c r="IL33" i="4"/>
  <c r="IM33" i="4"/>
  <c r="IN33" i="4"/>
  <c r="IO33" i="4"/>
  <c r="IP33" i="4"/>
  <c r="IQ33" i="4"/>
  <c r="IR33" i="4"/>
  <c r="IS33" i="4"/>
  <c r="IT33" i="4"/>
  <c r="IU33" i="4"/>
  <c r="IV33" i="4"/>
  <c r="A32" i="4"/>
  <c r="B32" i="4"/>
  <c r="C32" i="4"/>
  <c r="D32" i="4"/>
  <c r="E32"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 r="AM32" i="4"/>
  <c r="AN32" i="4"/>
  <c r="AO32" i="4"/>
  <c r="AP32" i="4"/>
  <c r="AQ32" i="4"/>
  <c r="AR32" i="4"/>
  <c r="AS32" i="4"/>
  <c r="AT32" i="4"/>
  <c r="AU32" i="4"/>
  <c r="AV32" i="4"/>
  <c r="AW32" i="4"/>
  <c r="AX32" i="4"/>
  <c r="AY32" i="4"/>
  <c r="AZ32" i="4"/>
  <c r="BA32" i="4"/>
  <c r="BB32" i="4"/>
  <c r="BC32" i="4"/>
  <c r="BD32" i="4"/>
  <c r="BE32" i="4"/>
  <c r="BF32" i="4"/>
  <c r="BG32" i="4"/>
  <c r="BH32" i="4"/>
  <c r="BI32" i="4"/>
  <c r="BJ32" i="4"/>
  <c r="BK32" i="4"/>
  <c r="BL32" i="4"/>
  <c r="BM32" i="4"/>
  <c r="BN32" i="4"/>
  <c r="BO32" i="4"/>
  <c r="BP32" i="4"/>
  <c r="BQ32" i="4"/>
  <c r="BR32" i="4"/>
  <c r="BS32" i="4"/>
  <c r="BT32" i="4"/>
  <c r="BU32" i="4"/>
  <c r="BV32" i="4"/>
  <c r="BW32" i="4"/>
  <c r="BX32" i="4"/>
  <c r="BY32" i="4"/>
  <c r="BZ32" i="4"/>
  <c r="CA32" i="4"/>
  <c r="CB32" i="4"/>
  <c r="CC32" i="4"/>
  <c r="CD32" i="4"/>
  <c r="CE32" i="4"/>
  <c r="CF32" i="4"/>
  <c r="CG32" i="4"/>
  <c r="CH32" i="4"/>
  <c r="CI32" i="4"/>
  <c r="CJ32" i="4"/>
  <c r="CK32" i="4"/>
  <c r="CL32" i="4"/>
  <c r="CM32" i="4"/>
  <c r="CN32" i="4"/>
  <c r="CO32" i="4"/>
  <c r="CP32" i="4"/>
  <c r="CQ32" i="4"/>
  <c r="CR32" i="4"/>
  <c r="CS32" i="4"/>
  <c r="CT32" i="4"/>
  <c r="CU32" i="4"/>
  <c r="CV32" i="4"/>
  <c r="CW32" i="4"/>
  <c r="CX32" i="4"/>
  <c r="CY32" i="4"/>
  <c r="CZ32" i="4"/>
  <c r="DA32" i="4"/>
  <c r="DB32" i="4"/>
  <c r="DC32" i="4"/>
  <c r="DD32" i="4"/>
  <c r="DE32" i="4"/>
  <c r="DF32" i="4"/>
  <c r="DG32" i="4"/>
  <c r="DH32" i="4"/>
  <c r="DI32" i="4"/>
  <c r="DJ32" i="4"/>
  <c r="DK32" i="4"/>
  <c r="DL32" i="4"/>
  <c r="DM32" i="4"/>
  <c r="DN32" i="4"/>
  <c r="DO32" i="4"/>
  <c r="DP32" i="4"/>
  <c r="DQ32" i="4"/>
  <c r="DR32" i="4"/>
  <c r="DS32" i="4"/>
  <c r="DT32" i="4"/>
  <c r="DU32" i="4"/>
  <c r="DV32" i="4"/>
  <c r="DW32" i="4"/>
  <c r="DX32" i="4"/>
  <c r="DY32" i="4"/>
  <c r="DZ32" i="4"/>
  <c r="EA32" i="4"/>
  <c r="EB32" i="4"/>
  <c r="EC32" i="4"/>
  <c r="ED32" i="4"/>
  <c r="EE32" i="4"/>
  <c r="EF32" i="4"/>
  <c r="EG32" i="4"/>
  <c r="EH32" i="4"/>
  <c r="EI32" i="4"/>
  <c r="EJ32" i="4"/>
  <c r="EK32" i="4"/>
  <c r="EL32" i="4"/>
  <c r="EM32" i="4"/>
  <c r="EN32" i="4"/>
  <c r="EO32" i="4"/>
  <c r="EP32" i="4"/>
  <c r="EQ32" i="4"/>
  <c r="ER32" i="4"/>
  <c r="ES32" i="4"/>
  <c r="ET32" i="4"/>
  <c r="EU32" i="4"/>
  <c r="EV32" i="4"/>
  <c r="EW32" i="4"/>
  <c r="EX32" i="4"/>
  <c r="EY32" i="4"/>
  <c r="EZ32" i="4"/>
  <c r="FA32" i="4"/>
  <c r="FB32" i="4"/>
  <c r="FC32" i="4"/>
  <c r="FD32" i="4"/>
  <c r="FE32" i="4"/>
  <c r="FF32" i="4"/>
  <c r="FG32" i="4"/>
  <c r="FH32" i="4"/>
  <c r="FI32" i="4"/>
  <c r="FJ32" i="4"/>
  <c r="FK32" i="4"/>
  <c r="FL32" i="4"/>
  <c r="FM32" i="4"/>
  <c r="FN32" i="4"/>
  <c r="FO32" i="4"/>
  <c r="FP32" i="4"/>
  <c r="FQ32" i="4"/>
  <c r="FR32" i="4"/>
  <c r="FS32" i="4"/>
  <c r="FT32" i="4"/>
  <c r="FU32" i="4"/>
  <c r="FV32" i="4"/>
  <c r="FW32" i="4"/>
  <c r="FX32" i="4"/>
  <c r="FY32" i="4"/>
  <c r="FZ32" i="4"/>
  <c r="GA32" i="4"/>
  <c r="GB32" i="4"/>
  <c r="GC32" i="4"/>
  <c r="GD32" i="4"/>
  <c r="GE32" i="4"/>
  <c r="GF32" i="4"/>
  <c r="GG32" i="4"/>
  <c r="GH32" i="4"/>
  <c r="GI32" i="4"/>
  <c r="GJ32" i="4"/>
  <c r="GK32" i="4"/>
  <c r="GL32" i="4"/>
  <c r="GM32" i="4"/>
  <c r="GN32" i="4"/>
  <c r="GO32" i="4"/>
  <c r="GP32" i="4"/>
  <c r="GQ32" i="4"/>
  <c r="GR32" i="4"/>
  <c r="GS32" i="4"/>
  <c r="GT32" i="4"/>
  <c r="GU32" i="4"/>
  <c r="GV32" i="4"/>
  <c r="GW32" i="4"/>
  <c r="GX32" i="4"/>
  <c r="GY32" i="4"/>
  <c r="GZ32" i="4"/>
  <c r="HA32" i="4"/>
  <c r="HB32" i="4"/>
  <c r="HC32" i="4"/>
  <c r="HD32" i="4"/>
  <c r="HE32" i="4"/>
  <c r="HF32" i="4"/>
  <c r="HG32" i="4"/>
  <c r="HH32" i="4"/>
  <c r="HI32" i="4"/>
  <c r="HJ32" i="4"/>
  <c r="HK32" i="4"/>
  <c r="HL32" i="4"/>
  <c r="HM32" i="4"/>
  <c r="HN32" i="4"/>
  <c r="HO32" i="4"/>
  <c r="HP32" i="4"/>
  <c r="HQ32" i="4"/>
  <c r="HR32" i="4"/>
  <c r="HS32" i="4"/>
  <c r="HT32" i="4"/>
  <c r="HU32" i="4"/>
  <c r="HV32" i="4"/>
  <c r="HW32" i="4"/>
  <c r="HX32" i="4"/>
  <c r="HY32" i="4"/>
  <c r="HZ32" i="4"/>
  <c r="IA32" i="4"/>
  <c r="IB32" i="4"/>
  <c r="IC32" i="4"/>
  <c r="ID32" i="4"/>
  <c r="IE32" i="4"/>
  <c r="IF32" i="4"/>
  <c r="IG32" i="4"/>
  <c r="IH32" i="4"/>
  <c r="II32" i="4"/>
  <c r="IJ32" i="4"/>
  <c r="IK32" i="4"/>
  <c r="IL32" i="4"/>
  <c r="IM32" i="4"/>
  <c r="IN32" i="4"/>
  <c r="IO32" i="4"/>
  <c r="IP32" i="4"/>
  <c r="IQ32" i="4"/>
  <c r="IR32" i="4"/>
  <c r="IS32" i="4"/>
  <c r="IT32" i="4"/>
  <c r="IU32" i="4"/>
  <c r="IV32" i="4"/>
  <c r="A31" i="4"/>
  <c r="B31" i="4"/>
  <c r="C31" i="4"/>
  <c r="D31" i="4"/>
  <c r="E31"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AJ31" i="4"/>
  <c r="AK31" i="4"/>
  <c r="AL31" i="4"/>
  <c r="AM31" i="4"/>
  <c r="AN31" i="4"/>
  <c r="AO31" i="4"/>
  <c r="AP31" i="4"/>
  <c r="AQ31" i="4"/>
  <c r="AR31" i="4"/>
  <c r="AS31" i="4"/>
  <c r="AT31" i="4"/>
  <c r="AU31" i="4"/>
  <c r="AV31" i="4"/>
  <c r="AW31" i="4"/>
  <c r="AX31" i="4"/>
  <c r="AY31" i="4"/>
  <c r="AZ31" i="4"/>
  <c r="BA31" i="4"/>
  <c r="BB31" i="4"/>
  <c r="BC31" i="4"/>
  <c r="BD31" i="4"/>
  <c r="BE31" i="4"/>
  <c r="BF31" i="4"/>
  <c r="BG31" i="4"/>
  <c r="BH31" i="4"/>
  <c r="BI31" i="4"/>
  <c r="BJ31" i="4"/>
  <c r="BK31" i="4"/>
  <c r="BL31" i="4"/>
  <c r="BM31" i="4"/>
  <c r="BN31" i="4"/>
  <c r="BO31" i="4"/>
  <c r="BP31" i="4"/>
  <c r="BQ31" i="4"/>
  <c r="BR31" i="4"/>
  <c r="BS31" i="4"/>
  <c r="BT31" i="4"/>
  <c r="BU31" i="4"/>
  <c r="BV31" i="4"/>
  <c r="BW31" i="4"/>
  <c r="BX31" i="4"/>
  <c r="BY31" i="4"/>
  <c r="BZ31" i="4"/>
  <c r="CA31" i="4"/>
  <c r="CB31" i="4"/>
  <c r="CC31" i="4"/>
  <c r="CD31" i="4"/>
  <c r="CE31" i="4"/>
  <c r="CF31" i="4"/>
  <c r="CG31" i="4"/>
  <c r="CH31" i="4"/>
  <c r="CI31" i="4"/>
  <c r="CJ31" i="4"/>
  <c r="CK31" i="4"/>
  <c r="CL31" i="4"/>
  <c r="CM31" i="4"/>
  <c r="CN31" i="4"/>
  <c r="CO31" i="4"/>
  <c r="CP31" i="4"/>
  <c r="CQ31" i="4"/>
  <c r="CR31" i="4"/>
  <c r="CS31" i="4"/>
  <c r="CT31" i="4"/>
  <c r="CU31" i="4"/>
  <c r="CV31" i="4"/>
  <c r="CW31" i="4"/>
  <c r="CX31" i="4"/>
  <c r="CY31" i="4"/>
  <c r="CZ31" i="4"/>
  <c r="DA31" i="4"/>
  <c r="DB31" i="4"/>
  <c r="DC31" i="4"/>
  <c r="DD31" i="4"/>
  <c r="DE31" i="4"/>
  <c r="DF31" i="4"/>
  <c r="DG31" i="4"/>
  <c r="DH31" i="4"/>
  <c r="DI31" i="4"/>
  <c r="DJ31" i="4"/>
  <c r="DK31" i="4"/>
  <c r="DL31" i="4"/>
  <c r="DM31" i="4"/>
  <c r="DN31" i="4"/>
  <c r="DO31" i="4"/>
  <c r="DP31" i="4"/>
  <c r="DQ31" i="4"/>
  <c r="DR31" i="4"/>
  <c r="DS31" i="4"/>
  <c r="DT31" i="4"/>
  <c r="DU31" i="4"/>
  <c r="DV31" i="4"/>
  <c r="DW31" i="4"/>
  <c r="DX31" i="4"/>
  <c r="DY31" i="4"/>
  <c r="DZ31" i="4"/>
  <c r="EA31" i="4"/>
  <c r="EB31" i="4"/>
  <c r="EC31" i="4"/>
  <c r="ED31" i="4"/>
  <c r="EE31" i="4"/>
  <c r="EF31" i="4"/>
  <c r="EG31" i="4"/>
  <c r="EH31" i="4"/>
  <c r="EI31" i="4"/>
  <c r="EJ31" i="4"/>
  <c r="EK31" i="4"/>
  <c r="EL31" i="4"/>
  <c r="EM31" i="4"/>
  <c r="EN31" i="4"/>
  <c r="EO31" i="4"/>
  <c r="EP31" i="4"/>
  <c r="EQ31" i="4"/>
  <c r="ER31" i="4"/>
  <c r="ES31" i="4"/>
  <c r="ET31" i="4"/>
  <c r="EU31" i="4"/>
  <c r="EV31" i="4"/>
  <c r="EW31" i="4"/>
  <c r="EX31" i="4"/>
  <c r="EY31" i="4"/>
  <c r="EZ31" i="4"/>
  <c r="FA31" i="4"/>
  <c r="FB31" i="4"/>
  <c r="FC31" i="4"/>
  <c r="FD31" i="4"/>
  <c r="FE31" i="4"/>
  <c r="FF31" i="4"/>
  <c r="FG31" i="4"/>
  <c r="FH31" i="4"/>
  <c r="FI31" i="4"/>
  <c r="FJ31" i="4"/>
  <c r="FK31" i="4"/>
  <c r="FL31" i="4"/>
  <c r="FM31" i="4"/>
  <c r="FN31" i="4"/>
  <c r="FO31" i="4"/>
  <c r="FP31" i="4"/>
  <c r="FQ31" i="4"/>
  <c r="FR31" i="4"/>
  <c r="FS31" i="4"/>
  <c r="FT31" i="4"/>
  <c r="FU31" i="4"/>
  <c r="FV31" i="4"/>
  <c r="FW31" i="4"/>
  <c r="FX31" i="4"/>
  <c r="FY31" i="4"/>
  <c r="FZ31" i="4"/>
  <c r="GA31" i="4"/>
  <c r="GB31" i="4"/>
  <c r="GC31" i="4"/>
  <c r="GD31" i="4"/>
  <c r="GE31" i="4"/>
  <c r="GF31" i="4"/>
  <c r="GG31" i="4"/>
  <c r="GH31" i="4"/>
  <c r="GI31" i="4"/>
  <c r="GJ31" i="4"/>
  <c r="GK31" i="4"/>
  <c r="GL31" i="4"/>
  <c r="GM31" i="4"/>
  <c r="GN31" i="4"/>
  <c r="GO31" i="4"/>
  <c r="GP31" i="4"/>
  <c r="GQ31" i="4"/>
  <c r="GR31" i="4"/>
  <c r="GS31" i="4"/>
  <c r="GT31" i="4"/>
  <c r="GU31" i="4"/>
  <c r="GV31" i="4"/>
  <c r="GW31" i="4"/>
  <c r="GX31" i="4"/>
  <c r="GY31" i="4"/>
  <c r="GZ31" i="4"/>
  <c r="HA31" i="4"/>
  <c r="HB31" i="4"/>
  <c r="HC31" i="4"/>
  <c r="HD31" i="4"/>
  <c r="HE31" i="4"/>
  <c r="HF31" i="4"/>
  <c r="HG31" i="4"/>
  <c r="HH31" i="4"/>
  <c r="HI31" i="4"/>
  <c r="HJ31" i="4"/>
  <c r="HK31" i="4"/>
  <c r="HL31" i="4"/>
  <c r="HM31" i="4"/>
  <c r="HN31" i="4"/>
  <c r="HO31" i="4"/>
  <c r="HP31" i="4"/>
  <c r="HQ31" i="4"/>
  <c r="HR31" i="4"/>
  <c r="HS31" i="4"/>
  <c r="HT31" i="4"/>
  <c r="HU31" i="4"/>
  <c r="HV31" i="4"/>
  <c r="HW31" i="4"/>
  <c r="HX31" i="4"/>
  <c r="HY31" i="4"/>
  <c r="HZ31" i="4"/>
  <c r="IA31" i="4"/>
  <c r="IB31" i="4"/>
  <c r="IC31" i="4"/>
  <c r="ID31" i="4"/>
  <c r="IE31" i="4"/>
  <c r="IF31" i="4"/>
  <c r="IG31" i="4"/>
  <c r="IH31" i="4"/>
  <c r="II31" i="4"/>
  <c r="IJ31" i="4"/>
  <c r="IK31" i="4"/>
  <c r="IL31" i="4"/>
  <c r="IM31" i="4"/>
  <c r="IN31" i="4"/>
  <c r="IO31" i="4"/>
  <c r="IP31" i="4"/>
  <c r="IQ31" i="4"/>
  <c r="IR31" i="4"/>
  <c r="IS31" i="4"/>
  <c r="IT31" i="4"/>
  <c r="IU31" i="4"/>
  <c r="IV31" i="4"/>
  <c r="A30" i="4"/>
  <c r="B30" i="4"/>
  <c r="C30" i="4"/>
  <c r="D30" i="4"/>
  <c r="E30"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AJ30" i="4"/>
  <c r="AK30" i="4"/>
  <c r="AL30" i="4"/>
  <c r="AM30" i="4"/>
  <c r="AN30" i="4"/>
  <c r="AO30" i="4"/>
  <c r="AP30" i="4"/>
  <c r="AQ30" i="4"/>
  <c r="AR30" i="4"/>
  <c r="AS30" i="4"/>
  <c r="AT30" i="4"/>
  <c r="AU30" i="4"/>
  <c r="AV30" i="4"/>
  <c r="AW30" i="4"/>
  <c r="AX30" i="4"/>
  <c r="AY30" i="4"/>
  <c r="AZ30" i="4"/>
  <c r="BA30" i="4"/>
  <c r="BB30" i="4"/>
  <c r="BC30" i="4"/>
  <c r="BD30" i="4"/>
  <c r="BE30" i="4"/>
  <c r="BF30" i="4"/>
  <c r="BG30" i="4"/>
  <c r="BH30" i="4"/>
  <c r="BI30" i="4"/>
  <c r="BJ30" i="4"/>
  <c r="BK30" i="4"/>
  <c r="BL30" i="4"/>
  <c r="BM30" i="4"/>
  <c r="BN30" i="4"/>
  <c r="BO30" i="4"/>
  <c r="BP30" i="4"/>
  <c r="BQ30" i="4"/>
  <c r="BR30" i="4"/>
  <c r="BS30" i="4"/>
  <c r="BT30" i="4"/>
  <c r="BU30" i="4"/>
  <c r="BV30" i="4"/>
  <c r="BW30" i="4"/>
  <c r="BX30" i="4"/>
  <c r="BY30" i="4"/>
  <c r="BZ30" i="4"/>
  <c r="CA30" i="4"/>
  <c r="CB30" i="4"/>
  <c r="CC30" i="4"/>
  <c r="CD30" i="4"/>
  <c r="CE30" i="4"/>
  <c r="CF30" i="4"/>
  <c r="CG30" i="4"/>
  <c r="CH30" i="4"/>
  <c r="CI30" i="4"/>
  <c r="CJ30" i="4"/>
  <c r="CK30" i="4"/>
  <c r="CL30" i="4"/>
  <c r="CM30" i="4"/>
  <c r="CN30" i="4"/>
  <c r="CO30" i="4"/>
  <c r="CP30" i="4"/>
  <c r="CQ30" i="4"/>
  <c r="CR30" i="4"/>
  <c r="CS30" i="4"/>
  <c r="CT30" i="4"/>
  <c r="CU30" i="4"/>
  <c r="CV30" i="4"/>
  <c r="CW30" i="4"/>
  <c r="CX30" i="4"/>
  <c r="CY30" i="4"/>
  <c r="CZ30" i="4"/>
  <c r="DA30" i="4"/>
  <c r="DB30" i="4"/>
  <c r="DC30" i="4"/>
  <c r="DD30" i="4"/>
  <c r="DE30" i="4"/>
  <c r="DF30" i="4"/>
  <c r="DG30" i="4"/>
  <c r="DH30" i="4"/>
  <c r="DI30" i="4"/>
  <c r="DJ30" i="4"/>
  <c r="DK30" i="4"/>
  <c r="DL30" i="4"/>
  <c r="DM30" i="4"/>
  <c r="DN30" i="4"/>
  <c r="DO30" i="4"/>
  <c r="DP30" i="4"/>
  <c r="DQ30" i="4"/>
  <c r="DR30" i="4"/>
  <c r="DS30" i="4"/>
  <c r="DT30" i="4"/>
  <c r="DU30" i="4"/>
  <c r="DV30" i="4"/>
  <c r="DW30" i="4"/>
  <c r="DX30" i="4"/>
  <c r="DY30" i="4"/>
  <c r="DZ30" i="4"/>
  <c r="EA30" i="4"/>
  <c r="EB30" i="4"/>
  <c r="EC30" i="4"/>
  <c r="ED30" i="4"/>
  <c r="EE30" i="4"/>
  <c r="EF30" i="4"/>
  <c r="EG30" i="4"/>
  <c r="EH30" i="4"/>
  <c r="EI30" i="4"/>
  <c r="EJ30" i="4"/>
  <c r="EK30" i="4"/>
  <c r="EL30" i="4"/>
  <c r="EM30" i="4"/>
  <c r="EN30" i="4"/>
  <c r="EO30" i="4"/>
  <c r="EP30" i="4"/>
  <c r="EQ30" i="4"/>
  <c r="ER30" i="4"/>
  <c r="ES30" i="4"/>
  <c r="ET30" i="4"/>
  <c r="EU30" i="4"/>
  <c r="EV30" i="4"/>
  <c r="EW30" i="4"/>
  <c r="EX30" i="4"/>
  <c r="EY30" i="4"/>
  <c r="EZ30" i="4"/>
  <c r="FA30" i="4"/>
  <c r="FB30" i="4"/>
  <c r="FC30" i="4"/>
  <c r="FD30" i="4"/>
  <c r="FE30" i="4"/>
  <c r="FF30" i="4"/>
  <c r="FG30" i="4"/>
  <c r="FH30" i="4"/>
  <c r="FI30" i="4"/>
  <c r="FJ30" i="4"/>
  <c r="FK30" i="4"/>
  <c r="FL30" i="4"/>
  <c r="FM30" i="4"/>
  <c r="FN30" i="4"/>
  <c r="FO30" i="4"/>
  <c r="FP30" i="4"/>
  <c r="FQ30" i="4"/>
  <c r="FR30" i="4"/>
  <c r="FS30" i="4"/>
  <c r="FT30" i="4"/>
  <c r="FU30" i="4"/>
  <c r="FV30" i="4"/>
  <c r="FW30" i="4"/>
  <c r="FX30" i="4"/>
  <c r="FY30" i="4"/>
  <c r="FZ30" i="4"/>
  <c r="GA30" i="4"/>
  <c r="GB30" i="4"/>
  <c r="GC30" i="4"/>
  <c r="GD30" i="4"/>
  <c r="GE30" i="4"/>
  <c r="GF30" i="4"/>
  <c r="GG30" i="4"/>
  <c r="GH30" i="4"/>
  <c r="GI30" i="4"/>
  <c r="GJ30" i="4"/>
  <c r="GK30" i="4"/>
  <c r="GL30" i="4"/>
  <c r="GM30" i="4"/>
  <c r="GN30" i="4"/>
  <c r="GO30" i="4"/>
  <c r="GP30" i="4"/>
  <c r="GQ30" i="4"/>
  <c r="GR30" i="4"/>
  <c r="GS30" i="4"/>
  <c r="GT30" i="4"/>
  <c r="GU30" i="4"/>
  <c r="GV30" i="4"/>
  <c r="GW30" i="4"/>
  <c r="GX30" i="4"/>
  <c r="GY30" i="4"/>
  <c r="GZ30" i="4"/>
  <c r="HA30" i="4"/>
  <c r="HB30" i="4"/>
  <c r="HC30" i="4"/>
  <c r="HD30" i="4"/>
  <c r="HE30" i="4"/>
  <c r="HF30" i="4"/>
  <c r="HG30" i="4"/>
  <c r="HH30" i="4"/>
  <c r="HI30" i="4"/>
  <c r="HJ30" i="4"/>
  <c r="HK30" i="4"/>
  <c r="HL30" i="4"/>
  <c r="HM30" i="4"/>
  <c r="HN30" i="4"/>
  <c r="HO30" i="4"/>
  <c r="HP30" i="4"/>
  <c r="HQ30" i="4"/>
  <c r="HR30" i="4"/>
  <c r="HS30" i="4"/>
  <c r="HT30" i="4"/>
  <c r="HU30" i="4"/>
  <c r="HV30" i="4"/>
  <c r="HW30" i="4"/>
  <c r="HX30" i="4"/>
  <c r="HY30" i="4"/>
  <c r="HZ30" i="4"/>
  <c r="IA30" i="4"/>
  <c r="IB30" i="4"/>
  <c r="IC30" i="4"/>
  <c r="ID30" i="4"/>
  <c r="IE30" i="4"/>
  <c r="IF30" i="4"/>
  <c r="IG30" i="4"/>
  <c r="IH30" i="4"/>
  <c r="II30" i="4"/>
  <c r="IJ30" i="4"/>
  <c r="IK30" i="4"/>
  <c r="IL30" i="4"/>
  <c r="IM30" i="4"/>
  <c r="IN30" i="4"/>
  <c r="IO30" i="4"/>
  <c r="IP30" i="4"/>
  <c r="IQ30" i="4"/>
  <c r="IR30" i="4"/>
  <c r="IS30" i="4"/>
  <c r="IT30" i="4"/>
  <c r="IU30" i="4"/>
  <c r="IV30" i="4"/>
  <c r="A29" i="4"/>
  <c r="B29" i="4"/>
  <c r="C29" i="4"/>
  <c r="D29" i="4"/>
  <c r="E29"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AP29" i="4"/>
  <c r="AQ29" i="4"/>
  <c r="AR29" i="4"/>
  <c r="AS29" i="4"/>
  <c r="AT29" i="4"/>
  <c r="AU29" i="4"/>
  <c r="AV29" i="4"/>
  <c r="AW29" i="4"/>
  <c r="AX29" i="4"/>
  <c r="AY29" i="4"/>
  <c r="AZ29" i="4"/>
  <c r="BA29" i="4"/>
  <c r="BB29" i="4"/>
  <c r="BC29" i="4"/>
  <c r="BD29" i="4"/>
  <c r="BE29" i="4"/>
  <c r="BF29" i="4"/>
  <c r="BG29" i="4"/>
  <c r="BH29" i="4"/>
  <c r="BI29" i="4"/>
  <c r="BJ29" i="4"/>
  <c r="BK29" i="4"/>
  <c r="BL29" i="4"/>
  <c r="BM29" i="4"/>
  <c r="BN29" i="4"/>
  <c r="BO29" i="4"/>
  <c r="BP29" i="4"/>
  <c r="BQ29" i="4"/>
  <c r="BR29" i="4"/>
  <c r="BS29" i="4"/>
  <c r="BT29" i="4"/>
  <c r="BU29" i="4"/>
  <c r="BV29" i="4"/>
  <c r="BW29" i="4"/>
  <c r="BX29" i="4"/>
  <c r="BY29" i="4"/>
  <c r="BZ29" i="4"/>
  <c r="CA29" i="4"/>
  <c r="CB29" i="4"/>
  <c r="CC29" i="4"/>
  <c r="CD29" i="4"/>
  <c r="CE29" i="4"/>
  <c r="CF29" i="4"/>
  <c r="CG29" i="4"/>
  <c r="CH29" i="4"/>
  <c r="CI29" i="4"/>
  <c r="CJ29" i="4"/>
  <c r="CK29" i="4"/>
  <c r="CL29" i="4"/>
  <c r="CM29" i="4"/>
  <c r="CN29" i="4"/>
  <c r="CO29" i="4"/>
  <c r="CP29" i="4"/>
  <c r="CQ29" i="4"/>
  <c r="CR29" i="4"/>
  <c r="CS29" i="4"/>
  <c r="CT29" i="4"/>
  <c r="CU29" i="4"/>
  <c r="CV29" i="4"/>
  <c r="CW29" i="4"/>
  <c r="CX29" i="4"/>
  <c r="CY29" i="4"/>
  <c r="CZ29" i="4"/>
  <c r="DA29" i="4"/>
  <c r="DB29" i="4"/>
  <c r="DC29" i="4"/>
  <c r="DD29" i="4"/>
  <c r="DE29" i="4"/>
  <c r="DF29" i="4"/>
  <c r="DG29" i="4"/>
  <c r="DH29" i="4"/>
  <c r="DI29" i="4"/>
  <c r="DJ29" i="4"/>
  <c r="DK29" i="4"/>
  <c r="DL29" i="4"/>
  <c r="DM29" i="4"/>
  <c r="DN29" i="4"/>
  <c r="DO29" i="4"/>
  <c r="DP29" i="4"/>
  <c r="DQ29" i="4"/>
  <c r="DR29" i="4"/>
  <c r="DS29" i="4"/>
  <c r="DT29" i="4"/>
  <c r="DU29" i="4"/>
  <c r="DV29" i="4"/>
  <c r="DW29" i="4"/>
  <c r="DX29" i="4"/>
  <c r="DY29" i="4"/>
  <c r="DZ29" i="4"/>
  <c r="EA29" i="4"/>
  <c r="EB29" i="4"/>
  <c r="EC29" i="4"/>
  <c r="ED29" i="4"/>
  <c r="EE29" i="4"/>
  <c r="EF29" i="4"/>
  <c r="EG29" i="4"/>
  <c r="EH29" i="4"/>
  <c r="EI29" i="4"/>
  <c r="EJ29" i="4"/>
  <c r="EK29" i="4"/>
  <c r="EL29" i="4"/>
  <c r="EM29" i="4"/>
  <c r="EN29" i="4"/>
  <c r="EO29" i="4"/>
  <c r="EP29" i="4"/>
  <c r="EQ29" i="4"/>
  <c r="ER29" i="4"/>
  <c r="ES29" i="4"/>
  <c r="ET29" i="4"/>
  <c r="EU29" i="4"/>
  <c r="EV29" i="4"/>
  <c r="EW29" i="4"/>
  <c r="EX29" i="4"/>
  <c r="EY29" i="4"/>
  <c r="EZ29" i="4"/>
  <c r="FA29" i="4"/>
  <c r="FB29" i="4"/>
  <c r="FC29" i="4"/>
  <c r="FD29" i="4"/>
  <c r="FE29" i="4"/>
  <c r="FF29" i="4"/>
  <c r="FG29" i="4"/>
  <c r="FH29" i="4"/>
  <c r="FI29" i="4"/>
  <c r="FJ29" i="4"/>
  <c r="FK29" i="4"/>
  <c r="FL29" i="4"/>
  <c r="FM29" i="4"/>
  <c r="FN29" i="4"/>
  <c r="FO29" i="4"/>
  <c r="FP29" i="4"/>
  <c r="FQ29" i="4"/>
  <c r="FR29" i="4"/>
  <c r="FS29" i="4"/>
  <c r="FT29" i="4"/>
  <c r="FU29" i="4"/>
  <c r="FV29" i="4"/>
  <c r="FW29" i="4"/>
  <c r="FX29" i="4"/>
  <c r="FY29" i="4"/>
  <c r="FZ29" i="4"/>
  <c r="GA29" i="4"/>
  <c r="GB29" i="4"/>
  <c r="GC29" i="4"/>
  <c r="GD29" i="4"/>
  <c r="GE29" i="4"/>
  <c r="GF29" i="4"/>
  <c r="GG29" i="4"/>
  <c r="GH29" i="4"/>
  <c r="GI29" i="4"/>
  <c r="GJ29" i="4"/>
  <c r="GK29" i="4"/>
  <c r="GL29" i="4"/>
  <c r="GM29" i="4"/>
  <c r="GN29" i="4"/>
  <c r="GO29" i="4"/>
  <c r="GP29" i="4"/>
  <c r="GQ29" i="4"/>
  <c r="GR29" i="4"/>
  <c r="GS29" i="4"/>
  <c r="GT29" i="4"/>
  <c r="GU29" i="4"/>
  <c r="GV29" i="4"/>
  <c r="GW29" i="4"/>
  <c r="GX29" i="4"/>
  <c r="GY29" i="4"/>
  <c r="GZ29" i="4"/>
  <c r="HA29" i="4"/>
  <c r="HB29" i="4"/>
  <c r="HC29" i="4"/>
  <c r="HD29" i="4"/>
  <c r="HE29" i="4"/>
  <c r="HF29" i="4"/>
  <c r="HG29" i="4"/>
  <c r="HH29" i="4"/>
  <c r="HI29" i="4"/>
  <c r="HJ29" i="4"/>
  <c r="HK29" i="4"/>
  <c r="HL29" i="4"/>
  <c r="HM29" i="4"/>
  <c r="HN29" i="4"/>
  <c r="HO29" i="4"/>
  <c r="HP29" i="4"/>
  <c r="HQ29" i="4"/>
  <c r="HR29" i="4"/>
  <c r="HS29" i="4"/>
  <c r="HT29" i="4"/>
  <c r="HU29" i="4"/>
  <c r="HV29" i="4"/>
  <c r="HW29" i="4"/>
  <c r="HX29" i="4"/>
  <c r="HY29" i="4"/>
  <c r="HZ29" i="4"/>
  <c r="IA29" i="4"/>
  <c r="IB29" i="4"/>
  <c r="IC29" i="4"/>
  <c r="ID29" i="4"/>
  <c r="IE29" i="4"/>
  <c r="IF29" i="4"/>
  <c r="IG29" i="4"/>
  <c r="IH29" i="4"/>
  <c r="II29" i="4"/>
  <c r="IJ29" i="4"/>
  <c r="IK29" i="4"/>
  <c r="IL29" i="4"/>
  <c r="IM29" i="4"/>
  <c r="IN29" i="4"/>
  <c r="IO29" i="4"/>
  <c r="IP29" i="4"/>
  <c r="IQ29" i="4"/>
  <c r="IR29" i="4"/>
  <c r="IS29" i="4"/>
  <c r="IT29" i="4"/>
  <c r="IU29" i="4"/>
  <c r="IV29" i="4"/>
  <c r="A28" i="4"/>
  <c r="B28" i="4"/>
  <c r="C28" i="4"/>
  <c r="D28" i="4"/>
  <c r="E28"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AJ28" i="4"/>
  <c r="AK28" i="4"/>
  <c r="AL28" i="4"/>
  <c r="AM28" i="4"/>
  <c r="AN28" i="4"/>
  <c r="AO28" i="4"/>
  <c r="AP28" i="4"/>
  <c r="AQ28" i="4"/>
  <c r="AR28" i="4"/>
  <c r="AS28" i="4"/>
  <c r="AT28" i="4"/>
  <c r="AU28" i="4"/>
  <c r="AV28" i="4"/>
  <c r="AW28" i="4"/>
  <c r="AX28" i="4"/>
  <c r="AY28" i="4"/>
  <c r="AZ28" i="4"/>
  <c r="BA28" i="4"/>
  <c r="BB28" i="4"/>
  <c r="BC28" i="4"/>
  <c r="BD28" i="4"/>
  <c r="BE28" i="4"/>
  <c r="BF28" i="4"/>
  <c r="BG28" i="4"/>
  <c r="BH28" i="4"/>
  <c r="BI28" i="4"/>
  <c r="BJ28" i="4"/>
  <c r="BK28" i="4"/>
  <c r="BL28" i="4"/>
  <c r="BM28" i="4"/>
  <c r="BN28" i="4"/>
  <c r="BO28" i="4"/>
  <c r="BP28" i="4"/>
  <c r="BQ28" i="4"/>
  <c r="BR28" i="4"/>
  <c r="BS28" i="4"/>
  <c r="BT28" i="4"/>
  <c r="BU28" i="4"/>
  <c r="BV28" i="4"/>
  <c r="BW28" i="4"/>
  <c r="BX28" i="4"/>
  <c r="BY28" i="4"/>
  <c r="BZ28" i="4"/>
  <c r="CA28" i="4"/>
  <c r="CB28" i="4"/>
  <c r="CC28" i="4"/>
  <c r="CD28" i="4"/>
  <c r="CE28" i="4"/>
  <c r="CF28" i="4"/>
  <c r="CG28" i="4"/>
  <c r="CH28" i="4"/>
  <c r="CI28" i="4"/>
  <c r="CJ28" i="4"/>
  <c r="CK28" i="4"/>
  <c r="CL28" i="4"/>
  <c r="CM28" i="4"/>
  <c r="CN28" i="4"/>
  <c r="CO28" i="4"/>
  <c r="CP28" i="4"/>
  <c r="CQ28" i="4"/>
  <c r="CR28" i="4"/>
  <c r="CS28" i="4"/>
  <c r="CT28" i="4"/>
  <c r="CU28" i="4"/>
  <c r="CV28" i="4"/>
  <c r="CW28" i="4"/>
  <c r="CX28" i="4"/>
  <c r="CY28" i="4"/>
  <c r="CZ28" i="4"/>
  <c r="DA28" i="4"/>
  <c r="DB28" i="4"/>
  <c r="DC28" i="4"/>
  <c r="DD28" i="4"/>
  <c r="DE28" i="4"/>
  <c r="DF28" i="4"/>
  <c r="DG28" i="4"/>
  <c r="DH28" i="4"/>
  <c r="DI28" i="4"/>
  <c r="DJ28" i="4"/>
  <c r="DK28" i="4"/>
  <c r="DL28" i="4"/>
  <c r="DM28" i="4"/>
  <c r="DN28" i="4"/>
  <c r="DO28" i="4"/>
  <c r="DP28" i="4"/>
  <c r="DQ28" i="4"/>
  <c r="DR28" i="4"/>
  <c r="DS28" i="4"/>
  <c r="DT28" i="4"/>
  <c r="DU28" i="4"/>
  <c r="DV28" i="4"/>
  <c r="DW28" i="4"/>
  <c r="DX28" i="4"/>
  <c r="DY28" i="4"/>
  <c r="DZ28" i="4"/>
  <c r="EA28" i="4"/>
  <c r="EB28" i="4"/>
  <c r="EC28" i="4"/>
  <c r="ED28" i="4"/>
  <c r="EE28" i="4"/>
  <c r="EF28" i="4"/>
  <c r="EG28" i="4"/>
  <c r="EH28" i="4"/>
  <c r="EI28" i="4"/>
  <c r="EJ28" i="4"/>
  <c r="EK28" i="4"/>
  <c r="EL28" i="4"/>
  <c r="EM28" i="4"/>
  <c r="EN28" i="4"/>
  <c r="EO28" i="4"/>
  <c r="EP28" i="4"/>
  <c r="EQ28" i="4"/>
  <c r="ER28" i="4"/>
  <c r="ES28" i="4"/>
  <c r="ET28" i="4"/>
  <c r="EU28" i="4"/>
  <c r="EV28" i="4"/>
  <c r="EW28" i="4"/>
  <c r="EX28" i="4"/>
  <c r="EY28" i="4"/>
  <c r="EZ28" i="4"/>
  <c r="FA28" i="4"/>
  <c r="FB28" i="4"/>
  <c r="FC28" i="4"/>
  <c r="FD28" i="4"/>
  <c r="FE28" i="4"/>
  <c r="FF28" i="4"/>
  <c r="FG28" i="4"/>
  <c r="FH28" i="4"/>
  <c r="FI28" i="4"/>
  <c r="FJ28" i="4"/>
  <c r="FK28" i="4"/>
  <c r="FL28" i="4"/>
  <c r="FM28" i="4"/>
  <c r="FN28" i="4"/>
  <c r="FO28" i="4"/>
  <c r="FP28" i="4"/>
  <c r="FQ28" i="4"/>
  <c r="FR28" i="4"/>
  <c r="FS28" i="4"/>
  <c r="FT28" i="4"/>
  <c r="FU28" i="4"/>
  <c r="FV28" i="4"/>
  <c r="FW28" i="4"/>
  <c r="FX28" i="4"/>
  <c r="FY28" i="4"/>
  <c r="FZ28" i="4"/>
  <c r="GA28" i="4"/>
  <c r="GB28" i="4"/>
  <c r="GC28" i="4"/>
  <c r="GD28" i="4"/>
  <c r="GE28" i="4"/>
  <c r="GF28" i="4"/>
  <c r="GG28" i="4"/>
  <c r="GH28" i="4"/>
  <c r="GI28" i="4"/>
  <c r="GJ28" i="4"/>
  <c r="GK28" i="4"/>
  <c r="GL28" i="4"/>
  <c r="GM28" i="4"/>
  <c r="GN28" i="4"/>
  <c r="GO28" i="4"/>
  <c r="GP28" i="4"/>
  <c r="GQ28" i="4"/>
  <c r="GR28" i="4"/>
  <c r="GS28" i="4"/>
  <c r="GT28" i="4"/>
  <c r="GU28" i="4"/>
  <c r="GV28" i="4"/>
  <c r="GW28" i="4"/>
  <c r="GX28" i="4"/>
  <c r="GY28" i="4"/>
  <c r="GZ28" i="4"/>
  <c r="HA28" i="4"/>
  <c r="HB28" i="4"/>
  <c r="HC28" i="4"/>
  <c r="HD28" i="4"/>
  <c r="HE28" i="4"/>
  <c r="HF28" i="4"/>
  <c r="HG28" i="4"/>
  <c r="HH28" i="4"/>
  <c r="HI28" i="4"/>
  <c r="HJ28" i="4"/>
  <c r="HK28" i="4"/>
  <c r="HL28" i="4"/>
  <c r="HM28" i="4"/>
  <c r="HN28" i="4"/>
  <c r="HO28" i="4"/>
  <c r="HP28" i="4"/>
  <c r="HQ28" i="4"/>
  <c r="HR28" i="4"/>
  <c r="HS28" i="4"/>
  <c r="HT28" i="4"/>
  <c r="HU28" i="4"/>
  <c r="HV28" i="4"/>
  <c r="HW28" i="4"/>
  <c r="HX28" i="4"/>
  <c r="HY28" i="4"/>
  <c r="HZ28" i="4"/>
  <c r="IA28" i="4"/>
  <c r="IB28" i="4"/>
  <c r="IC28" i="4"/>
  <c r="ID28" i="4"/>
  <c r="IE28" i="4"/>
  <c r="IF28" i="4"/>
  <c r="IG28" i="4"/>
  <c r="IH28" i="4"/>
  <c r="II28" i="4"/>
  <c r="IJ28" i="4"/>
  <c r="IK28" i="4"/>
  <c r="IL28" i="4"/>
  <c r="IM28" i="4"/>
  <c r="IN28" i="4"/>
  <c r="IO28" i="4"/>
  <c r="IP28" i="4"/>
  <c r="IQ28" i="4"/>
  <c r="IR28" i="4"/>
  <c r="IS28" i="4"/>
  <c r="IT28" i="4"/>
  <c r="IU28" i="4"/>
  <c r="IV28" i="4"/>
  <c r="A27" i="4"/>
  <c r="B27" i="4"/>
  <c r="C27"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AL27" i="4"/>
  <c r="AM27" i="4"/>
  <c r="AN27" i="4"/>
  <c r="AO27" i="4"/>
  <c r="AP27" i="4"/>
  <c r="AQ27" i="4"/>
  <c r="AR27" i="4"/>
  <c r="AS27" i="4"/>
  <c r="AT27" i="4"/>
  <c r="AU27" i="4"/>
  <c r="AV27" i="4"/>
  <c r="AW27" i="4"/>
  <c r="AX27" i="4"/>
  <c r="AY27" i="4"/>
  <c r="AZ27" i="4"/>
  <c r="BA27" i="4"/>
  <c r="BB27" i="4"/>
  <c r="BC27" i="4"/>
  <c r="BD27" i="4"/>
  <c r="BE27" i="4"/>
  <c r="BF27" i="4"/>
  <c r="BG27" i="4"/>
  <c r="BH27" i="4"/>
  <c r="BI27" i="4"/>
  <c r="BJ27" i="4"/>
  <c r="BK27" i="4"/>
  <c r="BL27" i="4"/>
  <c r="BM27" i="4"/>
  <c r="BN27" i="4"/>
  <c r="BO27" i="4"/>
  <c r="BP27" i="4"/>
  <c r="BQ27" i="4"/>
  <c r="BR27" i="4"/>
  <c r="BS27" i="4"/>
  <c r="BT27" i="4"/>
  <c r="BU27" i="4"/>
  <c r="BV27" i="4"/>
  <c r="BW27" i="4"/>
  <c r="BX27" i="4"/>
  <c r="BY27" i="4"/>
  <c r="BZ27" i="4"/>
  <c r="CA27" i="4"/>
  <c r="CB27" i="4"/>
  <c r="CC27" i="4"/>
  <c r="CD27" i="4"/>
  <c r="CE27" i="4"/>
  <c r="CF27" i="4"/>
  <c r="CG27" i="4"/>
  <c r="CH27" i="4"/>
  <c r="CI27" i="4"/>
  <c r="CJ27" i="4"/>
  <c r="CK27" i="4"/>
  <c r="CL27" i="4"/>
  <c r="CM27" i="4"/>
  <c r="CN27" i="4"/>
  <c r="CO27" i="4"/>
  <c r="CP27" i="4"/>
  <c r="CQ27" i="4"/>
  <c r="CR27" i="4"/>
  <c r="CS27" i="4"/>
  <c r="CT27" i="4"/>
  <c r="CU27" i="4"/>
  <c r="CV27" i="4"/>
  <c r="CW27" i="4"/>
  <c r="CX27" i="4"/>
  <c r="CY27" i="4"/>
  <c r="CZ27" i="4"/>
  <c r="DA27" i="4"/>
  <c r="DB27" i="4"/>
  <c r="DC27" i="4"/>
  <c r="DD27" i="4"/>
  <c r="DE27" i="4"/>
  <c r="DF27" i="4"/>
  <c r="DG27" i="4"/>
  <c r="DH27" i="4"/>
  <c r="DI27" i="4"/>
  <c r="DJ27" i="4"/>
  <c r="DK27" i="4"/>
  <c r="DL27" i="4"/>
  <c r="DM27" i="4"/>
  <c r="DN27" i="4"/>
  <c r="DO27" i="4"/>
  <c r="DP27" i="4"/>
  <c r="DQ27" i="4"/>
  <c r="DR27" i="4"/>
  <c r="DS27" i="4"/>
  <c r="DT27" i="4"/>
  <c r="DU27" i="4"/>
  <c r="DV27" i="4"/>
  <c r="DW27" i="4"/>
  <c r="DX27" i="4"/>
  <c r="DY27" i="4"/>
  <c r="DZ27" i="4"/>
  <c r="EA27" i="4"/>
  <c r="EB27" i="4"/>
  <c r="EC27" i="4"/>
  <c r="ED27" i="4"/>
  <c r="EE27" i="4"/>
  <c r="EF27" i="4"/>
  <c r="EG27" i="4"/>
  <c r="EH27" i="4"/>
  <c r="EI27" i="4"/>
  <c r="EJ27" i="4"/>
  <c r="EK27" i="4"/>
  <c r="EL27" i="4"/>
  <c r="EM27" i="4"/>
  <c r="EN27" i="4"/>
  <c r="EO27" i="4"/>
  <c r="EP27" i="4"/>
  <c r="EQ27" i="4"/>
  <c r="ER27" i="4"/>
  <c r="ES27" i="4"/>
  <c r="ET27" i="4"/>
  <c r="EU27" i="4"/>
  <c r="EV27" i="4"/>
  <c r="EW27" i="4"/>
  <c r="EX27" i="4"/>
  <c r="EY27" i="4"/>
  <c r="EZ27" i="4"/>
  <c r="FA27" i="4"/>
  <c r="FB27" i="4"/>
  <c r="FC27" i="4"/>
  <c r="FD27" i="4"/>
  <c r="FE27" i="4"/>
  <c r="FF27" i="4"/>
  <c r="FG27" i="4"/>
  <c r="FH27" i="4"/>
  <c r="FI27" i="4"/>
  <c r="FJ27" i="4"/>
  <c r="FK27" i="4"/>
  <c r="FL27" i="4"/>
  <c r="FM27" i="4"/>
  <c r="FN27" i="4"/>
  <c r="FO27" i="4"/>
  <c r="FP27" i="4"/>
  <c r="FQ27" i="4"/>
  <c r="FR27" i="4"/>
  <c r="FS27" i="4"/>
  <c r="FT27" i="4"/>
  <c r="FU27" i="4"/>
  <c r="FV27" i="4"/>
  <c r="FW27" i="4"/>
  <c r="FX27" i="4"/>
  <c r="FY27" i="4"/>
  <c r="FZ27" i="4"/>
  <c r="GA27" i="4"/>
  <c r="GB27" i="4"/>
  <c r="GC27" i="4"/>
  <c r="GD27" i="4"/>
  <c r="GE27" i="4"/>
  <c r="GF27" i="4"/>
  <c r="GG27" i="4"/>
  <c r="GH27" i="4"/>
  <c r="GI27" i="4"/>
  <c r="GJ27" i="4"/>
  <c r="GK27" i="4"/>
  <c r="GL27" i="4"/>
  <c r="GM27" i="4"/>
  <c r="GN27" i="4"/>
  <c r="GO27" i="4"/>
  <c r="GP27" i="4"/>
  <c r="GQ27" i="4"/>
  <c r="GR27" i="4"/>
  <c r="GS27" i="4"/>
  <c r="GT27" i="4"/>
  <c r="GU27" i="4"/>
  <c r="GV27" i="4"/>
  <c r="GW27" i="4"/>
  <c r="GX27" i="4"/>
  <c r="GY27" i="4"/>
  <c r="GZ27" i="4"/>
  <c r="HA27" i="4"/>
  <c r="HB27" i="4"/>
  <c r="HC27" i="4"/>
  <c r="HD27" i="4"/>
  <c r="HE27" i="4"/>
  <c r="HF27" i="4"/>
  <c r="HG27" i="4"/>
  <c r="HH27" i="4"/>
  <c r="HI27" i="4"/>
  <c r="HJ27" i="4"/>
  <c r="HK27" i="4"/>
  <c r="HL27" i="4"/>
  <c r="HM27" i="4"/>
  <c r="HN27" i="4"/>
  <c r="HO27" i="4"/>
  <c r="HP27" i="4"/>
  <c r="HQ27" i="4"/>
  <c r="HR27" i="4"/>
  <c r="HS27" i="4"/>
  <c r="HT27" i="4"/>
  <c r="HU27" i="4"/>
  <c r="HV27" i="4"/>
  <c r="HW27" i="4"/>
  <c r="HX27" i="4"/>
  <c r="HY27" i="4"/>
  <c r="HZ27" i="4"/>
  <c r="IA27" i="4"/>
  <c r="IB27" i="4"/>
  <c r="IC27" i="4"/>
  <c r="ID27" i="4"/>
  <c r="IE27" i="4"/>
  <c r="IF27" i="4"/>
  <c r="IG27" i="4"/>
  <c r="IH27" i="4"/>
  <c r="II27" i="4"/>
  <c r="IJ27" i="4"/>
  <c r="IK27" i="4"/>
  <c r="IL27" i="4"/>
  <c r="IM27" i="4"/>
  <c r="IN27" i="4"/>
  <c r="IO27" i="4"/>
  <c r="IP27" i="4"/>
  <c r="IQ27" i="4"/>
  <c r="IR27" i="4"/>
  <c r="IS27" i="4"/>
  <c r="IT27" i="4"/>
  <c r="IU27" i="4"/>
  <c r="IV27" i="4"/>
  <c r="A26" i="4"/>
  <c r="B26" i="4"/>
  <c r="C26" i="4"/>
  <c r="D26" i="4"/>
  <c r="E26"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AK26" i="4"/>
  <c r="AL26" i="4"/>
  <c r="AM26" i="4"/>
  <c r="AN26" i="4"/>
  <c r="AO26" i="4"/>
  <c r="AP26" i="4"/>
  <c r="AQ26" i="4"/>
  <c r="AR26" i="4"/>
  <c r="AS26" i="4"/>
  <c r="AT26" i="4"/>
  <c r="AU26" i="4"/>
  <c r="AV26" i="4"/>
  <c r="AW26" i="4"/>
  <c r="AX26" i="4"/>
  <c r="AY26" i="4"/>
  <c r="AZ26" i="4"/>
  <c r="BA26" i="4"/>
  <c r="BB26" i="4"/>
  <c r="BC26" i="4"/>
  <c r="BD26" i="4"/>
  <c r="BE26" i="4"/>
  <c r="BF26" i="4"/>
  <c r="BG26" i="4"/>
  <c r="BH26" i="4"/>
  <c r="BI26" i="4"/>
  <c r="BJ26" i="4"/>
  <c r="BK26" i="4"/>
  <c r="BL26" i="4"/>
  <c r="BM26" i="4"/>
  <c r="BN26" i="4"/>
  <c r="BO26" i="4"/>
  <c r="BP26" i="4"/>
  <c r="BQ26" i="4"/>
  <c r="BR26" i="4"/>
  <c r="BS26" i="4"/>
  <c r="BT26" i="4"/>
  <c r="BU26" i="4"/>
  <c r="BV26" i="4"/>
  <c r="BW26" i="4"/>
  <c r="BX26" i="4"/>
  <c r="BY26" i="4"/>
  <c r="BZ26" i="4"/>
  <c r="CA26" i="4"/>
  <c r="CB26" i="4"/>
  <c r="CC26" i="4"/>
  <c r="CD26" i="4"/>
  <c r="CE26" i="4"/>
  <c r="CF26" i="4"/>
  <c r="CG26" i="4"/>
  <c r="CH26" i="4"/>
  <c r="CI26" i="4"/>
  <c r="CJ26" i="4"/>
  <c r="CK26" i="4"/>
  <c r="CL26" i="4"/>
  <c r="CM26" i="4"/>
  <c r="CN26" i="4"/>
  <c r="CO26" i="4"/>
  <c r="CP26" i="4"/>
  <c r="CQ26" i="4"/>
  <c r="CR26" i="4"/>
  <c r="CS26" i="4"/>
  <c r="CT26" i="4"/>
  <c r="CU26" i="4"/>
  <c r="CV26" i="4"/>
  <c r="CW26" i="4"/>
  <c r="CX26" i="4"/>
  <c r="CY26" i="4"/>
  <c r="CZ26" i="4"/>
  <c r="DA26" i="4"/>
  <c r="DB26" i="4"/>
  <c r="DC26" i="4"/>
  <c r="DD26" i="4"/>
  <c r="DE26" i="4"/>
  <c r="DF26" i="4"/>
  <c r="DG26" i="4"/>
  <c r="DH26" i="4"/>
  <c r="DI26" i="4"/>
  <c r="DJ26" i="4"/>
  <c r="DK26" i="4"/>
  <c r="DL26" i="4"/>
  <c r="DM26" i="4"/>
  <c r="DN26" i="4"/>
  <c r="DO26" i="4"/>
  <c r="DP26" i="4"/>
  <c r="DQ26" i="4"/>
  <c r="DR26" i="4"/>
  <c r="DS26" i="4"/>
  <c r="DT26" i="4"/>
  <c r="DU26" i="4"/>
  <c r="DV26" i="4"/>
  <c r="DW26" i="4"/>
  <c r="DX26" i="4"/>
  <c r="DY26" i="4"/>
  <c r="DZ26" i="4"/>
  <c r="EA26" i="4"/>
  <c r="EB26" i="4"/>
  <c r="EC26" i="4"/>
  <c r="ED26" i="4"/>
  <c r="EE26" i="4"/>
  <c r="EF26" i="4"/>
  <c r="EG26" i="4"/>
  <c r="EH26" i="4"/>
  <c r="EI26" i="4"/>
  <c r="EJ26" i="4"/>
  <c r="EK26" i="4"/>
  <c r="EL26" i="4"/>
  <c r="EM26" i="4"/>
  <c r="EN26" i="4"/>
  <c r="EO26" i="4"/>
  <c r="EP26" i="4"/>
  <c r="EQ26" i="4"/>
  <c r="ER26" i="4"/>
  <c r="ES26" i="4"/>
  <c r="ET26" i="4"/>
  <c r="EU26" i="4"/>
  <c r="EV26" i="4"/>
  <c r="EW26" i="4"/>
  <c r="EX26" i="4"/>
  <c r="EY26" i="4"/>
  <c r="EZ26" i="4"/>
  <c r="FA26" i="4"/>
  <c r="FB26" i="4"/>
  <c r="FC26" i="4"/>
  <c r="FD26" i="4"/>
  <c r="FE26" i="4"/>
  <c r="FF26" i="4"/>
  <c r="FG26" i="4"/>
  <c r="FH26" i="4"/>
  <c r="FI26" i="4"/>
  <c r="FJ26" i="4"/>
  <c r="FK26" i="4"/>
  <c r="FL26" i="4"/>
  <c r="FM26" i="4"/>
  <c r="FN26" i="4"/>
  <c r="FO26" i="4"/>
  <c r="FP26" i="4"/>
  <c r="FQ26" i="4"/>
  <c r="FR26" i="4"/>
  <c r="FS26" i="4"/>
  <c r="FT26" i="4"/>
  <c r="FU26" i="4"/>
  <c r="FV26" i="4"/>
  <c r="FW26" i="4"/>
  <c r="FX26" i="4"/>
  <c r="FY26" i="4"/>
  <c r="FZ26" i="4"/>
  <c r="GA26" i="4"/>
  <c r="GB26" i="4"/>
  <c r="GC26" i="4"/>
  <c r="GD26" i="4"/>
  <c r="GE26" i="4"/>
  <c r="GF26" i="4"/>
  <c r="GG26" i="4"/>
  <c r="GH26" i="4"/>
  <c r="GI26" i="4"/>
  <c r="GJ26" i="4"/>
  <c r="GK26" i="4"/>
  <c r="GL26" i="4"/>
  <c r="GM26" i="4"/>
  <c r="GN26" i="4"/>
  <c r="GO26" i="4"/>
  <c r="GP26" i="4"/>
  <c r="GQ26" i="4"/>
  <c r="GR26" i="4"/>
  <c r="GS26" i="4"/>
  <c r="GT26" i="4"/>
  <c r="GU26" i="4"/>
  <c r="GV26" i="4"/>
  <c r="GW26" i="4"/>
  <c r="GX26" i="4"/>
  <c r="GY26" i="4"/>
  <c r="GZ26" i="4"/>
  <c r="HA26" i="4"/>
  <c r="HB26" i="4"/>
  <c r="HC26" i="4"/>
  <c r="HD26" i="4"/>
  <c r="HE26" i="4"/>
  <c r="HF26" i="4"/>
  <c r="HG26" i="4"/>
  <c r="HH26" i="4"/>
  <c r="HI26" i="4"/>
  <c r="HJ26" i="4"/>
  <c r="HK26" i="4"/>
  <c r="HL26" i="4"/>
  <c r="HM26" i="4"/>
  <c r="HN26" i="4"/>
  <c r="HO26" i="4"/>
  <c r="HP26" i="4"/>
  <c r="HQ26" i="4"/>
  <c r="HR26" i="4"/>
  <c r="HS26" i="4"/>
  <c r="HT26" i="4"/>
  <c r="HU26" i="4"/>
  <c r="HV26" i="4"/>
  <c r="HW26" i="4"/>
  <c r="HX26" i="4"/>
  <c r="HY26" i="4"/>
  <c r="HZ26" i="4"/>
  <c r="IA26" i="4"/>
  <c r="IB26" i="4"/>
  <c r="IC26" i="4"/>
  <c r="ID26" i="4"/>
  <c r="IE26" i="4"/>
  <c r="IF26" i="4"/>
  <c r="IG26" i="4"/>
  <c r="IH26" i="4"/>
  <c r="II26" i="4"/>
  <c r="IJ26" i="4"/>
  <c r="IK26" i="4"/>
  <c r="IL26" i="4"/>
  <c r="IM26" i="4"/>
  <c r="IN26" i="4"/>
  <c r="IO26" i="4"/>
  <c r="IP26" i="4"/>
  <c r="IQ26" i="4"/>
  <c r="IR26" i="4"/>
  <c r="IS26" i="4"/>
  <c r="IT26" i="4"/>
  <c r="IU26" i="4"/>
  <c r="IV26" i="4"/>
  <c r="A25" i="4"/>
  <c r="B25" i="4"/>
  <c r="C25" i="4"/>
  <c r="D25" i="4"/>
  <c r="E25" i="4"/>
  <c r="F25" i="4"/>
  <c r="G25" i="4"/>
  <c r="H25" i="4"/>
  <c r="I25" i="4"/>
  <c r="J25" i="4"/>
  <c r="K25" i="4"/>
  <c r="L25" i="4"/>
  <c r="M25" i="4"/>
  <c r="N25" i="4"/>
  <c r="O25" i="4"/>
  <c r="P25" i="4"/>
  <c r="Q25" i="4"/>
  <c r="R25" i="4"/>
  <c r="S25" i="4"/>
  <c r="T25" i="4"/>
  <c r="U25" i="4"/>
  <c r="V25" i="4"/>
  <c r="W25" i="4"/>
  <c r="X25" i="4"/>
  <c r="Y25" i="4"/>
  <c r="Z25" i="4"/>
  <c r="AA25" i="4"/>
  <c r="AB25" i="4"/>
  <c r="AC25" i="4"/>
  <c r="AD25" i="4"/>
  <c r="AE25" i="4"/>
  <c r="AF25" i="4"/>
  <c r="AG25" i="4"/>
  <c r="AH25" i="4"/>
  <c r="AI25" i="4"/>
  <c r="AJ25" i="4"/>
  <c r="AK25" i="4"/>
  <c r="AL25" i="4"/>
  <c r="AM25" i="4"/>
  <c r="AN25" i="4"/>
  <c r="AO25" i="4"/>
  <c r="AP25" i="4"/>
  <c r="AQ25" i="4"/>
  <c r="AR25" i="4"/>
  <c r="AS25" i="4"/>
  <c r="AT25" i="4"/>
  <c r="AU25" i="4"/>
  <c r="AV25" i="4"/>
  <c r="AW25" i="4"/>
  <c r="AX25" i="4"/>
  <c r="AY25" i="4"/>
  <c r="AZ25" i="4"/>
  <c r="BA25" i="4"/>
  <c r="BB25" i="4"/>
  <c r="BC25" i="4"/>
  <c r="BD25" i="4"/>
  <c r="BE25" i="4"/>
  <c r="BF25" i="4"/>
  <c r="BG25" i="4"/>
  <c r="BH25" i="4"/>
  <c r="BI25" i="4"/>
  <c r="BJ25" i="4"/>
  <c r="BK25" i="4"/>
  <c r="BL25" i="4"/>
  <c r="BM25" i="4"/>
  <c r="BN25" i="4"/>
  <c r="BO25" i="4"/>
  <c r="BP25" i="4"/>
  <c r="BQ25" i="4"/>
  <c r="BR25" i="4"/>
  <c r="BS25" i="4"/>
  <c r="BT25" i="4"/>
  <c r="BU25" i="4"/>
  <c r="BV25" i="4"/>
  <c r="BW25" i="4"/>
  <c r="BX25" i="4"/>
  <c r="BY25" i="4"/>
  <c r="BZ25" i="4"/>
  <c r="CA25" i="4"/>
  <c r="CB25" i="4"/>
  <c r="CC25" i="4"/>
  <c r="CD25" i="4"/>
  <c r="CE25" i="4"/>
  <c r="CF25" i="4"/>
  <c r="CG25" i="4"/>
  <c r="CH25" i="4"/>
  <c r="CI25" i="4"/>
  <c r="CJ25" i="4"/>
  <c r="CK25" i="4"/>
  <c r="CL25" i="4"/>
  <c r="CM25" i="4"/>
  <c r="CN25" i="4"/>
  <c r="CO25" i="4"/>
  <c r="CP25" i="4"/>
  <c r="CQ25" i="4"/>
  <c r="CR25" i="4"/>
  <c r="CS25" i="4"/>
  <c r="CT25" i="4"/>
  <c r="CU25" i="4"/>
  <c r="CV25" i="4"/>
  <c r="CW25" i="4"/>
  <c r="CX25" i="4"/>
  <c r="CY25" i="4"/>
  <c r="CZ25" i="4"/>
  <c r="DA25" i="4"/>
  <c r="DB25" i="4"/>
  <c r="DC25" i="4"/>
  <c r="DD25" i="4"/>
  <c r="DE25" i="4"/>
  <c r="DF25" i="4"/>
  <c r="DG25" i="4"/>
  <c r="DH25" i="4"/>
  <c r="DI25" i="4"/>
  <c r="DJ25" i="4"/>
  <c r="DK25" i="4"/>
  <c r="DL25" i="4"/>
  <c r="DM25" i="4"/>
  <c r="DN25" i="4"/>
  <c r="DO25" i="4"/>
  <c r="DP25" i="4"/>
  <c r="DQ25" i="4"/>
  <c r="DR25" i="4"/>
  <c r="DS25" i="4"/>
  <c r="DT25" i="4"/>
  <c r="DU25" i="4"/>
  <c r="DV25" i="4"/>
  <c r="DW25" i="4"/>
  <c r="DX25" i="4"/>
  <c r="DY25" i="4"/>
  <c r="DZ25" i="4"/>
  <c r="EA25" i="4"/>
  <c r="EB25" i="4"/>
  <c r="EC25" i="4"/>
  <c r="ED25" i="4"/>
  <c r="EE25" i="4"/>
  <c r="EF25" i="4"/>
  <c r="EG25" i="4"/>
  <c r="EH25" i="4"/>
  <c r="EI25" i="4"/>
  <c r="EJ25" i="4"/>
  <c r="EK25" i="4"/>
  <c r="EL25" i="4"/>
  <c r="EM25" i="4"/>
  <c r="EN25" i="4"/>
  <c r="EO25" i="4"/>
  <c r="EP25" i="4"/>
  <c r="EQ25" i="4"/>
  <c r="ER25" i="4"/>
  <c r="ES25" i="4"/>
  <c r="ET25" i="4"/>
  <c r="EU25" i="4"/>
  <c r="EV25" i="4"/>
  <c r="EW25" i="4"/>
  <c r="EX25" i="4"/>
  <c r="EY25" i="4"/>
  <c r="EZ25" i="4"/>
  <c r="FA25" i="4"/>
  <c r="FB25" i="4"/>
  <c r="FC25" i="4"/>
  <c r="FD25" i="4"/>
  <c r="FE25" i="4"/>
  <c r="FF25" i="4"/>
  <c r="FG25" i="4"/>
  <c r="FH25" i="4"/>
  <c r="FI25" i="4"/>
  <c r="FJ25" i="4"/>
  <c r="FK25" i="4"/>
  <c r="FL25" i="4"/>
  <c r="FM25" i="4"/>
  <c r="FN25" i="4"/>
  <c r="FO25" i="4"/>
  <c r="FP25" i="4"/>
  <c r="FQ25" i="4"/>
  <c r="FR25" i="4"/>
  <c r="FS25" i="4"/>
  <c r="FT25" i="4"/>
  <c r="FU25" i="4"/>
  <c r="FV25" i="4"/>
  <c r="FW25" i="4"/>
  <c r="FX25" i="4"/>
  <c r="FY25" i="4"/>
  <c r="FZ25" i="4"/>
  <c r="GA25" i="4"/>
  <c r="GB25" i="4"/>
  <c r="GC25" i="4"/>
  <c r="GD25" i="4"/>
  <c r="GE25" i="4"/>
  <c r="GF25" i="4"/>
  <c r="GG25" i="4"/>
  <c r="GH25" i="4"/>
  <c r="GI25" i="4"/>
  <c r="GJ25" i="4"/>
  <c r="GK25" i="4"/>
  <c r="GL25" i="4"/>
  <c r="GM25" i="4"/>
  <c r="GN25" i="4"/>
  <c r="GO25" i="4"/>
  <c r="GP25" i="4"/>
  <c r="GQ25" i="4"/>
  <c r="GR25" i="4"/>
  <c r="GS25" i="4"/>
  <c r="GT25" i="4"/>
  <c r="GU25" i="4"/>
  <c r="GV25" i="4"/>
  <c r="GW25" i="4"/>
  <c r="GX25" i="4"/>
  <c r="GY25" i="4"/>
  <c r="GZ25" i="4"/>
  <c r="HA25" i="4"/>
  <c r="HB25" i="4"/>
  <c r="HC25" i="4"/>
  <c r="HD25" i="4"/>
  <c r="HE25" i="4"/>
  <c r="HF25" i="4"/>
  <c r="HG25" i="4"/>
  <c r="HH25" i="4"/>
  <c r="HI25" i="4"/>
  <c r="HJ25" i="4"/>
  <c r="HK25" i="4"/>
  <c r="HL25" i="4"/>
  <c r="HM25" i="4"/>
  <c r="HN25" i="4"/>
  <c r="HO25" i="4"/>
  <c r="HP25" i="4"/>
  <c r="HQ25" i="4"/>
  <c r="HR25" i="4"/>
  <c r="HS25" i="4"/>
  <c r="HT25" i="4"/>
  <c r="HU25" i="4"/>
  <c r="HV25" i="4"/>
  <c r="HW25" i="4"/>
  <c r="HX25" i="4"/>
  <c r="HY25" i="4"/>
  <c r="HZ25" i="4"/>
  <c r="IA25" i="4"/>
  <c r="IB25" i="4"/>
  <c r="IC25" i="4"/>
  <c r="ID25" i="4"/>
  <c r="IE25" i="4"/>
  <c r="IF25" i="4"/>
  <c r="IG25" i="4"/>
  <c r="IH25" i="4"/>
  <c r="II25" i="4"/>
  <c r="IJ25" i="4"/>
  <c r="IK25" i="4"/>
  <c r="IL25" i="4"/>
  <c r="IM25" i="4"/>
  <c r="IN25" i="4"/>
  <c r="IO25" i="4"/>
  <c r="IP25" i="4"/>
  <c r="IQ25" i="4"/>
  <c r="IR25" i="4"/>
  <c r="IS25" i="4"/>
  <c r="IT25" i="4"/>
  <c r="IU25" i="4"/>
  <c r="IV25" i="4"/>
  <c r="A24" i="4"/>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K24" i="4"/>
  <c r="BL24" i="4"/>
  <c r="BM24" i="4"/>
  <c r="BN24" i="4"/>
  <c r="BO24" i="4"/>
  <c r="BP24" i="4"/>
  <c r="BQ24" i="4"/>
  <c r="BR24" i="4"/>
  <c r="BS24" i="4"/>
  <c r="BT24" i="4"/>
  <c r="BU24" i="4"/>
  <c r="BV24" i="4"/>
  <c r="BW24" i="4"/>
  <c r="BX24" i="4"/>
  <c r="BY24" i="4"/>
  <c r="BZ24" i="4"/>
  <c r="CA24" i="4"/>
  <c r="CB24" i="4"/>
  <c r="CC24" i="4"/>
  <c r="CD24" i="4"/>
  <c r="CE24" i="4"/>
  <c r="CF24" i="4"/>
  <c r="CG24" i="4"/>
  <c r="CH24" i="4"/>
  <c r="CI24" i="4"/>
  <c r="CJ24" i="4"/>
  <c r="CK24" i="4"/>
  <c r="CL24" i="4"/>
  <c r="CM24" i="4"/>
  <c r="CN24" i="4"/>
  <c r="CO24" i="4"/>
  <c r="CP24" i="4"/>
  <c r="CQ24" i="4"/>
  <c r="CR24" i="4"/>
  <c r="CS24" i="4"/>
  <c r="CT24" i="4"/>
  <c r="CU24" i="4"/>
  <c r="CV24" i="4"/>
  <c r="CW24" i="4"/>
  <c r="CX24" i="4"/>
  <c r="CY24" i="4"/>
  <c r="CZ24" i="4"/>
  <c r="DA24" i="4"/>
  <c r="DB24" i="4"/>
  <c r="DC24" i="4"/>
  <c r="DD24" i="4"/>
  <c r="DE24" i="4"/>
  <c r="DF24" i="4"/>
  <c r="DG24" i="4"/>
  <c r="DH24" i="4"/>
  <c r="DI24" i="4"/>
  <c r="DJ24" i="4"/>
  <c r="DK24" i="4"/>
  <c r="DL24" i="4"/>
  <c r="DM24" i="4"/>
  <c r="DN24" i="4"/>
  <c r="DO24" i="4"/>
  <c r="DP24" i="4"/>
  <c r="DQ24" i="4"/>
  <c r="DR24" i="4"/>
  <c r="DS24" i="4"/>
  <c r="DT24" i="4"/>
  <c r="DU24" i="4"/>
  <c r="DV24" i="4"/>
  <c r="DW24" i="4"/>
  <c r="DX24" i="4"/>
  <c r="DY24" i="4"/>
  <c r="DZ24" i="4"/>
  <c r="EA24" i="4"/>
  <c r="EB24" i="4"/>
  <c r="EC24" i="4"/>
  <c r="ED24" i="4"/>
  <c r="EE24" i="4"/>
  <c r="EF24" i="4"/>
  <c r="EG24" i="4"/>
  <c r="EH24" i="4"/>
  <c r="EI24" i="4"/>
  <c r="EJ24" i="4"/>
  <c r="EK24" i="4"/>
  <c r="EL24" i="4"/>
  <c r="EM24" i="4"/>
  <c r="EN24" i="4"/>
  <c r="EO24" i="4"/>
  <c r="EP24" i="4"/>
  <c r="EQ24" i="4"/>
  <c r="ER24" i="4"/>
  <c r="ES24" i="4"/>
  <c r="ET24" i="4"/>
  <c r="EU24" i="4"/>
  <c r="EV24" i="4"/>
  <c r="EW24" i="4"/>
  <c r="EX24" i="4"/>
  <c r="EY24" i="4"/>
  <c r="EZ24" i="4"/>
  <c r="FA24" i="4"/>
  <c r="FB24" i="4"/>
  <c r="FC24" i="4"/>
  <c r="FD24" i="4"/>
  <c r="FE24" i="4"/>
  <c r="FF24" i="4"/>
  <c r="FG24" i="4"/>
  <c r="FH24" i="4"/>
  <c r="FI24" i="4"/>
  <c r="FJ24" i="4"/>
  <c r="FK24" i="4"/>
  <c r="FL24" i="4"/>
  <c r="FM24" i="4"/>
  <c r="FN24" i="4"/>
  <c r="FO24" i="4"/>
  <c r="FP24" i="4"/>
  <c r="FQ24" i="4"/>
  <c r="FR24" i="4"/>
  <c r="FS24" i="4"/>
  <c r="FT24" i="4"/>
  <c r="FU24" i="4"/>
  <c r="FV24" i="4"/>
  <c r="FW24" i="4"/>
  <c r="FX24" i="4"/>
  <c r="FY24" i="4"/>
  <c r="FZ24" i="4"/>
  <c r="GA24" i="4"/>
  <c r="GB24" i="4"/>
  <c r="GC24" i="4"/>
  <c r="GD24" i="4"/>
  <c r="GE24" i="4"/>
  <c r="GF24" i="4"/>
  <c r="GG24" i="4"/>
  <c r="GH24" i="4"/>
  <c r="GI24" i="4"/>
  <c r="GJ24" i="4"/>
  <c r="GK24" i="4"/>
  <c r="GL24" i="4"/>
  <c r="GM24" i="4"/>
  <c r="GN24" i="4"/>
  <c r="GO24" i="4"/>
  <c r="GP24" i="4"/>
  <c r="GQ24" i="4"/>
  <c r="GR24" i="4"/>
  <c r="GS24" i="4"/>
  <c r="GT24" i="4"/>
  <c r="GU24" i="4"/>
  <c r="GV24" i="4"/>
  <c r="GW24" i="4"/>
  <c r="GX24" i="4"/>
  <c r="GY24" i="4"/>
  <c r="GZ24" i="4"/>
  <c r="HA24" i="4"/>
  <c r="HB24" i="4"/>
  <c r="HC24" i="4"/>
  <c r="HD24" i="4"/>
  <c r="HE24" i="4"/>
  <c r="HF24" i="4"/>
  <c r="HG24" i="4"/>
  <c r="HH24" i="4"/>
  <c r="HI24" i="4"/>
  <c r="HJ24" i="4"/>
  <c r="HK24" i="4"/>
  <c r="HL24" i="4"/>
  <c r="HM24" i="4"/>
  <c r="HN24" i="4"/>
  <c r="HO24" i="4"/>
  <c r="HP24" i="4"/>
  <c r="HQ24" i="4"/>
  <c r="HR24" i="4"/>
  <c r="HS24" i="4"/>
  <c r="HT24" i="4"/>
  <c r="HU24" i="4"/>
  <c r="HV24" i="4"/>
  <c r="HW24" i="4"/>
  <c r="HX24" i="4"/>
  <c r="HY24" i="4"/>
  <c r="HZ24" i="4"/>
  <c r="IA24" i="4"/>
  <c r="IB24" i="4"/>
  <c r="IC24" i="4"/>
  <c r="ID24" i="4"/>
  <c r="IE24" i="4"/>
  <c r="IF24" i="4"/>
  <c r="IG24" i="4"/>
  <c r="IH24" i="4"/>
  <c r="II24" i="4"/>
  <c r="IJ24" i="4"/>
  <c r="IK24" i="4"/>
  <c r="IL24" i="4"/>
  <c r="IM24" i="4"/>
  <c r="IN24" i="4"/>
  <c r="IO24" i="4"/>
  <c r="IP24" i="4"/>
  <c r="IQ24" i="4"/>
  <c r="IR24" i="4"/>
  <c r="IS24" i="4"/>
  <c r="IT24" i="4"/>
  <c r="IU24" i="4"/>
  <c r="IV24" i="4"/>
  <c r="A23" i="4"/>
  <c r="B23"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BG23" i="4"/>
  <c r="BH23" i="4"/>
  <c r="BI23" i="4"/>
  <c r="BJ23" i="4"/>
  <c r="BK23" i="4"/>
  <c r="BL23" i="4"/>
  <c r="BM23" i="4"/>
  <c r="BN23" i="4"/>
  <c r="BO23" i="4"/>
  <c r="BP23" i="4"/>
  <c r="BQ23" i="4"/>
  <c r="BR23" i="4"/>
  <c r="BS23" i="4"/>
  <c r="BT23" i="4"/>
  <c r="BU23" i="4"/>
  <c r="BV23" i="4"/>
  <c r="BW23" i="4"/>
  <c r="BX23" i="4"/>
  <c r="BY23" i="4"/>
  <c r="BZ23" i="4"/>
  <c r="CA23" i="4"/>
  <c r="CB23" i="4"/>
  <c r="CC23" i="4"/>
  <c r="CD23" i="4"/>
  <c r="CE23" i="4"/>
  <c r="CF23" i="4"/>
  <c r="CG23" i="4"/>
  <c r="CH23" i="4"/>
  <c r="CI23" i="4"/>
  <c r="CJ23" i="4"/>
  <c r="CK23" i="4"/>
  <c r="CL23" i="4"/>
  <c r="CM23" i="4"/>
  <c r="CN23" i="4"/>
  <c r="CO23" i="4"/>
  <c r="CP23" i="4"/>
  <c r="CQ23" i="4"/>
  <c r="CR23" i="4"/>
  <c r="CS23" i="4"/>
  <c r="CT23" i="4"/>
  <c r="CU23" i="4"/>
  <c r="CV23" i="4"/>
  <c r="CW23" i="4"/>
  <c r="CX23" i="4"/>
  <c r="CY23" i="4"/>
  <c r="CZ23" i="4"/>
  <c r="DA23" i="4"/>
  <c r="DB23" i="4"/>
  <c r="DC23" i="4"/>
  <c r="DD23" i="4"/>
  <c r="DE23" i="4"/>
  <c r="DF23" i="4"/>
  <c r="DG23" i="4"/>
  <c r="DH23" i="4"/>
  <c r="DI23" i="4"/>
  <c r="DJ23" i="4"/>
  <c r="DK23" i="4"/>
  <c r="DL23" i="4"/>
  <c r="DM23" i="4"/>
  <c r="DN23" i="4"/>
  <c r="DO23" i="4"/>
  <c r="DP23" i="4"/>
  <c r="DQ23" i="4"/>
  <c r="DR23" i="4"/>
  <c r="DS23" i="4"/>
  <c r="DT23" i="4"/>
  <c r="DU23" i="4"/>
  <c r="DV23" i="4"/>
  <c r="DW23" i="4"/>
  <c r="DX23" i="4"/>
  <c r="DY23" i="4"/>
  <c r="DZ23" i="4"/>
  <c r="EA23" i="4"/>
  <c r="EB23" i="4"/>
  <c r="EC23" i="4"/>
  <c r="ED23" i="4"/>
  <c r="EE23" i="4"/>
  <c r="EF23" i="4"/>
  <c r="EG23" i="4"/>
  <c r="EH23" i="4"/>
  <c r="EI23" i="4"/>
  <c r="EJ23" i="4"/>
  <c r="EK23" i="4"/>
  <c r="EL23" i="4"/>
  <c r="EM23" i="4"/>
  <c r="EN23" i="4"/>
  <c r="EO23" i="4"/>
  <c r="EP23" i="4"/>
  <c r="EQ23" i="4"/>
  <c r="ER23" i="4"/>
  <c r="ES23" i="4"/>
  <c r="ET23" i="4"/>
  <c r="EU23" i="4"/>
  <c r="EV23" i="4"/>
  <c r="EW23" i="4"/>
  <c r="EX23" i="4"/>
  <c r="EY23" i="4"/>
  <c r="EZ23" i="4"/>
  <c r="FA23" i="4"/>
  <c r="FB23" i="4"/>
  <c r="FC23" i="4"/>
  <c r="FD23" i="4"/>
  <c r="FE23" i="4"/>
  <c r="FF23" i="4"/>
  <c r="FG23" i="4"/>
  <c r="FH23" i="4"/>
  <c r="FI23" i="4"/>
  <c r="FJ23" i="4"/>
  <c r="FK23" i="4"/>
  <c r="FL23" i="4"/>
  <c r="FM23" i="4"/>
  <c r="FN23" i="4"/>
  <c r="FO23" i="4"/>
  <c r="FP23" i="4"/>
  <c r="FQ23" i="4"/>
  <c r="FR23" i="4"/>
  <c r="FS23" i="4"/>
  <c r="FT23" i="4"/>
  <c r="FU23" i="4"/>
  <c r="FV23" i="4"/>
  <c r="FW23" i="4"/>
  <c r="FX23" i="4"/>
  <c r="FY23" i="4"/>
  <c r="FZ23" i="4"/>
  <c r="GA23" i="4"/>
  <c r="GB23" i="4"/>
  <c r="GC23" i="4"/>
  <c r="GD23" i="4"/>
  <c r="GE23" i="4"/>
  <c r="GF23" i="4"/>
  <c r="GG23" i="4"/>
  <c r="GH23" i="4"/>
  <c r="GI23" i="4"/>
  <c r="GJ23" i="4"/>
  <c r="GK23" i="4"/>
  <c r="GL23" i="4"/>
  <c r="GM23" i="4"/>
  <c r="GN23" i="4"/>
  <c r="GO23" i="4"/>
  <c r="GP23" i="4"/>
  <c r="GQ23" i="4"/>
  <c r="GR23" i="4"/>
  <c r="GS23" i="4"/>
  <c r="GT23" i="4"/>
  <c r="GU23" i="4"/>
  <c r="GV23" i="4"/>
  <c r="GW23" i="4"/>
  <c r="GX23" i="4"/>
  <c r="GY23" i="4"/>
  <c r="GZ23" i="4"/>
  <c r="HA23" i="4"/>
  <c r="HB23" i="4"/>
  <c r="HC23" i="4"/>
  <c r="HD23" i="4"/>
  <c r="HE23" i="4"/>
  <c r="HF23" i="4"/>
  <c r="HG23" i="4"/>
  <c r="HH23" i="4"/>
  <c r="HI23" i="4"/>
  <c r="HJ23" i="4"/>
  <c r="HK23" i="4"/>
  <c r="HL23" i="4"/>
  <c r="HM23" i="4"/>
  <c r="HN23" i="4"/>
  <c r="HO23" i="4"/>
  <c r="HP23" i="4"/>
  <c r="HQ23" i="4"/>
  <c r="HR23" i="4"/>
  <c r="HS23" i="4"/>
  <c r="HT23" i="4"/>
  <c r="HU23" i="4"/>
  <c r="HV23" i="4"/>
  <c r="HW23" i="4"/>
  <c r="HX23" i="4"/>
  <c r="HY23" i="4"/>
  <c r="HZ23" i="4"/>
  <c r="IA23" i="4"/>
  <c r="IB23" i="4"/>
  <c r="IC23" i="4"/>
  <c r="ID23" i="4"/>
  <c r="IE23" i="4"/>
  <c r="IF23" i="4"/>
  <c r="IG23" i="4"/>
  <c r="IH23" i="4"/>
  <c r="II23" i="4"/>
  <c r="IJ23" i="4"/>
  <c r="IK23" i="4"/>
  <c r="IL23" i="4"/>
  <c r="IM23" i="4"/>
  <c r="IN23" i="4"/>
  <c r="IO23" i="4"/>
  <c r="IP23" i="4"/>
  <c r="IQ23" i="4"/>
  <c r="IR23" i="4"/>
  <c r="IS23" i="4"/>
  <c r="IT23" i="4"/>
  <c r="IU23" i="4"/>
  <c r="IV23" i="4"/>
  <c r="A22" i="4"/>
  <c r="B22"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BG22" i="4"/>
  <c r="BH22" i="4"/>
  <c r="BI22" i="4"/>
  <c r="BJ22" i="4"/>
  <c r="BK22" i="4"/>
  <c r="BL22" i="4"/>
  <c r="BM22" i="4"/>
  <c r="BN22" i="4"/>
  <c r="BO22" i="4"/>
  <c r="BP22" i="4"/>
  <c r="BQ22" i="4"/>
  <c r="BR22" i="4"/>
  <c r="BS22" i="4"/>
  <c r="BT22" i="4"/>
  <c r="BU22" i="4"/>
  <c r="BV22" i="4"/>
  <c r="BW22" i="4"/>
  <c r="BX22" i="4"/>
  <c r="BY22" i="4"/>
  <c r="BZ22" i="4"/>
  <c r="CA22" i="4"/>
  <c r="CB22" i="4"/>
  <c r="CC22" i="4"/>
  <c r="CD22" i="4"/>
  <c r="CE22" i="4"/>
  <c r="CF22" i="4"/>
  <c r="CG22" i="4"/>
  <c r="CH22" i="4"/>
  <c r="CI22" i="4"/>
  <c r="CJ22" i="4"/>
  <c r="CK22" i="4"/>
  <c r="CL22" i="4"/>
  <c r="CM22" i="4"/>
  <c r="CN22" i="4"/>
  <c r="CO22" i="4"/>
  <c r="CP22" i="4"/>
  <c r="CQ22" i="4"/>
  <c r="CR22" i="4"/>
  <c r="CS22" i="4"/>
  <c r="CT22" i="4"/>
  <c r="CU22" i="4"/>
  <c r="CV22" i="4"/>
  <c r="CW22" i="4"/>
  <c r="CX22" i="4"/>
  <c r="CY22" i="4"/>
  <c r="CZ22" i="4"/>
  <c r="DA22" i="4"/>
  <c r="DB22" i="4"/>
  <c r="DC22" i="4"/>
  <c r="DD22" i="4"/>
  <c r="DE22" i="4"/>
  <c r="DF22" i="4"/>
  <c r="DG22" i="4"/>
  <c r="DH22" i="4"/>
  <c r="DI22" i="4"/>
  <c r="DJ22" i="4"/>
  <c r="DK22" i="4"/>
  <c r="DL22" i="4"/>
  <c r="DM22" i="4"/>
  <c r="DN22" i="4"/>
  <c r="DO22" i="4"/>
  <c r="DP22" i="4"/>
  <c r="DQ22" i="4"/>
  <c r="DR22" i="4"/>
  <c r="DS22" i="4"/>
  <c r="DT22" i="4"/>
  <c r="DU22" i="4"/>
  <c r="DV22" i="4"/>
  <c r="DW22" i="4"/>
  <c r="DX22" i="4"/>
  <c r="DY22" i="4"/>
  <c r="DZ22" i="4"/>
  <c r="EA22" i="4"/>
  <c r="EB22" i="4"/>
  <c r="EC22" i="4"/>
  <c r="ED22" i="4"/>
  <c r="EE22" i="4"/>
  <c r="EF22" i="4"/>
  <c r="EG22" i="4"/>
  <c r="EH22" i="4"/>
  <c r="EI22" i="4"/>
  <c r="EJ22" i="4"/>
  <c r="EK22" i="4"/>
  <c r="EL22" i="4"/>
  <c r="EM22" i="4"/>
  <c r="EN22" i="4"/>
  <c r="EO22" i="4"/>
  <c r="EP22" i="4"/>
  <c r="EQ22" i="4"/>
  <c r="ER22" i="4"/>
  <c r="ES22" i="4"/>
  <c r="ET22" i="4"/>
  <c r="EU22" i="4"/>
  <c r="EV22" i="4"/>
  <c r="EW22" i="4"/>
  <c r="EX22" i="4"/>
  <c r="EY22" i="4"/>
  <c r="EZ22" i="4"/>
  <c r="FA22" i="4"/>
  <c r="FB22" i="4"/>
  <c r="FC22" i="4"/>
  <c r="FD22" i="4"/>
  <c r="FE22" i="4"/>
  <c r="FF22" i="4"/>
  <c r="FG22" i="4"/>
  <c r="FH22" i="4"/>
  <c r="FI22" i="4"/>
  <c r="FJ22" i="4"/>
  <c r="FK22" i="4"/>
  <c r="FL22" i="4"/>
  <c r="FM22" i="4"/>
  <c r="FN22" i="4"/>
  <c r="FO22" i="4"/>
  <c r="FP22" i="4"/>
  <c r="FQ22" i="4"/>
  <c r="FR22" i="4"/>
  <c r="FS22" i="4"/>
  <c r="FT22" i="4"/>
  <c r="FU22" i="4"/>
  <c r="FV22" i="4"/>
  <c r="FW22" i="4"/>
  <c r="FX22" i="4"/>
  <c r="FY22" i="4"/>
  <c r="FZ22" i="4"/>
  <c r="GA22" i="4"/>
  <c r="GB22" i="4"/>
  <c r="GC22" i="4"/>
  <c r="GD22" i="4"/>
  <c r="GE22" i="4"/>
  <c r="GF22" i="4"/>
  <c r="GG22" i="4"/>
  <c r="GH22" i="4"/>
  <c r="GI22" i="4"/>
  <c r="GJ22" i="4"/>
  <c r="GK22" i="4"/>
  <c r="GL22" i="4"/>
  <c r="GM22" i="4"/>
  <c r="GN22" i="4"/>
  <c r="GO22" i="4"/>
  <c r="GP22" i="4"/>
  <c r="GQ22" i="4"/>
  <c r="GR22" i="4"/>
  <c r="GS22" i="4"/>
  <c r="GT22" i="4"/>
  <c r="GU22" i="4"/>
  <c r="GV22" i="4"/>
  <c r="GW22" i="4"/>
  <c r="GX22" i="4"/>
  <c r="GY22" i="4"/>
  <c r="GZ22" i="4"/>
  <c r="HA22" i="4"/>
  <c r="HB22" i="4"/>
  <c r="HC22" i="4"/>
  <c r="HD22" i="4"/>
  <c r="HE22" i="4"/>
  <c r="HF22" i="4"/>
  <c r="HG22" i="4"/>
  <c r="HH22" i="4"/>
  <c r="HI22" i="4"/>
  <c r="HJ22" i="4"/>
  <c r="HK22" i="4"/>
  <c r="HL22" i="4"/>
  <c r="HM22" i="4"/>
  <c r="HN22" i="4"/>
  <c r="HO22" i="4"/>
  <c r="HP22" i="4"/>
  <c r="HQ22" i="4"/>
  <c r="HR22" i="4"/>
  <c r="HS22" i="4"/>
  <c r="HT22" i="4"/>
  <c r="HU22" i="4"/>
  <c r="HV22" i="4"/>
  <c r="HW22" i="4"/>
  <c r="HX22" i="4"/>
  <c r="HY22" i="4"/>
  <c r="HZ22" i="4"/>
  <c r="IA22" i="4"/>
  <c r="IB22" i="4"/>
  <c r="IC22" i="4"/>
  <c r="ID22" i="4"/>
  <c r="IE22" i="4"/>
  <c r="IF22" i="4"/>
  <c r="IG22" i="4"/>
  <c r="IH22" i="4"/>
  <c r="II22" i="4"/>
  <c r="IJ22" i="4"/>
  <c r="IK22" i="4"/>
  <c r="IL22" i="4"/>
  <c r="IM22" i="4"/>
  <c r="IN22" i="4"/>
  <c r="IO22" i="4"/>
  <c r="IP22" i="4"/>
  <c r="IQ22" i="4"/>
  <c r="IR22" i="4"/>
  <c r="IS22" i="4"/>
  <c r="IT22" i="4"/>
  <c r="IU22" i="4"/>
  <c r="IV22" i="4"/>
  <c r="A21" i="4"/>
  <c r="B21" i="4"/>
  <c r="C21" i="4"/>
  <c r="D21" i="4"/>
  <c r="E21" i="4"/>
  <c r="F21" i="4"/>
  <c r="G21" i="4"/>
  <c r="H21" i="4"/>
  <c r="I21" i="4"/>
  <c r="J21" i="4"/>
  <c r="K21" i="4"/>
  <c r="L21" i="4"/>
  <c r="M21" i="4"/>
  <c r="N21" i="4"/>
  <c r="O21" i="4"/>
  <c r="P21" i="4"/>
  <c r="Q21" i="4"/>
  <c r="R21" i="4"/>
  <c r="S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BG21" i="4"/>
  <c r="BH21" i="4"/>
  <c r="BI21" i="4"/>
  <c r="BJ21" i="4"/>
  <c r="BK21" i="4"/>
  <c r="BL21" i="4"/>
  <c r="BM21" i="4"/>
  <c r="BN21" i="4"/>
  <c r="BO21" i="4"/>
  <c r="BP21" i="4"/>
  <c r="BQ21" i="4"/>
  <c r="BR21" i="4"/>
  <c r="BS21" i="4"/>
  <c r="BT21" i="4"/>
  <c r="BU21" i="4"/>
  <c r="BV21" i="4"/>
  <c r="BW21" i="4"/>
  <c r="BX21" i="4"/>
  <c r="BY21" i="4"/>
  <c r="BZ21" i="4"/>
  <c r="CA21" i="4"/>
  <c r="CB21" i="4"/>
  <c r="CC21" i="4"/>
  <c r="CD21" i="4"/>
  <c r="CE21" i="4"/>
  <c r="CF21" i="4"/>
  <c r="CG21" i="4"/>
  <c r="CH21" i="4"/>
  <c r="CI21" i="4"/>
  <c r="CJ21" i="4"/>
  <c r="CK21" i="4"/>
  <c r="CL21" i="4"/>
  <c r="CM21" i="4"/>
  <c r="CN21" i="4"/>
  <c r="CO21" i="4"/>
  <c r="CP21" i="4"/>
  <c r="CQ21" i="4"/>
  <c r="CR21" i="4"/>
  <c r="CS21" i="4"/>
  <c r="CT21" i="4"/>
  <c r="CU21" i="4"/>
  <c r="CV21" i="4"/>
  <c r="CW21" i="4"/>
  <c r="CX21" i="4"/>
  <c r="CY21" i="4"/>
  <c r="CZ21" i="4"/>
  <c r="DA21" i="4"/>
  <c r="DB21" i="4"/>
  <c r="DC21" i="4"/>
  <c r="DD21" i="4"/>
  <c r="DE21" i="4"/>
  <c r="DF21" i="4"/>
  <c r="DG21" i="4"/>
  <c r="DH21" i="4"/>
  <c r="DI21" i="4"/>
  <c r="DJ21" i="4"/>
  <c r="DK21" i="4"/>
  <c r="DL21" i="4"/>
  <c r="DM21" i="4"/>
  <c r="DN21" i="4"/>
  <c r="DO21" i="4"/>
  <c r="DP21" i="4"/>
  <c r="DQ21" i="4"/>
  <c r="DR21" i="4"/>
  <c r="DS21" i="4"/>
  <c r="DT21" i="4"/>
  <c r="DU21" i="4"/>
  <c r="DV21" i="4"/>
  <c r="DW21" i="4"/>
  <c r="DX21" i="4"/>
  <c r="DY21" i="4"/>
  <c r="DZ21" i="4"/>
  <c r="EA21" i="4"/>
  <c r="EB21" i="4"/>
  <c r="EC21" i="4"/>
  <c r="ED21" i="4"/>
  <c r="EE21" i="4"/>
  <c r="EF21" i="4"/>
  <c r="EG21" i="4"/>
  <c r="EH21" i="4"/>
  <c r="EI21" i="4"/>
  <c r="EJ21" i="4"/>
  <c r="EK21" i="4"/>
  <c r="EL21" i="4"/>
  <c r="EM21" i="4"/>
  <c r="EN21" i="4"/>
  <c r="EO21" i="4"/>
  <c r="EP21" i="4"/>
  <c r="EQ21" i="4"/>
  <c r="ER21" i="4"/>
  <c r="ES21" i="4"/>
  <c r="ET21" i="4"/>
  <c r="EU21" i="4"/>
  <c r="EV21" i="4"/>
  <c r="EW21" i="4"/>
  <c r="EX21" i="4"/>
  <c r="EY21" i="4"/>
  <c r="EZ21" i="4"/>
  <c r="FA21" i="4"/>
  <c r="FB21" i="4"/>
  <c r="FC21" i="4"/>
  <c r="FD21" i="4"/>
  <c r="FE21" i="4"/>
  <c r="FF21" i="4"/>
  <c r="FG21" i="4"/>
  <c r="FH21" i="4"/>
  <c r="FI21" i="4"/>
  <c r="FJ21" i="4"/>
  <c r="FK21" i="4"/>
  <c r="FL21" i="4"/>
  <c r="FM21" i="4"/>
  <c r="FN21" i="4"/>
  <c r="FO21" i="4"/>
  <c r="FP21" i="4"/>
  <c r="FQ21" i="4"/>
  <c r="FR21" i="4"/>
  <c r="FS21" i="4"/>
  <c r="FT21" i="4"/>
  <c r="FU21" i="4"/>
  <c r="FV21" i="4"/>
  <c r="FW21" i="4"/>
  <c r="FX21" i="4"/>
  <c r="FY21" i="4"/>
  <c r="FZ21" i="4"/>
  <c r="GA21" i="4"/>
  <c r="GB21" i="4"/>
  <c r="GC21" i="4"/>
  <c r="GD21" i="4"/>
  <c r="GE21" i="4"/>
  <c r="GF21" i="4"/>
  <c r="GG21" i="4"/>
  <c r="GH21" i="4"/>
  <c r="GI21" i="4"/>
  <c r="GJ21" i="4"/>
  <c r="GK21" i="4"/>
  <c r="GL21" i="4"/>
  <c r="GM21" i="4"/>
  <c r="GN21" i="4"/>
  <c r="GO21" i="4"/>
  <c r="GP21" i="4"/>
  <c r="GQ21" i="4"/>
  <c r="GR21" i="4"/>
  <c r="GS21" i="4"/>
  <c r="GT21" i="4"/>
  <c r="GU21" i="4"/>
  <c r="GV21" i="4"/>
  <c r="GW21" i="4"/>
  <c r="GX21" i="4"/>
  <c r="GY21" i="4"/>
  <c r="GZ21" i="4"/>
  <c r="HA21" i="4"/>
  <c r="HB21" i="4"/>
  <c r="HC21" i="4"/>
  <c r="HD21" i="4"/>
  <c r="HE21" i="4"/>
  <c r="HF21" i="4"/>
  <c r="HG21" i="4"/>
  <c r="HH21" i="4"/>
  <c r="HI21" i="4"/>
  <c r="HJ21" i="4"/>
  <c r="HK21" i="4"/>
  <c r="HL21" i="4"/>
  <c r="HM21" i="4"/>
  <c r="HN21" i="4"/>
  <c r="HO21" i="4"/>
  <c r="HP21" i="4"/>
  <c r="HQ21" i="4"/>
  <c r="HR21" i="4"/>
  <c r="HS21" i="4"/>
  <c r="HT21" i="4"/>
  <c r="HU21" i="4"/>
  <c r="HV21" i="4"/>
  <c r="HW21" i="4"/>
  <c r="HX21" i="4"/>
  <c r="HY21" i="4"/>
  <c r="HZ21" i="4"/>
  <c r="IA21" i="4"/>
  <c r="IB21" i="4"/>
  <c r="IC21" i="4"/>
  <c r="ID21" i="4"/>
  <c r="IE21" i="4"/>
  <c r="IF21" i="4"/>
  <c r="IG21" i="4"/>
  <c r="IH21" i="4"/>
  <c r="II21" i="4"/>
  <c r="IJ21" i="4"/>
  <c r="IK21" i="4"/>
  <c r="IL21" i="4"/>
  <c r="IM21" i="4"/>
  <c r="IN21" i="4"/>
  <c r="IO21" i="4"/>
  <c r="IP21" i="4"/>
  <c r="IQ21" i="4"/>
  <c r="IR21" i="4"/>
  <c r="IS21" i="4"/>
  <c r="IT21" i="4"/>
  <c r="IU21" i="4"/>
  <c r="IV21" i="4"/>
  <c r="A20" i="4"/>
  <c r="B20"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BG20" i="4"/>
  <c r="BH20" i="4"/>
  <c r="BI20" i="4"/>
  <c r="BJ20" i="4"/>
  <c r="BK20" i="4"/>
  <c r="BL20" i="4"/>
  <c r="BM20" i="4"/>
  <c r="BN20" i="4"/>
  <c r="BO20" i="4"/>
  <c r="BP20" i="4"/>
  <c r="BQ20" i="4"/>
  <c r="BR20" i="4"/>
  <c r="BS20" i="4"/>
  <c r="BT20" i="4"/>
  <c r="BU20" i="4"/>
  <c r="BV20" i="4"/>
  <c r="BW20" i="4"/>
  <c r="BX20" i="4"/>
  <c r="BY20" i="4"/>
  <c r="BZ20" i="4"/>
  <c r="CA20" i="4"/>
  <c r="CB20" i="4"/>
  <c r="CC20" i="4"/>
  <c r="CD20" i="4"/>
  <c r="CE20" i="4"/>
  <c r="CF20" i="4"/>
  <c r="CG20" i="4"/>
  <c r="CH20" i="4"/>
  <c r="CI20" i="4"/>
  <c r="CJ20" i="4"/>
  <c r="CK20" i="4"/>
  <c r="CL20" i="4"/>
  <c r="CM20" i="4"/>
  <c r="CN20" i="4"/>
  <c r="CO20" i="4"/>
  <c r="CP20" i="4"/>
  <c r="CQ20" i="4"/>
  <c r="CR20" i="4"/>
  <c r="CS20" i="4"/>
  <c r="CT20" i="4"/>
  <c r="CU20" i="4"/>
  <c r="CV20" i="4"/>
  <c r="CW20" i="4"/>
  <c r="CX20" i="4"/>
  <c r="CY20" i="4"/>
  <c r="CZ20" i="4"/>
  <c r="DA20" i="4"/>
  <c r="DB20" i="4"/>
  <c r="DC20" i="4"/>
  <c r="DD20" i="4"/>
  <c r="DE20" i="4"/>
  <c r="DF20" i="4"/>
  <c r="DG20" i="4"/>
  <c r="DH20" i="4"/>
  <c r="DI20" i="4"/>
  <c r="DJ20" i="4"/>
  <c r="DK20" i="4"/>
  <c r="DL20" i="4"/>
  <c r="DM20" i="4"/>
  <c r="DN20" i="4"/>
  <c r="DO20" i="4"/>
  <c r="DP20" i="4"/>
  <c r="DQ20" i="4"/>
  <c r="DR20" i="4"/>
  <c r="DS20" i="4"/>
  <c r="DT20" i="4"/>
  <c r="DU20" i="4"/>
  <c r="DV20" i="4"/>
  <c r="DW20" i="4"/>
  <c r="DX20" i="4"/>
  <c r="DY20" i="4"/>
  <c r="DZ20" i="4"/>
  <c r="EA20" i="4"/>
  <c r="EB20" i="4"/>
  <c r="EC20" i="4"/>
  <c r="ED20" i="4"/>
  <c r="EE20" i="4"/>
  <c r="EF20" i="4"/>
  <c r="EG20" i="4"/>
  <c r="EH20" i="4"/>
  <c r="EI20" i="4"/>
  <c r="EJ20" i="4"/>
  <c r="EK20" i="4"/>
  <c r="EL20" i="4"/>
  <c r="EM20" i="4"/>
  <c r="EN20" i="4"/>
  <c r="EO20" i="4"/>
  <c r="EP20" i="4"/>
  <c r="EQ20" i="4"/>
  <c r="ER20" i="4"/>
  <c r="ES20" i="4"/>
  <c r="ET20" i="4"/>
  <c r="EU20" i="4"/>
  <c r="EV20" i="4"/>
  <c r="EW20" i="4"/>
  <c r="EX20" i="4"/>
  <c r="EY20" i="4"/>
  <c r="EZ20" i="4"/>
  <c r="FA20" i="4"/>
  <c r="FB20" i="4"/>
  <c r="FC20" i="4"/>
  <c r="FD20" i="4"/>
  <c r="FE20" i="4"/>
  <c r="FF20" i="4"/>
  <c r="FG20" i="4"/>
  <c r="FH20" i="4"/>
  <c r="FI20" i="4"/>
  <c r="FJ20" i="4"/>
  <c r="FK20" i="4"/>
  <c r="FL20" i="4"/>
  <c r="FM20" i="4"/>
  <c r="FN20" i="4"/>
  <c r="FO20" i="4"/>
  <c r="FP20" i="4"/>
  <c r="FQ20" i="4"/>
  <c r="FR20" i="4"/>
  <c r="FS20" i="4"/>
  <c r="FT20" i="4"/>
  <c r="FU20" i="4"/>
  <c r="FV20" i="4"/>
  <c r="FW20" i="4"/>
  <c r="FX20" i="4"/>
  <c r="FY20" i="4"/>
  <c r="FZ20" i="4"/>
  <c r="GA20" i="4"/>
  <c r="GB20" i="4"/>
  <c r="GC20" i="4"/>
  <c r="GD20" i="4"/>
  <c r="GE20" i="4"/>
  <c r="GF20" i="4"/>
  <c r="GG20" i="4"/>
  <c r="GH20" i="4"/>
  <c r="GI20" i="4"/>
  <c r="GJ20" i="4"/>
  <c r="GK20" i="4"/>
  <c r="GL20" i="4"/>
  <c r="GM20" i="4"/>
  <c r="GN20" i="4"/>
  <c r="GO20" i="4"/>
  <c r="GP20" i="4"/>
  <c r="GQ20" i="4"/>
  <c r="GR20" i="4"/>
  <c r="GS20" i="4"/>
  <c r="GT20" i="4"/>
  <c r="GU20" i="4"/>
  <c r="GV20" i="4"/>
  <c r="GW20" i="4"/>
  <c r="GX20" i="4"/>
  <c r="GY20" i="4"/>
  <c r="GZ20" i="4"/>
  <c r="HA20" i="4"/>
  <c r="HB20" i="4"/>
  <c r="HC20" i="4"/>
  <c r="HD20" i="4"/>
  <c r="HE20" i="4"/>
  <c r="HF20" i="4"/>
  <c r="HG20" i="4"/>
  <c r="HH20" i="4"/>
  <c r="HI20" i="4"/>
  <c r="HJ20" i="4"/>
  <c r="HK20" i="4"/>
  <c r="HL20" i="4"/>
  <c r="HM20" i="4"/>
  <c r="HN20" i="4"/>
  <c r="HO20" i="4"/>
  <c r="HP20" i="4"/>
  <c r="HQ20" i="4"/>
  <c r="HR20" i="4"/>
  <c r="HS20" i="4"/>
  <c r="HT20" i="4"/>
  <c r="HU20" i="4"/>
  <c r="HV20" i="4"/>
  <c r="HW20" i="4"/>
  <c r="HX20" i="4"/>
  <c r="HY20" i="4"/>
  <c r="HZ20" i="4"/>
  <c r="IA20" i="4"/>
  <c r="IB20" i="4"/>
  <c r="IC20" i="4"/>
  <c r="ID20" i="4"/>
  <c r="IE20" i="4"/>
  <c r="IF20" i="4"/>
  <c r="IG20" i="4"/>
  <c r="IH20" i="4"/>
  <c r="II20" i="4"/>
  <c r="IJ20" i="4"/>
  <c r="IK20" i="4"/>
  <c r="IL20" i="4"/>
  <c r="IM20" i="4"/>
  <c r="IN20" i="4"/>
  <c r="IO20" i="4"/>
  <c r="IP20" i="4"/>
  <c r="IQ20" i="4"/>
  <c r="IR20" i="4"/>
  <c r="IS20" i="4"/>
  <c r="IT20" i="4"/>
  <c r="IU20" i="4"/>
  <c r="IV20" i="4"/>
  <c r="A19" i="4"/>
  <c r="B19"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BG19" i="4"/>
  <c r="BH19" i="4"/>
  <c r="BI19" i="4"/>
  <c r="BJ19" i="4"/>
  <c r="BK19" i="4"/>
  <c r="BL19" i="4"/>
  <c r="BM19" i="4"/>
  <c r="BN19" i="4"/>
  <c r="BO19" i="4"/>
  <c r="BP19" i="4"/>
  <c r="BQ19" i="4"/>
  <c r="BR19" i="4"/>
  <c r="BS19" i="4"/>
  <c r="BT19" i="4"/>
  <c r="BU19" i="4"/>
  <c r="BV19" i="4"/>
  <c r="BW19" i="4"/>
  <c r="BX19" i="4"/>
  <c r="BY19" i="4"/>
  <c r="BZ19" i="4"/>
  <c r="CA19" i="4"/>
  <c r="CB19" i="4"/>
  <c r="CC19" i="4"/>
  <c r="CD19" i="4"/>
  <c r="CE19" i="4"/>
  <c r="CF19" i="4"/>
  <c r="CG19" i="4"/>
  <c r="CH19" i="4"/>
  <c r="CI19" i="4"/>
  <c r="CJ19" i="4"/>
  <c r="CK19" i="4"/>
  <c r="CL19" i="4"/>
  <c r="CM19" i="4"/>
  <c r="CN19" i="4"/>
  <c r="CO19" i="4"/>
  <c r="CP19" i="4"/>
  <c r="CQ19" i="4"/>
  <c r="CR19" i="4"/>
  <c r="CS19" i="4"/>
  <c r="CT19" i="4"/>
  <c r="CU19" i="4"/>
  <c r="CV19" i="4"/>
  <c r="CW19" i="4"/>
  <c r="CX19" i="4"/>
  <c r="CY19" i="4"/>
  <c r="CZ19" i="4"/>
  <c r="DA19" i="4"/>
  <c r="DB19" i="4"/>
  <c r="DC19" i="4"/>
  <c r="DD19" i="4"/>
  <c r="DE19" i="4"/>
  <c r="DF19" i="4"/>
  <c r="DG19" i="4"/>
  <c r="DH19" i="4"/>
  <c r="DI19" i="4"/>
  <c r="DJ19" i="4"/>
  <c r="DK19" i="4"/>
  <c r="DL19" i="4"/>
  <c r="DM19" i="4"/>
  <c r="DN19" i="4"/>
  <c r="DO19" i="4"/>
  <c r="DP19" i="4"/>
  <c r="DQ19" i="4"/>
  <c r="DR19" i="4"/>
  <c r="DS19" i="4"/>
  <c r="DT19" i="4"/>
  <c r="DU19" i="4"/>
  <c r="DV19" i="4"/>
  <c r="DW19" i="4"/>
  <c r="DX19" i="4"/>
  <c r="DY19" i="4"/>
  <c r="DZ19" i="4"/>
  <c r="EA19" i="4"/>
  <c r="EB19" i="4"/>
  <c r="EC19" i="4"/>
  <c r="ED19" i="4"/>
  <c r="EE19" i="4"/>
  <c r="EF19" i="4"/>
  <c r="EG19" i="4"/>
  <c r="EH19" i="4"/>
  <c r="EI19" i="4"/>
  <c r="EJ19" i="4"/>
  <c r="EK19" i="4"/>
  <c r="EL19" i="4"/>
  <c r="EM19" i="4"/>
  <c r="EN19" i="4"/>
  <c r="EO19" i="4"/>
  <c r="EP19" i="4"/>
  <c r="EQ19" i="4"/>
  <c r="ER19" i="4"/>
  <c r="ES19" i="4"/>
  <c r="ET19" i="4"/>
  <c r="EU19" i="4"/>
  <c r="EV19" i="4"/>
  <c r="EW19" i="4"/>
  <c r="EX19" i="4"/>
  <c r="EY19" i="4"/>
  <c r="EZ19" i="4"/>
  <c r="FA19" i="4"/>
  <c r="FB19" i="4"/>
  <c r="FC19" i="4"/>
  <c r="FD19" i="4"/>
  <c r="FE19" i="4"/>
  <c r="FF19" i="4"/>
  <c r="FG19" i="4"/>
  <c r="FH19" i="4"/>
  <c r="FI19" i="4"/>
  <c r="FJ19" i="4"/>
  <c r="FK19" i="4"/>
  <c r="FL19" i="4"/>
  <c r="FM19" i="4"/>
  <c r="FN19" i="4"/>
  <c r="FO19" i="4"/>
  <c r="FP19" i="4"/>
  <c r="FQ19" i="4"/>
  <c r="FR19" i="4"/>
  <c r="FS19" i="4"/>
  <c r="FT19" i="4"/>
  <c r="FU19" i="4"/>
  <c r="FV19" i="4"/>
  <c r="FW19" i="4"/>
  <c r="FX19" i="4"/>
  <c r="FY19" i="4"/>
  <c r="FZ19" i="4"/>
  <c r="GA19" i="4"/>
  <c r="GB19" i="4"/>
  <c r="GC19" i="4"/>
  <c r="GD19" i="4"/>
  <c r="GE19" i="4"/>
  <c r="GF19" i="4"/>
  <c r="GG19" i="4"/>
  <c r="GH19" i="4"/>
  <c r="GI19" i="4"/>
  <c r="GJ19" i="4"/>
  <c r="GK19" i="4"/>
  <c r="GL19" i="4"/>
  <c r="GM19" i="4"/>
  <c r="GN19" i="4"/>
  <c r="GO19" i="4"/>
  <c r="GP19" i="4"/>
  <c r="GQ19" i="4"/>
  <c r="GR19" i="4"/>
  <c r="GS19" i="4"/>
  <c r="GT19" i="4"/>
  <c r="GU19" i="4"/>
  <c r="GV19" i="4"/>
  <c r="GW19" i="4"/>
  <c r="GX19" i="4"/>
  <c r="GY19" i="4"/>
  <c r="GZ19" i="4"/>
  <c r="HA19" i="4"/>
  <c r="HB19" i="4"/>
  <c r="HC19" i="4"/>
  <c r="HD19" i="4"/>
  <c r="HE19" i="4"/>
  <c r="HF19" i="4"/>
  <c r="HG19" i="4"/>
  <c r="HH19" i="4"/>
  <c r="HI19" i="4"/>
  <c r="HJ19" i="4"/>
  <c r="HK19" i="4"/>
  <c r="HL19" i="4"/>
  <c r="HM19" i="4"/>
  <c r="HN19" i="4"/>
  <c r="HO19" i="4"/>
  <c r="HP19" i="4"/>
  <c r="HQ19" i="4"/>
  <c r="HR19" i="4"/>
  <c r="HS19" i="4"/>
  <c r="HT19" i="4"/>
  <c r="HU19" i="4"/>
  <c r="HV19" i="4"/>
  <c r="HW19" i="4"/>
  <c r="HX19" i="4"/>
  <c r="HY19" i="4"/>
  <c r="HZ19" i="4"/>
  <c r="IA19" i="4"/>
  <c r="IB19" i="4"/>
  <c r="IC19" i="4"/>
  <c r="ID19" i="4"/>
  <c r="IE19" i="4"/>
  <c r="IF19" i="4"/>
  <c r="IG19" i="4"/>
  <c r="IH19" i="4"/>
  <c r="II19" i="4"/>
  <c r="IJ19" i="4"/>
  <c r="IK19" i="4"/>
  <c r="IL19" i="4"/>
  <c r="IM19" i="4"/>
  <c r="IN19" i="4"/>
  <c r="IO19" i="4"/>
  <c r="IP19" i="4"/>
  <c r="IQ19" i="4"/>
  <c r="IR19" i="4"/>
  <c r="IS19" i="4"/>
  <c r="IT19" i="4"/>
  <c r="IU19" i="4"/>
  <c r="IV19" i="4"/>
  <c r="A18" i="4"/>
  <c r="B18"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BG18" i="4"/>
  <c r="BH18" i="4"/>
  <c r="BI18" i="4"/>
  <c r="BJ18" i="4"/>
  <c r="BK18" i="4"/>
  <c r="BL18" i="4"/>
  <c r="BM18" i="4"/>
  <c r="BN18" i="4"/>
  <c r="BO18" i="4"/>
  <c r="BP18" i="4"/>
  <c r="BQ18" i="4"/>
  <c r="BR18" i="4"/>
  <c r="BS18" i="4"/>
  <c r="BT18" i="4"/>
  <c r="BU18" i="4"/>
  <c r="BV18" i="4"/>
  <c r="BW18" i="4"/>
  <c r="BX18" i="4"/>
  <c r="BY18" i="4"/>
  <c r="BZ18" i="4"/>
  <c r="CA18" i="4"/>
  <c r="CB18" i="4"/>
  <c r="CC18" i="4"/>
  <c r="CD18" i="4"/>
  <c r="CE18" i="4"/>
  <c r="CF18" i="4"/>
  <c r="CG18" i="4"/>
  <c r="CH18" i="4"/>
  <c r="CI18" i="4"/>
  <c r="CJ18" i="4"/>
  <c r="CK18" i="4"/>
  <c r="CL18" i="4"/>
  <c r="CM18" i="4"/>
  <c r="CN18" i="4"/>
  <c r="CO18" i="4"/>
  <c r="CP18" i="4"/>
  <c r="CQ18" i="4"/>
  <c r="CR18" i="4"/>
  <c r="CS18" i="4"/>
  <c r="CT18" i="4"/>
  <c r="CU18" i="4"/>
  <c r="CV18" i="4"/>
  <c r="CW18" i="4"/>
  <c r="CX18" i="4"/>
  <c r="CY18" i="4"/>
  <c r="CZ18" i="4"/>
  <c r="DA18" i="4"/>
  <c r="DB18" i="4"/>
  <c r="DC18" i="4"/>
  <c r="DD18" i="4"/>
  <c r="DE18" i="4"/>
  <c r="DF18" i="4"/>
  <c r="DG18" i="4"/>
  <c r="DH18" i="4"/>
  <c r="DI18" i="4"/>
  <c r="DJ18" i="4"/>
  <c r="DK18" i="4"/>
  <c r="DL18" i="4"/>
  <c r="DM18" i="4"/>
  <c r="DN18" i="4"/>
  <c r="DO18" i="4"/>
  <c r="DP18" i="4"/>
  <c r="DQ18" i="4"/>
  <c r="DR18" i="4"/>
  <c r="DS18" i="4"/>
  <c r="DT18" i="4"/>
  <c r="DU18" i="4"/>
  <c r="DV18" i="4"/>
  <c r="DW18" i="4"/>
  <c r="DX18" i="4"/>
  <c r="DY18" i="4"/>
  <c r="DZ18" i="4"/>
  <c r="EA18" i="4"/>
  <c r="EB18" i="4"/>
  <c r="EC18" i="4"/>
  <c r="ED18" i="4"/>
  <c r="EE18" i="4"/>
  <c r="EF18" i="4"/>
  <c r="EG18" i="4"/>
  <c r="EH18" i="4"/>
  <c r="EI18" i="4"/>
  <c r="EJ18" i="4"/>
  <c r="EK18" i="4"/>
  <c r="EL18" i="4"/>
  <c r="EM18" i="4"/>
  <c r="EN18" i="4"/>
  <c r="EO18" i="4"/>
  <c r="EP18" i="4"/>
  <c r="EQ18" i="4"/>
  <c r="ER18" i="4"/>
  <c r="ES18" i="4"/>
  <c r="ET18" i="4"/>
  <c r="EU18" i="4"/>
  <c r="EV18" i="4"/>
  <c r="EW18" i="4"/>
  <c r="EX18" i="4"/>
  <c r="EY18" i="4"/>
  <c r="EZ18" i="4"/>
  <c r="FA18" i="4"/>
  <c r="FB18" i="4"/>
  <c r="FC18" i="4"/>
  <c r="FD18" i="4"/>
  <c r="FE18" i="4"/>
  <c r="FF18" i="4"/>
  <c r="FG18" i="4"/>
  <c r="FH18" i="4"/>
  <c r="FI18" i="4"/>
  <c r="FJ18" i="4"/>
  <c r="FK18" i="4"/>
  <c r="FL18" i="4"/>
  <c r="FM18" i="4"/>
  <c r="FN18" i="4"/>
  <c r="FO18" i="4"/>
  <c r="FP18" i="4"/>
  <c r="FQ18" i="4"/>
  <c r="FR18" i="4"/>
  <c r="FS18" i="4"/>
  <c r="FT18" i="4"/>
  <c r="FU18" i="4"/>
  <c r="FV18" i="4"/>
  <c r="FW18" i="4"/>
  <c r="FX18" i="4"/>
  <c r="FY18" i="4"/>
  <c r="FZ18" i="4"/>
  <c r="GA18" i="4"/>
  <c r="GB18" i="4"/>
  <c r="GC18" i="4"/>
  <c r="GD18" i="4"/>
  <c r="GE18" i="4"/>
  <c r="GF18" i="4"/>
  <c r="GG18" i="4"/>
  <c r="GH18" i="4"/>
  <c r="GI18" i="4"/>
  <c r="GJ18" i="4"/>
  <c r="GK18" i="4"/>
  <c r="GL18" i="4"/>
  <c r="GM18" i="4"/>
  <c r="GN18" i="4"/>
  <c r="GO18" i="4"/>
  <c r="GP18" i="4"/>
  <c r="GQ18" i="4"/>
  <c r="GR18" i="4"/>
  <c r="GS18" i="4"/>
  <c r="GT18" i="4"/>
  <c r="GU18" i="4"/>
  <c r="GV18" i="4"/>
  <c r="GW18" i="4"/>
  <c r="GX18" i="4"/>
  <c r="GY18" i="4"/>
  <c r="GZ18" i="4"/>
  <c r="HA18" i="4"/>
  <c r="HB18" i="4"/>
  <c r="HC18" i="4"/>
  <c r="HD18" i="4"/>
  <c r="HE18" i="4"/>
  <c r="HF18" i="4"/>
  <c r="HG18" i="4"/>
  <c r="HH18" i="4"/>
  <c r="HI18" i="4"/>
  <c r="HJ18" i="4"/>
  <c r="HK18" i="4"/>
  <c r="HL18" i="4"/>
  <c r="HM18" i="4"/>
  <c r="HN18" i="4"/>
  <c r="HO18" i="4"/>
  <c r="HP18" i="4"/>
  <c r="HQ18" i="4"/>
  <c r="HR18" i="4"/>
  <c r="HS18" i="4"/>
  <c r="HT18" i="4"/>
  <c r="HU18" i="4"/>
  <c r="HV18" i="4"/>
  <c r="HW18" i="4"/>
  <c r="HX18" i="4"/>
  <c r="HY18" i="4"/>
  <c r="HZ18" i="4"/>
  <c r="IA18" i="4"/>
  <c r="IB18" i="4"/>
  <c r="IC18" i="4"/>
  <c r="ID18" i="4"/>
  <c r="IE18" i="4"/>
  <c r="IF18" i="4"/>
  <c r="IG18" i="4"/>
  <c r="IH18" i="4"/>
  <c r="II18" i="4"/>
  <c r="IJ18" i="4"/>
  <c r="IK18" i="4"/>
  <c r="IL18" i="4"/>
  <c r="IM18" i="4"/>
  <c r="IN18" i="4"/>
  <c r="IO18" i="4"/>
  <c r="IP18" i="4"/>
  <c r="IQ18" i="4"/>
  <c r="IR18" i="4"/>
  <c r="IS18" i="4"/>
  <c r="IT18" i="4"/>
  <c r="IU18" i="4"/>
  <c r="IV18" i="4"/>
  <c r="A17" i="4"/>
  <c r="B17"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BG17" i="4"/>
  <c r="BH17" i="4"/>
  <c r="BI17" i="4"/>
  <c r="BJ17" i="4"/>
  <c r="BK17" i="4"/>
  <c r="BL17" i="4"/>
  <c r="BM17" i="4"/>
  <c r="BN17" i="4"/>
  <c r="BO17" i="4"/>
  <c r="BP17" i="4"/>
  <c r="BQ17" i="4"/>
  <c r="BR17" i="4"/>
  <c r="BS17" i="4"/>
  <c r="BT17" i="4"/>
  <c r="BU17" i="4"/>
  <c r="BV17" i="4"/>
  <c r="BW17" i="4"/>
  <c r="BX17" i="4"/>
  <c r="BY17" i="4"/>
  <c r="BZ17" i="4"/>
  <c r="CA17" i="4"/>
  <c r="CB17" i="4"/>
  <c r="CC17" i="4"/>
  <c r="CD17" i="4"/>
  <c r="CE17" i="4"/>
  <c r="CF17" i="4"/>
  <c r="CG17" i="4"/>
  <c r="CH17" i="4"/>
  <c r="CI17" i="4"/>
  <c r="CJ17" i="4"/>
  <c r="CK17" i="4"/>
  <c r="CL17" i="4"/>
  <c r="CM17" i="4"/>
  <c r="CN17" i="4"/>
  <c r="CO17" i="4"/>
  <c r="CP17" i="4"/>
  <c r="CQ17" i="4"/>
  <c r="CR17" i="4"/>
  <c r="CS17" i="4"/>
  <c r="CT17" i="4"/>
  <c r="CU17" i="4"/>
  <c r="CV17" i="4"/>
  <c r="CW17" i="4"/>
  <c r="CX17" i="4"/>
  <c r="CY17" i="4"/>
  <c r="CZ17" i="4"/>
  <c r="DA17" i="4"/>
  <c r="DB17" i="4"/>
  <c r="DC17" i="4"/>
  <c r="DD17" i="4"/>
  <c r="DE17" i="4"/>
  <c r="DF17" i="4"/>
  <c r="DG17" i="4"/>
  <c r="DH17" i="4"/>
  <c r="DI17" i="4"/>
  <c r="DJ17" i="4"/>
  <c r="DK17" i="4"/>
  <c r="DL17" i="4"/>
  <c r="DM17" i="4"/>
  <c r="DN17" i="4"/>
  <c r="DO17" i="4"/>
  <c r="DP17" i="4"/>
  <c r="DQ17" i="4"/>
  <c r="DR17" i="4"/>
  <c r="DS17" i="4"/>
  <c r="DT17" i="4"/>
  <c r="DU17" i="4"/>
  <c r="DV17" i="4"/>
  <c r="DW17" i="4"/>
  <c r="DX17" i="4"/>
  <c r="DY17" i="4"/>
  <c r="DZ17" i="4"/>
  <c r="EA17" i="4"/>
  <c r="EB17" i="4"/>
  <c r="EC17" i="4"/>
  <c r="ED17" i="4"/>
  <c r="EE17" i="4"/>
  <c r="EF17" i="4"/>
  <c r="EG17" i="4"/>
  <c r="EH17" i="4"/>
  <c r="EI17" i="4"/>
  <c r="EJ17" i="4"/>
  <c r="EK17" i="4"/>
  <c r="EL17" i="4"/>
  <c r="EM17" i="4"/>
  <c r="EN17" i="4"/>
  <c r="EO17" i="4"/>
  <c r="EP17" i="4"/>
  <c r="EQ17" i="4"/>
  <c r="ER17" i="4"/>
  <c r="ES17" i="4"/>
  <c r="ET17" i="4"/>
  <c r="EU17" i="4"/>
  <c r="EV17" i="4"/>
  <c r="EW17" i="4"/>
  <c r="EX17" i="4"/>
  <c r="EY17" i="4"/>
  <c r="EZ17" i="4"/>
  <c r="FA17" i="4"/>
  <c r="FB17" i="4"/>
  <c r="FC17" i="4"/>
  <c r="FD17" i="4"/>
  <c r="FE17" i="4"/>
  <c r="FF17" i="4"/>
  <c r="FG17" i="4"/>
  <c r="FH17" i="4"/>
  <c r="FI17" i="4"/>
  <c r="FJ17" i="4"/>
  <c r="FK17" i="4"/>
  <c r="FL17" i="4"/>
  <c r="FM17" i="4"/>
  <c r="FN17" i="4"/>
  <c r="FO17" i="4"/>
  <c r="FP17" i="4"/>
  <c r="FQ17" i="4"/>
  <c r="FR17" i="4"/>
  <c r="FS17" i="4"/>
  <c r="FT17" i="4"/>
  <c r="FU17" i="4"/>
  <c r="FV17" i="4"/>
  <c r="FW17" i="4"/>
  <c r="FX17" i="4"/>
  <c r="FY17" i="4"/>
  <c r="FZ17" i="4"/>
  <c r="GA17" i="4"/>
  <c r="GB17" i="4"/>
  <c r="GC17" i="4"/>
  <c r="GD17" i="4"/>
  <c r="GE17" i="4"/>
  <c r="GF17" i="4"/>
  <c r="GG17" i="4"/>
  <c r="GH17" i="4"/>
  <c r="GI17" i="4"/>
  <c r="GJ17" i="4"/>
  <c r="GK17" i="4"/>
  <c r="GL17" i="4"/>
  <c r="GM17" i="4"/>
  <c r="GN17" i="4"/>
  <c r="GO17" i="4"/>
  <c r="GP17" i="4"/>
  <c r="GQ17" i="4"/>
  <c r="GR17" i="4"/>
  <c r="GS17" i="4"/>
  <c r="GT17" i="4"/>
  <c r="GU17" i="4"/>
  <c r="GV17" i="4"/>
  <c r="GW17" i="4"/>
  <c r="GX17" i="4"/>
  <c r="GY17" i="4"/>
  <c r="GZ17" i="4"/>
  <c r="HA17" i="4"/>
  <c r="HB17" i="4"/>
  <c r="HC17" i="4"/>
  <c r="HD17" i="4"/>
  <c r="HE17" i="4"/>
  <c r="HF17" i="4"/>
  <c r="HG17" i="4"/>
  <c r="HH17" i="4"/>
  <c r="HI17" i="4"/>
  <c r="HJ17" i="4"/>
  <c r="HK17" i="4"/>
  <c r="HL17" i="4"/>
  <c r="HM17" i="4"/>
  <c r="HN17" i="4"/>
  <c r="HO17" i="4"/>
  <c r="HP17" i="4"/>
  <c r="HQ17" i="4"/>
  <c r="HR17" i="4"/>
  <c r="HS17" i="4"/>
  <c r="HT17" i="4"/>
  <c r="HU17" i="4"/>
  <c r="HV17" i="4"/>
  <c r="HW17" i="4"/>
  <c r="HX17" i="4"/>
  <c r="HY17" i="4"/>
  <c r="HZ17" i="4"/>
  <c r="IA17" i="4"/>
  <c r="IB17" i="4"/>
  <c r="IC17" i="4"/>
  <c r="ID17" i="4"/>
  <c r="IE17" i="4"/>
  <c r="IF17" i="4"/>
  <c r="IG17" i="4"/>
  <c r="IH17" i="4"/>
  <c r="II17" i="4"/>
  <c r="IJ17" i="4"/>
  <c r="IK17" i="4"/>
  <c r="IL17" i="4"/>
  <c r="IM17" i="4"/>
  <c r="IN17" i="4"/>
  <c r="IO17" i="4"/>
  <c r="IP17" i="4"/>
  <c r="IQ17" i="4"/>
  <c r="IR17" i="4"/>
  <c r="IS17" i="4"/>
  <c r="IT17" i="4"/>
  <c r="IU17" i="4"/>
  <c r="IV17" i="4"/>
  <c r="A16" i="4"/>
  <c r="B16"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BG16" i="4"/>
  <c r="BH16" i="4"/>
  <c r="BI16" i="4"/>
  <c r="BJ16" i="4"/>
  <c r="BK16" i="4"/>
  <c r="BL16" i="4"/>
  <c r="BM16" i="4"/>
  <c r="BN16" i="4"/>
  <c r="BO16" i="4"/>
  <c r="BP16" i="4"/>
  <c r="BQ16" i="4"/>
  <c r="BR16" i="4"/>
  <c r="BS16" i="4"/>
  <c r="BT16" i="4"/>
  <c r="BU16" i="4"/>
  <c r="BV16" i="4"/>
  <c r="BW16" i="4"/>
  <c r="BX16" i="4"/>
  <c r="BY16" i="4"/>
  <c r="BZ16" i="4"/>
  <c r="CA16" i="4"/>
  <c r="CB16" i="4"/>
  <c r="CC16" i="4"/>
  <c r="CD16" i="4"/>
  <c r="CE16" i="4"/>
  <c r="CF16" i="4"/>
  <c r="CG16" i="4"/>
  <c r="CH16" i="4"/>
  <c r="CI16" i="4"/>
  <c r="CJ16" i="4"/>
  <c r="CK16" i="4"/>
  <c r="CL16" i="4"/>
  <c r="CM16" i="4"/>
  <c r="CN16" i="4"/>
  <c r="CO16" i="4"/>
  <c r="CP16" i="4"/>
  <c r="CQ16" i="4"/>
  <c r="CR16" i="4"/>
  <c r="CS16" i="4"/>
  <c r="CT16" i="4"/>
  <c r="CU16" i="4"/>
  <c r="CV16" i="4"/>
  <c r="CW16" i="4"/>
  <c r="CX16" i="4"/>
  <c r="CY16" i="4"/>
  <c r="CZ16" i="4"/>
  <c r="DA16" i="4"/>
  <c r="DB16" i="4"/>
  <c r="DC16" i="4"/>
  <c r="DD16" i="4"/>
  <c r="DE16" i="4"/>
  <c r="DF16" i="4"/>
  <c r="DG16" i="4"/>
  <c r="DH16" i="4"/>
  <c r="DI16" i="4"/>
  <c r="DJ16" i="4"/>
  <c r="DK16" i="4"/>
  <c r="DL16" i="4"/>
  <c r="DM16" i="4"/>
  <c r="DN16" i="4"/>
  <c r="DO16" i="4"/>
  <c r="DP16" i="4"/>
  <c r="DQ16" i="4"/>
  <c r="DR16" i="4"/>
  <c r="DS16" i="4"/>
  <c r="DT16" i="4"/>
  <c r="DU16" i="4"/>
  <c r="DV16" i="4"/>
  <c r="DW16" i="4"/>
  <c r="DX16" i="4"/>
  <c r="DY16" i="4"/>
  <c r="DZ16" i="4"/>
  <c r="EA16" i="4"/>
  <c r="EB16" i="4"/>
  <c r="EC16" i="4"/>
  <c r="ED16" i="4"/>
  <c r="EE16" i="4"/>
  <c r="EF16" i="4"/>
  <c r="EG16" i="4"/>
  <c r="EH16" i="4"/>
  <c r="EI16" i="4"/>
  <c r="EJ16" i="4"/>
  <c r="EK16" i="4"/>
  <c r="EL16" i="4"/>
  <c r="EM16" i="4"/>
  <c r="EN16" i="4"/>
  <c r="EO16" i="4"/>
  <c r="EP16" i="4"/>
  <c r="EQ16" i="4"/>
  <c r="ER16" i="4"/>
  <c r="ES16" i="4"/>
  <c r="ET16" i="4"/>
  <c r="EU16" i="4"/>
  <c r="EV16" i="4"/>
  <c r="EW16" i="4"/>
  <c r="EX16" i="4"/>
  <c r="EY16" i="4"/>
  <c r="EZ16" i="4"/>
  <c r="FA16" i="4"/>
  <c r="FB16" i="4"/>
  <c r="FC16" i="4"/>
  <c r="FD16" i="4"/>
  <c r="FE16" i="4"/>
  <c r="FF16" i="4"/>
  <c r="FG16" i="4"/>
  <c r="FH16" i="4"/>
  <c r="FI16" i="4"/>
  <c r="FJ16" i="4"/>
  <c r="FK16" i="4"/>
  <c r="FL16" i="4"/>
  <c r="FM16" i="4"/>
  <c r="FN16" i="4"/>
  <c r="FO16" i="4"/>
  <c r="FP16" i="4"/>
  <c r="FQ16" i="4"/>
  <c r="FR16" i="4"/>
  <c r="FS16" i="4"/>
  <c r="FT16" i="4"/>
  <c r="FU16" i="4"/>
  <c r="FV16" i="4"/>
  <c r="FW16" i="4"/>
  <c r="FX16" i="4"/>
  <c r="FY16" i="4"/>
  <c r="FZ16" i="4"/>
  <c r="GA16" i="4"/>
  <c r="GB16" i="4"/>
  <c r="GC16" i="4"/>
  <c r="GD16" i="4"/>
  <c r="GE16" i="4"/>
  <c r="GF16" i="4"/>
  <c r="GG16" i="4"/>
  <c r="GH16" i="4"/>
  <c r="GI16" i="4"/>
  <c r="GJ16" i="4"/>
  <c r="GK16" i="4"/>
  <c r="GL16" i="4"/>
  <c r="GM16" i="4"/>
  <c r="GN16" i="4"/>
  <c r="GO16" i="4"/>
  <c r="GP16" i="4"/>
  <c r="GQ16" i="4"/>
  <c r="GR16" i="4"/>
  <c r="GS16" i="4"/>
  <c r="GT16" i="4"/>
  <c r="GU16" i="4"/>
  <c r="GV16" i="4"/>
  <c r="GW16" i="4"/>
  <c r="GX16" i="4"/>
  <c r="GY16" i="4"/>
  <c r="GZ16" i="4"/>
  <c r="HA16" i="4"/>
  <c r="HB16" i="4"/>
  <c r="HC16" i="4"/>
  <c r="HD16" i="4"/>
  <c r="HE16" i="4"/>
  <c r="HF16" i="4"/>
  <c r="HG16" i="4"/>
  <c r="HH16" i="4"/>
  <c r="HI16" i="4"/>
  <c r="HJ16" i="4"/>
  <c r="HK16" i="4"/>
  <c r="HL16" i="4"/>
  <c r="HM16" i="4"/>
  <c r="HN16" i="4"/>
  <c r="HO16" i="4"/>
  <c r="HP16" i="4"/>
  <c r="HQ16" i="4"/>
  <c r="HR16" i="4"/>
  <c r="HS16" i="4"/>
  <c r="HT16" i="4"/>
  <c r="HU16" i="4"/>
  <c r="HV16" i="4"/>
  <c r="HW16" i="4"/>
  <c r="HX16" i="4"/>
  <c r="HY16" i="4"/>
  <c r="HZ16" i="4"/>
  <c r="IA16" i="4"/>
  <c r="IB16" i="4"/>
  <c r="IC16" i="4"/>
  <c r="ID16" i="4"/>
  <c r="IE16" i="4"/>
  <c r="IF16" i="4"/>
  <c r="IG16" i="4"/>
  <c r="IH16" i="4"/>
  <c r="II16" i="4"/>
  <c r="IJ16" i="4"/>
  <c r="IK16" i="4"/>
  <c r="IL16" i="4"/>
  <c r="IM16" i="4"/>
  <c r="IN16" i="4"/>
  <c r="IO16" i="4"/>
  <c r="IP16" i="4"/>
  <c r="IQ16" i="4"/>
  <c r="IR16" i="4"/>
  <c r="IS16" i="4"/>
  <c r="IT16" i="4"/>
  <c r="IU16" i="4"/>
  <c r="IV16" i="4"/>
  <c r="A15" i="4"/>
  <c r="B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BG15" i="4"/>
  <c r="BH15" i="4"/>
  <c r="BI15" i="4"/>
  <c r="BJ15" i="4"/>
  <c r="BK15" i="4"/>
  <c r="BL15" i="4"/>
  <c r="BM15" i="4"/>
  <c r="BN15" i="4"/>
  <c r="BO15" i="4"/>
  <c r="BP15" i="4"/>
  <c r="BQ15" i="4"/>
  <c r="BR15" i="4"/>
  <c r="BS15" i="4"/>
  <c r="BT15" i="4"/>
  <c r="BU15" i="4"/>
  <c r="BV15" i="4"/>
  <c r="BW15" i="4"/>
  <c r="BX15" i="4"/>
  <c r="BY15" i="4"/>
  <c r="BZ15" i="4"/>
  <c r="CA15" i="4"/>
  <c r="CB15" i="4"/>
  <c r="CC15" i="4"/>
  <c r="CD15" i="4"/>
  <c r="CE15" i="4"/>
  <c r="CF15" i="4"/>
  <c r="CG15" i="4"/>
  <c r="CH15" i="4"/>
  <c r="CI15" i="4"/>
  <c r="CJ15" i="4"/>
  <c r="CK15" i="4"/>
  <c r="CL15" i="4"/>
  <c r="CM15" i="4"/>
  <c r="CN15" i="4"/>
  <c r="CO15" i="4"/>
  <c r="CP15" i="4"/>
  <c r="CQ15" i="4"/>
  <c r="CR15" i="4"/>
  <c r="CS15" i="4"/>
  <c r="CT15" i="4"/>
  <c r="CU15" i="4"/>
  <c r="CV15" i="4"/>
  <c r="CW15" i="4"/>
  <c r="CX15" i="4"/>
  <c r="CY15" i="4"/>
  <c r="CZ15" i="4"/>
  <c r="DA15" i="4"/>
  <c r="DB15" i="4"/>
  <c r="DC15" i="4"/>
  <c r="DD15" i="4"/>
  <c r="DE15" i="4"/>
  <c r="DF15" i="4"/>
  <c r="DG15" i="4"/>
  <c r="DH15" i="4"/>
  <c r="DI15" i="4"/>
  <c r="DJ15" i="4"/>
  <c r="DK15" i="4"/>
  <c r="DL15" i="4"/>
  <c r="DM15" i="4"/>
  <c r="DN15" i="4"/>
  <c r="DO15" i="4"/>
  <c r="DP15" i="4"/>
  <c r="DQ15" i="4"/>
  <c r="DR15" i="4"/>
  <c r="DS15" i="4"/>
  <c r="DT15" i="4"/>
  <c r="DU15" i="4"/>
  <c r="DV15" i="4"/>
  <c r="DW15" i="4"/>
  <c r="DX15" i="4"/>
  <c r="DY15" i="4"/>
  <c r="DZ15" i="4"/>
  <c r="EA15" i="4"/>
  <c r="EB15" i="4"/>
  <c r="EC15" i="4"/>
  <c r="ED15" i="4"/>
  <c r="EE15" i="4"/>
  <c r="EF15" i="4"/>
  <c r="EG15" i="4"/>
  <c r="EH15" i="4"/>
  <c r="EI15" i="4"/>
  <c r="EJ15" i="4"/>
  <c r="EK15" i="4"/>
  <c r="EL15" i="4"/>
  <c r="EM15" i="4"/>
  <c r="EN15" i="4"/>
  <c r="EO15" i="4"/>
  <c r="EP15" i="4"/>
  <c r="EQ15" i="4"/>
  <c r="ER15" i="4"/>
  <c r="ES15" i="4"/>
  <c r="ET15" i="4"/>
  <c r="EU15" i="4"/>
  <c r="EV15" i="4"/>
  <c r="EW15" i="4"/>
  <c r="EX15" i="4"/>
  <c r="EY15" i="4"/>
  <c r="EZ15" i="4"/>
  <c r="FA15" i="4"/>
  <c r="FB15" i="4"/>
  <c r="FC15" i="4"/>
  <c r="FD15" i="4"/>
  <c r="FE15" i="4"/>
  <c r="FF15" i="4"/>
  <c r="FG15" i="4"/>
  <c r="FH15" i="4"/>
  <c r="FI15" i="4"/>
  <c r="FJ15" i="4"/>
  <c r="FK15" i="4"/>
  <c r="FL15" i="4"/>
  <c r="FM15" i="4"/>
  <c r="FN15" i="4"/>
  <c r="FO15" i="4"/>
  <c r="FP15" i="4"/>
  <c r="FQ15" i="4"/>
  <c r="FR15" i="4"/>
  <c r="FS15" i="4"/>
  <c r="FT15" i="4"/>
  <c r="FU15" i="4"/>
  <c r="FV15" i="4"/>
  <c r="FW15" i="4"/>
  <c r="FX15" i="4"/>
  <c r="FY15" i="4"/>
  <c r="FZ15" i="4"/>
  <c r="GA15" i="4"/>
  <c r="GB15" i="4"/>
  <c r="GC15" i="4"/>
  <c r="GD15" i="4"/>
  <c r="GE15" i="4"/>
  <c r="GF15" i="4"/>
  <c r="GG15" i="4"/>
  <c r="GH15" i="4"/>
  <c r="GI15" i="4"/>
  <c r="GJ15" i="4"/>
  <c r="GK15" i="4"/>
  <c r="GL15" i="4"/>
  <c r="GM15" i="4"/>
  <c r="GN15" i="4"/>
  <c r="GO15" i="4"/>
  <c r="GP15" i="4"/>
  <c r="GQ15" i="4"/>
  <c r="GR15" i="4"/>
  <c r="GS15" i="4"/>
  <c r="GT15" i="4"/>
  <c r="GU15" i="4"/>
  <c r="GV15" i="4"/>
  <c r="GW15" i="4"/>
  <c r="GX15" i="4"/>
  <c r="GY15" i="4"/>
  <c r="GZ15" i="4"/>
  <c r="HA15" i="4"/>
  <c r="HB15" i="4"/>
  <c r="HC15" i="4"/>
  <c r="HD15" i="4"/>
  <c r="HE15" i="4"/>
  <c r="HF15" i="4"/>
  <c r="HG15" i="4"/>
  <c r="HH15" i="4"/>
  <c r="HI15" i="4"/>
  <c r="HJ15" i="4"/>
  <c r="HK15" i="4"/>
  <c r="HL15" i="4"/>
  <c r="HM15" i="4"/>
  <c r="HN15" i="4"/>
  <c r="HO15" i="4"/>
  <c r="HP15" i="4"/>
  <c r="HQ15" i="4"/>
  <c r="HR15" i="4"/>
  <c r="HS15" i="4"/>
  <c r="HT15" i="4"/>
  <c r="HU15" i="4"/>
  <c r="HV15" i="4"/>
  <c r="HW15" i="4"/>
  <c r="HX15" i="4"/>
  <c r="HY15" i="4"/>
  <c r="HZ15" i="4"/>
  <c r="IA15" i="4"/>
  <c r="IB15" i="4"/>
  <c r="IC15" i="4"/>
  <c r="ID15" i="4"/>
  <c r="IE15" i="4"/>
  <c r="IF15" i="4"/>
  <c r="IG15" i="4"/>
  <c r="IH15" i="4"/>
  <c r="II15" i="4"/>
  <c r="IJ15" i="4"/>
  <c r="IK15" i="4"/>
  <c r="IL15" i="4"/>
  <c r="IM15" i="4"/>
  <c r="IN15" i="4"/>
  <c r="IO15" i="4"/>
  <c r="IP15" i="4"/>
  <c r="IQ15" i="4"/>
  <c r="IR15" i="4"/>
  <c r="IS15" i="4"/>
  <c r="IT15" i="4"/>
  <c r="IU15" i="4"/>
  <c r="IV15" i="4"/>
  <c r="A14" i="4"/>
  <c r="B14"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BG14" i="4"/>
  <c r="BH14" i="4"/>
  <c r="BI14" i="4"/>
  <c r="BJ14" i="4"/>
  <c r="BK14" i="4"/>
  <c r="BL14" i="4"/>
  <c r="BM14" i="4"/>
  <c r="BN14" i="4"/>
  <c r="BO14" i="4"/>
  <c r="BP14" i="4"/>
  <c r="BQ14" i="4"/>
  <c r="BR14" i="4"/>
  <c r="BS14" i="4"/>
  <c r="BT14" i="4"/>
  <c r="BU14" i="4"/>
  <c r="BV14" i="4"/>
  <c r="BW14" i="4"/>
  <c r="BX14" i="4"/>
  <c r="BY14" i="4"/>
  <c r="BZ14" i="4"/>
  <c r="CA14" i="4"/>
  <c r="CB14" i="4"/>
  <c r="CC14" i="4"/>
  <c r="CD14" i="4"/>
  <c r="CE14" i="4"/>
  <c r="CF14" i="4"/>
  <c r="CG14" i="4"/>
  <c r="CH14" i="4"/>
  <c r="CI14" i="4"/>
  <c r="CJ14" i="4"/>
  <c r="CK14" i="4"/>
  <c r="CL14" i="4"/>
  <c r="CM14" i="4"/>
  <c r="CN14" i="4"/>
  <c r="CO14" i="4"/>
  <c r="CP14" i="4"/>
  <c r="CQ14" i="4"/>
  <c r="CR14" i="4"/>
  <c r="CS14" i="4"/>
  <c r="CT14" i="4"/>
  <c r="CU14" i="4"/>
  <c r="CV14" i="4"/>
  <c r="CW14" i="4"/>
  <c r="CX14" i="4"/>
  <c r="CY14" i="4"/>
  <c r="CZ14" i="4"/>
  <c r="DA14" i="4"/>
  <c r="DB14" i="4"/>
  <c r="DC14" i="4"/>
  <c r="DD14" i="4"/>
  <c r="DE14" i="4"/>
  <c r="DF14" i="4"/>
  <c r="DG14" i="4"/>
  <c r="DH14" i="4"/>
  <c r="DI14" i="4"/>
  <c r="DJ14" i="4"/>
  <c r="DK14" i="4"/>
  <c r="DL14" i="4"/>
  <c r="DM14" i="4"/>
  <c r="DN14" i="4"/>
  <c r="DO14" i="4"/>
  <c r="DP14" i="4"/>
  <c r="DQ14" i="4"/>
  <c r="DR14" i="4"/>
  <c r="DS14" i="4"/>
  <c r="DT14" i="4"/>
  <c r="DU14" i="4"/>
  <c r="DV14" i="4"/>
  <c r="DW14" i="4"/>
  <c r="DX14" i="4"/>
  <c r="DY14" i="4"/>
  <c r="DZ14" i="4"/>
  <c r="EA14" i="4"/>
  <c r="EB14" i="4"/>
  <c r="EC14" i="4"/>
  <c r="ED14" i="4"/>
  <c r="EE14" i="4"/>
  <c r="EF14" i="4"/>
  <c r="EG14" i="4"/>
  <c r="EH14" i="4"/>
  <c r="EI14" i="4"/>
  <c r="EJ14" i="4"/>
  <c r="EK14" i="4"/>
  <c r="EL14" i="4"/>
  <c r="EM14" i="4"/>
  <c r="EN14" i="4"/>
  <c r="EO14" i="4"/>
  <c r="EP14" i="4"/>
  <c r="EQ14" i="4"/>
  <c r="ER14" i="4"/>
  <c r="ES14" i="4"/>
  <c r="ET14" i="4"/>
  <c r="EU14" i="4"/>
  <c r="EV14" i="4"/>
  <c r="EW14" i="4"/>
  <c r="EX14" i="4"/>
  <c r="EY14" i="4"/>
  <c r="EZ14" i="4"/>
  <c r="FA14" i="4"/>
  <c r="FB14" i="4"/>
  <c r="FC14" i="4"/>
  <c r="FD14" i="4"/>
  <c r="FE14" i="4"/>
  <c r="FF14" i="4"/>
  <c r="FG14" i="4"/>
  <c r="FH14" i="4"/>
  <c r="FI14" i="4"/>
  <c r="FJ14" i="4"/>
  <c r="FK14" i="4"/>
  <c r="FL14" i="4"/>
  <c r="FM14" i="4"/>
  <c r="FN14" i="4"/>
  <c r="FO14" i="4"/>
  <c r="FP14" i="4"/>
  <c r="FQ14" i="4"/>
  <c r="FR14" i="4"/>
  <c r="FS14" i="4"/>
  <c r="FT14" i="4"/>
  <c r="FU14" i="4"/>
  <c r="FV14" i="4"/>
  <c r="FW14" i="4"/>
  <c r="FX14" i="4"/>
  <c r="FY14" i="4"/>
  <c r="FZ14" i="4"/>
  <c r="GA14" i="4"/>
  <c r="GB14" i="4"/>
  <c r="GC14" i="4"/>
  <c r="GD14" i="4"/>
  <c r="GE14" i="4"/>
  <c r="GF14" i="4"/>
  <c r="GG14" i="4"/>
  <c r="GH14" i="4"/>
  <c r="GI14" i="4"/>
  <c r="GJ14" i="4"/>
  <c r="GK14" i="4"/>
  <c r="GL14" i="4"/>
  <c r="GM14" i="4"/>
  <c r="GN14" i="4"/>
  <c r="GO14" i="4"/>
  <c r="GP14" i="4"/>
  <c r="GQ14" i="4"/>
  <c r="GR14" i="4"/>
  <c r="GS14" i="4"/>
  <c r="GT14" i="4"/>
  <c r="GU14" i="4"/>
  <c r="GV14" i="4"/>
  <c r="GW14" i="4"/>
  <c r="GX14" i="4"/>
  <c r="GY14" i="4"/>
  <c r="GZ14" i="4"/>
  <c r="HA14" i="4"/>
  <c r="HB14" i="4"/>
  <c r="HC14" i="4"/>
  <c r="HD14" i="4"/>
  <c r="HE14" i="4"/>
  <c r="HF14" i="4"/>
  <c r="HG14" i="4"/>
  <c r="HH14" i="4"/>
  <c r="HI14" i="4"/>
  <c r="HJ14" i="4"/>
  <c r="HK14" i="4"/>
  <c r="HL14" i="4"/>
  <c r="HM14" i="4"/>
  <c r="HN14" i="4"/>
  <c r="HO14" i="4"/>
  <c r="HP14" i="4"/>
  <c r="HQ14" i="4"/>
  <c r="HR14" i="4"/>
  <c r="HS14" i="4"/>
  <c r="HT14" i="4"/>
  <c r="HU14" i="4"/>
  <c r="HV14" i="4"/>
  <c r="HW14" i="4"/>
  <c r="HX14" i="4"/>
  <c r="HY14" i="4"/>
  <c r="HZ14" i="4"/>
  <c r="IA14" i="4"/>
  <c r="IB14" i="4"/>
  <c r="IC14" i="4"/>
  <c r="ID14" i="4"/>
  <c r="IE14" i="4"/>
  <c r="IF14" i="4"/>
  <c r="IG14" i="4"/>
  <c r="IH14" i="4"/>
  <c r="II14" i="4"/>
  <c r="IJ14" i="4"/>
  <c r="IK14" i="4"/>
  <c r="IL14" i="4"/>
  <c r="IM14" i="4"/>
  <c r="IN14" i="4"/>
  <c r="IO14" i="4"/>
  <c r="IP14" i="4"/>
  <c r="IQ14" i="4"/>
  <c r="IR14" i="4"/>
  <c r="IS14" i="4"/>
  <c r="IT14" i="4"/>
  <c r="IU14" i="4"/>
  <c r="IV14" i="4"/>
  <c r="A13" i="4"/>
  <c r="B13" i="4"/>
  <c r="C13" i="4"/>
  <c r="D13" i="4"/>
  <c r="E13" i="4"/>
  <c r="F13" i="4"/>
  <c r="G13" i="4"/>
  <c r="H13" i="4"/>
  <c r="I13" i="4"/>
  <c r="J13" i="4"/>
  <c r="K13" i="4"/>
  <c r="L13" i="4"/>
  <c r="M13" i="4"/>
  <c r="N13" i="4"/>
  <c r="O13" i="4"/>
  <c r="P13" i="4"/>
  <c r="Q13" i="4"/>
  <c r="R13" i="4"/>
  <c r="S13" i="4"/>
  <c r="T13" i="4"/>
  <c r="U13" i="4"/>
  <c r="V13" i="4"/>
  <c r="W13" i="4"/>
  <c r="X13" i="4"/>
  <c r="Y13" i="4"/>
  <c r="Z13" i="4"/>
  <c r="AA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BG13" i="4"/>
  <c r="BH13" i="4"/>
  <c r="BI13" i="4"/>
  <c r="BJ13" i="4"/>
  <c r="BK13" i="4"/>
  <c r="BL13" i="4"/>
  <c r="BM13" i="4"/>
  <c r="BN13" i="4"/>
  <c r="BO13" i="4"/>
  <c r="BP13" i="4"/>
  <c r="BQ13" i="4"/>
  <c r="BR13" i="4"/>
  <c r="BS13" i="4"/>
  <c r="BT13" i="4"/>
  <c r="BU13" i="4"/>
  <c r="BV13" i="4"/>
  <c r="BW13" i="4"/>
  <c r="BX13" i="4"/>
  <c r="BY13" i="4"/>
  <c r="BZ13" i="4"/>
  <c r="CA13" i="4"/>
  <c r="CB13" i="4"/>
  <c r="CC13" i="4"/>
  <c r="CD13" i="4"/>
  <c r="CE13" i="4"/>
  <c r="CF13" i="4"/>
  <c r="CG13" i="4"/>
  <c r="CH13" i="4"/>
  <c r="CI13" i="4"/>
  <c r="CJ13" i="4"/>
  <c r="CK13" i="4"/>
  <c r="CL13" i="4"/>
  <c r="CM13" i="4"/>
  <c r="CN13" i="4"/>
  <c r="CO13" i="4"/>
  <c r="CP13" i="4"/>
  <c r="CQ13" i="4"/>
  <c r="CR13" i="4"/>
  <c r="CS13" i="4"/>
  <c r="CT13" i="4"/>
  <c r="CU13" i="4"/>
  <c r="CV13" i="4"/>
  <c r="CW13" i="4"/>
  <c r="CX13" i="4"/>
  <c r="CY13" i="4"/>
  <c r="CZ13" i="4"/>
  <c r="DA13" i="4"/>
  <c r="DB13" i="4"/>
  <c r="DC13" i="4"/>
  <c r="DD13" i="4"/>
  <c r="DE13" i="4"/>
  <c r="DF13" i="4"/>
  <c r="DG13" i="4"/>
  <c r="DH13" i="4"/>
  <c r="DI13" i="4"/>
  <c r="DJ13" i="4"/>
  <c r="DK13" i="4"/>
  <c r="DL13" i="4"/>
  <c r="DM13" i="4"/>
  <c r="DN13" i="4"/>
  <c r="DO13" i="4"/>
  <c r="DP13" i="4"/>
  <c r="DQ13" i="4"/>
  <c r="DR13" i="4"/>
  <c r="DS13" i="4"/>
  <c r="DT13" i="4"/>
  <c r="DU13" i="4"/>
  <c r="DV13" i="4"/>
  <c r="DW13" i="4"/>
  <c r="DX13" i="4"/>
  <c r="DY13" i="4"/>
  <c r="DZ13" i="4"/>
  <c r="EA13" i="4"/>
  <c r="EB13" i="4"/>
  <c r="EC13" i="4"/>
  <c r="ED13" i="4"/>
  <c r="EE13" i="4"/>
  <c r="EF13" i="4"/>
  <c r="EG13" i="4"/>
  <c r="EH13" i="4"/>
  <c r="EI13" i="4"/>
  <c r="EJ13" i="4"/>
  <c r="EK13" i="4"/>
  <c r="EL13" i="4"/>
  <c r="EM13" i="4"/>
  <c r="EN13" i="4"/>
  <c r="EO13" i="4"/>
  <c r="EP13" i="4"/>
  <c r="EQ13" i="4"/>
  <c r="ER13" i="4"/>
  <c r="ES13" i="4"/>
  <c r="ET13" i="4"/>
  <c r="EU13" i="4"/>
  <c r="EV13" i="4"/>
  <c r="EW13" i="4"/>
  <c r="EX13" i="4"/>
  <c r="EY13" i="4"/>
  <c r="EZ13" i="4"/>
  <c r="FA13" i="4"/>
  <c r="FB13" i="4"/>
  <c r="FC13" i="4"/>
  <c r="FD13" i="4"/>
  <c r="FE13" i="4"/>
  <c r="FF13" i="4"/>
  <c r="FG13" i="4"/>
  <c r="FH13" i="4"/>
  <c r="FI13" i="4"/>
  <c r="FJ13" i="4"/>
  <c r="FK13" i="4"/>
  <c r="FL13" i="4"/>
  <c r="FM13" i="4"/>
  <c r="FN13" i="4"/>
  <c r="FO13" i="4"/>
  <c r="FP13" i="4"/>
  <c r="FQ13" i="4"/>
  <c r="FR13" i="4"/>
  <c r="FS13" i="4"/>
  <c r="FT13" i="4"/>
  <c r="FU13" i="4"/>
  <c r="FV13" i="4"/>
  <c r="FW13" i="4"/>
  <c r="FX13" i="4"/>
  <c r="FY13" i="4"/>
  <c r="FZ13" i="4"/>
  <c r="GA13" i="4"/>
  <c r="GB13" i="4"/>
  <c r="GC13" i="4"/>
  <c r="GD13" i="4"/>
  <c r="GE13" i="4"/>
  <c r="GF13" i="4"/>
  <c r="GG13" i="4"/>
  <c r="GH13" i="4"/>
  <c r="GI13" i="4"/>
  <c r="GJ13" i="4"/>
  <c r="GK13" i="4"/>
  <c r="GL13" i="4"/>
  <c r="GM13" i="4"/>
  <c r="GN13" i="4"/>
  <c r="GO13" i="4"/>
  <c r="GP13" i="4"/>
  <c r="GQ13" i="4"/>
  <c r="GR13" i="4"/>
  <c r="GS13" i="4"/>
  <c r="GT13" i="4"/>
  <c r="GU13" i="4"/>
  <c r="GV13" i="4"/>
  <c r="GW13" i="4"/>
  <c r="GX13" i="4"/>
  <c r="GY13" i="4"/>
  <c r="GZ13" i="4"/>
  <c r="HA13" i="4"/>
  <c r="HB13" i="4"/>
  <c r="HC13" i="4"/>
  <c r="HD13" i="4"/>
  <c r="HE13" i="4"/>
  <c r="HF13" i="4"/>
  <c r="HG13" i="4"/>
  <c r="HH13" i="4"/>
  <c r="HI13" i="4"/>
  <c r="HJ13" i="4"/>
  <c r="HK13" i="4"/>
  <c r="HL13" i="4"/>
  <c r="HM13" i="4"/>
  <c r="HN13" i="4"/>
  <c r="HO13" i="4"/>
  <c r="HP13" i="4"/>
  <c r="HQ13" i="4"/>
  <c r="HR13" i="4"/>
  <c r="HS13" i="4"/>
  <c r="HT13" i="4"/>
  <c r="HU13" i="4"/>
  <c r="HV13" i="4"/>
  <c r="HW13" i="4"/>
  <c r="HX13" i="4"/>
  <c r="HY13" i="4"/>
  <c r="HZ13" i="4"/>
  <c r="IA13" i="4"/>
  <c r="IB13" i="4"/>
  <c r="IC13" i="4"/>
  <c r="ID13" i="4"/>
  <c r="IE13" i="4"/>
  <c r="IF13" i="4"/>
  <c r="IG13" i="4"/>
  <c r="IH13" i="4"/>
  <c r="II13" i="4"/>
  <c r="IJ13" i="4"/>
  <c r="IK13" i="4"/>
  <c r="IL13" i="4"/>
  <c r="IM13" i="4"/>
  <c r="IN13" i="4"/>
  <c r="IO13" i="4"/>
  <c r="IP13" i="4"/>
  <c r="IQ13" i="4"/>
  <c r="IR13" i="4"/>
  <c r="IS13" i="4"/>
  <c r="IT13" i="4"/>
  <c r="IU13" i="4"/>
  <c r="IV13" i="4"/>
  <c r="A12" i="4"/>
  <c r="B12"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BG12" i="4"/>
  <c r="BH12" i="4"/>
  <c r="BI12" i="4"/>
  <c r="BJ12" i="4"/>
  <c r="BK12" i="4"/>
  <c r="BL12" i="4"/>
  <c r="BM12" i="4"/>
  <c r="BN12" i="4"/>
  <c r="BO12" i="4"/>
  <c r="BP12" i="4"/>
  <c r="BQ12" i="4"/>
  <c r="BR12" i="4"/>
  <c r="BS12" i="4"/>
  <c r="BT12" i="4"/>
  <c r="BU12" i="4"/>
  <c r="BV12" i="4"/>
  <c r="BW12" i="4"/>
  <c r="BX12" i="4"/>
  <c r="BY12" i="4"/>
  <c r="BZ12" i="4"/>
  <c r="CA12" i="4"/>
  <c r="CB12" i="4"/>
  <c r="CC12" i="4"/>
  <c r="CD12" i="4"/>
  <c r="CE12" i="4"/>
  <c r="CF12" i="4"/>
  <c r="CG12" i="4"/>
  <c r="CH12" i="4"/>
  <c r="CI12" i="4"/>
  <c r="CJ12" i="4"/>
  <c r="CK12" i="4"/>
  <c r="CL12" i="4"/>
  <c r="CM12" i="4"/>
  <c r="CN12" i="4"/>
  <c r="CO12" i="4"/>
  <c r="CP12" i="4"/>
  <c r="CQ12" i="4"/>
  <c r="CR12" i="4"/>
  <c r="CS12" i="4"/>
  <c r="CT12" i="4"/>
  <c r="CU12" i="4"/>
  <c r="CV12" i="4"/>
  <c r="CW12" i="4"/>
  <c r="CX12" i="4"/>
  <c r="CY12" i="4"/>
  <c r="CZ12" i="4"/>
  <c r="DA12" i="4"/>
  <c r="DB12" i="4"/>
  <c r="DC12" i="4"/>
  <c r="DD12" i="4"/>
  <c r="DE12" i="4"/>
  <c r="DF12" i="4"/>
  <c r="DG12" i="4"/>
  <c r="DH12" i="4"/>
  <c r="DI12" i="4"/>
  <c r="DJ12" i="4"/>
  <c r="DK12" i="4"/>
  <c r="DL12" i="4"/>
  <c r="DM12" i="4"/>
  <c r="DN12" i="4"/>
  <c r="DO12" i="4"/>
  <c r="DP12" i="4"/>
  <c r="DQ12" i="4"/>
  <c r="DR12" i="4"/>
  <c r="DS12" i="4"/>
  <c r="DT12" i="4"/>
  <c r="DU12" i="4"/>
  <c r="DV12" i="4"/>
  <c r="DW12" i="4"/>
  <c r="DX12" i="4"/>
  <c r="DY12" i="4"/>
  <c r="DZ12" i="4"/>
  <c r="EA12" i="4"/>
  <c r="EB12" i="4"/>
  <c r="EC12" i="4"/>
  <c r="ED12" i="4"/>
  <c r="EE12" i="4"/>
  <c r="EF12" i="4"/>
  <c r="EG12" i="4"/>
  <c r="EH12" i="4"/>
  <c r="EI12" i="4"/>
  <c r="EJ12" i="4"/>
  <c r="EK12" i="4"/>
  <c r="EL12" i="4"/>
  <c r="EM12" i="4"/>
  <c r="EN12" i="4"/>
  <c r="EO12" i="4"/>
  <c r="EP12" i="4"/>
  <c r="EQ12" i="4"/>
  <c r="ER12" i="4"/>
  <c r="ES12" i="4"/>
  <c r="ET12" i="4"/>
  <c r="EU12" i="4"/>
  <c r="EV12" i="4"/>
  <c r="EW12" i="4"/>
  <c r="EX12" i="4"/>
  <c r="EY12" i="4"/>
  <c r="EZ12" i="4"/>
  <c r="FA12" i="4"/>
  <c r="FB12" i="4"/>
  <c r="FC12" i="4"/>
  <c r="FD12" i="4"/>
  <c r="FE12" i="4"/>
  <c r="FF12" i="4"/>
  <c r="FG12" i="4"/>
  <c r="FH12" i="4"/>
  <c r="FI12" i="4"/>
  <c r="FJ12" i="4"/>
  <c r="FK12" i="4"/>
  <c r="FL12" i="4"/>
  <c r="FM12" i="4"/>
  <c r="FN12" i="4"/>
  <c r="FO12" i="4"/>
  <c r="FP12" i="4"/>
  <c r="FQ12" i="4"/>
  <c r="FR12" i="4"/>
  <c r="FS12" i="4"/>
  <c r="FT12" i="4"/>
  <c r="FU12" i="4"/>
  <c r="FV12" i="4"/>
  <c r="FW12" i="4"/>
  <c r="FX12" i="4"/>
  <c r="FY12" i="4"/>
  <c r="FZ12" i="4"/>
  <c r="GA12" i="4"/>
  <c r="GB12" i="4"/>
  <c r="GC12" i="4"/>
  <c r="GD12" i="4"/>
  <c r="GE12" i="4"/>
  <c r="GF12" i="4"/>
  <c r="GG12" i="4"/>
  <c r="GH12" i="4"/>
  <c r="GI12" i="4"/>
  <c r="GJ12" i="4"/>
  <c r="GK12" i="4"/>
  <c r="GL12" i="4"/>
  <c r="GM12" i="4"/>
  <c r="GN12" i="4"/>
  <c r="GO12" i="4"/>
  <c r="GP12" i="4"/>
  <c r="GQ12" i="4"/>
  <c r="GR12" i="4"/>
  <c r="GS12" i="4"/>
  <c r="GT12" i="4"/>
  <c r="GU12" i="4"/>
  <c r="GV12" i="4"/>
  <c r="GW12" i="4"/>
  <c r="GX12" i="4"/>
  <c r="GY12" i="4"/>
  <c r="GZ12" i="4"/>
  <c r="HA12" i="4"/>
  <c r="HB12" i="4"/>
  <c r="HC12" i="4"/>
  <c r="HD12" i="4"/>
  <c r="HE12" i="4"/>
  <c r="HF12" i="4"/>
  <c r="HG12" i="4"/>
  <c r="HH12" i="4"/>
  <c r="HI12" i="4"/>
  <c r="HJ12" i="4"/>
  <c r="HK12" i="4"/>
  <c r="HL12" i="4"/>
  <c r="HM12" i="4"/>
  <c r="HN12" i="4"/>
  <c r="HO12" i="4"/>
  <c r="HP12" i="4"/>
  <c r="HQ12" i="4"/>
  <c r="HR12" i="4"/>
  <c r="HS12" i="4"/>
  <c r="HT12" i="4"/>
  <c r="HU12" i="4"/>
  <c r="HV12" i="4"/>
  <c r="HW12" i="4"/>
  <c r="HX12" i="4"/>
  <c r="HY12" i="4"/>
  <c r="HZ12" i="4"/>
  <c r="IA12" i="4"/>
  <c r="IB12" i="4"/>
  <c r="IC12" i="4"/>
  <c r="ID12" i="4"/>
  <c r="IE12" i="4"/>
  <c r="IF12" i="4"/>
  <c r="IG12" i="4"/>
  <c r="IH12" i="4"/>
  <c r="II12" i="4"/>
  <c r="IJ12" i="4"/>
  <c r="IK12" i="4"/>
  <c r="IL12" i="4"/>
  <c r="IM12" i="4"/>
  <c r="IN12" i="4"/>
  <c r="IO12" i="4"/>
  <c r="IP12" i="4"/>
  <c r="IQ12" i="4"/>
  <c r="IR12" i="4"/>
  <c r="IS12" i="4"/>
  <c r="IT12" i="4"/>
  <c r="IU12" i="4"/>
  <c r="IV12" i="4"/>
  <c r="A11" i="4"/>
  <c r="B11"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BG11" i="4"/>
  <c r="BH11" i="4"/>
  <c r="BI11" i="4"/>
  <c r="BJ11" i="4"/>
  <c r="BK11" i="4"/>
  <c r="BL11" i="4"/>
  <c r="BM11" i="4"/>
  <c r="BN11" i="4"/>
  <c r="BO11" i="4"/>
  <c r="BP11" i="4"/>
  <c r="BQ11" i="4"/>
  <c r="BR11" i="4"/>
  <c r="BS11" i="4"/>
  <c r="BT11" i="4"/>
  <c r="BU11" i="4"/>
  <c r="BV11" i="4"/>
  <c r="BW11" i="4"/>
  <c r="BX11" i="4"/>
  <c r="BY11" i="4"/>
  <c r="BZ11" i="4"/>
  <c r="CA11" i="4"/>
  <c r="CB11" i="4"/>
  <c r="CC11" i="4"/>
  <c r="CD11" i="4"/>
  <c r="CE11" i="4"/>
  <c r="CF11" i="4"/>
  <c r="CG11" i="4"/>
  <c r="CH11" i="4"/>
  <c r="CI11" i="4"/>
  <c r="CJ11" i="4"/>
  <c r="CK11" i="4"/>
  <c r="CL11" i="4"/>
  <c r="CM11" i="4"/>
  <c r="CN11" i="4"/>
  <c r="CO11" i="4"/>
  <c r="CP11" i="4"/>
  <c r="CQ11" i="4"/>
  <c r="CR11" i="4"/>
  <c r="CS11" i="4"/>
  <c r="CT11" i="4"/>
  <c r="CU11" i="4"/>
  <c r="CV11" i="4"/>
  <c r="CW11" i="4"/>
  <c r="CX11" i="4"/>
  <c r="CY11" i="4"/>
  <c r="CZ11" i="4"/>
  <c r="DA11" i="4"/>
  <c r="DB11" i="4"/>
  <c r="DC11" i="4"/>
  <c r="DD11" i="4"/>
  <c r="DE11" i="4"/>
  <c r="DF11" i="4"/>
  <c r="DG11" i="4"/>
  <c r="DH11" i="4"/>
  <c r="DI11" i="4"/>
  <c r="DJ11" i="4"/>
  <c r="DK11" i="4"/>
  <c r="DL11" i="4"/>
  <c r="DM11" i="4"/>
  <c r="DN11" i="4"/>
  <c r="DO11" i="4"/>
  <c r="DP11" i="4"/>
  <c r="DQ11" i="4"/>
  <c r="DR11" i="4"/>
  <c r="DS11" i="4"/>
  <c r="DT11" i="4"/>
  <c r="DU11" i="4"/>
  <c r="DV11" i="4"/>
  <c r="DW11" i="4"/>
  <c r="DX11" i="4"/>
  <c r="DY11" i="4"/>
  <c r="DZ11" i="4"/>
  <c r="EA11" i="4"/>
  <c r="EB11" i="4"/>
  <c r="EC11" i="4"/>
  <c r="ED11" i="4"/>
  <c r="EE11" i="4"/>
  <c r="EF11" i="4"/>
  <c r="EG11" i="4"/>
  <c r="EH11" i="4"/>
  <c r="EI11" i="4"/>
  <c r="EJ11" i="4"/>
  <c r="EK11" i="4"/>
  <c r="EL11" i="4"/>
  <c r="EM11" i="4"/>
  <c r="EN11" i="4"/>
  <c r="EO11" i="4"/>
  <c r="EP11" i="4"/>
  <c r="EQ11" i="4"/>
  <c r="ER11" i="4"/>
  <c r="ES11" i="4"/>
  <c r="ET11" i="4"/>
  <c r="EU11" i="4"/>
  <c r="EV11" i="4"/>
  <c r="EW11" i="4"/>
  <c r="EX11" i="4"/>
  <c r="EY11" i="4"/>
  <c r="EZ11" i="4"/>
  <c r="FA11" i="4"/>
  <c r="FB11" i="4"/>
  <c r="FC11" i="4"/>
  <c r="FD11" i="4"/>
  <c r="FE11" i="4"/>
  <c r="FF11" i="4"/>
  <c r="FG11" i="4"/>
  <c r="FH11" i="4"/>
  <c r="FI11" i="4"/>
  <c r="FJ11" i="4"/>
  <c r="FK11" i="4"/>
  <c r="FL11" i="4"/>
  <c r="FM11" i="4"/>
  <c r="FN11" i="4"/>
  <c r="FO11" i="4"/>
  <c r="FP11" i="4"/>
  <c r="FQ11" i="4"/>
  <c r="FR11" i="4"/>
  <c r="FS11" i="4"/>
  <c r="FT11" i="4"/>
  <c r="FU11" i="4"/>
  <c r="FV11" i="4"/>
  <c r="FW11" i="4"/>
  <c r="FX11" i="4"/>
  <c r="FY11" i="4"/>
  <c r="FZ11" i="4"/>
  <c r="GA11" i="4"/>
  <c r="GB11" i="4"/>
  <c r="GC11" i="4"/>
  <c r="GD11" i="4"/>
  <c r="GE11" i="4"/>
  <c r="GF11" i="4"/>
  <c r="GG11" i="4"/>
  <c r="GH11" i="4"/>
  <c r="GI11" i="4"/>
  <c r="GJ11" i="4"/>
  <c r="GK11" i="4"/>
  <c r="GL11" i="4"/>
  <c r="GM11" i="4"/>
  <c r="GN11" i="4"/>
  <c r="GO11" i="4"/>
  <c r="GP11" i="4"/>
  <c r="GQ11" i="4"/>
  <c r="GR11" i="4"/>
  <c r="GS11" i="4"/>
  <c r="GT11" i="4"/>
  <c r="GU11" i="4"/>
  <c r="GV11" i="4"/>
  <c r="GW11" i="4"/>
  <c r="GX11" i="4"/>
  <c r="GY11" i="4"/>
  <c r="GZ11" i="4"/>
  <c r="HA11" i="4"/>
  <c r="HB11" i="4"/>
  <c r="HC11" i="4"/>
  <c r="HD11" i="4"/>
  <c r="HE11" i="4"/>
  <c r="HF11" i="4"/>
  <c r="HG11" i="4"/>
  <c r="HH11" i="4"/>
  <c r="HI11" i="4"/>
  <c r="HJ11" i="4"/>
  <c r="HK11" i="4"/>
  <c r="HL11" i="4"/>
  <c r="HM11" i="4"/>
  <c r="HN11" i="4"/>
  <c r="HO11" i="4"/>
  <c r="HP11" i="4"/>
  <c r="HQ11" i="4"/>
  <c r="HR11" i="4"/>
  <c r="HS11" i="4"/>
  <c r="HT11" i="4"/>
  <c r="HU11" i="4"/>
  <c r="HV11" i="4"/>
  <c r="HW11" i="4"/>
  <c r="HX11" i="4"/>
  <c r="HY11" i="4"/>
  <c r="HZ11" i="4"/>
  <c r="IA11" i="4"/>
  <c r="IB11" i="4"/>
  <c r="IC11" i="4"/>
  <c r="ID11" i="4"/>
  <c r="IE11" i="4"/>
  <c r="IF11" i="4"/>
  <c r="IG11" i="4"/>
  <c r="IH11" i="4"/>
  <c r="II11" i="4"/>
  <c r="IJ11" i="4"/>
  <c r="IK11" i="4"/>
  <c r="IL11" i="4"/>
  <c r="IM11" i="4"/>
  <c r="IN11" i="4"/>
  <c r="IO11" i="4"/>
  <c r="IP11" i="4"/>
  <c r="IQ11" i="4"/>
  <c r="IR11" i="4"/>
  <c r="IS11" i="4"/>
  <c r="IT11" i="4"/>
  <c r="IU11" i="4"/>
  <c r="IV11" i="4"/>
  <c r="A10" i="4"/>
  <c r="B10"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BG10" i="4"/>
  <c r="BH10" i="4"/>
  <c r="BI10" i="4"/>
  <c r="BJ10" i="4"/>
  <c r="BK10" i="4"/>
  <c r="BL10" i="4"/>
  <c r="BM10" i="4"/>
  <c r="BN10" i="4"/>
  <c r="BO10" i="4"/>
  <c r="BP10" i="4"/>
  <c r="BQ10" i="4"/>
  <c r="BR10" i="4"/>
  <c r="BS10" i="4"/>
  <c r="BT10" i="4"/>
  <c r="BU10" i="4"/>
  <c r="BV10" i="4"/>
  <c r="BW10" i="4"/>
  <c r="BX10" i="4"/>
  <c r="BY10" i="4"/>
  <c r="BZ10" i="4"/>
  <c r="CA10" i="4"/>
  <c r="CB10" i="4"/>
  <c r="CC10" i="4"/>
  <c r="CD10" i="4"/>
  <c r="CE10" i="4"/>
  <c r="CF10" i="4"/>
  <c r="CG10" i="4"/>
  <c r="CH10" i="4"/>
  <c r="CI10" i="4"/>
  <c r="CJ10" i="4"/>
  <c r="CK10" i="4"/>
  <c r="CL10" i="4"/>
  <c r="CM10" i="4"/>
  <c r="CN10" i="4"/>
  <c r="CO10" i="4"/>
  <c r="CP10" i="4"/>
  <c r="CQ10" i="4"/>
  <c r="CR10" i="4"/>
  <c r="CS10" i="4"/>
  <c r="CT10" i="4"/>
  <c r="CU10" i="4"/>
  <c r="CV10" i="4"/>
  <c r="CW10" i="4"/>
  <c r="CX10" i="4"/>
  <c r="CY10" i="4"/>
  <c r="CZ10" i="4"/>
  <c r="DA10" i="4"/>
  <c r="DB10" i="4"/>
  <c r="DC10" i="4"/>
  <c r="DD10" i="4"/>
  <c r="DE10" i="4"/>
  <c r="DF10" i="4"/>
  <c r="DG10" i="4"/>
  <c r="DH10" i="4"/>
  <c r="DI10" i="4"/>
  <c r="DJ10" i="4"/>
  <c r="DK10" i="4"/>
  <c r="DL10" i="4"/>
  <c r="DM10" i="4"/>
  <c r="DN10" i="4"/>
  <c r="DO10" i="4"/>
  <c r="DP10" i="4"/>
  <c r="DQ10" i="4"/>
  <c r="DR10" i="4"/>
  <c r="DS10" i="4"/>
  <c r="DT10" i="4"/>
  <c r="DU10" i="4"/>
  <c r="DV10" i="4"/>
  <c r="DW10" i="4"/>
  <c r="DX10" i="4"/>
  <c r="DY10" i="4"/>
  <c r="DZ10" i="4"/>
  <c r="EA10" i="4"/>
  <c r="EB10" i="4"/>
  <c r="EC10" i="4"/>
  <c r="ED10" i="4"/>
  <c r="EE10" i="4"/>
  <c r="EF10" i="4"/>
  <c r="EG10" i="4"/>
  <c r="EH10" i="4"/>
  <c r="EI10" i="4"/>
  <c r="EJ10" i="4"/>
  <c r="EK10" i="4"/>
  <c r="EL10" i="4"/>
  <c r="EM10" i="4"/>
  <c r="EN10" i="4"/>
  <c r="EO10" i="4"/>
  <c r="EP10" i="4"/>
  <c r="EQ10" i="4"/>
  <c r="ER10" i="4"/>
  <c r="ES10" i="4"/>
  <c r="ET10" i="4"/>
  <c r="EU10" i="4"/>
  <c r="EV10" i="4"/>
  <c r="EW10" i="4"/>
  <c r="EX10" i="4"/>
  <c r="EY10" i="4"/>
  <c r="EZ10" i="4"/>
  <c r="FA10" i="4"/>
  <c r="FB10" i="4"/>
  <c r="FC10" i="4"/>
  <c r="FD10" i="4"/>
  <c r="FE10" i="4"/>
  <c r="FF10" i="4"/>
  <c r="FG10" i="4"/>
  <c r="FH10" i="4"/>
  <c r="FI10" i="4"/>
  <c r="FJ10" i="4"/>
  <c r="FK10" i="4"/>
  <c r="FL10" i="4"/>
  <c r="FM10" i="4"/>
  <c r="FN10" i="4"/>
  <c r="FO10" i="4"/>
  <c r="FP10" i="4"/>
  <c r="FQ10" i="4"/>
  <c r="FR10" i="4"/>
  <c r="FS10" i="4"/>
  <c r="FT10" i="4"/>
  <c r="FU10" i="4"/>
  <c r="FV10" i="4"/>
  <c r="FW10" i="4"/>
  <c r="FX10" i="4"/>
  <c r="FY10" i="4"/>
  <c r="FZ10" i="4"/>
  <c r="GA10" i="4"/>
  <c r="GB10" i="4"/>
  <c r="GC10" i="4"/>
  <c r="GD10" i="4"/>
  <c r="GE10" i="4"/>
  <c r="GF10" i="4"/>
  <c r="GG10" i="4"/>
  <c r="GH10" i="4"/>
  <c r="GI10" i="4"/>
  <c r="GJ10" i="4"/>
  <c r="GK10" i="4"/>
  <c r="GL10" i="4"/>
  <c r="GM10" i="4"/>
  <c r="GN10" i="4"/>
  <c r="GO10" i="4"/>
  <c r="GP10" i="4"/>
  <c r="GQ10" i="4"/>
  <c r="GR10" i="4"/>
  <c r="GS10" i="4"/>
  <c r="GT10" i="4"/>
  <c r="GU10" i="4"/>
  <c r="GV10" i="4"/>
  <c r="GW10" i="4"/>
  <c r="GX10" i="4"/>
  <c r="GY10" i="4"/>
  <c r="GZ10" i="4"/>
  <c r="HA10" i="4"/>
  <c r="HB10" i="4"/>
  <c r="HC10" i="4"/>
  <c r="HD10" i="4"/>
  <c r="HE10" i="4"/>
  <c r="HF10" i="4"/>
  <c r="HG10" i="4"/>
  <c r="HH10" i="4"/>
  <c r="HI10" i="4"/>
  <c r="HJ10" i="4"/>
  <c r="HK10" i="4"/>
  <c r="HL10" i="4"/>
  <c r="HM10" i="4"/>
  <c r="HN10" i="4"/>
  <c r="HO10" i="4"/>
  <c r="HP10" i="4"/>
  <c r="HQ10" i="4"/>
  <c r="HR10" i="4"/>
  <c r="HS10" i="4"/>
  <c r="HT10" i="4"/>
  <c r="HU10" i="4"/>
  <c r="HV10" i="4"/>
  <c r="HW10" i="4"/>
  <c r="HX10" i="4"/>
  <c r="HY10" i="4"/>
  <c r="HZ10" i="4"/>
  <c r="IA10" i="4"/>
  <c r="IB10" i="4"/>
  <c r="IC10" i="4"/>
  <c r="ID10" i="4"/>
  <c r="IE10" i="4"/>
  <c r="IF10" i="4"/>
  <c r="IG10" i="4"/>
  <c r="IH10" i="4"/>
  <c r="II10" i="4"/>
  <c r="IJ10" i="4"/>
  <c r="IK10" i="4"/>
  <c r="IL10" i="4"/>
  <c r="IM10" i="4"/>
  <c r="IN10" i="4"/>
  <c r="IO10" i="4"/>
  <c r="IP10" i="4"/>
  <c r="IQ10" i="4"/>
  <c r="IR10" i="4"/>
  <c r="IS10" i="4"/>
  <c r="IT10" i="4"/>
  <c r="IU10" i="4"/>
  <c r="IV10" i="4"/>
  <c r="A9" i="4"/>
  <c r="B9" i="4"/>
  <c r="C9" i="4"/>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 r="AM9" i="4"/>
  <c r="AN9" i="4"/>
  <c r="AO9" i="4"/>
  <c r="AP9" i="4"/>
  <c r="AQ9" i="4"/>
  <c r="AR9" i="4"/>
  <c r="AS9" i="4"/>
  <c r="AT9" i="4"/>
  <c r="AU9" i="4"/>
  <c r="AV9" i="4"/>
  <c r="AW9" i="4"/>
  <c r="AX9" i="4"/>
  <c r="AY9" i="4"/>
  <c r="AZ9" i="4"/>
  <c r="BA9" i="4"/>
  <c r="BB9" i="4"/>
  <c r="BC9" i="4"/>
  <c r="BD9" i="4"/>
  <c r="BE9" i="4"/>
  <c r="BF9" i="4"/>
  <c r="BG9" i="4"/>
  <c r="BH9" i="4"/>
  <c r="BI9" i="4"/>
  <c r="BJ9" i="4"/>
  <c r="BK9" i="4"/>
  <c r="BL9" i="4"/>
  <c r="BM9" i="4"/>
  <c r="BN9" i="4"/>
  <c r="BO9" i="4"/>
  <c r="BP9" i="4"/>
  <c r="BQ9" i="4"/>
  <c r="BR9" i="4"/>
  <c r="BS9" i="4"/>
  <c r="BT9" i="4"/>
  <c r="BU9" i="4"/>
  <c r="BV9" i="4"/>
  <c r="BW9" i="4"/>
  <c r="BX9" i="4"/>
  <c r="BY9" i="4"/>
  <c r="BZ9" i="4"/>
  <c r="CA9" i="4"/>
  <c r="CB9" i="4"/>
  <c r="CC9" i="4"/>
  <c r="CD9" i="4"/>
  <c r="CE9" i="4"/>
  <c r="CF9" i="4"/>
  <c r="CG9" i="4"/>
  <c r="CH9" i="4"/>
  <c r="CI9" i="4"/>
  <c r="CJ9" i="4"/>
  <c r="CK9" i="4"/>
  <c r="CL9" i="4"/>
  <c r="CM9" i="4"/>
  <c r="CN9" i="4"/>
  <c r="CO9" i="4"/>
  <c r="CP9" i="4"/>
  <c r="CQ9" i="4"/>
  <c r="CR9" i="4"/>
  <c r="CS9" i="4"/>
  <c r="CT9" i="4"/>
  <c r="CU9" i="4"/>
  <c r="CV9" i="4"/>
  <c r="CW9" i="4"/>
  <c r="CX9" i="4"/>
  <c r="CY9" i="4"/>
  <c r="CZ9" i="4"/>
  <c r="DA9" i="4"/>
  <c r="DB9" i="4"/>
  <c r="DC9" i="4"/>
  <c r="DD9" i="4"/>
  <c r="DE9" i="4"/>
  <c r="DF9" i="4"/>
  <c r="DG9" i="4"/>
  <c r="DH9" i="4"/>
  <c r="DI9" i="4"/>
  <c r="DJ9" i="4"/>
  <c r="DK9" i="4"/>
  <c r="DL9" i="4"/>
  <c r="DM9" i="4"/>
  <c r="DN9" i="4"/>
  <c r="DO9" i="4"/>
  <c r="DP9" i="4"/>
  <c r="DQ9" i="4"/>
  <c r="DR9" i="4"/>
  <c r="DS9" i="4"/>
  <c r="DT9" i="4"/>
  <c r="DU9" i="4"/>
  <c r="DV9" i="4"/>
  <c r="DW9" i="4"/>
  <c r="DX9" i="4"/>
  <c r="DY9" i="4"/>
  <c r="DZ9" i="4"/>
  <c r="EA9" i="4"/>
  <c r="EB9" i="4"/>
  <c r="EC9" i="4"/>
  <c r="ED9" i="4"/>
  <c r="EE9" i="4"/>
  <c r="EF9" i="4"/>
  <c r="EG9" i="4"/>
  <c r="EH9" i="4"/>
  <c r="EI9" i="4"/>
  <c r="EJ9" i="4"/>
  <c r="EK9" i="4"/>
  <c r="EL9" i="4"/>
  <c r="EM9" i="4"/>
  <c r="EN9" i="4"/>
  <c r="EO9" i="4"/>
  <c r="EP9" i="4"/>
  <c r="EQ9" i="4"/>
  <c r="ER9" i="4"/>
  <c r="ES9" i="4"/>
  <c r="ET9" i="4"/>
  <c r="EU9" i="4"/>
  <c r="EV9" i="4"/>
  <c r="EW9" i="4"/>
  <c r="EX9" i="4"/>
  <c r="EY9" i="4"/>
  <c r="EZ9" i="4"/>
  <c r="FA9" i="4"/>
  <c r="FB9" i="4"/>
  <c r="FC9" i="4"/>
  <c r="FD9" i="4"/>
  <c r="FE9" i="4"/>
  <c r="FF9" i="4"/>
  <c r="FG9" i="4"/>
  <c r="FH9" i="4"/>
  <c r="FI9" i="4"/>
  <c r="FJ9" i="4"/>
  <c r="FK9" i="4"/>
  <c r="FL9" i="4"/>
  <c r="FM9" i="4"/>
  <c r="FN9" i="4"/>
  <c r="FO9" i="4"/>
  <c r="FP9" i="4"/>
  <c r="FQ9" i="4"/>
  <c r="FR9" i="4"/>
  <c r="FS9" i="4"/>
  <c r="FT9" i="4"/>
  <c r="FU9" i="4"/>
  <c r="FV9" i="4"/>
  <c r="FW9" i="4"/>
  <c r="FX9" i="4"/>
  <c r="FY9" i="4"/>
  <c r="FZ9" i="4"/>
  <c r="GA9" i="4"/>
  <c r="GB9" i="4"/>
  <c r="GC9" i="4"/>
  <c r="GD9" i="4"/>
  <c r="GE9" i="4"/>
  <c r="GF9" i="4"/>
  <c r="GG9" i="4"/>
  <c r="GH9" i="4"/>
  <c r="GI9" i="4"/>
  <c r="GJ9" i="4"/>
  <c r="GK9" i="4"/>
  <c r="GL9" i="4"/>
  <c r="GM9" i="4"/>
  <c r="GN9" i="4"/>
  <c r="GO9" i="4"/>
  <c r="GP9" i="4"/>
  <c r="GQ9" i="4"/>
  <c r="GR9" i="4"/>
  <c r="GS9" i="4"/>
  <c r="GT9" i="4"/>
  <c r="GU9" i="4"/>
  <c r="GV9" i="4"/>
  <c r="GW9" i="4"/>
  <c r="GX9" i="4"/>
  <c r="GY9" i="4"/>
  <c r="GZ9" i="4"/>
  <c r="HA9" i="4"/>
  <c r="HB9" i="4"/>
  <c r="HC9" i="4"/>
  <c r="HD9" i="4"/>
  <c r="HE9" i="4"/>
  <c r="HF9" i="4"/>
  <c r="HG9" i="4"/>
  <c r="HH9" i="4"/>
  <c r="HI9" i="4"/>
  <c r="HJ9" i="4"/>
  <c r="HK9" i="4"/>
  <c r="HL9" i="4"/>
  <c r="HM9" i="4"/>
  <c r="HN9" i="4"/>
  <c r="HO9" i="4"/>
  <c r="HP9" i="4"/>
  <c r="HQ9" i="4"/>
  <c r="HR9" i="4"/>
  <c r="HS9" i="4"/>
  <c r="HT9" i="4"/>
  <c r="HU9" i="4"/>
  <c r="HV9" i="4"/>
  <c r="HW9" i="4"/>
  <c r="HX9" i="4"/>
  <c r="HY9" i="4"/>
  <c r="HZ9" i="4"/>
  <c r="IA9" i="4"/>
  <c r="IB9" i="4"/>
  <c r="IC9" i="4"/>
  <c r="ID9" i="4"/>
  <c r="IE9" i="4"/>
  <c r="IF9" i="4"/>
  <c r="IG9" i="4"/>
  <c r="IH9" i="4"/>
  <c r="II9" i="4"/>
  <c r="IJ9" i="4"/>
  <c r="IK9" i="4"/>
  <c r="IL9" i="4"/>
  <c r="IM9" i="4"/>
  <c r="IN9" i="4"/>
  <c r="IO9" i="4"/>
  <c r="IP9" i="4"/>
  <c r="IQ9" i="4"/>
  <c r="IR9" i="4"/>
  <c r="IS9" i="4"/>
  <c r="IT9" i="4"/>
  <c r="IU9" i="4"/>
  <c r="IV9" i="4"/>
  <c r="A8" i="4"/>
  <c r="B8" i="4"/>
  <c r="C8" i="4"/>
  <c r="D8" i="4"/>
  <c r="E8"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N8" i="4"/>
  <c r="AO8" i="4"/>
  <c r="AP8" i="4"/>
  <c r="AQ8" i="4"/>
  <c r="AR8" i="4"/>
  <c r="AS8" i="4"/>
  <c r="AT8" i="4"/>
  <c r="AU8" i="4"/>
  <c r="AV8" i="4"/>
  <c r="AW8" i="4"/>
  <c r="AX8" i="4"/>
  <c r="AY8" i="4"/>
  <c r="AZ8" i="4"/>
  <c r="BA8" i="4"/>
  <c r="BB8" i="4"/>
  <c r="BC8" i="4"/>
  <c r="BD8" i="4"/>
  <c r="BE8" i="4"/>
  <c r="BF8" i="4"/>
  <c r="BG8" i="4"/>
  <c r="BH8" i="4"/>
  <c r="BI8" i="4"/>
  <c r="BJ8" i="4"/>
  <c r="BK8" i="4"/>
  <c r="BL8" i="4"/>
  <c r="BM8" i="4"/>
  <c r="BN8" i="4"/>
  <c r="BO8" i="4"/>
  <c r="BP8" i="4"/>
  <c r="BQ8" i="4"/>
  <c r="BR8" i="4"/>
  <c r="BS8" i="4"/>
  <c r="BT8" i="4"/>
  <c r="BU8" i="4"/>
  <c r="BV8" i="4"/>
  <c r="BW8" i="4"/>
  <c r="BX8" i="4"/>
  <c r="BY8" i="4"/>
  <c r="BZ8" i="4"/>
  <c r="CA8" i="4"/>
  <c r="CB8" i="4"/>
  <c r="CC8" i="4"/>
  <c r="CD8" i="4"/>
  <c r="CE8" i="4"/>
  <c r="CF8" i="4"/>
  <c r="CG8" i="4"/>
  <c r="CH8" i="4"/>
  <c r="CI8" i="4"/>
  <c r="CJ8" i="4"/>
  <c r="CK8" i="4"/>
  <c r="CL8" i="4"/>
  <c r="CM8" i="4"/>
  <c r="CN8" i="4"/>
  <c r="CO8" i="4"/>
  <c r="CP8" i="4"/>
  <c r="CQ8" i="4"/>
  <c r="CR8" i="4"/>
  <c r="CS8" i="4"/>
  <c r="CT8" i="4"/>
  <c r="CU8" i="4"/>
  <c r="CV8" i="4"/>
  <c r="CW8" i="4"/>
  <c r="CX8" i="4"/>
  <c r="CY8" i="4"/>
  <c r="CZ8" i="4"/>
  <c r="DA8" i="4"/>
  <c r="DB8" i="4"/>
  <c r="DC8" i="4"/>
  <c r="DD8" i="4"/>
  <c r="DE8" i="4"/>
  <c r="DF8" i="4"/>
  <c r="DG8" i="4"/>
  <c r="DH8" i="4"/>
  <c r="DI8" i="4"/>
  <c r="DJ8" i="4"/>
  <c r="DK8" i="4"/>
  <c r="DL8" i="4"/>
  <c r="DM8" i="4"/>
  <c r="DN8" i="4"/>
  <c r="DO8" i="4"/>
  <c r="DP8" i="4"/>
  <c r="DQ8" i="4"/>
  <c r="DR8" i="4"/>
  <c r="DS8" i="4"/>
  <c r="DT8" i="4"/>
  <c r="DU8" i="4"/>
  <c r="DV8" i="4"/>
  <c r="DW8" i="4"/>
  <c r="DX8" i="4"/>
  <c r="DY8" i="4"/>
  <c r="DZ8" i="4"/>
  <c r="EA8" i="4"/>
  <c r="EB8" i="4"/>
  <c r="EC8" i="4"/>
  <c r="ED8" i="4"/>
  <c r="EE8" i="4"/>
  <c r="EF8" i="4"/>
  <c r="EG8" i="4"/>
  <c r="EH8" i="4"/>
  <c r="EI8" i="4"/>
  <c r="EJ8" i="4"/>
  <c r="EK8" i="4"/>
  <c r="EL8" i="4"/>
  <c r="EM8" i="4"/>
  <c r="EN8" i="4"/>
  <c r="EO8" i="4"/>
  <c r="EP8" i="4"/>
  <c r="EQ8" i="4"/>
  <c r="ER8" i="4"/>
  <c r="ES8" i="4"/>
  <c r="ET8" i="4"/>
  <c r="EU8" i="4"/>
  <c r="EV8" i="4"/>
  <c r="EW8" i="4"/>
  <c r="EX8" i="4"/>
  <c r="EY8" i="4"/>
  <c r="EZ8" i="4"/>
  <c r="FA8" i="4"/>
  <c r="FB8" i="4"/>
  <c r="FC8" i="4"/>
  <c r="FD8" i="4"/>
  <c r="FE8" i="4"/>
  <c r="FF8" i="4"/>
  <c r="FG8" i="4"/>
  <c r="FH8" i="4"/>
  <c r="FI8" i="4"/>
  <c r="FJ8" i="4"/>
  <c r="FK8" i="4"/>
  <c r="FL8" i="4"/>
  <c r="FM8" i="4"/>
  <c r="FN8" i="4"/>
  <c r="FO8" i="4"/>
  <c r="FP8" i="4"/>
  <c r="FQ8" i="4"/>
  <c r="FR8" i="4"/>
  <c r="FS8" i="4"/>
  <c r="FT8" i="4"/>
  <c r="FU8" i="4"/>
  <c r="FV8" i="4"/>
  <c r="FW8" i="4"/>
  <c r="FX8" i="4"/>
  <c r="FY8" i="4"/>
  <c r="FZ8" i="4"/>
  <c r="GA8" i="4"/>
  <c r="GB8" i="4"/>
  <c r="GC8" i="4"/>
  <c r="GD8" i="4"/>
  <c r="GE8" i="4"/>
  <c r="GF8" i="4"/>
  <c r="GG8" i="4"/>
  <c r="GH8" i="4"/>
  <c r="GI8" i="4"/>
  <c r="GJ8" i="4"/>
  <c r="GK8" i="4"/>
  <c r="GL8" i="4"/>
  <c r="GM8" i="4"/>
  <c r="GN8" i="4"/>
  <c r="GO8" i="4"/>
  <c r="GP8" i="4"/>
  <c r="GQ8" i="4"/>
  <c r="GR8" i="4"/>
  <c r="GS8" i="4"/>
  <c r="GT8" i="4"/>
  <c r="GU8" i="4"/>
  <c r="GV8" i="4"/>
  <c r="GW8" i="4"/>
  <c r="GX8" i="4"/>
  <c r="GY8" i="4"/>
  <c r="GZ8" i="4"/>
  <c r="HA8" i="4"/>
  <c r="HB8" i="4"/>
  <c r="HC8" i="4"/>
  <c r="HD8" i="4"/>
  <c r="HE8" i="4"/>
  <c r="HF8" i="4"/>
  <c r="HG8" i="4"/>
  <c r="HH8" i="4"/>
  <c r="HI8" i="4"/>
  <c r="HJ8" i="4"/>
  <c r="HK8" i="4"/>
  <c r="HL8" i="4"/>
  <c r="HM8" i="4"/>
  <c r="HN8" i="4"/>
  <c r="HO8" i="4"/>
  <c r="HP8" i="4"/>
  <c r="HQ8" i="4"/>
  <c r="HR8" i="4"/>
  <c r="HS8" i="4"/>
  <c r="HT8" i="4"/>
  <c r="HU8" i="4"/>
  <c r="HV8" i="4"/>
  <c r="HW8" i="4"/>
  <c r="HX8" i="4"/>
  <c r="HY8" i="4"/>
  <c r="HZ8" i="4"/>
  <c r="IA8" i="4"/>
  <c r="IB8" i="4"/>
  <c r="IC8" i="4"/>
  <c r="ID8" i="4"/>
  <c r="IE8" i="4"/>
  <c r="IF8" i="4"/>
  <c r="IG8" i="4"/>
  <c r="IH8" i="4"/>
  <c r="II8" i="4"/>
  <c r="IJ8" i="4"/>
  <c r="IK8" i="4"/>
  <c r="IL8" i="4"/>
  <c r="IM8" i="4"/>
  <c r="IN8" i="4"/>
  <c r="IO8" i="4"/>
  <c r="IP8" i="4"/>
  <c r="IQ8" i="4"/>
  <c r="IR8" i="4"/>
  <c r="IS8" i="4"/>
  <c r="IT8" i="4"/>
  <c r="IU8" i="4"/>
  <c r="IV8" i="4"/>
  <c r="A7" i="4"/>
  <c r="B7"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AI7" i="4"/>
  <c r="AJ7" i="4"/>
  <c r="AK7" i="4"/>
  <c r="AL7" i="4"/>
  <c r="AM7" i="4"/>
  <c r="AN7" i="4"/>
  <c r="AO7" i="4"/>
  <c r="AP7" i="4"/>
  <c r="AQ7" i="4"/>
  <c r="AR7" i="4"/>
  <c r="AS7" i="4"/>
  <c r="AT7" i="4"/>
  <c r="AU7" i="4"/>
  <c r="AV7" i="4"/>
  <c r="AW7" i="4"/>
  <c r="AX7" i="4"/>
  <c r="AY7" i="4"/>
  <c r="AZ7" i="4"/>
  <c r="BA7" i="4"/>
  <c r="BB7" i="4"/>
  <c r="BC7" i="4"/>
  <c r="BD7" i="4"/>
  <c r="BE7" i="4"/>
  <c r="BF7" i="4"/>
  <c r="BG7" i="4"/>
  <c r="BH7" i="4"/>
  <c r="BI7" i="4"/>
  <c r="BJ7" i="4"/>
  <c r="BK7" i="4"/>
  <c r="BL7" i="4"/>
  <c r="BM7" i="4"/>
  <c r="BN7" i="4"/>
  <c r="BO7" i="4"/>
  <c r="BP7" i="4"/>
  <c r="BQ7" i="4"/>
  <c r="BR7" i="4"/>
  <c r="BS7" i="4"/>
  <c r="BT7" i="4"/>
  <c r="BU7" i="4"/>
  <c r="BV7" i="4"/>
  <c r="BW7" i="4"/>
  <c r="BX7" i="4"/>
  <c r="BY7" i="4"/>
  <c r="BZ7" i="4"/>
  <c r="CA7" i="4"/>
  <c r="CB7" i="4"/>
  <c r="CC7" i="4"/>
  <c r="CD7" i="4"/>
  <c r="CE7" i="4"/>
  <c r="CF7" i="4"/>
  <c r="CG7" i="4"/>
  <c r="CH7" i="4"/>
  <c r="CI7" i="4"/>
  <c r="CJ7" i="4"/>
  <c r="CK7" i="4"/>
  <c r="CL7" i="4"/>
  <c r="CM7" i="4"/>
  <c r="CN7" i="4"/>
  <c r="CO7" i="4"/>
  <c r="CP7" i="4"/>
  <c r="CQ7" i="4"/>
  <c r="CR7" i="4"/>
  <c r="CS7" i="4"/>
  <c r="CT7" i="4"/>
  <c r="CU7" i="4"/>
  <c r="CV7" i="4"/>
  <c r="CW7" i="4"/>
  <c r="CX7" i="4"/>
  <c r="CY7" i="4"/>
  <c r="CZ7" i="4"/>
  <c r="DA7" i="4"/>
  <c r="DB7" i="4"/>
  <c r="DC7" i="4"/>
  <c r="DD7" i="4"/>
  <c r="DE7" i="4"/>
  <c r="DF7" i="4"/>
  <c r="DG7" i="4"/>
  <c r="DH7" i="4"/>
  <c r="DI7" i="4"/>
  <c r="DJ7" i="4"/>
  <c r="DK7" i="4"/>
  <c r="DL7" i="4"/>
  <c r="DM7" i="4"/>
  <c r="DN7" i="4"/>
  <c r="DO7" i="4"/>
  <c r="DP7" i="4"/>
  <c r="DQ7" i="4"/>
  <c r="DR7" i="4"/>
  <c r="DS7" i="4"/>
  <c r="DT7" i="4"/>
  <c r="DU7" i="4"/>
  <c r="DV7" i="4"/>
  <c r="DW7" i="4"/>
  <c r="DX7" i="4"/>
  <c r="DY7" i="4"/>
  <c r="DZ7" i="4"/>
  <c r="EA7" i="4"/>
  <c r="EB7" i="4"/>
  <c r="EC7" i="4"/>
  <c r="ED7" i="4"/>
  <c r="EE7" i="4"/>
  <c r="EF7" i="4"/>
  <c r="EG7" i="4"/>
  <c r="EH7" i="4"/>
  <c r="EI7" i="4"/>
  <c r="EJ7" i="4"/>
  <c r="EK7" i="4"/>
  <c r="EL7" i="4"/>
  <c r="EM7" i="4"/>
  <c r="EN7" i="4"/>
  <c r="EO7" i="4"/>
  <c r="EP7" i="4"/>
  <c r="EQ7" i="4"/>
  <c r="ER7" i="4"/>
  <c r="ES7" i="4"/>
  <c r="ET7" i="4"/>
  <c r="EU7" i="4"/>
  <c r="EV7" i="4"/>
  <c r="EW7" i="4"/>
  <c r="EX7" i="4"/>
  <c r="EY7" i="4"/>
  <c r="EZ7" i="4"/>
  <c r="FA7" i="4"/>
  <c r="FB7" i="4"/>
  <c r="FC7" i="4"/>
  <c r="FD7" i="4"/>
  <c r="FE7" i="4"/>
  <c r="FF7" i="4"/>
  <c r="FG7" i="4"/>
  <c r="FH7" i="4"/>
  <c r="FI7" i="4"/>
  <c r="FJ7" i="4"/>
  <c r="FK7" i="4"/>
  <c r="FL7" i="4"/>
  <c r="FM7" i="4"/>
  <c r="FN7" i="4"/>
  <c r="FO7" i="4"/>
  <c r="FP7" i="4"/>
  <c r="FQ7" i="4"/>
  <c r="FR7" i="4"/>
  <c r="FS7" i="4"/>
  <c r="FT7" i="4"/>
  <c r="FU7" i="4"/>
  <c r="FV7" i="4"/>
  <c r="FW7" i="4"/>
  <c r="FX7" i="4"/>
  <c r="FY7" i="4"/>
  <c r="FZ7" i="4"/>
  <c r="GA7" i="4"/>
  <c r="GB7" i="4"/>
  <c r="GC7" i="4"/>
  <c r="GD7" i="4"/>
  <c r="GE7" i="4"/>
  <c r="GF7" i="4"/>
  <c r="GG7" i="4"/>
  <c r="GH7" i="4"/>
  <c r="GI7" i="4"/>
  <c r="GJ7" i="4"/>
  <c r="GK7" i="4"/>
  <c r="GL7" i="4"/>
  <c r="GM7" i="4"/>
  <c r="GN7" i="4"/>
  <c r="GO7" i="4"/>
  <c r="GP7" i="4"/>
  <c r="GQ7" i="4"/>
  <c r="GR7" i="4"/>
  <c r="GS7" i="4"/>
  <c r="GT7" i="4"/>
  <c r="GU7" i="4"/>
  <c r="GV7" i="4"/>
  <c r="GW7" i="4"/>
  <c r="GX7" i="4"/>
  <c r="GY7" i="4"/>
  <c r="GZ7" i="4"/>
  <c r="HA7" i="4"/>
  <c r="HB7" i="4"/>
  <c r="HC7" i="4"/>
  <c r="HD7" i="4"/>
  <c r="HE7" i="4"/>
  <c r="HF7" i="4"/>
  <c r="HG7" i="4"/>
  <c r="HH7" i="4"/>
  <c r="HI7" i="4"/>
  <c r="HJ7" i="4"/>
  <c r="HK7" i="4"/>
  <c r="HL7" i="4"/>
  <c r="HM7" i="4"/>
  <c r="HN7" i="4"/>
  <c r="HO7" i="4"/>
  <c r="HP7" i="4"/>
  <c r="HQ7" i="4"/>
  <c r="HR7" i="4"/>
  <c r="HS7" i="4"/>
  <c r="HT7" i="4"/>
  <c r="HU7" i="4"/>
  <c r="HV7" i="4"/>
  <c r="HW7" i="4"/>
  <c r="HX7" i="4"/>
  <c r="HY7" i="4"/>
  <c r="HZ7" i="4"/>
  <c r="IA7" i="4"/>
  <c r="IB7" i="4"/>
  <c r="IC7" i="4"/>
  <c r="ID7" i="4"/>
  <c r="IE7" i="4"/>
  <c r="IF7" i="4"/>
  <c r="IG7" i="4"/>
  <c r="IH7" i="4"/>
  <c r="II7" i="4"/>
  <c r="IJ7" i="4"/>
  <c r="IK7" i="4"/>
  <c r="IL7" i="4"/>
  <c r="IM7" i="4"/>
  <c r="IN7" i="4"/>
  <c r="IO7" i="4"/>
  <c r="IP7" i="4"/>
  <c r="IQ7" i="4"/>
  <c r="IR7" i="4"/>
  <c r="IS7" i="4"/>
  <c r="IT7" i="4"/>
  <c r="IU7" i="4"/>
  <c r="IV7" i="4"/>
  <c r="A6" i="4"/>
  <c r="B6" i="4"/>
  <c r="C6" i="4"/>
  <c r="D6" i="4"/>
  <c r="E6" i="4"/>
  <c r="F6" i="4"/>
  <c r="G6" i="4"/>
  <c r="H6" i="4"/>
  <c r="I6" i="4"/>
  <c r="J6" i="4"/>
  <c r="K6" i="4"/>
  <c r="L6" i="4"/>
  <c r="M6" i="4"/>
  <c r="N6" i="4"/>
  <c r="O6" i="4"/>
  <c r="P6" i="4"/>
  <c r="Q6" i="4"/>
  <c r="R6" i="4"/>
  <c r="S6" i="4"/>
  <c r="T6" i="4"/>
  <c r="U6" i="4"/>
  <c r="V6" i="4"/>
  <c r="W6" i="4"/>
  <c r="X6" i="4"/>
  <c r="Y6" i="4"/>
  <c r="Z6" i="4"/>
  <c r="AA6" i="4"/>
  <c r="AB6" i="4"/>
  <c r="AC6" i="4"/>
  <c r="AD6" i="4"/>
  <c r="AE6" i="4"/>
  <c r="AF6" i="4"/>
  <c r="AG6" i="4"/>
  <c r="AH6" i="4"/>
  <c r="AI6" i="4"/>
  <c r="AJ6" i="4"/>
  <c r="AK6" i="4"/>
  <c r="AL6" i="4"/>
  <c r="AM6" i="4"/>
  <c r="AN6" i="4"/>
  <c r="AO6" i="4"/>
  <c r="AP6" i="4"/>
  <c r="AQ6" i="4"/>
  <c r="AR6" i="4"/>
  <c r="AS6" i="4"/>
  <c r="AT6" i="4"/>
  <c r="AU6" i="4"/>
  <c r="AV6" i="4"/>
  <c r="AW6" i="4"/>
  <c r="AX6" i="4"/>
  <c r="AY6" i="4"/>
  <c r="AZ6" i="4"/>
  <c r="BA6" i="4"/>
  <c r="BB6" i="4"/>
  <c r="BC6" i="4"/>
  <c r="BD6" i="4"/>
  <c r="BE6" i="4"/>
  <c r="BF6" i="4"/>
  <c r="BG6" i="4"/>
  <c r="BH6" i="4"/>
  <c r="BI6" i="4"/>
  <c r="BJ6" i="4"/>
  <c r="BK6" i="4"/>
  <c r="BL6" i="4"/>
  <c r="BM6" i="4"/>
  <c r="BN6" i="4"/>
  <c r="BO6" i="4"/>
  <c r="BP6" i="4"/>
  <c r="BQ6" i="4"/>
  <c r="BR6" i="4"/>
  <c r="BS6" i="4"/>
  <c r="BT6" i="4"/>
  <c r="BU6" i="4"/>
  <c r="BV6" i="4"/>
  <c r="BW6" i="4"/>
  <c r="BX6" i="4"/>
  <c r="BY6" i="4"/>
  <c r="BZ6" i="4"/>
  <c r="CA6" i="4"/>
  <c r="CB6" i="4"/>
  <c r="CC6" i="4"/>
  <c r="CD6" i="4"/>
  <c r="CE6" i="4"/>
  <c r="CF6" i="4"/>
  <c r="CG6" i="4"/>
  <c r="CH6" i="4"/>
  <c r="CI6" i="4"/>
  <c r="CJ6" i="4"/>
  <c r="CK6" i="4"/>
  <c r="CL6" i="4"/>
  <c r="CM6" i="4"/>
  <c r="CN6" i="4"/>
  <c r="CO6" i="4"/>
  <c r="CP6" i="4"/>
  <c r="CQ6" i="4"/>
  <c r="CR6" i="4"/>
  <c r="CS6" i="4"/>
  <c r="CT6" i="4"/>
  <c r="CU6" i="4"/>
  <c r="CV6" i="4"/>
  <c r="CW6" i="4"/>
  <c r="CX6" i="4"/>
  <c r="CY6" i="4"/>
  <c r="CZ6" i="4"/>
  <c r="DA6" i="4"/>
  <c r="DB6" i="4"/>
  <c r="DC6" i="4"/>
  <c r="DD6" i="4"/>
  <c r="DE6" i="4"/>
  <c r="DF6" i="4"/>
  <c r="DG6" i="4"/>
  <c r="DH6" i="4"/>
  <c r="DI6" i="4"/>
  <c r="DJ6" i="4"/>
  <c r="DK6" i="4"/>
  <c r="DL6" i="4"/>
  <c r="DM6" i="4"/>
  <c r="DN6" i="4"/>
  <c r="DO6" i="4"/>
  <c r="DP6" i="4"/>
  <c r="DQ6" i="4"/>
  <c r="DR6" i="4"/>
  <c r="DS6" i="4"/>
  <c r="DT6" i="4"/>
  <c r="DU6" i="4"/>
  <c r="DV6" i="4"/>
  <c r="DW6" i="4"/>
  <c r="DX6" i="4"/>
  <c r="DY6" i="4"/>
  <c r="DZ6" i="4"/>
  <c r="EA6" i="4"/>
  <c r="EB6" i="4"/>
  <c r="EC6" i="4"/>
  <c r="ED6" i="4"/>
  <c r="EE6" i="4"/>
  <c r="EF6" i="4"/>
  <c r="EG6" i="4"/>
  <c r="EH6" i="4"/>
  <c r="EI6" i="4"/>
  <c r="EJ6" i="4"/>
  <c r="EK6" i="4"/>
  <c r="EL6" i="4"/>
  <c r="EM6" i="4"/>
  <c r="EN6" i="4"/>
  <c r="EO6" i="4"/>
  <c r="EP6" i="4"/>
  <c r="EQ6" i="4"/>
  <c r="ER6" i="4"/>
  <c r="ES6" i="4"/>
  <c r="ET6" i="4"/>
  <c r="EU6" i="4"/>
  <c r="EV6" i="4"/>
  <c r="EW6" i="4"/>
  <c r="EX6" i="4"/>
  <c r="EY6" i="4"/>
  <c r="EZ6" i="4"/>
  <c r="FA6" i="4"/>
  <c r="FB6" i="4"/>
  <c r="FC6" i="4"/>
  <c r="FD6" i="4"/>
  <c r="FE6" i="4"/>
  <c r="FF6" i="4"/>
  <c r="FG6" i="4"/>
  <c r="FH6" i="4"/>
  <c r="FI6" i="4"/>
  <c r="FJ6" i="4"/>
  <c r="FK6" i="4"/>
  <c r="FL6" i="4"/>
  <c r="FM6" i="4"/>
  <c r="FN6" i="4"/>
  <c r="FO6" i="4"/>
  <c r="FP6" i="4"/>
  <c r="FQ6" i="4"/>
  <c r="FR6" i="4"/>
  <c r="FS6" i="4"/>
  <c r="FT6" i="4"/>
  <c r="FU6" i="4"/>
  <c r="FV6" i="4"/>
  <c r="FW6" i="4"/>
  <c r="FX6" i="4"/>
  <c r="FY6" i="4"/>
  <c r="FZ6" i="4"/>
  <c r="GA6" i="4"/>
  <c r="GB6" i="4"/>
  <c r="GC6" i="4"/>
  <c r="GD6" i="4"/>
  <c r="GE6" i="4"/>
  <c r="GF6" i="4"/>
  <c r="GG6" i="4"/>
  <c r="GH6" i="4"/>
  <c r="GI6" i="4"/>
  <c r="GJ6" i="4"/>
  <c r="GK6" i="4"/>
  <c r="GL6" i="4"/>
  <c r="GM6" i="4"/>
  <c r="GN6" i="4"/>
  <c r="GO6" i="4"/>
  <c r="GP6" i="4"/>
  <c r="GQ6" i="4"/>
  <c r="GR6" i="4"/>
  <c r="GS6" i="4"/>
  <c r="GT6" i="4"/>
  <c r="GU6" i="4"/>
  <c r="GV6" i="4"/>
  <c r="GW6" i="4"/>
  <c r="GX6" i="4"/>
  <c r="GY6" i="4"/>
  <c r="GZ6" i="4"/>
  <c r="HA6" i="4"/>
  <c r="HB6" i="4"/>
  <c r="HC6" i="4"/>
  <c r="HD6" i="4"/>
  <c r="HE6" i="4"/>
  <c r="HF6" i="4"/>
  <c r="HG6" i="4"/>
  <c r="HH6" i="4"/>
  <c r="HI6" i="4"/>
  <c r="HJ6" i="4"/>
  <c r="HK6" i="4"/>
  <c r="HL6" i="4"/>
  <c r="HM6" i="4"/>
  <c r="HN6" i="4"/>
  <c r="HO6" i="4"/>
  <c r="HP6" i="4"/>
  <c r="HQ6" i="4"/>
  <c r="HR6" i="4"/>
  <c r="HS6" i="4"/>
  <c r="HT6" i="4"/>
  <c r="HU6" i="4"/>
  <c r="HV6" i="4"/>
  <c r="HW6" i="4"/>
  <c r="HX6" i="4"/>
  <c r="HY6" i="4"/>
  <c r="HZ6" i="4"/>
  <c r="IA6" i="4"/>
  <c r="IB6" i="4"/>
  <c r="IC6" i="4"/>
  <c r="ID6" i="4"/>
  <c r="IE6" i="4"/>
  <c r="IF6" i="4"/>
  <c r="IG6" i="4"/>
  <c r="IH6" i="4"/>
  <c r="II6" i="4"/>
  <c r="IJ6" i="4"/>
  <c r="IK6" i="4"/>
  <c r="IL6" i="4"/>
  <c r="IM6" i="4"/>
  <c r="IN6" i="4"/>
  <c r="IO6" i="4"/>
  <c r="IP6" i="4"/>
  <c r="IQ6" i="4"/>
  <c r="IR6" i="4"/>
  <c r="IS6" i="4"/>
  <c r="IT6" i="4"/>
  <c r="IU6" i="4"/>
  <c r="IV6" i="4"/>
  <c r="A5" i="4"/>
  <c r="B5" i="4"/>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AQ5" i="4"/>
  <c r="AR5" i="4"/>
  <c r="AS5" i="4"/>
  <c r="AT5" i="4"/>
  <c r="AU5" i="4"/>
  <c r="AV5" i="4"/>
  <c r="AW5" i="4"/>
  <c r="AX5" i="4"/>
  <c r="AY5" i="4"/>
  <c r="AZ5" i="4"/>
  <c r="BA5" i="4"/>
  <c r="BB5" i="4"/>
  <c r="BC5" i="4"/>
  <c r="BD5" i="4"/>
  <c r="BE5" i="4"/>
  <c r="BF5" i="4"/>
  <c r="BG5" i="4"/>
  <c r="BH5" i="4"/>
  <c r="BI5" i="4"/>
  <c r="BJ5" i="4"/>
  <c r="BK5" i="4"/>
  <c r="BL5" i="4"/>
  <c r="BM5" i="4"/>
  <c r="BN5" i="4"/>
  <c r="BO5" i="4"/>
  <c r="BP5" i="4"/>
  <c r="BQ5" i="4"/>
  <c r="BR5" i="4"/>
  <c r="BS5" i="4"/>
  <c r="BT5" i="4"/>
  <c r="BU5" i="4"/>
  <c r="BV5" i="4"/>
  <c r="BW5" i="4"/>
  <c r="BX5" i="4"/>
  <c r="BY5" i="4"/>
  <c r="BZ5" i="4"/>
  <c r="CA5" i="4"/>
  <c r="CB5" i="4"/>
  <c r="CC5" i="4"/>
  <c r="CD5" i="4"/>
  <c r="CE5" i="4"/>
  <c r="CF5" i="4"/>
  <c r="CG5" i="4"/>
  <c r="CH5" i="4"/>
  <c r="CI5" i="4"/>
  <c r="CJ5" i="4"/>
  <c r="CK5" i="4"/>
  <c r="CL5" i="4"/>
  <c r="CM5" i="4"/>
  <c r="CN5" i="4"/>
  <c r="CO5" i="4"/>
  <c r="CP5" i="4"/>
  <c r="CQ5" i="4"/>
  <c r="CR5" i="4"/>
  <c r="CS5" i="4"/>
  <c r="CT5" i="4"/>
  <c r="CU5" i="4"/>
  <c r="CV5" i="4"/>
  <c r="CW5" i="4"/>
  <c r="CX5" i="4"/>
  <c r="CY5" i="4"/>
  <c r="CZ5" i="4"/>
  <c r="DA5" i="4"/>
  <c r="DB5" i="4"/>
  <c r="DC5" i="4"/>
  <c r="DD5" i="4"/>
  <c r="DE5" i="4"/>
  <c r="DF5" i="4"/>
  <c r="DG5" i="4"/>
  <c r="DH5" i="4"/>
  <c r="DI5" i="4"/>
  <c r="DJ5" i="4"/>
  <c r="DK5" i="4"/>
  <c r="DL5" i="4"/>
  <c r="DM5" i="4"/>
  <c r="DN5" i="4"/>
  <c r="DO5" i="4"/>
  <c r="DP5" i="4"/>
  <c r="DQ5" i="4"/>
  <c r="DR5" i="4"/>
  <c r="DS5" i="4"/>
  <c r="DT5" i="4"/>
  <c r="DU5" i="4"/>
  <c r="DV5" i="4"/>
  <c r="DW5" i="4"/>
  <c r="DX5" i="4"/>
  <c r="DY5" i="4"/>
  <c r="DZ5" i="4"/>
  <c r="EA5" i="4"/>
  <c r="EB5" i="4"/>
  <c r="EC5" i="4"/>
  <c r="ED5" i="4"/>
  <c r="EE5" i="4"/>
  <c r="EF5" i="4"/>
  <c r="EG5" i="4"/>
  <c r="EH5" i="4"/>
  <c r="EI5" i="4"/>
  <c r="EJ5" i="4"/>
  <c r="EK5" i="4"/>
  <c r="EL5" i="4"/>
  <c r="EM5" i="4"/>
  <c r="EN5" i="4"/>
  <c r="EO5" i="4"/>
  <c r="EP5" i="4"/>
  <c r="EQ5" i="4"/>
  <c r="ER5" i="4"/>
  <c r="ES5" i="4"/>
  <c r="ET5" i="4"/>
  <c r="EU5" i="4"/>
  <c r="EV5" i="4"/>
  <c r="EW5" i="4"/>
  <c r="EX5" i="4"/>
  <c r="EY5" i="4"/>
  <c r="EZ5" i="4"/>
  <c r="FA5" i="4"/>
  <c r="FB5" i="4"/>
  <c r="FC5" i="4"/>
  <c r="FD5" i="4"/>
  <c r="FE5" i="4"/>
  <c r="FF5" i="4"/>
  <c r="FG5" i="4"/>
  <c r="FH5" i="4"/>
  <c r="FI5" i="4"/>
  <c r="FJ5" i="4"/>
  <c r="FK5" i="4"/>
  <c r="FL5" i="4"/>
  <c r="FM5" i="4"/>
  <c r="FN5" i="4"/>
  <c r="FO5" i="4"/>
  <c r="FP5" i="4"/>
  <c r="FQ5" i="4"/>
  <c r="FR5" i="4"/>
  <c r="FS5" i="4"/>
  <c r="FT5" i="4"/>
  <c r="FU5" i="4"/>
  <c r="FV5" i="4"/>
  <c r="FW5" i="4"/>
  <c r="FX5" i="4"/>
  <c r="FY5" i="4"/>
  <c r="FZ5" i="4"/>
  <c r="GA5" i="4"/>
  <c r="GB5" i="4"/>
  <c r="GC5" i="4"/>
  <c r="GD5" i="4"/>
  <c r="GE5" i="4"/>
  <c r="GF5" i="4"/>
  <c r="GG5" i="4"/>
  <c r="GH5" i="4"/>
  <c r="GI5" i="4"/>
  <c r="GJ5" i="4"/>
  <c r="GK5" i="4"/>
  <c r="GL5" i="4"/>
  <c r="GM5" i="4"/>
  <c r="GN5" i="4"/>
  <c r="GO5" i="4"/>
  <c r="GP5" i="4"/>
  <c r="GQ5" i="4"/>
  <c r="GR5" i="4"/>
  <c r="GS5" i="4"/>
  <c r="GT5" i="4"/>
  <c r="GU5" i="4"/>
  <c r="GV5" i="4"/>
  <c r="GW5" i="4"/>
  <c r="GX5" i="4"/>
  <c r="GY5" i="4"/>
  <c r="GZ5" i="4"/>
  <c r="HA5" i="4"/>
  <c r="HB5" i="4"/>
  <c r="HC5" i="4"/>
  <c r="HD5" i="4"/>
  <c r="HE5" i="4"/>
  <c r="HF5" i="4"/>
  <c r="HG5" i="4"/>
  <c r="HH5" i="4"/>
  <c r="HI5" i="4"/>
  <c r="HJ5" i="4"/>
  <c r="HK5" i="4"/>
  <c r="HL5" i="4"/>
  <c r="HM5" i="4"/>
  <c r="HN5" i="4"/>
  <c r="HO5" i="4"/>
  <c r="HP5" i="4"/>
  <c r="HQ5" i="4"/>
  <c r="HR5" i="4"/>
  <c r="HS5" i="4"/>
  <c r="HT5" i="4"/>
  <c r="HU5" i="4"/>
  <c r="HV5" i="4"/>
  <c r="HW5" i="4"/>
  <c r="HX5" i="4"/>
  <c r="HY5" i="4"/>
  <c r="HZ5" i="4"/>
  <c r="IA5" i="4"/>
  <c r="IB5" i="4"/>
  <c r="IC5" i="4"/>
  <c r="ID5" i="4"/>
  <c r="IE5" i="4"/>
  <c r="IF5" i="4"/>
  <c r="IG5" i="4"/>
  <c r="IH5" i="4"/>
  <c r="II5" i="4"/>
  <c r="IJ5" i="4"/>
  <c r="IK5" i="4"/>
  <c r="IL5" i="4"/>
  <c r="IM5" i="4"/>
  <c r="IN5" i="4"/>
  <c r="IO5" i="4"/>
  <c r="IP5" i="4"/>
  <c r="IQ5" i="4"/>
  <c r="IR5" i="4"/>
  <c r="IS5" i="4"/>
  <c r="IT5" i="4"/>
  <c r="IU5" i="4"/>
  <c r="IV5" i="4"/>
  <c r="A4" i="4"/>
  <c r="B4" i="4"/>
  <c r="C4" i="4"/>
  <c r="D4" i="4"/>
  <c r="E4" i="4"/>
  <c r="F4" i="4"/>
  <c r="G4" i="4"/>
  <c r="H4" i="4"/>
  <c r="I4" i="4"/>
  <c r="J4" i="4"/>
  <c r="K4" i="4"/>
  <c r="L4" i="4"/>
  <c r="M4" i="4"/>
  <c r="N4" i="4"/>
  <c r="O4" i="4"/>
  <c r="P4" i="4"/>
  <c r="Q4" i="4"/>
  <c r="R4" i="4"/>
  <c r="S4" i="4"/>
  <c r="T4" i="4"/>
  <c r="U4" i="4"/>
  <c r="V4" i="4"/>
  <c r="W4" i="4"/>
  <c r="X4" i="4"/>
  <c r="Y4" i="4"/>
  <c r="Z4" i="4"/>
  <c r="AA4" i="4"/>
  <c r="AB4" i="4"/>
  <c r="AC4" i="4"/>
  <c r="AD4" i="4"/>
  <c r="AE4" i="4"/>
  <c r="AF4" i="4"/>
  <c r="AG4" i="4"/>
  <c r="AH4" i="4"/>
  <c r="AI4" i="4"/>
  <c r="AJ4" i="4"/>
  <c r="AK4" i="4"/>
  <c r="AL4" i="4"/>
  <c r="AM4" i="4"/>
  <c r="AN4" i="4"/>
  <c r="AO4" i="4"/>
  <c r="AP4" i="4"/>
  <c r="AQ4" i="4"/>
  <c r="AR4" i="4"/>
  <c r="AS4" i="4"/>
  <c r="AT4" i="4"/>
  <c r="AU4" i="4"/>
  <c r="AV4" i="4"/>
  <c r="AW4" i="4"/>
  <c r="AX4" i="4"/>
  <c r="AY4" i="4"/>
  <c r="AZ4" i="4"/>
  <c r="BA4" i="4"/>
  <c r="BB4" i="4"/>
  <c r="BC4" i="4"/>
  <c r="BD4" i="4"/>
  <c r="BE4" i="4"/>
  <c r="BF4" i="4"/>
  <c r="BG4" i="4"/>
  <c r="BH4" i="4"/>
  <c r="BI4" i="4"/>
  <c r="BJ4" i="4"/>
  <c r="BK4" i="4"/>
  <c r="BL4" i="4"/>
  <c r="BM4" i="4"/>
  <c r="BN4" i="4"/>
  <c r="BO4" i="4"/>
  <c r="BP4" i="4"/>
  <c r="BQ4" i="4"/>
  <c r="BR4" i="4"/>
  <c r="BS4" i="4"/>
  <c r="BT4" i="4"/>
  <c r="BU4" i="4"/>
  <c r="BV4" i="4"/>
  <c r="BW4" i="4"/>
  <c r="BX4" i="4"/>
  <c r="BY4" i="4"/>
  <c r="BZ4" i="4"/>
  <c r="CA4" i="4"/>
  <c r="CB4" i="4"/>
  <c r="CC4" i="4"/>
  <c r="CD4" i="4"/>
  <c r="CE4" i="4"/>
  <c r="CF4" i="4"/>
  <c r="CG4" i="4"/>
  <c r="CH4" i="4"/>
  <c r="CI4" i="4"/>
  <c r="CJ4" i="4"/>
  <c r="CK4" i="4"/>
  <c r="CL4" i="4"/>
  <c r="CM4" i="4"/>
  <c r="CN4" i="4"/>
  <c r="CO4" i="4"/>
  <c r="CP4" i="4"/>
  <c r="CQ4" i="4"/>
  <c r="CR4" i="4"/>
  <c r="CS4" i="4"/>
  <c r="CT4" i="4"/>
  <c r="CU4" i="4"/>
  <c r="CV4" i="4"/>
  <c r="CW4" i="4"/>
  <c r="CX4" i="4"/>
  <c r="CY4" i="4"/>
  <c r="CZ4" i="4"/>
  <c r="DA4" i="4"/>
  <c r="DB4" i="4"/>
  <c r="DC4" i="4"/>
  <c r="DD4" i="4"/>
  <c r="DE4" i="4"/>
  <c r="DF4" i="4"/>
  <c r="DG4" i="4"/>
  <c r="DH4" i="4"/>
  <c r="DI4" i="4"/>
  <c r="DJ4" i="4"/>
  <c r="DK4" i="4"/>
  <c r="DL4" i="4"/>
  <c r="DM4" i="4"/>
  <c r="DN4" i="4"/>
  <c r="DO4" i="4"/>
  <c r="DP4" i="4"/>
  <c r="DQ4" i="4"/>
  <c r="DR4" i="4"/>
  <c r="DS4" i="4"/>
  <c r="DT4" i="4"/>
  <c r="DU4" i="4"/>
  <c r="DV4" i="4"/>
  <c r="DW4" i="4"/>
  <c r="DX4" i="4"/>
  <c r="DY4" i="4"/>
  <c r="DZ4" i="4"/>
  <c r="EA4" i="4"/>
  <c r="EB4" i="4"/>
  <c r="EC4" i="4"/>
  <c r="ED4" i="4"/>
  <c r="EE4" i="4"/>
  <c r="EF4" i="4"/>
  <c r="EG4" i="4"/>
  <c r="EH4" i="4"/>
  <c r="EI4" i="4"/>
  <c r="EJ4" i="4"/>
  <c r="EK4" i="4"/>
  <c r="EL4" i="4"/>
  <c r="EM4" i="4"/>
  <c r="EN4" i="4"/>
  <c r="EO4" i="4"/>
  <c r="EP4" i="4"/>
  <c r="EQ4" i="4"/>
  <c r="ER4" i="4"/>
  <c r="ES4" i="4"/>
  <c r="ET4" i="4"/>
  <c r="EU4" i="4"/>
  <c r="EV4" i="4"/>
  <c r="EW4" i="4"/>
  <c r="EX4" i="4"/>
  <c r="EY4" i="4"/>
  <c r="EZ4" i="4"/>
  <c r="FA4" i="4"/>
  <c r="FB4" i="4"/>
  <c r="FC4" i="4"/>
  <c r="FD4" i="4"/>
  <c r="FE4" i="4"/>
  <c r="FF4" i="4"/>
  <c r="FG4" i="4"/>
  <c r="FH4" i="4"/>
  <c r="FI4" i="4"/>
  <c r="FJ4" i="4"/>
  <c r="FK4" i="4"/>
  <c r="FL4" i="4"/>
  <c r="FM4" i="4"/>
  <c r="FN4" i="4"/>
  <c r="FO4" i="4"/>
  <c r="FP4" i="4"/>
  <c r="FQ4" i="4"/>
  <c r="FR4" i="4"/>
  <c r="FS4" i="4"/>
  <c r="FT4" i="4"/>
  <c r="FU4" i="4"/>
  <c r="FV4" i="4"/>
  <c r="FW4" i="4"/>
  <c r="FX4" i="4"/>
  <c r="FY4" i="4"/>
  <c r="FZ4" i="4"/>
  <c r="GA4" i="4"/>
  <c r="GB4" i="4"/>
  <c r="GC4" i="4"/>
  <c r="GD4" i="4"/>
  <c r="GE4" i="4"/>
  <c r="GF4" i="4"/>
  <c r="GG4" i="4"/>
  <c r="GH4" i="4"/>
  <c r="GI4" i="4"/>
  <c r="GJ4" i="4"/>
  <c r="GK4" i="4"/>
  <c r="GL4" i="4"/>
  <c r="GM4" i="4"/>
  <c r="GN4" i="4"/>
  <c r="GO4" i="4"/>
  <c r="GP4" i="4"/>
  <c r="GQ4" i="4"/>
  <c r="GR4" i="4"/>
  <c r="GS4" i="4"/>
  <c r="GT4" i="4"/>
  <c r="GU4" i="4"/>
  <c r="GV4" i="4"/>
  <c r="GW4" i="4"/>
  <c r="GX4" i="4"/>
  <c r="GY4" i="4"/>
  <c r="GZ4" i="4"/>
  <c r="HA4" i="4"/>
  <c r="HB4" i="4"/>
  <c r="HC4" i="4"/>
  <c r="HD4" i="4"/>
  <c r="HE4" i="4"/>
  <c r="HF4" i="4"/>
  <c r="HG4" i="4"/>
  <c r="HH4" i="4"/>
  <c r="HI4" i="4"/>
  <c r="HJ4" i="4"/>
  <c r="HK4" i="4"/>
  <c r="HL4" i="4"/>
  <c r="HM4" i="4"/>
  <c r="HN4" i="4"/>
  <c r="HO4" i="4"/>
  <c r="HP4" i="4"/>
  <c r="HQ4" i="4"/>
  <c r="HR4" i="4"/>
  <c r="HS4" i="4"/>
  <c r="HT4" i="4"/>
  <c r="HU4" i="4"/>
  <c r="HV4" i="4"/>
  <c r="HW4" i="4"/>
  <c r="HX4" i="4"/>
  <c r="HY4" i="4"/>
  <c r="HZ4" i="4"/>
  <c r="IA4" i="4"/>
  <c r="IB4" i="4"/>
  <c r="IC4" i="4"/>
  <c r="ID4" i="4"/>
  <c r="IE4" i="4"/>
  <c r="IF4" i="4"/>
  <c r="IG4" i="4"/>
  <c r="IH4" i="4"/>
  <c r="II4" i="4"/>
  <c r="IJ4" i="4"/>
  <c r="IK4" i="4"/>
  <c r="IL4" i="4"/>
  <c r="IM4" i="4"/>
  <c r="IN4" i="4"/>
  <c r="IO4" i="4"/>
  <c r="IP4" i="4"/>
  <c r="IQ4" i="4"/>
  <c r="IR4" i="4"/>
  <c r="IS4" i="4"/>
  <c r="IT4" i="4"/>
  <c r="IU4" i="4"/>
  <c r="IV4" i="4"/>
  <c r="A3" i="4"/>
  <c r="B3" i="4"/>
  <c r="C3" i="4"/>
  <c r="D3" i="4"/>
  <c r="E3" i="4"/>
  <c r="F3"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N3" i="4"/>
  <c r="AO3" i="4"/>
  <c r="AP3" i="4"/>
  <c r="AQ3" i="4"/>
  <c r="AR3" i="4"/>
  <c r="AS3" i="4"/>
  <c r="AT3" i="4"/>
  <c r="AU3" i="4"/>
  <c r="AV3" i="4"/>
  <c r="AW3" i="4"/>
  <c r="AX3" i="4"/>
  <c r="AY3" i="4"/>
  <c r="AZ3" i="4"/>
  <c r="BA3" i="4"/>
  <c r="BB3" i="4"/>
  <c r="BC3" i="4"/>
  <c r="BD3" i="4"/>
  <c r="BE3" i="4"/>
  <c r="BF3" i="4"/>
  <c r="BG3" i="4"/>
  <c r="BH3" i="4"/>
  <c r="BI3" i="4"/>
  <c r="BJ3" i="4"/>
  <c r="BK3" i="4"/>
  <c r="BL3" i="4"/>
  <c r="BM3" i="4"/>
  <c r="BN3" i="4"/>
  <c r="BO3" i="4"/>
  <c r="BP3" i="4"/>
  <c r="BQ3" i="4"/>
  <c r="BR3" i="4"/>
  <c r="BS3" i="4"/>
  <c r="BT3" i="4"/>
  <c r="BU3" i="4"/>
  <c r="BV3" i="4"/>
  <c r="BW3" i="4"/>
  <c r="BX3" i="4"/>
  <c r="BY3" i="4"/>
  <c r="BZ3" i="4"/>
  <c r="CA3" i="4"/>
  <c r="CB3" i="4"/>
  <c r="CC3" i="4"/>
  <c r="CD3" i="4"/>
  <c r="CE3" i="4"/>
  <c r="CF3" i="4"/>
  <c r="CG3" i="4"/>
  <c r="CH3" i="4"/>
  <c r="CI3" i="4"/>
  <c r="CJ3" i="4"/>
  <c r="CK3" i="4"/>
  <c r="CL3" i="4"/>
  <c r="CM3" i="4"/>
  <c r="CN3" i="4"/>
  <c r="CO3" i="4"/>
  <c r="CP3" i="4"/>
  <c r="CQ3" i="4"/>
  <c r="CR3" i="4"/>
  <c r="CS3" i="4"/>
  <c r="CT3" i="4"/>
  <c r="CU3" i="4"/>
  <c r="CV3" i="4"/>
  <c r="CW3" i="4"/>
  <c r="CX3" i="4"/>
  <c r="CY3" i="4"/>
  <c r="CZ3" i="4"/>
  <c r="DA3" i="4"/>
  <c r="DB3" i="4"/>
  <c r="DC3" i="4"/>
  <c r="DD3" i="4"/>
  <c r="DE3" i="4"/>
  <c r="DF3" i="4"/>
  <c r="DG3" i="4"/>
  <c r="DH3" i="4"/>
  <c r="DI3" i="4"/>
  <c r="DJ3" i="4"/>
  <c r="DK3" i="4"/>
  <c r="DL3" i="4"/>
  <c r="DM3" i="4"/>
  <c r="DN3" i="4"/>
  <c r="DO3" i="4"/>
  <c r="DP3" i="4"/>
  <c r="DQ3" i="4"/>
  <c r="DR3" i="4"/>
  <c r="DS3" i="4"/>
  <c r="DT3" i="4"/>
  <c r="DU3" i="4"/>
  <c r="DV3" i="4"/>
  <c r="DW3" i="4"/>
  <c r="DX3" i="4"/>
  <c r="DY3" i="4"/>
  <c r="DZ3" i="4"/>
  <c r="EA3" i="4"/>
  <c r="EB3" i="4"/>
  <c r="EC3" i="4"/>
  <c r="ED3" i="4"/>
  <c r="EE3" i="4"/>
  <c r="EF3" i="4"/>
  <c r="EG3" i="4"/>
  <c r="EH3" i="4"/>
  <c r="EI3" i="4"/>
  <c r="EJ3" i="4"/>
  <c r="EK3" i="4"/>
  <c r="EL3" i="4"/>
  <c r="EM3" i="4"/>
  <c r="EN3" i="4"/>
  <c r="EO3" i="4"/>
  <c r="EP3" i="4"/>
  <c r="EQ3" i="4"/>
  <c r="ER3" i="4"/>
  <c r="ES3" i="4"/>
  <c r="ET3" i="4"/>
  <c r="EU3" i="4"/>
  <c r="EV3" i="4"/>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3" i="4"/>
  <c r="FZ3" i="4"/>
  <c r="GA3" i="4"/>
  <c r="GB3" i="4"/>
  <c r="GC3" i="4"/>
  <c r="GD3" i="4"/>
  <c r="GE3" i="4"/>
  <c r="GF3" i="4"/>
  <c r="GG3" i="4"/>
  <c r="GH3" i="4"/>
  <c r="GI3" i="4"/>
  <c r="GJ3" i="4"/>
  <c r="GK3" i="4"/>
  <c r="GL3" i="4"/>
  <c r="GM3" i="4"/>
  <c r="GN3" i="4"/>
  <c r="GO3" i="4"/>
  <c r="GP3" i="4"/>
  <c r="GQ3" i="4"/>
  <c r="GR3" i="4"/>
  <c r="GS3" i="4"/>
  <c r="GT3" i="4"/>
  <c r="GU3" i="4"/>
  <c r="GV3" i="4"/>
  <c r="GW3" i="4"/>
  <c r="GX3" i="4"/>
  <c r="GY3" i="4"/>
  <c r="GZ3" i="4"/>
  <c r="HA3" i="4"/>
  <c r="HB3" i="4"/>
  <c r="HC3" i="4"/>
  <c r="HD3" i="4"/>
  <c r="HE3" i="4"/>
  <c r="HF3" i="4"/>
  <c r="HG3" i="4"/>
  <c r="HH3" i="4"/>
  <c r="HI3" i="4"/>
  <c r="HJ3" i="4"/>
  <c r="HK3" i="4"/>
  <c r="HL3" i="4"/>
  <c r="HM3" i="4"/>
  <c r="HN3" i="4"/>
  <c r="HO3" i="4"/>
  <c r="HP3" i="4"/>
  <c r="HQ3" i="4"/>
  <c r="HR3" i="4"/>
  <c r="HS3" i="4"/>
  <c r="HT3" i="4"/>
  <c r="HU3" i="4"/>
  <c r="HV3" i="4"/>
  <c r="HW3" i="4"/>
  <c r="HX3" i="4"/>
  <c r="HY3" i="4"/>
  <c r="HZ3" i="4"/>
  <c r="IA3" i="4"/>
  <c r="IB3" i="4"/>
  <c r="IC3" i="4"/>
  <c r="ID3" i="4"/>
  <c r="IE3" i="4"/>
  <c r="IF3" i="4"/>
  <c r="IG3" i="4"/>
  <c r="IH3" i="4"/>
  <c r="II3" i="4"/>
  <c r="IJ3" i="4"/>
  <c r="IK3" i="4"/>
  <c r="IL3" i="4"/>
  <c r="IM3" i="4"/>
  <c r="IN3" i="4"/>
  <c r="IO3" i="4"/>
  <c r="IP3" i="4"/>
  <c r="IQ3" i="4"/>
  <c r="IR3" i="4"/>
  <c r="IS3" i="4"/>
  <c r="IT3" i="4"/>
  <c r="IU3" i="4"/>
  <c r="IV3" i="4"/>
  <c r="A2" i="4"/>
  <c r="B2" i="4"/>
  <c r="C2" i="4"/>
  <c r="D2" i="4"/>
  <c r="E2" i="4"/>
  <c r="F2" i="4"/>
  <c r="G2" i="4"/>
  <c r="H2" i="4"/>
  <c r="I2" i="4"/>
  <c r="J2" i="4"/>
  <c r="K2" i="4"/>
  <c r="L2" i="4"/>
  <c r="M2" i="4"/>
  <c r="N2" i="4"/>
  <c r="O2" i="4"/>
  <c r="P2" i="4"/>
  <c r="Q2" i="4"/>
  <c r="R2" i="4"/>
  <c r="S2" i="4"/>
  <c r="T2" i="4"/>
  <c r="U2" i="4"/>
  <c r="V2" i="4"/>
  <c r="W2" i="4"/>
  <c r="X2" i="4"/>
  <c r="Y2" i="4"/>
  <c r="Z2" i="4"/>
  <c r="AA2" i="4"/>
  <c r="AB2" i="4"/>
  <c r="AC2" i="4"/>
  <c r="AD2" i="4"/>
  <c r="AE2" i="4"/>
  <c r="AF2" i="4"/>
  <c r="AG2" i="4"/>
  <c r="AH2" i="4"/>
  <c r="AI2" i="4"/>
  <c r="AJ2" i="4"/>
  <c r="AK2" i="4"/>
  <c r="AL2" i="4"/>
  <c r="AM2" i="4"/>
  <c r="AN2" i="4"/>
  <c r="AO2" i="4"/>
  <c r="AP2" i="4"/>
  <c r="AQ2" i="4"/>
  <c r="AR2" i="4"/>
  <c r="AS2" i="4"/>
  <c r="AT2" i="4"/>
  <c r="AU2" i="4"/>
  <c r="AV2" i="4"/>
  <c r="AW2" i="4"/>
  <c r="AX2" i="4"/>
  <c r="AY2" i="4"/>
  <c r="AZ2" i="4"/>
  <c r="BA2" i="4"/>
  <c r="BB2" i="4"/>
  <c r="BC2" i="4"/>
  <c r="BD2" i="4"/>
  <c r="BE2" i="4"/>
  <c r="BF2" i="4"/>
  <c r="BG2" i="4"/>
  <c r="BH2" i="4"/>
  <c r="BI2" i="4"/>
  <c r="BJ2" i="4"/>
  <c r="BK2" i="4"/>
  <c r="BL2" i="4"/>
  <c r="BM2" i="4"/>
  <c r="BN2" i="4"/>
  <c r="BO2" i="4"/>
  <c r="BP2" i="4"/>
  <c r="BQ2" i="4"/>
  <c r="BR2" i="4"/>
  <c r="BS2" i="4"/>
  <c r="BT2" i="4"/>
  <c r="BU2" i="4"/>
  <c r="BV2" i="4"/>
  <c r="BW2" i="4"/>
  <c r="BX2" i="4"/>
  <c r="BY2" i="4"/>
  <c r="BZ2" i="4"/>
  <c r="CA2" i="4"/>
  <c r="CB2" i="4"/>
  <c r="CC2" i="4"/>
  <c r="CD2" i="4"/>
  <c r="CE2" i="4"/>
  <c r="CF2" i="4"/>
  <c r="CG2" i="4"/>
  <c r="CH2" i="4"/>
  <c r="CI2" i="4"/>
  <c r="CJ2" i="4"/>
  <c r="CK2" i="4"/>
  <c r="CL2" i="4"/>
  <c r="CM2" i="4"/>
  <c r="CN2" i="4"/>
  <c r="CO2" i="4"/>
  <c r="CP2" i="4"/>
  <c r="CQ2" i="4"/>
  <c r="CR2" i="4"/>
  <c r="CS2" i="4"/>
  <c r="CT2" i="4"/>
  <c r="CU2" i="4"/>
  <c r="CV2" i="4"/>
  <c r="CW2" i="4"/>
  <c r="CX2" i="4"/>
  <c r="CY2" i="4"/>
  <c r="CZ2" i="4"/>
  <c r="DA2" i="4"/>
  <c r="DB2" i="4"/>
  <c r="DC2" i="4"/>
  <c r="DD2" i="4"/>
  <c r="DE2" i="4"/>
  <c r="DF2" i="4"/>
  <c r="DG2" i="4"/>
  <c r="DH2" i="4"/>
  <c r="DI2" i="4"/>
  <c r="DJ2" i="4"/>
  <c r="DK2" i="4"/>
  <c r="DL2" i="4"/>
  <c r="DM2" i="4"/>
  <c r="DN2" i="4"/>
  <c r="DO2" i="4"/>
  <c r="DP2" i="4"/>
  <c r="DQ2" i="4"/>
  <c r="DR2" i="4"/>
  <c r="DS2" i="4"/>
  <c r="DT2" i="4"/>
  <c r="DU2" i="4"/>
  <c r="DV2" i="4"/>
  <c r="DW2" i="4"/>
  <c r="DX2" i="4"/>
  <c r="DY2" i="4"/>
  <c r="DZ2" i="4"/>
  <c r="EA2" i="4"/>
  <c r="EB2" i="4"/>
  <c r="EC2" i="4"/>
  <c r="ED2" i="4"/>
  <c r="EE2" i="4"/>
  <c r="EF2" i="4"/>
  <c r="EG2" i="4"/>
  <c r="EH2" i="4"/>
  <c r="EI2" i="4"/>
  <c r="EJ2" i="4"/>
  <c r="EK2" i="4"/>
  <c r="EL2" i="4"/>
  <c r="EM2" i="4"/>
  <c r="EN2" i="4"/>
  <c r="EO2" i="4"/>
  <c r="EP2" i="4"/>
  <c r="EQ2" i="4"/>
  <c r="ER2" i="4"/>
  <c r="ES2" i="4"/>
  <c r="ET2" i="4"/>
  <c r="EU2" i="4"/>
  <c r="EV2" i="4"/>
  <c r="EW2" i="4"/>
  <c r="EX2" i="4"/>
  <c r="EY2" i="4"/>
  <c r="EZ2" i="4"/>
  <c r="FA2" i="4"/>
  <c r="FB2" i="4"/>
  <c r="FC2" i="4"/>
  <c r="FD2" i="4"/>
  <c r="FE2" i="4"/>
  <c r="FF2" i="4"/>
  <c r="FG2" i="4"/>
  <c r="FH2" i="4"/>
  <c r="FI2" i="4"/>
  <c r="FJ2" i="4"/>
  <c r="FK2" i="4"/>
  <c r="FL2" i="4"/>
  <c r="FM2" i="4"/>
  <c r="FN2" i="4"/>
  <c r="FO2" i="4"/>
  <c r="FP2" i="4"/>
  <c r="FQ2" i="4"/>
  <c r="FR2" i="4"/>
  <c r="FS2" i="4"/>
  <c r="FT2" i="4"/>
  <c r="FU2" i="4"/>
  <c r="FV2" i="4"/>
  <c r="FW2" i="4"/>
  <c r="FX2" i="4"/>
  <c r="FY2" i="4"/>
  <c r="FZ2" i="4"/>
  <c r="GA2" i="4"/>
  <c r="GB2" i="4"/>
  <c r="GC2" i="4"/>
  <c r="GD2" i="4"/>
  <c r="GE2" i="4"/>
  <c r="GF2" i="4"/>
  <c r="GG2" i="4"/>
  <c r="GH2" i="4"/>
  <c r="GI2" i="4"/>
  <c r="GJ2" i="4"/>
  <c r="GK2" i="4"/>
  <c r="GL2" i="4"/>
  <c r="GM2" i="4"/>
  <c r="GN2" i="4"/>
  <c r="GO2" i="4"/>
  <c r="GP2" i="4"/>
  <c r="GQ2" i="4"/>
  <c r="GR2" i="4"/>
  <c r="GS2" i="4"/>
  <c r="GT2" i="4"/>
  <c r="GU2" i="4"/>
  <c r="GV2" i="4"/>
  <c r="GW2" i="4"/>
  <c r="GX2" i="4"/>
  <c r="GY2" i="4"/>
  <c r="GZ2" i="4"/>
  <c r="HA2" i="4"/>
  <c r="HB2" i="4"/>
  <c r="HC2" i="4"/>
  <c r="HD2" i="4"/>
  <c r="HE2" i="4"/>
  <c r="HF2" i="4"/>
  <c r="HG2" i="4"/>
  <c r="HH2" i="4"/>
  <c r="HI2" i="4"/>
  <c r="HJ2" i="4"/>
  <c r="HK2" i="4"/>
  <c r="HL2" i="4"/>
  <c r="HM2" i="4"/>
  <c r="HN2" i="4"/>
  <c r="HO2" i="4"/>
  <c r="HP2" i="4"/>
  <c r="HQ2" i="4"/>
  <c r="HR2" i="4"/>
  <c r="HS2" i="4"/>
  <c r="HT2" i="4"/>
  <c r="HU2" i="4"/>
  <c r="HV2" i="4"/>
  <c r="HW2" i="4"/>
  <c r="HX2" i="4"/>
  <c r="HY2" i="4"/>
  <c r="HZ2" i="4"/>
  <c r="IA2" i="4"/>
  <c r="IB2" i="4"/>
  <c r="IC2" i="4"/>
  <c r="ID2" i="4"/>
  <c r="IE2" i="4"/>
  <c r="IF2" i="4"/>
  <c r="IG2" i="4"/>
  <c r="IH2" i="4"/>
  <c r="II2" i="4"/>
  <c r="IJ2" i="4"/>
  <c r="IK2" i="4"/>
  <c r="IL2" i="4"/>
  <c r="IM2" i="4"/>
  <c r="IN2" i="4"/>
  <c r="IO2" i="4"/>
  <c r="IP2" i="4"/>
  <c r="IQ2" i="4"/>
  <c r="IR2" i="4"/>
  <c r="IS2" i="4"/>
  <c r="IT2" i="4"/>
  <c r="IU2" i="4"/>
  <c r="IV2" i="4"/>
  <c r="A1" i="4"/>
  <c r="B1" i="4"/>
  <c r="C1" i="4"/>
  <c r="D1" i="4"/>
  <c r="E1" i="4"/>
  <c r="F1" i="4"/>
  <c r="G1" i="4"/>
  <c r="H1" i="4"/>
  <c r="I1" i="4"/>
  <c r="J1" i="4"/>
  <c r="K1" i="4"/>
  <c r="L1" i="4"/>
  <c r="M1" i="4"/>
  <c r="N1" i="4"/>
  <c r="O1" i="4"/>
  <c r="P1" i="4"/>
  <c r="Q1" i="4"/>
  <c r="R1" i="4"/>
  <c r="S1" i="4"/>
  <c r="T1" i="4"/>
  <c r="U1" i="4"/>
  <c r="V1" i="4"/>
  <c r="W1" i="4"/>
  <c r="X1" i="4"/>
  <c r="Y1" i="4"/>
  <c r="Z1" i="4"/>
  <c r="AA1" i="4"/>
  <c r="AB1" i="4"/>
  <c r="AC1" i="4"/>
  <c r="AD1" i="4"/>
  <c r="AE1" i="4"/>
  <c r="AF1" i="4"/>
  <c r="AG1" i="4"/>
  <c r="AH1" i="4"/>
  <c r="AI1" i="4"/>
  <c r="AJ1" i="4"/>
  <c r="AK1" i="4"/>
  <c r="AL1" i="4"/>
  <c r="AM1" i="4"/>
  <c r="AN1" i="4"/>
  <c r="AO1" i="4"/>
  <c r="AP1" i="4"/>
  <c r="AQ1" i="4"/>
  <c r="AR1" i="4"/>
  <c r="AS1" i="4"/>
  <c r="AT1" i="4"/>
  <c r="AU1" i="4"/>
  <c r="AV1" i="4"/>
  <c r="AW1" i="4"/>
  <c r="AX1" i="4"/>
  <c r="AY1" i="4"/>
  <c r="AZ1" i="4"/>
  <c r="BA1" i="4"/>
  <c r="BB1" i="4"/>
  <c r="BC1" i="4"/>
  <c r="BD1" i="4"/>
  <c r="BE1" i="4"/>
  <c r="BF1" i="4"/>
  <c r="BG1" i="4"/>
  <c r="BH1" i="4"/>
  <c r="BI1" i="4"/>
  <c r="BJ1" i="4"/>
  <c r="BK1" i="4"/>
  <c r="BL1" i="4"/>
  <c r="BM1" i="4"/>
  <c r="BN1" i="4"/>
  <c r="BO1" i="4"/>
  <c r="BP1" i="4"/>
  <c r="BQ1" i="4"/>
  <c r="BR1" i="4"/>
  <c r="BS1" i="4"/>
  <c r="BT1" i="4"/>
  <c r="BU1" i="4"/>
  <c r="BV1" i="4"/>
  <c r="BW1" i="4"/>
  <c r="BX1" i="4"/>
  <c r="BY1" i="4"/>
  <c r="BZ1" i="4"/>
  <c r="CA1" i="4"/>
  <c r="CB1" i="4"/>
  <c r="CC1" i="4"/>
  <c r="CD1" i="4"/>
  <c r="CE1" i="4"/>
  <c r="CF1" i="4"/>
  <c r="CG1" i="4"/>
  <c r="CH1" i="4"/>
  <c r="CI1" i="4"/>
  <c r="CJ1" i="4"/>
  <c r="CK1" i="4"/>
  <c r="CL1" i="4"/>
  <c r="CM1" i="4"/>
  <c r="CN1" i="4"/>
  <c r="CO1" i="4"/>
  <c r="CP1" i="4"/>
  <c r="CQ1" i="4"/>
  <c r="CR1" i="4"/>
  <c r="CS1" i="4"/>
  <c r="CT1" i="4"/>
  <c r="CU1" i="4"/>
  <c r="CV1" i="4"/>
  <c r="CW1" i="4"/>
  <c r="CX1" i="4"/>
  <c r="CY1" i="4"/>
  <c r="CZ1" i="4"/>
  <c r="DA1" i="4"/>
  <c r="DB1" i="4"/>
  <c r="DC1" i="4"/>
  <c r="DD1" i="4"/>
  <c r="DE1" i="4"/>
  <c r="DF1" i="4"/>
  <c r="DG1" i="4"/>
  <c r="DH1" i="4"/>
  <c r="DI1" i="4"/>
  <c r="DJ1" i="4"/>
  <c r="DK1" i="4"/>
  <c r="DL1" i="4"/>
  <c r="DM1" i="4"/>
  <c r="DN1" i="4"/>
  <c r="DO1" i="4"/>
  <c r="DP1" i="4"/>
  <c r="DQ1" i="4"/>
  <c r="DR1" i="4"/>
  <c r="DS1" i="4"/>
  <c r="DT1" i="4"/>
  <c r="DU1" i="4"/>
  <c r="DV1" i="4"/>
  <c r="DW1" i="4"/>
  <c r="DX1" i="4"/>
  <c r="DY1" i="4"/>
  <c r="DZ1" i="4"/>
  <c r="EA1" i="4"/>
  <c r="EB1" i="4"/>
  <c r="EC1" i="4"/>
  <c r="ED1" i="4"/>
  <c r="EE1" i="4"/>
  <c r="EF1" i="4"/>
  <c r="EG1" i="4"/>
  <c r="EH1" i="4"/>
  <c r="EI1" i="4"/>
  <c r="EJ1" i="4"/>
  <c r="EK1" i="4"/>
  <c r="EL1" i="4"/>
  <c r="EM1" i="4"/>
  <c r="EN1" i="4"/>
  <c r="EO1" i="4"/>
  <c r="EP1" i="4"/>
  <c r="EQ1" i="4"/>
  <c r="ER1" i="4"/>
  <c r="ES1" i="4"/>
  <c r="ET1" i="4"/>
  <c r="EU1" i="4"/>
  <c r="EV1" i="4"/>
  <c r="EW1" i="4"/>
  <c r="EX1" i="4"/>
  <c r="EY1" i="4"/>
  <c r="EZ1" i="4"/>
  <c r="FA1" i="4"/>
  <c r="FB1" i="4"/>
  <c r="FC1" i="4"/>
  <c r="FD1" i="4"/>
  <c r="FE1" i="4"/>
  <c r="FF1" i="4"/>
  <c r="FG1" i="4"/>
  <c r="FH1" i="4"/>
  <c r="FI1" i="4"/>
  <c r="FJ1" i="4"/>
  <c r="FK1" i="4"/>
  <c r="FL1" i="4"/>
  <c r="FM1" i="4"/>
  <c r="FN1" i="4"/>
  <c r="FO1" i="4"/>
  <c r="FP1" i="4"/>
  <c r="FQ1" i="4"/>
  <c r="FR1" i="4"/>
  <c r="FS1" i="4"/>
  <c r="FT1" i="4"/>
  <c r="FU1" i="4"/>
  <c r="FV1" i="4"/>
  <c r="FW1" i="4"/>
  <c r="FX1" i="4"/>
  <c r="FY1" i="4"/>
  <c r="FZ1" i="4"/>
  <c r="GA1" i="4"/>
  <c r="GB1" i="4"/>
  <c r="GC1" i="4"/>
  <c r="GD1" i="4"/>
  <c r="GE1" i="4"/>
  <c r="GF1" i="4"/>
  <c r="GG1" i="4"/>
  <c r="GH1" i="4"/>
  <c r="GI1" i="4"/>
  <c r="GJ1" i="4"/>
  <c r="GK1" i="4"/>
  <c r="GL1" i="4"/>
  <c r="GM1" i="4"/>
  <c r="GN1" i="4"/>
  <c r="GO1" i="4"/>
  <c r="GP1" i="4"/>
  <c r="GQ1" i="4"/>
  <c r="GR1" i="4"/>
  <c r="GS1" i="4"/>
  <c r="GT1" i="4"/>
  <c r="GU1" i="4"/>
  <c r="GV1" i="4"/>
  <c r="GW1" i="4"/>
  <c r="GX1" i="4"/>
  <c r="GY1" i="4"/>
  <c r="GZ1" i="4"/>
  <c r="HA1" i="4"/>
  <c r="HB1" i="4"/>
  <c r="HC1" i="4"/>
  <c r="HD1" i="4"/>
  <c r="HE1" i="4"/>
  <c r="HF1" i="4"/>
  <c r="HG1" i="4"/>
  <c r="HH1" i="4"/>
  <c r="HI1" i="4"/>
  <c r="HJ1" i="4"/>
  <c r="HK1" i="4"/>
  <c r="HL1" i="4"/>
  <c r="HM1" i="4"/>
  <c r="HN1" i="4"/>
  <c r="HO1" i="4"/>
  <c r="HP1" i="4"/>
  <c r="HQ1" i="4"/>
  <c r="HR1" i="4"/>
  <c r="HS1" i="4"/>
  <c r="HT1" i="4"/>
  <c r="HU1" i="4"/>
  <c r="HV1" i="4"/>
  <c r="HW1" i="4"/>
  <c r="HX1" i="4"/>
  <c r="HY1" i="4"/>
  <c r="HZ1" i="4"/>
  <c r="IA1" i="4"/>
  <c r="IB1" i="4"/>
  <c r="IC1" i="4"/>
  <c r="ID1" i="4"/>
  <c r="IE1" i="4"/>
  <c r="IF1" i="4"/>
  <c r="IG1" i="4"/>
  <c r="IH1" i="4"/>
  <c r="II1" i="4"/>
  <c r="IJ1" i="4"/>
  <c r="IK1" i="4"/>
  <c r="IL1" i="4"/>
  <c r="IM1" i="4"/>
  <c r="IN1" i="4"/>
  <c r="IO1" i="4"/>
  <c r="IP1" i="4"/>
  <c r="IQ1" i="4"/>
  <c r="IR1" i="4"/>
  <c r="IS1" i="4"/>
  <c r="IT1" i="4"/>
  <c r="IU1" i="4"/>
  <c r="IV1" i="4"/>
  <c r="R15" i="1" l="1"/>
  <c r="BA11" i="1"/>
  <c r="L16" i="1" s="1"/>
  <c r="AZ11" i="1"/>
  <c r="AZ10" i="1"/>
  <c r="G15" i="1"/>
  <c r="O15" i="1" s="1"/>
  <c r="BA10" i="1"/>
  <c r="L15" i="1" s="1"/>
  <c r="I14" i="3" s="1"/>
  <c r="C14" i="3"/>
  <c r="C35" i="9" s="1"/>
  <c r="R16" i="1"/>
  <c r="R17" i="1" s="1"/>
  <c r="R18" i="1" s="1"/>
  <c r="O14" i="3"/>
  <c r="H15" i="1"/>
  <c r="E14" i="3" s="1"/>
  <c r="D35" i="9" s="1"/>
  <c r="D14" i="3"/>
  <c r="L21" i="3"/>
  <c r="AB22" i="1"/>
  <c r="Y21" i="3" s="1"/>
  <c r="S15" i="1"/>
  <c r="H16" i="1"/>
  <c r="E15" i="3" s="1"/>
  <c r="D36" i="9" s="1"/>
  <c r="G16" i="1"/>
  <c r="D15" i="3" s="1"/>
  <c r="C15" i="3"/>
  <c r="C36" i="9" s="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Q151" i="4" s="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Z168" i="4" s="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Q202" i="4" s="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Z219" i="4" s="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1033" i="1"/>
  <c r="AA1034" i="1"/>
  <c r="AA1035" i="1"/>
  <c r="AA1036" i="1"/>
  <c r="AA1037" i="1"/>
  <c r="O496" i="1"/>
  <c r="O497" i="1"/>
  <c r="AB497" i="1" s="1"/>
  <c r="O498" i="1"/>
  <c r="AB498" i="1" s="1"/>
  <c r="O499" i="1"/>
  <c r="AB499" i="1" s="1"/>
  <c r="O500" i="1"/>
  <c r="AB500" i="1" s="1"/>
  <c r="O501" i="1"/>
  <c r="AB501" i="1" s="1"/>
  <c r="O502" i="1"/>
  <c r="AB502" i="1" s="1"/>
  <c r="O503" i="1"/>
  <c r="AB503" i="1" s="1"/>
  <c r="O504" i="1"/>
  <c r="AB504" i="1" s="1"/>
  <c r="O505" i="1"/>
  <c r="AB505" i="1" s="1"/>
  <c r="O506" i="1"/>
  <c r="AB506" i="1" s="1"/>
  <c r="O507" i="1"/>
  <c r="AB507" i="1" s="1"/>
  <c r="O508" i="1"/>
  <c r="AB508" i="1" s="1"/>
  <c r="O509" i="1"/>
  <c r="AB509" i="1" s="1"/>
  <c r="O510" i="1"/>
  <c r="AB510" i="1" s="1"/>
  <c r="O511" i="1"/>
  <c r="AB511" i="1" s="1"/>
  <c r="O512" i="1"/>
  <c r="AB512" i="1" s="1"/>
  <c r="O513" i="1"/>
  <c r="AB513" i="1" s="1"/>
  <c r="O514" i="1"/>
  <c r="AB514" i="1" s="1"/>
  <c r="O515" i="1"/>
  <c r="AB515" i="1" s="1"/>
  <c r="O516" i="1"/>
  <c r="AB516" i="1" s="1"/>
  <c r="O517" i="1"/>
  <c r="AB517" i="1" s="1"/>
  <c r="O518" i="1"/>
  <c r="AB518" i="1" s="1"/>
  <c r="O519" i="1"/>
  <c r="AB519" i="1" s="1"/>
  <c r="O520" i="1"/>
  <c r="AB520" i="1" s="1"/>
  <c r="O521" i="1"/>
  <c r="AB521" i="1" s="1"/>
  <c r="O522" i="1"/>
  <c r="AB522" i="1" s="1"/>
  <c r="O523" i="1"/>
  <c r="AB523" i="1" s="1"/>
  <c r="O524" i="1"/>
  <c r="AB524" i="1" s="1"/>
  <c r="O525" i="1"/>
  <c r="AB525" i="1" s="1"/>
  <c r="O526" i="1"/>
  <c r="AB526" i="1" s="1"/>
  <c r="O527" i="1"/>
  <c r="AB527" i="1" s="1"/>
  <c r="O528" i="1"/>
  <c r="AB528" i="1" s="1"/>
  <c r="O529" i="1"/>
  <c r="AB529" i="1" s="1"/>
  <c r="O530" i="1"/>
  <c r="AB530" i="1" s="1"/>
  <c r="O531" i="1"/>
  <c r="AB531" i="1" s="1"/>
  <c r="O532" i="1"/>
  <c r="AB532" i="1" s="1"/>
  <c r="O533" i="1"/>
  <c r="AB533" i="1" s="1"/>
  <c r="O534" i="1"/>
  <c r="AB534" i="1" s="1"/>
  <c r="O535" i="1"/>
  <c r="AB535" i="1" s="1"/>
  <c r="O536" i="1"/>
  <c r="AB536" i="1" s="1"/>
  <c r="O537" i="1"/>
  <c r="AB537" i="1" s="1"/>
  <c r="O538" i="1"/>
  <c r="AB538" i="1" s="1"/>
  <c r="O539" i="1"/>
  <c r="AB539" i="1" s="1"/>
  <c r="O540" i="1"/>
  <c r="AB540" i="1" s="1"/>
  <c r="O541" i="1"/>
  <c r="AB541" i="1" s="1"/>
  <c r="O542" i="1"/>
  <c r="AB542" i="1" s="1"/>
  <c r="O543" i="1"/>
  <c r="AB543" i="1" s="1"/>
  <c r="O544" i="1"/>
  <c r="AB544" i="1" s="1"/>
  <c r="O545" i="1"/>
  <c r="AB545" i="1" s="1"/>
  <c r="O546" i="1"/>
  <c r="AB546" i="1" s="1"/>
  <c r="O547" i="1"/>
  <c r="AB547" i="1" s="1"/>
  <c r="O548" i="1"/>
  <c r="AB548" i="1" s="1"/>
  <c r="O549" i="1"/>
  <c r="AB549" i="1" s="1"/>
  <c r="O550" i="1"/>
  <c r="AB550" i="1" s="1"/>
  <c r="O551" i="1"/>
  <c r="AB551" i="1" s="1"/>
  <c r="O552" i="1"/>
  <c r="AB552" i="1" s="1"/>
  <c r="O553" i="1"/>
  <c r="AB553" i="1" s="1"/>
  <c r="O554" i="1"/>
  <c r="AB554" i="1" s="1"/>
  <c r="O555" i="1"/>
  <c r="AB555" i="1" s="1"/>
  <c r="O556" i="1"/>
  <c r="AB556" i="1" s="1"/>
  <c r="O557" i="1"/>
  <c r="AB557" i="1" s="1"/>
  <c r="O558" i="1"/>
  <c r="AB558" i="1" s="1"/>
  <c r="O559" i="1"/>
  <c r="AB559" i="1" s="1"/>
  <c r="O560" i="1"/>
  <c r="AB560" i="1" s="1"/>
  <c r="O561" i="1"/>
  <c r="AB561" i="1" s="1"/>
  <c r="O562" i="1"/>
  <c r="AB562" i="1" s="1"/>
  <c r="O563" i="1"/>
  <c r="AB563" i="1" s="1"/>
  <c r="O564" i="1"/>
  <c r="AB564" i="1" s="1"/>
  <c r="O565" i="1"/>
  <c r="AB565" i="1" s="1"/>
  <c r="O566" i="1"/>
  <c r="AB566" i="1" s="1"/>
  <c r="O567" i="1"/>
  <c r="AB567" i="1" s="1"/>
  <c r="O568" i="1"/>
  <c r="AB568" i="1" s="1"/>
  <c r="O569" i="1"/>
  <c r="AB569" i="1" s="1"/>
  <c r="O570" i="1"/>
  <c r="AB570" i="1" s="1"/>
  <c r="O571" i="1"/>
  <c r="AB571" i="1" s="1"/>
  <c r="O572" i="1"/>
  <c r="AB572" i="1" s="1"/>
  <c r="O573" i="1"/>
  <c r="AB573" i="1" s="1"/>
  <c r="O574" i="1"/>
  <c r="AB574" i="1" s="1"/>
  <c r="O575" i="1"/>
  <c r="AB575" i="1" s="1"/>
  <c r="O576" i="1"/>
  <c r="AB576" i="1" s="1"/>
  <c r="O577" i="1"/>
  <c r="AB577" i="1" s="1"/>
  <c r="O578" i="1"/>
  <c r="AB578" i="1" s="1"/>
  <c r="O579" i="1"/>
  <c r="AB579" i="1" s="1"/>
  <c r="O580" i="1"/>
  <c r="AB580" i="1" s="1"/>
  <c r="O581" i="1"/>
  <c r="AB581" i="1" s="1"/>
  <c r="O582" i="1"/>
  <c r="AB582" i="1" s="1"/>
  <c r="O583" i="1"/>
  <c r="AB583" i="1" s="1"/>
  <c r="O584" i="1"/>
  <c r="AB584" i="1" s="1"/>
  <c r="O585" i="1"/>
  <c r="AB585" i="1" s="1"/>
  <c r="O586" i="1"/>
  <c r="AB586" i="1" s="1"/>
  <c r="O587" i="1"/>
  <c r="AB587" i="1" s="1"/>
  <c r="O588" i="1"/>
  <c r="AB588" i="1" s="1"/>
  <c r="O589" i="1"/>
  <c r="AB589" i="1" s="1"/>
  <c r="O590" i="1"/>
  <c r="AB590" i="1" s="1"/>
  <c r="O591" i="1"/>
  <c r="AB591" i="1" s="1"/>
  <c r="AR150" i="4" s="1"/>
  <c r="O592" i="1"/>
  <c r="AB592" i="1" s="1"/>
  <c r="O593" i="1"/>
  <c r="AB593" i="1" s="1"/>
  <c r="O594" i="1"/>
  <c r="AB594" i="1" s="1"/>
  <c r="O595" i="1"/>
  <c r="AB595" i="1" s="1"/>
  <c r="O596" i="1"/>
  <c r="AB596" i="1" s="1"/>
  <c r="O597" i="1"/>
  <c r="AB597" i="1" s="1"/>
  <c r="O598" i="1"/>
  <c r="AB598" i="1" s="1"/>
  <c r="O599" i="1"/>
  <c r="AB599" i="1" s="1"/>
  <c r="O600" i="1"/>
  <c r="AB600" i="1" s="1"/>
  <c r="O601" i="1"/>
  <c r="AB601" i="1" s="1"/>
  <c r="O602" i="1"/>
  <c r="AB602" i="1" s="1"/>
  <c r="O603" i="1"/>
  <c r="AB603" i="1" s="1"/>
  <c r="O604" i="1"/>
  <c r="AB604" i="1" s="1"/>
  <c r="O605" i="1"/>
  <c r="AB605" i="1" s="1"/>
  <c r="O606" i="1"/>
  <c r="AB606" i="1" s="1"/>
  <c r="O607" i="1"/>
  <c r="AB607" i="1" s="1"/>
  <c r="O608" i="1"/>
  <c r="AB608" i="1" s="1"/>
  <c r="O609" i="1"/>
  <c r="AB609" i="1" s="1"/>
  <c r="O610" i="1"/>
  <c r="AB610" i="1" s="1"/>
  <c r="O611" i="1"/>
  <c r="AB611" i="1" s="1"/>
  <c r="O612" i="1"/>
  <c r="AB612" i="1" s="1"/>
  <c r="O613" i="1"/>
  <c r="AB613" i="1" s="1"/>
  <c r="O614" i="1"/>
  <c r="AB614" i="1" s="1"/>
  <c r="O615" i="1"/>
  <c r="AB615" i="1" s="1"/>
  <c r="O616" i="1"/>
  <c r="AB616" i="1" s="1"/>
  <c r="O617" i="1"/>
  <c r="AB617" i="1" s="1"/>
  <c r="O618" i="1"/>
  <c r="AB618" i="1" s="1"/>
  <c r="O619" i="1"/>
  <c r="AB619" i="1" s="1"/>
  <c r="O620" i="1"/>
  <c r="AB620" i="1" s="1"/>
  <c r="O621" i="1"/>
  <c r="AB621" i="1" s="1"/>
  <c r="O622" i="1"/>
  <c r="AB622" i="1" s="1"/>
  <c r="O623" i="1"/>
  <c r="AB623" i="1" s="1"/>
  <c r="O624" i="1"/>
  <c r="AB624" i="1" s="1"/>
  <c r="O625" i="1"/>
  <c r="AB625" i="1" s="1"/>
  <c r="O626" i="1"/>
  <c r="AB626" i="1" s="1"/>
  <c r="O627" i="1"/>
  <c r="AB627" i="1" s="1"/>
  <c r="O628" i="1"/>
  <c r="AB628" i="1" s="1"/>
  <c r="O629" i="1"/>
  <c r="AB629" i="1" s="1"/>
  <c r="O630" i="1"/>
  <c r="AB630" i="1" s="1"/>
  <c r="O631" i="1"/>
  <c r="AB631" i="1" s="1"/>
  <c r="O632" i="1"/>
  <c r="AB632" i="1" s="1"/>
  <c r="O633" i="1"/>
  <c r="AB633" i="1" s="1"/>
  <c r="O634" i="1"/>
  <c r="AB634" i="1" s="1"/>
  <c r="O635" i="1"/>
  <c r="AB635" i="1" s="1"/>
  <c r="O636" i="1"/>
  <c r="AB636" i="1" s="1"/>
  <c r="O637" i="1"/>
  <c r="AB637" i="1" s="1"/>
  <c r="O638" i="1"/>
  <c r="AB638" i="1" s="1"/>
  <c r="O639" i="1"/>
  <c r="AB639" i="1" s="1"/>
  <c r="O640" i="1"/>
  <c r="AB640" i="1" s="1"/>
  <c r="O641" i="1"/>
  <c r="AB641" i="1" s="1"/>
  <c r="O642" i="1"/>
  <c r="AB642" i="1" s="1"/>
  <c r="O643" i="1"/>
  <c r="AB643" i="1" s="1"/>
  <c r="O644" i="1"/>
  <c r="AB644" i="1" s="1"/>
  <c r="O645" i="1"/>
  <c r="AB645" i="1" s="1"/>
  <c r="O646" i="1"/>
  <c r="AB646" i="1" s="1"/>
  <c r="O647" i="1"/>
  <c r="AB647" i="1" s="1"/>
  <c r="O648" i="1"/>
  <c r="AB648" i="1" s="1"/>
  <c r="O649" i="1"/>
  <c r="AB649" i="1" s="1"/>
  <c r="O650" i="1"/>
  <c r="AB650" i="1" s="1"/>
  <c r="O651" i="1"/>
  <c r="AB651" i="1" s="1"/>
  <c r="O652" i="1"/>
  <c r="AB652" i="1" s="1"/>
  <c r="O653" i="1"/>
  <c r="AB653" i="1" s="1"/>
  <c r="O654" i="1"/>
  <c r="AB654" i="1" s="1"/>
  <c r="O655" i="1"/>
  <c r="AB655" i="1" s="1"/>
  <c r="O656" i="1"/>
  <c r="AB656" i="1" s="1"/>
  <c r="O657" i="1"/>
  <c r="AB657" i="1" s="1"/>
  <c r="O658" i="1"/>
  <c r="AB658" i="1" s="1"/>
  <c r="O659" i="1"/>
  <c r="AB659" i="1" s="1"/>
  <c r="O660" i="1"/>
  <c r="AB660" i="1" s="1"/>
  <c r="O661" i="1"/>
  <c r="AB661" i="1" s="1"/>
  <c r="O662" i="1"/>
  <c r="AB662" i="1" s="1"/>
  <c r="O663" i="1"/>
  <c r="AB663" i="1" s="1"/>
  <c r="O664" i="1"/>
  <c r="AB664" i="1" s="1"/>
  <c r="O665" i="1"/>
  <c r="AB665" i="1" s="1"/>
  <c r="O666" i="1"/>
  <c r="AB666" i="1" s="1"/>
  <c r="O667" i="1"/>
  <c r="AB667" i="1" s="1"/>
  <c r="O668" i="1"/>
  <c r="AB668" i="1" s="1"/>
  <c r="O669" i="1"/>
  <c r="AB669" i="1" s="1"/>
  <c r="O670" i="1"/>
  <c r="AB670" i="1" s="1"/>
  <c r="O671" i="1"/>
  <c r="AB671" i="1" s="1"/>
  <c r="O672" i="1"/>
  <c r="AB672" i="1" s="1"/>
  <c r="O673" i="1"/>
  <c r="AB673" i="1" s="1"/>
  <c r="O674" i="1"/>
  <c r="AB674" i="1" s="1"/>
  <c r="O675" i="1"/>
  <c r="AB675" i="1" s="1"/>
  <c r="O676" i="1"/>
  <c r="AB676" i="1" s="1"/>
  <c r="O677" i="1"/>
  <c r="AB677" i="1" s="1"/>
  <c r="O678" i="1"/>
  <c r="AB678" i="1" s="1"/>
  <c r="O679" i="1"/>
  <c r="AB679" i="1" s="1"/>
  <c r="O680" i="1"/>
  <c r="AB680" i="1" s="1"/>
  <c r="O681" i="1"/>
  <c r="AB681" i="1" s="1"/>
  <c r="O682" i="1"/>
  <c r="AB682" i="1" s="1"/>
  <c r="O683" i="1"/>
  <c r="AB683" i="1" s="1"/>
  <c r="O684" i="1"/>
  <c r="AB684" i="1" s="1"/>
  <c r="O685" i="1"/>
  <c r="AB685" i="1" s="1"/>
  <c r="O686" i="1"/>
  <c r="AB686" i="1" s="1"/>
  <c r="O687" i="1"/>
  <c r="AB687" i="1" s="1"/>
  <c r="O688" i="1"/>
  <c r="AB688" i="1" s="1"/>
  <c r="O689" i="1"/>
  <c r="AB689" i="1" s="1"/>
  <c r="O690" i="1"/>
  <c r="AB690" i="1" s="1"/>
  <c r="O691" i="1"/>
  <c r="AB691" i="1" s="1"/>
  <c r="O692" i="1"/>
  <c r="AB692" i="1" s="1"/>
  <c r="O693" i="1"/>
  <c r="AB693" i="1" s="1"/>
  <c r="O694" i="1"/>
  <c r="AB694" i="1" s="1"/>
  <c r="O695" i="1"/>
  <c r="AB695" i="1" s="1"/>
  <c r="O696" i="1"/>
  <c r="AB696" i="1" s="1"/>
  <c r="O697" i="1"/>
  <c r="AB697" i="1" s="1"/>
  <c r="O698" i="1"/>
  <c r="AB698" i="1" s="1"/>
  <c r="O699" i="1"/>
  <c r="AB699" i="1" s="1"/>
  <c r="O700" i="1"/>
  <c r="AB700" i="1" s="1"/>
  <c r="O701" i="1"/>
  <c r="AB701" i="1" s="1"/>
  <c r="O702" i="1"/>
  <c r="AB702" i="1" s="1"/>
  <c r="O703" i="1"/>
  <c r="AB703" i="1" s="1"/>
  <c r="O704" i="1"/>
  <c r="AB704" i="1" s="1"/>
  <c r="O705" i="1"/>
  <c r="AB705" i="1" s="1"/>
  <c r="O706" i="1"/>
  <c r="AB706" i="1" s="1"/>
  <c r="O707" i="1"/>
  <c r="AB707" i="1" s="1"/>
  <c r="O708" i="1"/>
  <c r="AB708" i="1" s="1"/>
  <c r="O709" i="1"/>
  <c r="AB709" i="1" s="1"/>
  <c r="O710" i="1"/>
  <c r="AB710" i="1" s="1"/>
  <c r="O711" i="1"/>
  <c r="O712" i="1"/>
  <c r="AB712" i="1" s="1"/>
  <c r="O713" i="1"/>
  <c r="AB713" i="1" s="1"/>
  <c r="O714" i="1"/>
  <c r="AB714" i="1" s="1"/>
  <c r="O715" i="1"/>
  <c r="AB715" i="1" s="1"/>
  <c r="O716" i="1"/>
  <c r="O717" i="1"/>
  <c r="AB717" i="1" s="1"/>
  <c r="O718" i="1"/>
  <c r="AB718" i="1" s="1"/>
  <c r="O719" i="1"/>
  <c r="AB719" i="1" s="1"/>
  <c r="O720" i="1"/>
  <c r="AB720" i="1" s="1"/>
  <c r="O721" i="1"/>
  <c r="AB721" i="1" s="1"/>
  <c r="O722" i="1"/>
  <c r="AB722" i="1" s="1"/>
  <c r="O723" i="1"/>
  <c r="AB723" i="1" s="1"/>
  <c r="O724" i="1"/>
  <c r="AB724" i="1" s="1"/>
  <c r="O725" i="1"/>
  <c r="AB725" i="1" s="1"/>
  <c r="O726" i="1"/>
  <c r="O727" i="1"/>
  <c r="AB727" i="1" s="1"/>
  <c r="O728" i="1"/>
  <c r="AB728" i="1" s="1"/>
  <c r="O729" i="1"/>
  <c r="AB729" i="1" s="1"/>
  <c r="O730" i="1"/>
  <c r="AB730" i="1" s="1"/>
  <c r="O731" i="1"/>
  <c r="O732" i="1"/>
  <c r="AB732" i="1" s="1"/>
  <c r="O733" i="1"/>
  <c r="AB733" i="1" s="1"/>
  <c r="O734" i="1"/>
  <c r="AB734" i="1" s="1"/>
  <c r="O735" i="1"/>
  <c r="AB735" i="1" s="1"/>
  <c r="O736" i="1"/>
  <c r="O737" i="1"/>
  <c r="AB737" i="1" s="1"/>
  <c r="O738" i="1"/>
  <c r="AB738" i="1" s="1"/>
  <c r="O739" i="1"/>
  <c r="AB739" i="1" s="1"/>
  <c r="O740" i="1"/>
  <c r="AB740" i="1" s="1"/>
  <c r="O741" i="1"/>
  <c r="O742" i="1"/>
  <c r="AB742" i="1" s="1"/>
  <c r="O743" i="1"/>
  <c r="AB743" i="1" s="1"/>
  <c r="O744" i="1"/>
  <c r="AB744" i="1" s="1"/>
  <c r="O745" i="1"/>
  <c r="AB745" i="1" s="1"/>
  <c r="O746" i="1"/>
  <c r="AB746" i="1" s="1"/>
  <c r="O747" i="1"/>
  <c r="AB747" i="1" s="1"/>
  <c r="O748" i="1"/>
  <c r="AB748" i="1" s="1"/>
  <c r="O749" i="1"/>
  <c r="AB749" i="1" s="1"/>
  <c r="O750" i="1"/>
  <c r="AB750" i="1" s="1"/>
  <c r="O751" i="1"/>
  <c r="AB751" i="1" s="1"/>
  <c r="O752" i="1"/>
  <c r="AB752" i="1" s="1"/>
  <c r="O753" i="1"/>
  <c r="AB753" i="1" s="1"/>
  <c r="O754" i="1"/>
  <c r="AB754" i="1" s="1"/>
  <c r="O755" i="1"/>
  <c r="AB755" i="1" s="1"/>
  <c r="O756" i="1"/>
  <c r="AB756" i="1" s="1"/>
  <c r="O757" i="1"/>
  <c r="AB757" i="1" s="1"/>
  <c r="O758" i="1"/>
  <c r="AB758" i="1" s="1"/>
  <c r="O759" i="1"/>
  <c r="AB759" i="1" s="1"/>
  <c r="O760" i="1"/>
  <c r="AB760" i="1" s="1"/>
  <c r="O761" i="1"/>
  <c r="AB761" i="1" s="1"/>
  <c r="O762" i="1"/>
  <c r="AB762" i="1" s="1"/>
  <c r="O763" i="1"/>
  <c r="AB763" i="1" s="1"/>
  <c r="O764" i="1"/>
  <c r="AB764" i="1" s="1"/>
  <c r="O765" i="1"/>
  <c r="AB765" i="1" s="1"/>
  <c r="O766" i="1"/>
  <c r="AB766" i="1" s="1"/>
  <c r="O767" i="1"/>
  <c r="AB767" i="1" s="1"/>
  <c r="O768" i="1"/>
  <c r="AB768" i="1" s="1"/>
  <c r="O769" i="1"/>
  <c r="AB769" i="1" s="1"/>
  <c r="O770" i="1"/>
  <c r="AB770" i="1" s="1"/>
  <c r="O771" i="1"/>
  <c r="AB771" i="1" s="1"/>
  <c r="O772" i="1"/>
  <c r="AB772" i="1" s="1"/>
  <c r="O773" i="1"/>
  <c r="AB773" i="1" s="1"/>
  <c r="O774" i="1"/>
  <c r="AB774" i="1" s="1"/>
  <c r="O775" i="1"/>
  <c r="AB775" i="1" s="1"/>
  <c r="O776" i="1"/>
  <c r="AB776" i="1" s="1"/>
  <c r="O777" i="1"/>
  <c r="AB777" i="1" s="1"/>
  <c r="O778" i="1"/>
  <c r="AB778" i="1" s="1"/>
  <c r="O779" i="1"/>
  <c r="AB779" i="1" s="1"/>
  <c r="O780" i="1"/>
  <c r="AB780" i="1" s="1"/>
  <c r="O781" i="1"/>
  <c r="AB781" i="1" s="1"/>
  <c r="O782" i="1"/>
  <c r="AB782" i="1" s="1"/>
  <c r="O783" i="1"/>
  <c r="AB783" i="1" s="1"/>
  <c r="O784" i="1"/>
  <c r="AB784" i="1" s="1"/>
  <c r="O785" i="1"/>
  <c r="AB785" i="1" s="1"/>
  <c r="O786" i="1"/>
  <c r="AB786" i="1" s="1"/>
  <c r="O787" i="1"/>
  <c r="AB787" i="1" s="1"/>
  <c r="O788" i="1"/>
  <c r="AB788" i="1" s="1"/>
  <c r="O789" i="1"/>
  <c r="AB789" i="1" s="1"/>
  <c r="O790" i="1"/>
  <c r="AB790" i="1" s="1"/>
  <c r="O791" i="1"/>
  <c r="AB791" i="1" s="1"/>
  <c r="O792" i="1"/>
  <c r="AB792" i="1" s="1"/>
  <c r="O793" i="1"/>
  <c r="AB793" i="1" s="1"/>
  <c r="O794" i="1"/>
  <c r="AB794" i="1" s="1"/>
  <c r="O795" i="1"/>
  <c r="AB795" i="1" s="1"/>
  <c r="O796" i="1"/>
  <c r="AB796" i="1" s="1"/>
  <c r="O797" i="1"/>
  <c r="AB797" i="1" s="1"/>
  <c r="O798" i="1"/>
  <c r="AB798" i="1" s="1"/>
  <c r="O799" i="1"/>
  <c r="AB799" i="1" s="1"/>
  <c r="O800" i="1"/>
  <c r="AB800" i="1" s="1"/>
  <c r="O801" i="1"/>
  <c r="AB801" i="1" s="1"/>
  <c r="O802" i="1"/>
  <c r="AB802" i="1" s="1"/>
  <c r="O803" i="1"/>
  <c r="AB803" i="1" s="1"/>
  <c r="O804" i="1"/>
  <c r="AB804" i="1" s="1"/>
  <c r="O805" i="1"/>
  <c r="AB805" i="1" s="1"/>
  <c r="O806" i="1"/>
  <c r="AB806" i="1" s="1"/>
  <c r="O807" i="1"/>
  <c r="AB807" i="1" s="1"/>
  <c r="O808" i="1"/>
  <c r="AB808" i="1" s="1"/>
  <c r="O809" i="1"/>
  <c r="AB809" i="1" s="1"/>
  <c r="O810" i="1"/>
  <c r="AB810" i="1" s="1"/>
  <c r="O811" i="1"/>
  <c r="AB811" i="1" s="1"/>
  <c r="O812" i="1"/>
  <c r="AB812" i="1" s="1"/>
  <c r="O813" i="1"/>
  <c r="AB813" i="1" s="1"/>
  <c r="O814" i="1"/>
  <c r="AB814" i="1" s="1"/>
  <c r="O815" i="1"/>
  <c r="AB815" i="1" s="1"/>
  <c r="O816" i="1"/>
  <c r="AB816" i="1" s="1"/>
  <c r="O817" i="1"/>
  <c r="AB817" i="1" s="1"/>
  <c r="O818" i="1"/>
  <c r="AB818" i="1" s="1"/>
  <c r="O819" i="1"/>
  <c r="AB819" i="1" s="1"/>
  <c r="O820" i="1"/>
  <c r="AB820" i="1" s="1"/>
  <c r="O821" i="1"/>
  <c r="AB821" i="1" s="1"/>
  <c r="O822" i="1"/>
  <c r="AB822" i="1" s="1"/>
  <c r="O823" i="1"/>
  <c r="AB823" i="1" s="1"/>
  <c r="O824" i="1"/>
  <c r="AB824" i="1" s="1"/>
  <c r="O825" i="1"/>
  <c r="AB825" i="1" s="1"/>
  <c r="O826" i="1"/>
  <c r="AB826" i="1" s="1"/>
  <c r="O827" i="1"/>
  <c r="AB827" i="1" s="1"/>
  <c r="O828" i="1"/>
  <c r="AB828" i="1" s="1"/>
  <c r="O829" i="1"/>
  <c r="AB829" i="1" s="1"/>
  <c r="O830" i="1"/>
  <c r="AB830" i="1" s="1"/>
  <c r="O831" i="1"/>
  <c r="AB831" i="1" s="1"/>
  <c r="O832" i="1"/>
  <c r="AB832" i="1" s="1"/>
  <c r="O833" i="1"/>
  <c r="AB833" i="1" s="1"/>
  <c r="O834" i="1"/>
  <c r="AB834" i="1" s="1"/>
  <c r="O835" i="1"/>
  <c r="AB835" i="1" s="1"/>
  <c r="O836" i="1"/>
  <c r="AB836" i="1" s="1"/>
  <c r="O837" i="1"/>
  <c r="AB837" i="1" s="1"/>
  <c r="O838" i="1"/>
  <c r="AB838" i="1" s="1"/>
  <c r="O839" i="1"/>
  <c r="AB839" i="1" s="1"/>
  <c r="O840" i="1"/>
  <c r="AB840" i="1" s="1"/>
  <c r="O841" i="1"/>
  <c r="AB841" i="1" s="1"/>
  <c r="O842" i="1"/>
  <c r="AB842" i="1" s="1"/>
  <c r="O843" i="1"/>
  <c r="AB843" i="1" s="1"/>
  <c r="O844" i="1"/>
  <c r="AB844" i="1" s="1"/>
  <c r="O845" i="1"/>
  <c r="AB845" i="1" s="1"/>
  <c r="O846" i="1"/>
  <c r="AB846" i="1" s="1"/>
  <c r="O847" i="1"/>
  <c r="AB847" i="1" s="1"/>
  <c r="AR201" i="4" s="1"/>
  <c r="O848" i="1"/>
  <c r="AB848" i="1" s="1"/>
  <c r="O849" i="1"/>
  <c r="AB849" i="1" s="1"/>
  <c r="O850" i="1"/>
  <c r="AB850" i="1" s="1"/>
  <c r="O851" i="1"/>
  <c r="AB851" i="1" s="1"/>
  <c r="O852" i="1"/>
  <c r="AB852" i="1" s="1"/>
  <c r="O853" i="1"/>
  <c r="AB853" i="1" s="1"/>
  <c r="O854" i="1"/>
  <c r="AB854" i="1" s="1"/>
  <c r="O855" i="1"/>
  <c r="AB855" i="1" s="1"/>
  <c r="O856" i="1"/>
  <c r="AB856" i="1" s="1"/>
  <c r="O857" i="1"/>
  <c r="AB857" i="1" s="1"/>
  <c r="O858" i="1"/>
  <c r="AB858" i="1" s="1"/>
  <c r="O859" i="1"/>
  <c r="AB859" i="1" s="1"/>
  <c r="O860" i="1"/>
  <c r="AB860" i="1" s="1"/>
  <c r="O861" i="1"/>
  <c r="AB861" i="1" s="1"/>
  <c r="O862" i="1"/>
  <c r="AB862" i="1" s="1"/>
  <c r="O863" i="1"/>
  <c r="AB863" i="1" s="1"/>
  <c r="O864" i="1"/>
  <c r="AB864" i="1" s="1"/>
  <c r="O865" i="1"/>
  <c r="AB865" i="1" s="1"/>
  <c r="O866" i="1"/>
  <c r="AB866" i="1" s="1"/>
  <c r="O867" i="1"/>
  <c r="AB867" i="1" s="1"/>
  <c r="O868" i="1"/>
  <c r="AB868" i="1" s="1"/>
  <c r="O869" i="1"/>
  <c r="AB869" i="1" s="1"/>
  <c r="O870" i="1"/>
  <c r="AB870" i="1" s="1"/>
  <c r="O871" i="1"/>
  <c r="AB871" i="1" s="1"/>
  <c r="O872" i="1"/>
  <c r="AB872" i="1" s="1"/>
  <c r="O873" i="1"/>
  <c r="AB873" i="1" s="1"/>
  <c r="O874" i="1"/>
  <c r="AB874" i="1" s="1"/>
  <c r="O875" i="1"/>
  <c r="AB875" i="1" s="1"/>
  <c r="O876" i="1"/>
  <c r="AB876" i="1" s="1"/>
  <c r="O877" i="1"/>
  <c r="AB877" i="1" s="1"/>
  <c r="O878" i="1"/>
  <c r="AB878" i="1" s="1"/>
  <c r="O879" i="1"/>
  <c r="AB879" i="1" s="1"/>
  <c r="O880" i="1"/>
  <c r="AB880" i="1" s="1"/>
  <c r="O881" i="1"/>
  <c r="AB881" i="1" s="1"/>
  <c r="O882" i="1"/>
  <c r="AB882" i="1" s="1"/>
  <c r="O883" i="1"/>
  <c r="AB883" i="1" s="1"/>
  <c r="O884" i="1"/>
  <c r="AB884" i="1" s="1"/>
  <c r="O885" i="1"/>
  <c r="AB885" i="1" s="1"/>
  <c r="O886" i="1"/>
  <c r="AB886" i="1" s="1"/>
  <c r="O887" i="1"/>
  <c r="AB887" i="1" s="1"/>
  <c r="O888" i="1"/>
  <c r="AB888" i="1" s="1"/>
  <c r="O889" i="1"/>
  <c r="AB889" i="1" s="1"/>
  <c r="O890" i="1"/>
  <c r="AB890" i="1" s="1"/>
  <c r="O891" i="1"/>
  <c r="AB891" i="1" s="1"/>
  <c r="O892" i="1"/>
  <c r="AB892" i="1" s="1"/>
  <c r="O893" i="1"/>
  <c r="AB893" i="1" s="1"/>
  <c r="O894" i="1"/>
  <c r="AB894" i="1" s="1"/>
  <c r="O895" i="1"/>
  <c r="AB895" i="1" s="1"/>
  <c r="O896" i="1"/>
  <c r="AB896" i="1" s="1"/>
  <c r="O897" i="1"/>
  <c r="AB897" i="1" s="1"/>
  <c r="O898" i="1"/>
  <c r="AB898" i="1" s="1"/>
  <c r="O899" i="1"/>
  <c r="AB899" i="1" s="1"/>
  <c r="O900" i="1"/>
  <c r="AB900" i="1" s="1"/>
  <c r="O901" i="1"/>
  <c r="AB901" i="1" s="1"/>
  <c r="O902" i="1"/>
  <c r="AB902" i="1" s="1"/>
  <c r="O903" i="1"/>
  <c r="AB903" i="1" s="1"/>
  <c r="O904" i="1"/>
  <c r="AB904" i="1" s="1"/>
  <c r="O905" i="1"/>
  <c r="AB905" i="1" s="1"/>
  <c r="O906" i="1"/>
  <c r="AB906" i="1" s="1"/>
  <c r="O907" i="1"/>
  <c r="AB907" i="1" s="1"/>
  <c r="O908" i="1"/>
  <c r="AB908" i="1" s="1"/>
  <c r="O909" i="1"/>
  <c r="AB909" i="1" s="1"/>
  <c r="O910" i="1"/>
  <c r="AB910" i="1" s="1"/>
  <c r="O911" i="1"/>
  <c r="AB911" i="1" s="1"/>
  <c r="O912" i="1"/>
  <c r="AB912" i="1" s="1"/>
  <c r="O913" i="1"/>
  <c r="AB913" i="1" s="1"/>
  <c r="O914" i="1"/>
  <c r="AB914" i="1" s="1"/>
  <c r="O915" i="1"/>
  <c r="AB915" i="1" s="1"/>
  <c r="O916" i="1"/>
  <c r="AB916" i="1" s="1"/>
  <c r="O917" i="1"/>
  <c r="AB917" i="1" s="1"/>
  <c r="O918" i="1"/>
  <c r="AB918" i="1" s="1"/>
  <c r="O919" i="1"/>
  <c r="AB919" i="1" s="1"/>
  <c r="O920" i="1"/>
  <c r="AB920" i="1" s="1"/>
  <c r="O921" i="1"/>
  <c r="AB921" i="1" s="1"/>
  <c r="O922" i="1"/>
  <c r="AB922" i="1" s="1"/>
  <c r="O923" i="1"/>
  <c r="AB923" i="1" s="1"/>
  <c r="O924" i="1"/>
  <c r="AB924" i="1" s="1"/>
  <c r="O925" i="1"/>
  <c r="AB925" i="1" s="1"/>
  <c r="O926" i="1"/>
  <c r="AB926" i="1" s="1"/>
  <c r="O927" i="1"/>
  <c r="AB927" i="1" s="1"/>
  <c r="O928" i="1"/>
  <c r="AB928" i="1" s="1"/>
  <c r="O929" i="1"/>
  <c r="AB929" i="1" s="1"/>
  <c r="O930" i="1"/>
  <c r="AB930" i="1" s="1"/>
  <c r="O931" i="1"/>
  <c r="AB931" i="1" s="1"/>
  <c r="O932" i="1"/>
  <c r="AB932" i="1" s="1"/>
  <c r="O933" i="1"/>
  <c r="AB933" i="1" s="1"/>
  <c r="O934" i="1"/>
  <c r="AB934" i="1" s="1"/>
  <c r="O935" i="1"/>
  <c r="AB935" i="1" s="1"/>
  <c r="O936" i="1"/>
  <c r="AB936" i="1" s="1"/>
  <c r="O937" i="1"/>
  <c r="AB937" i="1" s="1"/>
  <c r="O938" i="1"/>
  <c r="AB938" i="1" s="1"/>
  <c r="O939" i="1"/>
  <c r="AB939" i="1" s="1"/>
  <c r="O940" i="1"/>
  <c r="AB940" i="1" s="1"/>
  <c r="O941" i="1"/>
  <c r="AB941" i="1" s="1"/>
  <c r="O942" i="1"/>
  <c r="AB942" i="1" s="1"/>
  <c r="O943" i="1"/>
  <c r="AB943" i="1" s="1"/>
  <c r="O944" i="1"/>
  <c r="AB944" i="1" s="1"/>
  <c r="O945" i="1"/>
  <c r="AB945" i="1" s="1"/>
  <c r="O946" i="1"/>
  <c r="AB946" i="1" s="1"/>
  <c r="O947" i="1"/>
  <c r="AB947" i="1" s="1"/>
  <c r="O948" i="1"/>
  <c r="AB948" i="1" s="1"/>
  <c r="O949" i="1"/>
  <c r="AB949" i="1" s="1"/>
  <c r="O950" i="1"/>
  <c r="AB950" i="1" s="1"/>
  <c r="O951" i="1"/>
  <c r="AB951" i="1" s="1"/>
  <c r="O952" i="1"/>
  <c r="AB952" i="1" s="1"/>
  <c r="O953" i="1"/>
  <c r="AB953" i="1" s="1"/>
  <c r="O954" i="1"/>
  <c r="AB954" i="1" s="1"/>
  <c r="O955" i="1"/>
  <c r="AB955" i="1" s="1"/>
  <c r="O956" i="1"/>
  <c r="AB956" i="1" s="1"/>
  <c r="O957" i="1"/>
  <c r="AB957" i="1" s="1"/>
  <c r="O958" i="1"/>
  <c r="AB958" i="1" s="1"/>
  <c r="O959" i="1"/>
  <c r="AB959" i="1" s="1"/>
  <c r="O960" i="1"/>
  <c r="AB960" i="1" s="1"/>
  <c r="O961" i="1"/>
  <c r="AB961" i="1" s="1"/>
  <c r="O962" i="1"/>
  <c r="AB962" i="1" s="1"/>
  <c r="O963" i="1"/>
  <c r="AB963" i="1" s="1"/>
  <c r="O964" i="1"/>
  <c r="AB964" i="1" s="1"/>
  <c r="O965" i="1"/>
  <c r="AB965" i="1" s="1"/>
  <c r="O966" i="1"/>
  <c r="AB966" i="1" s="1"/>
  <c r="O967" i="1"/>
  <c r="O968" i="1"/>
  <c r="AB968" i="1" s="1"/>
  <c r="O969" i="1"/>
  <c r="AB969" i="1" s="1"/>
  <c r="O970" i="1"/>
  <c r="AB970" i="1" s="1"/>
  <c r="O971" i="1"/>
  <c r="AB971" i="1" s="1"/>
  <c r="O972" i="1"/>
  <c r="O973" i="1"/>
  <c r="AB973" i="1" s="1"/>
  <c r="O974" i="1"/>
  <c r="AB974" i="1" s="1"/>
  <c r="O975" i="1"/>
  <c r="AB975" i="1" s="1"/>
  <c r="O976" i="1"/>
  <c r="AB976" i="1" s="1"/>
  <c r="O977" i="1"/>
  <c r="AB977" i="1" s="1"/>
  <c r="O978" i="1"/>
  <c r="AB978" i="1" s="1"/>
  <c r="O979" i="1"/>
  <c r="AB979" i="1" s="1"/>
  <c r="O980" i="1"/>
  <c r="AB980" i="1" s="1"/>
  <c r="O981" i="1"/>
  <c r="AB981" i="1" s="1"/>
  <c r="O982" i="1"/>
  <c r="O983" i="1"/>
  <c r="AB983" i="1" s="1"/>
  <c r="O984" i="1"/>
  <c r="AB984" i="1" s="1"/>
  <c r="O985" i="1"/>
  <c r="AB985" i="1" s="1"/>
  <c r="O986" i="1"/>
  <c r="AB986" i="1" s="1"/>
  <c r="O987" i="1"/>
  <c r="O988" i="1"/>
  <c r="AB988" i="1" s="1"/>
  <c r="O989" i="1"/>
  <c r="AB989" i="1" s="1"/>
  <c r="O990" i="1"/>
  <c r="AB990" i="1" s="1"/>
  <c r="O991" i="1"/>
  <c r="AB991" i="1" s="1"/>
  <c r="O992" i="1"/>
  <c r="O993" i="1"/>
  <c r="AB993" i="1" s="1"/>
  <c r="O994" i="1"/>
  <c r="AB994" i="1" s="1"/>
  <c r="O995" i="1"/>
  <c r="AB995" i="1" s="1"/>
  <c r="O996" i="1"/>
  <c r="AB996" i="1" s="1"/>
  <c r="O997" i="1"/>
  <c r="O998" i="1"/>
  <c r="AB998" i="1" s="1"/>
  <c r="O999" i="1"/>
  <c r="AB999" i="1" s="1"/>
  <c r="O1000" i="1"/>
  <c r="AB1000" i="1" s="1"/>
  <c r="O1001" i="1"/>
  <c r="AB1001" i="1" s="1"/>
  <c r="O1002" i="1"/>
  <c r="AB1002" i="1" s="1"/>
  <c r="O1003" i="1"/>
  <c r="AB1003" i="1" s="1"/>
  <c r="O1004" i="1"/>
  <c r="AB1004" i="1" s="1"/>
  <c r="O1005" i="1"/>
  <c r="AB1005" i="1" s="1"/>
  <c r="O1006" i="1"/>
  <c r="AB1006" i="1" s="1"/>
  <c r="O1007" i="1"/>
  <c r="AB1007" i="1" s="1"/>
  <c r="O1008" i="1"/>
  <c r="AB1008" i="1" s="1"/>
  <c r="O1009" i="1"/>
  <c r="AB1009" i="1" s="1"/>
  <c r="O1010" i="1"/>
  <c r="AB1010" i="1" s="1"/>
  <c r="O1011" i="1"/>
  <c r="AB1011" i="1" s="1"/>
  <c r="O1012" i="1"/>
  <c r="AB1012" i="1" s="1"/>
  <c r="O1013" i="1"/>
  <c r="AB1013" i="1" s="1"/>
  <c r="O1014" i="1"/>
  <c r="AB1014" i="1" s="1"/>
  <c r="O1015" i="1"/>
  <c r="AB1015" i="1" s="1"/>
  <c r="O1016" i="1"/>
  <c r="AB1016" i="1" s="1"/>
  <c r="O1017" i="1"/>
  <c r="AB1017" i="1" s="1"/>
  <c r="O1018" i="1"/>
  <c r="AB1018" i="1" s="1"/>
  <c r="O1019" i="1"/>
  <c r="O1020" i="1"/>
  <c r="AB1020" i="1" s="1"/>
  <c r="O1021" i="1"/>
  <c r="O1022" i="1"/>
  <c r="AB1022" i="1" s="1"/>
  <c r="O1023" i="1"/>
  <c r="AB1023" i="1" s="1"/>
  <c r="O1024" i="1"/>
  <c r="AB1024" i="1" s="1"/>
  <c r="O1025" i="1"/>
  <c r="AB1025" i="1" s="1"/>
  <c r="O1026" i="1"/>
  <c r="AB1026" i="1" s="1"/>
  <c r="O1027" i="1"/>
  <c r="AB1027" i="1" s="1"/>
  <c r="O1028" i="1"/>
  <c r="AB1028" i="1" s="1"/>
  <c r="O1029" i="1"/>
  <c r="AB1029" i="1" s="1"/>
  <c r="O1030" i="1"/>
  <c r="AB1030" i="1" s="1"/>
  <c r="O1031" i="1"/>
  <c r="AB1031" i="1" s="1"/>
  <c r="O1032" i="1"/>
  <c r="AB1032" i="1" s="1"/>
  <c r="O1033" i="1"/>
  <c r="AB1033" i="1" s="1"/>
  <c r="O1034" i="1"/>
  <c r="AB1034" i="1" s="1"/>
  <c r="O1035" i="1"/>
  <c r="AB1035" i="1" s="1"/>
  <c r="O1036" i="1"/>
  <c r="AB1036" i="1" s="1"/>
  <c r="O1037" i="1"/>
  <c r="AB1037" i="1" s="1"/>
  <c r="F77" i="2"/>
  <c r="H77" i="2"/>
  <c r="J77" i="2"/>
  <c r="K77" i="2"/>
  <c r="L77" i="2"/>
  <c r="M77" i="2"/>
  <c r="N77" i="2"/>
  <c r="O77" i="2"/>
  <c r="P77" i="2"/>
  <c r="Q77" i="2"/>
  <c r="R77" i="2"/>
  <c r="S77" i="2"/>
  <c r="T77" i="2"/>
  <c r="U77" i="2"/>
  <c r="V77" i="2"/>
  <c r="W77" i="2"/>
  <c r="X77" i="2"/>
  <c r="Y77" i="2"/>
  <c r="Z77" i="2"/>
  <c r="AA77" i="2"/>
  <c r="AB77" i="2"/>
  <c r="D77" i="2"/>
  <c r="P76" i="2"/>
  <c r="Q76" i="2"/>
  <c r="F76" i="2"/>
  <c r="H76" i="2"/>
  <c r="J76" i="2"/>
  <c r="K76" i="2"/>
  <c r="L76" i="2"/>
  <c r="M76" i="2"/>
  <c r="N76" i="2"/>
  <c r="O76" i="2"/>
  <c r="D76" i="2"/>
  <c r="O16" i="1" l="1"/>
  <c r="O15" i="3"/>
  <c r="L14" i="3"/>
  <c r="L17" i="1"/>
  <c r="I15" i="3"/>
  <c r="S16" i="1"/>
  <c r="O17" i="3"/>
  <c r="O16" i="3"/>
  <c r="L15" i="3"/>
  <c r="P14" i="3"/>
  <c r="AA15" i="1"/>
  <c r="H17" i="1"/>
  <c r="E16" i="3" s="1"/>
  <c r="D37" i="9" s="1"/>
  <c r="G17" i="1"/>
  <c r="C16" i="3"/>
  <c r="C37" i="9" s="1"/>
  <c r="AA218" i="4"/>
  <c r="AA167" i="4"/>
  <c r="AB997" i="1"/>
  <c r="N231" i="4"/>
  <c r="AB741" i="1"/>
  <c r="N180" i="4"/>
  <c r="AB217" i="4"/>
  <c r="AB166" i="4"/>
  <c r="AB992" i="1"/>
  <c r="O230" i="4"/>
  <c r="AB736" i="1"/>
  <c r="O179" i="4"/>
  <c r="AC216" i="4"/>
  <c r="AC165" i="4"/>
  <c r="AB987" i="1"/>
  <c r="P229" i="4"/>
  <c r="AB731" i="1"/>
  <c r="P178" i="4"/>
  <c r="AB982" i="1"/>
  <c r="Q228" i="4"/>
  <c r="AB726" i="1"/>
  <c r="Q177" i="4"/>
  <c r="AB972" i="1"/>
  <c r="S226" i="4"/>
  <c r="AB716" i="1"/>
  <c r="S175" i="4"/>
  <c r="AH211" i="4"/>
  <c r="AH160" i="4"/>
  <c r="AB967" i="1"/>
  <c r="T225" i="4"/>
  <c r="AB711" i="1"/>
  <c r="T174" i="4"/>
  <c r="AB1019" i="1"/>
  <c r="AB1021" i="1"/>
  <c r="AB496" i="1"/>
  <c r="H33" i="4"/>
  <c r="H84" i="4"/>
  <c r="G85" i="4"/>
  <c r="H135" i="4"/>
  <c r="G136" i="4"/>
  <c r="H186" i="4"/>
  <c r="G187" i="4"/>
  <c r="H237" i="4"/>
  <c r="G238" i="4"/>
  <c r="T21" i="4"/>
  <c r="O27" i="1"/>
  <c r="AA27" i="1"/>
  <c r="O28" i="1"/>
  <c r="AA28" i="1"/>
  <c r="O29" i="1"/>
  <c r="AA29" i="1"/>
  <c r="O30" i="1"/>
  <c r="AA30" i="1"/>
  <c r="O31" i="1"/>
  <c r="AA31" i="1"/>
  <c r="O32" i="1"/>
  <c r="AA32" i="1"/>
  <c r="O33" i="1"/>
  <c r="AA33" i="1"/>
  <c r="O34" i="1"/>
  <c r="AA34" i="1"/>
  <c r="O35" i="1"/>
  <c r="AA35" i="1"/>
  <c r="O36" i="1"/>
  <c r="AA36" i="1"/>
  <c r="O37" i="1"/>
  <c r="AA37" i="1"/>
  <c r="O38" i="1"/>
  <c r="AA38" i="1"/>
  <c r="O39" i="1"/>
  <c r="AA39" i="1"/>
  <c r="O40" i="1"/>
  <c r="AA40" i="1"/>
  <c r="O41" i="1"/>
  <c r="AA41" i="1"/>
  <c r="O42" i="1"/>
  <c r="AA42" i="1"/>
  <c r="O86" i="1"/>
  <c r="AA86" i="1"/>
  <c r="O87" i="1"/>
  <c r="AA87" i="1"/>
  <c r="O88" i="1"/>
  <c r="AA88" i="1"/>
  <c r="O89" i="1"/>
  <c r="AA89" i="1"/>
  <c r="O90" i="1"/>
  <c r="AA90" i="1"/>
  <c r="O91" i="1"/>
  <c r="AA91" i="1"/>
  <c r="O92" i="1"/>
  <c r="AA92" i="1"/>
  <c r="O93" i="1"/>
  <c r="AA93" i="1"/>
  <c r="O94" i="1"/>
  <c r="AA94" i="1"/>
  <c r="O95" i="1"/>
  <c r="AA95" i="1"/>
  <c r="O96" i="1"/>
  <c r="AA96" i="1"/>
  <c r="O97" i="1"/>
  <c r="AA97" i="1"/>
  <c r="O98" i="1"/>
  <c r="AA98" i="1"/>
  <c r="O99" i="1"/>
  <c r="AA99" i="1"/>
  <c r="O100" i="1"/>
  <c r="AA100" i="1"/>
  <c r="O101" i="1"/>
  <c r="AA101" i="1"/>
  <c r="O102" i="1"/>
  <c r="AA102" i="1"/>
  <c r="O103" i="1"/>
  <c r="AA103" i="1"/>
  <c r="O104" i="1"/>
  <c r="AA104" i="1"/>
  <c r="O105" i="1"/>
  <c r="AA105" i="1"/>
  <c r="O106" i="1"/>
  <c r="AA106" i="1"/>
  <c r="O107" i="1"/>
  <c r="AA107" i="1"/>
  <c r="O108" i="1"/>
  <c r="AA108" i="1"/>
  <c r="O109" i="1"/>
  <c r="AA109" i="1"/>
  <c r="O110" i="1"/>
  <c r="AA110" i="1"/>
  <c r="O111" i="1"/>
  <c r="AA111" i="1"/>
  <c r="O112" i="1"/>
  <c r="AA112" i="1"/>
  <c r="O113" i="1"/>
  <c r="AA113" i="1"/>
  <c r="O114" i="1"/>
  <c r="AA114" i="1"/>
  <c r="O115" i="1"/>
  <c r="AA115" i="1"/>
  <c r="O116" i="1"/>
  <c r="AA116" i="1"/>
  <c r="O117" i="1"/>
  <c r="AA117" i="1"/>
  <c r="O118" i="1"/>
  <c r="AA118" i="1"/>
  <c r="O119" i="1"/>
  <c r="AA119" i="1"/>
  <c r="O120" i="1"/>
  <c r="AA120" i="1"/>
  <c r="O121" i="1"/>
  <c r="AA121" i="1"/>
  <c r="O122" i="1"/>
  <c r="AA122" i="1"/>
  <c r="O123" i="1"/>
  <c r="AA123" i="1"/>
  <c r="O124" i="1"/>
  <c r="AA124" i="1"/>
  <c r="O125" i="1"/>
  <c r="AA125" i="1"/>
  <c r="O126" i="1"/>
  <c r="AA126" i="1"/>
  <c r="O127" i="1"/>
  <c r="AA127" i="1"/>
  <c r="O128" i="1"/>
  <c r="AA128" i="1"/>
  <c r="O129" i="1"/>
  <c r="AA129" i="1"/>
  <c r="O130" i="1"/>
  <c r="AA130" i="1"/>
  <c r="O131" i="1"/>
  <c r="AA131" i="1"/>
  <c r="O132" i="1"/>
  <c r="AA132" i="1"/>
  <c r="O133" i="1"/>
  <c r="AA133" i="1"/>
  <c r="O134" i="1"/>
  <c r="AA134" i="1"/>
  <c r="O135" i="1"/>
  <c r="AA135" i="1"/>
  <c r="O136" i="1"/>
  <c r="AA136" i="1"/>
  <c r="O137" i="1"/>
  <c r="AA137" i="1"/>
  <c r="O138" i="1"/>
  <c r="AA138" i="1"/>
  <c r="O139" i="1"/>
  <c r="AA139" i="1"/>
  <c r="O140" i="1"/>
  <c r="AA140" i="1"/>
  <c r="O141" i="1"/>
  <c r="AA141" i="1"/>
  <c r="O142" i="1"/>
  <c r="AA142" i="1"/>
  <c r="O143" i="1"/>
  <c r="AA143" i="1"/>
  <c r="O144" i="1"/>
  <c r="AA144" i="1"/>
  <c r="O145" i="1"/>
  <c r="AA145" i="1"/>
  <c r="O146" i="1"/>
  <c r="AA146" i="1"/>
  <c r="O147" i="1"/>
  <c r="AA147" i="1"/>
  <c r="O148" i="1"/>
  <c r="AA148" i="1"/>
  <c r="O149" i="1"/>
  <c r="AA149" i="1"/>
  <c r="O150" i="1"/>
  <c r="AA150" i="1"/>
  <c r="O151" i="1"/>
  <c r="AA151" i="1"/>
  <c r="O152" i="1"/>
  <c r="AA152" i="1"/>
  <c r="O153" i="1"/>
  <c r="AA153" i="1"/>
  <c r="O154" i="1"/>
  <c r="AA154" i="1"/>
  <c r="O155" i="1"/>
  <c r="AA155" i="1"/>
  <c r="O156" i="1"/>
  <c r="AA156" i="1"/>
  <c r="O157" i="1"/>
  <c r="AA157" i="1"/>
  <c r="O158" i="1"/>
  <c r="AA158" i="1"/>
  <c r="O159" i="1"/>
  <c r="AA159" i="1"/>
  <c r="O160" i="1"/>
  <c r="AA160" i="1"/>
  <c r="O161" i="1"/>
  <c r="AA161" i="1"/>
  <c r="O162" i="1"/>
  <c r="AA162" i="1"/>
  <c r="O163" i="1"/>
  <c r="AA163" i="1"/>
  <c r="O164" i="1"/>
  <c r="AA164" i="1"/>
  <c r="O165" i="1"/>
  <c r="AA165" i="1"/>
  <c r="O166" i="1"/>
  <c r="AA166" i="1"/>
  <c r="O167" i="1"/>
  <c r="AA167" i="1"/>
  <c r="O168" i="1"/>
  <c r="AA168" i="1"/>
  <c r="O169" i="1"/>
  <c r="AA169" i="1"/>
  <c r="Z66" i="4" s="1"/>
  <c r="O170" i="1"/>
  <c r="AA170" i="1"/>
  <c r="O171" i="1"/>
  <c r="AA171" i="1"/>
  <c r="O172" i="1"/>
  <c r="AA172" i="1"/>
  <c r="O173" i="1"/>
  <c r="AA173" i="1"/>
  <c r="O174" i="1"/>
  <c r="AA174" i="1"/>
  <c r="O175" i="1"/>
  <c r="AA175" i="1"/>
  <c r="O176" i="1"/>
  <c r="AA176" i="1"/>
  <c r="O177" i="1"/>
  <c r="AA177" i="1"/>
  <c r="O178" i="1"/>
  <c r="AA178" i="1"/>
  <c r="O179" i="1"/>
  <c r="AA179" i="1"/>
  <c r="O180" i="1"/>
  <c r="AA180" i="1"/>
  <c r="O181" i="1"/>
  <c r="AA181" i="1"/>
  <c r="O182" i="1"/>
  <c r="AA182" i="1"/>
  <c r="O183" i="1"/>
  <c r="AA183" i="1"/>
  <c r="O184" i="1"/>
  <c r="AA184" i="1"/>
  <c r="O185" i="1"/>
  <c r="AA185" i="1"/>
  <c r="O186" i="1"/>
  <c r="AA186" i="1"/>
  <c r="O187" i="1"/>
  <c r="AA187" i="1"/>
  <c r="O188" i="1"/>
  <c r="AA188" i="1"/>
  <c r="O189" i="1"/>
  <c r="AA189" i="1"/>
  <c r="O190" i="1"/>
  <c r="AA190" i="1"/>
  <c r="O191" i="1"/>
  <c r="AA191" i="1"/>
  <c r="O192" i="1"/>
  <c r="AA192" i="1"/>
  <c r="O193" i="1"/>
  <c r="AA193" i="1"/>
  <c r="O194" i="1"/>
  <c r="AA194" i="1"/>
  <c r="O195" i="1"/>
  <c r="AA195" i="1"/>
  <c r="O196" i="1"/>
  <c r="AA196" i="1"/>
  <c r="O197" i="1"/>
  <c r="AA197" i="1"/>
  <c r="O198" i="1"/>
  <c r="AA198" i="1"/>
  <c r="O199" i="1"/>
  <c r="T72" i="4" s="1"/>
  <c r="AA199" i="1"/>
  <c r="O200" i="1"/>
  <c r="AA200" i="1"/>
  <c r="O201" i="1"/>
  <c r="AA201" i="1"/>
  <c r="O202" i="1"/>
  <c r="AA202" i="1"/>
  <c r="O203" i="1"/>
  <c r="AA203" i="1"/>
  <c r="O204" i="1"/>
  <c r="S73" i="4" s="1"/>
  <c r="AA204" i="1"/>
  <c r="O205" i="1"/>
  <c r="AA205" i="1"/>
  <c r="O206" i="1"/>
  <c r="AA206" i="1"/>
  <c r="O207" i="1"/>
  <c r="AA207" i="1"/>
  <c r="O208" i="1"/>
  <c r="AA208" i="1"/>
  <c r="O209" i="1"/>
  <c r="AA209" i="1"/>
  <c r="O210" i="1"/>
  <c r="AA210" i="1"/>
  <c r="O211" i="1"/>
  <c r="AA211" i="1"/>
  <c r="O212" i="1"/>
  <c r="AA212" i="1"/>
  <c r="O213" i="1"/>
  <c r="AA213" i="1"/>
  <c r="O214" i="1"/>
  <c r="Q75" i="4" s="1"/>
  <c r="AA214" i="1"/>
  <c r="O215" i="1"/>
  <c r="AA215" i="1"/>
  <c r="O216" i="1"/>
  <c r="AA216" i="1"/>
  <c r="O217" i="1"/>
  <c r="AA217" i="1"/>
  <c r="O218" i="1"/>
  <c r="AA218" i="1"/>
  <c r="O219" i="1"/>
  <c r="P76" i="4" s="1"/>
  <c r="AA219" i="1"/>
  <c r="O220" i="1"/>
  <c r="AA220" i="1"/>
  <c r="O221" i="1"/>
  <c r="AA221" i="1"/>
  <c r="O222" i="1"/>
  <c r="AA222" i="1"/>
  <c r="O223" i="1"/>
  <c r="AA223" i="1"/>
  <c r="O224" i="1"/>
  <c r="O77" i="4" s="1"/>
  <c r="AA224" i="1"/>
  <c r="O225" i="1"/>
  <c r="AA225" i="1"/>
  <c r="O226" i="1"/>
  <c r="AA226" i="1"/>
  <c r="O227" i="1"/>
  <c r="AA227" i="1"/>
  <c r="O228" i="1"/>
  <c r="AA228" i="1"/>
  <c r="O229" i="1"/>
  <c r="N78" i="4" s="1"/>
  <c r="AA229" i="1"/>
  <c r="O230" i="1"/>
  <c r="AA230" i="1"/>
  <c r="O231" i="1"/>
  <c r="AA231" i="1"/>
  <c r="O232" i="1"/>
  <c r="AA232" i="1"/>
  <c r="O233" i="1"/>
  <c r="AA233" i="1"/>
  <c r="O234" i="1"/>
  <c r="AA234" i="1"/>
  <c r="O235" i="1"/>
  <c r="AA235" i="1"/>
  <c r="O236" i="1"/>
  <c r="AA236" i="1"/>
  <c r="O237" i="1"/>
  <c r="AA237" i="1"/>
  <c r="O238" i="1"/>
  <c r="AA238" i="1"/>
  <c r="O239" i="1"/>
  <c r="AA239" i="1"/>
  <c r="O240" i="1"/>
  <c r="AA240" i="1"/>
  <c r="O241" i="1"/>
  <c r="AA241" i="1"/>
  <c r="O242" i="1"/>
  <c r="AA242" i="1"/>
  <c r="O243" i="1"/>
  <c r="AA243" i="1"/>
  <c r="O244" i="1"/>
  <c r="AA244" i="1"/>
  <c r="O245" i="1"/>
  <c r="AA245" i="1"/>
  <c r="O246" i="1"/>
  <c r="AA246" i="1"/>
  <c r="O247" i="1"/>
  <c r="AA247" i="1"/>
  <c r="O248" i="1"/>
  <c r="AA248" i="1"/>
  <c r="O249" i="1"/>
  <c r="AA249" i="1"/>
  <c r="O250" i="1"/>
  <c r="AA250" i="1"/>
  <c r="O251" i="1"/>
  <c r="AA251" i="1"/>
  <c r="O252" i="1"/>
  <c r="AA252" i="1"/>
  <c r="O253" i="1"/>
  <c r="AA253" i="1"/>
  <c r="O254" i="1"/>
  <c r="AA254" i="1"/>
  <c r="O255" i="1"/>
  <c r="AA255" i="1"/>
  <c r="O256" i="1"/>
  <c r="AA256" i="1"/>
  <c r="O257" i="1"/>
  <c r="AA257" i="1"/>
  <c r="O258" i="1"/>
  <c r="AA258" i="1"/>
  <c r="O259" i="1"/>
  <c r="AA259" i="1"/>
  <c r="O260" i="1"/>
  <c r="AA260" i="1"/>
  <c r="O261" i="1"/>
  <c r="AA261" i="1"/>
  <c r="O262" i="1"/>
  <c r="AA262" i="1"/>
  <c r="O263" i="1"/>
  <c r="AA263" i="1"/>
  <c r="O264" i="1"/>
  <c r="AA264" i="1"/>
  <c r="O265" i="1"/>
  <c r="AA265" i="1"/>
  <c r="O266" i="1"/>
  <c r="AA266" i="1"/>
  <c r="O267" i="1"/>
  <c r="AA267" i="1"/>
  <c r="O268" i="1"/>
  <c r="AA268" i="1"/>
  <c r="O269" i="1"/>
  <c r="AA269" i="1"/>
  <c r="O270" i="1"/>
  <c r="AA270" i="1"/>
  <c r="O271" i="1"/>
  <c r="AA271" i="1"/>
  <c r="O272" i="1"/>
  <c r="AA272" i="1"/>
  <c r="O273" i="1"/>
  <c r="AA273" i="1"/>
  <c r="O274" i="1"/>
  <c r="AA274" i="1"/>
  <c r="O275" i="1"/>
  <c r="AA275" i="1"/>
  <c r="O276" i="1"/>
  <c r="AA276" i="1"/>
  <c r="O277" i="1"/>
  <c r="AA277" i="1"/>
  <c r="O278" i="1"/>
  <c r="AA278" i="1"/>
  <c r="O279" i="1"/>
  <c r="AA279" i="1"/>
  <c r="O280" i="1"/>
  <c r="AA280" i="1"/>
  <c r="O281" i="1"/>
  <c r="AA281" i="1"/>
  <c r="O282" i="1"/>
  <c r="AA282" i="1"/>
  <c r="O283" i="1"/>
  <c r="AA283" i="1"/>
  <c r="O284" i="1"/>
  <c r="AA284" i="1"/>
  <c r="O285" i="1"/>
  <c r="AA285" i="1"/>
  <c r="O286" i="1"/>
  <c r="AA286" i="1"/>
  <c r="O287" i="1"/>
  <c r="AA287" i="1"/>
  <c r="O288" i="1"/>
  <c r="AA288" i="1"/>
  <c r="O289" i="1"/>
  <c r="AA289" i="1"/>
  <c r="O290" i="1"/>
  <c r="AA290" i="1"/>
  <c r="O291" i="1"/>
  <c r="AA291" i="1"/>
  <c r="O292" i="1"/>
  <c r="AA292" i="1"/>
  <c r="O293" i="1"/>
  <c r="AA293" i="1"/>
  <c r="O294" i="1"/>
  <c r="AA294" i="1"/>
  <c r="O295" i="1"/>
  <c r="AA295" i="1"/>
  <c r="O296" i="1"/>
  <c r="AA296" i="1"/>
  <c r="O297" i="1"/>
  <c r="AA297" i="1"/>
  <c r="O298" i="1"/>
  <c r="AA298" i="1"/>
  <c r="O299" i="1"/>
  <c r="AA299" i="1"/>
  <c r="O300" i="1"/>
  <c r="AA300" i="1"/>
  <c r="O301" i="1"/>
  <c r="AA301" i="1"/>
  <c r="O302" i="1"/>
  <c r="AA302" i="1"/>
  <c r="O303" i="1"/>
  <c r="AA303" i="1"/>
  <c r="O304" i="1"/>
  <c r="AA304" i="1"/>
  <c r="O305" i="1"/>
  <c r="AA305" i="1"/>
  <c r="O306" i="1"/>
  <c r="AA306" i="1"/>
  <c r="O307" i="1"/>
  <c r="AA307" i="1"/>
  <c r="O308" i="1"/>
  <c r="AA308" i="1"/>
  <c r="O309" i="1"/>
  <c r="AA309" i="1"/>
  <c r="O310" i="1"/>
  <c r="AA310" i="1"/>
  <c r="O311" i="1"/>
  <c r="AA311" i="1"/>
  <c r="O312" i="1"/>
  <c r="AA312" i="1"/>
  <c r="O313" i="1"/>
  <c r="AA313" i="1"/>
  <c r="O314" i="1"/>
  <c r="AA314" i="1"/>
  <c r="O315" i="1"/>
  <c r="AA315" i="1"/>
  <c r="O316" i="1"/>
  <c r="AA316" i="1"/>
  <c r="O317" i="1"/>
  <c r="AA317" i="1"/>
  <c r="O318" i="1"/>
  <c r="AA318" i="1"/>
  <c r="O319" i="1"/>
  <c r="AA319" i="1"/>
  <c r="O320" i="1"/>
  <c r="AA320" i="1"/>
  <c r="O321" i="1"/>
  <c r="AA321" i="1"/>
  <c r="O322" i="1"/>
  <c r="AA322" i="1"/>
  <c r="O323" i="1"/>
  <c r="AA323" i="1"/>
  <c r="O324" i="1"/>
  <c r="AA324" i="1"/>
  <c r="O325" i="1"/>
  <c r="AA325" i="1"/>
  <c r="O326" i="1"/>
  <c r="AA326" i="1"/>
  <c r="O327" i="1"/>
  <c r="AA327" i="1"/>
  <c r="O328" i="1"/>
  <c r="AA328" i="1"/>
  <c r="O329" i="1"/>
  <c r="AA329" i="1"/>
  <c r="O330" i="1"/>
  <c r="AA330" i="1"/>
  <c r="O331" i="1"/>
  <c r="AA331" i="1"/>
  <c r="O332" i="1"/>
  <c r="AA332" i="1"/>
  <c r="O333" i="1"/>
  <c r="AA333" i="1"/>
  <c r="O334" i="1"/>
  <c r="AA334" i="1"/>
  <c r="O335" i="1"/>
  <c r="AA335" i="1"/>
  <c r="O336" i="1"/>
  <c r="AA336" i="1"/>
  <c r="O337" i="1"/>
  <c r="AA337" i="1"/>
  <c r="O338" i="1"/>
  <c r="AA338" i="1"/>
  <c r="O339" i="1"/>
  <c r="AA339" i="1"/>
  <c r="O340" i="1"/>
  <c r="AA340" i="1"/>
  <c r="AQ100" i="4" s="1"/>
  <c r="O341" i="1"/>
  <c r="AA341" i="1"/>
  <c r="O342" i="1"/>
  <c r="AA342" i="1"/>
  <c r="O343" i="1"/>
  <c r="AA343" i="1"/>
  <c r="O344" i="1"/>
  <c r="AA344" i="1"/>
  <c r="O345" i="1"/>
  <c r="AA345" i="1"/>
  <c r="O346" i="1"/>
  <c r="AA346" i="1"/>
  <c r="O347" i="1"/>
  <c r="AA347" i="1"/>
  <c r="O348" i="1"/>
  <c r="AA348" i="1"/>
  <c r="O349" i="1"/>
  <c r="AA349" i="1"/>
  <c r="O350" i="1"/>
  <c r="AA350" i="1"/>
  <c r="O351" i="1"/>
  <c r="AA351" i="1"/>
  <c r="O352" i="1"/>
  <c r="AA352" i="1"/>
  <c r="O353" i="1"/>
  <c r="AA353" i="1"/>
  <c r="O354" i="1"/>
  <c r="AA354" i="1"/>
  <c r="O355" i="1"/>
  <c r="AA355" i="1"/>
  <c r="O356" i="1"/>
  <c r="AA356" i="1"/>
  <c r="O357" i="1"/>
  <c r="AA357" i="1"/>
  <c r="O358" i="1"/>
  <c r="AA358" i="1"/>
  <c r="O359" i="1"/>
  <c r="AA359" i="1"/>
  <c r="O360" i="1"/>
  <c r="AA360" i="1"/>
  <c r="O361" i="1"/>
  <c r="AA361" i="1"/>
  <c r="O362" i="1"/>
  <c r="AA362" i="1"/>
  <c r="O363" i="1"/>
  <c r="AA363" i="1"/>
  <c r="O364" i="1"/>
  <c r="AA364" i="1"/>
  <c r="O365" i="1"/>
  <c r="AA365" i="1"/>
  <c r="O366" i="1"/>
  <c r="AA366" i="1"/>
  <c r="O367" i="1"/>
  <c r="AA367" i="1"/>
  <c r="O368" i="1"/>
  <c r="AA368" i="1"/>
  <c r="O369" i="1"/>
  <c r="AA369" i="1"/>
  <c r="O370" i="1"/>
  <c r="AA370" i="1"/>
  <c r="O371" i="1"/>
  <c r="AA371" i="1"/>
  <c r="O372" i="1"/>
  <c r="AA372" i="1"/>
  <c r="O373" i="1"/>
  <c r="AA373" i="1"/>
  <c r="O374" i="1"/>
  <c r="AA374" i="1"/>
  <c r="O375" i="1"/>
  <c r="AA375" i="1"/>
  <c r="O376" i="1"/>
  <c r="AA376" i="1"/>
  <c r="O377" i="1"/>
  <c r="AA377" i="1"/>
  <c r="O378" i="1"/>
  <c r="AA378" i="1"/>
  <c r="O379" i="1"/>
  <c r="AA379" i="1"/>
  <c r="O380" i="1"/>
  <c r="AA380" i="1"/>
  <c r="O381" i="1"/>
  <c r="AA381" i="1"/>
  <c r="O382" i="1"/>
  <c r="AA382" i="1"/>
  <c r="O383" i="1"/>
  <c r="AA383" i="1"/>
  <c r="O384" i="1"/>
  <c r="AA384" i="1"/>
  <c r="O385" i="1"/>
  <c r="AA385" i="1"/>
  <c r="O386" i="1"/>
  <c r="AA386" i="1"/>
  <c r="O387" i="1"/>
  <c r="AA387" i="1"/>
  <c r="O388" i="1"/>
  <c r="AA388" i="1"/>
  <c r="O389" i="1"/>
  <c r="AA389" i="1"/>
  <c r="O390" i="1"/>
  <c r="AA390" i="1"/>
  <c r="O391" i="1"/>
  <c r="AA391" i="1"/>
  <c r="O392" i="1"/>
  <c r="AA392" i="1"/>
  <c r="O393" i="1"/>
  <c r="AA393" i="1"/>
  <c r="O394" i="1"/>
  <c r="AA394" i="1"/>
  <c r="O395" i="1"/>
  <c r="AA395" i="1"/>
  <c r="O396" i="1"/>
  <c r="AA396" i="1"/>
  <c r="O397" i="1"/>
  <c r="AA397" i="1"/>
  <c r="O398" i="1"/>
  <c r="AA398" i="1"/>
  <c r="O399" i="1"/>
  <c r="AA399" i="1"/>
  <c r="O400" i="1"/>
  <c r="AA400" i="1"/>
  <c r="O401" i="1"/>
  <c r="AA401" i="1"/>
  <c r="O402" i="1"/>
  <c r="AA402" i="1"/>
  <c r="O403" i="1"/>
  <c r="AA403" i="1"/>
  <c r="O404" i="1"/>
  <c r="AA404" i="1"/>
  <c r="O405" i="1"/>
  <c r="AA405" i="1"/>
  <c r="O406" i="1"/>
  <c r="AA406" i="1"/>
  <c r="O407" i="1"/>
  <c r="AA407" i="1"/>
  <c r="O408" i="1"/>
  <c r="AA408" i="1"/>
  <c r="O409" i="1"/>
  <c r="AA409" i="1"/>
  <c r="O410" i="1"/>
  <c r="AA410" i="1"/>
  <c r="O411" i="1"/>
  <c r="AA411" i="1"/>
  <c r="O412" i="1"/>
  <c r="AA412" i="1"/>
  <c r="O413" i="1"/>
  <c r="AA413" i="1"/>
  <c r="O414" i="1"/>
  <c r="AA414" i="1"/>
  <c r="O415" i="1"/>
  <c r="AA415" i="1"/>
  <c r="O416" i="1"/>
  <c r="AA416" i="1"/>
  <c r="O417" i="1"/>
  <c r="AA417" i="1"/>
  <c r="O418" i="1"/>
  <c r="AA418" i="1"/>
  <c r="O419" i="1"/>
  <c r="AA419" i="1"/>
  <c r="O420" i="1"/>
  <c r="AA420" i="1"/>
  <c r="O421" i="1"/>
  <c r="AA421" i="1"/>
  <c r="O422" i="1"/>
  <c r="AA422" i="1"/>
  <c r="O423" i="1"/>
  <c r="AA423" i="1"/>
  <c r="O424" i="1"/>
  <c r="AA424" i="1"/>
  <c r="O425" i="1"/>
  <c r="AA425" i="1"/>
  <c r="Z117" i="4" s="1"/>
  <c r="O426" i="1"/>
  <c r="AA426" i="1"/>
  <c r="O427" i="1"/>
  <c r="AA427" i="1"/>
  <c r="O428" i="1"/>
  <c r="AA428" i="1"/>
  <c r="O429" i="1"/>
  <c r="AA429" i="1"/>
  <c r="O430" i="1"/>
  <c r="AA430" i="1"/>
  <c r="O431" i="1"/>
  <c r="AA431" i="1"/>
  <c r="O432" i="1"/>
  <c r="AA432" i="1"/>
  <c r="O433" i="1"/>
  <c r="AA433" i="1"/>
  <c r="O434" i="1"/>
  <c r="AA434" i="1"/>
  <c r="O435" i="1"/>
  <c r="AA435" i="1"/>
  <c r="O436" i="1"/>
  <c r="AA436" i="1"/>
  <c r="O437" i="1"/>
  <c r="AA437" i="1"/>
  <c r="O438" i="1"/>
  <c r="AA438" i="1"/>
  <c r="O439" i="1"/>
  <c r="AA439" i="1"/>
  <c r="O440" i="1"/>
  <c r="AA440" i="1"/>
  <c r="O441" i="1"/>
  <c r="AA441" i="1"/>
  <c r="O442" i="1"/>
  <c r="AA442" i="1"/>
  <c r="O443" i="1"/>
  <c r="AA443" i="1"/>
  <c r="O444" i="1"/>
  <c r="AA444" i="1"/>
  <c r="O445" i="1"/>
  <c r="AA445" i="1"/>
  <c r="O446" i="1"/>
  <c r="AA446" i="1"/>
  <c r="O447" i="1"/>
  <c r="AA447" i="1"/>
  <c r="O448" i="1"/>
  <c r="AA448" i="1"/>
  <c r="O449" i="1"/>
  <c r="AA449" i="1"/>
  <c r="O450" i="1"/>
  <c r="AA450" i="1"/>
  <c r="O451" i="1"/>
  <c r="AA451" i="1"/>
  <c r="O452" i="1"/>
  <c r="AA452" i="1"/>
  <c r="O453" i="1"/>
  <c r="AA453" i="1"/>
  <c r="O454" i="1"/>
  <c r="AA454" i="1"/>
  <c r="O455" i="1"/>
  <c r="T123" i="4" s="1"/>
  <c r="AA455" i="1"/>
  <c r="O456" i="1"/>
  <c r="AA456" i="1"/>
  <c r="O457" i="1"/>
  <c r="AA457" i="1"/>
  <c r="O458" i="1"/>
  <c r="AA458" i="1"/>
  <c r="O459" i="1"/>
  <c r="AA459" i="1"/>
  <c r="O460" i="1"/>
  <c r="S124" i="4" s="1"/>
  <c r="AA460" i="1"/>
  <c r="O461" i="1"/>
  <c r="AA461" i="1"/>
  <c r="O462" i="1"/>
  <c r="AA462" i="1"/>
  <c r="O463" i="1"/>
  <c r="AA463" i="1"/>
  <c r="O464" i="1"/>
  <c r="AA464" i="1"/>
  <c r="O465" i="1"/>
  <c r="AA465" i="1"/>
  <c r="O466" i="1"/>
  <c r="AA466" i="1"/>
  <c r="O467" i="1"/>
  <c r="AA467" i="1"/>
  <c r="O468" i="1"/>
  <c r="AA468" i="1"/>
  <c r="O469" i="1"/>
  <c r="AA469" i="1"/>
  <c r="O470" i="1"/>
  <c r="Q126" i="4" s="1"/>
  <c r="AA470" i="1"/>
  <c r="O471" i="1"/>
  <c r="AA471" i="1"/>
  <c r="O472" i="1"/>
  <c r="AA472" i="1"/>
  <c r="O473" i="1"/>
  <c r="AA473" i="1"/>
  <c r="O474" i="1"/>
  <c r="AA474" i="1"/>
  <c r="O475" i="1"/>
  <c r="P127" i="4" s="1"/>
  <c r="AA475" i="1"/>
  <c r="O476" i="1"/>
  <c r="AA476" i="1"/>
  <c r="O477" i="1"/>
  <c r="AA477" i="1"/>
  <c r="O478" i="1"/>
  <c r="AA478" i="1"/>
  <c r="O479" i="1"/>
  <c r="AA479" i="1"/>
  <c r="O480" i="1"/>
  <c r="O128" i="4" s="1"/>
  <c r="AA480" i="1"/>
  <c r="O481" i="1"/>
  <c r="AA481" i="1"/>
  <c r="O482" i="1"/>
  <c r="AA482" i="1"/>
  <c r="O483" i="1"/>
  <c r="AA483" i="1"/>
  <c r="O484" i="1"/>
  <c r="AA484" i="1"/>
  <c r="O485" i="1"/>
  <c r="N129" i="4" s="1"/>
  <c r="AA485" i="1"/>
  <c r="O486" i="1"/>
  <c r="AA486" i="1"/>
  <c r="O487" i="1"/>
  <c r="AA487" i="1"/>
  <c r="O488" i="1"/>
  <c r="AA488" i="1"/>
  <c r="O489" i="1"/>
  <c r="AA489" i="1"/>
  <c r="O490" i="1"/>
  <c r="AA490" i="1"/>
  <c r="O491" i="1"/>
  <c r="AA491" i="1"/>
  <c r="O492" i="1"/>
  <c r="AA492" i="1"/>
  <c r="O493" i="1"/>
  <c r="AA493" i="1"/>
  <c r="O494" i="1"/>
  <c r="AA494" i="1"/>
  <c r="O495" i="1"/>
  <c r="AA495" i="1"/>
  <c r="D16" i="3" l="1"/>
  <c r="O17" i="1"/>
  <c r="L16" i="3" s="1"/>
  <c r="L18" i="1"/>
  <c r="I17" i="3" s="1"/>
  <c r="I16" i="3"/>
  <c r="O26" i="3"/>
  <c r="S17" i="1"/>
  <c r="G18" i="1"/>
  <c r="X14" i="3"/>
  <c r="AB15" i="1"/>
  <c r="Y14" i="3" s="1"/>
  <c r="AA16" i="1"/>
  <c r="P15" i="3"/>
  <c r="H18" i="1"/>
  <c r="E17" i="3" s="1"/>
  <c r="C17" i="3"/>
  <c r="C38" i="9" s="1"/>
  <c r="C39" i="9" s="1"/>
  <c r="AC114" i="4"/>
  <c r="AB247" i="1"/>
  <c r="AB236" i="1"/>
  <c r="AB161" i="1"/>
  <c r="AB155" i="1"/>
  <c r="AB151" i="1"/>
  <c r="AB146" i="1"/>
  <c r="HR239" i="4"/>
  <c r="AB491" i="1"/>
  <c r="AB489" i="1"/>
  <c r="AB476" i="1"/>
  <c r="AB473" i="1"/>
  <c r="AB472" i="1"/>
  <c r="AB471" i="1"/>
  <c r="AB470" i="1"/>
  <c r="AB469" i="1"/>
  <c r="AB456" i="1"/>
  <c r="AB452" i="1"/>
  <c r="AB449" i="1"/>
  <c r="AB448" i="1"/>
  <c r="AB447" i="1"/>
  <c r="AB446" i="1"/>
  <c r="AB356" i="1"/>
  <c r="AB343" i="1"/>
  <c r="AB339" i="1"/>
  <c r="AB337" i="1"/>
  <c r="AB336" i="1"/>
  <c r="AB273" i="1"/>
  <c r="AB262" i="1"/>
  <c r="AB256" i="1"/>
  <c r="AB253" i="1"/>
  <c r="AB251" i="1"/>
  <c r="AB250" i="1"/>
  <c r="AB249" i="1"/>
  <c r="AB248" i="1"/>
  <c r="AB445" i="1"/>
  <c r="AB433" i="1"/>
  <c r="AB335" i="1"/>
  <c r="AR99" i="4" s="1"/>
  <c r="AB325" i="1"/>
  <c r="AB315" i="1"/>
  <c r="AB209" i="1"/>
  <c r="AB196" i="1"/>
  <c r="AB189" i="1"/>
  <c r="AB187" i="1"/>
  <c r="AB186" i="1"/>
  <c r="AB167" i="1"/>
  <c r="AB163" i="1"/>
  <c r="AB162" i="1"/>
  <c r="AB119" i="1"/>
  <c r="AB98" i="1"/>
  <c r="AB93" i="1"/>
  <c r="AB91" i="1"/>
  <c r="AB40" i="1"/>
  <c r="AB34" i="1"/>
  <c r="AB107" i="1"/>
  <c r="IO239" i="4"/>
  <c r="AQ49" i="4"/>
  <c r="AB468" i="1"/>
  <c r="AB407" i="1"/>
  <c r="AB394" i="1"/>
  <c r="AB392" i="1"/>
  <c r="AB391" i="1"/>
  <c r="AB386" i="1"/>
  <c r="AB384" i="1"/>
  <c r="AB383" i="1"/>
  <c r="AB377" i="1"/>
  <c r="AB374" i="1"/>
  <c r="AB372" i="1"/>
  <c r="AB371" i="1"/>
  <c r="AB362" i="1"/>
  <c r="AB359" i="1"/>
  <c r="AB358" i="1"/>
  <c r="AB357" i="1"/>
  <c r="AB307" i="1"/>
  <c r="AB301" i="1"/>
  <c r="AB299" i="1"/>
  <c r="AB297" i="1"/>
  <c r="AB291" i="1"/>
  <c r="AB289" i="1"/>
  <c r="AB286" i="1"/>
  <c r="AB279" i="1"/>
  <c r="AB276" i="1"/>
  <c r="AB274" i="1"/>
  <c r="AB228" i="1"/>
  <c r="AB221" i="1"/>
  <c r="AB219" i="1"/>
  <c r="AB218" i="1"/>
  <c r="AB213" i="1"/>
  <c r="AB211" i="1"/>
  <c r="AB210" i="1"/>
  <c r="AB131" i="1"/>
  <c r="AB125" i="1"/>
  <c r="AB123" i="1"/>
  <c r="AB122" i="1"/>
  <c r="AB121" i="1"/>
  <c r="AB120" i="1"/>
  <c r="HF239" i="4"/>
  <c r="AB275" i="1"/>
  <c r="AB460" i="1"/>
  <c r="AB458" i="1"/>
  <c r="AB457" i="1"/>
  <c r="AB439" i="1"/>
  <c r="AB435" i="1"/>
  <c r="AB434" i="1"/>
  <c r="AB417" i="1"/>
  <c r="AB410" i="1"/>
  <c r="AB409" i="1"/>
  <c r="AB408" i="1"/>
  <c r="AB390" i="1"/>
  <c r="AB382" i="1"/>
  <c r="AB370" i="1"/>
  <c r="AB347" i="1"/>
  <c r="AB345" i="1"/>
  <c r="AB344" i="1"/>
  <c r="AB329" i="1"/>
  <c r="AB327" i="1"/>
  <c r="AB326" i="1"/>
  <c r="AB321" i="1"/>
  <c r="AB317" i="1"/>
  <c r="AB316" i="1"/>
  <c r="AB311" i="1"/>
  <c r="AB309" i="1"/>
  <c r="AB308" i="1"/>
  <c r="AB296" i="1"/>
  <c r="AB285" i="1"/>
  <c r="AB267" i="1"/>
  <c r="AB264" i="1"/>
  <c r="AB263" i="1"/>
  <c r="AB242" i="1"/>
  <c r="AB240" i="1"/>
  <c r="AB237" i="1"/>
  <c r="AB232" i="1"/>
  <c r="AB230" i="1"/>
  <c r="AB229" i="1"/>
  <c r="AB217" i="1"/>
  <c r="AB200" i="1"/>
  <c r="AB198" i="1"/>
  <c r="AB197" i="1"/>
  <c r="AB178" i="1"/>
  <c r="AB172" i="1"/>
  <c r="AB139" i="1"/>
  <c r="AB137" i="1"/>
  <c r="AB136" i="1"/>
  <c r="AB133" i="1"/>
  <c r="AB132" i="1"/>
  <c r="AB114" i="1"/>
  <c r="AB109" i="1"/>
  <c r="AB108" i="1"/>
  <c r="AB103" i="1"/>
  <c r="AB90" i="1"/>
  <c r="AB36" i="1"/>
  <c r="AB35" i="1"/>
  <c r="AB488" i="1"/>
  <c r="AB463" i="1"/>
  <c r="AB462" i="1"/>
  <c r="AB461" i="1"/>
  <c r="AB454" i="1"/>
  <c r="AB453" i="1"/>
  <c r="AB441" i="1"/>
  <c r="AB440" i="1"/>
  <c r="AB430" i="1"/>
  <c r="AB419" i="1"/>
  <c r="AB418" i="1"/>
  <c r="AB399" i="1"/>
  <c r="AB397" i="1"/>
  <c r="AB396" i="1"/>
  <c r="AB395" i="1"/>
  <c r="AB388" i="1"/>
  <c r="AB387" i="1"/>
  <c r="AB380" i="1"/>
  <c r="AB379" i="1"/>
  <c r="AB378" i="1"/>
  <c r="AB365" i="1"/>
  <c r="AB363" i="1"/>
  <c r="AB354" i="1"/>
  <c r="AB350" i="1"/>
  <c r="AB349" i="1"/>
  <c r="AB348" i="1"/>
  <c r="AB341" i="1"/>
  <c r="AB340" i="1"/>
  <c r="AB331" i="1"/>
  <c r="AB330" i="1"/>
  <c r="AB323" i="1"/>
  <c r="AB322" i="1"/>
  <c r="AB313" i="1"/>
  <c r="AB312" i="1"/>
  <c r="AB305" i="1"/>
  <c r="AB304" i="1"/>
  <c r="AB303" i="1"/>
  <c r="AB302" i="1"/>
  <c r="AB293" i="1"/>
  <c r="AB292" i="1"/>
  <c r="AB282" i="1"/>
  <c r="AB280" i="1"/>
  <c r="AB269" i="1"/>
  <c r="AB268" i="1"/>
  <c r="AB260" i="1"/>
  <c r="AB257" i="1"/>
  <c r="AB245" i="1"/>
  <c r="AB244" i="1"/>
  <c r="AB243" i="1"/>
  <c r="AB234" i="1"/>
  <c r="AB233" i="1"/>
  <c r="AB226" i="1"/>
  <c r="AB222" i="1"/>
  <c r="AB215" i="1"/>
  <c r="AB214" i="1"/>
  <c r="AB203" i="1"/>
  <c r="AB202" i="1"/>
  <c r="AB201" i="1"/>
  <c r="AB193" i="1"/>
  <c r="AB192" i="1"/>
  <c r="AB191" i="1"/>
  <c r="AB190" i="1"/>
  <c r="AB185" i="1"/>
  <c r="AB182" i="1"/>
  <c r="AB179" i="1"/>
  <c r="AB176" i="1"/>
  <c r="AB173" i="1"/>
  <c r="AB169" i="1"/>
  <c r="AB168" i="1"/>
  <c r="AB157" i="1"/>
  <c r="AB156" i="1"/>
  <c r="AB153" i="1"/>
  <c r="AB152" i="1"/>
  <c r="AB148" i="1"/>
  <c r="AB147" i="1"/>
  <c r="AB144" i="1"/>
  <c r="AB140" i="1"/>
  <c r="AB135" i="1"/>
  <c r="AB129" i="1"/>
  <c r="AH58" i="4" s="1"/>
  <c r="AB128" i="1"/>
  <c r="AB127" i="1"/>
  <c r="AB126" i="1"/>
  <c r="AB116" i="1"/>
  <c r="AB115" i="1"/>
  <c r="AB105" i="1"/>
  <c r="AB104" i="1"/>
  <c r="AB100" i="1"/>
  <c r="AB99" i="1"/>
  <c r="AB88" i="1"/>
  <c r="AB87" i="1"/>
  <c r="AB86" i="1"/>
  <c r="AB41" i="1"/>
  <c r="AB27" i="1"/>
  <c r="AB495" i="1"/>
  <c r="AB494" i="1"/>
  <c r="AB493" i="1"/>
  <c r="AB492" i="1"/>
  <c r="AB484" i="1"/>
  <c r="AB483" i="1"/>
  <c r="AB482" i="1"/>
  <c r="AB481" i="1"/>
  <c r="AB480" i="1"/>
  <c r="AB479" i="1"/>
  <c r="AB478" i="1"/>
  <c r="AB477" i="1"/>
  <c r="AB464" i="1"/>
  <c r="AB459" i="1"/>
  <c r="AB455" i="1"/>
  <c r="AB450" i="1"/>
  <c r="AB444" i="1"/>
  <c r="AB443" i="1"/>
  <c r="AB442" i="1"/>
  <c r="AB438" i="1"/>
  <c r="AB437" i="1"/>
  <c r="AB436" i="1"/>
  <c r="AB432" i="1"/>
  <c r="AB431" i="1"/>
  <c r="AB411" i="1"/>
  <c r="AB400" i="1"/>
  <c r="AB393" i="1"/>
  <c r="AB389" i="1"/>
  <c r="AB385" i="1"/>
  <c r="AH109" i="4" s="1"/>
  <c r="AB381" i="1"/>
  <c r="AB375" i="1"/>
  <c r="AB368" i="1"/>
  <c r="AB367" i="1"/>
  <c r="AB366" i="1"/>
  <c r="AB361" i="1"/>
  <c r="AB360" i="1"/>
  <c r="AB355" i="1"/>
  <c r="AB346" i="1"/>
  <c r="AB342" i="1"/>
  <c r="AB338" i="1"/>
  <c r="AB332" i="1"/>
  <c r="AB328" i="1"/>
  <c r="AB324" i="1"/>
  <c r="AB320" i="1"/>
  <c r="AB319" i="1"/>
  <c r="AB318" i="1"/>
  <c r="AB314" i="1"/>
  <c r="AB310" i="1"/>
  <c r="AB306" i="1"/>
  <c r="AB300" i="1"/>
  <c r="AB295" i="1"/>
  <c r="AB294" i="1"/>
  <c r="AB290" i="1"/>
  <c r="AB283" i="1"/>
  <c r="AB277" i="1"/>
  <c r="AB272" i="1"/>
  <c r="AB271" i="1"/>
  <c r="AB270" i="1"/>
  <c r="AB266" i="1"/>
  <c r="AB265" i="1"/>
  <c r="AB261" i="1"/>
  <c r="AB254" i="1"/>
  <c r="AB246" i="1"/>
  <c r="AB241" i="1"/>
  <c r="AB235" i="1"/>
  <c r="AB231" i="1"/>
  <c r="AB227" i="1"/>
  <c r="AB220" i="1"/>
  <c r="AB216" i="1"/>
  <c r="AB212" i="1"/>
  <c r="AB208" i="1"/>
  <c r="AB207" i="1"/>
  <c r="AB206" i="1"/>
  <c r="AB205" i="1"/>
  <c r="AB204" i="1"/>
  <c r="AB199" i="1"/>
  <c r="AB195" i="1"/>
  <c r="AB194" i="1"/>
  <c r="AB188" i="1"/>
  <c r="AB184" i="1"/>
  <c r="AB183" i="1"/>
  <c r="AB177" i="1"/>
  <c r="AB170" i="1"/>
  <c r="AB164" i="1"/>
  <c r="AA65" i="4" s="1"/>
  <c r="AB160" i="1"/>
  <c r="AB159" i="1"/>
  <c r="AB64" i="4" s="1"/>
  <c r="AB158" i="1"/>
  <c r="AB154" i="1"/>
  <c r="AC63" i="4" s="1"/>
  <c r="AB149" i="1"/>
  <c r="AB145" i="1"/>
  <c r="AB138" i="1"/>
  <c r="AB134" i="1"/>
  <c r="AB130" i="1"/>
  <c r="AB124" i="1"/>
  <c r="AB118" i="1"/>
  <c r="AB117" i="1"/>
  <c r="AB113" i="1"/>
  <c r="AB112" i="1"/>
  <c r="AB111" i="1"/>
  <c r="AB110" i="1"/>
  <c r="AB106" i="1"/>
  <c r="AB101" i="1"/>
  <c r="AB97" i="1"/>
  <c r="AB96" i="1"/>
  <c r="AB95" i="1"/>
  <c r="AB94" i="1"/>
  <c r="AB89" i="1"/>
  <c r="AB39" i="1"/>
  <c r="AB38" i="1"/>
  <c r="AB37" i="1"/>
  <c r="AB31" i="1"/>
  <c r="AB30" i="1"/>
  <c r="AB29" i="1"/>
  <c r="AB28" i="1"/>
  <c r="AB490" i="1"/>
  <c r="AB487" i="1"/>
  <c r="AB486" i="1"/>
  <c r="AB485" i="1"/>
  <c r="AB475" i="1"/>
  <c r="AB474" i="1"/>
  <c r="AB467" i="1"/>
  <c r="AB466" i="1"/>
  <c r="AB465" i="1"/>
  <c r="AB451" i="1"/>
  <c r="AB429" i="1"/>
  <c r="AB428" i="1"/>
  <c r="AB427" i="1"/>
  <c r="AB426" i="1"/>
  <c r="AB425" i="1"/>
  <c r="AB424" i="1"/>
  <c r="AB423" i="1"/>
  <c r="AB422" i="1"/>
  <c r="AB421" i="1"/>
  <c r="AB420" i="1"/>
  <c r="AA116" i="4" s="1"/>
  <c r="AB416" i="1"/>
  <c r="AB415" i="1"/>
  <c r="AB115" i="4" s="1"/>
  <c r="AB413" i="1"/>
  <c r="AB412" i="1"/>
  <c r="AB405" i="1"/>
  <c r="AB404" i="1"/>
  <c r="AB403" i="1"/>
  <c r="AB402" i="1"/>
  <c r="AB401" i="1"/>
  <c r="AB398" i="1"/>
  <c r="AB376" i="1"/>
  <c r="AB373" i="1"/>
  <c r="AB369" i="1"/>
  <c r="AB364" i="1"/>
  <c r="AB353" i="1"/>
  <c r="AB352" i="1"/>
  <c r="AB351" i="1"/>
  <c r="AB334" i="1"/>
  <c r="AB333" i="1"/>
  <c r="AB298" i="1"/>
  <c r="AB288" i="1"/>
  <c r="AB287" i="1"/>
  <c r="AB284" i="1"/>
  <c r="AB281" i="1"/>
  <c r="AB278" i="1"/>
  <c r="AB259" i="1"/>
  <c r="AB258" i="1"/>
  <c r="AB255" i="1"/>
  <c r="AB252" i="1"/>
  <c r="AB239" i="1"/>
  <c r="AB238" i="1"/>
  <c r="AB225" i="1"/>
  <c r="AB224" i="1"/>
  <c r="AB223" i="1"/>
  <c r="AB181" i="1"/>
  <c r="AB180" i="1"/>
  <c r="AB175" i="1"/>
  <c r="AB174" i="1"/>
  <c r="AB171" i="1"/>
  <c r="AB166" i="1"/>
  <c r="AB165" i="1"/>
  <c r="AB150" i="1"/>
  <c r="AB143" i="1"/>
  <c r="AB142" i="1"/>
  <c r="AB141" i="1"/>
  <c r="AB102" i="1"/>
  <c r="AB92" i="1"/>
  <c r="AR48" i="4"/>
  <c r="AB42" i="1"/>
  <c r="AB33" i="1"/>
  <c r="AB32" i="1"/>
  <c r="AB414" i="1"/>
  <c r="AB406" i="1"/>
  <c r="S18" i="1" l="1"/>
  <c r="O18" i="1"/>
  <c r="L17" i="3" s="1"/>
  <c r="L26" i="3" s="1"/>
  <c r="I26" i="3"/>
  <c r="D38" i="9"/>
  <c r="D39" i="9" s="1"/>
  <c r="G35" i="9" s="1"/>
  <c r="E26" i="3"/>
  <c r="C26" i="3"/>
  <c r="D17" i="3"/>
  <c r="D26" i="3" s="1"/>
  <c r="AA18" i="1"/>
  <c r="X15" i="3"/>
  <c r="AB16" i="1"/>
  <c r="Y15" i="3" s="1"/>
  <c r="P16" i="3"/>
  <c r="AA17" i="1"/>
  <c r="IP239" i="4"/>
  <c r="AX195" i="4"/>
  <c r="AX144" i="4"/>
  <c r="AX93" i="4"/>
  <c r="AX42" i="4"/>
  <c r="G36" i="9" l="1"/>
  <c r="G37" i="9" s="1"/>
  <c r="G31" i="9" s="1"/>
  <c r="G32" i="9" s="1"/>
  <c r="P17" i="3"/>
  <c r="P26" i="3" s="1"/>
  <c r="O4" i="10" s="1"/>
  <c r="X17" i="3"/>
  <c r="AB18" i="1"/>
  <c r="Y17" i="3" s="1"/>
  <c r="X16" i="3"/>
  <c r="AB17" i="1"/>
  <c r="Y16" i="3" s="1"/>
  <c r="AE10" i="4"/>
  <c r="G5" i="9" l="1"/>
  <c r="M19" i="10"/>
  <c r="M28" i="10" s="1"/>
  <c r="AA244" i="4"/>
  <c r="I88" i="6" l="1"/>
  <c r="O29" i="10"/>
  <c r="O30" i="10"/>
  <c r="I96" i="6" s="1"/>
  <c r="K96" i="6" s="1"/>
  <c r="G41" i="9"/>
  <c r="I247" i="4"/>
  <c r="N96" i="6" l="1"/>
  <c r="O32" i="10"/>
  <c r="O43" i="10" s="1"/>
  <c r="BA248" i="4"/>
  <c r="N110" i="6" l="1"/>
  <c r="BS245" i="4"/>
  <c r="AL207" i="4" l="1"/>
  <c r="AM206" i="4"/>
  <c r="AU198" i="4"/>
  <c r="AK208" i="4"/>
  <c r="AL156" i="4"/>
  <c r="AM155" i="4"/>
  <c r="AU147" i="4"/>
  <c r="AM104" i="4"/>
  <c r="AU96" i="4"/>
  <c r="AM53" i="4"/>
  <c r="AL105" i="4"/>
  <c r="AL54" i="4"/>
  <c r="AK157" i="4"/>
  <c r="AK106" i="4"/>
  <c r="AK55" i="4"/>
  <c r="AE7" i="1" l="1"/>
  <c r="AE9" i="1"/>
  <c r="AE11" i="1"/>
  <c r="AE13" i="1"/>
  <c r="AE15" i="1"/>
  <c r="AE17" i="1"/>
  <c r="AE19" i="1"/>
  <c r="AE21" i="1"/>
  <c r="AE23" i="1"/>
  <c r="AE25" i="1"/>
  <c r="AE27" i="1"/>
  <c r="AE29" i="1"/>
  <c r="AE31" i="1"/>
  <c r="AE33" i="1"/>
  <c r="AE35" i="1"/>
  <c r="AE37" i="1"/>
  <c r="AE8" i="1"/>
  <c r="AE10" i="1"/>
  <c r="AE12" i="1"/>
  <c r="AE14" i="1"/>
  <c r="AE16" i="1"/>
  <c r="AE18" i="1"/>
  <c r="AE20" i="1"/>
  <c r="AE22" i="1"/>
  <c r="AE24" i="1"/>
  <c r="AE26" i="1"/>
  <c r="AE28" i="1"/>
  <c r="AE30" i="1"/>
  <c r="AE32" i="1"/>
  <c r="AE34" i="1"/>
  <c r="AE36" i="1"/>
  <c r="AE119" i="1"/>
  <c r="AE887" i="1"/>
  <c r="AE38" i="1"/>
  <c r="AE294" i="1"/>
  <c r="AE293" i="1"/>
  <c r="AE292" i="1"/>
  <c r="AE291" i="1"/>
  <c r="AE290" i="1"/>
  <c r="AE289" i="1"/>
  <c r="AE288" i="1"/>
  <c r="AE287" i="1"/>
  <c r="AE286" i="1"/>
  <c r="AE285" i="1"/>
  <c r="AE284" i="1"/>
  <c r="AE283" i="1"/>
  <c r="AE282" i="1"/>
  <c r="AE281" i="1"/>
  <c r="AE280" i="1"/>
  <c r="AE279" i="1"/>
  <c r="AE278" i="1"/>
  <c r="AE277" i="1"/>
  <c r="AE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AE218" i="1"/>
  <c r="AE217" i="1"/>
  <c r="AE216" i="1"/>
  <c r="AE215" i="1"/>
  <c r="AE375" i="1"/>
  <c r="AE631" i="1"/>
  <c r="AE39" i="1"/>
  <c r="AE214" i="1"/>
  <c r="AE213" i="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50" i="1"/>
  <c r="AE149" i="1"/>
  <c r="AD62" i="4" s="1"/>
  <c r="AE148" i="1"/>
  <c r="AE147" i="1"/>
  <c r="AE146" i="1"/>
  <c r="AE145" i="1"/>
  <c r="AE144" i="1"/>
  <c r="AE61" i="4" s="1"/>
  <c r="AE143" i="1"/>
  <c r="AE142" i="1"/>
  <c r="AE141" i="1"/>
  <c r="AE140" i="1"/>
  <c r="AE139" i="1"/>
  <c r="AF60" i="4" s="1"/>
  <c r="AE138" i="1"/>
  <c r="AE137" i="1"/>
  <c r="AE136" i="1"/>
  <c r="AE135" i="1"/>
  <c r="AE134" i="1"/>
  <c r="AG59" i="4" s="1"/>
  <c r="AE133" i="1"/>
  <c r="AE132" i="1"/>
  <c r="AE131" i="1"/>
  <c r="AE130" i="1"/>
  <c r="AE129" i="1"/>
  <c r="AE128" i="1"/>
  <c r="AE127" i="1"/>
  <c r="AE126" i="1"/>
  <c r="AE125" i="1"/>
  <c r="AE124" i="1"/>
  <c r="AI57" i="4" s="1"/>
  <c r="AE123" i="1"/>
  <c r="AE122" i="1"/>
  <c r="AE121" i="1"/>
  <c r="AE120" i="1"/>
  <c r="AE118" i="1"/>
  <c r="AE117" i="1"/>
  <c r="AE116" i="1"/>
  <c r="AE115" i="1"/>
  <c r="AE114" i="1"/>
  <c r="AE113" i="1"/>
  <c r="AE112" i="1"/>
  <c r="AE111" i="1"/>
  <c r="AE110" i="1"/>
  <c r="AE109" i="1"/>
  <c r="AE108" i="1"/>
  <c r="AE107" i="1"/>
  <c r="AE106" i="1"/>
  <c r="AE105" i="1"/>
  <c r="AE104" i="1"/>
  <c r="AE103" i="1"/>
  <c r="AE101" i="1"/>
  <c r="AE99" i="1"/>
  <c r="AE97" i="1"/>
  <c r="AE95" i="1"/>
  <c r="AE93" i="1"/>
  <c r="AE91" i="1"/>
  <c r="AE89" i="1"/>
  <c r="AE87" i="1"/>
  <c r="AE42" i="1"/>
  <c r="AE41" i="1"/>
  <c r="AE40" i="1"/>
  <c r="AE550" i="1"/>
  <c r="AE549" i="1"/>
  <c r="AE548" i="1"/>
  <c r="AE547" i="1"/>
  <c r="AE546" i="1"/>
  <c r="AE545" i="1"/>
  <c r="AE544" i="1"/>
  <c r="AE543" i="1"/>
  <c r="AE542" i="1"/>
  <c r="AE541" i="1"/>
  <c r="AE540" i="1"/>
  <c r="AE539" i="1"/>
  <c r="AE538" i="1"/>
  <c r="AE537" i="1"/>
  <c r="AE536" i="1"/>
  <c r="AE535" i="1"/>
  <c r="AE534" i="1"/>
  <c r="AE533" i="1"/>
  <c r="AE532" i="1"/>
  <c r="AE531" i="1"/>
  <c r="AE530" i="1"/>
  <c r="AE529" i="1"/>
  <c r="AE528" i="1"/>
  <c r="AE527" i="1"/>
  <c r="AE526" i="1"/>
  <c r="AE525" i="1"/>
  <c r="AE524" i="1"/>
  <c r="AE523" i="1"/>
  <c r="AE522" i="1"/>
  <c r="AE521" i="1"/>
  <c r="AE520" i="1"/>
  <c r="AE519" i="1"/>
  <c r="AE518" i="1"/>
  <c r="AE517" i="1"/>
  <c r="AE516" i="1"/>
  <c r="AE515" i="1"/>
  <c r="AE514" i="1"/>
  <c r="AE513" i="1"/>
  <c r="AE512" i="1"/>
  <c r="AE511" i="1"/>
  <c r="AE510" i="1"/>
  <c r="AE509" i="1"/>
  <c r="AE508" i="1"/>
  <c r="AE507" i="1"/>
  <c r="AE506" i="1"/>
  <c r="AE505" i="1"/>
  <c r="AE504" i="1"/>
  <c r="AE503" i="1"/>
  <c r="AE502" i="1"/>
  <c r="AE501" i="1"/>
  <c r="AE500" i="1"/>
  <c r="AE499" i="1"/>
  <c r="AE498" i="1"/>
  <c r="AE497" i="1"/>
  <c r="AE496" i="1"/>
  <c r="AE495" i="1"/>
  <c r="AE494" i="1"/>
  <c r="AE493" i="1"/>
  <c r="AE492" i="1"/>
  <c r="AE491" i="1"/>
  <c r="AE490" i="1"/>
  <c r="AE489" i="1"/>
  <c r="AE488" i="1"/>
  <c r="AE487" i="1"/>
  <c r="AE486" i="1"/>
  <c r="AE485" i="1"/>
  <c r="AE484" i="1"/>
  <c r="AE483" i="1"/>
  <c r="AE482" i="1"/>
  <c r="AE481" i="1"/>
  <c r="AE480" i="1"/>
  <c r="AE479" i="1"/>
  <c r="AE478" i="1"/>
  <c r="AE477" i="1"/>
  <c r="AE476" i="1"/>
  <c r="AE475" i="1"/>
  <c r="AE474" i="1"/>
  <c r="AE473" i="1"/>
  <c r="AE472" i="1"/>
  <c r="AE471" i="1"/>
  <c r="AE470" i="1"/>
  <c r="AE469" i="1"/>
  <c r="AE468" i="1"/>
  <c r="AE467" i="1"/>
  <c r="AE466" i="1"/>
  <c r="AE465" i="1"/>
  <c r="AE464" i="1"/>
  <c r="AE463" i="1"/>
  <c r="AE462" i="1"/>
  <c r="AE461" i="1"/>
  <c r="AE460" i="1"/>
  <c r="AE459" i="1"/>
  <c r="AE458" i="1"/>
  <c r="AE457" i="1"/>
  <c r="AE456" i="1"/>
  <c r="AE455" i="1"/>
  <c r="AE454" i="1"/>
  <c r="AE453" i="1"/>
  <c r="AE452" i="1"/>
  <c r="AE451" i="1"/>
  <c r="AE450" i="1"/>
  <c r="AE449" i="1"/>
  <c r="AE448" i="1"/>
  <c r="AE447" i="1"/>
  <c r="AE446" i="1"/>
  <c r="AE445" i="1"/>
  <c r="AE444" i="1"/>
  <c r="AE443" i="1"/>
  <c r="AE442" i="1"/>
  <c r="AE441" i="1"/>
  <c r="AE440" i="1"/>
  <c r="AE439" i="1"/>
  <c r="AE438" i="1"/>
  <c r="AE437" i="1"/>
  <c r="AE436" i="1"/>
  <c r="AE435" i="1"/>
  <c r="AE434" i="1"/>
  <c r="AE433" i="1"/>
  <c r="AE432" i="1"/>
  <c r="AE431" i="1"/>
  <c r="AE430" i="1"/>
  <c r="AE429" i="1"/>
  <c r="AE428" i="1"/>
  <c r="AE427" i="1"/>
  <c r="AE426" i="1"/>
  <c r="AE425" i="1"/>
  <c r="AE424" i="1"/>
  <c r="AE423" i="1"/>
  <c r="AE422" i="1"/>
  <c r="AE421" i="1"/>
  <c r="AE420" i="1"/>
  <c r="AE419" i="1"/>
  <c r="AE418" i="1"/>
  <c r="AE417" i="1"/>
  <c r="AE416" i="1"/>
  <c r="AE415" i="1"/>
  <c r="AE414" i="1"/>
  <c r="AE413" i="1"/>
  <c r="AE412" i="1"/>
  <c r="AE411" i="1"/>
  <c r="AE410" i="1"/>
  <c r="AE409" i="1"/>
  <c r="AE408" i="1"/>
  <c r="AE407" i="1"/>
  <c r="AE406" i="1"/>
  <c r="AE405" i="1"/>
  <c r="AD113" i="4" s="1"/>
  <c r="AE404" i="1"/>
  <c r="AE403" i="1"/>
  <c r="AE402" i="1"/>
  <c r="AE401" i="1"/>
  <c r="AE400" i="1"/>
  <c r="AE112" i="4" s="1"/>
  <c r="AE399" i="1"/>
  <c r="AE398" i="1"/>
  <c r="AE397" i="1"/>
  <c r="AE396" i="1"/>
  <c r="AE395" i="1"/>
  <c r="AF111" i="4" s="1"/>
  <c r="AE394" i="1"/>
  <c r="AE393" i="1"/>
  <c r="AE392" i="1"/>
  <c r="AE391" i="1"/>
  <c r="AE390" i="1"/>
  <c r="AG110" i="4" s="1"/>
  <c r="AE389" i="1"/>
  <c r="AE388" i="1"/>
  <c r="AE387" i="1"/>
  <c r="AE386" i="1"/>
  <c r="AE385" i="1"/>
  <c r="AE384" i="1"/>
  <c r="AE383" i="1"/>
  <c r="AE382" i="1"/>
  <c r="AE381" i="1"/>
  <c r="AE380" i="1"/>
  <c r="AI108" i="4" s="1"/>
  <c r="AE379" i="1"/>
  <c r="AE378" i="1"/>
  <c r="AE377" i="1"/>
  <c r="AE376" i="1"/>
  <c r="AE374" i="1"/>
  <c r="AE373" i="1"/>
  <c r="AE372" i="1"/>
  <c r="AE371" i="1"/>
  <c r="AE370" i="1"/>
  <c r="AE369" i="1"/>
  <c r="AE806" i="1"/>
  <c r="AE805" i="1"/>
  <c r="AE804" i="1"/>
  <c r="AE803" i="1"/>
  <c r="AE802" i="1"/>
  <c r="AE801" i="1"/>
  <c r="AE800" i="1"/>
  <c r="AE799" i="1"/>
  <c r="AE798" i="1"/>
  <c r="AE797" i="1"/>
  <c r="AE796" i="1"/>
  <c r="AE795" i="1"/>
  <c r="AE794" i="1"/>
  <c r="AE793" i="1"/>
  <c r="AE792" i="1"/>
  <c r="AE791" i="1"/>
  <c r="AE790" i="1"/>
  <c r="AE789" i="1"/>
  <c r="AE788" i="1"/>
  <c r="AE787" i="1"/>
  <c r="AE786" i="1"/>
  <c r="AE785" i="1"/>
  <c r="AE784" i="1"/>
  <c r="AE783" i="1"/>
  <c r="AE782" i="1"/>
  <c r="AE781" i="1"/>
  <c r="AE780" i="1"/>
  <c r="AE779" i="1"/>
  <c r="AE778" i="1"/>
  <c r="AE777" i="1"/>
  <c r="AE776" i="1"/>
  <c r="AE775" i="1"/>
  <c r="AE774" i="1"/>
  <c r="AE773" i="1"/>
  <c r="AE772" i="1"/>
  <c r="AE771" i="1"/>
  <c r="AE770" i="1"/>
  <c r="AE769" i="1"/>
  <c r="AE768" i="1"/>
  <c r="AE767" i="1"/>
  <c r="AE766" i="1"/>
  <c r="AE765" i="1"/>
  <c r="AE764" i="1"/>
  <c r="AE763" i="1"/>
  <c r="AE762" i="1"/>
  <c r="AE761" i="1"/>
  <c r="AE760" i="1"/>
  <c r="AE759" i="1"/>
  <c r="AE758" i="1"/>
  <c r="AE757" i="1"/>
  <c r="AE756" i="1"/>
  <c r="AE755" i="1"/>
  <c r="AE754" i="1"/>
  <c r="AE753" i="1"/>
  <c r="AE752" i="1"/>
  <c r="AE751" i="1"/>
  <c r="AE750" i="1"/>
  <c r="AE749" i="1"/>
  <c r="AE748" i="1"/>
  <c r="AE747" i="1"/>
  <c r="AE746" i="1"/>
  <c r="AE745" i="1"/>
  <c r="AE744" i="1"/>
  <c r="AE743" i="1"/>
  <c r="AE742" i="1"/>
  <c r="AE741" i="1"/>
  <c r="AE740" i="1"/>
  <c r="AE739" i="1"/>
  <c r="AE738" i="1"/>
  <c r="AE737" i="1"/>
  <c r="AE736" i="1"/>
  <c r="AE735" i="1"/>
  <c r="AE734" i="1"/>
  <c r="AE733" i="1"/>
  <c r="AE732" i="1"/>
  <c r="AE731" i="1"/>
  <c r="AE730" i="1"/>
  <c r="AE729" i="1"/>
  <c r="AE728" i="1"/>
  <c r="AE727" i="1"/>
  <c r="AE726" i="1"/>
  <c r="AE725" i="1"/>
  <c r="AE724" i="1"/>
  <c r="AE723" i="1"/>
  <c r="AE722" i="1"/>
  <c r="AE721" i="1"/>
  <c r="AE720" i="1"/>
  <c r="AE719" i="1"/>
  <c r="AE718" i="1"/>
  <c r="AE717" i="1"/>
  <c r="AE716" i="1"/>
  <c r="AE715" i="1"/>
  <c r="AE714" i="1"/>
  <c r="AE713" i="1"/>
  <c r="AE712" i="1"/>
  <c r="AE711" i="1"/>
  <c r="AE710" i="1"/>
  <c r="AE709" i="1"/>
  <c r="AE708" i="1"/>
  <c r="AE707" i="1"/>
  <c r="AE706" i="1"/>
  <c r="AE705" i="1"/>
  <c r="AE704" i="1"/>
  <c r="AE703" i="1"/>
  <c r="AE702" i="1"/>
  <c r="AE701" i="1"/>
  <c r="AE700" i="1"/>
  <c r="AE699" i="1"/>
  <c r="AE698" i="1"/>
  <c r="AE697" i="1"/>
  <c r="AE696" i="1"/>
  <c r="AE695" i="1"/>
  <c r="AE694" i="1"/>
  <c r="AE693" i="1"/>
  <c r="AE692" i="1"/>
  <c r="AE691" i="1"/>
  <c r="AE690" i="1"/>
  <c r="AE689" i="1"/>
  <c r="AE688" i="1"/>
  <c r="AE687" i="1"/>
  <c r="AE686" i="1"/>
  <c r="AE685" i="1"/>
  <c r="AE684" i="1"/>
  <c r="AE683" i="1"/>
  <c r="AE682" i="1"/>
  <c r="AE681" i="1"/>
  <c r="AE680" i="1"/>
  <c r="AE679" i="1"/>
  <c r="AE678" i="1"/>
  <c r="AE677" i="1"/>
  <c r="AE676" i="1"/>
  <c r="AE675" i="1"/>
  <c r="AE674" i="1"/>
  <c r="AE673" i="1"/>
  <c r="AE672" i="1"/>
  <c r="AE671" i="1"/>
  <c r="AE670" i="1"/>
  <c r="AE669" i="1"/>
  <c r="AE668" i="1"/>
  <c r="AE667" i="1"/>
  <c r="AE666" i="1"/>
  <c r="AE665" i="1"/>
  <c r="AE664" i="1"/>
  <c r="AE663" i="1"/>
  <c r="AE662" i="1"/>
  <c r="AE661" i="1"/>
  <c r="AD164" i="4" s="1"/>
  <c r="AE660" i="1"/>
  <c r="AE659" i="1"/>
  <c r="AE658" i="1"/>
  <c r="AE657" i="1"/>
  <c r="AE656" i="1"/>
  <c r="AE163" i="4" s="1"/>
  <c r="AE655" i="1"/>
  <c r="AE654" i="1"/>
  <c r="AE653" i="1"/>
  <c r="AE652" i="1"/>
  <c r="AE651" i="1"/>
  <c r="AF162" i="4" s="1"/>
  <c r="AE650" i="1"/>
  <c r="AE649" i="1"/>
  <c r="AE648" i="1"/>
  <c r="AE647" i="1"/>
  <c r="AE646" i="1"/>
  <c r="AG161" i="4" s="1"/>
  <c r="AE645" i="1"/>
  <c r="AE644" i="1"/>
  <c r="AE643" i="1"/>
  <c r="AE642" i="1"/>
  <c r="AE641" i="1"/>
  <c r="AE640" i="1"/>
  <c r="AE639" i="1"/>
  <c r="AE638" i="1"/>
  <c r="AE637" i="1"/>
  <c r="AE636" i="1"/>
  <c r="AI159" i="4" s="1"/>
  <c r="AE635" i="1"/>
  <c r="AE634" i="1"/>
  <c r="AE633" i="1"/>
  <c r="AE632" i="1"/>
  <c r="AE630" i="1"/>
  <c r="AE629" i="1"/>
  <c r="AE628" i="1"/>
  <c r="AE627" i="1"/>
  <c r="AE626" i="1"/>
  <c r="AE625" i="1"/>
  <c r="AE624" i="1"/>
  <c r="AE623" i="1"/>
  <c r="AE622" i="1"/>
  <c r="AE621" i="1"/>
  <c r="AE620" i="1"/>
  <c r="AE619" i="1"/>
  <c r="AE618" i="1"/>
  <c r="AE617" i="1"/>
  <c r="AE616" i="1"/>
  <c r="AE615" i="1"/>
  <c r="AE614" i="1"/>
  <c r="AE613" i="1"/>
  <c r="AE612" i="1"/>
  <c r="AE611" i="1"/>
  <c r="AE610" i="1"/>
  <c r="AE609" i="1"/>
  <c r="AE608" i="1"/>
  <c r="AE607" i="1"/>
  <c r="AE606" i="1"/>
  <c r="AE605" i="1"/>
  <c r="AE604" i="1"/>
  <c r="AE603" i="1"/>
  <c r="AE602" i="1"/>
  <c r="AE601" i="1"/>
  <c r="AE600" i="1"/>
  <c r="AE599" i="1"/>
  <c r="AE598" i="1"/>
  <c r="AE597" i="1"/>
  <c r="AE596" i="1"/>
  <c r="AE595" i="1"/>
  <c r="AE594" i="1"/>
  <c r="AE593" i="1"/>
  <c r="AE592" i="1"/>
  <c r="AE591" i="1"/>
  <c r="AE590" i="1"/>
  <c r="AE589" i="1"/>
  <c r="AE588" i="1"/>
  <c r="AE587" i="1"/>
  <c r="AE586" i="1"/>
  <c r="AE585" i="1"/>
  <c r="AE584" i="1"/>
  <c r="AE583" i="1"/>
  <c r="AE582" i="1"/>
  <c r="AE581" i="1"/>
  <c r="AE580" i="1"/>
  <c r="AE579" i="1"/>
  <c r="AE578" i="1"/>
  <c r="AE577" i="1"/>
  <c r="AE576" i="1"/>
  <c r="AE575" i="1"/>
  <c r="AE574" i="1"/>
  <c r="AE573" i="1"/>
  <c r="AE572" i="1"/>
  <c r="AE571" i="1"/>
  <c r="AE570" i="1"/>
  <c r="AE569" i="1"/>
  <c r="AE568" i="1"/>
  <c r="AE567" i="1"/>
  <c r="AE566" i="1"/>
  <c r="AE565" i="1"/>
  <c r="AE564" i="1"/>
  <c r="AE563" i="1"/>
  <c r="AE562" i="1"/>
  <c r="AE561" i="1"/>
  <c r="AE560" i="1"/>
  <c r="AE559" i="1"/>
  <c r="AE558" i="1"/>
  <c r="AE557" i="1"/>
  <c r="AE556" i="1"/>
  <c r="AE555" i="1"/>
  <c r="AE554" i="1"/>
  <c r="AE553" i="1"/>
  <c r="AE552" i="1"/>
  <c r="AE551"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D215" i="4" s="1"/>
  <c r="AE916" i="1"/>
  <c r="AE915" i="1"/>
  <c r="AE914" i="1"/>
  <c r="AE913" i="1"/>
  <c r="AE912" i="1"/>
  <c r="AE214" i="4" s="1"/>
  <c r="AE911" i="1"/>
  <c r="AE910" i="1"/>
  <c r="AE909" i="1"/>
  <c r="AE908" i="1"/>
  <c r="AE907" i="1"/>
  <c r="AF213" i="4" s="1"/>
  <c r="AE906" i="1"/>
  <c r="AE905" i="1"/>
  <c r="AE904" i="1"/>
  <c r="AE903" i="1"/>
  <c r="AE902" i="1"/>
  <c r="AG212" i="4" s="1"/>
  <c r="AE901" i="1"/>
  <c r="AE900" i="1"/>
  <c r="AE899" i="1"/>
  <c r="AE898" i="1"/>
  <c r="AE897" i="1"/>
  <c r="AE896" i="1"/>
  <c r="AE895" i="1"/>
  <c r="AE894" i="1"/>
  <c r="AE893" i="1"/>
  <c r="AE892" i="1"/>
  <c r="AI210" i="4" s="1"/>
  <c r="AE891" i="1"/>
  <c r="AE890" i="1"/>
  <c r="AE889" i="1"/>
  <c r="AE888"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102" i="1"/>
  <c r="AE100" i="1"/>
  <c r="AE98" i="1"/>
  <c r="AE96" i="1"/>
  <c r="AE94" i="1"/>
  <c r="AE92" i="1"/>
  <c r="AE90" i="1"/>
  <c r="AE88" i="1"/>
  <c r="AE86"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IV239" i="4" l="1"/>
  <c r="AJ209" i="4"/>
  <c r="AJ158" i="4"/>
  <c r="AJ107" i="4"/>
  <c r="AJ56" i="4"/>
  <c r="N89" i="6" l="1"/>
  <c r="N87" i="6"/>
  <c r="K87" i="6"/>
  <c r="N108" i="6"/>
  <c r="A40" i="4" l="1"/>
  <c r="GY239" i="4" l="1"/>
  <c r="A91" i="4"/>
  <c r="A142" i="4" l="1"/>
  <c r="B598" i="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0" i="1" s="1"/>
  <c r="B791" i="1" s="1"/>
  <c r="B792" i="1" s="1"/>
  <c r="B793" i="1" s="1"/>
  <c r="B794" i="1" s="1"/>
  <c r="B795" i="1" s="1"/>
  <c r="B796" i="1" s="1"/>
  <c r="B797" i="1" s="1"/>
  <c r="B798" i="1" s="1"/>
  <c r="B799" i="1" s="1"/>
  <c r="B800" i="1" s="1"/>
  <c r="B801" i="1" s="1"/>
  <c r="B802" i="1" l="1"/>
  <c r="B803" i="1" s="1"/>
  <c r="B804" i="1" s="1"/>
  <c r="B805" i="1" s="1"/>
  <c r="B806" i="1" s="1"/>
  <c r="B192" i="4"/>
  <c r="A193" i="4"/>
  <c r="B807" i="1"/>
  <c r="B808" i="1" s="1"/>
  <c r="B809" i="1" s="1"/>
  <c r="B810" i="1" s="1"/>
  <c r="B811" i="1" s="1"/>
  <c r="B812" i="1" s="1"/>
  <c r="B813" i="1" s="1"/>
  <c r="B814" i="1" s="1"/>
  <c r="B815" i="1" s="1"/>
  <c r="B816" i="1" s="1"/>
  <c r="B817" i="1" s="1"/>
  <c r="B818" i="1" s="1"/>
  <c r="B819" i="1" s="1"/>
  <c r="B820" i="1" s="1"/>
  <c r="B821" i="1" s="1"/>
  <c r="B822" i="1" s="1"/>
  <c r="B823" i="1" s="1"/>
  <c r="B824" i="1" s="1"/>
  <c r="B825" i="1" s="1"/>
  <c r="B826" i="1" s="1"/>
  <c r="B827" i="1" s="1"/>
  <c r="B828" i="1" s="1"/>
  <c r="B829" i="1" s="1"/>
  <c r="B830" i="1" s="1"/>
  <c r="B831" i="1" s="1"/>
  <c r="B832" i="1" s="1"/>
  <c r="B833" i="1" s="1"/>
  <c r="B834" i="1" s="1"/>
  <c r="B835" i="1" s="1"/>
  <c r="B836" i="1" s="1"/>
  <c r="B837" i="1" s="1"/>
  <c r="B838" i="1" s="1"/>
  <c r="B839" i="1" s="1"/>
  <c r="B840" i="1" s="1"/>
  <c r="B841" i="1" s="1"/>
  <c r="B842" i="1" s="1"/>
  <c r="B843" i="1" s="1"/>
  <c r="B844" i="1" s="1"/>
  <c r="B845" i="1" s="1"/>
  <c r="B846" i="1" s="1"/>
  <c r="B847" i="1" s="1"/>
  <c r="B848" i="1" s="1"/>
  <c r="B849" i="1" s="1"/>
  <c r="B850" i="1" s="1"/>
  <c r="B851" i="1" s="1"/>
  <c r="B852" i="1" s="1"/>
  <c r="B853" i="1" s="1"/>
  <c r="B854" i="1" s="1"/>
  <c r="B855" i="1" s="1"/>
  <c r="B856" i="1" s="1"/>
  <c r="B857" i="1" s="1"/>
  <c r="B858" i="1" s="1"/>
  <c r="B859" i="1" s="1"/>
  <c r="B860" i="1" s="1"/>
  <c r="B861" i="1" s="1"/>
  <c r="B862" i="1" s="1"/>
  <c r="B863" i="1" s="1"/>
  <c r="B864" i="1" s="1"/>
  <c r="B865" i="1" s="1"/>
  <c r="B866" i="1" s="1"/>
  <c r="B867" i="1" s="1"/>
  <c r="B868" i="1" s="1"/>
  <c r="B869" i="1" s="1"/>
  <c r="B870" i="1" s="1"/>
  <c r="B871" i="1" s="1"/>
  <c r="B872" i="1" s="1"/>
  <c r="B873" i="1" s="1"/>
  <c r="B874" i="1" s="1"/>
  <c r="B875" i="1" s="1"/>
  <c r="B876" i="1" s="1"/>
  <c r="B877" i="1" s="1"/>
  <c r="B878" i="1" s="1"/>
  <c r="B879" i="1" s="1"/>
  <c r="B880" i="1" s="1"/>
  <c r="B881" i="1" s="1"/>
  <c r="B882" i="1" s="1"/>
  <c r="B883" i="1" s="1"/>
  <c r="B884" i="1" s="1"/>
  <c r="B885" i="1" s="1"/>
  <c r="B886" i="1" s="1"/>
  <c r="B887" i="1" s="1"/>
  <c r="B888" i="1" s="1"/>
  <c r="B889" i="1" s="1"/>
  <c r="B890" i="1" s="1"/>
  <c r="B891" i="1" s="1"/>
  <c r="B892" i="1" s="1"/>
  <c r="B893" i="1" s="1"/>
  <c r="B894" i="1" s="1"/>
  <c r="B895" i="1" s="1"/>
  <c r="B896" i="1" s="1"/>
  <c r="B897" i="1" s="1"/>
  <c r="B898" i="1" s="1"/>
  <c r="B899" i="1" s="1"/>
  <c r="B900" i="1" s="1"/>
  <c r="B901" i="1" s="1"/>
  <c r="B902" i="1" s="1"/>
  <c r="B903" i="1" s="1"/>
  <c r="B904" i="1" s="1"/>
  <c r="B905" i="1" s="1"/>
  <c r="B906" i="1" s="1"/>
  <c r="B907" i="1" s="1"/>
  <c r="B908" i="1" s="1"/>
  <c r="B909" i="1" s="1"/>
  <c r="B910" i="1" s="1"/>
  <c r="B911" i="1" s="1"/>
  <c r="B912" i="1" s="1"/>
  <c r="B913" i="1" s="1"/>
  <c r="B914" i="1" s="1"/>
  <c r="B915" i="1" s="1"/>
  <c r="B916" i="1" s="1"/>
  <c r="B917" i="1" s="1"/>
  <c r="B918" i="1" s="1"/>
  <c r="B919" i="1" s="1"/>
  <c r="B920" i="1" s="1"/>
  <c r="B921" i="1" s="1"/>
  <c r="B922" i="1" s="1"/>
  <c r="B923" i="1" s="1"/>
  <c r="B924" i="1" s="1"/>
  <c r="B925" i="1" s="1"/>
  <c r="B926" i="1" s="1"/>
  <c r="B927" i="1" s="1"/>
  <c r="B928" i="1" s="1"/>
  <c r="B929" i="1" s="1"/>
  <c r="B930" i="1" s="1"/>
  <c r="B931" i="1" s="1"/>
  <c r="B932" i="1" s="1"/>
  <c r="B933" i="1" s="1"/>
  <c r="B934" i="1" s="1"/>
  <c r="B935" i="1" s="1"/>
  <c r="B936" i="1" s="1"/>
  <c r="B937" i="1" s="1"/>
  <c r="B938" i="1" s="1"/>
  <c r="B939" i="1" s="1"/>
  <c r="B940" i="1" s="1"/>
  <c r="B941" i="1" s="1"/>
  <c r="B942" i="1" s="1"/>
  <c r="B943" i="1" s="1"/>
  <c r="B944" i="1" s="1"/>
  <c r="B945" i="1" s="1"/>
  <c r="B946" i="1" s="1"/>
  <c r="B947" i="1" s="1"/>
  <c r="B948" i="1" s="1"/>
  <c r="B949" i="1" s="1"/>
  <c r="B950" i="1" s="1"/>
  <c r="B951" i="1" s="1"/>
  <c r="B952" i="1" s="1"/>
  <c r="B953" i="1" s="1"/>
  <c r="B954" i="1" s="1"/>
  <c r="B955" i="1" s="1"/>
  <c r="B956" i="1" s="1"/>
  <c r="B957" i="1" s="1"/>
  <c r="B958" i="1" s="1"/>
  <c r="B959" i="1" s="1"/>
  <c r="B960" i="1" s="1"/>
  <c r="B961" i="1" s="1"/>
  <c r="B962" i="1" s="1"/>
  <c r="B963" i="1" s="1"/>
  <c r="B964" i="1" s="1"/>
  <c r="B965" i="1" s="1"/>
  <c r="B966" i="1" s="1"/>
  <c r="B967" i="1" s="1"/>
  <c r="B968" i="1" s="1"/>
  <c r="B969" i="1" s="1"/>
  <c r="B970" i="1" s="1"/>
  <c r="B971" i="1" s="1"/>
  <c r="B972" i="1" s="1"/>
  <c r="B973" i="1" s="1"/>
  <c r="B974" i="1" s="1"/>
  <c r="B975" i="1" s="1"/>
  <c r="B976" i="1" s="1"/>
  <c r="B977" i="1" s="1"/>
  <c r="B978" i="1" s="1"/>
  <c r="B979" i="1" s="1"/>
  <c r="B980" i="1" s="1"/>
  <c r="B981" i="1" s="1"/>
  <c r="B982" i="1" s="1"/>
  <c r="B983" i="1" s="1"/>
  <c r="B984" i="1" s="1"/>
  <c r="B985" i="1" s="1"/>
  <c r="B986" i="1" s="1"/>
  <c r="B987" i="1" s="1"/>
  <c r="B988" i="1" s="1"/>
  <c r="B989" i="1" s="1"/>
  <c r="B990" i="1" s="1"/>
  <c r="B991" i="1" s="1"/>
  <c r="B992" i="1" s="1"/>
  <c r="B993" i="1" s="1"/>
  <c r="B994" i="1" s="1"/>
  <c r="B995" i="1" s="1"/>
  <c r="B996" i="1" s="1"/>
  <c r="B997" i="1" s="1"/>
  <c r="B998" i="1" s="1"/>
  <c r="B999" i="1" s="1"/>
  <c r="B1000" i="1" s="1"/>
  <c r="B1001" i="1" s="1"/>
  <c r="B1002" i="1" s="1"/>
  <c r="B1003" i="1" s="1"/>
  <c r="B1004" i="1" s="1"/>
  <c r="B1005" i="1" s="1"/>
  <c r="B1006" i="1" s="1"/>
  <c r="B1007" i="1" s="1"/>
  <c r="B1008" i="1" s="1"/>
  <c r="B1009" i="1" s="1"/>
  <c r="B1010" i="1" s="1"/>
  <c r="B1011" i="1" s="1"/>
  <c r="B1012" i="1" s="1"/>
  <c r="B1013" i="1" s="1"/>
  <c r="B1014" i="1" s="1"/>
  <c r="B1015" i="1" s="1"/>
  <c r="B1016" i="1" s="1"/>
  <c r="B1017" i="1" s="1"/>
  <c r="B1018" i="1" s="1"/>
  <c r="B1019" i="1" s="1"/>
  <c r="B1020" i="1" s="1"/>
  <c r="B1021" i="1" s="1"/>
  <c r="B1022" i="1" s="1"/>
  <c r="B1023" i="1" s="1"/>
  <c r="B1024" i="1" s="1"/>
  <c r="B1025" i="1" s="1"/>
  <c r="B1026" i="1" s="1"/>
  <c r="B1027" i="1" s="1"/>
  <c r="B1028" i="1" s="1"/>
  <c r="B1029" i="1" s="1"/>
  <c r="B1030" i="1" s="1"/>
  <c r="B1031" i="1" s="1"/>
  <c r="B1032" i="1" s="1"/>
  <c r="B1033" i="1" s="1"/>
  <c r="B1034" i="1" s="1"/>
  <c r="B1035" i="1" s="1"/>
  <c r="B1036" i="1" s="1"/>
  <c r="B1037" i="1" s="1"/>
  <c r="K1038" i="1" l="1"/>
  <c r="H1038" i="1"/>
  <c r="O1038" i="1"/>
  <c r="P1038" i="1"/>
  <c r="R1038" i="1" l="1"/>
  <c r="Z1038" i="1"/>
  <c r="F1038" i="1"/>
  <c r="L1038" i="1"/>
  <c r="M1038" i="1"/>
  <c r="I1038" i="1"/>
  <c r="S1038" i="1"/>
  <c r="T1038" i="1"/>
  <c r="Y1038" i="1"/>
  <c r="W1038" i="1"/>
  <c r="V1038" i="1"/>
  <c r="G1038" i="1"/>
  <c r="N1038" i="1"/>
  <c r="Q1038" i="1"/>
  <c r="J1038" i="1"/>
  <c r="U1038" i="1"/>
  <c r="AN246" i="4"/>
  <c r="N86" i="6" l="1"/>
  <c r="K21" i="6"/>
  <c r="M21" i="6" s="1"/>
  <c r="K20" i="6"/>
  <c r="M20" i="6" s="1"/>
  <c r="N83" i="6"/>
  <c r="K19" i="6"/>
  <c r="M19" i="6" s="1"/>
  <c r="N85" i="6"/>
  <c r="N84" i="6"/>
  <c r="N242" i="4"/>
  <c r="K83" i="6" l="1"/>
  <c r="K86" i="6"/>
  <c r="K85" i="6"/>
  <c r="K84" i="6"/>
  <c r="N88" i="6"/>
  <c r="K88" i="6"/>
  <c r="AS241" i="4" l="1"/>
  <c r="BF243" i="4" l="1"/>
  <c r="U6" i="3" l="1"/>
  <c r="C26" i="6"/>
  <c r="AA7" i="1"/>
  <c r="X6" i="3" s="1"/>
  <c r="AB7" i="1" l="1"/>
  <c r="Y6" i="3" l="1"/>
  <c r="U8" i="3"/>
  <c r="AA9" i="1"/>
  <c r="X8" i="3" s="1"/>
  <c r="C28" i="6"/>
  <c r="U7" i="3"/>
  <c r="C27" i="6"/>
  <c r="AA8" i="1"/>
  <c r="E60" i="10" l="1"/>
  <c r="AB8" i="1"/>
  <c r="X7" i="3"/>
  <c r="H60" i="10"/>
  <c r="K60" i="10"/>
  <c r="I18" i="6"/>
  <c r="AB9" i="1"/>
  <c r="Y8" i="3" s="1"/>
  <c r="J60" i="10"/>
  <c r="AB13" i="4" l="1"/>
  <c r="Y7" i="3"/>
  <c r="K18" i="6"/>
  <c r="M18" i="6" s="1"/>
  <c r="I22" i="6"/>
  <c r="K22" i="6" s="1"/>
  <c r="M22" i="6" s="1"/>
  <c r="N45" i="6" s="1"/>
  <c r="C46" i="6" s="1"/>
  <c r="AG49" i="6" l="1"/>
  <c r="U23" i="3"/>
  <c r="U26" i="3" s="1"/>
  <c r="O60" i="10" s="1"/>
  <c r="U25" i="3"/>
  <c r="B41" i="2"/>
  <c r="C41" i="6" s="1"/>
  <c r="AA25" i="1"/>
  <c r="X24" i="3" s="1"/>
  <c r="B40" i="2"/>
  <c r="C40" i="6" s="1"/>
  <c r="U24" i="3"/>
  <c r="AA23" i="1"/>
  <c r="AB23" i="1" s="1"/>
  <c r="B39" i="2"/>
  <c r="C39" i="6" s="1"/>
  <c r="AA24" i="1"/>
  <c r="AB24" i="1" s="1"/>
  <c r="Y23" i="3" s="1"/>
  <c r="B38" i="2"/>
  <c r="C38" i="6" s="1"/>
  <c r="U22" i="3"/>
  <c r="M60" i="10" l="1"/>
  <c r="X23" i="3"/>
  <c r="AB25" i="1"/>
  <c r="Y24" i="3" s="1"/>
  <c r="X22" i="3"/>
  <c r="AA1038" i="1"/>
  <c r="X26" i="3"/>
  <c r="N117" i="6"/>
  <c r="AB1038" i="1"/>
  <c r="Y22" i="3"/>
  <c r="Y26" i="3" s="1"/>
  <c r="B42" i="2"/>
  <c r="O5" i="10"/>
  <c r="F68" i="6" s="1"/>
  <c r="K69" i="6" s="1"/>
  <c r="O6" i="10" l="1"/>
  <c r="O9" i="10" s="1"/>
  <c r="O14" i="10" s="1"/>
  <c r="O16" i="10" s="1"/>
  <c r="I62" i="6" l="1"/>
  <c r="K66" i="6" s="1"/>
  <c r="M70" i="6" s="1"/>
  <c r="N75" i="6" s="1"/>
  <c r="N79" i="6" s="1"/>
  <c r="N111" i="6" s="1"/>
  <c r="O44" i="10"/>
  <c r="O45" i="10" s="1"/>
  <c r="V52" i="10" l="1"/>
  <c r="W49" i="10"/>
  <c r="W51" i="10"/>
  <c r="W52" i="10"/>
  <c r="X50" i="10"/>
  <c r="V49" i="10"/>
  <c r="O49" i="10" s="1"/>
  <c r="X51" i="10"/>
  <c r="W50" i="10"/>
  <c r="O53" i="10"/>
  <c r="X52" i="10"/>
  <c r="V51" i="10"/>
  <c r="O51" i="10" s="1"/>
  <c r="V50" i="10"/>
  <c r="O50" i="10" s="1"/>
  <c r="O52" i="10" l="1"/>
  <c r="O54" i="10" s="1"/>
  <c r="M55" i="10" l="1"/>
  <c r="N112" i="6"/>
  <c r="G55" i="10"/>
  <c r="O55" i="10" l="1"/>
  <c r="N113" i="6" s="1"/>
  <c r="N114" i="6" s="1"/>
  <c r="O56" i="10" l="1"/>
  <c r="O58" i="10" s="1"/>
  <c r="A61" i="10" s="1"/>
  <c r="N116" i="6"/>
  <c r="O61" i="10" l="1"/>
  <c r="B118" i="6"/>
  <c r="N118" i="6"/>
</calcChain>
</file>

<file path=xl/comments1.xml><?xml version="1.0" encoding="utf-8"?>
<comments xmlns="http://schemas.openxmlformats.org/spreadsheetml/2006/main">
  <authors>
    <author>Author</author>
  </authors>
  <commentList>
    <comment ref="B24" authorId="0" shapeId="0">
      <text>
        <r>
          <rPr>
            <b/>
            <sz val="9"/>
            <color indexed="81"/>
            <rFont val="Tahoma"/>
            <family val="2"/>
          </rPr>
          <t>Author:</t>
        </r>
        <r>
          <rPr>
            <sz val="9"/>
            <color indexed="81"/>
            <rFont val="Tahoma"/>
            <family val="2"/>
          </rPr>
          <t xml:space="preserve">
INCOME TAX Ded. RS/- DATA will be Come form Bills Sheet </t>
        </r>
      </text>
    </comment>
    <comment ref="B44" authorId="0" shapeId="0">
      <text>
        <r>
          <rPr>
            <b/>
            <sz val="9"/>
            <color indexed="81"/>
            <rFont val="Tahoma"/>
            <family val="2"/>
          </rPr>
          <t>Author:</t>
        </r>
        <r>
          <rPr>
            <sz val="9"/>
            <color indexed="81"/>
            <rFont val="Tahoma"/>
            <family val="2"/>
          </rPr>
          <t xml:space="preserve">
INCOME TAX Ded. RS/- DATA will be Come form Bills Sheet </t>
        </r>
      </text>
    </comment>
  </commentList>
</comments>
</file>

<file path=xl/comments2.xml><?xml version="1.0" encoding="utf-8"?>
<comments xmlns="http://schemas.openxmlformats.org/spreadsheetml/2006/main">
  <authors>
    <author>Author</author>
  </authors>
  <commentList>
    <comment ref="X5" authorId="0" shapeId="0">
      <text>
        <r>
          <rPr>
            <b/>
            <sz val="9"/>
            <color indexed="81"/>
            <rFont val="Tahoma"/>
            <family val="2"/>
          </rPr>
          <t>Author:</t>
        </r>
        <r>
          <rPr>
            <sz val="9"/>
            <color indexed="81"/>
            <rFont val="Tahoma"/>
            <family val="2"/>
          </rPr>
          <t xml:space="preserve">
income tax ded. By sallary ENTRY AT HERE and Auto Fill IN (BIN) , Cell B25 to B40 and (CIN) B46 to B 61</t>
        </r>
      </text>
    </comment>
    <comment ref="F6" authorId="0" shapeId="0">
      <text>
        <r>
          <rPr>
            <b/>
            <sz val="9"/>
            <color indexed="81"/>
            <rFont val="Tahoma"/>
            <family val="2"/>
          </rPr>
          <t>Author:</t>
        </r>
        <r>
          <rPr>
            <sz val="9"/>
            <color indexed="81"/>
            <rFont val="Tahoma"/>
            <family val="2"/>
          </rPr>
          <t xml:space="preserve">
Write Here Basic with Grade Pay only on march 2017</t>
        </r>
      </text>
    </comment>
    <comment ref="F7" authorId="0" shapeId="0">
      <text>
        <r>
          <rPr>
            <b/>
            <sz val="9"/>
            <color indexed="81"/>
            <rFont val="Tahoma"/>
            <family val="2"/>
          </rPr>
          <t>Author:</t>
        </r>
        <r>
          <rPr>
            <sz val="9"/>
            <color indexed="81"/>
            <rFont val="Tahoma"/>
            <family val="2"/>
          </rPr>
          <t xml:space="preserve">
Write Here Basic with Grade Pay only on march 2017</t>
        </r>
      </text>
    </comment>
    <comment ref="R15" authorId="0" shapeId="0">
      <text>
        <r>
          <rPr>
            <b/>
            <sz val="9"/>
            <color indexed="81"/>
            <rFont val="Tahoma"/>
            <family val="2"/>
          </rPr>
          <t>Author:</t>
        </r>
        <r>
          <rPr>
            <b/>
            <sz val="9"/>
            <color indexed="81"/>
            <rFont val="Tahoma"/>
            <charset val="1"/>
          </rPr>
          <t xml:space="preserve">
ORDER NO &amp; DATE -</t>
        </r>
        <r>
          <rPr>
            <sz val="9"/>
            <color indexed="81"/>
            <rFont val="Tahoma"/>
            <charset val="1"/>
          </rPr>
          <t xml:space="preserve">
No. F. 1(5)FD(Rules)/2009Jaipur Date 12-12-2017
This Order shall come into Force with effect form 01-11-17 i.e. salary of Novermber 2017 Paid in December 2017
</t>
        </r>
      </text>
    </comment>
  </commentList>
</comments>
</file>

<file path=xl/sharedStrings.xml><?xml version="1.0" encoding="utf-8"?>
<sst xmlns="http://schemas.openxmlformats.org/spreadsheetml/2006/main" count="760" uniqueCount="501">
  <si>
    <t>Month</t>
  </si>
  <si>
    <t>Bill No</t>
  </si>
  <si>
    <t>Date</t>
  </si>
  <si>
    <t>DA</t>
  </si>
  <si>
    <t>HRA</t>
  </si>
  <si>
    <t>TOTAL</t>
  </si>
  <si>
    <t>Designation</t>
  </si>
  <si>
    <t>GPF</t>
  </si>
  <si>
    <t>SI</t>
  </si>
  <si>
    <t>RPMF</t>
  </si>
  <si>
    <t>TV.NO.</t>
  </si>
  <si>
    <t>AAAAAFv+d2Y=</t>
  </si>
  <si>
    <t>Bonus</t>
  </si>
  <si>
    <t>NET PAY</t>
  </si>
  <si>
    <t>jkT; chek</t>
  </si>
  <si>
    <t>L.I.C.</t>
  </si>
  <si>
    <t>Income Tax</t>
  </si>
  <si>
    <t>osru tks fn;k x;k</t>
  </si>
  <si>
    <t>dVkSfr;kWa tks dh xbZ</t>
  </si>
  <si>
    <t>osru Mªk ekufp=</t>
  </si>
  <si>
    <t>Certificate under section 203 of the Income - tax Act. 1961 for tax deducted at</t>
  </si>
  <si>
    <t>Name and Designation of the Employee</t>
  </si>
  <si>
    <t>PERIOD</t>
  </si>
  <si>
    <t>Assessment year</t>
  </si>
  <si>
    <t>FROM</t>
  </si>
  <si>
    <t>TO</t>
  </si>
  <si>
    <t>DETAILS OF SALARY PAID AND ANY OTHER INCOME AND TAX DEDUCTED</t>
  </si>
  <si>
    <t>Gross Salary</t>
  </si>
  <si>
    <t>(a)</t>
  </si>
  <si>
    <t>Salary as per provisions contained in sec. 17(1)</t>
  </si>
  <si>
    <t>Rs.</t>
  </si>
  <si>
    <t xml:space="preserve">(b) </t>
  </si>
  <si>
    <t xml:space="preserve">(c) </t>
  </si>
  <si>
    <t xml:space="preserve">(d) </t>
  </si>
  <si>
    <t>Total</t>
  </si>
  <si>
    <t>Balance (1-2)</t>
  </si>
  <si>
    <t>Entertainment allowance</t>
  </si>
  <si>
    <t>Tax on Employment</t>
  </si>
  <si>
    <t>Aggregate of 4(a) and (b)</t>
  </si>
  <si>
    <t>Income chargeable under the head 'Salaries' (3-5)</t>
  </si>
  <si>
    <t>Add : Any other income reported by the employee</t>
  </si>
  <si>
    <t>Gross total income (6+7)</t>
  </si>
  <si>
    <t>Deductions under Chapter VI-A</t>
  </si>
  <si>
    <t>(A)</t>
  </si>
  <si>
    <t>Section 80C, 80CCC and 80 CCD</t>
  </si>
  <si>
    <t>Qulifing Amount</t>
  </si>
  <si>
    <t>Gross Amount</t>
  </si>
  <si>
    <t>Deductible amount</t>
  </si>
  <si>
    <t>Section 80C</t>
  </si>
  <si>
    <t>(i)</t>
  </si>
  <si>
    <t>(ii)</t>
  </si>
  <si>
    <t>(iii)</t>
  </si>
  <si>
    <t>(iv)</t>
  </si>
  <si>
    <t>(v)</t>
  </si>
  <si>
    <t>(vi)</t>
  </si>
  <si>
    <t>(vii)</t>
  </si>
  <si>
    <t>Note : -</t>
  </si>
  <si>
    <t>1. aggregate amount deductible under section 80C shall not exceed one lakh rupees.</t>
  </si>
  <si>
    <t>2. aggregate amount deductible under the three sections, i.e., 80C, 80CCC and 80 CCD, shall not exceed one lakh rupees</t>
  </si>
  <si>
    <t>80G</t>
  </si>
  <si>
    <t>80D</t>
  </si>
  <si>
    <t>Total Ded.</t>
  </si>
  <si>
    <t>Deduction Detail</t>
  </si>
  <si>
    <t>N.P.S. By SELF</t>
  </si>
  <si>
    <t>80TTA</t>
  </si>
  <si>
    <t>80DDB</t>
  </si>
  <si>
    <t>Saving Bank Int.</t>
  </si>
  <si>
    <t>I</t>
  </si>
  <si>
    <t>GPF LOAN</t>
  </si>
  <si>
    <t>S.I. LOAN</t>
  </si>
  <si>
    <t>Certificate No.</t>
  </si>
  <si>
    <t>Enc.  DATE</t>
  </si>
  <si>
    <t>CIT (TDS)</t>
  </si>
  <si>
    <t>Address</t>
  </si>
  <si>
    <t>City</t>
  </si>
  <si>
    <t>Pin code</t>
  </si>
  <si>
    <t>Part - A</t>
  </si>
  <si>
    <r>
      <t>FORM NO. 16</t>
    </r>
    <r>
      <rPr>
        <sz val="10"/>
        <rFont val="Calibri"/>
        <family val="2"/>
        <scheme val="minor"/>
      </rPr>
      <t xml:space="preserve"> </t>
    </r>
    <r>
      <rPr>
        <sz val="11"/>
        <rFont val="Calibri"/>
        <family val="2"/>
        <scheme val="minor"/>
      </rPr>
      <t>[ See Rule-31 (1)(a) ]</t>
    </r>
  </si>
  <si>
    <t>Quarter (s)</t>
  </si>
  <si>
    <t>Quarter -1</t>
  </si>
  <si>
    <t>Quarter -2</t>
  </si>
  <si>
    <t>Quarter -3</t>
  </si>
  <si>
    <t>Quarter -4</t>
  </si>
  <si>
    <t>Receipt Numbers of original Quarterly Statements of TDS under sub-section (3) of section 200</t>
  </si>
  <si>
    <t>Amount Paid / Credited</t>
  </si>
  <si>
    <t>Amount of tax deducted (Rs.)</t>
  </si>
  <si>
    <t>Amount of tax deposited / remitted (Rs.)</t>
  </si>
  <si>
    <t>TOTAL (Rs.)</t>
  </si>
  <si>
    <t>SI No.</t>
  </si>
  <si>
    <t>Tax deposited in respect of the deductee (Rs.)</t>
  </si>
  <si>
    <t>Book Identification Number (BIN)</t>
  </si>
  <si>
    <t>Receipt Numbers Of Form no. 24G</t>
  </si>
  <si>
    <t>DDO Serial Number in Form No. 24G</t>
  </si>
  <si>
    <t>Status of matching with form no. 24G</t>
  </si>
  <si>
    <t>Challan Identification Number (CIN)</t>
  </si>
  <si>
    <t>VERIFICATION</t>
  </si>
  <si>
    <t xml:space="preserve">Son / Daughter of </t>
  </si>
  <si>
    <t>Working in the capacity of</t>
  </si>
  <si>
    <r>
      <t xml:space="preserve">(designation)do hereby certify that a sum of </t>
    </r>
    <r>
      <rPr>
        <b/>
        <sz val="9"/>
        <rFont val="Calibri"/>
        <family val="2"/>
        <scheme val="minor"/>
      </rPr>
      <t>RS</t>
    </r>
  </si>
  <si>
    <t xml:space="preserve">to the credit of the central Government . I futher certify that the information given above is true, completed and </t>
  </si>
  <si>
    <t>correct and is based on the books of account , TDS statement, TDS deposited and other available records.</t>
  </si>
  <si>
    <t>Place</t>
  </si>
  <si>
    <t>Full Name</t>
  </si>
  <si>
    <t>Signature of person responsible for deduction of tax</t>
  </si>
  <si>
    <t>Notes :-</t>
  </si>
  <si>
    <t>Government deductors to fill information in item. I if tax is paid without producation of an income-tax challan and in item II if tax is paid accompanied by an income tax challan</t>
  </si>
  <si>
    <t>Non government deductor to fill information in item II</t>
  </si>
  <si>
    <t>The deductor shall furnish the address of the commissinor of income tax (TDS) having jurisdiction as regards TDS statement of the assessee</t>
  </si>
  <si>
    <t>if assessee an employed under one employer only during the year, certificate in form No. 16 issued for the quarter ending 31st march of the financial year shall contain the details of tax deducted and deposited for all the quarter of the financial year.</t>
  </si>
  <si>
    <t>if assessee an employed under more than one employer during the year, each of the employers shall issue part A of the certificate in form No. 16 pertaining to the period for which such assessee was employed with each of the employer , Part B (Annexure) of the certificate in Form No. 16 may be issued by each of the employers of the last employer at the option of the assessee.</t>
  </si>
  <si>
    <t>In the items I and II , in column for tax deposited in respect of deductee, furnish total amount of TDS and education cess</t>
  </si>
  <si>
    <t>PART - B (Annexure)</t>
  </si>
  <si>
    <t>Value of perquisites u/s 17(2) (as per Form No. 12 BA, wherever applicable)</t>
  </si>
  <si>
    <t>Profits in lieu of salary under section 17(3) (as per Form No. 12 BA, wherever applicable)</t>
  </si>
  <si>
    <t>Status of matching with OLTAS</t>
  </si>
  <si>
    <t>Challan Serial Number</t>
  </si>
  <si>
    <t>Date on which tax deposite (dd/mm/yyyy)</t>
  </si>
  <si>
    <t>BSR code of the bank branch</t>
  </si>
  <si>
    <t>TAN of the Deductor</t>
  </si>
  <si>
    <t>PAN of the Deductor</t>
  </si>
  <si>
    <t>PAN of the Employee</t>
  </si>
  <si>
    <t>Employee Reference No. provided by the Employer</t>
  </si>
  <si>
    <t>source on Salary</t>
  </si>
  <si>
    <t>Last Updated On</t>
  </si>
  <si>
    <t>Name and Address of The Employer</t>
  </si>
  <si>
    <t>Period with the Employer</t>
  </si>
  <si>
    <t>Summary of Amount paid/credited and Tax  deducted at source thereon in respect of the employee</t>
  </si>
  <si>
    <t>Date Of transfer Voucher    (dd/mm/yyyy)</t>
  </si>
  <si>
    <t>Allowance</t>
  </si>
  <si>
    <t>B</t>
  </si>
  <si>
    <t>Other sections (e.g. 80E,80G,80TTA etc.) under chapter VI-A</t>
  </si>
  <si>
    <t>Qualifying Amount</t>
  </si>
  <si>
    <t>i</t>
  </si>
  <si>
    <t>ii</t>
  </si>
  <si>
    <t>iii</t>
  </si>
  <si>
    <t>iv</t>
  </si>
  <si>
    <t>v</t>
  </si>
  <si>
    <t>Note :- In case of 80CCG separate deductions of maximum Rs. 25,000 is applicable (50% of investment made, Maximum investment upto Rs. 50,000/-) to a person having invested below Rs. 1lakh.</t>
  </si>
  <si>
    <t>Aggregate of deductible amount under chapter VI-A</t>
  </si>
  <si>
    <t>Total Income (8-10)</t>
  </si>
  <si>
    <t>Tax on Total income</t>
  </si>
  <si>
    <t>education cess @ 3% (on tax computed at S.No. 12)</t>
  </si>
  <si>
    <t>Tax Payable (12+13)</t>
  </si>
  <si>
    <t>Less : Relief under section. 89 (attech detail)</t>
  </si>
  <si>
    <t>Tax Payable (14-15)</t>
  </si>
  <si>
    <t>th-ih-,Q-</t>
  </si>
  <si>
    <t>lkekU; nq?kZVuk chek</t>
  </si>
  <si>
    <t>tution fees</t>
  </si>
  <si>
    <t>lqdU;k le`f) ;kstuk</t>
  </si>
  <si>
    <t>Section …..</t>
  </si>
  <si>
    <t>-</t>
  </si>
  <si>
    <t>Basic with Grade Pay</t>
  </si>
  <si>
    <t>S.N.</t>
  </si>
  <si>
    <t>Wash All.</t>
  </si>
  <si>
    <t>Handi. All.</t>
  </si>
  <si>
    <t>Home Loan</t>
  </si>
  <si>
    <t>CPF</t>
  </si>
  <si>
    <t>NPS</t>
  </si>
  <si>
    <t>Bank A/C.</t>
  </si>
  <si>
    <r>
      <t xml:space="preserve">TOTAL </t>
    </r>
    <r>
      <rPr>
        <b/>
        <sz val="10"/>
        <color theme="1"/>
        <rFont val="Wingdings"/>
        <charset val="2"/>
      </rPr>
      <t>F</t>
    </r>
  </si>
  <si>
    <t>2018-19</t>
  </si>
  <si>
    <t>2017-18</t>
  </si>
  <si>
    <t>uke deZpkjh %</t>
  </si>
  <si>
    <t xml:space="preserve"> in %</t>
  </si>
  <si>
    <t>PAN :</t>
  </si>
  <si>
    <t>#-</t>
  </si>
  <si>
    <t xml:space="preserve">                                                              'ks"k ¼2&amp;3½</t>
  </si>
  <si>
    <t xml:space="preserve">                                                           'ks"k ¼4&amp;5½</t>
  </si>
  <si>
    <t>¼v½x`g lEifr ls vk;%¼1½ Loa; ds mi;ksx esa &amp;'kwU;</t>
  </si>
  <si>
    <t>¼2½ izkIr fdjk;k #-</t>
  </si>
  <si>
    <t xml:space="preserve">¼c½ ?kVk;sa </t>
  </si>
  <si>
    <t xml:space="preserve"> x`g _.k ij C;kt</t>
  </si>
  <si>
    <t xml:space="preserve"> x`gdj </t>
  </si>
  <si>
    <t xml:space="preserve">  ;ksx 7¼c½</t>
  </si>
  <si>
    <t xml:space="preserve">                                                          'ks"k &amp;@$¼7¼v½ ,oa ;ksx 7¼c½ dk½  </t>
  </si>
  <si>
    <t>vU; vk;</t>
  </si>
  <si>
    <t>(x)</t>
  </si>
  <si>
    <t>(xi)</t>
  </si>
  <si>
    <t>(xii)</t>
  </si>
  <si>
    <t>jk"Vªh; cpr i= ij vnr C;kt</t>
  </si>
  <si>
    <t>(xiii)</t>
  </si>
  <si>
    <t xml:space="preserve">V;w'ku Qhl </t>
  </si>
  <si>
    <t>(xiv)</t>
  </si>
  <si>
    <t>bfDoVh fyad lsfoax Ldhe</t>
  </si>
  <si>
    <t>(xv)</t>
  </si>
  <si>
    <t>(xvi)</t>
  </si>
  <si>
    <t>(viii)</t>
  </si>
  <si>
    <t>;w- ,y- vkbZ- ih-@okf"kZd Iyku</t>
  </si>
  <si>
    <t>(xvii)</t>
  </si>
  <si>
    <t>vU; tekjkf'k ¼/kkjk 80 lh ds vUrxZr½</t>
  </si>
  <si>
    <t>(ix)</t>
  </si>
  <si>
    <t>lqdU;k le`f) ;kstuk esa tek jkf'k</t>
  </si>
  <si>
    <t xml:space="preserve">                        vf/kdre dVkSrh dh jkf'k 1-50 yk[k #i, rd</t>
  </si>
  <si>
    <t xml:space="preserve"> vU; dVkSfr;k¡</t>
  </si>
  <si>
    <t>dqy ;ksx 12 ¼ 1 ls 6 rd ½</t>
  </si>
  <si>
    <t xml:space="preserve"> vk;dj dh x.kuk  mijksDr dkWye 15 ds vk/kkj ij</t>
  </si>
  <si>
    <t>,d O;fDr dj nkrk</t>
  </si>
  <si>
    <t>ofj"B ukxfjd ¼60 ls 80 o"kZ rd½</t>
  </si>
  <si>
    <t>80 o"kZ ;k vf/kd vk;q</t>
  </si>
  <si>
    <r>
      <t xml:space="preserve">2,50,000 </t>
    </r>
    <r>
      <rPr>
        <sz val="12"/>
        <rFont val="DevLys 010"/>
      </rPr>
      <t>rd</t>
    </r>
  </si>
  <si>
    <t>Nil</t>
  </si>
  <si>
    <r>
      <t xml:space="preserve">3,00,000 </t>
    </r>
    <r>
      <rPr>
        <sz val="12"/>
        <rFont val="DevLys 010"/>
      </rPr>
      <t>rd</t>
    </r>
  </si>
  <si>
    <t>2,50,001-5,00,000</t>
  </si>
  <si>
    <t>3,00,001-5,00,000</t>
  </si>
  <si>
    <r>
      <t xml:space="preserve">5,00,000 </t>
    </r>
    <r>
      <rPr>
        <sz val="12"/>
        <rFont val="DevLys 010"/>
      </rPr>
      <t>rd</t>
    </r>
  </si>
  <si>
    <t>5,00,001-10,00,000</t>
  </si>
  <si>
    <r>
      <rPr>
        <sz val="10"/>
        <rFont val="Calibri"/>
        <family val="2"/>
      </rPr>
      <t>10,00,000</t>
    </r>
    <r>
      <rPr>
        <sz val="10"/>
        <rFont val="DevLys 010"/>
      </rPr>
      <t xml:space="preserve"> ls vf/kd</t>
    </r>
  </si>
  <si>
    <r>
      <t xml:space="preserve">10,00,000 </t>
    </r>
    <r>
      <rPr>
        <sz val="12"/>
        <rFont val="DevLys 010"/>
      </rPr>
      <t>ls vf/kd</t>
    </r>
  </si>
  <si>
    <t>¼1½ ;ksx vk;dj</t>
  </si>
  <si>
    <t>¼3½ 'ks"k vk;dj ¼1&amp;2½</t>
  </si>
  <si>
    <t xml:space="preserve">                                                             dqy vk;dj ¼1$2½</t>
  </si>
  <si>
    <t>dqy 'ks"k vk;dj</t>
  </si>
  <si>
    <t xml:space="preserve"> vk;dj dVkSrh
 dk fooj.k</t>
  </si>
  <si>
    <t>gLrk{kj dkfeZd</t>
  </si>
  <si>
    <r>
      <t xml:space="preserve">isa'ku Iyku gsrq va'knku¼/kkjk </t>
    </r>
    <r>
      <rPr>
        <sz val="10"/>
        <rFont val="Calibri"/>
        <family val="2"/>
        <scheme val="minor"/>
      </rPr>
      <t>80ccc</t>
    </r>
    <r>
      <rPr>
        <sz val="10"/>
        <rFont val="Kruti Dev 010"/>
      </rPr>
      <t>½</t>
    </r>
  </si>
  <si>
    <r>
      <t xml:space="preserve">LFkfxr okf"kZdh </t>
    </r>
    <r>
      <rPr>
        <sz val="10"/>
        <rFont val="Calibri"/>
        <family val="2"/>
        <scheme val="minor"/>
      </rPr>
      <t>(Defferred Annuty)</t>
    </r>
  </si>
  <si>
    <r>
      <t>jkT; chek</t>
    </r>
    <r>
      <rPr>
        <sz val="12"/>
        <rFont val="Calibri"/>
        <family val="2"/>
        <scheme val="minor"/>
      </rPr>
      <t xml:space="preserve"> (SI)</t>
    </r>
  </si>
  <si>
    <r>
      <t>thou chek izhfe;e ¼</t>
    </r>
    <r>
      <rPr>
        <sz val="12"/>
        <rFont val="Calibri"/>
        <family val="2"/>
        <scheme val="minor"/>
      </rPr>
      <t>LIC)</t>
    </r>
  </si>
  <si>
    <r>
      <t>jk"Vªh; cpr i= ¼</t>
    </r>
    <r>
      <rPr>
        <sz val="12"/>
        <rFont val="Calibri"/>
        <family val="2"/>
        <scheme val="minor"/>
      </rPr>
      <t>NSC)</t>
    </r>
  </si>
  <si>
    <r>
      <t>yksd Hkfo"; fuf/k ¼</t>
    </r>
    <r>
      <rPr>
        <sz val="12"/>
        <rFont val="Calibri"/>
        <family val="2"/>
        <scheme val="minor"/>
      </rPr>
      <t>PPF)</t>
    </r>
  </si>
  <si>
    <r>
      <t xml:space="preserve">x`g _.k fdLr </t>
    </r>
    <r>
      <rPr>
        <sz val="10"/>
        <rFont val="Calibri"/>
        <family val="2"/>
        <scheme val="minor"/>
      </rPr>
      <t>(HBA Premium)</t>
    </r>
  </si>
  <si>
    <r>
      <t>jk"Vªh; cpr Ldhe ¼</t>
    </r>
    <r>
      <rPr>
        <sz val="10"/>
        <rFont val="Calibri"/>
        <family val="2"/>
        <scheme val="minor"/>
      </rPr>
      <t>NSS)</t>
    </r>
  </si>
  <si>
    <r>
      <t>lkekU; izko/kk;h fuf/k ¼</t>
    </r>
    <r>
      <rPr>
        <sz val="10"/>
        <rFont val="Calibri"/>
        <family val="2"/>
        <scheme val="minor"/>
      </rPr>
      <t>GPF)</t>
    </r>
  </si>
  <si>
    <r>
      <t>lkewfgd chek izhfe;e ¼</t>
    </r>
    <r>
      <rPr>
        <sz val="10"/>
        <rFont val="Calibri"/>
        <family val="2"/>
        <scheme val="minor"/>
      </rPr>
      <t>G.Ins.)</t>
    </r>
  </si>
  <si>
    <r>
      <rPr>
        <b/>
        <sz val="12"/>
        <rFont val="Kruti Dev 010"/>
      </rPr>
      <t>¼2½</t>
    </r>
    <r>
      <rPr>
        <sz val="12"/>
        <rFont val="Kruti Dev 010"/>
      </rPr>
      <t xml:space="preserve"> NwV ?kkjk 87¼</t>
    </r>
    <r>
      <rPr>
        <sz val="10"/>
        <rFont val="Kruti Dev 010"/>
      </rPr>
      <t>A</t>
    </r>
    <r>
      <rPr>
        <sz val="12"/>
        <rFont val="Kruti Dev 010"/>
      </rPr>
      <t>½ ¼3-5 yk[k rd dh vk; ij vk;dj dh NwV :- 2500 rd½</t>
    </r>
  </si>
  <si>
    <r>
      <t xml:space="preserve">¼2½ </t>
    </r>
    <r>
      <rPr>
        <sz val="12"/>
        <rFont val="Kruti Dev 010"/>
      </rPr>
      <t>f'k{kk midj</t>
    </r>
    <r>
      <rPr>
        <sz val="12"/>
        <rFont val="Calibri"/>
        <family val="2"/>
        <scheme val="minor"/>
      </rPr>
      <t xml:space="preserve"> </t>
    </r>
    <r>
      <rPr>
        <sz val="10"/>
        <rFont val="Calibri"/>
        <family val="2"/>
        <scheme val="minor"/>
      </rPr>
      <t>2%</t>
    </r>
    <r>
      <rPr>
        <sz val="12"/>
        <rFont val="Kruti Dev 010"/>
      </rPr>
      <t xml:space="preserve"> ,oa mPp f'k{kk ds fy, vf/kHkkj </t>
    </r>
    <r>
      <rPr>
        <sz val="10"/>
        <rFont val="Calibri"/>
        <family val="2"/>
        <scheme val="minor"/>
      </rPr>
      <t xml:space="preserve">1%  , </t>
    </r>
    <r>
      <rPr>
        <sz val="12"/>
        <rFont val="Kruti Dev 010"/>
      </rPr>
      <t xml:space="preserve">;ksx </t>
    </r>
    <r>
      <rPr>
        <sz val="10"/>
        <rFont val="Calibri"/>
        <family val="2"/>
        <scheme val="minor"/>
      </rPr>
      <t>3%</t>
    </r>
    <r>
      <rPr>
        <sz val="12"/>
        <rFont val="Calibri"/>
        <family val="2"/>
        <scheme val="minor"/>
      </rPr>
      <t>)</t>
    </r>
  </si>
  <si>
    <r>
      <t xml:space="preserve">dqy vk; dh jkf'k dks lEiw.kZ djuk ¼ nl ds xq.kd esa ½ /kkjk </t>
    </r>
    <r>
      <rPr>
        <b/>
        <sz val="10"/>
        <rFont val="Calibri"/>
        <family val="2"/>
        <scheme val="minor"/>
      </rPr>
      <t>288A</t>
    </r>
  </si>
  <si>
    <r>
      <t xml:space="preserve">dqy dVkSrh </t>
    </r>
    <r>
      <rPr>
        <b/>
        <sz val="10"/>
        <rFont val="Calibri"/>
        <family val="2"/>
        <scheme val="minor"/>
      </rPr>
      <t>( 11 + 12)</t>
    </r>
  </si>
  <si>
    <r>
      <t xml:space="preserve">dj ;ksX; vk; </t>
    </r>
    <r>
      <rPr>
        <sz val="10"/>
        <rFont val="Calibri"/>
        <family val="2"/>
        <scheme val="minor"/>
      </rPr>
      <t>( 10 - 13 )</t>
    </r>
  </si>
  <si>
    <r>
      <t xml:space="preserve">8- /kkjk </t>
    </r>
    <r>
      <rPr>
        <sz val="10"/>
        <rFont val="Calibri"/>
        <family val="2"/>
        <scheme val="minor"/>
      </rPr>
      <t>80 GGA</t>
    </r>
    <r>
      <rPr>
        <sz val="12"/>
        <rFont val="Calibri"/>
        <family val="2"/>
        <scheme val="minor"/>
      </rPr>
      <t xml:space="preserve"> </t>
    </r>
    <r>
      <rPr>
        <sz val="12"/>
        <rFont val="Kruti Dev 010"/>
      </rPr>
      <t>vuqeksfnr oSKkfud] lkekftd] xzkeh.k fodkl vkfn gsrq fn;k x;k nku</t>
    </r>
  </si>
  <si>
    <r>
      <t xml:space="preserve">7- /kkjk </t>
    </r>
    <r>
      <rPr>
        <sz val="10"/>
        <rFont val="Calibri"/>
        <family val="2"/>
        <scheme val="minor"/>
      </rPr>
      <t>80 TTA</t>
    </r>
    <r>
      <rPr>
        <sz val="12"/>
        <rFont val="Kruti Dev 010"/>
      </rPr>
      <t xml:space="preserve"> cpr [kkrs ij vf/kdre C;kt :- 10]000 </t>
    </r>
    <r>
      <rPr>
        <sz val="10"/>
        <rFont val="Calibri"/>
        <family val="2"/>
        <scheme val="minor"/>
      </rPr>
      <t>194(IA)</t>
    </r>
  </si>
  <si>
    <r>
      <t xml:space="preserve">6- </t>
    </r>
    <r>
      <rPr>
        <sz val="10"/>
        <rFont val="Kruti Dev 010"/>
      </rPr>
      <t xml:space="preserve">/kkjk </t>
    </r>
    <r>
      <rPr>
        <sz val="10"/>
        <rFont val="Calibri"/>
        <family val="2"/>
        <scheme val="minor"/>
      </rPr>
      <t>80U</t>
    </r>
    <r>
      <rPr>
        <sz val="10"/>
        <rFont val="Kruti Dev 010"/>
      </rPr>
      <t xml:space="preserve"> LFkkbZ :i ls 'kkjhfjd vleFkZrrk dh n'kk esa</t>
    </r>
    <r>
      <rPr>
        <sz val="12"/>
        <rFont val="Kruti Dev 010"/>
      </rPr>
      <t xml:space="preserve"> </t>
    </r>
    <r>
      <rPr>
        <sz val="10"/>
        <rFont val="Kruti Dev 010"/>
      </rPr>
      <t>¼vf/kdre 75]000 rFkk  vf/kfu;e 1995ds vuqlkj 125]000½</t>
    </r>
  </si>
  <si>
    <r>
      <t xml:space="preserve">5- /kkjk </t>
    </r>
    <r>
      <rPr>
        <sz val="10"/>
        <rFont val="Calibri"/>
        <family val="2"/>
        <scheme val="minor"/>
      </rPr>
      <t>80G</t>
    </r>
    <r>
      <rPr>
        <sz val="12"/>
        <rFont val="Kruti Dev 010"/>
      </rPr>
      <t xml:space="preserve"> /kekZFkZ laLFkkvksa vkfn dks fn;s nku </t>
    </r>
    <r>
      <rPr>
        <sz val="11"/>
        <rFont val="Kruti Dev 010"/>
      </rPr>
      <t>¼ d Js.kh esa 100 izfr'kr ,oa [k Js.kh esa 50 izfr'kr½</t>
    </r>
  </si>
  <si>
    <r>
      <t xml:space="preserve">4- /kkjk </t>
    </r>
    <r>
      <rPr>
        <sz val="10"/>
        <rFont val="Calibri"/>
        <family val="2"/>
        <scheme val="minor"/>
      </rPr>
      <t>80E</t>
    </r>
    <r>
      <rPr>
        <sz val="12"/>
        <rFont val="Kruti Dev 010"/>
      </rPr>
      <t xml:space="preserve"> mPp f'k{kk gsrq fy, _.k dk C;kt</t>
    </r>
  </si>
  <si>
    <r>
      <t xml:space="preserve">3- /kkjk </t>
    </r>
    <r>
      <rPr>
        <sz val="10"/>
        <rFont val="Calibri"/>
        <family val="2"/>
        <scheme val="minor"/>
      </rPr>
      <t>80DDB</t>
    </r>
    <r>
      <rPr>
        <sz val="12"/>
        <rFont val="Kruti Dev 010"/>
      </rPr>
      <t xml:space="preserve"> fof'k"V jksaxksa ds mipkj gsrq dVkSrh </t>
    </r>
    <r>
      <rPr>
        <sz val="9"/>
        <rFont val="Kruti Dev 010"/>
      </rPr>
      <t>¼vf/kdre : 40]000] lhfu;j flVhtu gsrq : 60]000½</t>
    </r>
  </si>
  <si>
    <r>
      <t xml:space="preserve">1-/kkjk </t>
    </r>
    <r>
      <rPr>
        <sz val="8"/>
        <rFont val="Calibri"/>
        <family val="2"/>
        <scheme val="minor"/>
      </rPr>
      <t>80 D</t>
    </r>
    <r>
      <rPr>
        <sz val="8"/>
        <rFont val="Kruti Dev 010"/>
      </rPr>
      <t xml:space="preserve"> ,fpfdRlk chek izhfe;e ¼Lo;a]ifr@iRuh o cPpksa ds fy, : 25000] ekrk&amp;firk ds fy, : 25000]ekrk&amp;firk lhfu;j flVhtu : 30000½</t>
    </r>
  </si>
  <si>
    <r>
      <t xml:space="preserve">2- /kkjk </t>
    </r>
    <r>
      <rPr>
        <sz val="10"/>
        <rFont val="Calibri"/>
        <family val="2"/>
        <scheme val="minor"/>
      </rPr>
      <t>80DD</t>
    </r>
    <r>
      <rPr>
        <sz val="10"/>
        <rFont val="Kruti Dev 010"/>
      </rPr>
      <t xml:space="preserve"> fodykax vkfJrksa ds fpfdRlk mipkj ¼vf/kdre 75]000 rFkk fodykaxrk vf/kfu;e 1995ds buqlkj 100]000½</t>
    </r>
  </si>
  <si>
    <r>
      <rPr>
        <sz val="10"/>
        <rFont val="Calibri"/>
        <family val="2"/>
        <scheme val="minor"/>
      </rPr>
      <t>(B)</t>
    </r>
    <r>
      <rPr>
        <sz val="12"/>
        <rFont val="Kruti Dev 010"/>
      </rPr>
      <t xml:space="preserve"> ?kVkb;s&amp; /kkjk</t>
    </r>
    <r>
      <rPr>
        <sz val="12"/>
        <rFont val="Calibri"/>
        <family val="2"/>
        <scheme val="minor"/>
      </rPr>
      <t xml:space="preserve"> </t>
    </r>
    <r>
      <rPr>
        <sz val="10"/>
        <rFont val="Calibri"/>
        <family val="2"/>
        <scheme val="minor"/>
      </rPr>
      <t>80CCD(2)</t>
    </r>
    <r>
      <rPr>
        <sz val="12"/>
        <rFont val="Kruti Dev 010"/>
      </rPr>
      <t xml:space="preserve"> fu;ksDrk }kjk isa'ku va'knku dh jkf'k ¼vf/kdre osru dk </t>
    </r>
    <r>
      <rPr>
        <sz val="12"/>
        <rFont val="Calibri"/>
        <family val="2"/>
        <scheme val="minor"/>
      </rPr>
      <t>10</t>
    </r>
    <r>
      <rPr>
        <sz val="9"/>
        <rFont val="Calibri"/>
        <family val="2"/>
        <scheme val="minor"/>
      </rPr>
      <t>%</t>
    </r>
    <r>
      <rPr>
        <sz val="12"/>
        <rFont val="Calibri"/>
        <family val="2"/>
        <scheme val="minor"/>
      </rPr>
      <t>)</t>
    </r>
    <r>
      <rPr>
        <sz val="12"/>
        <rFont val="Kruti Dev 010"/>
      </rPr>
      <t xml:space="preserve"> i`Fkd ls NwV</t>
    </r>
  </si>
  <si>
    <r>
      <rPr>
        <sz val="10"/>
        <rFont val="Calibri"/>
        <family val="2"/>
        <scheme val="minor"/>
      </rPr>
      <t>(C)</t>
    </r>
    <r>
      <rPr>
        <sz val="12"/>
        <rFont val="Calibri"/>
        <family val="2"/>
        <scheme val="minor"/>
      </rPr>
      <t xml:space="preserve"> </t>
    </r>
    <r>
      <rPr>
        <sz val="12"/>
        <rFont val="Kruti Dev 010"/>
      </rPr>
      <t xml:space="preserve">?kVkb;s &amp; /kkjk </t>
    </r>
    <r>
      <rPr>
        <sz val="10"/>
        <rFont val="Calibri"/>
        <family val="2"/>
        <scheme val="minor"/>
      </rPr>
      <t>80CCD (1B)</t>
    </r>
    <r>
      <rPr>
        <sz val="12"/>
        <rFont val="Kruti Dev 010"/>
      </rPr>
      <t xml:space="preserve"> uohu isa'ku ;kstuk esa vfrfjDr va'knku ¼vf/kdre :- 50]000½</t>
    </r>
  </si>
  <si>
    <r>
      <t>;ksx</t>
    </r>
    <r>
      <rPr>
        <sz val="12"/>
        <rFont val="Calibri"/>
        <family val="2"/>
        <scheme val="minor"/>
      </rPr>
      <t xml:space="preserve"> </t>
    </r>
    <r>
      <rPr>
        <sz val="10"/>
        <rFont val="Calibri"/>
        <family val="2"/>
        <scheme val="minor"/>
      </rPr>
      <t>11(A+B+C)</t>
    </r>
    <r>
      <rPr>
        <sz val="12"/>
        <rFont val="Calibri"/>
        <family val="2"/>
        <scheme val="minor"/>
      </rPr>
      <t xml:space="preserve">  </t>
    </r>
    <r>
      <rPr>
        <sz val="12"/>
        <rFont val="Kruti Dev 010"/>
      </rPr>
      <t xml:space="preserve">    </t>
    </r>
  </si>
  <si>
    <r>
      <rPr>
        <sz val="10"/>
        <rFont val="Calibri"/>
        <family val="2"/>
        <scheme val="minor"/>
      </rPr>
      <t>(A)</t>
    </r>
    <r>
      <rPr>
        <sz val="12"/>
        <rFont val="Kruti Dev 010"/>
      </rPr>
      <t xml:space="preserve"> vf/kdre lhek 1]50]000@&amp; ¼/kkjk </t>
    </r>
    <r>
      <rPr>
        <sz val="10"/>
        <rFont val="Calibri"/>
        <family val="2"/>
        <scheme val="minor"/>
      </rPr>
      <t>80CCE</t>
    </r>
    <r>
      <rPr>
        <sz val="12"/>
        <rFont val="Kruti Dev 010"/>
      </rPr>
      <t xml:space="preserve"> ½ ] ¼/kkjk </t>
    </r>
    <r>
      <rPr>
        <sz val="10"/>
        <rFont val="Calibri"/>
        <family val="2"/>
        <scheme val="minor"/>
      </rPr>
      <t>80CCD (2),</t>
    </r>
    <r>
      <rPr>
        <sz val="12"/>
        <rFont val="Kruti Dev 010"/>
      </rPr>
      <t xml:space="preserve"> ds vykok</t>
    </r>
  </si>
  <si>
    <r>
      <t xml:space="preserve">?kVkb;s dVkSSfr;k¡ %&amp; /kkjk </t>
    </r>
    <r>
      <rPr>
        <b/>
        <sz val="12"/>
        <rFont val="Calibri"/>
        <family val="2"/>
        <scheme val="minor"/>
      </rPr>
      <t xml:space="preserve">US </t>
    </r>
    <r>
      <rPr>
        <b/>
        <sz val="10"/>
        <rFont val="Calibri"/>
        <family val="2"/>
        <scheme val="minor"/>
      </rPr>
      <t>80C, 80CCC,80CCD (1)</t>
    </r>
  </si>
  <si>
    <r>
      <t>x`g fdjk;k] /kkjk 10¼13&amp;</t>
    </r>
    <r>
      <rPr>
        <sz val="9"/>
        <rFont val="Calibri"/>
        <family val="2"/>
        <scheme val="minor"/>
      </rPr>
      <t>A</t>
    </r>
    <r>
      <rPr>
        <sz val="12"/>
        <rFont val="Kruti Dev 010"/>
      </rPr>
      <t>½ ds vUrxrZ ,oa /kkjk 10¼14½ds vUrxrZ vU; Hkrs tks dj eqDÙk gSA</t>
    </r>
  </si>
  <si>
    <r>
      <t xml:space="preserve"> ¼</t>
    </r>
    <r>
      <rPr>
        <sz val="12"/>
        <rFont val="Calibri"/>
        <family val="2"/>
        <scheme val="minor"/>
      </rPr>
      <t>i</t>
    </r>
    <r>
      <rPr>
        <sz val="12"/>
        <rFont val="Kruti Dev 010"/>
      </rPr>
      <t>½euksjatu Hkrk /kkjk 16 ¼</t>
    </r>
    <r>
      <rPr>
        <sz val="12"/>
        <rFont val="Calibri"/>
        <family val="2"/>
        <scheme val="minor"/>
      </rPr>
      <t>ii</t>
    </r>
    <r>
      <rPr>
        <sz val="12"/>
        <rFont val="Kruti Dev 010"/>
      </rPr>
      <t>½ ds vUrxrZ ¼ vf/kdre lhek : 5000 ½</t>
    </r>
  </si>
  <si>
    <r>
      <t xml:space="preserve"> fdjk;s dk </t>
    </r>
    <r>
      <rPr>
        <sz val="10"/>
        <rFont val="Calibri"/>
        <family val="2"/>
        <scheme val="minor"/>
      </rPr>
      <t>30%</t>
    </r>
  </si>
  <si>
    <t>vk;dj x.kuk izi= o"kZ</t>
  </si>
  <si>
    <t>¼dj fu/kkZj.k o"kZ</t>
  </si>
  <si>
    <t>½</t>
  </si>
  <si>
    <t>TEACHER</t>
  </si>
  <si>
    <r>
      <t>ih-,y-vkbZ- ¼</t>
    </r>
    <r>
      <rPr>
        <sz val="11"/>
        <rFont val="Calibri"/>
        <family val="2"/>
        <scheme val="minor"/>
      </rPr>
      <t>PLI)</t>
    </r>
  </si>
  <si>
    <r>
      <t xml:space="preserve"> ¼</t>
    </r>
    <r>
      <rPr>
        <sz val="12"/>
        <rFont val="Calibri"/>
        <family val="2"/>
        <scheme val="minor"/>
      </rPr>
      <t>ii</t>
    </r>
    <r>
      <rPr>
        <sz val="12"/>
        <rFont val="Kruti Dev 010"/>
      </rPr>
      <t>½ O;o;k; dj /kkjk 16 ¼</t>
    </r>
    <r>
      <rPr>
        <sz val="12"/>
        <rFont val="Calibri"/>
        <family val="2"/>
        <scheme val="minor"/>
      </rPr>
      <t>iii</t>
    </r>
    <r>
      <rPr>
        <sz val="12"/>
        <rFont val="Kruti Dev 010"/>
      </rPr>
      <t xml:space="preserve">½ ds vUrxrZ </t>
    </r>
  </si>
  <si>
    <t>vk; %  o"kZ&amp;2017&amp;18 esa izkIr dqy osru ¼ dj ;ksX; lqfo/kkvksa ds eqY; lfgr ½</t>
  </si>
  <si>
    <t>dqy 'ks"k &amp;@$¼6,oa 7½</t>
  </si>
  <si>
    <t>cpr [kkrsa ij C;kt</t>
  </si>
  <si>
    <t>:-</t>
  </si>
  <si>
    <t>ldy vk;                                                                   ;ksx ¼8$9½</t>
  </si>
  <si>
    <r>
      <t>ljdkjh isa'ku ;kstuk esa va'knku</t>
    </r>
    <r>
      <rPr>
        <sz val="9"/>
        <rFont val="Calibri"/>
        <family val="2"/>
        <scheme val="minor"/>
      </rPr>
      <t xml:space="preserve"> 80CCD(i) 10%</t>
    </r>
    <r>
      <rPr>
        <sz val="9"/>
        <rFont val="Kruti Dev 010"/>
      </rPr>
      <t xml:space="preserve">
vf/kdre osru dk 10%¼/kkjk 80ccd½</t>
    </r>
  </si>
  <si>
    <t>CCA</t>
  </si>
  <si>
    <t xml:space="preserve">              D;k vkius lefiZr osru fy;k gS \</t>
  </si>
  <si>
    <t xml:space="preserve">         vki fdl vk;q oxZ dh Js.kh esa vkrs gS \</t>
  </si>
  <si>
    <t xml:space="preserve">           D;k vkidks cksul feyk gS \</t>
  </si>
  <si>
    <t>Arrer (Jan.17-Mar.17)</t>
  </si>
  <si>
    <t>Arrer (Jul.17-sep.17)</t>
  </si>
  <si>
    <t>Surrender</t>
  </si>
  <si>
    <t>Fixation Arrear</t>
  </si>
  <si>
    <t>Salary Arrear</t>
  </si>
  <si>
    <t>OTHER</t>
  </si>
  <si>
    <t>G.I. + S. Tax</t>
  </si>
  <si>
    <t>Posting Place :-</t>
  </si>
  <si>
    <t>Designation :-</t>
  </si>
  <si>
    <t>Employee Name :-</t>
  </si>
  <si>
    <t>PAN No. :-</t>
  </si>
  <si>
    <t>PRAN No. :-</t>
  </si>
  <si>
    <t>ADIxxx1L</t>
  </si>
  <si>
    <t>NAHAR SINGH RATHORE</t>
  </si>
  <si>
    <t>AMAR SINGH RATHORE</t>
  </si>
  <si>
    <t>DEEO PALI</t>
  </si>
  <si>
    <t>Name of Employer :-</t>
  </si>
  <si>
    <t>Signature of Employee</t>
  </si>
  <si>
    <t>Signature of DDO</t>
  </si>
  <si>
    <t xml:space="preserve">DDO / Officer :- </t>
  </si>
  <si>
    <t xml:space="preserve">Name of DDO / Officer :- </t>
  </si>
  <si>
    <r>
      <rPr>
        <b/>
        <sz val="16"/>
        <color rgb="FFFFFF00"/>
        <rFont val="Calibri"/>
        <family val="2"/>
        <scheme val="minor"/>
      </rPr>
      <t>Personal Employee ID</t>
    </r>
    <r>
      <rPr>
        <b/>
        <sz val="16"/>
        <color rgb="FFFFFF00"/>
        <rFont val="Kruti Dev 010"/>
      </rPr>
      <t xml:space="preserve"> </t>
    </r>
    <r>
      <rPr>
        <b/>
        <sz val="16"/>
        <color rgb="FFFFFF00"/>
        <rFont val="Calibri"/>
        <family val="2"/>
        <scheme val="minor"/>
      </rPr>
      <t>:-</t>
    </r>
  </si>
  <si>
    <r>
      <rPr>
        <b/>
        <sz val="16"/>
        <color rgb="FFFFFF00"/>
        <rFont val="Calibri"/>
        <family val="2"/>
        <scheme val="minor"/>
      </rPr>
      <t>PAN No.</t>
    </r>
    <r>
      <rPr>
        <b/>
        <sz val="16"/>
        <color rgb="FFFFFF00"/>
        <rFont val="Kruti Dev 010"/>
      </rPr>
      <t xml:space="preserve"> </t>
    </r>
    <r>
      <rPr>
        <b/>
        <sz val="16"/>
        <color rgb="FFFFFF00"/>
        <rFont val="Calibri"/>
        <family val="2"/>
        <scheme val="minor"/>
      </rPr>
      <t>:-</t>
    </r>
  </si>
  <si>
    <t>GPF No. :-</t>
  </si>
  <si>
    <t>Bank A/C No. :-</t>
  </si>
  <si>
    <t>Father's Name of DDO / Officer :-</t>
  </si>
  <si>
    <t>Assessment Year :-</t>
  </si>
  <si>
    <t>Financial Year (Period) :-</t>
  </si>
  <si>
    <t>Income Tax Caculate Date Form :-</t>
  </si>
  <si>
    <t>To till Date :-</t>
  </si>
  <si>
    <t>Salary Head :-</t>
  </si>
  <si>
    <t>UID AADHAR No. :-</t>
  </si>
  <si>
    <t>TAN NO. :-</t>
  </si>
  <si>
    <t>SI No. :-</t>
  </si>
  <si>
    <t>CPF &amp; NPS No. :-</t>
  </si>
  <si>
    <r>
      <rPr>
        <b/>
        <sz val="16"/>
        <color rgb="FFFFFF00"/>
        <rFont val="Calibri"/>
        <family val="2"/>
        <scheme val="minor"/>
      </rPr>
      <t>Employee Name</t>
    </r>
    <r>
      <rPr>
        <b/>
        <sz val="16"/>
        <color rgb="FFFFFF00"/>
        <rFont val="Kruti Dev 010"/>
      </rPr>
      <t xml:space="preserve"> </t>
    </r>
    <r>
      <rPr>
        <b/>
        <sz val="16"/>
        <color rgb="FFFFFF00"/>
        <rFont val="Calibri"/>
        <family val="2"/>
        <scheme val="minor"/>
      </rPr>
      <t>:-</t>
    </r>
  </si>
  <si>
    <r>
      <rPr>
        <b/>
        <sz val="16"/>
        <color rgb="FFFFFF00"/>
        <rFont val="Calibri"/>
        <family val="2"/>
        <scheme val="minor"/>
      </rPr>
      <t>Office Name</t>
    </r>
    <r>
      <rPr>
        <b/>
        <sz val="16"/>
        <color rgb="FFFFFF00"/>
        <rFont val="Kruti Dev 010"/>
      </rPr>
      <t xml:space="preserve"> </t>
    </r>
    <r>
      <rPr>
        <b/>
        <sz val="16"/>
        <color rgb="FFFFFF00"/>
        <rFont val="Calibri"/>
        <family val="2"/>
        <scheme val="minor"/>
      </rPr>
      <t>:-</t>
    </r>
  </si>
  <si>
    <t>BEEO , SOJAT CITY (PALI)</t>
  </si>
  <si>
    <t>Block Elemantry Education Office, Panchayat Samiti- Sojat City (Pali)</t>
  </si>
  <si>
    <t xml:space="preserve">YES </t>
  </si>
  <si>
    <t>NO</t>
  </si>
  <si>
    <t>Regular Pay</t>
  </si>
  <si>
    <t>FIX Pay</t>
  </si>
  <si>
    <r>
      <rPr>
        <b/>
        <sz val="16"/>
        <color rgb="FFC0C03E"/>
        <rFont val="Calibri"/>
        <family val="2"/>
        <scheme val="minor"/>
      </rPr>
      <t>%</t>
    </r>
    <r>
      <rPr>
        <b/>
        <sz val="16"/>
        <color rgb="FFC0C03E"/>
        <rFont val="Kruti Dev 010"/>
      </rPr>
      <t xml:space="preserve">                      vkidks osru fey jgk gSA</t>
    </r>
  </si>
  <si>
    <t>EMPLOYEE  PERSONAL  DETAIL</t>
  </si>
  <si>
    <t>MAR</t>
  </si>
  <si>
    <t>APR</t>
  </si>
  <si>
    <t>MAY</t>
  </si>
  <si>
    <t>JUN</t>
  </si>
  <si>
    <t>JUL</t>
  </si>
  <si>
    <t>AUG</t>
  </si>
  <si>
    <t>SEP</t>
  </si>
  <si>
    <t>OCT</t>
  </si>
  <si>
    <t>NOV</t>
  </si>
  <si>
    <t>DEC</t>
  </si>
  <si>
    <t>JAN</t>
  </si>
  <si>
    <t>FEB</t>
  </si>
  <si>
    <r>
      <rPr>
        <b/>
        <sz val="16"/>
        <color rgb="FFC0C03E"/>
        <rFont val="Calibri"/>
        <family val="2"/>
        <scheme val="minor"/>
      </rPr>
      <t xml:space="preserve">    6th PAY  HRA </t>
    </r>
    <r>
      <rPr>
        <b/>
        <sz val="16"/>
        <color rgb="FFC0C03E"/>
        <rFont val="Kruti Dev 010"/>
      </rPr>
      <t>izfr'kr esa %&amp;</t>
    </r>
  </si>
  <si>
    <r>
      <rPr>
        <b/>
        <sz val="16"/>
        <color rgb="FFC0C03E"/>
        <rFont val="Calibri"/>
        <family val="2"/>
        <scheme val="minor"/>
      </rPr>
      <t xml:space="preserve">    7th PAY  HRA </t>
    </r>
    <r>
      <rPr>
        <b/>
        <sz val="16"/>
        <color rgb="FFC0C03E"/>
        <rFont val="Kruti Dev 010"/>
      </rPr>
      <t>izfr'kr esa %&amp;</t>
    </r>
  </si>
  <si>
    <t>Under 60</t>
  </si>
  <si>
    <t xml:space="preserve">60 to 80 </t>
  </si>
  <si>
    <t>Above 80</t>
  </si>
  <si>
    <t>4- x`g lEifr ls izkIr fdjk;k &amp; vk;</t>
  </si>
  <si>
    <t xml:space="preserve">5- x`gdj </t>
  </si>
  <si>
    <t>11- ;w- ,y- vkbZ- ih-@okf"kZd Iyku</t>
  </si>
  <si>
    <t>13- jk"Vªh; cpr i= ij vnr C;kt</t>
  </si>
  <si>
    <r>
      <t xml:space="preserve">2- euksjatu Hkrk /kkjk </t>
    </r>
    <r>
      <rPr>
        <b/>
        <sz val="14"/>
        <rFont val="Calibri"/>
        <family val="2"/>
        <scheme val="minor"/>
      </rPr>
      <t>16 (ii)</t>
    </r>
    <r>
      <rPr>
        <b/>
        <sz val="14"/>
        <rFont val="Kruti Dev 010"/>
      </rPr>
      <t xml:space="preserve"> ds vUrxZr </t>
    </r>
  </si>
  <si>
    <r>
      <t>3- O;o;k; dj /kkjk 16 ¼</t>
    </r>
    <r>
      <rPr>
        <b/>
        <sz val="14"/>
        <rFont val="Calibri"/>
        <family val="2"/>
        <scheme val="minor"/>
      </rPr>
      <t>iii</t>
    </r>
    <r>
      <rPr>
        <b/>
        <sz val="14"/>
        <rFont val="Kruti Dev 010"/>
      </rPr>
      <t xml:space="preserve">½ ds vUrxrZ </t>
    </r>
  </si>
  <si>
    <r>
      <t xml:space="preserve">8- thou chek izhfe;e ¼tks osru ls ugh dkVk x;k½ </t>
    </r>
    <r>
      <rPr>
        <b/>
        <sz val="14"/>
        <rFont val="Calibri"/>
        <family val="2"/>
        <scheme val="minor"/>
      </rPr>
      <t>LIC</t>
    </r>
  </si>
  <si>
    <r>
      <t xml:space="preserve">9- ih-,y-vkbZ- </t>
    </r>
    <r>
      <rPr>
        <b/>
        <sz val="14"/>
        <rFont val="Calibri"/>
        <family val="2"/>
        <scheme val="minor"/>
      </rPr>
      <t>(PLI)</t>
    </r>
  </si>
  <si>
    <r>
      <t xml:space="preserve">10- V;w'ku Qhl </t>
    </r>
    <r>
      <rPr>
        <b/>
        <sz val="14"/>
        <rFont val="Calibri"/>
        <family val="2"/>
        <scheme val="minor"/>
      </rPr>
      <t>(Tution Fees)</t>
    </r>
  </si>
  <si>
    <r>
      <t>12- jk"Vªh; cpr i=</t>
    </r>
    <r>
      <rPr>
        <b/>
        <sz val="14"/>
        <rFont val="Calibri"/>
        <family val="2"/>
        <scheme val="minor"/>
      </rPr>
      <t xml:space="preserve"> (NSC)</t>
    </r>
  </si>
  <si>
    <r>
      <t xml:space="preserve">14- yksd Hkfo"; fuf/k </t>
    </r>
    <r>
      <rPr>
        <b/>
        <sz val="14"/>
        <rFont val="Calibri"/>
        <family val="2"/>
        <scheme val="minor"/>
      </rPr>
      <t>(PPF)</t>
    </r>
  </si>
  <si>
    <r>
      <t>16- lqdU;k le`f) ;kstuk</t>
    </r>
    <r>
      <rPr>
        <b/>
        <sz val="14"/>
        <rFont val="Calibri"/>
        <family val="2"/>
        <scheme val="minor"/>
      </rPr>
      <t xml:space="preserve"> (SSY)</t>
    </r>
  </si>
  <si>
    <t>SR No.</t>
  </si>
  <si>
    <r>
      <rPr>
        <b/>
        <sz val="16"/>
        <color theme="0"/>
        <rFont val="Calibri"/>
        <family val="2"/>
        <scheme val="minor"/>
      </rPr>
      <t xml:space="preserve">16 No. </t>
    </r>
    <r>
      <rPr>
        <b/>
        <sz val="16"/>
        <color theme="0"/>
        <rFont val="Kruti Dev 010"/>
      </rPr>
      <t xml:space="preserve">QkeZ ds fglkc ls tks ykxw gks mls lysDV djsa  </t>
    </r>
  </si>
  <si>
    <t>PB-1</t>
  </si>
  <si>
    <t>PB-3</t>
  </si>
  <si>
    <t>PB-4</t>
  </si>
  <si>
    <t>PB2</t>
  </si>
  <si>
    <t>2400A</t>
  </si>
  <si>
    <t>2400B</t>
  </si>
  <si>
    <t>2400C</t>
  </si>
  <si>
    <t>2800A</t>
  </si>
  <si>
    <t>2800B</t>
  </si>
  <si>
    <t>5400B</t>
  </si>
  <si>
    <t>5400A</t>
  </si>
  <si>
    <t>5200-20200</t>
  </si>
  <si>
    <t>9300-34800</t>
  </si>
  <si>
    <t>15600-39100</t>
  </si>
  <si>
    <t>37400-67000</t>
  </si>
  <si>
    <t>PAY BILL ENTRY SHEET</t>
  </si>
  <si>
    <r>
      <rPr>
        <b/>
        <sz val="16"/>
        <color theme="0"/>
        <rFont val="Calibri"/>
        <family val="2"/>
        <scheme val="minor"/>
      </rPr>
      <t xml:space="preserve">Sellect Grade Pay </t>
    </r>
    <r>
      <rPr>
        <b/>
        <sz val="20"/>
        <color theme="0"/>
        <rFont val="Wingdings"/>
        <charset val="2"/>
      </rPr>
      <t xml:space="preserve">  </t>
    </r>
    <r>
      <rPr>
        <b/>
        <sz val="14"/>
        <color theme="0"/>
        <rFont val="Calibri"/>
        <family val="2"/>
        <scheme val="minor"/>
      </rPr>
      <t>according 6th pay</t>
    </r>
    <r>
      <rPr>
        <b/>
        <sz val="12"/>
        <color theme="0"/>
        <rFont val="Calibri"/>
        <family val="2"/>
        <scheme val="minor"/>
      </rPr>
      <t xml:space="preserve">  </t>
    </r>
    <r>
      <rPr>
        <b/>
        <sz val="18"/>
        <color theme="0"/>
        <rFont val="Wingdings"/>
        <charset val="2"/>
      </rPr>
      <t>F</t>
    </r>
  </si>
  <si>
    <t>name of Employee :-</t>
  </si>
  <si>
    <t>I- DETAIL OF TAX DEDUCTED AND DEPOSITED IN THE CENTRAL GOVERNMENT ACCOUNT THROUGH BOOK ADJUSTMENT       (The deductor to provide payment wise detail of tax deducted and deposited with respect to the deductee)</t>
  </si>
  <si>
    <t>II- DETAIL OF TAX DEDUCTED AND DEPOSITED IN THE CENTRAL GOVERNMENT ACCOUNT THROUGH CHALLAN                  (The deductor to provide payment wise detail of tax deducted and deposited with respect to the deductee)</t>
  </si>
  <si>
    <t>osru dVkSrh ds vfrfjDr dVkSfr;k ftlds rgr vki vk;dj esa NwV pkgrs gSa] rFkk vfrfjDr ¼vU;½ vk; dks ;gkW ij bUnzkt djsA</t>
  </si>
  <si>
    <r>
      <t xml:space="preserve">15- jk"Vªh; cpr Ldhe </t>
    </r>
    <r>
      <rPr>
        <b/>
        <sz val="14"/>
        <rFont val="Calibri"/>
        <family val="2"/>
        <scheme val="minor"/>
      </rPr>
      <t>(NSS)</t>
    </r>
  </si>
  <si>
    <r>
      <t xml:space="preserve">19- /kkjk </t>
    </r>
    <r>
      <rPr>
        <b/>
        <sz val="14"/>
        <rFont val="Calibri"/>
        <family val="2"/>
        <scheme val="minor"/>
      </rPr>
      <t xml:space="preserve">80CCC </t>
    </r>
    <r>
      <rPr>
        <b/>
        <sz val="14"/>
        <rFont val="Kruti Dev 010"/>
      </rPr>
      <t>- isa'ku Iyku gsrq va'knku</t>
    </r>
  </si>
  <si>
    <r>
      <t xml:space="preserve">21- /kkjk </t>
    </r>
    <r>
      <rPr>
        <b/>
        <sz val="14"/>
        <rFont val="Calibri"/>
        <family val="2"/>
        <scheme val="minor"/>
      </rPr>
      <t>80CCD(1B) -</t>
    </r>
    <r>
      <rPr>
        <b/>
        <sz val="14"/>
        <rFont val="Kruti Dev 010"/>
      </rPr>
      <t>uohu isa'ku ;kstuk esa vfrfjDr va'knku ¼vf/kdre :- 50]000½</t>
    </r>
  </si>
  <si>
    <r>
      <t xml:space="preserve">22- /kkjk </t>
    </r>
    <r>
      <rPr>
        <b/>
        <sz val="14"/>
        <rFont val="Calibri"/>
        <family val="2"/>
        <scheme val="minor"/>
      </rPr>
      <t xml:space="preserve">80D </t>
    </r>
    <r>
      <rPr>
        <b/>
        <sz val="14"/>
        <rFont val="Kruti Dev 010"/>
      </rPr>
      <t xml:space="preserve">- fpfdRlk chek izhfe;e </t>
    </r>
  </si>
  <si>
    <r>
      <t xml:space="preserve">24- /kkjk </t>
    </r>
    <r>
      <rPr>
        <b/>
        <sz val="14"/>
        <rFont val="Calibri"/>
        <family val="2"/>
        <scheme val="minor"/>
      </rPr>
      <t xml:space="preserve">80DDB </t>
    </r>
    <r>
      <rPr>
        <b/>
        <sz val="14"/>
        <rFont val="Kruti Dev 010"/>
      </rPr>
      <t>- fof'k"V jksxksa ds mipkj gsrq dVkSrh ¼vf/kdre 40000 :½</t>
    </r>
  </si>
  <si>
    <r>
      <t xml:space="preserve">25- /kkjk </t>
    </r>
    <r>
      <rPr>
        <b/>
        <sz val="14"/>
        <rFont val="Calibri"/>
        <family val="2"/>
        <scheme val="minor"/>
      </rPr>
      <t xml:space="preserve">80E </t>
    </r>
    <r>
      <rPr>
        <b/>
        <sz val="14"/>
        <rFont val="Kruti Dev 010"/>
      </rPr>
      <t xml:space="preserve">- mPp f'k{kk gsrq fy, _.k dk C;kt ¼/kkjk </t>
    </r>
    <r>
      <rPr>
        <b/>
        <sz val="14"/>
        <rFont val="Calibri"/>
        <family val="2"/>
        <scheme val="minor"/>
      </rPr>
      <t>80E</t>
    </r>
    <r>
      <rPr>
        <b/>
        <sz val="14"/>
        <rFont val="Kruti Dev 010"/>
      </rPr>
      <t>½</t>
    </r>
  </si>
  <si>
    <r>
      <t xml:space="preserve">26- /kkjk </t>
    </r>
    <r>
      <rPr>
        <b/>
        <sz val="14"/>
        <rFont val="Calibri"/>
        <family val="2"/>
        <scheme val="minor"/>
      </rPr>
      <t xml:space="preserve">80G </t>
    </r>
    <r>
      <rPr>
        <b/>
        <sz val="14"/>
        <rFont val="Kruti Dev 010"/>
      </rPr>
      <t xml:space="preserve">- /kekZFkZ laLFkkvksa vkfn dks fn;s nku ¼d Js.kh </t>
    </r>
    <r>
      <rPr>
        <b/>
        <sz val="14"/>
        <rFont val="Calibri"/>
        <family val="2"/>
        <scheme val="minor"/>
      </rPr>
      <t xml:space="preserve">100% </t>
    </r>
    <r>
      <rPr>
        <b/>
        <sz val="14"/>
        <rFont val="Kruti Dev 010"/>
      </rPr>
      <t xml:space="preserve">,oa [k Js.kh </t>
    </r>
    <r>
      <rPr>
        <b/>
        <sz val="14"/>
        <rFont val="Calibri"/>
        <family val="2"/>
        <scheme val="minor"/>
      </rPr>
      <t>50%</t>
    </r>
    <r>
      <rPr>
        <b/>
        <sz val="14"/>
        <rFont val="Kruti Dev 010"/>
      </rPr>
      <t>½</t>
    </r>
  </si>
  <si>
    <r>
      <t xml:space="preserve">27- /kkjk </t>
    </r>
    <r>
      <rPr>
        <b/>
        <sz val="14"/>
        <rFont val="Calibri"/>
        <family val="2"/>
        <scheme val="minor"/>
      </rPr>
      <t xml:space="preserve">80U </t>
    </r>
    <r>
      <rPr>
        <b/>
        <sz val="14"/>
        <rFont val="Kruti Dev 010"/>
      </rPr>
      <t xml:space="preserve">- LFkkbZ :i ls 'kkjhfjd vleFkZrrk </t>
    </r>
  </si>
  <si>
    <r>
      <t xml:space="preserve">28- /kkjk </t>
    </r>
    <r>
      <rPr>
        <b/>
        <sz val="14"/>
        <rFont val="Calibri"/>
        <family val="2"/>
        <scheme val="minor"/>
      </rPr>
      <t>80TTA -</t>
    </r>
    <r>
      <rPr>
        <b/>
        <sz val="14"/>
        <rFont val="Kruti Dev 010"/>
      </rPr>
      <t xml:space="preserve"> cpr [kkrs ij vf/kdre C;kt :- 10]000 </t>
    </r>
    <r>
      <rPr>
        <b/>
        <sz val="14"/>
        <rFont val="Calibri"/>
        <family val="2"/>
        <scheme val="minor"/>
      </rPr>
      <t>194(IA)</t>
    </r>
  </si>
  <si>
    <r>
      <t xml:space="preserve">29- /kkjk </t>
    </r>
    <r>
      <rPr>
        <b/>
        <sz val="14"/>
        <rFont val="Calibri"/>
        <family val="2"/>
        <scheme val="minor"/>
      </rPr>
      <t xml:space="preserve">80 GGA - </t>
    </r>
    <r>
      <rPr>
        <b/>
        <sz val="14"/>
        <rFont val="Kruti Dev 010"/>
      </rPr>
      <t>vuqeksfnr oSKkfud]lkekftd]xzkeh.k fodkl vkfn gsrq fn;k x;k nku</t>
    </r>
  </si>
  <si>
    <t xml:space="preserve">30- jkgr /kkjk 89 ds rgr </t>
  </si>
  <si>
    <t>31- bfDoVh fyad lsfoax Ldhe</t>
  </si>
  <si>
    <t>32- LFkfxr okf"kZdh</t>
  </si>
  <si>
    <r>
      <t>33- osru ds vykok tek djk;k x;k aavk;dj</t>
    </r>
    <r>
      <rPr>
        <b/>
        <sz val="14"/>
        <rFont val="Calibri"/>
        <family val="2"/>
        <scheme val="minor"/>
      </rPr>
      <t xml:space="preserve"> (TDS)</t>
    </r>
  </si>
  <si>
    <t>20- vU; tek jkf'k ¼/kkjk 80 lh ds vUrxZr½</t>
  </si>
  <si>
    <r>
      <t xml:space="preserve">23- /kkjk </t>
    </r>
    <r>
      <rPr>
        <b/>
        <sz val="14"/>
        <rFont val="Calibri"/>
        <family val="2"/>
        <scheme val="minor"/>
      </rPr>
      <t>80DD -</t>
    </r>
    <r>
      <rPr>
        <b/>
        <sz val="14"/>
        <rFont val="Kruti Dev 010"/>
      </rPr>
      <t xml:space="preserve"> fodykax vkfJrksa ds fpfdRlk mipkj </t>
    </r>
  </si>
  <si>
    <t>;ksx Ø-l- 19 
:i;s</t>
  </si>
  <si>
    <t xml:space="preserve">,fj;j ls VhMh,l o vU;
</t>
  </si>
  <si>
    <r>
      <t xml:space="preserve">f'k{kk midj  </t>
    </r>
    <r>
      <rPr>
        <sz val="11"/>
        <rFont val="Times New Roman"/>
        <family val="1"/>
      </rPr>
      <t>2%</t>
    </r>
  </si>
  <si>
    <r>
      <t xml:space="preserve">lSd.Mjh vkSj mPp f'k{kk vf/kHkkj </t>
    </r>
    <r>
      <rPr>
        <sz val="11"/>
        <rFont val="Times New Roman"/>
        <family val="1"/>
      </rPr>
      <t>1%</t>
    </r>
  </si>
  <si>
    <t xml:space="preserve">?kVkb;s  %&amp; jkgr /kkjk 89 ds rgr </t>
  </si>
  <si>
    <r>
      <t xml:space="preserve">vfrfjDr thou chek </t>
    </r>
    <r>
      <rPr>
        <sz val="10"/>
        <rFont val="Calibri"/>
        <family val="2"/>
        <scheme val="minor"/>
      </rPr>
      <t>(Extra LIC)</t>
    </r>
  </si>
  <si>
    <r>
      <t>Less</t>
    </r>
    <r>
      <rPr>
        <sz val="9"/>
        <rFont val="Calibri"/>
        <family val="2"/>
        <scheme val="minor"/>
      </rPr>
      <t xml:space="preserve"> : Allowance to the extent exempt under section. 10(13-a) &amp; 10(14)</t>
    </r>
  </si>
  <si>
    <r>
      <t xml:space="preserve">Deductions </t>
    </r>
    <r>
      <rPr>
        <sz val="11"/>
        <rFont val="Calibri"/>
        <family val="2"/>
        <scheme val="minor"/>
      </rPr>
      <t>under section 16(ii) &amp; 16 (iii)</t>
    </r>
  </si>
  <si>
    <t>OTHER INCOME</t>
  </si>
  <si>
    <t>Section 80CCD (2)</t>
  </si>
  <si>
    <t xml:space="preserve">(designation)do hereby certify that  the  </t>
  </si>
  <si>
    <t xml:space="preserve"> information given above is true, complete and correct and is based on the books of account , TDS statement, TDS deposited and other available records.</t>
  </si>
  <si>
    <t>Income Tax Deposit</t>
  </si>
  <si>
    <t xml:space="preserve">18- vU; vk; /kkjk </t>
  </si>
  <si>
    <t>(xix)</t>
  </si>
  <si>
    <r>
      <rPr>
        <b/>
        <sz val="12"/>
        <rFont val="Kruti Dev 010"/>
      </rPr>
      <t>;ksx</t>
    </r>
    <r>
      <rPr>
        <b/>
        <sz val="12"/>
        <rFont val="Times New Roman"/>
        <family val="1"/>
      </rPr>
      <t xml:space="preserve"> ( i </t>
    </r>
    <r>
      <rPr>
        <b/>
        <sz val="12"/>
        <rFont val="Kruti Dev 010"/>
      </rPr>
      <t>ls</t>
    </r>
    <r>
      <rPr>
        <b/>
        <sz val="12"/>
        <rFont val="Times New Roman"/>
        <family val="1"/>
      </rPr>
      <t xml:space="preserve"> xix )</t>
    </r>
  </si>
  <si>
    <t>MONTHS</t>
  </si>
  <si>
    <t>"Y"</t>
  </si>
  <si>
    <t>Basic Pay.</t>
  </si>
  <si>
    <t>MARCH 17</t>
  </si>
  <si>
    <t>Y</t>
  </si>
  <si>
    <t>APRIL 17</t>
  </si>
  <si>
    <t xml:space="preserve">After selecting months, give rent paid amount. </t>
  </si>
  <si>
    <t>MAY 17</t>
  </si>
  <si>
    <t>JUNE 17</t>
  </si>
  <si>
    <t>JULY 17</t>
  </si>
  <si>
    <t>AUGUST 17</t>
  </si>
  <si>
    <t>SEPTEMBER 17</t>
  </si>
  <si>
    <t>OCTOBER 17</t>
  </si>
  <si>
    <t>NOVEMBER 17</t>
  </si>
  <si>
    <t>DECEMBER 17</t>
  </si>
  <si>
    <t>JANUARY 18</t>
  </si>
  <si>
    <t>FEBRUARY 18</t>
  </si>
  <si>
    <r>
      <t xml:space="preserve">RENT PAID AMOUNT MONTHLY  </t>
    </r>
    <r>
      <rPr>
        <b/>
        <sz val="20"/>
        <color indexed="21"/>
        <rFont val="Calibri"/>
        <family val="2"/>
        <scheme val="minor"/>
      </rPr>
      <t xml:space="preserve"> </t>
    </r>
    <r>
      <rPr>
        <b/>
        <sz val="20"/>
        <color indexed="21"/>
        <rFont val="Wingdings"/>
        <charset val="2"/>
      </rPr>
      <t>F</t>
    </r>
  </si>
  <si>
    <r>
      <t xml:space="preserve">HRA EXEMPTION AMOUNT   </t>
    </r>
    <r>
      <rPr>
        <b/>
        <sz val="18"/>
        <color indexed="10"/>
        <rFont val="Calibri"/>
        <family val="2"/>
        <scheme val="minor"/>
      </rPr>
      <t xml:space="preserve">  </t>
    </r>
    <r>
      <rPr>
        <b/>
        <sz val="18"/>
        <color indexed="10"/>
        <rFont val="Wingdings"/>
        <charset val="2"/>
      </rPr>
      <t>F</t>
    </r>
  </si>
  <si>
    <r>
      <t xml:space="preserve">Max. HRA exemption amount   </t>
    </r>
    <r>
      <rPr>
        <b/>
        <sz val="18"/>
        <color indexed="17"/>
        <rFont val="Calibri"/>
        <family val="2"/>
        <scheme val="minor"/>
      </rPr>
      <t xml:space="preserve"> </t>
    </r>
    <r>
      <rPr>
        <b/>
        <sz val="18"/>
        <color indexed="17"/>
        <rFont val="Wingdings"/>
        <charset val="2"/>
      </rPr>
      <t>F</t>
    </r>
  </si>
  <si>
    <r>
      <t xml:space="preserve">Rent receipt required for max. exemption     </t>
    </r>
    <r>
      <rPr>
        <b/>
        <sz val="18"/>
        <color theme="7" tint="0.79998168889431442"/>
        <rFont val="Wingdings"/>
        <charset val="2"/>
      </rPr>
      <t>F</t>
    </r>
  </si>
  <si>
    <r>
      <t xml:space="preserve">House Rent Per Month        </t>
    </r>
    <r>
      <rPr>
        <b/>
        <sz val="18"/>
        <color theme="9" tint="0.59999389629810485"/>
        <rFont val="Wingdings"/>
        <charset val="2"/>
      </rPr>
      <t>F</t>
    </r>
  </si>
  <si>
    <t xml:space="preserve">TOTAL </t>
  </si>
  <si>
    <t>If required</t>
  </si>
  <si>
    <r>
      <rPr>
        <b/>
        <sz val="16"/>
        <color indexed="17"/>
        <rFont val="Wingdings"/>
        <charset val="2"/>
      </rPr>
      <t>E</t>
    </r>
    <r>
      <rPr>
        <b/>
        <sz val="16"/>
        <color indexed="17"/>
        <rFont val="Times New Roman"/>
        <family val="1"/>
      </rPr>
      <t xml:space="preserve">   </t>
    </r>
    <r>
      <rPr>
        <b/>
        <sz val="16"/>
        <color indexed="17"/>
        <rFont val="Calibri"/>
        <family val="2"/>
        <scheme val="minor"/>
      </rPr>
      <t>Please select months by typing</t>
    </r>
    <r>
      <rPr>
        <b/>
        <sz val="16"/>
        <color indexed="17"/>
        <rFont val="Times New Roman"/>
        <family val="1"/>
      </rPr>
      <t xml:space="preserve"> "Y" </t>
    </r>
  </si>
  <si>
    <t xml:space="preserve">    edku fdjk;k NwV ds fy, jlhn dh vko';drk gks rks funsZ'kksa dh ikyuk djrs gq, jlhn dh jkf'k izkIr dj ldrs gSaA</t>
  </si>
  <si>
    <t xml:space="preserve"> has been deducted and deposited</t>
  </si>
  <si>
    <t>In Words:</t>
  </si>
  <si>
    <t>Other Deduction Sheet</t>
  </si>
  <si>
    <t>Computation Sheet</t>
  </si>
  <si>
    <t>Print</t>
  </si>
  <si>
    <t>bl 'khV esa osru ds vfrfjDr vk;] fofHkUu dVkSfr;k¡] fofHkUu tek jkf'k@NwV] osru ds vykok dkVk x;k vk;dj vkfn fooj.k fy[kk tkuk gSA blds vfrfjDr 'khV tksMh gqbZ gSaA</t>
  </si>
  <si>
    <r>
      <t xml:space="preserve">vki bl ,Dly izksxzke ij dk;Z djus ls igys bUde VSDl foHkkx ds u;s :Yl o fu;e bUde VSDl foHkkx dh </t>
    </r>
    <r>
      <rPr>
        <sz val="14"/>
        <rFont val="Calibri"/>
        <family val="2"/>
        <scheme val="minor"/>
      </rPr>
      <t xml:space="preserve">website </t>
    </r>
    <r>
      <rPr>
        <sz val="14"/>
        <rFont val="Kruti Dev 010"/>
      </rPr>
      <t>vFkok ys[kk foK ls t:j i&lt;+sA bl ,Dly izksxzke esa iq.kZ lko/kkuh cjrh xbZ gSa] fQj Hkh foHkkx ds fu;e loksZijh ekusaA</t>
    </r>
  </si>
  <si>
    <t>How to use this Programme</t>
  </si>
  <si>
    <r>
      <t xml:space="preserve">vki bl ,Dly izksxzke esa rhu 'khVksa ekLVj ] fcy o ,DLV~zk fMMsD'ku 'khV dks lko/kkuhiwoZd vuykWd lsy tks jaxhu 'khVksas esa lQsn dyj esa gSa] dks Hkjuk gSaA vkxs dh rhu 'khVs vkWVksa tujsV gSaA os lHkh ykWd gSaA ogk ij vkidks dqN ugh djuk gSaA flQZ </t>
    </r>
    <r>
      <rPr>
        <sz val="14"/>
        <rFont val="Calibri"/>
        <family val="2"/>
        <scheme val="minor"/>
      </rPr>
      <t>A4</t>
    </r>
    <r>
      <rPr>
        <sz val="14"/>
        <rFont val="Kruti Dev 010"/>
      </rPr>
      <t xml:space="preserve"> lkbZt esa fizUV fudkyuk gSaA</t>
    </r>
  </si>
  <si>
    <r>
      <t xml:space="preserve">bl izksxzke ls lVhd vkmViqV ysus gsrq vki ls fuosnu jgsxk fd lcls igys </t>
    </r>
    <r>
      <rPr>
        <sz val="14"/>
        <rFont val="Calibri"/>
        <family val="2"/>
        <scheme val="minor"/>
      </rPr>
      <t>MASTER Sheet</t>
    </r>
    <r>
      <rPr>
        <sz val="14"/>
        <rFont val="Kruti Dev 010"/>
      </rPr>
      <t xml:space="preserve"> dh ,UV~zh lko/kkuh iwoZd Hkjsa A dksbZ Hkh dkWye [kkyh ugh j[ksaA tks tks lwpuk,W Hkjuh gSa] muds fy, lQsn dyj esa vuykWd lsy gSa] ogkW ij izfof"V;kW bUnzkt djsa A mlds ckn fcy 'khV esa vkxsa c&lt;+saA</t>
    </r>
  </si>
  <si>
    <r>
      <t xml:space="preserve">vkidksa fcy 'khV ij dsoy 1 ekpZ 2017 dk cSfld xzsM is lfgr fy[kuk gSaA bl gsrq bfUMdsVj ns j[kk gS rFkk mij fd vksj vkidksa xzsM is lysDV cVu dh lgk;rk ls lysDV djds fy[kuk gSaA blds vykok vxj vki </t>
    </r>
    <r>
      <rPr>
        <sz val="14"/>
        <rFont val="Calibri"/>
        <family val="2"/>
        <scheme val="minor"/>
      </rPr>
      <t>GA-55</t>
    </r>
    <r>
      <rPr>
        <sz val="14"/>
        <rFont val="Kruti Dev 010"/>
      </rPr>
      <t xml:space="preserve"> fcy esa vf/kd dVkSrh djok jgsa gSa ;k yksu dh dVksfr;kW gks jgh gSa rks fiys dyj okyh izFke jkW ¼ekpZ ekg dh ,UV~zh ls igys½esa bUnzkt dj nsos lHkh txg vkVks fQy gks tk;sxh A ;fn fdlh ekg esa dVkSrh djuh gSa ;k ugh djuh gSa rks lQsn dyj dh lSy dks vyukWd dj j[kk gSaA vki eSU;qyh MkVk fQM Hkh dj ldrsa gSa vkSj gVk Hkh ldrsa gSaA vFkkZr vki viuh dVkSfr;ksa dks de T;knk iS fLyi ds vuqlkj n'kkZ ldrsa gSaA</t>
    </r>
  </si>
  <si>
    <t>FROM No. - 16</t>
  </si>
  <si>
    <r>
      <rPr>
        <sz val="12"/>
        <rFont val="Calibri"/>
        <family val="2"/>
        <scheme val="minor"/>
      </rPr>
      <t xml:space="preserve">NPS Employee </t>
    </r>
    <r>
      <rPr>
        <sz val="14"/>
        <rFont val="Kruti Dev 010"/>
      </rPr>
      <t xml:space="preserve">ds fy, </t>
    </r>
    <r>
      <rPr>
        <sz val="12"/>
        <rFont val="Calibri"/>
        <family val="2"/>
        <scheme val="minor"/>
      </rPr>
      <t xml:space="preserve">Computation Sheet </t>
    </r>
    <r>
      <rPr>
        <sz val="12"/>
        <rFont val="Kruti Dev 010"/>
      </rPr>
      <t xml:space="preserve"> </t>
    </r>
    <r>
      <rPr>
        <sz val="14"/>
        <rFont val="Kruti Dev 010"/>
      </rPr>
      <t>dh</t>
    </r>
    <r>
      <rPr>
        <sz val="12"/>
        <rFont val="Kruti Dev 010"/>
      </rPr>
      <t xml:space="preserve"> </t>
    </r>
    <r>
      <rPr>
        <sz val="12"/>
        <rFont val="Calibri"/>
        <family val="2"/>
        <scheme val="minor"/>
      </rPr>
      <t>Gross Salary</t>
    </r>
    <r>
      <rPr>
        <sz val="12"/>
        <rFont val="Kruti Dev 010"/>
      </rPr>
      <t xml:space="preserve"> </t>
    </r>
    <r>
      <rPr>
        <sz val="14"/>
        <rFont val="Kruti Dev 010"/>
      </rPr>
      <t>esa</t>
    </r>
    <r>
      <rPr>
        <sz val="12"/>
        <rFont val="Kruti Dev 010"/>
      </rPr>
      <t xml:space="preserve">  </t>
    </r>
    <r>
      <rPr>
        <sz val="12"/>
        <rFont val="Calibri"/>
        <family val="2"/>
        <scheme val="minor"/>
      </rPr>
      <t>Govt. Contribution Fund</t>
    </r>
    <r>
      <rPr>
        <sz val="12"/>
        <rFont val="Kruti Dev 010"/>
      </rPr>
      <t xml:space="preserve"> </t>
    </r>
    <r>
      <rPr>
        <sz val="14"/>
        <rFont val="Kruti Dev 010"/>
      </rPr>
      <t xml:space="preserve"> dh jkf'k tksM+h x;h gSA</t>
    </r>
  </si>
  <si>
    <r>
      <t xml:space="preserve">bl 'khV esa </t>
    </r>
    <r>
      <rPr>
        <sz val="12"/>
        <rFont val="Calibri"/>
        <family val="2"/>
        <scheme val="minor"/>
      </rPr>
      <t>GA 55</t>
    </r>
    <r>
      <rPr>
        <sz val="12"/>
        <rFont val="Kruti Dev 010"/>
      </rPr>
      <t xml:space="preserve"> </t>
    </r>
    <r>
      <rPr>
        <sz val="14"/>
        <rFont val="Kruti Dev 010"/>
      </rPr>
      <t>rFkk</t>
    </r>
    <r>
      <rPr>
        <sz val="12"/>
        <rFont val="Kruti Dev 010"/>
      </rPr>
      <t xml:space="preserve"> </t>
    </r>
    <r>
      <rPr>
        <sz val="12"/>
        <rFont val="Calibri"/>
        <family val="2"/>
        <scheme val="minor"/>
      </rPr>
      <t>Extra Dedution</t>
    </r>
    <r>
      <rPr>
        <sz val="12"/>
        <rFont val="Kruti Dev 010"/>
      </rPr>
      <t xml:space="preserve"> </t>
    </r>
    <r>
      <rPr>
        <sz val="14"/>
        <rFont val="Kruti Dev 010"/>
      </rPr>
      <t>dk</t>
    </r>
    <r>
      <rPr>
        <sz val="12"/>
        <rFont val="Kruti Dev 010"/>
      </rPr>
      <t xml:space="preserve"> </t>
    </r>
    <r>
      <rPr>
        <sz val="12"/>
        <rFont val="Calibri"/>
        <family val="2"/>
        <scheme val="minor"/>
      </rPr>
      <t>Data</t>
    </r>
    <r>
      <rPr>
        <sz val="12"/>
        <rFont val="Kruti Dev 010"/>
      </rPr>
      <t xml:space="preserve"> </t>
    </r>
    <r>
      <rPr>
        <sz val="14"/>
        <rFont val="Kruti Dev 010"/>
      </rPr>
      <t xml:space="preserve">Lor% vk;sxkA bl 'khV esa vkidks </t>
    </r>
    <r>
      <rPr>
        <sz val="12"/>
        <rFont val="Calibri"/>
        <family val="2"/>
        <scheme val="minor"/>
      </rPr>
      <t>Edit</t>
    </r>
    <r>
      <rPr>
        <sz val="12"/>
        <rFont val="Kruti Dev 010"/>
      </rPr>
      <t xml:space="preserve"> </t>
    </r>
    <r>
      <rPr>
        <sz val="14"/>
        <rFont val="Kruti Dev 010"/>
      </rPr>
      <t>dh vuqefr ugha gSA tks Hkh ifjorZu djuk gS</t>
    </r>
    <r>
      <rPr>
        <sz val="14"/>
        <rFont val="Calibri"/>
        <family val="2"/>
        <scheme val="minor"/>
      </rPr>
      <t xml:space="preserve"> </t>
    </r>
    <r>
      <rPr>
        <sz val="12"/>
        <rFont val="Calibri"/>
        <family val="2"/>
        <scheme val="minor"/>
      </rPr>
      <t>Bills</t>
    </r>
    <r>
      <rPr>
        <sz val="14"/>
        <rFont val="Calibri"/>
        <family val="2"/>
        <scheme val="minor"/>
      </rPr>
      <t xml:space="preserve"> </t>
    </r>
    <r>
      <rPr>
        <sz val="14"/>
        <rFont val="Kruti Dev 010"/>
      </rPr>
      <t xml:space="preserve">rFkk </t>
    </r>
    <r>
      <rPr>
        <sz val="12"/>
        <rFont val="Calibri"/>
        <family val="2"/>
        <scheme val="minor"/>
      </rPr>
      <t>Extra Deduc</t>
    </r>
    <r>
      <rPr>
        <sz val="14"/>
        <rFont val="Kruti Dev 010"/>
      </rPr>
      <t xml:space="preserve"> 'khV esa gh djsA</t>
    </r>
    <r>
      <rPr>
        <sz val="12"/>
        <rFont val="Calibri"/>
        <family val="2"/>
        <scheme val="minor"/>
      </rPr>
      <t xml:space="preserve"> NPS Employee</t>
    </r>
    <r>
      <rPr>
        <sz val="12"/>
        <rFont val="Kruti Dev 010"/>
      </rPr>
      <t xml:space="preserve"> </t>
    </r>
    <r>
      <rPr>
        <sz val="14"/>
        <rFont val="Kruti Dev 010"/>
      </rPr>
      <t xml:space="preserve">ds fy, ldy vk; esa </t>
    </r>
    <r>
      <rPr>
        <sz val="12"/>
        <rFont val="Calibri"/>
        <family val="2"/>
        <scheme val="minor"/>
      </rPr>
      <t>Govt. Contribution Pension Fund</t>
    </r>
    <r>
      <rPr>
        <sz val="12"/>
        <rFont val="Kruti Dev 010"/>
      </rPr>
      <t xml:space="preserve"> </t>
    </r>
    <r>
      <rPr>
        <sz val="14"/>
        <rFont val="Kruti Dev 010"/>
      </rPr>
      <t>dh jkf'k tksM+ nh x;h gSA</t>
    </r>
  </si>
  <si>
    <r>
      <t xml:space="preserve">bl 'khV esa Hkh </t>
    </r>
    <r>
      <rPr>
        <sz val="12"/>
        <rFont val="Calibri"/>
        <family val="2"/>
        <scheme val="minor"/>
      </rPr>
      <t>GA 55</t>
    </r>
    <r>
      <rPr>
        <sz val="12"/>
        <rFont val="Kruti Dev 010"/>
      </rPr>
      <t xml:space="preserve"> </t>
    </r>
    <r>
      <rPr>
        <sz val="14"/>
        <rFont val="Kruti Dev 010"/>
      </rPr>
      <t>rFkk</t>
    </r>
    <r>
      <rPr>
        <sz val="12"/>
        <rFont val="Kruti Dev 010"/>
      </rPr>
      <t xml:space="preserve"> </t>
    </r>
    <r>
      <rPr>
        <sz val="12"/>
        <rFont val="Calibri"/>
        <family val="2"/>
        <scheme val="minor"/>
      </rPr>
      <t>Extra Dedution</t>
    </r>
    <r>
      <rPr>
        <sz val="12"/>
        <rFont val="Kruti Dev 010"/>
      </rPr>
      <t xml:space="preserve"> </t>
    </r>
    <r>
      <rPr>
        <sz val="14"/>
        <rFont val="Kruti Dev 010"/>
      </rPr>
      <t>dk</t>
    </r>
    <r>
      <rPr>
        <sz val="12"/>
        <rFont val="Kruti Dev 010"/>
      </rPr>
      <t xml:space="preserve"> </t>
    </r>
    <r>
      <rPr>
        <sz val="12"/>
        <rFont val="Calibri"/>
        <family val="2"/>
        <scheme val="minor"/>
      </rPr>
      <t>Data</t>
    </r>
    <r>
      <rPr>
        <sz val="12"/>
        <rFont val="Kruti Dev 010"/>
      </rPr>
      <t xml:space="preserve"> </t>
    </r>
    <r>
      <rPr>
        <sz val="14"/>
        <rFont val="Kruti Dev 010"/>
      </rPr>
      <t xml:space="preserve">Lor% vk;sxkA bl 'khV esa vkidks </t>
    </r>
    <r>
      <rPr>
        <sz val="12"/>
        <rFont val="Calibri"/>
        <family val="2"/>
        <scheme val="minor"/>
      </rPr>
      <t>Edit</t>
    </r>
    <r>
      <rPr>
        <sz val="12"/>
        <rFont val="Kruti Dev 010"/>
      </rPr>
      <t xml:space="preserve"> </t>
    </r>
    <r>
      <rPr>
        <sz val="14"/>
        <rFont val="Kruti Dev 010"/>
      </rPr>
      <t>dh vuqefr ugha gSA tks Hkh ifjorZu djuk gS</t>
    </r>
    <r>
      <rPr>
        <sz val="14"/>
        <rFont val="Calibri"/>
        <family val="2"/>
        <scheme val="minor"/>
      </rPr>
      <t xml:space="preserve"> </t>
    </r>
    <r>
      <rPr>
        <sz val="12"/>
        <rFont val="Calibri"/>
        <family val="2"/>
        <scheme val="minor"/>
      </rPr>
      <t>Bills</t>
    </r>
    <r>
      <rPr>
        <sz val="14"/>
        <rFont val="Calibri"/>
        <family val="2"/>
        <scheme val="minor"/>
      </rPr>
      <t xml:space="preserve"> </t>
    </r>
    <r>
      <rPr>
        <sz val="14"/>
        <rFont val="Kruti Dev 010"/>
      </rPr>
      <t xml:space="preserve">rFkk </t>
    </r>
    <r>
      <rPr>
        <sz val="12"/>
        <rFont val="Calibri"/>
        <family val="2"/>
        <scheme val="minor"/>
      </rPr>
      <t>Extra Deduc</t>
    </r>
    <r>
      <rPr>
        <sz val="14"/>
        <rFont val="Kruti Dev 010"/>
      </rPr>
      <t xml:space="preserve"> 'khV esa gh djsA</t>
    </r>
    <r>
      <rPr>
        <sz val="12"/>
        <rFont val="Calibri"/>
        <family val="2"/>
        <scheme val="minor"/>
      </rPr>
      <t xml:space="preserve"> NPS Employee</t>
    </r>
    <r>
      <rPr>
        <sz val="12"/>
        <rFont val="Kruti Dev 010"/>
      </rPr>
      <t xml:space="preserve"> </t>
    </r>
    <r>
      <rPr>
        <sz val="14"/>
        <rFont val="Kruti Dev 010"/>
      </rPr>
      <t xml:space="preserve">ds fy, ldy vk; esa </t>
    </r>
    <r>
      <rPr>
        <sz val="12"/>
        <rFont val="Calibri"/>
        <family val="2"/>
        <scheme val="minor"/>
      </rPr>
      <t>Govt. Contribution Pension Fund</t>
    </r>
    <r>
      <rPr>
        <sz val="12"/>
        <rFont val="Kruti Dev 010"/>
      </rPr>
      <t xml:space="preserve"> </t>
    </r>
    <r>
      <rPr>
        <sz val="14"/>
        <rFont val="Kruti Dev 010"/>
      </rPr>
      <t>dh jkf'k tksM+ nh x;h gSA</t>
    </r>
  </si>
  <si>
    <t>A</t>
  </si>
  <si>
    <r>
      <t>yksd Hkfo"; fuf/k ¼</t>
    </r>
    <r>
      <rPr>
        <sz val="11"/>
        <rFont val="Calibri"/>
        <family val="2"/>
        <scheme val="minor"/>
      </rPr>
      <t>PPF)</t>
    </r>
  </si>
  <si>
    <r>
      <t xml:space="preserve">x`g _.k fdLr </t>
    </r>
    <r>
      <rPr>
        <sz val="11"/>
        <rFont val="Calibri"/>
        <family val="2"/>
        <scheme val="minor"/>
      </rPr>
      <t>(HBA Premium)</t>
    </r>
  </si>
  <si>
    <r>
      <rPr>
        <sz val="10"/>
        <rFont val="Kruti Dev 010"/>
      </rPr>
      <t>ljdkjh isa'ku ;kstuk esa va'knku</t>
    </r>
    <r>
      <rPr>
        <sz val="10"/>
        <rFont val="Calibri"/>
        <family val="2"/>
        <scheme val="minor"/>
      </rPr>
      <t xml:space="preserve"> 80CCD(i) 10%</t>
    </r>
  </si>
  <si>
    <r>
      <t>jk"V~`h; cpr ;kstuk ¼</t>
    </r>
    <r>
      <rPr>
        <sz val="11"/>
        <rFont val="Calibri"/>
        <family val="2"/>
        <scheme val="minor"/>
      </rPr>
      <t>NSC)</t>
    </r>
  </si>
  <si>
    <r>
      <t xml:space="preserve">isa'ku Iyku gsrq va'knku¼/kkjk </t>
    </r>
    <r>
      <rPr>
        <sz val="11"/>
        <rFont val="Calibri"/>
        <family val="2"/>
        <scheme val="minor"/>
      </rPr>
      <t>80ccc</t>
    </r>
    <r>
      <rPr>
        <sz val="11"/>
        <rFont val="Kruti Dev 010"/>
      </rPr>
      <t>½</t>
    </r>
  </si>
  <si>
    <t>C</t>
  </si>
  <si>
    <t>Section 80CCD (1B)</t>
  </si>
  <si>
    <t>80DD</t>
  </si>
  <si>
    <t>80E</t>
  </si>
  <si>
    <t>vi</t>
  </si>
  <si>
    <t>vii</t>
  </si>
  <si>
    <t>80U</t>
  </si>
  <si>
    <t>;g ,Dly izksaxzke lHkh dkfeZdksa ds fy, leku :i ls rS;kj fd;k x;k gSA ladyu ,oa x.kuk esa iw.kZ lko/kkuh j[kh xbZ gSA fQj Hkh =qfV ;k fdlh Hkh izdkj dh fofHkUurk dh fLFkfr esa vk;dj foHkkx ds fu;e gh ekU; gSA rS;kjdrkZ dk dksbZ mÙkjnkf;Ro ugha gksxkA</t>
  </si>
  <si>
    <t>ije~ iwT; xw:nso Jh Jh 1008 oklwnso th egkjkt</t>
  </si>
  <si>
    <t>Presented By :-</t>
  </si>
  <si>
    <t>HEERALAL JAT</t>
  </si>
  <si>
    <t>CHANDAWAL NAGAR</t>
  </si>
  <si>
    <r>
      <rPr>
        <b/>
        <sz val="22"/>
        <color rgb="FF0070C0"/>
        <rFont val="Wingdings"/>
        <charset val="2"/>
      </rPr>
      <t>(</t>
    </r>
    <r>
      <rPr>
        <b/>
        <sz val="22"/>
        <color rgb="FF0070C0"/>
        <rFont val="Calibri"/>
        <family val="2"/>
      </rPr>
      <t xml:space="preserve">    09001884272</t>
    </r>
  </si>
  <si>
    <t>heeralaljatchandawal@gmail.com</t>
  </si>
  <si>
    <t>Block- Sojat City</t>
  </si>
  <si>
    <t>Dist- Pali</t>
  </si>
  <si>
    <r>
      <t xml:space="preserve">Ph. 9001884272     </t>
    </r>
    <r>
      <rPr>
        <b/>
        <sz val="18"/>
        <color indexed="17"/>
        <rFont val="Wingdings"/>
        <charset val="2"/>
      </rPr>
      <t>(</t>
    </r>
  </si>
  <si>
    <t>V./P. - Chandawal Nagar, Teh.- sojat city, Dist.- Pali (Raj) 306306</t>
  </si>
  <si>
    <t xml:space="preserve">This Programme Developed by:        HEERALAL JAT </t>
  </si>
  <si>
    <t xml:space="preserve"> Teacher</t>
  </si>
  <si>
    <r>
      <t xml:space="preserve">is eSustj ls </t>
    </r>
    <r>
      <rPr>
        <sz val="12"/>
        <rFont val="Calibri"/>
        <family val="2"/>
        <scheme val="minor"/>
      </rPr>
      <t>GA - 55</t>
    </r>
    <r>
      <rPr>
        <sz val="14"/>
        <rFont val="Kruti Dev 010"/>
      </rPr>
      <t xml:space="preserve"> fudkydj vFkok is iksfLVax ls </t>
    </r>
    <r>
      <rPr>
        <sz val="12"/>
        <rFont val="Calibri"/>
        <family val="2"/>
        <scheme val="minor"/>
      </rPr>
      <t>Gross Salary, Total Deduction, Net Payment</t>
    </r>
    <r>
      <rPr>
        <sz val="12"/>
        <rFont val="Kruti Dev 010"/>
      </rPr>
      <t xml:space="preserve"> </t>
    </r>
    <r>
      <rPr>
        <sz val="14"/>
        <rFont val="Kruti Dev 010"/>
      </rPr>
      <t>dk feyku o pSd ,d ckj vo'; dj ysosaA</t>
    </r>
  </si>
  <si>
    <r>
      <rPr>
        <sz val="12"/>
        <rFont val="Calibri"/>
        <family val="2"/>
        <scheme val="minor"/>
      </rPr>
      <t>GA55A &amp; Computation Sheet</t>
    </r>
    <r>
      <rPr>
        <sz val="12"/>
        <rFont val="Kruti Dev 010"/>
      </rPr>
      <t xml:space="preserve"> </t>
    </r>
    <r>
      <rPr>
        <sz val="14"/>
        <rFont val="Kruti Dev 010"/>
      </rPr>
      <t xml:space="preserve">isij lkbt </t>
    </r>
    <r>
      <rPr>
        <sz val="12"/>
        <rFont val="Calibri"/>
        <family val="2"/>
        <scheme val="minor"/>
      </rPr>
      <t>A4</t>
    </r>
    <r>
      <rPr>
        <sz val="14"/>
        <rFont val="Calibri"/>
        <family val="2"/>
        <scheme val="minor"/>
      </rPr>
      <t xml:space="preserve"> </t>
    </r>
    <r>
      <rPr>
        <sz val="14"/>
        <rFont val="Kruti Dev 010"/>
      </rPr>
      <t>ij</t>
    </r>
    <r>
      <rPr>
        <sz val="12"/>
        <rFont val="Kruti Dev 010"/>
      </rPr>
      <t xml:space="preserve"> </t>
    </r>
    <r>
      <rPr>
        <sz val="12"/>
        <rFont val="Calibri"/>
        <family val="2"/>
        <scheme val="minor"/>
      </rPr>
      <t>Page Setup</t>
    </r>
    <r>
      <rPr>
        <sz val="12"/>
        <rFont val="Kruti Dev 010"/>
      </rPr>
      <t xml:space="preserve"> </t>
    </r>
    <r>
      <rPr>
        <sz val="14"/>
        <rFont val="Kruti Dev 010"/>
      </rPr>
      <t>fd;k gqvk gSA lh/ks nksuksa 'khV dk vkxsa ihNs fizaV ysaA 16 ua- QkeZ dks rhu ist esa lsV fd;k gqvk gSaA vki mldk rhu ist esa fizUV ys ldrsa gSaA</t>
    </r>
  </si>
  <si>
    <t>bl izksxzke dks NBsa vkSj lkrosa nksuksa osrueku dks /;ku esa j[k dj cuk;k gSaA bl izksxzke esa lkrokW osrueku uoEcj ekg ls yxk;k x;k gSaA ;fn fdlh dkj.ko'k vkidk osru uoEcj ekg esa ugh feyk gSa rks vki uoEcj ekg esa iwjkuk osru eSU;qyh VkbZi djds fy[k ldrsa gSaA</t>
  </si>
  <si>
    <r>
      <t xml:space="preserve">osru fcy ds vykok vkids dksbZ vfrfjDr dVksSrh djok jgsA ;k fQj bUde VSDl esa NwV gsrq dksbZ vrfjDr dVkSrh djokuk pkgrsa gSa rks ,d ,DLV~zk fMMsDlu 'khV Hkh lkFk esa vVSp gSa A vki mlesa dVkSrh 'kks dj ldrsa gSaA ;gk ij ,UV~zh djrsa gh </t>
    </r>
    <r>
      <rPr>
        <sz val="14"/>
        <rFont val="Calibri"/>
        <family val="2"/>
        <scheme val="minor"/>
      </rPr>
      <t>GA-55</t>
    </r>
    <r>
      <rPr>
        <sz val="14"/>
        <rFont val="Kruti Dev 010"/>
      </rPr>
      <t xml:space="preserve"> ,oa </t>
    </r>
    <r>
      <rPr>
        <sz val="14"/>
        <rFont val="Calibri"/>
        <family val="2"/>
        <scheme val="minor"/>
      </rPr>
      <t xml:space="preserve">Computation Sheet </t>
    </r>
    <r>
      <rPr>
        <sz val="14"/>
        <rFont val="Kruti Dev 010"/>
      </rPr>
      <t>esa gks tk;sxhA</t>
    </r>
  </si>
  <si>
    <r>
      <t xml:space="preserve">If you have Hindi font problem, then first you should install </t>
    </r>
    <r>
      <rPr>
        <b/>
        <sz val="16"/>
        <color rgb="FFFF0000"/>
        <rFont val="Calibri"/>
        <family val="2"/>
        <scheme val="minor"/>
      </rPr>
      <t>Hindi font KRUTI DEV 010</t>
    </r>
    <r>
      <rPr>
        <b/>
        <sz val="16"/>
        <color theme="1"/>
        <rFont val="Calibri"/>
        <family val="2"/>
        <scheme val="minor"/>
      </rPr>
      <t xml:space="preserve">  in your computer.</t>
    </r>
  </si>
  <si>
    <t>;g ,Dly izksxzke esjs ije~ iwT; xq:nso Jh Jh 1008 oklqnso th egkjkt o esjs bZ"V izHkq t;  ctjaxcyh o ikcwth egkjkt dks lefiZr gSaA esjs ekrk &amp; firk o xq:tuksa ds vk'khokZn ls ;g izksxzke f'k{kd cU/kqvksa ds lkFk lHkh foHkkx ds dkfeZdksa dh lsok esa lefiZr gSaA</t>
  </si>
  <si>
    <t>For HRA</t>
  </si>
  <si>
    <t>funsZ'k</t>
  </si>
  <si>
    <r>
      <t xml:space="preserve">P </t>
    </r>
    <r>
      <rPr>
        <b/>
        <sz val="14"/>
        <color indexed="10"/>
        <rFont val="Kruti Dev 010"/>
      </rPr>
      <t xml:space="preserve">fu;ekuqlkj NwV ysuh gSa rks dqN Hkh ugh fy[kuk gSa A lkeus okyh jkf'k ftl ij LVkj yxk gqvk gSa ] og vij izFke dkWye esa lSy ua- </t>
    </r>
    <r>
      <rPr>
        <b/>
        <sz val="14"/>
        <color indexed="10"/>
        <rFont val="Calibri"/>
        <family val="2"/>
        <scheme val="minor"/>
      </rPr>
      <t xml:space="preserve">F5 </t>
    </r>
    <r>
      <rPr>
        <b/>
        <sz val="14"/>
        <color indexed="10"/>
        <rFont val="Kruti Dev 010"/>
      </rPr>
      <t xml:space="preserve"> esa Lor% vk tk;sxhA</t>
    </r>
  </si>
  <si>
    <r>
      <rPr>
        <b/>
        <sz val="20"/>
        <color rgb="FFFFFF00"/>
        <rFont val="Wingdings"/>
        <charset val="2"/>
      </rPr>
      <t>E</t>
    </r>
    <r>
      <rPr>
        <b/>
        <sz val="14"/>
        <color rgb="FFFFFF00"/>
        <rFont val="Kruti Dev 010"/>
      </rPr>
      <t xml:space="preserve">izfrekg jlhn dh jkf'k ¼vxj fdlh ;wtj us lQsn dyj esa vk jgh vkVks jkf'k dks gVk fn;k gSa ;k fMfyV dj fn;k gks rks ;g jkf'k lSy </t>
    </r>
    <r>
      <rPr>
        <b/>
        <sz val="14"/>
        <color rgb="FFFFFF00"/>
        <rFont val="Calibri"/>
        <family val="2"/>
        <scheme val="minor"/>
      </rPr>
      <t>F31</t>
    </r>
    <r>
      <rPr>
        <b/>
        <sz val="14"/>
        <color rgb="FFFFFF00"/>
        <rFont val="Kruti Dev 010"/>
      </rPr>
      <t xml:space="preserve"> esa fy[k nsossA ½</t>
    </r>
  </si>
  <si>
    <r>
      <rPr>
        <b/>
        <sz val="14"/>
        <color rgb="FF92D050"/>
        <rFont val="Wingdings"/>
        <charset val="2"/>
      </rPr>
      <t xml:space="preserve">E </t>
    </r>
    <r>
      <rPr>
        <b/>
        <sz val="14"/>
        <color rgb="FF92D050"/>
        <rFont val="Kruti Dev 010"/>
      </rPr>
      <t>viuh vko';drkuqlkj ekg ?kVk c&lt;+k ldrsa gSA</t>
    </r>
  </si>
  <si>
    <r>
      <rPr>
        <b/>
        <sz val="16"/>
        <color rgb="FFC0C03E"/>
        <rFont val="Calibri"/>
        <family val="2"/>
        <scheme val="minor"/>
      </rPr>
      <t xml:space="preserve">                 CCA</t>
    </r>
    <r>
      <rPr>
        <sz val="12"/>
        <color theme="1"/>
        <rFont val="Calibri"/>
        <family val="2"/>
      </rPr>
      <t xml:space="preserve"> </t>
    </r>
    <r>
      <rPr>
        <b/>
        <sz val="16"/>
        <color rgb="FFC0C03E"/>
        <rFont val="Kruti Dev 010"/>
      </rPr>
      <t xml:space="preserve">yxrk gSa rks </t>
    </r>
    <r>
      <rPr>
        <b/>
        <sz val="16"/>
        <color rgb="FFC0C03E"/>
        <rFont val="Calibri"/>
        <family val="2"/>
        <scheme val="minor"/>
      </rPr>
      <t xml:space="preserve">sellect Yes / No   </t>
    </r>
    <r>
      <rPr>
        <b/>
        <sz val="16"/>
        <color rgb="FFC0C03E"/>
        <rFont val="Kruti Dev 010"/>
      </rPr>
      <t>%&amp;</t>
    </r>
  </si>
  <si>
    <t>Ajmer</t>
  </si>
  <si>
    <t>Bikaner</t>
  </si>
  <si>
    <t>Jodhpur</t>
  </si>
  <si>
    <t>Kota</t>
  </si>
  <si>
    <t>Jaipur (U.A.)</t>
  </si>
  <si>
    <r>
      <rPr>
        <b/>
        <sz val="16"/>
        <color rgb="FFC0C03E"/>
        <rFont val="Calibri"/>
        <family val="2"/>
        <scheme val="minor"/>
      </rPr>
      <t>%</t>
    </r>
    <r>
      <rPr>
        <b/>
        <sz val="16"/>
        <color rgb="FFC0C03E"/>
        <rFont val="Kruti Dev 010"/>
      </rPr>
      <t xml:space="preserve">                                          </t>
    </r>
    <r>
      <rPr>
        <b/>
        <sz val="16"/>
        <color rgb="FFC0C03E"/>
        <rFont val="Calibri"/>
        <family val="2"/>
        <scheme val="minor"/>
      </rPr>
      <t>GPF / NPS :-</t>
    </r>
    <r>
      <rPr>
        <b/>
        <sz val="16"/>
        <color rgb="FFC0C03E"/>
        <rFont val="Kruti Dev 010"/>
      </rPr>
      <t xml:space="preserve"> </t>
    </r>
  </si>
  <si>
    <r>
      <rPr>
        <b/>
        <sz val="14"/>
        <color rgb="FFFFC000"/>
        <rFont val="Wingdings"/>
        <charset val="2"/>
      </rPr>
      <t xml:space="preserve">E </t>
    </r>
    <r>
      <rPr>
        <b/>
        <sz val="14"/>
        <color rgb="FFFFC000"/>
        <rFont val="Kruti Dev 010"/>
      </rPr>
      <t xml:space="preserve">;g iwjs o"kZ ¼12 ekg½ dh </t>
    </r>
    <r>
      <rPr>
        <b/>
        <sz val="14"/>
        <color rgb="FFFFC000"/>
        <rFont val="Calibri"/>
        <family val="2"/>
        <scheme val="minor"/>
      </rPr>
      <t xml:space="preserve">HRA </t>
    </r>
    <r>
      <rPr>
        <b/>
        <sz val="14"/>
        <color rgb="FFFFC000"/>
        <rFont val="Kruti Dev 010"/>
      </rPr>
      <t>dh jlhn jkf'k cuh gSA</t>
    </r>
  </si>
  <si>
    <r>
      <t xml:space="preserve">          </t>
    </r>
    <r>
      <rPr>
        <b/>
        <sz val="16"/>
        <color rgb="FFC0C03E"/>
        <rFont val="Calibri"/>
        <family val="2"/>
        <scheme val="minor"/>
      </rPr>
      <t xml:space="preserve">CCA </t>
    </r>
    <r>
      <rPr>
        <b/>
        <sz val="16"/>
        <color rgb="FFC0C03E"/>
        <rFont val="Kruti Dev 010"/>
      </rPr>
      <t xml:space="preserve">ykxw gks rks </t>
    </r>
    <r>
      <rPr>
        <b/>
        <sz val="16"/>
        <color rgb="FFC0C03E"/>
        <rFont val="Calibri"/>
        <family val="2"/>
        <scheme val="minor"/>
      </rPr>
      <t>CITY</t>
    </r>
    <r>
      <rPr>
        <b/>
        <sz val="16"/>
        <color rgb="FFC0C03E"/>
        <rFont val="Kruti Dev 010"/>
      </rPr>
      <t xml:space="preserve"> lysDV djsaA</t>
    </r>
  </si>
  <si>
    <t>;fn gk¡ rks ftl ekg esa fcy cuk ml ekg dks lysDV djsaA</t>
  </si>
  <si>
    <r>
      <t xml:space="preserve">;fn vki </t>
    </r>
    <r>
      <rPr>
        <b/>
        <sz val="16"/>
        <color rgb="FFC0C03E"/>
        <rFont val="Calibri"/>
        <family val="2"/>
        <scheme val="minor"/>
      </rPr>
      <t>01-01-2004</t>
    </r>
    <r>
      <rPr>
        <b/>
        <sz val="16"/>
        <color rgb="FFC0C03E"/>
        <rFont val="Kruti Dev 010"/>
      </rPr>
      <t xml:space="preserve"> dks ;k mlds i'pkr~ fu;qDr dkfeZd gSa rks lkeusa </t>
    </r>
    <r>
      <rPr>
        <b/>
        <sz val="16"/>
        <color rgb="FFC0C03E"/>
        <rFont val="Calibri"/>
        <family val="2"/>
        <scheme val="minor"/>
      </rPr>
      <t>Drop Down List</t>
    </r>
    <r>
      <rPr>
        <b/>
        <sz val="16"/>
        <color rgb="FFC0C03E"/>
        <rFont val="Kruti Dev 010"/>
      </rPr>
      <t xml:space="preserve"> esa ls </t>
    </r>
    <r>
      <rPr>
        <b/>
        <sz val="16"/>
        <color rgb="FFC0C03E"/>
        <rFont val="Calibri"/>
        <family val="2"/>
        <scheme val="minor"/>
      </rPr>
      <t xml:space="preserve">"Yes" </t>
    </r>
    <r>
      <rPr>
        <b/>
        <sz val="16"/>
        <color rgb="FFC0C03E"/>
        <rFont val="Kruti Dev 010"/>
      </rPr>
      <t xml:space="preserve">pqusa] vU;Fkk </t>
    </r>
    <r>
      <rPr>
        <b/>
        <sz val="16"/>
        <color rgb="FFC0C03E"/>
        <rFont val="Calibri"/>
        <family val="2"/>
        <scheme val="minor"/>
      </rPr>
      <t xml:space="preserve">"No" </t>
    </r>
    <r>
      <rPr>
        <b/>
        <sz val="16"/>
        <color rgb="FFC0C03E"/>
        <rFont val="Kruti Dev 010"/>
      </rPr>
      <t xml:space="preserve">pqusaA </t>
    </r>
  </si>
  <si>
    <t xml:space="preserve">                                                                                                                                </t>
  </si>
  <si>
    <t>6- x`g _.k dh ewy fdLr ;gkW fy[kuh gSaA tks NwV ysuh gSaA</t>
  </si>
  <si>
    <t>7- x`g _.k fdLr ij C;kt tks NwV ysuk gS] ;gkW fy[ksA</t>
  </si>
  <si>
    <t>YES</t>
  </si>
  <si>
    <r>
      <t xml:space="preserve">1- edku fdjk;k HkRrk ¼ vxj jlhn ds ek/;e ls                                                  NwV ysuh gS rks </t>
    </r>
    <r>
      <rPr>
        <b/>
        <sz val="14"/>
        <rFont val="Calibri"/>
        <family val="2"/>
        <scheme val="minor"/>
      </rPr>
      <t>YES</t>
    </r>
    <r>
      <rPr>
        <b/>
        <sz val="14"/>
        <rFont val="Kruti Dev 010"/>
      </rPr>
      <t xml:space="preserve"> ugh rks </t>
    </r>
    <r>
      <rPr>
        <b/>
        <sz val="14"/>
        <rFont val="Calibri"/>
        <family val="2"/>
        <scheme val="minor"/>
      </rPr>
      <t xml:space="preserve">No </t>
    </r>
    <r>
      <rPr>
        <b/>
        <sz val="14"/>
        <rFont val="Kruti Dev 010"/>
      </rPr>
      <t>lysDV djsA½</t>
    </r>
  </si>
  <si>
    <t>flrEcj 2017
rd vk;dj dVkSrh</t>
  </si>
  <si>
    <t xml:space="preserve">fnlEcj 2017
rd vk;dj dVkSrh </t>
  </si>
  <si>
    <t>tuojh 2018
rd vk;dj dVkSrh</t>
  </si>
  <si>
    <t>Qjojh 2018
rd vk;dj dVkSrh</t>
  </si>
  <si>
    <r>
      <rPr>
        <b/>
        <sz val="14"/>
        <color rgb="FF00B0F0"/>
        <rFont val="Wingdings"/>
        <charset val="2"/>
      </rPr>
      <t xml:space="preserve">E </t>
    </r>
    <r>
      <rPr>
        <b/>
        <sz val="14"/>
        <color rgb="FF00B0F0"/>
        <rFont val="Kruti Dev 010"/>
      </rPr>
      <t xml:space="preserve">;g jkf'k tks vkius bl o"kZ ¼12 ekg½ esa </t>
    </r>
    <r>
      <rPr>
        <b/>
        <sz val="14"/>
        <color rgb="FF00B0F0"/>
        <rFont val="Calibri"/>
        <family val="2"/>
        <scheme val="minor"/>
      </rPr>
      <t>HRA (</t>
    </r>
    <r>
      <rPr>
        <b/>
        <sz val="14"/>
        <color rgb="FF00B0F0"/>
        <rFont val="Kruti Dev 010"/>
      </rPr>
      <t>edku fdjk;k HkÙkk½ ds :Ik esa mBkyh gSA</t>
    </r>
  </si>
  <si>
    <r>
      <rPr>
        <b/>
        <sz val="18"/>
        <color theme="6"/>
        <rFont val="Wingdings"/>
        <charset val="2"/>
      </rPr>
      <t>E</t>
    </r>
    <r>
      <rPr>
        <b/>
        <sz val="14"/>
        <color theme="6"/>
        <rFont val="Kruti Dev 010"/>
      </rPr>
      <t xml:space="preserve"> vxj vkidks izfrekg jlhn dh jkf'k ls de jkf'k dh NwV ysuh gSa rks lkeusa lQsn dyj dh lSy </t>
    </r>
    <r>
      <rPr>
        <b/>
        <sz val="14"/>
        <color theme="6"/>
        <rFont val="Calibri"/>
        <family val="2"/>
        <scheme val="minor"/>
      </rPr>
      <t>F31</t>
    </r>
    <r>
      <rPr>
        <b/>
        <sz val="14"/>
        <color theme="6"/>
        <rFont val="Kruti Dev 010"/>
      </rPr>
      <t xml:space="preserve"> esa izfrekg ds vuqlkj jlhn jkf'k fy[k ldrs gSaA</t>
    </r>
  </si>
  <si>
    <t>RJPA200029005574</t>
  </si>
  <si>
    <t>ADTPC7867R</t>
  </si>
  <si>
    <t>Rooparam</t>
  </si>
  <si>
    <t>head master</t>
  </si>
  <si>
    <t>G.U.P.S. Udeshi Kuaa</t>
  </si>
  <si>
    <r>
      <t xml:space="preserve">ljdkj }kjk tks jkf'k </t>
    </r>
    <r>
      <rPr>
        <b/>
        <sz val="12"/>
        <color rgb="FFFF0000"/>
        <rFont val="Calibri"/>
        <family val="2"/>
        <scheme val="minor"/>
      </rPr>
      <t xml:space="preserve">NPS </t>
    </r>
    <r>
      <rPr>
        <b/>
        <sz val="14"/>
        <color rgb="FFFF0000"/>
        <rFont val="Kruti Dev 010"/>
      </rPr>
      <t>esa tek djkbZ xbZ gSa] og jkf'k 1]50yk[k ls vfrfjDr vk;dj es NwV ds nk;jsa esa vkrh gSa A blfy, ;g jkf'k dkWye la[;k 11</t>
    </r>
    <r>
      <rPr>
        <b/>
        <sz val="12"/>
        <color rgb="FFFF0000"/>
        <rFont val="Calibri"/>
        <family val="2"/>
        <scheme val="minor"/>
      </rPr>
      <t>(B)</t>
    </r>
    <r>
      <rPr>
        <b/>
        <sz val="14"/>
        <color rgb="FFFF0000"/>
        <rFont val="Kruti Dev 010"/>
      </rPr>
      <t xml:space="preserve"> esa /kkjk </t>
    </r>
    <r>
      <rPr>
        <b/>
        <sz val="12"/>
        <color rgb="FFFF0000"/>
        <rFont val="Calibri"/>
        <family val="2"/>
        <scheme val="minor"/>
      </rPr>
      <t>80CCD(2)</t>
    </r>
    <r>
      <rPr>
        <b/>
        <sz val="14"/>
        <color rgb="FFFF0000"/>
        <rFont val="Kruti Dev 010"/>
      </rPr>
      <t xml:space="preserve"> ds rgr i`FkDd NwV esa n'kkZ;h xbZ gSaA</t>
    </r>
  </si>
  <si>
    <t>E</t>
  </si>
  <si>
    <r>
      <t xml:space="preserve">ljdkj }kjk tks jkf'k </t>
    </r>
    <r>
      <rPr>
        <b/>
        <sz val="12"/>
        <color rgb="FFFF0000"/>
        <rFont val="Calibri"/>
        <family val="2"/>
        <scheme val="minor"/>
      </rPr>
      <t xml:space="preserve">NPS </t>
    </r>
    <r>
      <rPr>
        <b/>
        <sz val="14"/>
        <color rgb="FFFF0000"/>
        <rFont val="Kruti Dev 010"/>
      </rPr>
      <t>esa tek djkbZ xbZ gSa] og jkf'k ;gkW dqy vk; esa n'kkZ;h xbZ gSaA</t>
    </r>
  </si>
  <si>
    <t>N.P.S. By Govt.</t>
  </si>
  <si>
    <r>
      <t xml:space="preserve">lcls igys </t>
    </r>
    <r>
      <rPr>
        <sz val="14"/>
        <rFont val="Calibri"/>
        <family val="2"/>
        <scheme val="minor"/>
      </rPr>
      <t xml:space="preserve">www.rajteachers.com  </t>
    </r>
    <r>
      <rPr>
        <sz val="14"/>
        <rFont val="Kruti Dev 010"/>
      </rPr>
      <t>tks jktLFkku 'kSf{kd lekpkj dh osclkbZV gSa vkSj</t>
    </r>
    <r>
      <rPr>
        <sz val="14"/>
        <rFont val="Calibri"/>
        <family val="2"/>
        <scheme val="minor"/>
      </rPr>
      <t xml:space="preserve"> www.rajteachers.com</t>
    </r>
    <r>
      <rPr>
        <sz val="14"/>
        <rFont val="Kruti Dev 010"/>
      </rPr>
      <t xml:space="preserve"> ls u;k o viMsV izksxzke MkmuyksM djsasaA mlds ckn ftrusa dkfeZdksa dh vk;dj x.kuk djuh gS] mruh gh ,Dly izksxzke 'khV dks muds uke ls vyx vyx Qkby esa </t>
    </r>
    <r>
      <rPr>
        <sz val="14"/>
        <rFont val="Calibri"/>
        <family val="2"/>
        <scheme val="minor"/>
      </rPr>
      <t xml:space="preserve"> </t>
    </r>
    <r>
      <rPr>
        <sz val="12"/>
        <rFont val="Calibri"/>
        <family val="2"/>
        <scheme val="minor"/>
      </rPr>
      <t xml:space="preserve">Save  </t>
    </r>
    <r>
      <rPr>
        <sz val="14"/>
        <rFont val="Kruti Dev 010"/>
      </rPr>
      <t xml:space="preserve">dj ysosaA izR;sad dkfeZd ds fy, ds fy, ,d QkbZy dks mi;ksx esa ysosaA vkSj vkidh lqfo/kk dk [;ky j[krsa gq, vkxkeh izksaxzke esa 15 lnL; ds fy, izksxzke rS;kj gks jgk gSa tks tYn gh 'kSf{kd lekpkj dh </t>
    </r>
    <r>
      <rPr>
        <sz val="14"/>
        <rFont val="Calibri"/>
        <family val="2"/>
        <scheme val="minor"/>
      </rPr>
      <t xml:space="preserve">www.rajteachers.com </t>
    </r>
    <r>
      <rPr>
        <sz val="14"/>
        <rFont val="Kruti Dev 010"/>
      </rPr>
      <t>ossclkbZV ij miyC/k jgsxkA</t>
    </r>
  </si>
  <si>
    <r>
      <t xml:space="preserve">fdlk Hkh çdkj dh =qfV] leL;k ;k lq&gt;ko gks rks lknj vkefU=r gS A bl ,Dly izksxzke esa tc Hkh la'kks/ku gksrk gSa] rks bldk viMsV </t>
    </r>
    <r>
      <rPr>
        <sz val="16"/>
        <color indexed="8"/>
        <rFont val="Calibri"/>
        <family val="2"/>
        <scheme val="minor"/>
      </rPr>
      <t xml:space="preserve">www.rajteachers.com </t>
    </r>
    <r>
      <rPr>
        <sz val="16"/>
        <color indexed="8"/>
        <rFont val="Kruti Dev 010"/>
      </rPr>
      <t xml:space="preserve">ij miyC/k jgsxkA izksxzke ges'kk mDr osclkbZV ls u;k gh MkmuyksM djds bLrseky djsaA                                                                                                                                                </t>
    </r>
    <r>
      <rPr>
        <b/>
        <u/>
        <sz val="16"/>
        <color rgb="FFC00000"/>
        <rFont val="Kruti Dev 010"/>
      </rPr>
      <t>gj {k.k] gj txg vkidh lsok esa rRij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</si>
</sst>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409]mmmm\-yy;@"/>
    <numFmt numFmtId="166" formatCode="[$-409]mmm/yy;@"/>
    <numFmt numFmtId="167" formatCode="0.0"/>
    <numFmt numFmtId="168" formatCode="mmm\-yy"/>
    <numFmt numFmtId="169" formatCode="###0;###0"/>
  </numFmts>
  <fonts count="209" x14ac:knownFonts="1">
    <font>
      <sz val="11"/>
      <color theme="1"/>
      <name val="Calibri"/>
      <family val="2"/>
      <scheme val="minor"/>
    </font>
    <font>
      <sz val="12"/>
      <color theme="1"/>
      <name val="Calibri"/>
      <family val="2"/>
    </font>
    <font>
      <sz val="11"/>
      <color rgb="FF7030A0"/>
      <name val="Calibri"/>
      <family val="2"/>
      <scheme val="minor"/>
    </font>
    <font>
      <b/>
      <sz val="11"/>
      <color theme="1"/>
      <name val="Calibri"/>
      <family val="2"/>
      <scheme val="minor"/>
    </font>
    <font>
      <b/>
      <sz val="14"/>
      <color theme="1"/>
      <name val="Calibri"/>
      <family val="2"/>
      <scheme val="minor"/>
    </font>
    <font>
      <sz val="14"/>
      <color theme="1"/>
      <name val="Kruti Dev 010"/>
    </font>
    <font>
      <sz val="14"/>
      <color theme="1"/>
      <name val="Calibri"/>
      <family val="2"/>
      <scheme val="minor"/>
    </font>
    <font>
      <sz val="11"/>
      <color theme="1"/>
      <name val="Kruti Dev 010"/>
    </font>
    <font>
      <sz val="12"/>
      <color theme="1"/>
      <name val="Calibri"/>
      <family val="2"/>
      <scheme val="minor"/>
    </font>
    <font>
      <b/>
      <sz val="12"/>
      <color theme="1"/>
      <name val="Calibri"/>
      <family val="2"/>
      <scheme val="minor"/>
    </font>
    <font>
      <b/>
      <sz val="12"/>
      <color theme="1"/>
      <name val="Kruti Dev 010"/>
    </font>
    <font>
      <sz val="10"/>
      <color theme="1"/>
      <name val="Calibri"/>
      <family val="2"/>
      <scheme val="minor"/>
    </font>
    <font>
      <sz val="16"/>
      <color theme="1"/>
      <name val="Kruti Dev 010"/>
    </font>
    <font>
      <b/>
      <sz val="11"/>
      <color rgb="FF7030A0"/>
      <name val="Calibri"/>
      <family val="2"/>
      <scheme val="minor"/>
    </font>
    <font>
      <b/>
      <sz val="14"/>
      <name val="Calibri"/>
      <family val="2"/>
      <scheme val="minor"/>
    </font>
    <font>
      <sz val="10"/>
      <name val="Arial"/>
      <family val="2"/>
    </font>
    <font>
      <sz val="11"/>
      <color theme="0"/>
      <name val="Calibri"/>
      <family val="2"/>
      <scheme val="minor"/>
    </font>
    <font>
      <b/>
      <sz val="12"/>
      <color rgb="FFFF0000"/>
      <name val="Calibri"/>
      <family val="2"/>
      <scheme val="minor"/>
    </font>
    <font>
      <sz val="11"/>
      <color theme="7" tint="-0.249977111117893"/>
      <name val="Calibri"/>
      <family val="2"/>
      <scheme val="minor"/>
    </font>
    <font>
      <b/>
      <sz val="16"/>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b/>
      <sz val="11"/>
      <color theme="0"/>
      <name val="Calibri"/>
      <family val="2"/>
      <scheme val="minor"/>
    </font>
    <font>
      <b/>
      <sz val="14"/>
      <color theme="0"/>
      <name val="Calibri"/>
      <family val="2"/>
      <scheme val="minor"/>
    </font>
    <font>
      <b/>
      <sz val="14"/>
      <color rgb="FF00B0F0"/>
      <name val="Calibri"/>
      <family val="2"/>
      <scheme val="minor"/>
    </font>
    <font>
      <b/>
      <sz val="11"/>
      <color rgb="FFFFFF00"/>
      <name val="Calibri"/>
      <family val="2"/>
      <scheme val="minor"/>
    </font>
    <font>
      <sz val="11"/>
      <color theme="5" tint="0.39997558519241921"/>
      <name val="Calibri"/>
      <family val="2"/>
      <scheme val="minor"/>
    </font>
    <font>
      <b/>
      <sz val="11"/>
      <color theme="5" tint="0.39997558519241921"/>
      <name val="Calibri"/>
      <family val="2"/>
      <scheme val="minor"/>
    </font>
    <font>
      <sz val="11"/>
      <color theme="3" tint="-0.499984740745262"/>
      <name val="Calibri"/>
      <family val="2"/>
      <scheme val="minor"/>
    </font>
    <font>
      <b/>
      <sz val="11"/>
      <name val="Calibri"/>
      <family val="2"/>
      <scheme val="minor"/>
    </font>
    <font>
      <sz val="11"/>
      <name val="Calibri"/>
      <family val="2"/>
      <scheme val="minor"/>
    </font>
    <font>
      <sz val="10"/>
      <name val="Calibri"/>
      <family val="2"/>
      <scheme val="minor"/>
    </font>
    <font>
      <sz val="12"/>
      <name val="Calibri"/>
      <family val="2"/>
      <scheme val="minor"/>
    </font>
    <font>
      <sz val="9"/>
      <name val="Calibri"/>
      <family val="2"/>
      <scheme val="minor"/>
    </font>
    <font>
      <b/>
      <sz val="10"/>
      <name val="Calibri"/>
      <family val="2"/>
      <scheme val="minor"/>
    </font>
    <font>
      <b/>
      <sz val="9"/>
      <name val="Calibri"/>
      <family val="2"/>
      <scheme val="minor"/>
    </font>
    <font>
      <sz val="14"/>
      <name val="Calibri"/>
      <family val="2"/>
      <scheme val="minor"/>
    </font>
    <font>
      <b/>
      <sz val="11"/>
      <color rgb="FF00B050"/>
      <name val="Calibri"/>
      <family val="2"/>
      <scheme val="minor"/>
    </font>
    <font>
      <sz val="8"/>
      <name val="Calibri"/>
      <family val="2"/>
      <scheme val="minor"/>
    </font>
    <font>
      <b/>
      <sz val="12"/>
      <name val="Calibri"/>
      <family val="2"/>
      <scheme val="minor"/>
    </font>
    <font>
      <sz val="11"/>
      <color theme="1"/>
      <name val="Calibri"/>
      <family val="2"/>
      <scheme val="minor"/>
    </font>
    <font>
      <sz val="14"/>
      <name val="Kruti Dev 010"/>
    </font>
    <font>
      <b/>
      <sz val="10"/>
      <name val="Kruti Dev 010"/>
    </font>
    <font>
      <sz val="9"/>
      <color theme="0"/>
      <name val="Calibri"/>
      <family val="2"/>
      <scheme val="minor"/>
    </font>
    <font>
      <b/>
      <sz val="16"/>
      <color rgb="FFFFFF00"/>
      <name val="Kruti Dev 010"/>
    </font>
    <font>
      <b/>
      <sz val="16"/>
      <color rgb="FFFFFF00"/>
      <name val="Calibri"/>
      <family val="2"/>
      <scheme val="minor"/>
    </font>
    <font>
      <b/>
      <sz val="18"/>
      <color theme="0"/>
      <name val="Kruti Dev 010"/>
    </font>
    <font>
      <b/>
      <sz val="10"/>
      <color theme="1"/>
      <name val="Wingdings"/>
      <charset val="2"/>
    </font>
    <font>
      <b/>
      <sz val="16"/>
      <name val="Calibri"/>
      <family val="2"/>
      <scheme val="minor"/>
    </font>
    <font>
      <sz val="10"/>
      <name val="Arial"/>
      <family val="2"/>
    </font>
    <font>
      <sz val="12"/>
      <name val="Calibri"/>
      <family val="2"/>
    </font>
    <font>
      <b/>
      <sz val="12"/>
      <name val="Times New Roman"/>
      <family val="1"/>
    </font>
    <font>
      <sz val="10"/>
      <name val="Calibri"/>
      <family val="2"/>
    </font>
    <font>
      <sz val="12"/>
      <name val="DevLys 010"/>
    </font>
    <font>
      <b/>
      <sz val="12"/>
      <name val="Calibri"/>
      <family val="2"/>
    </font>
    <font>
      <sz val="10"/>
      <name val="DevLys 010"/>
    </font>
    <font>
      <b/>
      <sz val="12"/>
      <name val="DevLys 010"/>
    </font>
    <font>
      <i/>
      <sz val="11"/>
      <name val="Calibri"/>
      <family val="2"/>
    </font>
    <font>
      <b/>
      <i/>
      <sz val="11"/>
      <name val="Calibri"/>
      <family val="2"/>
    </font>
    <font>
      <b/>
      <sz val="9"/>
      <name val="Arial"/>
      <family val="2"/>
    </font>
    <font>
      <sz val="10"/>
      <color rgb="FF000000"/>
      <name val="Arial"/>
      <family val="2"/>
    </font>
    <font>
      <b/>
      <sz val="9"/>
      <color rgb="FF000000"/>
      <name val="Arial"/>
      <family val="2"/>
    </font>
    <font>
      <sz val="12"/>
      <color rgb="FF000000"/>
      <name val="DevLys 010"/>
    </font>
    <font>
      <sz val="12"/>
      <color rgb="FF000000"/>
      <name val="Calibri"/>
      <family val="2"/>
    </font>
    <font>
      <sz val="10"/>
      <color rgb="FF000000"/>
      <name val="DevLys 010"/>
    </font>
    <font>
      <b/>
      <sz val="13"/>
      <color rgb="FF000000"/>
      <name val="DevLys 010"/>
    </font>
    <font>
      <b/>
      <sz val="12"/>
      <color rgb="FF000000"/>
      <name val="DevLys 010"/>
    </font>
    <font>
      <b/>
      <sz val="10"/>
      <color rgb="FF000000"/>
      <name val="DevLys 010"/>
    </font>
    <font>
      <b/>
      <i/>
      <sz val="10"/>
      <color rgb="FF000000"/>
      <name val="Calibri"/>
      <family val="2"/>
    </font>
    <font>
      <b/>
      <sz val="10"/>
      <color rgb="FF000000"/>
      <name val="Calibri"/>
      <family val="2"/>
    </font>
    <font>
      <sz val="10"/>
      <color rgb="FF000000"/>
      <name val="Calibri"/>
      <family val="2"/>
    </font>
    <font>
      <sz val="11"/>
      <name val="Kruti Dev 010"/>
    </font>
    <font>
      <sz val="12"/>
      <name val="Kruti Dev 010"/>
    </font>
    <font>
      <sz val="10"/>
      <name val="Kruti Dev 010"/>
    </font>
    <font>
      <sz val="9"/>
      <name val="Kruti Dev 010"/>
    </font>
    <font>
      <b/>
      <sz val="12"/>
      <name val="Kruti Dev 010"/>
    </font>
    <font>
      <sz val="8"/>
      <name val="Kruti Dev 010"/>
    </font>
    <font>
      <b/>
      <sz val="12"/>
      <name val="Times New Roman"/>
      <family val="1"/>
    </font>
    <font>
      <b/>
      <sz val="12"/>
      <name val="Calibri"/>
      <family val="2"/>
    </font>
    <font>
      <b/>
      <i/>
      <sz val="11"/>
      <name val="Calibri"/>
      <family val="2"/>
    </font>
    <font>
      <b/>
      <sz val="14"/>
      <color rgb="FF002060"/>
      <name val="Kruti Dev 010"/>
    </font>
    <font>
      <b/>
      <sz val="14"/>
      <color rgb="FF002060"/>
      <name val="Calibri"/>
      <family val="2"/>
      <scheme val="minor"/>
    </font>
    <font>
      <b/>
      <i/>
      <sz val="11"/>
      <name val="Calibri"/>
      <family val="2"/>
      <scheme val="minor"/>
    </font>
    <font>
      <b/>
      <sz val="13"/>
      <color theme="1"/>
      <name val="Calibri"/>
      <family val="2"/>
      <scheme val="minor"/>
    </font>
    <font>
      <b/>
      <sz val="16"/>
      <color rgb="FFC0C03E"/>
      <name val="Kruti Dev 010"/>
    </font>
    <font>
      <b/>
      <sz val="16"/>
      <color rgb="FFC0C03E"/>
      <name val="Calibri"/>
      <family val="2"/>
      <scheme val="minor"/>
    </font>
    <font>
      <b/>
      <sz val="14"/>
      <color rgb="FFFFFF00"/>
      <name val="Calibri"/>
      <family val="2"/>
      <scheme val="minor"/>
    </font>
    <font>
      <b/>
      <i/>
      <u/>
      <sz val="18"/>
      <color theme="0"/>
      <name val="Calibri"/>
      <family val="2"/>
      <scheme val="minor"/>
    </font>
    <font>
      <b/>
      <i/>
      <sz val="14"/>
      <color theme="1"/>
      <name val="Calibri"/>
      <family val="2"/>
      <scheme val="minor"/>
    </font>
    <font>
      <b/>
      <sz val="14"/>
      <name val="Kruti Dev 010"/>
    </font>
    <font>
      <b/>
      <sz val="14"/>
      <color theme="4" tint="0.39997558519241921"/>
      <name val="Calibri"/>
      <family val="2"/>
      <scheme val="minor"/>
    </font>
    <font>
      <b/>
      <u/>
      <sz val="18"/>
      <color theme="0"/>
      <name val="Kruti Dev 010"/>
    </font>
    <font>
      <b/>
      <sz val="16"/>
      <color theme="0"/>
      <name val="Kruti Dev 010"/>
    </font>
    <font>
      <b/>
      <sz val="16"/>
      <color theme="0"/>
      <name val="Calibri"/>
      <family val="2"/>
      <scheme val="minor"/>
    </font>
    <font>
      <b/>
      <sz val="11"/>
      <color rgb="FFFF0000"/>
      <name val="Calibri"/>
      <family val="2"/>
      <scheme val="minor"/>
    </font>
    <font>
      <sz val="9"/>
      <name val="Calibri"/>
      <family val="2"/>
    </font>
    <font>
      <sz val="9"/>
      <color rgb="FF000000"/>
      <name val="Calibri"/>
      <family val="2"/>
    </font>
    <font>
      <sz val="9"/>
      <color rgb="FF3A2F42"/>
      <name val="Calibri"/>
      <family val="2"/>
    </font>
    <font>
      <sz val="9"/>
      <color rgb="FF361634"/>
      <name val="Calibri"/>
      <family val="2"/>
    </font>
    <font>
      <sz val="9"/>
      <color rgb="FF494256"/>
      <name val="Calibri"/>
      <family val="2"/>
    </font>
    <font>
      <sz val="9"/>
      <color rgb="FF5B5264"/>
      <name val="Calibri"/>
      <family val="2"/>
    </font>
    <font>
      <sz val="8"/>
      <color rgb="FF000000"/>
      <name val="Calibri"/>
      <family val="2"/>
    </font>
    <font>
      <i/>
      <sz val="9"/>
      <color rgb="FF5B5264"/>
      <name val="Calibri"/>
      <family val="2"/>
    </font>
    <font>
      <sz val="9"/>
      <color rgb="FF696277"/>
      <name val="Calibri"/>
      <family val="2"/>
    </font>
    <font>
      <b/>
      <sz val="10"/>
      <name val="Calibri"/>
      <family val="2"/>
    </font>
    <font>
      <b/>
      <sz val="20"/>
      <color theme="0"/>
      <name val="Wingdings"/>
      <charset val="2"/>
    </font>
    <font>
      <sz val="9"/>
      <color indexed="81"/>
      <name val="Tahoma"/>
      <family val="2"/>
    </font>
    <font>
      <b/>
      <sz val="9"/>
      <color indexed="81"/>
      <name val="Tahoma"/>
      <family val="2"/>
    </font>
    <font>
      <b/>
      <sz val="16"/>
      <color rgb="FFFF0000"/>
      <name val="Calibri"/>
      <family val="2"/>
      <scheme val="minor"/>
    </font>
    <font>
      <b/>
      <sz val="12"/>
      <color theme="0"/>
      <name val="Calibri"/>
      <family val="2"/>
      <scheme val="minor"/>
    </font>
    <font>
      <b/>
      <sz val="18"/>
      <color theme="0"/>
      <name val="Wingdings"/>
      <charset val="2"/>
    </font>
    <font>
      <b/>
      <i/>
      <sz val="12"/>
      <name val="Calibri"/>
      <family val="2"/>
    </font>
    <font>
      <sz val="11"/>
      <name val="Times New Roman"/>
      <family val="1"/>
    </font>
    <font>
      <b/>
      <sz val="14"/>
      <name val="Calibri"/>
      <family val="2"/>
    </font>
    <font>
      <b/>
      <i/>
      <u/>
      <sz val="13.5"/>
      <color rgb="FFFF0000"/>
      <name val="Calibri"/>
      <family val="2"/>
      <scheme val="minor"/>
    </font>
    <font>
      <u/>
      <sz val="15"/>
      <name val="Calibri"/>
      <family val="2"/>
      <scheme val="minor"/>
    </font>
    <font>
      <b/>
      <sz val="11"/>
      <color theme="6" tint="0.79998168889431442"/>
      <name val="Calibri"/>
      <family val="2"/>
      <scheme val="minor"/>
    </font>
    <font>
      <b/>
      <sz val="14"/>
      <color indexed="10"/>
      <name val="Times New Roman"/>
      <family val="1"/>
    </font>
    <font>
      <sz val="11"/>
      <color indexed="8"/>
      <name val="Times New Roman"/>
      <family val="1"/>
    </font>
    <font>
      <b/>
      <sz val="14"/>
      <color indexed="17"/>
      <name val="Times New Roman"/>
      <family val="1"/>
    </font>
    <font>
      <b/>
      <sz val="13"/>
      <color indexed="17"/>
      <name val="Times New Roman"/>
      <family val="1"/>
    </font>
    <font>
      <b/>
      <sz val="11"/>
      <color indexed="10"/>
      <name val="Times New Roman"/>
      <family val="1"/>
    </font>
    <font>
      <b/>
      <sz val="11"/>
      <color indexed="18"/>
      <name val="Times New Roman"/>
      <family val="1"/>
    </font>
    <font>
      <b/>
      <sz val="8"/>
      <color indexed="16"/>
      <name val="Times New Roman"/>
      <family val="1"/>
    </font>
    <font>
      <b/>
      <sz val="11"/>
      <color theme="0"/>
      <name val="Times New Roman"/>
      <family val="1"/>
    </font>
    <font>
      <b/>
      <sz val="14"/>
      <color indexed="21"/>
      <name val="Calibri"/>
      <family val="2"/>
      <scheme val="minor"/>
    </font>
    <font>
      <b/>
      <sz val="14"/>
      <color indexed="10"/>
      <name val="Calibri"/>
      <family val="2"/>
      <scheme val="minor"/>
    </font>
    <font>
      <sz val="14"/>
      <color indexed="8"/>
      <name val="Calibri"/>
      <family val="2"/>
      <scheme val="minor"/>
    </font>
    <font>
      <b/>
      <sz val="14"/>
      <color indexed="17"/>
      <name val="Calibri"/>
      <family val="2"/>
      <scheme val="minor"/>
    </font>
    <font>
      <b/>
      <sz val="14"/>
      <color theme="7" tint="0.79998168889431442"/>
      <name val="Calibri"/>
      <family val="2"/>
      <scheme val="minor"/>
    </font>
    <font>
      <b/>
      <sz val="14"/>
      <color theme="9" tint="0.59999389629810485"/>
      <name val="Calibri"/>
      <family val="2"/>
      <scheme val="minor"/>
    </font>
    <font>
      <b/>
      <sz val="18"/>
      <color indexed="17"/>
      <name val="Wingdings"/>
      <charset val="2"/>
    </font>
    <font>
      <b/>
      <sz val="20"/>
      <color indexed="21"/>
      <name val="Calibri"/>
      <family val="2"/>
      <scheme val="minor"/>
    </font>
    <font>
      <b/>
      <sz val="20"/>
      <color indexed="21"/>
      <name val="Wingdings"/>
      <charset val="2"/>
    </font>
    <font>
      <b/>
      <sz val="18"/>
      <color indexed="10"/>
      <name val="Calibri"/>
      <family val="2"/>
      <scheme val="minor"/>
    </font>
    <font>
      <b/>
      <sz val="18"/>
      <color indexed="10"/>
      <name val="Wingdings"/>
      <charset val="2"/>
    </font>
    <font>
      <b/>
      <sz val="18"/>
      <color indexed="17"/>
      <name val="Calibri"/>
      <family val="2"/>
      <scheme val="minor"/>
    </font>
    <font>
      <b/>
      <sz val="18"/>
      <color theme="7" tint="0.79998168889431442"/>
      <name val="Wingdings"/>
      <charset val="2"/>
    </font>
    <font>
      <b/>
      <sz val="18"/>
      <color theme="9" tint="0.59999389629810485"/>
      <name val="Wingdings"/>
      <charset val="2"/>
    </font>
    <font>
      <sz val="11"/>
      <color theme="3" tint="0.59999389629810485"/>
      <name val="Calibri"/>
      <family val="2"/>
      <scheme val="minor"/>
    </font>
    <font>
      <b/>
      <sz val="12"/>
      <color theme="2" tint="-9.9978637043366805E-2"/>
      <name val="Calibri"/>
      <family val="2"/>
      <scheme val="minor"/>
    </font>
    <font>
      <sz val="12"/>
      <color theme="2" tint="-9.9978637043366805E-2"/>
      <name val="Calibri"/>
      <family val="2"/>
      <scheme val="minor"/>
    </font>
    <font>
      <b/>
      <sz val="12"/>
      <color theme="3" tint="0.59999389629810485"/>
      <name val="Calibri"/>
      <family val="2"/>
      <scheme val="minor"/>
    </font>
    <font>
      <sz val="12"/>
      <color theme="7" tint="-0.499984740745262"/>
      <name val="Calibri"/>
      <family val="2"/>
      <scheme val="minor"/>
    </font>
    <font>
      <b/>
      <sz val="14"/>
      <color theme="7" tint="-0.499984740745262"/>
      <name val="Calibri"/>
      <family val="2"/>
      <scheme val="minor"/>
    </font>
    <font>
      <b/>
      <sz val="14"/>
      <color indexed="10"/>
      <name val="Wingdings 2"/>
      <family val="1"/>
      <charset val="2"/>
    </font>
    <font>
      <b/>
      <sz val="16"/>
      <color indexed="17"/>
      <name val="Calibri"/>
      <family val="2"/>
      <scheme val="minor"/>
    </font>
    <font>
      <b/>
      <sz val="16"/>
      <color indexed="17"/>
      <name val="Times New Roman"/>
      <family val="1"/>
    </font>
    <font>
      <b/>
      <sz val="16"/>
      <color indexed="17"/>
      <name val="Wingdings"/>
      <charset val="2"/>
    </font>
    <font>
      <b/>
      <sz val="16"/>
      <color theme="3" tint="0.59999389629810485"/>
      <name val="Kruti Dev 010"/>
    </font>
    <font>
      <u/>
      <sz val="10"/>
      <color theme="10"/>
      <name val="Arial"/>
      <family val="2"/>
    </font>
    <font>
      <b/>
      <sz val="14"/>
      <name val="Times New Roman"/>
      <family val="1"/>
    </font>
    <font>
      <b/>
      <sz val="14"/>
      <name val="Calibri"/>
      <family val="2"/>
    </font>
    <font>
      <sz val="10"/>
      <name val="Arial"/>
      <family val="2"/>
    </font>
    <font>
      <b/>
      <sz val="14"/>
      <name val="Times New Roman"/>
      <family val="1"/>
    </font>
    <font>
      <b/>
      <sz val="14"/>
      <color rgb="FF0000FF"/>
      <name val="Kruti Dev 010"/>
    </font>
    <font>
      <b/>
      <sz val="11"/>
      <name val="Kruti Dev 010"/>
    </font>
    <font>
      <b/>
      <sz val="22"/>
      <color rgb="FF7030A0"/>
      <name val="Calibri"/>
      <family val="2"/>
      <scheme val="minor"/>
    </font>
    <font>
      <b/>
      <sz val="24"/>
      <color rgb="FF00B050"/>
      <name val="Calibri"/>
      <family val="2"/>
      <scheme val="minor"/>
    </font>
    <font>
      <b/>
      <sz val="24"/>
      <color theme="1"/>
      <name val="Calibri"/>
      <family val="2"/>
      <scheme val="minor"/>
    </font>
    <font>
      <b/>
      <sz val="20"/>
      <color rgb="FFFF0000"/>
      <name val="Calibri"/>
      <family val="2"/>
      <scheme val="minor"/>
    </font>
    <font>
      <b/>
      <sz val="22"/>
      <color rgb="FF0070C0"/>
      <name val="Calibri"/>
      <family val="2"/>
    </font>
    <font>
      <b/>
      <sz val="22"/>
      <color rgb="FF0070C0"/>
      <name val="Wingdings"/>
      <charset val="2"/>
    </font>
    <font>
      <b/>
      <sz val="22"/>
      <color rgb="FF0070C0"/>
      <name val="Calibri"/>
      <family val="2"/>
      <scheme val="minor"/>
    </font>
    <font>
      <u/>
      <sz val="11"/>
      <color theme="10"/>
      <name val="Calibri"/>
      <family val="2"/>
    </font>
    <font>
      <b/>
      <u/>
      <sz val="16"/>
      <color theme="9" tint="-0.499984740745262"/>
      <name val="Calibri"/>
      <family val="2"/>
      <scheme val="minor"/>
    </font>
    <font>
      <b/>
      <u/>
      <sz val="18"/>
      <color theme="9" tint="-0.499984740745262"/>
      <name val="Calibri"/>
      <family val="2"/>
    </font>
    <font>
      <sz val="18"/>
      <name val="Calibri"/>
      <family val="2"/>
      <scheme val="minor"/>
    </font>
    <font>
      <sz val="18"/>
      <name val="Kruti Dev 010"/>
    </font>
    <font>
      <sz val="18"/>
      <name val="Arial"/>
      <family val="2"/>
    </font>
    <font>
      <b/>
      <sz val="18"/>
      <color indexed="10"/>
      <name val="Calibri"/>
      <family val="2"/>
    </font>
    <font>
      <b/>
      <sz val="18"/>
      <color indexed="36"/>
      <name val="Calibri"/>
      <family val="2"/>
    </font>
    <font>
      <b/>
      <sz val="18"/>
      <color indexed="56"/>
      <name val="Calibri"/>
      <family val="2"/>
    </font>
    <font>
      <b/>
      <sz val="18"/>
      <color indexed="60"/>
      <name val="Calibri"/>
      <family val="2"/>
    </font>
    <font>
      <b/>
      <sz val="18"/>
      <color indexed="17"/>
      <name val="Calibri"/>
      <family val="2"/>
    </font>
    <font>
      <b/>
      <sz val="18"/>
      <color rgb="FFC00000"/>
      <name val="Comic Sans MS"/>
      <family val="4"/>
    </font>
    <font>
      <sz val="16"/>
      <color indexed="8"/>
      <name val="Kruti Dev 010"/>
    </font>
    <font>
      <b/>
      <u/>
      <sz val="16"/>
      <color rgb="FFC00000"/>
      <name val="Kruti Dev 010"/>
    </font>
    <font>
      <b/>
      <u/>
      <sz val="18"/>
      <color theme="10"/>
      <name val="Calibri"/>
      <family val="2"/>
    </font>
    <font>
      <b/>
      <sz val="14"/>
      <color theme="1"/>
      <name val="Kruti Dev 010"/>
    </font>
    <font>
      <sz val="16"/>
      <color indexed="8"/>
      <name val="Calibri"/>
      <family val="2"/>
      <scheme val="minor"/>
    </font>
    <font>
      <b/>
      <sz val="14"/>
      <color theme="6"/>
      <name val="Kruti Dev 010"/>
    </font>
    <font>
      <b/>
      <sz val="14"/>
      <color theme="6"/>
      <name val="Calibri"/>
      <family val="2"/>
      <scheme val="minor"/>
    </font>
    <font>
      <b/>
      <sz val="18"/>
      <color theme="6"/>
      <name val="Wingdings"/>
      <charset val="2"/>
    </font>
    <font>
      <b/>
      <sz val="14"/>
      <color indexed="10"/>
      <name val="Kruti Dev 010"/>
    </font>
    <font>
      <b/>
      <sz val="14"/>
      <color rgb="FF00B050"/>
      <name val="Calibri"/>
      <family val="2"/>
      <scheme val="minor"/>
    </font>
    <font>
      <b/>
      <u/>
      <sz val="16"/>
      <color rgb="FF00B0F0"/>
      <name val="Kruti Dev 010"/>
    </font>
    <font>
      <b/>
      <sz val="14"/>
      <color rgb="FF92D050"/>
      <name val="Kruti Dev 010"/>
    </font>
    <font>
      <b/>
      <sz val="14"/>
      <color rgb="FF92D050"/>
      <name val="Wingdings"/>
      <charset val="2"/>
    </font>
    <font>
      <b/>
      <sz val="14"/>
      <color rgb="FFFFFF00"/>
      <name val="Kruti Dev 010"/>
    </font>
    <font>
      <b/>
      <sz val="14"/>
      <color rgb="FFFFC000"/>
      <name val="Kruti Dev 010"/>
    </font>
    <font>
      <b/>
      <sz val="14"/>
      <color rgb="FFFFC000"/>
      <name val="Wingdings"/>
      <charset val="2"/>
    </font>
    <font>
      <b/>
      <sz val="20"/>
      <color rgb="FFFFFF00"/>
      <name val="Wingdings"/>
      <charset val="2"/>
    </font>
    <font>
      <sz val="11"/>
      <color rgb="FFFFFF00"/>
      <name val="Calibri"/>
      <family val="2"/>
      <scheme val="minor"/>
    </font>
    <font>
      <sz val="11"/>
      <color rgb="FFFF0000"/>
      <name val="Calibri"/>
      <family val="2"/>
      <scheme val="minor"/>
    </font>
    <font>
      <b/>
      <sz val="14"/>
      <color rgb="FFFFC000"/>
      <name val="Calibri"/>
      <family val="2"/>
      <scheme val="minor"/>
    </font>
    <font>
      <b/>
      <sz val="15"/>
      <color rgb="FFC0C03E"/>
      <name val="Kruti Dev 010"/>
    </font>
    <font>
      <b/>
      <sz val="14"/>
      <color rgb="FFFF0000"/>
      <name val="Calibri"/>
      <family val="2"/>
      <scheme val="minor"/>
    </font>
    <font>
      <b/>
      <sz val="14"/>
      <color rgb="FF166D07"/>
      <name val="Calibri"/>
      <family val="2"/>
      <scheme val="minor"/>
    </font>
    <font>
      <sz val="11"/>
      <color rgb="FF525E16"/>
      <name val="Calibri"/>
      <family val="2"/>
      <scheme val="minor"/>
    </font>
    <font>
      <b/>
      <sz val="8"/>
      <name val="Calibri"/>
      <family val="2"/>
      <scheme val="minor"/>
    </font>
    <font>
      <sz val="9"/>
      <color indexed="81"/>
      <name val="Tahoma"/>
      <charset val="1"/>
    </font>
    <font>
      <b/>
      <sz val="9"/>
      <color indexed="81"/>
      <name val="Tahoma"/>
      <charset val="1"/>
    </font>
    <font>
      <b/>
      <sz val="14"/>
      <color rgb="FF00B0F0"/>
      <name val="Kruti Dev 010"/>
    </font>
    <font>
      <b/>
      <sz val="14"/>
      <color rgb="FF00B0F0"/>
      <name val="Wingdings"/>
      <charset val="2"/>
    </font>
    <font>
      <b/>
      <sz val="14"/>
      <color rgb="FFFF0000"/>
      <name val="Kruti Dev 010"/>
    </font>
    <font>
      <b/>
      <sz val="24"/>
      <color rgb="FF7030A0"/>
      <name val="Wingdings"/>
      <charset val="2"/>
    </font>
  </fonts>
  <fills count="31">
    <fill>
      <patternFill patternType="none"/>
    </fill>
    <fill>
      <patternFill patternType="gray125"/>
    </fill>
    <fill>
      <patternFill patternType="solid">
        <fgColor rgb="FFFFFF00"/>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rgb="FF7030A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indexed="9"/>
        <bgColor indexed="64"/>
      </patternFill>
    </fill>
    <fill>
      <patternFill patternType="solid">
        <fgColor rgb="FFCCFFCC"/>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33CCCC"/>
        <bgColor indexed="64"/>
      </patternFill>
    </fill>
    <fill>
      <patternFill patternType="solid">
        <fgColor rgb="FFFFCC99"/>
        <bgColor indexed="64"/>
      </patternFill>
    </fill>
    <fill>
      <patternFill patternType="solid">
        <fgColor rgb="FF8EB4E2"/>
        <bgColor indexed="64"/>
      </patternFill>
    </fill>
    <fill>
      <patternFill patternType="solid">
        <fgColor indexed="22"/>
        <bgColor indexed="64"/>
      </patternFill>
    </fill>
    <fill>
      <patternFill patternType="solid">
        <fgColor indexed="1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5A285B"/>
        <bgColor indexed="64"/>
      </patternFill>
    </fill>
    <fill>
      <patternFill patternType="solid">
        <fgColor theme="9" tint="-0.249977111117893"/>
        <bgColor indexed="64"/>
      </patternFill>
    </fill>
    <fill>
      <patternFill patternType="solid">
        <fgColor theme="6"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B050"/>
      </left>
      <right style="double">
        <color rgb="FF00B050"/>
      </right>
      <top style="double">
        <color rgb="FF00B050"/>
      </top>
      <bottom style="double">
        <color rgb="FF00B050"/>
      </bottom>
      <diagonal/>
    </border>
    <border>
      <left style="double">
        <color rgb="FF00B050"/>
      </left>
      <right/>
      <top style="double">
        <color rgb="FF00B050"/>
      </top>
      <bottom style="double">
        <color rgb="FF00B050"/>
      </bottom>
      <diagonal/>
    </border>
    <border>
      <left/>
      <right/>
      <top style="double">
        <color rgb="FF00B050"/>
      </top>
      <bottom style="double">
        <color rgb="FF00B050"/>
      </bottom>
      <diagonal/>
    </border>
    <border>
      <left/>
      <right style="double">
        <color rgb="FF00B050"/>
      </right>
      <top style="double">
        <color rgb="FF00B050"/>
      </top>
      <bottom style="double">
        <color rgb="FF00B050"/>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
      <left style="double">
        <color rgb="FF00B050"/>
      </left>
      <right/>
      <top/>
      <bottom/>
      <diagonal/>
    </border>
    <border>
      <left/>
      <right style="double">
        <color rgb="FF00B050"/>
      </right>
      <top/>
      <bottom/>
      <diagonal/>
    </border>
    <border>
      <left style="thin">
        <color rgb="FF00B0F0"/>
      </left>
      <right style="thin">
        <color rgb="FF00B0F0"/>
      </right>
      <top style="thin">
        <color rgb="FF00B0F0"/>
      </top>
      <bottom style="thin">
        <color rgb="FF00B0F0"/>
      </bottom>
      <diagonal/>
    </border>
    <border>
      <left style="thin">
        <color indexed="10"/>
      </left>
      <right style="thin">
        <color indexed="46"/>
      </right>
      <top/>
      <bottom style="thin">
        <color indexed="46"/>
      </bottom>
      <diagonal/>
    </border>
    <border>
      <left style="thin">
        <color indexed="46"/>
      </left>
      <right style="thin">
        <color indexed="10"/>
      </right>
      <top/>
      <bottom style="thin">
        <color indexed="46"/>
      </bottom>
      <diagonal/>
    </border>
    <border>
      <left style="thin">
        <color indexed="10"/>
      </left>
      <right style="thin">
        <color indexed="46"/>
      </right>
      <top style="thin">
        <color indexed="46"/>
      </top>
      <bottom style="thin">
        <color indexed="46"/>
      </bottom>
      <diagonal/>
    </border>
    <border>
      <left style="thin">
        <color indexed="46"/>
      </left>
      <right style="thin">
        <color indexed="10"/>
      </right>
      <top style="thin">
        <color indexed="46"/>
      </top>
      <bottom style="thin">
        <color indexed="46"/>
      </bottom>
      <diagonal/>
    </border>
    <border>
      <left style="thin">
        <color indexed="10"/>
      </left>
      <right style="thin">
        <color indexed="46"/>
      </right>
      <top style="thin">
        <color indexed="46"/>
      </top>
      <bottom style="thin">
        <color indexed="10"/>
      </bottom>
      <diagonal/>
    </border>
    <border>
      <left style="thin">
        <color indexed="46"/>
      </left>
      <right style="thin">
        <color indexed="10"/>
      </right>
      <top style="thin">
        <color indexed="46"/>
      </top>
      <bottom style="thin">
        <color indexed="10"/>
      </bottom>
      <diagonal/>
    </border>
    <border>
      <left style="medium">
        <color rgb="FFC0C03E"/>
      </left>
      <right style="thin">
        <color indexed="64"/>
      </right>
      <top style="medium">
        <color rgb="FFC0C03E"/>
      </top>
      <bottom style="thin">
        <color indexed="64"/>
      </bottom>
      <diagonal/>
    </border>
    <border>
      <left style="thin">
        <color indexed="64"/>
      </left>
      <right style="thin">
        <color indexed="64"/>
      </right>
      <top style="medium">
        <color rgb="FFC0C03E"/>
      </top>
      <bottom style="thin">
        <color indexed="64"/>
      </bottom>
      <diagonal/>
    </border>
    <border>
      <left style="thin">
        <color indexed="64"/>
      </left>
      <right style="medium">
        <color rgb="FFC0C03E"/>
      </right>
      <top style="medium">
        <color rgb="FFC0C03E"/>
      </top>
      <bottom style="thin">
        <color indexed="64"/>
      </bottom>
      <diagonal/>
    </border>
    <border>
      <left style="medium">
        <color rgb="FFC0C03E"/>
      </left>
      <right style="thin">
        <color indexed="64"/>
      </right>
      <top style="thin">
        <color indexed="64"/>
      </top>
      <bottom style="thin">
        <color indexed="64"/>
      </bottom>
      <diagonal/>
    </border>
    <border>
      <left style="thin">
        <color indexed="64"/>
      </left>
      <right style="medium">
        <color rgb="FFC0C03E"/>
      </right>
      <top style="thin">
        <color indexed="64"/>
      </top>
      <bottom style="thin">
        <color indexed="64"/>
      </bottom>
      <diagonal/>
    </border>
    <border>
      <left style="medium">
        <color rgb="FFC0C03E"/>
      </left>
      <right style="thin">
        <color indexed="64"/>
      </right>
      <top style="thin">
        <color indexed="64"/>
      </top>
      <bottom style="medium">
        <color rgb="FFC0C03E"/>
      </bottom>
      <diagonal/>
    </border>
    <border>
      <left style="thin">
        <color indexed="64"/>
      </left>
      <right style="thin">
        <color indexed="64"/>
      </right>
      <top style="thin">
        <color indexed="64"/>
      </top>
      <bottom style="medium">
        <color rgb="FFC0C03E"/>
      </bottom>
      <diagonal/>
    </border>
    <border>
      <left style="thin">
        <color indexed="64"/>
      </left>
      <right style="medium">
        <color rgb="FFC0C03E"/>
      </right>
      <top style="thin">
        <color indexed="64"/>
      </top>
      <bottom style="medium">
        <color rgb="FFC0C03E"/>
      </bottom>
      <diagonal/>
    </border>
  </borders>
  <cellStyleXfs count="23">
    <xf numFmtId="0" fontId="0" fillId="0" borderId="0"/>
    <xf numFmtId="164" fontId="42" fillId="0" borderId="0" applyFont="0" applyFill="0" applyBorder="0" applyAlignment="0" applyProtection="0"/>
    <xf numFmtId="0" fontId="51" fillId="0" borderId="0">
      <alignment vertical="center"/>
    </xf>
    <xf numFmtId="0" fontId="51" fillId="0" borderId="0">
      <protection locked="0"/>
    </xf>
    <xf numFmtId="0" fontId="51" fillId="0" borderId="0">
      <protection locked="0"/>
    </xf>
    <xf numFmtId="0" fontId="51" fillId="0" borderId="0">
      <alignment vertical="center"/>
    </xf>
    <xf numFmtId="0" fontId="51" fillId="0" borderId="0">
      <protection locked="0"/>
    </xf>
    <xf numFmtId="0" fontId="15" fillId="0" borderId="0">
      <alignment vertical="center"/>
    </xf>
    <xf numFmtId="0" fontId="15" fillId="0" borderId="0">
      <protection locked="0"/>
    </xf>
    <xf numFmtId="0" fontId="51" fillId="0" borderId="0">
      <alignment vertical="center"/>
    </xf>
    <xf numFmtId="0" fontId="51" fillId="0" borderId="0">
      <protection locked="0"/>
    </xf>
    <xf numFmtId="0" fontId="51" fillId="0" borderId="0">
      <alignment vertical="center"/>
    </xf>
    <xf numFmtId="0" fontId="51" fillId="0" borderId="0">
      <protection locked="0"/>
    </xf>
    <xf numFmtId="0" fontId="15" fillId="0" borderId="0">
      <alignment vertical="center"/>
    </xf>
    <xf numFmtId="0" fontId="15" fillId="0" borderId="0">
      <protection locked="0"/>
    </xf>
    <xf numFmtId="0" fontId="15" fillId="0" borderId="0">
      <alignment vertical="center"/>
    </xf>
    <xf numFmtId="0" fontId="15" fillId="0" borderId="0">
      <protection locked="0"/>
    </xf>
    <xf numFmtId="0" fontId="15" fillId="0" borderId="0">
      <alignment vertical="center"/>
    </xf>
    <xf numFmtId="0" fontId="15" fillId="0" borderId="0">
      <protection locked="0"/>
    </xf>
    <xf numFmtId="0" fontId="15" fillId="0" borderId="0">
      <alignment vertical="center"/>
    </xf>
    <xf numFmtId="0" fontId="15" fillId="0" borderId="0">
      <protection locked="0"/>
    </xf>
    <xf numFmtId="0" fontId="152"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cellStyleXfs>
  <cellXfs count="800">
    <xf numFmtId="0" fontId="0" fillId="0" borderId="0" xfId="0"/>
    <xf numFmtId="0" fontId="0" fillId="4" borderId="0" xfId="0" applyFill="1" applyProtection="1">
      <protection hidden="1"/>
    </xf>
    <xf numFmtId="2" fontId="0" fillId="6" borderId="0" xfId="0" applyNumberFormat="1" applyFill="1" applyAlignment="1" applyProtection="1">
      <alignment horizontal="center" vertical="center"/>
      <protection hidden="1"/>
    </xf>
    <xf numFmtId="0" fontId="0" fillId="6" borderId="0" xfId="0" applyFill="1" applyProtection="1">
      <protection hidden="1"/>
    </xf>
    <xf numFmtId="0" fontId="0" fillId="6"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Protection="1">
      <protection hidden="1"/>
    </xf>
    <xf numFmtId="2" fontId="2" fillId="6" borderId="0" xfId="0" applyNumberFormat="1" applyFont="1" applyFill="1" applyAlignment="1" applyProtection="1">
      <alignment horizontal="center" vertical="center"/>
      <protection hidden="1"/>
    </xf>
    <xf numFmtId="0" fontId="2" fillId="6" borderId="0" xfId="0" applyFont="1" applyFill="1" applyProtection="1">
      <protection hidden="1"/>
    </xf>
    <xf numFmtId="0" fontId="2" fillId="6" borderId="0" xfId="0" applyFont="1" applyFill="1" applyAlignment="1" applyProtection="1">
      <alignment horizontal="center" vertical="center"/>
      <protection hidden="1"/>
    </xf>
    <xf numFmtId="2" fontId="0" fillId="2" borderId="0" xfId="0" applyNumberFormat="1" applyFill="1" applyAlignment="1" applyProtection="1">
      <alignment horizontal="center" vertical="center"/>
      <protection hidden="1"/>
    </xf>
    <xf numFmtId="0" fontId="0" fillId="0" borderId="1" xfId="0" applyFont="1" applyBorder="1" applyAlignment="1" applyProtection="1">
      <alignment horizontal="center" vertical="center"/>
      <protection locked="0"/>
    </xf>
    <xf numFmtId="0" fontId="0" fillId="4" borderId="0" xfId="0" applyFill="1" applyAlignment="1" applyProtection="1">
      <alignment horizontal="center" vertical="center"/>
      <protection hidden="1"/>
    </xf>
    <xf numFmtId="1" fontId="0" fillId="9" borderId="1" xfId="0" applyNumberFormat="1" applyFill="1" applyBorder="1" applyAlignment="1" applyProtection="1">
      <alignment horizontal="center" vertical="center"/>
      <protection locked="0"/>
    </xf>
    <xf numFmtId="0" fontId="0" fillId="3" borderId="0" xfId="0" applyFill="1" applyAlignment="1" applyProtection="1">
      <alignment horizontal="center" vertical="center"/>
      <protection hidden="1"/>
    </xf>
    <xf numFmtId="0" fontId="0" fillId="3" borderId="0" xfId="0" applyFill="1" applyProtection="1">
      <protection hidden="1"/>
    </xf>
    <xf numFmtId="0" fontId="0" fillId="0" borderId="1" xfId="0" applyBorder="1" applyAlignment="1" applyProtection="1">
      <alignment horizontal="center" vertical="center"/>
      <protection locked="0"/>
    </xf>
    <xf numFmtId="0" fontId="0" fillId="0" borderId="13"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3" fillId="4" borderId="0" xfId="0" applyFont="1" applyFill="1" applyAlignment="1" applyProtection="1">
      <alignment wrapText="1"/>
      <protection hidden="1"/>
    </xf>
    <xf numFmtId="0" fontId="0" fillId="3" borderId="0" xfId="0" applyFill="1"/>
    <xf numFmtId="0" fontId="0" fillId="0" borderId="1" xfId="0" applyBorder="1" applyProtection="1">
      <protection hidden="1"/>
    </xf>
    <xf numFmtId="0" fontId="2" fillId="4" borderId="0" xfId="0" applyFont="1" applyFill="1" applyProtection="1">
      <protection hidden="1"/>
    </xf>
    <xf numFmtId="0" fontId="2" fillId="10" borderId="0" xfId="0" applyFont="1" applyFill="1" applyAlignment="1" applyProtection="1">
      <alignment horizontal="center" vertical="center"/>
      <protection hidden="1"/>
    </xf>
    <xf numFmtId="0" fontId="2" fillId="10" borderId="0" xfId="0" applyFont="1" applyFill="1" applyProtection="1">
      <protection hidden="1"/>
    </xf>
    <xf numFmtId="0" fontId="3" fillId="10" borderId="0" xfId="0" applyFont="1" applyFill="1" applyAlignment="1" applyProtection="1">
      <alignment wrapText="1"/>
      <protection hidden="1"/>
    </xf>
    <xf numFmtId="0" fontId="0" fillId="10" borderId="12" xfId="0" applyFill="1" applyBorder="1" applyAlignment="1" applyProtection="1">
      <alignment horizontal="center" vertical="center"/>
      <protection hidden="1"/>
    </xf>
    <xf numFmtId="0" fontId="0" fillId="10" borderId="0" xfId="0" applyFill="1" applyProtection="1">
      <protection hidden="1"/>
    </xf>
    <xf numFmtId="0" fontId="3" fillId="10" borderId="0" xfId="0" applyFont="1" applyFill="1" applyProtection="1">
      <protection hidden="1"/>
    </xf>
    <xf numFmtId="0" fontId="0" fillId="10" borderId="0" xfId="0" applyFont="1" applyFill="1" applyProtection="1">
      <protection hidden="1"/>
    </xf>
    <xf numFmtId="0" fontId="0" fillId="10" borderId="0" xfId="0" applyFill="1" applyAlignment="1" applyProtection="1">
      <alignment horizontal="center" vertical="center"/>
      <protection hidden="1"/>
    </xf>
    <xf numFmtId="165" fontId="0" fillId="10" borderId="0" xfId="0" applyNumberFormat="1" applyFill="1" applyAlignment="1" applyProtection="1">
      <alignment horizontal="center" vertical="center"/>
      <protection hidden="1"/>
    </xf>
    <xf numFmtId="1" fontId="0" fillId="10" borderId="0" xfId="0" applyNumberFormat="1" applyFill="1" applyAlignment="1" applyProtection="1">
      <alignment horizontal="center" vertical="center"/>
      <protection hidden="1"/>
    </xf>
    <xf numFmtId="14" fontId="0" fillId="10" borderId="0" xfId="0" applyNumberFormat="1" applyFill="1" applyAlignment="1" applyProtection="1">
      <alignment horizontal="center" vertical="center"/>
      <protection hidden="1"/>
    </xf>
    <xf numFmtId="2" fontId="0" fillId="10" borderId="0" xfId="0" applyNumberFormat="1" applyFill="1" applyAlignment="1" applyProtection="1">
      <alignment horizontal="center" vertical="center"/>
      <protection hidden="1"/>
    </xf>
    <xf numFmtId="0" fontId="2" fillId="10" borderId="12" xfId="0" applyFont="1" applyFill="1" applyBorder="1" applyAlignment="1" applyProtection="1">
      <alignment horizontal="center" vertical="center"/>
      <protection hidden="1"/>
    </xf>
    <xf numFmtId="0" fontId="13" fillId="10" borderId="0" xfId="0" applyFont="1" applyFill="1" applyAlignment="1" applyProtection="1">
      <alignment horizontal="center" vertical="center"/>
      <protection hidden="1"/>
    </xf>
    <xf numFmtId="1" fontId="0" fillId="9" borderId="1" xfId="0" applyNumberFormat="1" applyFont="1" applyFill="1" applyBorder="1" applyAlignment="1" applyProtection="1">
      <alignment horizontal="center" vertical="center"/>
      <protection locked="0"/>
    </xf>
    <xf numFmtId="2" fontId="30" fillId="10" borderId="0" xfId="0" applyNumberFormat="1" applyFont="1" applyFill="1" applyAlignment="1" applyProtection="1">
      <alignment horizontal="center" vertical="center"/>
      <protection hidden="1"/>
    </xf>
    <xf numFmtId="0" fontId="0" fillId="11" borderId="0" xfId="0" applyFill="1" applyProtection="1">
      <protection hidden="1"/>
    </xf>
    <xf numFmtId="0" fontId="0" fillId="11" borderId="0" xfId="0" applyFill="1" applyAlignment="1" applyProtection="1">
      <alignment horizontal="center" vertical="center"/>
      <protection hidden="1"/>
    </xf>
    <xf numFmtId="1" fontId="0" fillId="11" borderId="0" xfId="0" applyNumberFormat="1" applyFill="1" applyAlignment="1" applyProtection="1">
      <alignment horizontal="center" vertical="center"/>
      <protection hidden="1"/>
    </xf>
    <xf numFmtId="2" fontId="17" fillId="10" borderId="1" xfId="0" applyNumberFormat="1" applyFont="1" applyFill="1" applyBorder="1" applyAlignment="1" applyProtection="1">
      <alignment horizontal="center" vertical="center"/>
      <protection hidden="1"/>
    </xf>
    <xf numFmtId="2" fontId="39" fillId="10" borderId="1" xfId="0" applyNumberFormat="1" applyFont="1" applyFill="1" applyBorder="1" applyAlignment="1" applyProtection="1">
      <alignment horizontal="center" vertical="center"/>
      <protection hidden="1"/>
    </xf>
    <xf numFmtId="0" fontId="0" fillId="10" borderId="23" xfId="0" applyFill="1" applyBorder="1" applyAlignment="1" applyProtection="1">
      <alignment horizontal="center" vertical="center"/>
      <protection hidden="1"/>
    </xf>
    <xf numFmtId="14" fontId="31" fillId="0" borderId="0" xfId="0" applyNumberFormat="1" applyFont="1" applyBorder="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0" fillId="0" borderId="9" xfId="0" applyBorder="1" applyProtection="1">
      <protection hidden="1"/>
    </xf>
    <xf numFmtId="0" fontId="0" fillId="0" borderId="0" xfId="0" applyFont="1" applyProtection="1">
      <protection hidden="1"/>
    </xf>
    <xf numFmtId="14" fontId="0" fillId="9" borderId="1" xfId="0" applyNumberFormat="1" applyFill="1" applyBorder="1" applyAlignment="1" applyProtection="1">
      <alignment horizontal="center" vertical="center"/>
      <protection locked="0"/>
    </xf>
    <xf numFmtId="14" fontId="0" fillId="9" borderId="1" xfId="0" applyNumberFormat="1" applyFont="1" applyFill="1" applyBorder="1" applyAlignment="1" applyProtection="1">
      <alignment horizontal="center" vertical="center"/>
      <protection locked="0"/>
    </xf>
    <xf numFmtId="165" fontId="0" fillId="9" borderId="0" xfId="0" applyNumberFormat="1" applyFill="1" applyAlignment="1" applyProtection="1">
      <alignment horizontal="center" vertical="center"/>
      <protection hidden="1"/>
    </xf>
    <xf numFmtId="1" fontId="0" fillId="9" borderId="0" xfId="0" applyNumberFormat="1" applyFill="1" applyAlignment="1" applyProtection="1">
      <alignment horizontal="center" vertical="center"/>
      <protection hidden="1"/>
    </xf>
    <xf numFmtId="14" fontId="0" fillId="9" borderId="0" xfId="0" applyNumberFormat="1" applyFill="1" applyAlignment="1" applyProtection="1">
      <alignment horizontal="center" vertical="center"/>
      <protection hidden="1"/>
    </xf>
    <xf numFmtId="0" fontId="0" fillId="8" borderId="1" xfId="0" applyFont="1" applyFill="1" applyBorder="1" applyAlignment="1" applyProtection="1">
      <alignment horizontal="center" vertical="center"/>
      <protection locked="0"/>
    </xf>
    <xf numFmtId="1" fontId="0" fillId="10" borderId="1" xfId="0" applyNumberFormat="1" applyFont="1" applyFill="1" applyBorder="1" applyAlignment="1" applyProtection="1">
      <alignment horizontal="center" vertical="center"/>
      <protection hidden="1"/>
    </xf>
    <xf numFmtId="2" fontId="0" fillId="10" borderId="1" xfId="0" applyNumberFormat="1" applyFont="1" applyFill="1" applyBorder="1" applyAlignment="1" applyProtection="1">
      <alignment horizontal="center" vertical="center"/>
      <protection hidden="1"/>
    </xf>
    <xf numFmtId="1" fontId="32" fillId="10" borderId="1" xfId="0" applyNumberFormat="1" applyFont="1" applyFill="1" applyBorder="1" applyAlignment="1" applyProtection="1">
      <alignment horizontal="center" vertical="center"/>
      <protection hidden="1"/>
    </xf>
    <xf numFmtId="1" fontId="0" fillId="10" borderId="1" xfId="0" applyNumberFormat="1" applyFill="1" applyBorder="1" applyAlignment="1" applyProtection="1">
      <alignment horizontal="center" vertical="center"/>
      <protection hidden="1"/>
    </xf>
    <xf numFmtId="2" fontId="0" fillId="10" borderId="1" xfId="0" applyNumberFormat="1" applyFill="1" applyBorder="1" applyAlignment="1" applyProtection="1">
      <alignment horizontal="center" vertical="center"/>
      <protection hidden="1"/>
    </xf>
    <xf numFmtId="0" fontId="28" fillId="10" borderId="0" xfId="0" applyFont="1" applyFill="1" applyAlignment="1" applyProtection="1">
      <alignment horizontal="center" vertical="center"/>
      <protection hidden="1"/>
    </xf>
    <xf numFmtId="0" fontId="3" fillId="0" borderId="0" xfId="0" applyFont="1" applyProtection="1">
      <protection hidden="1"/>
    </xf>
    <xf numFmtId="0" fontId="0" fillId="5" borderId="0" xfId="0" applyFill="1" applyAlignment="1" applyProtection="1">
      <alignment horizontal="center" vertical="center"/>
      <protection hidden="1"/>
    </xf>
    <xf numFmtId="2" fontId="0" fillId="0" borderId="0" xfId="0" applyNumberFormat="1" applyAlignment="1" applyProtection="1">
      <alignment horizontal="center" vertical="center"/>
      <protection hidden="1"/>
    </xf>
    <xf numFmtId="2" fontId="16" fillId="0" borderId="0" xfId="0" applyNumberFormat="1" applyFont="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0" fillId="9" borderId="0" xfId="0" applyFill="1" applyAlignment="1" applyProtection="1">
      <alignment horizontal="center" vertical="center"/>
      <protection hidden="1"/>
    </xf>
    <xf numFmtId="0" fontId="0" fillId="12" borderId="0" xfId="0" applyFill="1" applyProtection="1">
      <protection hidden="1"/>
    </xf>
    <xf numFmtId="0" fontId="0" fillId="12" borderId="0" xfId="0" applyFill="1"/>
    <xf numFmtId="0" fontId="21"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166" fontId="23" fillId="0" borderId="1" xfId="0" applyNumberFormat="1" applyFont="1" applyBorder="1" applyAlignment="1" applyProtection="1">
      <alignment horizontal="center" vertical="center"/>
      <protection hidden="1"/>
    </xf>
    <xf numFmtId="0" fontId="11" fillId="0" borderId="14" xfId="0" applyFont="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22" fillId="0" borderId="10" xfId="0" applyFont="1" applyBorder="1" applyAlignment="1" applyProtection="1">
      <alignment horizontal="center" vertical="center"/>
      <protection hidden="1"/>
    </xf>
    <xf numFmtId="14" fontId="22" fillId="0" borderId="27" xfId="0" applyNumberFormat="1" applyFont="1" applyBorder="1" applyAlignment="1" applyProtection="1">
      <alignment horizontal="center" vertical="center"/>
      <protection hidden="1"/>
    </xf>
    <xf numFmtId="0" fontId="21" fillId="0" borderId="1" xfId="0" applyFont="1" applyBorder="1" applyAlignment="1" applyProtection="1">
      <alignment horizontal="center" vertical="center" wrapText="1"/>
      <protection hidden="1"/>
    </xf>
    <xf numFmtId="167" fontId="21" fillId="0" borderId="1" xfId="0" applyNumberFormat="1" applyFont="1" applyBorder="1" applyAlignment="1" applyProtection="1">
      <alignment horizontal="center" vertical="center"/>
      <protection hidden="1"/>
    </xf>
    <xf numFmtId="0" fontId="21" fillId="0" borderId="14" xfId="0" applyFont="1" applyBorder="1" applyAlignment="1" applyProtection="1">
      <alignment horizontal="center" vertical="center" wrapText="1"/>
      <protection hidden="1"/>
    </xf>
    <xf numFmtId="0" fontId="21" fillId="0" borderId="10" xfId="0" applyFont="1" applyBorder="1" applyAlignment="1" applyProtection="1">
      <alignment horizontal="center" vertical="center" wrapText="1"/>
      <protection hidden="1"/>
    </xf>
    <xf numFmtId="0" fontId="48" fillId="11" borderId="0" xfId="0" applyFont="1" applyFill="1" applyAlignment="1" applyProtection="1">
      <alignment horizontal="center" vertical="center"/>
      <protection hidden="1"/>
    </xf>
    <xf numFmtId="0" fontId="86" fillId="11" borderId="0" xfId="0" applyFont="1" applyFill="1" applyAlignment="1" applyProtection="1">
      <alignment horizontal="left" vertical="center"/>
      <protection hidden="1"/>
    </xf>
    <xf numFmtId="0" fontId="86" fillId="11" borderId="0" xfId="0" applyFont="1" applyFill="1" applyBorder="1" applyAlignment="1" applyProtection="1">
      <alignment horizontal="left" vertical="center"/>
      <protection hidden="1"/>
    </xf>
    <xf numFmtId="0" fontId="86" fillId="11" borderId="0" xfId="0" applyFont="1" applyFill="1" applyBorder="1" applyAlignment="1" applyProtection="1">
      <alignment horizontal="center" vertical="center"/>
      <protection hidden="1"/>
    </xf>
    <xf numFmtId="0" fontId="0" fillId="10" borderId="13" xfId="0" applyFill="1" applyBorder="1" applyAlignment="1" applyProtection="1">
      <alignment horizontal="center" vertical="center"/>
      <protection hidden="1"/>
    </xf>
    <xf numFmtId="0" fontId="20" fillId="0" borderId="1" xfId="0" applyFont="1" applyBorder="1" applyAlignment="1" applyProtection="1">
      <alignment horizontal="center" vertical="center" wrapText="1"/>
      <protection hidden="1"/>
    </xf>
    <xf numFmtId="0" fontId="0" fillId="11" borderId="0" xfId="0" applyFill="1" applyBorder="1" applyProtection="1">
      <protection hidden="1"/>
    </xf>
    <xf numFmtId="0" fontId="19" fillId="11" borderId="0" xfId="0" applyFont="1" applyFill="1" applyBorder="1" applyAlignment="1" applyProtection="1">
      <alignment horizontal="center" vertical="center"/>
      <protection hidden="1"/>
    </xf>
    <xf numFmtId="0" fontId="0" fillId="11" borderId="0" xfId="0" applyFill="1" applyBorder="1" applyAlignment="1" applyProtection="1">
      <alignment horizontal="center" vertical="center"/>
      <protection hidden="1"/>
    </xf>
    <xf numFmtId="0" fontId="8" fillId="0" borderId="0" xfId="0" applyFont="1" applyBorder="1" applyAlignment="1" applyProtection="1">
      <alignment horizontal="center" vertical="center" wrapText="1"/>
      <protection hidden="1"/>
    </xf>
    <xf numFmtId="0" fontId="3" fillId="16" borderId="0" xfId="0" applyFont="1" applyFill="1" applyAlignment="1" applyProtection="1">
      <alignment horizontal="center" vertical="center" wrapText="1"/>
      <protection hidden="1"/>
    </xf>
    <xf numFmtId="0" fontId="3" fillId="16" borderId="2" xfId="0" applyFont="1" applyFill="1" applyBorder="1" applyAlignment="1" applyProtection="1">
      <alignment horizontal="center" vertical="center" wrapText="1"/>
      <protection hidden="1"/>
    </xf>
    <xf numFmtId="0" fontId="3" fillId="16" borderId="17" xfId="0" applyFont="1" applyFill="1" applyBorder="1" applyAlignment="1" applyProtection="1">
      <alignment horizontal="center" vertical="center" wrapText="1"/>
      <protection hidden="1"/>
    </xf>
    <xf numFmtId="0" fontId="41" fillId="16" borderId="1" xfId="0" applyFont="1" applyFill="1" applyBorder="1" applyProtection="1">
      <protection hidden="1"/>
    </xf>
    <xf numFmtId="0" fontId="3" fillId="17" borderId="2" xfId="0" applyFont="1" applyFill="1" applyBorder="1" applyAlignment="1" applyProtection="1">
      <alignment horizontal="center" vertical="center" wrapText="1"/>
      <protection hidden="1"/>
    </xf>
    <xf numFmtId="0" fontId="3" fillId="17" borderId="17" xfId="0" applyFont="1" applyFill="1" applyBorder="1" applyAlignment="1" applyProtection="1">
      <alignment horizontal="center" vertical="center" wrapText="1"/>
      <protection hidden="1"/>
    </xf>
    <xf numFmtId="0" fontId="41" fillId="17" borderId="1" xfId="0" applyFont="1" applyFill="1" applyBorder="1" applyProtection="1">
      <protection hidden="1"/>
    </xf>
    <xf numFmtId="0" fontId="6" fillId="0" borderId="0" xfId="0" applyNumberFormat="1" applyFont="1" applyBorder="1" applyAlignment="1" applyProtection="1">
      <alignment horizontal="center" vertical="center" wrapText="1"/>
      <protection hidden="1"/>
    </xf>
    <xf numFmtId="1" fontId="0" fillId="10" borderId="1" xfId="0" applyNumberFormat="1" applyFont="1" applyFill="1" applyBorder="1" applyAlignment="1" applyProtection="1">
      <alignment horizontal="center" vertical="center"/>
      <protection locked="0"/>
    </xf>
    <xf numFmtId="1" fontId="96" fillId="2" borderId="1" xfId="0" applyNumberFormat="1" applyFont="1" applyFill="1" applyBorder="1" applyAlignment="1" applyProtection="1">
      <alignment horizontal="center" vertical="center"/>
      <protection locked="0"/>
    </xf>
    <xf numFmtId="0" fontId="0" fillId="0" borderId="17" xfId="0" applyBorder="1" applyProtection="1">
      <protection hidden="1"/>
    </xf>
    <xf numFmtId="0" fontId="0" fillId="0" borderId="18" xfId="0" applyBorder="1" applyProtection="1">
      <protection hidden="1"/>
    </xf>
    <xf numFmtId="0" fontId="97" fillId="0" borderId="47" xfId="0" applyFont="1" applyFill="1" applyBorder="1" applyAlignment="1" applyProtection="1">
      <alignment horizontal="center" vertical="center"/>
      <protection hidden="1"/>
    </xf>
    <xf numFmtId="169" fontId="98" fillId="0" borderId="47" xfId="0" applyNumberFormat="1" applyFont="1" applyFill="1" applyBorder="1" applyAlignment="1" applyProtection="1">
      <alignment horizontal="center" vertical="center" wrapText="1"/>
      <protection hidden="1"/>
    </xf>
    <xf numFmtId="169" fontId="99" fillId="0" borderId="47" xfId="0" applyNumberFormat="1" applyFont="1" applyFill="1" applyBorder="1" applyAlignment="1" applyProtection="1">
      <alignment horizontal="center" vertical="center" wrapText="1"/>
      <protection hidden="1"/>
    </xf>
    <xf numFmtId="169" fontId="100" fillId="0" borderId="47" xfId="0" applyNumberFormat="1" applyFont="1" applyFill="1" applyBorder="1" applyAlignment="1" applyProtection="1">
      <alignment horizontal="center" vertical="center" wrapText="1"/>
      <protection hidden="1"/>
    </xf>
    <xf numFmtId="169" fontId="101" fillId="0" borderId="47" xfId="0" applyNumberFormat="1" applyFont="1" applyFill="1" applyBorder="1" applyAlignment="1" applyProtection="1">
      <alignment horizontal="center" vertical="center" wrapText="1"/>
      <protection hidden="1"/>
    </xf>
    <xf numFmtId="0" fontId="0" fillId="0" borderId="22" xfId="0" applyBorder="1" applyProtection="1">
      <protection hidden="1"/>
    </xf>
    <xf numFmtId="0" fontId="0" fillId="0" borderId="21" xfId="0" applyBorder="1" applyProtection="1">
      <protection hidden="1"/>
    </xf>
    <xf numFmtId="0" fontId="0" fillId="0" borderId="25" xfId="0" applyBorder="1" applyProtection="1">
      <protection hidden="1"/>
    </xf>
    <xf numFmtId="0" fontId="97" fillId="0" borderId="47" xfId="0" applyFont="1" applyFill="1" applyBorder="1" applyAlignment="1" applyProtection="1">
      <alignment horizontal="center" vertical="center" wrapText="1"/>
      <protection hidden="1"/>
    </xf>
    <xf numFmtId="1" fontId="97" fillId="0" borderId="47" xfId="0" applyNumberFormat="1" applyFont="1" applyFill="1" applyBorder="1" applyAlignment="1" applyProtection="1">
      <alignment horizontal="center" vertical="center" wrapText="1"/>
      <protection hidden="1"/>
    </xf>
    <xf numFmtId="1" fontId="102" fillId="0" borderId="47" xfId="0" applyNumberFormat="1" applyFont="1" applyFill="1" applyBorder="1" applyAlignment="1" applyProtection="1">
      <alignment horizontal="center" vertical="center" wrapText="1"/>
      <protection hidden="1"/>
    </xf>
    <xf numFmtId="1" fontId="102" fillId="0" borderId="48" xfId="0" applyNumberFormat="1" applyFont="1" applyFill="1" applyBorder="1" applyAlignment="1" applyProtection="1">
      <alignment horizontal="center" vertical="center" wrapText="1"/>
      <protection hidden="1"/>
    </xf>
    <xf numFmtId="0" fontId="103" fillId="0" borderId="1" xfId="0" applyFont="1" applyFill="1" applyBorder="1" applyAlignment="1" applyProtection="1">
      <alignment horizontal="center" vertical="center"/>
      <protection hidden="1"/>
    </xf>
    <xf numFmtId="1" fontId="102" fillId="0" borderId="49" xfId="0" applyNumberFormat="1" applyFont="1" applyFill="1" applyBorder="1" applyAlignment="1" applyProtection="1">
      <alignment horizontal="center" vertical="center" wrapText="1"/>
      <protection hidden="1"/>
    </xf>
    <xf numFmtId="1" fontId="101" fillId="0" borderId="47" xfId="0" applyNumberFormat="1" applyFont="1" applyFill="1" applyBorder="1" applyAlignment="1" applyProtection="1">
      <alignment horizontal="center" vertical="center" wrapText="1"/>
      <protection hidden="1"/>
    </xf>
    <xf numFmtId="1" fontId="100" fillId="0" borderId="47" xfId="0" applyNumberFormat="1" applyFont="1" applyFill="1" applyBorder="1" applyAlignment="1" applyProtection="1">
      <alignment horizontal="center" vertical="center" wrapText="1"/>
      <protection hidden="1"/>
    </xf>
    <xf numFmtId="1" fontId="97" fillId="0" borderId="48" xfId="0" applyNumberFormat="1" applyFont="1" applyFill="1" applyBorder="1" applyAlignment="1" applyProtection="1">
      <alignment horizontal="center" vertical="center" wrapText="1"/>
      <protection hidden="1"/>
    </xf>
    <xf numFmtId="1" fontId="97" fillId="0" borderId="49" xfId="0" applyNumberFormat="1" applyFont="1" applyFill="1" applyBorder="1" applyAlignment="1" applyProtection="1">
      <alignment horizontal="center" vertical="center" wrapText="1"/>
      <protection hidden="1"/>
    </xf>
    <xf numFmtId="1" fontId="104" fillId="0" borderId="47" xfId="0" applyNumberFormat="1" applyFont="1" applyFill="1" applyBorder="1" applyAlignment="1" applyProtection="1">
      <alignment horizontal="center" vertical="center" wrapText="1"/>
      <protection hidden="1"/>
    </xf>
    <xf numFmtId="1" fontId="105" fillId="0" borderId="47" xfId="0" applyNumberFormat="1" applyFont="1" applyFill="1" applyBorder="1" applyAlignment="1" applyProtection="1">
      <alignment horizontal="center" vertical="center" wrapText="1"/>
      <protection hidden="1"/>
    </xf>
    <xf numFmtId="1" fontId="101" fillId="0" borderId="48" xfId="0" applyNumberFormat="1" applyFont="1" applyFill="1" applyBorder="1" applyAlignment="1" applyProtection="1">
      <alignment horizontal="center" vertical="center" wrapText="1"/>
      <protection hidden="1"/>
    </xf>
    <xf numFmtId="1" fontId="101" fillId="0" borderId="49" xfId="0" applyNumberFormat="1" applyFont="1" applyFill="1" applyBorder="1" applyAlignment="1" applyProtection="1">
      <alignment horizontal="center" vertical="center" wrapText="1"/>
      <protection hidden="1"/>
    </xf>
    <xf numFmtId="0" fontId="103" fillId="0" borderId="0" xfId="0" applyFont="1" applyFill="1" applyBorder="1" applyAlignment="1" applyProtection="1">
      <alignment horizontal="center" vertical="center"/>
      <protection hidden="1"/>
    </xf>
    <xf numFmtId="1" fontId="98" fillId="0" borderId="47" xfId="0" applyNumberFormat="1" applyFont="1" applyFill="1" applyBorder="1" applyAlignment="1" applyProtection="1">
      <alignment horizontal="center" vertical="center" wrapText="1"/>
      <protection hidden="1"/>
    </xf>
    <xf numFmtId="0" fontId="0" fillId="10" borderId="0" xfId="0" applyFill="1" applyBorder="1" applyProtection="1">
      <protection hidden="1"/>
    </xf>
    <xf numFmtId="1" fontId="31" fillId="9" borderId="1" xfId="0" applyNumberFormat="1" applyFont="1" applyFill="1" applyBorder="1" applyAlignment="1" applyProtection="1">
      <alignment horizontal="center" vertical="center"/>
      <protection locked="0" hidden="1"/>
    </xf>
    <xf numFmtId="168" fontId="106" fillId="0" borderId="1" xfId="7" applyNumberFormat="1" applyFont="1" applyFill="1" applyBorder="1" applyAlignment="1">
      <alignment horizontal="left" vertical="center"/>
    </xf>
    <xf numFmtId="14" fontId="3" fillId="9" borderId="1" xfId="0" applyNumberFormat="1" applyFont="1" applyFill="1" applyBorder="1" applyAlignment="1" applyProtection="1">
      <alignment horizontal="left" vertical="center"/>
      <protection locked="0"/>
    </xf>
    <xf numFmtId="165" fontId="3" fillId="9" borderId="1" xfId="0" applyNumberFormat="1" applyFont="1" applyFill="1" applyBorder="1" applyAlignment="1" applyProtection="1">
      <alignment horizontal="left" vertical="center"/>
      <protection locked="0"/>
    </xf>
    <xf numFmtId="1" fontId="17" fillId="10" borderId="1" xfId="0" applyNumberFormat="1" applyFont="1" applyFill="1" applyBorder="1" applyAlignment="1" applyProtection="1">
      <alignment horizontal="center" vertical="center"/>
      <protection hidden="1"/>
    </xf>
    <xf numFmtId="1" fontId="20" fillId="0" borderId="1" xfId="0" applyNumberFormat="1" applyFont="1" applyBorder="1" applyAlignment="1" applyProtection="1">
      <alignment horizontal="center" vertical="center" wrapText="1"/>
      <protection hidden="1"/>
    </xf>
    <xf numFmtId="1" fontId="11" fillId="0" borderId="1" xfId="0" applyNumberFormat="1" applyFont="1" applyBorder="1" applyAlignment="1" applyProtection="1">
      <alignment horizontal="center" vertical="center"/>
      <protection hidden="1"/>
    </xf>
    <xf numFmtId="1" fontId="31" fillId="9" borderId="1" xfId="0" applyNumberFormat="1" applyFont="1" applyFill="1" applyBorder="1" applyAlignment="1" applyProtection="1">
      <alignment horizontal="center" vertical="center"/>
      <protection locked="0"/>
    </xf>
    <xf numFmtId="1" fontId="3" fillId="9" borderId="1" xfId="0" applyNumberFormat="1" applyFont="1" applyFill="1" applyBorder="1" applyAlignment="1" applyProtection="1">
      <alignment horizontal="center" vertical="center"/>
      <protection locked="0" hidden="1"/>
    </xf>
    <xf numFmtId="1" fontId="3" fillId="9" borderId="1" xfId="0" applyNumberFormat="1" applyFont="1" applyFill="1" applyBorder="1" applyAlignment="1" applyProtection="1">
      <alignment horizontal="center" vertical="center"/>
      <protection locked="0"/>
    </xf>
    <xf numFmtId="1" fontId="31" fillId="9" borderId="1" xfId="0" applyNumberFormat="1" applyFont="1" applyFill="1" applyBorder="1" applyAlignment="1" applyProtection="1">
      <alignment horizontal="center" vertical="center"/>
      <protection hidden="1"/>
    </xf>
    <xf numFmtId="1" fontId="3" fillId="10" borderId="1" xfId="0" applyNumberFormat="1" applyFont="1" applyFill="1" applyBorder="1" applyAlignment="1" applyProtection="1">
      <alignment horizontal="center" vertical="center"/>
      <protection hidden="1"/>
    </xf>
    <xf numFmtId="1" fontId="17" fillId="2" borderId="1" xfId="0" applyNumberFormat="1" applyFont="1" applyFill="1" applyBorder="1" applyAlignment="1" applyProtection="1">
      <alignment horizontal="center" vertical="center"/>
      <protection locked="0" hidden="1"/>
    </xf>
    <xf numFmtId="1" fontId="17" fillId="9" borderId="1" xfId="0" applyNumberFormat="1" applyFont="1" applyFill="1" applyBorder="1" applyAlignment="1" applyProtection="1">
      <alignment horizontal="center" vertical="center"/>
      <protection locked="0" hidden="1"/>
    </xf>
    <xf numFmtId="1" fontId="17" fillId="2" borderId="1" xfId="0" applyNumberFormat="1" applyFont="1" applyFill="1" applyBorder="1" applyAlignment="1" applyProtection="1">
      <alignment horizontal="center" vertical="center"/>
      <protection locked="0"/>
    </xf>
    <xf numFmtId="1" fontId="24" fillId="10" borderId="1" xfId="0" applyNumberFormat="1" applyFont="1" applyFill="1" applyBorder="1" applyAlignment="1" applyProtection="1">
      <alignment horizontal="center" vertical="center"/>
      <protection hidden="1"/>
    </xf>
    <xf numFmtId="165" fontId="21" fillId="9" borderId="1" xfId="0" applyNumberFormat="1" applyFont="1" applyFill="1" applyBorder="1" applyAlignment="1" applyProtection="1">
      <alignment horizontal="left" vertical="center"/>
      <protection locked="0"/>
    </xf>
    <xf numFmtId="2" fontId="31" fillId="9" borderId="1" xfId="0" applyNumberFormat="1" applyFont="1" applyFill="1" applyBorder="1" applyAlignment="1" applyProtection="1">
      <alignment horizontal="center" vertical="center"/>
      <protection locked="0" hidden="1"/>
    </xf>
    <xf numFmtId="0" fontId="0" fillId="0" borderId="0" xfId="0" applyAlignment="1" applyProtection="1">
      <alignment wrapText="1"/>
      <protection hidden="1"/>
    </xf>
    <xf numFmtId="0" fontId="0" fillId="0" borderId="0" xfId="0" applyAlignment="1" applyProtection="1">
      <alignment horizontal="center" vertical="center" wrapText="1"/>
      <protection hidden="1"/>
    </xf>
    <xf numFmtId="0" fontId="6" fillId="0" borderId="0" xfId="0" applyFont="1" applyProtection="1">
      <protection hidden="1"/>
    </xf>
    <xf numFmtId="0" fontId="6" fillId="0" borderId="0" xfId="0" applyFont="1" applyAlignment="1" applyProtection="1">
      <alignment horizontal="center" vertical="center"/>
      <protection hidden="1"/>
    </xf>
    <xf numFmtId="0" fontId="20" fillId="0" borderId="0" xfId="0" applyFont="1" applyAlignment="1" applyProtection="1">
      <alignment wrapText="1"/>
      <protection hidden="1"/>
    </xf>
    <xf numFmtId="0" fontId="20" fillId="0" borderId="0" xfId="0" applyFont="1" applyAlignment="1" applyProtection="1">
      <alignment horizontal="center" vertical="center" wrapText="1"/>
      <protection hidden="1"/>
    </xf>
    <xf numFmtId="0" fontId="16" fillId="0" borderId="0" xfId="0" applyFont="1" applyProtection="1">
      <protection hidden="1"/>
    </xf>
    <xf numFmtId="0" fontId="0" fillId="0" borderId="6"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12" fillId="0" borderId="0" xfId="0" applyFont="1" applyBorder="1" applyAlignment="1" applyProtection="1">
      <alignment vertical="center" wrapText="1"/>
      <protection hidden="1"/>
    </xf>
    <xf numFmtId="0" fontId="10" fillId="0" borderId="0" xfId="0" applyFont="1" applyBorder="1" applyAlignment="1" applyProtection="1">
      <alignment horizontal="center" vertical="center" wrapText="1"/>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2" fillId="0" borderId="8" xfId="0" applyFont="1" applyBorder="1" applyAlignment="1" applyProtection="1">
      <alignment vertical="center"/>
      <protection hidden="1"/>
    </xf>
    <xf numFmtId="0" fontId="12" fillId="0" borderId="8" xfId="0" applyFont="1" applyBorder="1" applyAlignment="1" applyProtection="1">
      <alignment vertical="center" wrapText="1"/>
      <protection hidden="1"/>
    </xf>
    <xf numFmtId="0" fontId="12" fillId="0" borderId="8" xfId="0"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2" fontId="52" fillId="0" borderId="34" xfId="6" applyNumberFormat="1" applyFont="1" applyBorder="1" applyAlignment="1" applyProtection="1">
      <alignment horizontal="right" vertical="center"/>
      <protection hidden="1"/>
    </xf>
    <xf numFmtId="0" fontId="34" fillId="0" borderId="28" xfId="6" applyFont="1" applyBorder="1" applyAlignment="1" applyProtection="1">
      <alignment horizontal="center" vertical="center"/>
      <protection hidden="1"/>
    </xf>
    <xf numFmtId="0" fontId="74" fillId="0" borderId="30" xfId="6" applyFont="1" applyBorder="1" applyAlignment="1" applyProtection="1">
      <alignment horizontal="center" vertical="center"/>
      <protection hidden="1"/>
    </xf>
    <xf numFmtId="0" fontId="54" fillId="0" borderId="30" xfId="6" applyFont="1" applyBorder="1" applyAlignment="1" applyProtection="1">
      <alignment horizontal="right" vertical="center"/>
      <protection hidden="1"/>
    </xf>
    <xf numFmtId="0" fontId="34" fillId="0" borderId="33" xfId="6" applyFont="1" applyBorder="1" applyAlignment="1" applyProtection="1">
      <alignment horizontal="center" vertical="center"/>
      <protection hidden="1"/>
    </xf>
    <xf numFmtId="2" fontId="80" fillId="0" borderId="34" xfId="6" applyNumberFormat="1" applyFont="1" applyBorder="1" applyAlignment="1" applyProtection="1">
      <alignment horizontal="right" vertical="center"/>
      <protection hidden="1"/>
    </xf>
    <xf numFmtId="0" fontId="74" fillId="0" borderId="11" xfId="6" applyFont="1" applyBorder="1" applyAlignment="1" applyProtection="1">
      <alignment vertical="center"/>
      <protection hidden="1"/>
    </xf>
    <xf numFmtId="2" fontId="56" fillId="0" borderId="34" xfId="6" applyNumberFormat="1" applyFont="1" applyBorder="1" applyAlignment="1" applyProtection="1">
      <alignment horizontal="right" vertical="center"/>
      <protection hidden="1"/>
    </xf>
    <xf numFmtId="0" fontId="40" fillId="0" borderId="1" xfId="6" applyFont="1" applyBorder="1" applyAlignment="1" applyProtection="1">
      <alignment horizontal="center" vertical="center"/>
      <protection hidden="1"/>
    </xf>
    <xf numFmtId="1" fontId="59" fillId="0" borderId="1" xfId="6" applyNumberFormat="1" applyFont="1" applyBorder="1" applyAlignment="1" applyProtection="1">
      <alignment horizontal="center" vertical="center"/>
      <protection hidden="1"/>
    </xf>
    <xf numFmtId="1" fontId="59" fillId="13" borderId="1" xfId="6" applyNumberFormat="1" applyFont="1" applyFill="1" applyBorder="1" applyAlignment="1" applyProtection="1">
      <alignment horizontal="center" vertical="center"/>
      <protection hidden="1"/>
    </xf>
    <xf numFmtId="1" fontId="60" fillId="0" borderId="1" xfId="6" applyNumberFormat="1" applyFont="1" applyBorder="1" applyAlignment="1" applyProtection="1">
      <alignment horizontal="center" vertical="center"/>
      <protection hidden="1"/>
    </xf>
    <xf numFmtId="0" fontId="74" fillId="0" borderId="1" xfId="6" applyFont="1" applyBorder="1" applyAlignment="1" applyProtection="1">
      <alignment horizontal="right"/>
      <protection hidden="1"/>
    </xf>
    <xf numFmtId="0" fontId="0" fillId="0" borderId="0" xfId="0" applyAlignment="1" applyProtection="1">
      <protection hidden="1"/>
    </xf>
    <xf numFmtId="2" fontId="113" fillId="0" borderId="34" xfId="6" applyNumberFormat="1" applyFont="1" applyBorder="1" applyAlignment="1" applyProtection="1">
      <alignment horizontal="right" vertical="center"/>
      <protection hidden="1"/>
    </xf>
    <xf numFmtId="0" fontId="44" fillId="0" borderId="1" xfId="6" applyFont="1" applyBorder="1" applyAlignment="1" applyProtection="1">
      <alignment horizontal="right"/>
      <protection hidden="1"/>
    </xf>
    <xf numFmtId="0" fontId="77" fillId="0" borderId="34" xfId="6" applyFont="1" applyBorder="1" applyAlignment="1" applyProtection="1">
      <protection hidden="1"/>
    </xf>
    <xf numFmtId="2" fontId="56" fillId="0" borderId="34" xfId="6" applyNumberFormat="1" applyFont="1" applyBorder="1" applyAlignment="1" applyProtection="1">
      <protection hidden="1"/>
    </xf>
    <xf numFmtId="9" fontId="54" fillId="0" borderId="1" xfId="6" applyNumberFormat="1" applyFont="1" applyBorder="1" applyAlignment="1" applyProtection="1">
      <alignment horizontal="center"/>
      <protection hidden="1"/>
    </xf>
    <xf numFmtId="0" fontId="51" fillId="0" borderId="0" xfId="5" applyFont="1" applyAlignment="1" applyProtection="1">
      <protection hidden="1"/>
    </xf>
    <xf numFmtId="2" fontId="115" fillId="0" borderId="34" xfId="6" applyNumberFormat="1" applyFont="1" applyBorder="1" applyAlignment="1" applyProtection="1">
      <alignment horizontal="right" vertical="center"/>
      <protection hidden="1"/>
    </xf>
    <xf numFmtId="2" fontId="77" fillId="0" borderId="10" xfId="5" applyNumberFormat="1" applyFont="1" applyBorder="1" applyAlignment="1" applyProtection="1">
      <protection hidden="1"/>
    </xf>
    <xf numFmtId="2" fontId="31" fillId="0" borderId="9" xfId="0" applyNumberFormat="1" applyFont="1" applyBorder="1" applyAlignment="1" applyProtection="1">
      <alignment vertical="center"/>
      <protection hidden="1"/>
    </xf>
    <xf numFmtId="0" fontId="51" fillId="0" borderId="0" xfId="5" applyFont="1" applyProtection="1">
      <alignment vertical="center"/>
      <protection hidden="1"/>
    </xf>
    <xf numFmtId="0" fontId="76" fillId="0" borderId="1" xfId="6" applyFont="1" applyBorder="1" applyAlignment="1" applyProtection="1">
      <alignment horizontal="center" vertical="center" wrapText="1"/>
      <protection hidden="1"/>
    </xf>
    <xf numFmtId="0" fontId="51" fillId="0" borderId="0" xfId="5" applyProtection="1">
      <alignment vertical="center"/>
      <protection hidden="1"/>
    </xf>
    <xf numFmtId="0" fontId="34" fillId="0" borderId="1" xfId="6" applyFont="1" applyBorder="1" applyAlignment="1" applyProtection="1">
      <alignment horizontal="center" vertical="center"/>
      <protection hidden="1"/>
    </xf>
    <xf numFmtId="2" fontId="56" fillId="0" borderId="36" xfId="6" applyNumberFormat="1" applyFont="1" applyBorder="1" applyAlignment="1" applyProtection="1">
      <alignment vertical="center" wrapText="1"/>
      <protection hidden="1"/>
    </xf>
    <xf numFmtId="0" fontId="74" fillId="0" borderId="43" xfId="6" applyFont="1" applyBorder="1" applyAlignment="1" applyProtection="1">
      <alignment horizontal="right" vertical="center"/>
      <protection hidden="1"/>
    </xf>
    <xf numFmtId="2" fontId="115" fillId="0" borderId="44" xfId="6" applyNumberFormat="1" applyFont="1" applyBorder="1" applyAlignment="1" applyProtection="1">
      <alignment horizontal="right" vertical="center"/>
      <protection hidden="1"/>
    </xf>
    <xf numFmtId="0" fontId="63" fillId="0" borderId="0" xfId="6" applyFont="1" applyBorder="1" applyAlignment="1" applyProtection="1">
      <alignment horizontal="right" vertical="center"/>
      <protection hidden="1"/>
    </xf>
    <xf numFmtId="0" fontId="64" fillId="0" borderId="0" xfId="6" applyFont="1" applyBorder="1" applyAlignment="1" applyProtection="1">
      <alignment horizontal="right" vertical="center"/>
      <protection hidden="1"/>
    </xf>
    <xf numFmtId="2" fontId="65" fillId="0" borderId="0" xfId="6" applyNumberFormat="1" applyFont="1" applyBorder="1" applyAlignment="1" applyProtection="1">
      <alignment horizontal="right" vertical="center"/>
      <protection hidden="1"/>
    </xf>
    <xf numFmtId="0" fontId="62" fillId="0" borderId="0" xfId="5" applyFont="1" applyAlignment="1" applyProtection="1">
      <protection hidden="1"/>
    </xf>
    <xf numFmtId="0" fontId="64" fillId="0" borderId="0" xfId="6" applyFont="1" applyBorder="1" applyAlignment="1" applyProtection="1">
      <protection hidden="1"/>
    </xf>
    <xf numFmtId="0" fontId="66" fillId="0" borderId="0" xfId="6" applyFont="1" applyBorder="1" applyAlignment="1" applyProtection="1">
      <protection hidden="1"/>
    </xf>
    <xf numFmtId="0" fontId="67" fillId="0" borderId="0" xfId="6" applyFont="1" applyBorder="1" applyAlignment="1" applyProtection="1">
      <alignment horizontal="center" vertical="center"/>
      <protection hidden="1"/>
    </xf>
    <xf numFmtId="0" fontId="69" fillId="0" borderId="0" xfId="6" applyFont="1" applyBorder="1" applyAlignment="1" applyProtection="1">
      <alignment horizontal="right"/>
      <protection hidden="1"/>
    </xf>
    <xf numFmtId="0" fontId="66" fillId="0" borderId="0" xfId="6" applyFont="1" applyBorder="1" applyAlignment="1" applyProtection="1">
      <alignment horizontal="right"/>
      <protection hidden="1"/>
    </xf>
    <xf numFmtId="0" fontId="64" fillId="0" borderId="0" xfId="6" applyFont="1" applyFill="1" applyBorder="1" applyAlignment="1" applyProtection="1">
      <protection hidden="1"/>
    </xf>
    <xf numFmtId="0" fontId="68" fillId="0" borderId="0" xfId="6" applyFont="1" applyFill="1" applyAlignment="1" applyProtection="1">
      <alignment vertical="top"/>
      <protection hidden="1"/>
    </xf>
    <xf numFmtId="0" fontId="62" fillId="0" borderId="0" xfId="5" applyFont="1" applyFill="1" applyAlignment="1" applyProtection="1">
      <protection hidden="1"/>
    </xf>
    <xf numFmtId="0" fontId="64" fillId="0" borderId="0" xfId="6" applyFont="1" applyFill="1" applyAlignment="1" applyProtection="1">
      <protection hidden="1"/>
    </xf>
    <xf numFmtId="0" fontId="66" fillId="0" borderId="0" xfId="6" applyFont="1" applyFill="1" applyBorder="1" applyAlignment="1" applyProtection="1">
      <protection hidden="1"/>
    </xf>
    <xf numFmtId="0" fontId="70" fillId="0" borderId="0" xfId="6" applyFont="1" applyFill="1" applyBorder="1" applyAlignment="1" applyProtection="1">
      <alignment vertical="center"/>
      <protection hidden="1"/>
    </xf>
    <xf numFmtId="0" fontId="66" fillId="0" borderId="0" xfId="6" applyFont="1" applyFill="1" applyAlignment="1" applyProtection="1">
      <protection hidden="1"/>
    </xf>
    <xf numFmtId="0" fontId="71" fillId="0" borderId="0" xfId="6" applyFont="1" applyFill="1" applyAlignment="1" applyProtection="1">
      <protection hidden="1"/>
    </xf>
    <xf numFmtId="0" fontId="64" fillId="9" borderId="0" xfId="6" applyFont="1" applyFill="1" applyAlignment="1" applyProtection="1">
      <protection hidden="1"/>
    </xf>
    <xf numFmtId="0" fontId="66" fillId="9" borderId="0" xfId="6" applyFont="1" applyFill="1" applyAlignment="1" applyProtection="1">
      <protection hidden="1"/>
    </xf>
    <xf numFmtId="0" fontId="62" fillId="9" borderId="0" xfId="5" applyFont="1" applyFill="1" applyAlignment="1" applyProtection="1">
      <protection hidden="1"/>
    </xf>
    <xf numFmtId="0" fontId="0" fillId="9" borderId="0" xfId="0" applyFill="1" applyAlignment="1" applyProtection="1">
      <protection hidden="1"/>
    </xf>
    <xf numFmtId="0" fontId="0" fillId="9" borderId="0" xfId="0" applyFill="1" applyProtection="1">
      <protection hidden="1"/>
    </xf>
    <xf numFmtId="0" fontId="69" fillId="9" borderId="0" xfId="6" applyFont="1" applyFill="1" applyAlignment="1" applyProtection="1">
      <alignment horizontal="right"/>
      <protection hidden="1"/>
    </xf>
    <xf numFmtId="0" fontId="66" fillId="9" borderId="0" xfId="6" applyFont="1" applyFill="1" applyAlignment="1" applyProtection="1">
      <alignment horizontal="right"/>
      <protection hidden="1"/>
    </xf>
    <xf numFmtId="0" fontId="69" fillId="9" borderId="0" xfId="6" applyFont="1" applyFill="1" applyAlignment="1" applyProtection="1">
      <protection hidden="1"/>
    </xf>
    <xf numFmtId="2" fontId="72" fillId="9" borderId="0" xfId="6" applyNumberFormat="1" applyFont="1" applyFill="1" applyAlignment="1" applyProtection="1">
      <alignment horizontal="right"/>
      <protection hidden="1"/>
    </xf>
    <xf numFmtId="0" fontId="64" fillId="0" borderId="0" xfId="6" applyFont="1" applyAlignment="1" applyProtection="1">
      <protection hidden="1"/>
    </xf>
    <xf numFmtId="0" fontId="66" fillId="0" borderId="0" xfId="6" applyFont="1" applyAlignment="1" applyProtection="1">
      <protection hidden="1"/>
    </xf>
    <xf numFmtId="0" fontId="69" fillId="0" borderId="0" xfId="6" applyFont="1" applyAlignment="1" applyProtection="1">
      <alignment horizontal="right"/>
      <protection hidden="1"/>
    </xf>
    <xf numFmtId="0" fontId="66" fillId="0" borderId="0" xfId="6" applyFont="1" applyAlignment="1" applyProtection="1">
      <alignment horizontal="right"/>
      <protection hidden="1"/>
    </xf>
    <xf numFmtId="166" fontId="21" fillId="0" borderId="1" xfId="0" applyNumberFormat="1" applyFont="1" applyBorder="1" applyAlignment="1" applyProtection="1">
      <alignment horizontal="center" vertical="center" wrapText="1"/>
      <protection hidden="1"/>
    </xf>
    <xf numFmtId="0" fontId="0" fillId="0" borderId="0" xfId="0" applyFont="1" applyAlignment="1" applyProtection="1">
      <alignment horizontal="left"/>
      <protection hidden="1"/>
    </xf>
    <xf numFmtId="0" fontId="0" fillId="0" borderId="0" xfId="0" applyFont="1" applyAlignment="1" applyProtection="1">
      <alignment horizontal="left" wrapText="1"/>
      <protection hidden="1"/>
    </xf>
    <xf numFmtId="0" fontId="0" fillId="0" borderId="0" xfId="0" applyFont="1" applyBorder="1" applyProtection="1">
      <protection hidden="1"/>
    </xf>
    <xf numFmtId="0" fontId="35" fillId="0" borderId="0" xfId="0" applyFont="1" applyBorder="1" applyAlignment="1" applyProtection="1">
      <alignment horizontal="right" vertical="center"/>
      <protection hidden="1"/>
    </xf>
    <xf numFmtId="0" fontId="35" fillId="0" borderId="0" xfId="0" applyFont="1" applyBorder="1" applyAlignment="1" applyProtection="1">
      <alignment vertical="center"/>
      <protection hidden="1"/>
    </xf>
    <xf numFmtId="0" fontId="23" fillId="0" borderId="10" xfId="0" applyFont="1" applyBorder="1" applyAlignment="1" applyProtection="1">
      <alignment horizontal="right" vertical="center"/>
      <protection hidden="1"/>
    </xf>
    <xf numFmtId="0" fontId="14" fillId="9" borderId="1" xfId="0" applyFont="1" applyFill="1" applyBorder="1" applyAlignment="1" applyProtection="1">
      <alignment horizontal="center" vertical="center"/>
      <protection hidden="1"/>
    </xf>
    <xf numFmtId="2" fontId="50" fillId="12" borderId="0" xfId="0" applyNumberFormat="1" applyFont="1" applyFill="1" applyBorder="1" applyAlignment="1" applyProtection="1">
      <alignment horizontal="center"/>
      <protection hidden="1"/>
    </xf>
    <xf numFmtId="0" fontId="50" fillId="9" borderId="0" xfId="0" applyFont="1" applyFill="1" applyBorder="1" applyAlignment="1" applyProtection="1">
      <alignment horizontal="center" vertical="center"/>
      <protection locked="0"/>
    </xf>
    <xf numFmtId="0" fontId="119" fillId="12" borderId="0" xfId="0" applyFont="1" applyFill="1" applyBorder="1" applyAlignment="1" applyProtection="1">
      <alignment vertical="center"/>
      <protection hidden="1"/>
    </xf>
    <xf numFmtId="0" fontId="126" fillId="12" borderId="1" xfId="0" applyFont="1" applyFill="1" applyBorder="1" applyAlignment="1" applyProtection="1">
      <alignment horizontal="center" vertical="center"/>
      <protection hidden="1"/>
    </xf>
    <xf numFmtId="0" fontId="120" fillId="12" borderId="0" xfId="0" applyFont="1" applyFill="1" applyBorder="1" applyAlignment="1" applyProtection="1">
      <alignment horizontal="center" vertical="center"/>
      <protection hidden="1"/>
    </xf>
    <xf numFmtId="0" fontId="149" fillId="12" borderId="0" xfId="0" applyFont="1" applyFill="1" applyBorder="1" applyAlignment="1" applyProtection="1">
      <alignment horizontal="center" vertical="center"/>
      <protection hidden="1"/>
    </xf>
    <xf numFmtId="0" fontId="121" fillId="12" borderId="0" xfId="0" applyFont="1" applyFill="1" applyBorder="1" applyAlignment="1" applyProtection="1">
      <alignment vertical="center"/>
      <protection hidden="1"/>
    </xf>
    <xf numFmtId="0" fontId="122" fillId="12" borderId="0" xfId="0" applyFont="1" applyFill="1" applyBorder="1" applyAlignment="1" applyProtection="1">
      <alignment vertical="center"/>
      <protection hidden="1"/>
    </xf>
    <xf numFmtId="0" fontId="129" fillId="12" borderId="0" xfId="0" applyFont="1" applyFill="1" applyBorder="1" applyAlignment="1" applyProtection="1">
      <alignment horizontal="right" vertical="center"/>
      <protection hidden="1"/>
    </xf>
    <xf numFmtId="0" fontId="130" fillId="12" borderId="0" xfId="0" applyFont="1" applyFill="1" applyBorder="1" applyAlignment="1" applyProtection="1">
      <alignment horizontal="center" vertical="center"/>
      <protection hidden="1"/>
    </xf>
    <xf numFmtId="0" fontId="124" fillId="12" borderId="0" xfId="0" applyFont="1" applyFill="1" applyBorder="1" applyAlignment="1" applyProtection="1">
      <alignment horizontal="center" vertical="center"/>
      <protection hidden="1"/>
    </xf>
    <xf numFmtId="0" fontId="131" fillId="12" borderId="0" xfId="0" applyFont="1" applyFill="1" applyBorder="1" applyAlignment="1" applyProtection="1">
      <alignment horizontal="center" vertical="center"/>
      <protection hidden="1"/>
    </xf>
    <xf numFmtId="0" fontId="123" fillId="12" borderId="0" xfId="0" applyFont="1" applyFill="1" applyBorder="1" applyAlignment="1" applyProtection="1">
      <alignment horizontal="center" vertical="center"/>
      <protection hidden="1"/>
    </xf>
    <xf numFmtId="0" fontId="132" fillId="12" borderId="0" xfId="0" applyFont="1" applyFill="1" applyBorder="1" applyAlignment="1" applyProtection="1">
      <alignment horizontal="center" vertical="center"/>
      <protection hidden="1"/>
    </xf>
    <xf numFmtId="0" fontId="0" fillId="12" borderId="0" xfId="0" applyFill="1" applyBorder="1" applyProtection="1">
      <protection hidden="1"/>
    </xf>
    <xf numFmtId="0" fontId="145" fillId="12" borderId="0" xfId="0" applyFont="1" applyFill="1" applyBorder="1" applyAlignment="1" applyProtection="1">
      <alignment horizontal="right"/>
      <protection hidden="1"/>
    </xf>
    <xf numFmtId="0" fontId="146" fillId="12" borderId="0" xfId="0" applyFont="1" applyFill="1" applyBorder="1" applyAlignment="1" applyProtection="1">
      <alignment horizontal="center" vertical="center"/>
      <protection hidden="1"/>
    </xf>
    <xf numFmtId="2" fontId="91" fillId="15" borderId="0" xfId="9" applyNumberFormat="1" applyFont="1" applyFill="1" applyBorder="1" applyAlignment="1" applyProtection="1">
      <alignment horizontal="left" vertical="center"/>
      <protection hidden="1"/>
    </xf>
    <xf numFmtId="2" fontId="91" fillId="15" borderId="0" xfId="11" applyNumberFormat="1" applyFont="1" applyFill="1" applyBorder="1" applyAlignment="1" applyProtection="1">
      <alignment horizontal="left" vertical="center"/>
      <protection hidden="1"/>
    </xf>
    <xf numFmtId="2" fontId="91" fillId="14" borderId="0" xfId="11" applyNumberFormat="1" applyFont="1" applyFill="1" applyBorder="1" applyAlignment="1" applyProtection="1">
      <alignment horizontal="left" vertical="center"/>
      <protection hidden="1"/>
    </xf>
    <xf numFmtId="2" fontId="91" fillId="14" borderId="0" xfId="9" applyNumberFormat="1" applyFont="1" applyFill="1" applyBorder="1" applyAlignment="1" applyProtection="1">
      <alignment horizontal="left" vertical="center"/>
      <protection hidden="1"/>
    </xf>
    <xf numFmtId="2" fontId="91" fillId="14" borderId="0" xfId="11" applyNumberFormat="1" applyFont="1" applyFill="1" applyBorder="1" applyAlignment="1" applyProtection="1">
      <alignment horizontal="left" vertical="center" wrapText="1"/>
      <protection hidden="1"/>
    </xf>
    <xf numFmtId="0" fontId="14" fillId="9" borderId="1" xfId="0" applyFont="1" applyFill="1" applyBorder="1" applyAlignment="1" applyProtection="1">
      <alignment horizontal="center" vertical="center" wrapText="1"/>
      <protection locked="0"/>
    </xf>
    <xf numFmtId="0" fontId="92" fillId="9" borderId="1" xfId="0" applyFont="1" applyFill="1" applyBorder="1" applyAlignment="1" applyProtection="1">
      <alignment horizontal="center" vertical="center" wrapText="1"/>
      <protection locked="0"/>
    </xf>
    <xf numFmtId="0" fontId="125" fillId="12" borderId="0" xfId="0" applyFont="1" applyFill="1" applyBorder="1" applyAlignment="1" applyProtection="1">
      <alignment vertical="center"/>
      <protection hidden="1"/>
    </xf>
    <xf numFmtId="1" fontId="0" fillId="0" borderId="0" xfId="0" applyNumberFormat="1" applyFont="1" applyProtection="1">
      <protection hidden="1"/>
    </xf>
    <xf numFmtId="0" fontId="82" fillId="0" borderId="0" xfId="6" applyFont="1" applyBorder="1" applyAlignment="1" applyProtection="1">
      <alignment vertical="center"/>
      <protection hidden="1"/>
    </xf>
    <xf numFmtId="0" fontId="82" fillId="0" borderId="0" xfId="6" applyFont="1" applyBorder="1" applyAlignment="1" applyProtection="1">
      <alignment horizontal="left" vertical="center"/>
      <protection hidden="1"/>
    </xf>
    <xf numFmtId="2" fontId="56" fillId="0" borderId="34" xfId="6" applyNumberFormat="1" applyFont="1" applyBorder="1" applyAlignment="1" applyProtection="1">
      <alignment horizontal="right"/>
      <protection hidden="1"/>
    </xf>
    <xf numFmtId="0" fontId="77" fillId="0" borderId="34" xfId="6" applyFont="1" applyBorder="1" applyAlignment="1" applyProtection="1">
      <alignment horizontal="center" vertical="center" wrapText="1"/>
      <protection hidden="1"/>
    </xf>
    <xf numFmtId="0" fontId="0" fillId="0" borderId="0" xfId="0"/>
    <xf numFmtId="0" fontId="0" fillId="0" borderId="0" xfId="0" applyAlignment="1">
      <alignment vertical="center"/>
    </xf>
    <xf numFmtId="0" fontId="14" fillId="9" borderId="1" xfId="0" applyFont="1" applyFill="1" applyBorder="1" applyAlignment="1" applyProtection="1">
      <alignment horizontal="center" vertical="center"/>
      <protection locked="0"/>
    </xf>
    <xf numFmtId="0" fontId="0" fillId="0" borderId="0" xfId="0"/>
    <xf numFmtId="0" fontId="74" fillId="0" borderId="1" xfId="6" applyFont="1" applyBorder="1" applyAlignment="1" applyProtection="1">
      <alignment horizontal="right" vertical="center"/>
      <protection hidden="1"/>
    </xf>
    <xf numFmtId="0" fontId="54" fillId="0" borderId="1" xfId="6" applyFont="1" applyBorder="1" applyAlignment="1" applyProtection="1">
      <alignment horizontal="center"/>
      <protection hidden="1"/>
    </xf>
    <xf numFmtId="0" fontId="35" fillId="0" borderId="0" xfId="0" applyFont="1" applyBorder="1" applyAlignment="1" applyProtection="1">
      <alignment horizontal="center" vertical="center" wrapText="1"/>
      <protection hidden="1"/>
    </xf>
    <xf numFmtId="0" fontId="33" fillId="0" borderId="0" xfId="0" applyFont="1" applyBorder="1" applyAlignment="1" applyProtection="1">
      <alignment horizontal="left" vertical="center" wrapText="1"/>
      <protection hidden="1"/>
    </xf>
    <xf numFmtId="0" fontId="0" fillId="0" borderId="0" xfId="0"/>
    <xf numFmtId="0" fontId="34" fillId="0" borderId="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protection hidden="1"/>
    </xf>
    <xf numFmtId="0" fontId="47" fillId="11" borderId="0" xfId="0" applyFont="1" applyFill="1" applyAlignment="1" applyProtection="1">
      <alignment horizontal="right" vertical="center"/>
      <protection hidden="1"/>
    </xf>
    <xf numFmtId="0" fontId="46" fillId="11" borderId="0" xfId="0" applyFont="1" applyFill="1" applyAlignment="1" applyProtection="1">
      <alignment horizontal="right" vertical="center"/>
      <protection hidden="1"/>
    </xf>
    <xf numFmtId="0" fontId="155" fillId="22" borderId="50" xfId="0" applyFont="1" applyFill="1" applyBorder="1" applyAlignment="1">
      <alignment horizontal="center" vertical="top"/>
    </xf>
    <xf numFmtId="0" fontId="43" fillId="22" borderId="50" xfId="0" applyFont="1" applyFill="1" applyBorder="1" applyAlignment="1">
      <alignment horizontal="left" vertical="center" wrapText="1"/>
    </xf>
    <xf numFmtId="0" fontId="43" fillId="22" borderId="50" xfId="0" applyFont="1" applyFill="1" applyBorder="1" applyAlignment="1">
      <alignment wrapText="1"/>
    </xf>
    <xf numFmtId="0" fontId="43" fillId="22" borderId="50" xfId="0" applyFont="1" applyFill="1" applyBorder="1" applyAlignment="1">
      <alignment horizontal="left" vertical="top" wrapText="1"/>
    </xf>
    <xf numFmtId="0" fontId="155" fillId="22" borderId="50" xfId="0" applyFont="1" applyFill="1" applyBorder="1" applyAlignment="1">
      <alignment horizontal="center" vertical="center"/>
    </xf>
    <xf numFmtId="0" fontId="43" fillId="22" borderId="50" xfId="0" applyFont="1" applyFill="1" applyBorder="1" applyAlignment="1"/>
    <xf numFmtId="0" fontId="155" fillId="22" borderId="50" xfId="0" applyFont="1" applyFill="1" applyBorder="1" applyAlignment="1">
      <alignment horizontal="center"/>
    </xf>
    <xf numFmtId="0" fontId="154" fillId="23" borderId="50" xfId="0" applyFont="1" applyFill="1" applyBorder="1" applyAlignment="1"/>
    <xf numFmtId="1" fontId="41" fillId="0" borderId="0" xfId="0" applyNumberFormat="1" applyFont="1" applyBorder="1" applyAlignment="1" applyProtection="1">
      <alignment horizontal="center" vertical="center" wrapText="1"/>
      <protection hidden="1"/>
    </xf>
    <xf numFmtId="0" fontId="0" fillId="0" borderId="0" xfId="0" applyFont="1" applyBorder="1" applyAlignment="1" applyProtection="1">
      <alignment horizontal="left" wrapText="1"/>
      <protection hidden="1"/>
    </xf>
    <xf numFmtId="0" fontId="33" fillId="0" borderId="0" xfId="0" applyFont="1" applyBorder="1" applyAlignment="1" applyProtection="1">
      <alignment horizontal="center" vertical="center"/>
      <protection hidden="1"/>
    </xf>
    <xf numFmtId="0" fontId="35" fillId="0" borderId="50" xfId="0" applyFont="1" applyBorder="1" applyAlignment="1" applyProtection="1">
      <alignment vertical="center"/>
      <protection hidden="1"/>
    </xf>
    <xf numFmtId="0" fontId="37" fillId="0" borderId="50" xfId="0" applyFont="1" applyBorder="1" applyAlignment="1" applyProtection="1">
      <alignment horizontal="center" vertical="center" wrapText="1"/>
      <protection hidden="1"/>
    </xf>
    <xf numFmtId="0" fontId="35" fillId="0" borderId="50" xfId="0" applyFont="1" applyBorder="1" applyAlignment="1" applyProtection="1">
      <alignment horizontal="center" vertical="center"/>
      <protection hidden="1"/>
    </xf>
    <xf numFmtId="0" fontId="35" fillId="0" borderId="50" xfId="0" applyFont="1" applyBorder="1" applyAlignment="1" applyProtection="1">
      <alignment horizontal="right" vertical="center"/>
      <protection hidden="1"/>
    </xf>
    <xf numFmtId="2" fontId="31" fillId="0" borderId="50" xfId="0" applyNumberFormat="1" applyFont="1" applyBorder="1" applyAlignment="1" applyProtection="1">
      <alignment vertical="center"/>
      <protection hidden="1"/>
    </xf>
    <xf numFmtId="0" fontId="0" fillId="0" borderId="50" xfId="0" applyFont="1" applyBorder="1" applyProtection="1">
      <protection hidden="1"/>
    </xf>
    <xf numFmtId="0" fontId="37" fillId="0" borderId="50" xfId="0" applyFont="1" applyBorder="1" applyAlignment="1" applyProtection="1">
      <alignment vertical="center"/>
      <protection hidden="1"/>
    </xf>
    <xf numFmtId="0" fontId="37" fillId="0" borderId="50" xfId="0" applyFont="1" applyBorder="1" applyAlignment="1" applyProtection="1">
      <alignment horizontal="right" vertical="center"/>
      <protection hidden="1"/>
    </xf>
    <xf numFmtId="0" fontId="41" fillId="0" borderId="50" xfId="0" applyFont="1" applyBorder="1" applyAlignment="1" applyProtection="1">
      <alignment vertical="center"/>
      <protection hidden="1"/>
    </xf>
    <xf numFmtId="0" fontId="35" fillId="0" borderId="51" xfId="0" applyFont="1" applyBorder="1" applyAlignment="1" applyProtection="1">
      <alignment horizontal="center" vertical="center"/>
      <protection hidden="1"/>
    </xf>
    <xf numFmtId="0" fontId="35" fillId="0" borderId="52" xfId="0" applyFont="1" applyBorder="1" applyAlignment="1" applyProtection="1">
      <alignment vertical="center"/>
      <protection hidden="1"/>
    </xf>
    <xf numFmtId="0" fontId="35" fillId="0" borderId="52" xfId="0" applyFont="1" applyBorder="1" applyAlignment="1" applyProtection="1">
      <alignment horizontal="right" vertical="center"/>
      <protection hidden="1"/>
    </xf>
    <xf numFmtId="0" fontId="31" fillId="0" borderId="50" xfId="0" applyFont="1" applyBorder="1" applyAlignment="1" applyProtection="1">
      <alignment vertical="center"/>
      <protection hidden="1"/>
    </xf>
    <xf numFmtId="0" fontId="36" fillId="0" borderId="50" xfId="0" applyFont="1" applyBorder="1" applyAlignment="1" applyProtection="1">
      <alignment horizontal="center" vertical="center"/>
      <protection hidden="1"/>
    </xf>
    <xf numFmtId="0" fontId="37" fillId="0" borderId="50" xfId="0" applyFont="1" applyBorder="1" applyAlignment="1" applyProtection="1">
      <alignment horizontal="center" vertical="center"/>
      <protection hidden="1"/>
    </xf>
    <xf numFmtId="0" fontId="32" fillId="0" borderId="50" xfId="0" applyFont="1" applyBorder="1" applyAlignment="1" applyProtection="1">
      <alignment vertical="center"/>
      <protection hidden="1"/>
    </xf>
    <xf numFmtId="0" fontId="40" fillId="0" borderId="50" xfId="0" applyFont="1" applyBorder="1" applyAlignment="1" applyProtection="1">
      <alignment vertical="center"/>
      <protection hidden="1"/>
    </xf>
    <xf numFmtId="1" fontId="32" fillId="0" borderId="50" xfId="0" applyNumberFormat="1" applyFont="1" applyBorder="1" applyAlignment="1" applyProtection="1">
      <alignment vertical="center"/>
      <protection hidden="1"/>
    </xf>
    <xf numFmtId="0" fontId="40" fillId="0" borderId="50" xfId="0" applyFont="1" applyBorder="1" applyAlignment="1" applyProtection="1">
      <alignment horizontal="left" vertical="center"/>
      <protection hidden="1"/>
    </xf>
    <xf numFmtId="0" fontId="35" fillId="0" borderId="50" xfId="0" applyFont="1" applyBorder="1" applyAlignment="1" applyProtection="1">
      <alignment horizontal="left" vertical="center"/>
      <protection hidden="1"/>
    </xf>
    <xf numFmtId="0" fontId="3" fillId="0" borderId="50" xfId="0" applyFont="1" applyBorder="1" applyProtection="1">
      <protection hidden="1"/>
    </xf>
    <xf numFmtId="0" fontId="9" fillId="0" borderId="50" xfId="0" applyFont="1" applyBorder="1" applyProtection="1">
      <protection hidden="1"/>
    </xf>
    <xf numFmtId="0" fontId="9" fillId="0" borderId="50" xfId="0" applyFont="1" applyBorder="1" applyAlignment="1" applyProtection="1">
      <alignment horizontal="right" vertical="center"/>
      <protection hidden="1"/>
    </xf>
    <xf numFmtId="1" fontId="9" fillId="0" borderId="50" xfId="0" applyNumberFormat="1" applyFont="1" applyBorder="1" applyAlignment="1" applyProtection="1">
      <alignment horizontal="right" vertical="center"/>
      <protection hidden="1"/>
    </xf>
    <xf numFmtId="0" fontId="0" fillId="0" borderId="50" xfId="0" applyBorder="1" applyProtection="1">
      <protection hidden="1"/>
    </xf>
    <xf numFmtId="2" fontId="0" fillId="0" borderId="50" xfId="0" applyNumberFormat="1" applyFont="1" applyBorder="1" applyProtection="1">
      <protection hidden="1"/>
    </xf>
    <xf numFmtId="0" fontId="159" fillId="11" borderId="0" xfId="0" applyFont="1" applyFill="1" applyBorder="1" applyAlignment="1" applyProtection="1">
      <alignment vertical="center"/>
      <protection hidden="1"/>
    </xf>
    <xf numFmtId="0" fontId="160" fillId="11" borderId="0" xfId="0" applyFont="1" applyFill="1" applyBorder="1" applyAlignment="1" applyProtection="1">
      <alignment vertical="center"/>
      <protection hidden="1"/>
    </xf>
    <xf numFmtId="0" fontId="161" fillId="11" borderId="0" xfId="0" applyFont="1" applyFill="1" applyBorder="1" applyAlignment="1" applyProtection="1">
      <alignment vertical="center"/>
      <protection hidden="1"/>
    </xf>
    <xf numFmtId="0" fontId="162" fillId="11" borderId="0" xfId="0" applyFont="1" applyFill="1" applyBorder="1" applyAlignment="1" applyProtection="1">
      <alignment vertical="center"/>
      <protection hidden="1"/>
    </xf>
    <xf numFmtId="0" fontId="165" fillId="11" borderId="0" xfId="0" applyFont="1" applyFill="1" applyBorder="1" applyAlignment="1" applyProtection="1">
      <alignment vertical="center"/>
      <protection hidden="1"/>
    </xf>
    <xf numFmtId="0" fontId="167" fillId="11" borderId="0" xfId="0" applyFont="1" applyFill="1" applyBorder="1" applyAlignment="1" applyProtection="1">
      <alignment vertical="center"/>
      <protection hidden="1"/>
    </xf>
    <xf numFmtId="0" fontId="169" fillId="24" borderId="62" xfId="0" applyFont="1" applyFill="1" applyBorder="1" applyAlignment="1">
      <alignment horizontal="center" vertical="center"/>
    </xf>
    <xf numFmtId="0" fontId="170" fillId="24" borderId="62" xfId="0" applyFont="1" applyFill="1" applyBorder="1" applyAlignment="1">
      <alignment horizontal="center" vertical="top"/>
    </xf>
    <xf numFmtId="0" fontId="171" fillId="24" borderId="62" xfId="0" applyFont="1" applyFill="1" applyBorder="1" applyAlignment="1">
      <alignment vertical="top" wrapText="1"/>
    </xf>
    <xf numFmtId="0" fontId="178" fillId="24" borderId="62" xfId="0" applyFont="1" applyFill="1" applyBorder="1" applyAlignment="1">
      <alignment vertical="center" wrapText="1"/>
    </xf>
    <xf numFmtId="0" fontId="19" fillId="9" borderId="1" xfId="0" applyFont="1" applyFill="1" applyBorder="1" applyAlignment="1" applyProtection="1">
      <alignment horizontal="center" vertical="center"/>
      <protection locked="0"/>
    </xf>
    <xf numFmtId="0" fontId="90" fillId="9" borderId="1" xfId="0" applyFont="1" applyFill="1" applyBorder="1" applyAlignment="1" applyProtection="1">
      <alignment horizontal="center" vertical="center"/>
      <protection locked="0"/>
    </xf>
    <xf numFmtId="0" fontId="19" fillId="9" borderId="1" xfId="0" applyFont="1" applyFill="1" applyBorder="1" applyAlignment="1" applyProtection="1">
      <alignment horizontal="right" vertical="center"/>
      <protection locked="0"/>
    </xf>
    <xf numFmtId="0" fontId="4" fillId="9" borderId="1" xfId="0" applyFont="1" applyFill="1" applyBorder="1" applyAlignment="1" applyProtection="1">
      <alignment horizontal="center" vertical="center"/>
      <protection locked="0"/>
    </xf>
    <xf numFmtId="0" fontId="41" fillId="9" borderId="0" xfId="0" applyFont="1" applyFill="1" applyAlignment="1" applyProtection="1">
      <alignment horizontal="center" vertical="center"/>
      <protection locked="0"/>
    </xf>
    <xf numFmtId="14" fontId="14" fillId="9" borderId="1" xfId="0" applyNumberFormat="1" applyFont="1" applyFill="1" applyBorder="1" applyAlignment="1" applyProtection="1">
      <alignment horizontal="center" vertical="center"/>
      <protection locked="0"/>
    </xf>
    <xf numFmtId="0" fontId="14" fillId="9" borderId="2" xfId="0" applyFont="1" applyFill="1" applyBorder="1" applyAlignment="1" applyProtection="1">
      <alignment horizontal="center" vertical="center"/>
      <protection locked="0"/>
    </xf>
    <xf numFmtId="0" fontId="14" fillId="9" borderId="2" xfId="0" applyFont="1" applyFill="1" applyBorder="1" applyAlignment="1" applyProtection="1">
      <alignment horizontal="center" vertical="center"/>
      <protection hidden="1"/>
    </xf>
    <xf numFmtId="0" fontId="32" fillId="16" borderId="0" xfId="0" applyFont="1" applyFill="1" applyBorder="1" applyProtection="1">
      <protection hidden="1"/>
    </xf>
    <xf numFmtId="0" fontId="32" fillId="16" borderId="0" xfId="0" applyFont="1" applyFill="1" applyBorder="1" applyAlignment="1" applyProtection="1">
      <alignment horizontal="center" vertical="center"/>
      <protection hidden="1"/>
    </xf>
    <xf numFmtId="0" fontId="32" fillId="17" borderId="0" xfId="0" applyFont="1" applyFill="1" applyBorder="1" applyProtection="1">
      <protection hidden="1"/>
    </xf>
    <xf numFmtId="0" fontId="32" fillId="17" borderId="0" xfId="0" applyFont="1" applyFill="1" applyBorder="1" applyAlignment="1" applyProtection="1">
      <alignment horizontal="center" vertical="center"/>
      <protection hidden="1"/>
    </xf>
    <xf numFmtId="0" fontId="41" fillId="17" borderId="10" xfId="0" applyFont="1" applyFill="1" applyBorder="1" applyProtection="1">
      <protection hidden="1"/>
    </xf>
    <xf numFmtId="0" fontId="41" fillId="16" borderId="10" xfId="0" applyFont="1" applyFill="1" applyBorder="1" applyProtection="1">
      <protection hidden="1"/>
    </xf>
    <xf numFmtId="0" fontId="0" fillId="27" borderId="57" xfId="0" applyFill="1" applyBorder="1"/>
    <xf numFmtId="0" fontId="43" fillId="22" borderId="50" xfId="0" applyFont="1" applyFill="1" applyBorder="1" applyAlignment="1">
      <alignment horizontal="left" vertical="top" wrapText="1"/>
    </xf>
    <xf numFmtId="0" fontId="3" fillId="17" borderId="2" xfId="0" applyFont="1" applyFill="1" applyBorder="1" applyAlignment="1" applyProtection="1">
      <alignment horizontal="center" vertical="center" wrapText="1"/>
      <protection hidden="1"/>
    </xf>
    <xf numFmtId="14" fontId="14" fillId="9" borderId="2" xfId="0" applyNumberFormat="1" applyFont="1" applyFill="1" applyBorder="1" applyAlignment="1" applyProtection="1">
      <alignment horizontal="center" vertical="center"/>
      <protection locked="0"/>
    </xf>
    <xf numFmtId="0" fontId="14" fillId="9" borderId="1" xfId="0" applyNumberFormat="1" applyFont="1" applyFill="1" applyBorder="1" applyAlignment="1" applyProtection="1">
      <alignment horizontal="center" vertical="center"/>
      <protection locked="0"/>
    </xf>
    <xf numFmtId="0" fontId="14" fillId="9" borderId="2" xfId="0" applyNumberFormat="1" applyFont="1" applyFill="1" applyBorder="1" applyAlignment="1" applyProtection="1">
      <alignment horizontal="center" vertical="center"/>
      <protection locked="0"/>
    </xf>
    <xf numFmtId="0" fontId="41" fillId="9" borderId="1" xfId="0" applyNumberFormat="1" applyFont="1" applyFill="1" applyBorder="1" applyAlignment="1" applyProtection="1">
      <alignment horizontal="center" vertical="center"/>
      <protection locked="0"/>
    </xf>
    <xf numFmtId="0" fontId="41" fillId="9" borderId="2" xfId="0" applyNumberFormat="1" applyFont="1" applyFill="1" applyBorder="1" applyAlignment="1" applyProtection="1">
      <alignment horizontal="center" vertical="center"/>
      <protection locked="0"/>
    </xf>
    <xf numFmtId="1" fontId="14" fillId="15" borderId="1" xfId="0" applyNumberFormat="1" applyFont="1" applyFill="1" applyBorder="1" applyAlignment="1" applyProtection="1">
      <alignment horizontal="center" vertical="center" wrapText="1"/>
      <protection hidden="1"/>
    </xf>
    <xf numFmtId="0" fontId="35" fillId="0" borderId="50" xfId="0" applyFont="1" applyBorder="1" applyAlignment="1" applyProtection="1">
      <alignment horizontal="center" vertical="center"/>
      <protection locked="0" hidden="1"/>
    </xf>
    <xf numFmtId="0" fontId="0" fillId="27" borderId="59" xfId="0" applyFill="1" applyBorder="1" applyAlignment="1">
      <alignment horizontal="center" vertical="top"/>
    </xf>
    <xf numFmtId="0" fontId="183" fillId="12" borderId="0" xfId="0" applyFont="1" applyFill="1" applyBorder="1" applyAlignment="1" applyProtection="1">
      <alignment vertical="center" wrapText="1"/>
      <protection hidden="1"/>
    </xf>
    <xf numFmtId="0" fontId="142" fillId="12" borderId="14" xfId="0" applyFont="1" applyFill="1" applyBorder="1" applyAlignment="1" applyProtection="1">
      <alignment horizontal="center" vertical="center"/>
      <protection hidden="1"/>
    </xf>
    <xf numFmtId="0" fontId="121" fillId="12" borderId="13" xfId="0" applyFont="1" applyFill="1" applyBorder="1" applyAlignment="1" applyProtection="1">
      <alignment vertical="center"/>
      <protection hidden="1"/>
    </xf>
    <xf numFmtId="49" fontId="143" fillId="12" borderId="14" xfId="0" applyNumberFormat="1" applyFont="1" applyFill="1" applyBorder="1" applyAlignment="1" applyProtection="1">
      <alignment horizontal="center" vertical="center"/>
      <protection hidden="1"/>
    </xf>
    <xf numFmtId="0" fontId="122" fillId="12" borderId="13" xfId="0" applyFont="1" applyFill="1" applyBorder="1" applyAlignment="1" applyProtection="1">
      <alignment vertical="center"/>
      <protection hidden="1"/>
    </xf>
    <xf numFmtId="0" fontId="120" fillId="12" borderId="13" xfId="0" applyFont="1" applyFill="1" applyBorder="1" applyAlignment="1" applyProtection="1">
      <alignment horizontal="center" vertical="center"/>
      <protection hidden="1"/>
    </xf>
    <xf numFmtId="0" fontId="141" fillId="12" borderId="7" xfId="0" applyFont="1" applyFill="1" applyBorder="1" applyAlignment="1" applyProtection="1">
      <alignment horizontal="center" vertical="center"/>
      <protection hidden="1"/>
    </xf>
    <xf numFmtId="0" fontId="144" fillId="12" borderId="8" xfId="0" applyFont="1" applyFill="1" applyBorder="1" applyAlignment="1" applyProtection="1">
      <alignment horizontal="center" vertical="center"/>
      <protection hidden="1"/>
    </xf>
    <xf numFmtId="0" fontId="120" fillId="12" borderId="8" xfId="0" applyFont="1" applyFill="1" applyBorder="1" applyAlignment="1" applyProtection="1">
      <alignment horizontal="center" vertical="center"/>
      <protection hidden="1"/>
    </xf>
    <xf numFmtId="0" fontId="120" fillId="12" borderId="15" xfId="0" applyFont="1" applyFill="1" applyBorder="1" applyAlignment="1" applyProtection="1">
      <alignment horizontal="center" vertical="center"/>
      <protection hidden="1"/>
    </xf>
    <xf numFmtId="0" fontId="0" fillId="28" borderId="0" xfId="0" applyFill="1" applyProtection="1">
      <protection hidden="1"/>
    </xf>
    <xf numFmtId="0" fontId="0" fillId="28" borderId="0" xfId="0" applyFill="1" applyBorder="1" applyProtection="1">
      <protection hidden="1"/>
    </xf>
    <xf numFmtId="0" fontId="187" fillId="30" borderId="0" xfId="0" applyFont="1" applyFill="1" applyAlignment="1" applyProtection="1">
      <alignment horizontal="center" vertical="center"/>
      <protection hidden="1"/>
    </xf>
    <xf numFmtId="0" fontId="188" fillId="12" borderId="13" xfId="0" applyFont="1" applyFill="1" applyBorder="1" applyAlignment="1" applyProtection="1">
      <alignment horizontal="center" vertical="center"/>
      <protection hidden="1"/>
    </xf>
    <xf numFmtId="0" fontId="192" fillId="12" borderId="13" xfId="0" applyFont="1" applyFill="1" applyBorder="1" applyAlignment="1" applyProtection="1">
      <alignment horizontal="left" vertical="center"/>
      <protection hidden="1"/>
    </xf>
    <xf numFmtId="1" fontId="47" fillId="12" borderId="0" xfId="0" applyNumberFormat="1" applyFont="1" applyFill="1" applyBorder="1" applyAlignment="1" applyProtection="1">
      <alignment horizontal="center"/>
      <protection hidden="1"/>
    </xf>
    <xf numFmtId="0" fontId="189" fillId="12" borderId="8" xfId="0" applyFont="1" applyFill="1" applyBorder="1" applyAlignment="1" applyProtection="1">
      <alignment horizontal="left" vertical="center"/>
      <protection hidden="1"/>
    </xf>
    <xf numFmtId="0" fontId="4" fillId="9" borderId="0" xfId="0" applyFont="1" applyFill="1" applyBorder="1" applyAlignment="1" applyProtection="1">
      <alignment horizontal="center" vertical="center"/>
      <protection locked="0"/>
    </xf>
    <xf numFmtId="0" fontId="4" fillId="29" borderId="1" xfId="0" applyFont="1" applyFill="1" applyBorder="1" applyAlignment="1" applyProtection="1">
      <alignment horizontal="center" vertical="center"/>
      <protection hidden="1"/>
    </xf>
    <xf numFmtId="0" fontId="195" fillId="10" borderId="0" xfId="0" applyFont="1" applyFill="1" applyProtection="1">
      <protection hidden="1"/>
    </xf>
    <xf numFmtId="0" fontId="196" fillId="10" borderId="0" xfId="0" applyFont="1" applyFill="1" applyProtection="1">
      <protection hidden="1"/>
    </xf>
    <xf numFmtId="1" fontId="31" fillId="8" borderId="1" xfId="0" applyNumberFormat="1" applyFont="1" applyFill="1" applyBorder="1" applyAlignment="1" applyProtection="1">
      <alignment horizontal="center" vertical="center"/>
      <protection locked="0" hidden="1"/>
    </xf>
    <xf numFmtId="0" fontId="9" fillId="9" borderId="1" xfId="0" applyNumberFormat="1" applyFont="1" applyFill="1" applyBorder="1" applyAlignment="1" applyProtection="1">
      <alignment horizontal="left" vertical="center"/>
      <protection hidden="1"/>
    </xf>
    <xf numFmtId="1" fontId="41" fillId="8" borderId="1" xfId="0" applyNumberFormat="1" applyFont="1" applyFill="1" applyBorder="1" applyAlignment="1" applyProtection="1">
      <alignment horizontal="center" vertical="center"/>
      <protection locked="0" hidden="1"/>
    </xf>
    <xf numFmtId="0" fontId="0" fillId="0" borderId="10" xfId="0" applyBorder="1" applyProtection="1">
      <protection hidden="1"/>
    </xf>
    <xf numFmtId="0" fontId="3" fillId="10" borderId="9" xfId="0" applyFont="1" applyFill="1" applyBorder="1" applyAlignment="1" applyProtection="1">
      <alignment horizontal="center" vertical="center" wrapText="1"/>
      <protection hidden="1"/>
    </xf>
    <xf numFmtId="0" fontId="0" fillId="10" borderId="11" xfId="0" applyFill="1" applyBorder="1" applyAlignment="1" applyProtection="1">
      <alignment horizontal="center" vertical="center"/>
      <protection hidden="1"/>
    </xf>
    <xf numFmtId="0" fontId="0" fillId="10" borderId="21" xfId="0" applyFill="1" applyBorder="1" applyAlignment="1" applyProtection="1">
      <alignment horizontal="center" vertical="center"/>
      <protection hidden="1"/>
    </xf>
    <xf numFmtId="2" fontId="96" fillId="2" borderId="1" xfId="0" applyNumberFormat="1" applyFont="1" applyFill="1" applyBorder="1" applyAlignment="1" applyProtection="1">
      <alignment vertical="center" wrapText="1"/>
      <protection locked="0" hidden="1"/>
    </xf>
    <xf numFmtId="0" fontId="28" fillId="10" borderId="0" xfId="0" applyFont="1" applyFill="1" applyBorder="1" applyAlignment="1" applyProtection="1">
      <alignment horizontal="center" vertical="center"/>
      <protection hidden="1"/>
    </xf>
    <xf numFmtId="165" fontId="0" fillId="10" borderId="0" xfId="0" applyNumberFormat="1" applyFill="1" applyBorder="1" applyAlignment="1" applyProtection="1">
      <alignment horizontal="center" vertical="center"/>
      <protection hidden="1"/>
    </xf>
    <xf numFmtId="1" fontId="0" fillId="10" borderId="0" xfId="0" applyNumberFormat="1" applyFill="1" applyBorder="1" applyAlignment="1" applyProtection="1">
      <alignment horizontal="center" vertical="center"/>
      <protection hidden="1"/>
    </xf>
    <xf numFmtId="14" fontId="0" fillId="10" borderId="0" xfId="0" applyNumberFormat="1" applyFill="1" applyBorder="1" applyAlignment="1" applyProtection="1">
      <alignment horizontal="center" vertical="center"/>
      <protection hidden="1"/>
    </xf>
    <xf numFmtId="2" fontId="0" fillId="10" borderId="0" xfId="0" applyNumberFormat="1" applyFill="1" applyBorder="1" applyAlignment="1" applyProtection="1">
      <alignment horizontal="center" vertical="center"/>
      <protection hidden="1"/>
    </xf>
    <xf numFmtId="2" fontId="30" fillId="10" borderId="0" xfId="0" applyNumberFormat="1" applyFont="1" applyFill="1" applyBorder="1" applyAlignment="1" applyProtection="1">
      <alignment horizontal="center" vertical="center"/>
      <protection hidden="1"/>
    </xf>
    <xf numFmtId="0" fontId="2" fillId="10" borderId="0" xfId="0" applyFont="1" applyFill="1" applyBorder="1" applyAlignment="1" applyProtection="1">
      <alignment horizontal="center" vertical="center"/>
      <protection hidden="1"/>
    </xf>
    <xf numFmtId="0" fontId="0" fillId="10" borderId="0" xfId="0" applyFill="1" applyBorder="1" applyAlignment="1" applyProtection="1">
      <alignment horizontal="center" vertical="center"/>
      <protection hidden="1"/>
    </xf>
    <xf numFmtId="0" fontId="27" fillId="10" borderId="70" xfId="0" applyFont="1" applyFill="1" applyBorder="1" applyAlignment="1" applyProtection="1">
      <alignment horizontal="center" vertical="center" wrapText="1"/>
      <protection hidden="1"/>
    </xf>
    <xf numFmtId="0" fontId="41" fillId="9" borderId="70" xfId="0" applyFont="1" applyFill="1" applyBorder="1" applyAlignment="1" applyProtection="1">
      <alignment horizontal="center" vertical="center" wrapText="1"/>
      <protection locked="0"/>
    </xf>
    <xf numFmtId="0" fontId="31" fillId="9" borderId="70" xfId="0" applyFont="1" applyFill="1" applyBorder="1" applyAlignment="1" applyProtection="1">
      <alignment horizontal="center" vertical="center" wrapText="1"/>
      <protection locked="0" hidden="1"/>
    </xf>
    <xf numFmtId="0" fontId="27" fillId="10" borderId="70" xfId="0" applyFont="1" applyFill="1" applyBorder="1" applyAlignment="1" applyProtection="1">
      <alignment vertical="center" wrapText="1"/>
      <protection hidden="1"/>
    </xf>
    <xf numFmtId="0" fontId="28" fillId="10" borderId="72" xfId="0" applyFont="1" applyFill="1" applyBorder="1" applyAlignment="1" applyProtection="1">
      <alignment horizontal="center" vertical="center"/>
      <protection hidden="1"/>
    </xf>
    <xf numFmtId="14" fontId="0" fillId="0" borderId="73" xfId="0" applyNumberFormat="1"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8" borderId="73" xfId="0" applyFont="1" applyFill="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28" fillId="10" borderId="74" xfId="0" applyFont="1" applyFill="1" applyBorder="1" applyAlignment="1" applyProtection="1">
      <alignment horizontal="center" vertical="center"/>
      <protection hidden="1"/>
    </xf>
    <xf numFmtId="14" fontId="0" fillId="9" borderId="75" xfId="0" applyNumberFormat="1" applyFill="1" applyBorder="1" applyAlignment="1" applyProtection="1">
      <alignment horizontal="left" vertical="center"/>
      <protection locked="0"/>
    </xf>
    <xf numFmtId="1" fontId="0" fillId="9" borderId="75" xfId="0" applyNumberFormat="1" applyFill="1" applyBorder="1" applyAlignment="1" applyProtection="1">
      <alignment horizontal="center" vertical="center"/>
      <protection locked="0"/>
    </xf>
    <xf numFmtId="14" fontId="0" fillId="9" borderId="75" xfId="0" applyNumberFormat="1" applyFill="1" applyBorder="1" applyAlignment="1" applyProtection="1">
      <alignment horizontal="center" vertical="center"/>
      <protection locked="0"/>
    </xf>
    <xf numFmtId="1" fontId="3" fillId="9" borderId="75" xfId="0" applyNumberFormat="1" applyFont="1" applyFill="1" applyBorder="1" applyAlignment="1" applyProtection="1">
      <alignment horizontal="center" vertical="center"/>
      <protection locked="0"/>
    </xf>
    <xf numFmtId="1" fontId="31" fillId="9" borderId="75" xfId="0" applyNumberFormat="1" applyFont="1" applyFill="1" applyBorder="1" applyAlignment="1" applyProtection="1">
      <alignment horizontal="center" vertical="center"/>
      <protection locked="0"/>
    </xf>
    <xf numFmtId="1" fontId="17" fillId="10" borderId="75" xfId="0" applyNumberFormat="1" applyFont="1" applyFill="1" applyBorder="1" applyAlignment="1" applyProtection="1">
      <alignment horizontal="center" vertical="center"/>
      <protection hidden="1"/>
    </xf>
    <xf numFmtId="1" fontId="0" fillId="10" borderId="75" xfId="0" applyNumberFormat="1" applyFill="1" applyBorder="1" applyAlignment="1" applyProtection="1">
      <alignment horizontal="center" vertical="center"/>
      <protection hidden="1"/>
    </xf>
    <xf numFmtId="1" fontId="3" fillId="10" borderId="75" xfId="0" applyNumberFormat="1" applyFont="1" applyFill="1" applyBorder="1" applyAlignment="1" applyProtection="1">
      <alignment horizontal="center" vertical="center"/>
      <protection hidden="1"/>
    </xf>
    <xf numFmtId="2" fontId="39" fillId="10" borderId="75" xfId="0" applyNumberFormat="1" applyFont="1" applyFill="1" applyBorder="1" applyAlignment="1" applyProtection="1">
      <alignment horizontal="center" vertical="center"/>
      <protection hidden="1"/>
    </xf>
    <xf numFmtId="2" fontId="17" fillId="10" borderId="75" xfId="0" applyNumberFormat="1" applyFont="1" applyFill="1" applyBorder="1" applyAlignment="1" applyProtection="1">
      <alignment horizontal="center" vertical="center"/>
      <protection hidden="1"/>
    </xf>
    <xf numFmtId="0" fontId="0" fillId="0" borderId="75"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4" fillId="16" borderId="1" xfId="0" applyFont="1" applyFill="1" applyBorder="1" applyAlignment="1" applyProtection="1">
      <alignment horizontal="center" vertical="center"/>
      <protection hidden="1"/>
    </xf>
    <xf numFmtId="0" fontId="14" fillId="17" borderId="1" xfId="0" applyNumberFormat="1" applyFont="1" applyFill="1" applyBorder="1" applyAlignment="1" applyProtection="1">
      <alignment horizontal="center" vertical="center"/>
      <protection hidden="1"/>
    </xf>
    <xf numFmtId="0" fontId="14" fillId="16" borderId="2" xfId="0" applyFont="1" applyFill="1" applyBorder="1" applyAlignment="1" applyProtection="1">
      <alignment horizontal="center" vertical="center"/>
      <protection hidden="1"/>
    </xf>
    <xf numFmtId="0" fontId="88" fillId="16" borderId="1" xfId="0" applyFont="1" applyFill="1" applyBorder="1" applyAlignment="1" applyProtection="1">
      <alignment horizontal="center" vertical="center"/>
      <protection hidden="1"/>
    </xf>
    <xf numFmtId="0" fontId="14" fillId="17" borderId="2" xfId="0" applyNumberFormat="1" applyFont="1" applyFill="1" applyBorder="1" applyAlignment="1" applyProtection="1">
      <alignment horizontal="center" vertical="center"/>
      <protection hidden="1"/>
    </xf>
    <xf numFmtId="0" fontId="200" fillId="17" borderId="1" xfId="0" applyFont="1" applyFill="1" applyBorder="1" applyAlignment="1" applyProtection="1">
      <alignment horizontal="center" vertical="center"/>
      <protection hidden="1"/>
    </xf>
    <xf numFmtId="165" fontId="17" fillId="9" borderId="1" xfId="0" applyNumberFormat="1" applyFont="1" applyFill="1" applyBorder="1" applyAlignment="1" applyProtection="1">
      <alignment horizontal="left" vertical="center"/>
      <protection locked="0"/>
    </xf>
    <xf numFmtId="1" fontId="111" fillId="10" borderId="1" xfId="0" applyNumberFormat="1" applyFont="1" applyFill="1" applyBorder="1" applyAlignment="1" applyProtection="1">
      <alignment horizontal="center" vertical="center"/>
      <protection hidden="1"/>
    </xf>
    <xf numFmtId="1" fontId="96" fillId="2" borderId="1" xfId="0" applyNumberFormat="1" applyFont="1" applyFill="1" applyBorder="1" applyAlignment="1" applyProtection="1">
      <alignment horizontal="center" vertical="center"/>
      <protection locked="0" hidden="1"/>
    </xf>
    <xf numFmtId="0" fontId="201" fillId="3" borderId="0" xfId="0" applyFont="1" applyFill="1"/>
    <xf numFmtId="2" fontId="91" fillId="15" borderId="1" xfId="9" applyNumberFormat="1" applyFont="1" applyFill="1" applyBorder="1" applyAlignment="1" applyProtection="1">
      <alignment horizontal="right" vertical="center" wrapText="1"/>
      <protection hidden="1"/>
    </xf>
    <xf numFmtId="2" fontId="199" fillId="9" borderId="1" xfId="9" applyNumberFormat="1" applyFont="1" applyFill="1" applyBorder="1" applyAlignment="1" applyProtection="1">
      <alignment horizontal="center" vertical="center"/>
      <protection locked="0"/>
    </xf>
    <xf numFmtId="1" fontId="24" fillId="10" borderId="1" xfId="0" applyNumberFormat="1" applyFont="1" applyFill="1" applyBorder="1" applyAlignment="1" applyProtection="1">
      <alignment horizontal="center" vertical="center"/>
      <protection locked="0" hidden="1"/>
    </xf>
    <xf numFmtId="1" fontId="0" fillId="10" borderId="1" xfId="0" applyNumberFormat="1" applyFont="1" applyFill="1" applyBorder="1" applyAlignment="1" applyProtection="1">
      <alignment horizontal="center" vertical="center"/>
      <protection locked="0" hidden="1"/>
    </xf>
    <xf numFmtId="1" fontId="3" fillId="9" borderId="75" xfId="0" applyNumberFormat="1" applyFont="1" applyFill="1" applyBorder="1" applyAlignment="1" applyProtection="1">
      <alignment horizontal="center" vertical="center"/>
      <protection locked="0" hidden="1"/>
    </xf>
    <xf numFmtId="1" fontId="118" fillId="10" borderId="1" xfId="0" applyNumberFormat="1" applyFont="1" applyFill="1" applyBorder="1" applyAlignment="1" applyProtection="1">
      <alignment horizontal="center" vertical="center"/>
      <protection locked="0" hidden="1"/>
    </xf>
    <xf numFmtId="1" fontId="31" fillId="9" borderId="75" xfId="0" applyNumberFormat="1" applyFont="1" applyFill="1" applyBorder="1" applyAlignment="1" applyProtection="1">
      <alignment horizontal="center" vertical="center"/>
      <protection locked="0" hidden="1"/>
    </xf>
    <xf numFmtId="2" fontId="0" fillId="9" borderId="1" xfId="0" applyNumberFormat="1" applyFill="1" applyBorder="1" applyAlignment="1" applyProtection="1">
      <alignment horizontal="center" vertical="center"/>
      <protection locked="0" hidden="1"/>
    </xf>
    <xf numFmtId="2" fontId="0" fillId="9" borderId="75" xfId="0" applyNumberFormat="1" applyFill="1" applyBorder="1" applyAlignment="1" applyProtection="1">
      <alignment horizontal="center" vertical="center"/>
      <protection locked="0" hidden="1"/>
    </xf>
    <xf numFmtId="2" fontId="91" fillId="12" borderId="0" xfId="11" applyNumberFormat="1" applyFont="1" applyFill="1" applyBorder="1" applyAlignment="1" applyProtection="1">
      <alignment horizontal="left" vertical="center"/>
      <protection hidden="1"/>
    </xf>
    <xf numFmtId="0" fontId="14" fillId="9" borderId="2" xfId="0" applyFont="1" applyFill="1" applyBorder="1" applyAlignment="1" applyProtection="1">
      <alignment horizontal="center" vertical="center" wrapText="1"/>
      <protection locked="0"/>
    </xf>
    <xf numFmtId="0" fontId="14" fillId="12" borderId="0" xfId="0" applyFont="1" applyFill="1" applyBorder="1" applyAlignment="1" applyProtection="1">
      <alignment horizontal="center" vertical="center" wrapText="1"/>
      <protection hidden="1"/>
    </xf>
    <xf numFmtId="0" fontId="205" fillId="12" borderId="13" xfId="0" applyFont="1" applyFill="1" applyBorder="1" applyAlignment="1" applyProtection="1">
      <alignment horizontal="left" vertical="center"/>
      <protection hidden="1"/>
    </xf>
    <xf numFmtId="1" fontId="3" fillId="9" borderId="1" xfId="0" applyNumberFormat="1" applyFont="1" applyFill="1" applyBorder="1" applyAlignment="1" applyProtection="1">
      <alignment horizontal="center" vertical="center"/>
      <protection hidden="1"/>
    </xf>
    <xf numFmtId="2" fontId="32" fillId="8" borderId="1" xfId="0" applyNumberFormat="1" applyFont="1" applyFill="1" applyBorder="1" applyAlignment="1" applyProtection="1">
      <alignment horizontal="center" vertical="center"/>
      <protection hidden="1"/>
    </xf>
    <xf numFmtId="0" fontId="208" fillId="0" borderId="0" xfId="0" applyFont="1" applyAlignment="1" applyProtection="1">
      <alignment horizontal="right" vertical="center"/>
      <protection hidden="1"/>
    </xf>
    <xf numFmtId="0" fontId="207" fillId="0" borderId="0" xfId="0" applyFont="1" applyBorder="1" applyAlignment="1" applyProtection="1">
      <alignment vertical="top" wrapText="1"/>
      <protection hidden="1"/>
    </xf>
    <xf numFmtId="0" fontId="177" fillId="25" borderId="67" xfId="0" applyFont="1" applyFill="1" applyBorder="1" applyAlignment="1">
      <alignment horizontal="center"/>
    </xf>
    <xf numFmtId="0" fontId="177" fillId="25" borderId="68" xfId="0" applyFont="1" applyFill="1" applyBorder="1" applyAlignment="1">
      <alignment horizontal="center"/>
    </xf>
    <xf numFmtId="0" fontId="180" fillId="25" borderId="67" xfId="22" applyFont="1" applyFill="1" applyBorder="1" applyAlignment="1" applyProtection="1">
      <alignment horizontal="center"/>
    </xf>
    <xf numFmtId="0" fontId="176" fillId="25" borderId="68" xfId="0" applyFont="1" applyFill="1" applyBorder="1" applyAlignment="1">
      <alignment horizontal="center"/>
    </xf>
    <xf numFmtId="0" fontId="181" fillId="26" borderId="54" xfId="0" applyFont="1" applyFill="1" applyBorder="1" applyAlignment="1" applyProtection="1">
      <alignment horizontal="center" vertical="top" wrapText="1"/>
      <protection hidden="1"/>
    </xf>
    <xf numFmtId="0" fontId="181" fillId="26" borderId="56" xfId="0" applyFont="1" applyFill="1" applyBorder="1" applyAlignment="1" applyProtection="1">
      <alignment horizontal="center" vertical="top" wrapText="1"/>
      <protection hidden="1"/>
    </xf>
    <xf numFmtId="0" fontId="172" fillId="25" borderId="63" xfId="0" applyFont="1" applyFill="1" applyBorder="1" applyAlignment="1">
      <alignment horizontal="center"/>
    </xf>
    <xf numFmtId="0" fontId="172" fillId="25" borderId="64" xfId="0" applyFont="1" applyFill="1" applyBorder="1" applyAlignment="1">
      <alignment horizontal="center"/>
    </xf>
    <xf numFmtId="0" fontId="173" fillId="25" borderId="65" xfId="0" applyFont="1" applyFill="1" applyBorder="1" applyAlignment="1">
      <alignment horizontal="center"/>
    </xf>
    <xf numFmtId="0" fontId="173" fillId="25" borderId="66" xfId="0" applyFont="1" applyFill="1" applyBorder="1" applyAlignment="1">
      <alignment horizontal="center"/>
    </xf>
    <xf numFmtId="0" fontId="174" fillId="25" borderId="65" xfId="0" applyFont="1" applyFill="1" applyBorder="1" applyAlignment="1">
      <alignment horizontal="center"/>
    </xf>
    <xf numFmtId="0" fontId="174" fillId="25" borderId="66" xfId="0" applyFont="1" applyFill="1" applyBorder="1" applyAlignment="1">
      <alignment horizontal="center"/>
    </xf>
    <xf numFmtId="0" fontId="175" fillId="25" borderId="65" xfId="0" applyFont="1" applyFill="1" applyBorder="1" applyAlignment="1">
      <alignment horizontal="center"/>
    </xf>
    <xf numFmtId="0" fontId="175" fillId="25" borderId="66" xfId="0" applyFont="1" applyFill="1" applyBorder="1" applyAlignment="1">
      <alignment horizontal="center"/>
    </xf>
    <xf numFmtId="0" fontId="176" fillId="25" borderId="67" xfId="0" applyFont="1" applyFill="1" applyBorder="1" applyAlignment="1">
      <alignment horizontal="center"/>
    </xf>
    <xf numFmtId="0" fontId="157" fillId="2" borderId="50" xfId="0" applyFont="1" applyFill="1" applyBorder="1" applyAlignment="1">
      <alignment horizontal="left" vertical="top" wrapText="1"/>
    </xf>
    <xf numFmtId="0" fontId="154" fillId="23" borderId="50" xfId="0" applyFont="1" applyFill="1" applyBorder="1" applyAlignment="1">
      <alignment horizontal="left"/>
    </xf>
    <xf numFmtId="0" fontId="156" fillId="21" borderId="50" xfId="0" applyFont="1" applyFill="1" applyBorder="1" applyAlignment="1">
      <alignment horizontal="center" vertical="center"/>
    </xf>
    <xf numFmtId="0" fontId="153" fillId="21" borderId="50" xfId="0" applyFont="1" applyFill="1" applyBorder="1" applyAlignment="1">
      <alignment horizontal="center" vertical="center"/>
    </xf>
    <xf numFmtId="0" fontId="19" fillId="22" borderId="50" xfId="0" applyFont="1" applyFill="1" applyBorder="1" applyAlignment="1">
      <alignment horizontal="center" vertical="center"/>
    </xf>
    <xf numFmtId="0" fontId="154" fillId="23" borderId="50" xfId="0" applyFont="1" applyFill="1" applyBorder="1" applyAlignment="1">
      <alignment horizontal="left" vertical="center"/>
    </xf>
    <xf numFmtId="0" fontId="43" fillId="22" borderId="50" xfId="0" applyFont="1" applyFill="1" applyBorder="1" applyAlignment="1">
      <alignment horizontal="left" vertical="top" wrapText="1"/>
    </xf>
    <xf numFmtId="0" fontId="86" fillId="11" borderId="19" xfId="0" applyFont="1" applyFill="1" applyBorder="1" applyAlignment="1" applyProtection="1">
      <alignment horizontal="center" vertical="center"/>
      <protection hidden="1"/>
    </xf>
    <xf numFmtId="0" fontId="86" fillId="11" borderId="0" xfId="0" applyFont="1" applyFill="1" applyAlignment="1" applyProtection="1">
      <alignment horizontal="center" vertical="center"/>
      <protection hidden="1"/>
    </xf>
    <xf numFmtId="0" fontId="86" fillId="11" borderId="0" xfId="0" applyFont="1" applyFill="1" applyBorder="1" applyAlignment="1" applyProtection="1">
      <alignment horizontal="center" vertical="center"/>
      <protection hidden="1"/>
    </xf>
    <xf numFmtId="0" fontId="86" fillId="11" borderId="20" xfId="0" applyFont="1" applyFill="1" applyBorder="1" applyAlignment="1" applyProtection="1">
      <alignment horizontal="center" vertical="center"/>
      <protection hidden="1"/>
    </xf>
    <xf numFmtId="0" fontId="3" fillId="17" borderId="0" xfId="0" applyFont="1" applyFill="1" applyAlignment="1" applyProtection="1">
      <alignment horizontal="center" vertical="center"/>
      <protection hidden="1"/>
    </xf>
    <xf numFmtId="0" fontId="3" fillId="17" borderId="1" xfId="0" applyFont="1" applyFill="1" applyBorder="1" applyAlignment="1" applyProtection="1">
      <alignment horizontal="center" vertical="center" wrapText="1"/>
      <protection hidden="1"/>
    </xf>
    <xf numFmtId="0" fontId="3" fillId="17" borderId="2" xfId="0" applyFont="1" applyFill="1" applyBorder="1" applyAlignment="1" applyProtection="1">
      <alignment horizontal="center" vertical="center" wrapText="1"/>
      <protection hidden="1"/>
    </xf>
    <xf numFmtId="0" fontId="4" fillId="17" borderId="10" xfId="0" applyFont="1" applyFill="1" applyBorder="1" applyAlignment="1" applyProtection="1">
      <alignment horizontal="center" vertical="center"/>
      <protection hidden="1"/>
    </xf>
    <xf numFmtId="0" fontId="4" fillId="17" borderId="11" xfId="0" applyFont="1" applyFill="1" applyBorder="1" applyAlignment="1" applyProtection="1">
      <alignment horizontal="center" vertical="center"/>
      <protection hidden="1"/>
    </xf>
    <xf numFmtId="0" fontId="94" fillId="11" borderId="0" xfId="0" applyFont="1" applyFill="1" applyBorder="1" applyAlignment="1" applyProtection="1">
      <alignment horizontal="center" vertical="center"/>
      <protection hidden="1"/>
    </xf>
    <xf numFmtId="0" fontId="41" fillId="9" borderId="21" xfId="0" applyFont="1" applyFill="1" applyBorder="1" applyAlignment="1" applyProtection="1">
      <alignment horizontal="left" vertical="center"/>
      <protection locked="0"/>
    </xf>
    <xf numFmtId="0" fontId="3" fillId="16" borderId="0" xfId="0" applyFont="1" applyFill="1" applyAlignment="1" applyProtection="1">
      <alignment horizontal="center" vertical="center"/>
      <protection hidden="1"/>
    </xf>
    <xf numFmtId="0" fontId="3" fillId="16" borderId="1" xfId="0" applyFont="1" applyFill="1" applyBorder="1" applyAlignment="1" applyProtection="1">
      <alignment horizontal="center" vertical="center" wrapText="1"/>
      <protection hidden="1"/>
    </xf>
    <xf numFmtId="0" fontId="3" fillId="16" borderId="2" xfId="0" applyFont="1" applyFill="1" applyBorder="1" applyAlignment="1" applyProtection="1">
      <alignment horizontal="center" vertical="center" wrapText="1"/>
      <protection hidden="1"/>
    </xf>
    <xf numFmtId="0" fontId="4" fillId="16" borderId="10" xfId="0" applyFont="1" applyFill="1" applyBorder="1" applyAlignment="1" applyProtection="1">
      <alignment horizontal="center" vertical="center"/>
      <protection hidden="1"/>
    </xf>
    <xf numFmtId="0" fontId="4" fillId="16" borderId="11" xfId="0" applyFont="1" applyFill="1" applyBorder="1" applyAlignment="1" applyProtection="1">
      <alignment horizontal="center" vertical="center"/>
      <protection hidden="1"/>
    </xf>
    <xf numFmtId="0" fontId="50" fillId="9" borderId="1" xfId="0" applyFont="1" applyFill="1" applyBorder="1" applyAlignment="1" applyProtection="1">
      <alignment horizontal="left" vertical="center"/>
      <protection locked="0"/>
    </xf>
    <xf numFmtId="0" fontId="4" fillId="9" borderId="17" xfId="0" applyFont="1" applyFill="1" applyBorder="1" applyAlignment="1" applyProtection="1">
      <alignment horizontal="left" vertical="center"/>
      <protection locked="0"/>
    </xf>
    <xf numFmtId="0" fontId="4" fillId="9" borderId="16" xfId="0" applyFont="1" applyFill="1" applyBorder="1" applyAlignment="1" applyProtection="1">
      <alignment horizontal="left" vertical="center"/>
      <protection locked="0"/>
    </xf>
    <xf numFmtId="14" fontId="14" fillId="9" borderId="1" xfId="0" applyNumberFormat="1" applyFont="1" applyFill="1" applyBorder="1" applyAlignment="1" applyProtection="1">
      <alignment horizontal="left" vertical="center"/>
      <protection locked="0"/>
    </xf>
    <xf numFmtId="0" fontId="88" fillId="11" borderId="19" xfId="0" applyFont="1" applyFill="1" applyBorder="1" applyAlignment="1" applyProtection="1">
      <alignment horizontal="right" vertical="center"/>
      <protection hidden="1"/>
    </xf>
    <xf numFmtId="0" fontId="88" fillId="11" borderId="20" xfId="0" applyFont="1" applyFill="1" applyBorder="1" applyAlignment="1" applyProtection="1">
      <alignment horizontal="right" vertical="center"/>
      <protection hidden="1"/>
    </xf>
    <xf numFmtId="1" fontId="4" fillId="9" borderId="17" xfId="0" applyNumberFormat="1" applyFont="1" applyFill="1" applyBorder="1" applyAlignment="1" applyProtection="1">
      <alignment horizontal="left" vertical="center"/>
      <protection locked="0"/>
    </xf>
    <xf numFmtId="1" fontId="4" fillId="9" borderId="16" xfId="0" applyNumberFormat="1" applyFont="1" applyFill="1" applyBorder="1" applyAlignment="1" applyProtection="1">
      <alignment horizontal="left" vertical="center"/>
      <protection locked="0"/>
    </xf>
    <xf numFmtId="1" fontId="4" fillId="9" borderId="1" xfId="0" applyNumberFormat="1" applyFont="1" applyFill="1" applyBorder="1" applyAlignment="1" applyProtection="1">
      <alignment horizontal="left" vertical="center"/>
      <protection locked="0"/>
    </xf>
    <xf numFmtId="0" fontId="9" fillId="9" borderId="1" xfId="0" applyFont="1" applyFill="1" applyBorder="1" applyAlignment="1" applyProtection="1">
      <alignment horizontal="left" vertical="center"/>
      <protection locked="0"/>
    </xf>
    <xf numFmtId="0" fontId="4" fillId="9" borderId="1" xfId="0" applyFont="1" applyFill="1" applyBorder="1" applyAlignment="1" applyProtection="1">
      <alignment horizontal="left" vertical="center"/>
      <protection locked="0"/>
    </xf>
    <xf numFmtId="14" fontId="4" fillId="9" borderId="1" xfId="0" applyNumberFormat="1" applyFont="1" applyFill="1" applyBorder="1" applyAlignment="1" applyProtection="1">
      <alignment horizontal="left" vertical="center"/>
      <protection locked="0"/>
    </xf>
    <xf numFmtId="0" fontId="4" fillId="9" borderId="3" xfId="0" applyFont="1" applyFill="1" applyBorder="1" applyAlignment="1" applyProtection="1">
      <alignment horizontal="left" vertical="center"/>
      <protection locked="0"/>
    </xf>
    <xf numFmtId="0" fontId="47" fillId="11" borderId="16" xfId="0" applyFont="1" applyFill="1" applyBorder="1" applyAlignment="1" applyProtection="1">
      <alignment horizontal="right" vertical="center"/>
      <protection hidden="1"/>
    </xf>
    <xf numFmtId="0" fontId="47" fillId="11" borderId="18" xfId="0" applyFont="1" applyFill="1" applyBorder="1" applyAlignment="1" applyProtection="1">
      <alignment horizontal="right" vertical="center"/>
      <protection hidden="1"/>
    </xf>
    <xf numFmtId="0" fontId="46" fillId="11" borderId="0" xfId="0" applyFont="1" applyFill="1" applyAlignment="1" applyProtection="1">
      <alignment horizontal="right" vertical="center"/>
      <protection locked="0"/>
    </xf>
    <xf numFmtId="0" fontId="46" fillId="11" borderId="20" xfId="0" applyFont="1" applyFill="1" applyBorder="1" applyAlignment="1" applyProtection="1">
      <alignment horizontal="right" vertical="center"/>
      <protection locked="0"/>
    </xf>
    <xf numFmtId="0" fontId="46" fillId="11" borderId="0" xfId="0" applyFont="1" applyFill="1" applyAlignment="1" applyProtection="1">
      <alignment horizontal="right" vertical="center"/>
      <protection hidden="1"/>
    </xf>
    <xf numFmtId="0" fontId="47" fillId="11" borderId="0" xfId="0" applyFont="1" applyFill="1" applyAlignment="1" applyProtection="1">
      <alignment horizontal="right" vertical="center"/>
      <protection hidden="1"/>
    </xf>
    <xf numFmtId="0" fontId="47" fillId="11" borderId="20" xfId="0" applyFont="1" applyFill="1" applyBorder="1" applyAlignment="1" applyProtection="1">
      <alignment horizontal="right" vertical="center"/>
      <protection hidden="1"/>
    </xf>
    <xf numFmtId="0" fontId="88" fillId="11" borderId="0" xfId="0" applyFont="1" applyFill="1" applyAlignment="1" applyProtection="1">
      <alignment horizontal="right" vertical="center"/>
      <protection hidden="1"/>
    </xf>
    <xf numFmtId="0" fontId="47" fillId="11" borderId="19" xfId="0" applyFont="1" applyFill="1" applyBorder="1" applyAlignment="1" applyProtection="1">
      <alignment horizontal="right" vertical="center"/>
      <protection hidden="1"/>
    </xf>
    <xf numFmtId="0" fontId="168" fillId="9" borderId="50" xfId="22" applyFont="1" applyFill="1" applyBorder="1" applyAlignment="1" applyProtection="1">
      <alignment horizontal="center" vertical="center"/>
      <protection hidden="1"/>
    </xf>
    <xf numFmtId="0" fontId="168" fillId="9" borderId="51" xfId="22" applyFont="1" applyFill="1" applyBorder="1" applyAlignment="1" applyProtection="1">
      <alignment horizontal="center" vertical="center"/>
      <protection hidden="1"/>
    </xf>
    <xf numFmtId="0" fontId="46" fillId="11" borderId="0" xfId="0" applyFont="1" applyFill="1" applyAlignment="1" applyProtection="1">
      <alignment horizontal="center" vertical="center"/>
      <protection hidden="1"/>
    </xf>
    <xf numFmtId="0" fontId="89" fillId="11" borderId="0" xfId="0" applyFont="1" applyFill="1" applyAlignment="1" applyProtection="1">
      <alignment horizontal="center" vertical="center"/>
      <protection hidden="1"/>
    </xf>
    <xf numFmtId="0" fontId="86" fillId="11" borderId="0" xfId="0" applyFont="1" applyFill="1" applyAlignment="1" applyProtection="1">
      <alignment horizontal="left" vertical="center"/>
      <protection hidden="1"/>
    </xf>
    <xf numFmtId="0" fontId="86" fillId="11" borderId="0" xfId="0" applyFont="1" applyFill="1" applyBorder="1" applyAlignment="1" applyProtection="1">
      <alignment horizontal="left" vertical="center"/>
      <protection hidden="1"/>
    </xf>
    <xf numFmtId="0" fontId="86" fillId="11" borderId="20" xfId="0" applyFont="1" applyFill="1" applyBorder="1" applyAlignment="1" applyProtection="1">
      <alignment horizontal="left" vertical="center"/>
      <protection hidden="1"/>
    </xf>
    <xf numFmtId="0" fontId="198" fillId="11" borderId="0" xfId="0" applyFont="1" applyFill="1" applyAlignment="1" applyProtection="1">
      <alignment horizontal="left" vertical="center"/>
      <protection hidden="1"/>
    </xf>
    <xf numFmtId="0" fontId="159" fillId="9" borderId="50" xfId="0" applyFont="1" applyFill="1" applyBorder="1" applyAlignment="1" applyProtection="1">
      <alignment horizontal="center" vertical="center"/>
      <protection hidden="1"/>
    </xf>
    <xf numFmtId="0" fontId="159" fillId="9" borderId="51" xfId="0" applyFont="1" applyFill="1" applyBorder="1" applyAlignment="1" applyProtection="1">
      <alignment horizontal="center" vertical="center"/>
      <protection hidden="1"/>
    </xf>
    <xf numFmtId="0" fontId="160" fillId="9" borderId="50" xfId="0" applyFont="1" applyFill="1" applyBorder="1" applyAlignment="1" applyProtection="1">
      <alignment horizontal="center" vertical="center"/>
      <protection hidden="1"/>
    </xf>
    <xf numFmtId="0" fontId="160" fillId="9" borderId="51" xfId="0" applyFont="1" applyFill="1" applyBorder="1" applyAlignment="1" applyProtection="1">
      <alignment horizontal="center" vertical="center"/>
      <protection hidden="1"/>
    </xf>
    <xf numFmtId="0" fontId="161" fillId="9" borderId="50" xfId="0" applyFont="1" applyFill="1" applyBorder="1" applyAlignment="1" applyProtection="1">
      <alignment horizontal="center" vertical="center"/>
      <protection hidden="1"/>
    </xf>
    <xf numFmtId="0" fontId="161" fillId="9" borderId="51" xfId="0" applyFont="1" applyFill="1" applyBorder="1" applyAlignment="1" applyProtection="1">
      <alignment horizontal="center" vertical="center"/>
      <protection hidden="1"/>
    </xf>
    <xf numFmtId="0" fontId="162" fillId="9" borderId="50" xfId="0" applyFont="1" applyFill="1" applyBorder="1" applyAlignment="1" applyProtection="1">
      <alignment horizontal="center" vertical="center"/>
      <protection hidden="1"/>
    </xf>
    <xf numFmtId="0" fontId="162" fillId="9" borderId="51" xfId="0" applyFont="1" applyFill="1" applyBorder="1" applyAlignment="1" applyProtection="1">
      <alignment horizontal="center" vertical="center"/>
      <protection hidden="1"/>
    </xf>
    <xf numFmtId="0" fontId="163" fillId="9" borderId="50" xfId="0" applyFont="1" applyFill="1" applyBorder="1" applyAlignment="1" applyProtection="1">
      <alignment horizontal="center" vertical="center"/>
      <protection hidden="1"/>
    </xf>
    <xf numFmtId="0" fontId="163" fillId="9" borderId="51" xfId="0" applyFont="1" applyFill="1" applyBorder="1" applyAlignment="1" applyProtection="1">
      <alignment horizontal="center" vertical="center"/>
      <protection hidden="1"/>
    </xf>
    <xf numFmtId="0" fontId="0" fillId="0" borderId="16" xfId="0" applyBorder="1" applyAlignment="1" applyProtection="1">
      <alignment horizontal="center"/>
      <protection hidden="1"/>
    </xf>
    <xf numFmtId="0" fontId="110" fillId="9" borderId="0" xfId="0" applyFont="1" applyFill="1" applyAlignment="1" applyProtection="1">
      <alignment horizontal="center" vertical="center"/>
      <protection locked="0"/>
    </xf>
    <xf numFmtId="0" fontId="26" fillId="10" borderId="0" xfId="0" applyFont="1" applyFill="1" applyAlignment="1" applyProtection="1">
      <alignment horizontal="center" vertical="center"/>
      <protection hidden="1"/>
    </xf>
    <xf numFmtId="0" fontId="0" fillId="18" borderId="46" xfId="0" applyFill="1" applyBorder="1" applyAlignment="1" applyProtection="1">
      <alignment horizontal="center"/>
      <protection hidden="1"/>
    </xf>
    <xf numFmtId="0" fontId="0" fillId="19" borderId="46" xfId="0" applyFill="1" applyBorder="1" applyAlignment="1" applyProtection="1">
      <alignment horizontal="center"/>
      <protection hidden="1"/>
    </xf>
    <xf numFmtId="0" fontId="27" fillId="10" borderId="70" xfId="0" applyFont="1" applyFill="1" applyBorder="1" applyAlignment="1" applyProtection="1">
      <alignment horizontal="center" vertical="center" wrapText="1"/>
      <protection hidden="1"/>
    </xf>
    <xf numFmtId="0" fontId="27" fillId="10" borderId="1" xfId="0" applyFont="1" applyFill="1" applyBorder="1" applyAlignment="1" applyProtection="1">
      <alignment horizontal="center" vertical="center" wrapText="1"/>
      <protection hidden="1"/>
    </xf>
    <xf numFmtId="0" fontId="25" fillId="10" borderId="0" xfId="0" applyFont="1" applyFill="1" applyAlignment="1" applyProtection="1">
      <alignment horizontal="center" vertical="center" wrapText="1"/>
      <protection hidden="1"/>
    </xf>
    <xf numFmtId="0" fontId="25" fillId="10" borderId="0" xfId="0" applyFont="1" applyFill="1" applyAlignment="1" applyProtection="1">
      <alignment horizontal="center" vertical="center"/>
      <protection hidden="1"/>
    </xf>
    <xf numFmtId="0" fontId="14" fillId="20" borderId="0" xfId="0" applyFont="1" applyFill="1" applyAlignment="1" applyProtection="1">
      <alignment horizontal="left" vertical="center"/>
      <protection hidden="1"/>
    </xf>
    <xf numFmtId="0" fontId="0" fillId="7" borderId="46" xfId="0" applyFill="1" applyBorder="1" applyAlignment="1" applyProtection="1">
      <alignment horizontal="center"/>
      <protection hidden="1"/>
    </xf>
    <xf numFmtId="0" fontId="29" fillId="10" borderId="69" xfId="0" applyFont="1" applyFill="1" applyBorder="1" applyAlignment="1" applyProtection="1">
      <alignment horizontal="center" vertical="center" wrapText="1"/>
      <protection hidden="1"/>
    </xf>
    <xf numFmtId="0" fontId="29" fillId="10" borderId="72" xfId="0" applyFont="1" applyFill="1" applyBorder="1" applyAlignment="1" applyProtection="1">
      <alignment horizontal="center" vertical="center" wrapText="1"/>
      <protection hidden="1"/>
    </xf>
    <xf numFmtId="0" fontId="27" fillId="10" borderId="71" xfId="0" applyFont="1" applyFill="1" applyBorder="1" applyAlignment="1" applyProtection="1">
      <alignment horizontal="center" vertical="center" wrapText="1"/>
      <protection hidden="1"/>
    </xf>
    <xf numFmtId="0" fontId="27" fillId="10" borderId="73" xfId="0" applyFont="1" applyFill="1" applyBorder="1" applyAlignment="1" applyProtection="1">
      <alignment horizontal="center" vertical="center" wrapText="1"/>
      <protection hidden="1"/>
    </xf>
    <xf numFmtId="0" fontId="131" fillId="12" borderId="0" xfId="0" applyFont="1" applyFill="1" applyBorder="1" applyAlignment="1" applyProtection="1">
      <alignment horizontal="right"/>
      <protection hidden="1"/>
    </xf>
    <xf numFmtId="0" fontId="132" fillId="12" borderId="0" xfId="0" applyFont="1" applyFill="1" applyBorder="1" applyAlignment="1" applyProtection="1">
      <alignment horizontal="right"/>
      <protection hidden="1"/>
    </xf>
    <xf numFmtId="0" fontId="183" fillId="12" borderId="13" xfId="0" applyFont="1" applyFill="1" applyBorder="1" applyAlignment="1" applyProtection="1">
      <alignment vertical="center" wrapText="1"/>
      <protection hidden="1"/>
    </xf>
    <xf numFmtId="0" fontId="147" fillId="12" borderId="13" xfId="0" applyFont="1" applyFill="1" applyBorder="1" applyAlignment="1" applyProtection="1">
      <alignment horizontal="left" wrapText="1"/>
      <protection hidden="1"/>
    </xf>
    <xf numFmtId="0" fontId="191" fillId="12" borderId="13" xfId="0" applyFont="1" applyFill="1" applyBorder="1" applyAlignment="1" applyProtection="1">
      <alignment horizontal="left" wrapText="1"/>
      <protection hidden="1"/>
    </xf>
    <xf numFmtId="0" fontId="127" fillId="12" borderId="0" xfId="0" applyFont="1" applyFill="1" applyBorder="1" applyAlignment="1" applyProtection="1">
      <alignment horizontal="right"/>
      <protection hidden="1"/>
    </xf>
    <xf numFmtId="0" fontId="128" fillId="12" borderId="0" xfId="0" applyFont="1" applyFill="1" applyBorder="1" applyAlignment="1" applyProtection="1">
      <alignment horizontal="right" vertical="center"/>
      <protection hidden="1"/>
    </xf>
    <xf numFmtId="0" fontId="130" fillId="12" borderId="0" xfId="0" applyFont="1" applyFill="1" applyBorder="1" applyAlignment="1" applyProtection="1">
      <alignment horizontal="right"/>
      <protection hidden="1"/>
    </xf>
    <xf numFmtId="0" fontId="151" fillId="12" borderId="4" xfId="0" applyFont="1" applyFill="1" applyBorder="1" applyAlignment="1" applyProtection="1">
      <alignment horizontal="left" vertical="center"/>
      <protection hidden="1"/>
    </xf>
    <xf numFmtId="0" fontId="151" fillId="12" borderId="5" xfId="0" applyFont="1" applyFill="1" applyBorder="1" applyAlignment="1" applyProtection="1">
      <alignment horizontal="left" vertical="center"/>
      <protection hidden="1"/>
    </xf>
    <xf numFmtId="0" fontId="151" fillId="12" borderId="26" xfId="0" applyFont="1" applyFill="1" applyBorder="1" applyAlignment="1" applyProtection="1">
      <alignment horizontal="left" vertical="center"/>
      <protection hidden="1"/>
    </xf>
    <xf numFmtId="0" fontId="19" fillId="7" borderId="0" xfId="0" applyFont="1" applyFill="1" applyAlignment="1" applyProtection="1">
      <alignment horizontal="center" vertical="center"/>
      <protection hidden="1"/>
    </xf>
    <xf numFmtId="0" fontId="93" fillId="12" borderId="0" xfId="0" applyFont="1" applyFill="1" applyBorder="1" applyAlignment="1" applyProtection="1">
      <alignment horizontal="center" vertical="center" wrapText="1"/>
      <protection hidden="1"/>
    </xf>
    <xf numFmtId="0" fontId="138" fillId="12" borderId="0" xfId="0" applyFont="1" applyFill="1" applyBorder="1" applyAlignment="1" applyProtection="1">
      <alignment horizontal="center" vertical="center"/>
      <protection hidden="1"/>
    </xf>
    <xf numFmtId="2" fontId="91" fillId="14" borderId="0" xfId="9" applyNumberFormat="1" applyFont="1" applyFill="1" applyBorder="1" applyAlignment="1" applyProtection="1">
      <alignment horizontal="left" vertical="center" wrapText="1"/>
      <protection hidden="1"/>
    </xf>
    <xf numFmtId="2" fontId="91" fillId="14" borderId="20" xfId="9" applyNumberFormat="1" applyFont="1" applyFill="1" applyBorder="1" applyAlignment="1" applyProtection="1">
      <alignment horizontal="left" vertical="center" wrapText="1"/>
      <protection hidden="1"/>
    </xf>
    <xf numFmtId="2" fontId="91" fillId="15" borderId="0" xfId="9" applyNumberFormat="1" applyFont="1" applyFill="1" applyBorder="1" applyAlignment="1" applyProtection="1">
      <alignment horizontal="left" vertical="center"/>
      <protection hidden="1"/>
    </xf>
    <xf numFmtId="2" fontId="91" fillId="15" borderId="20" xfId="9" applyNumberFormat="1" applyFont="1" applyFill="1" applyBorder="1" applyAlignment="1" applyProtection="1">
      <alignment horizontal="left" vertical="center"/>
      <protection hidden="1"/>
    </xf>
    <xf numFmtId="2" fontId="91" fillId="14" borderId="0" xfId="9" applyNumberFormat="1" applyFont="1" applyFill="1" applyBorder="1" applyAlignment="1" applyProtection="1">
      <alignment horizontal="left" vertical="center"/>
      <protection hidden="1"/>
    </xf>
    <xf numFmtId="2" fontId="91" fillId="14" borderId="20" xfId="9" applyNumberFormat="1" applyFont="1" applyFill="1" applyBorder="1" applyAlignment="1" applyProtection="1">
      <alignment horizontal="left" vertical="center"/>
      <protection hidden="1"/>
    </xf>
    <xf numFmtId="0" fontId="6" fillId="0" borderId="8"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protection hidden="1"/>
    </xf>
    <xf numFmtId="0" fontId="85" fillId="0" borderId="5" xfId="0" applyFont="1" applyBorder="1" applyAlignment="1" applyProtection="1">
      <alignment horizontal="left" vertical="center" wrapText="1"/>
      <protection hidden="1"/>
    </xf>
    <xf numFmtId="1" fontId="9" fillId="0" borderId="21" xfId="0" applyNumberFormat="1" applyFont="1" applyBorder="1" applyAlignment="1" applyProtection="1">
      <alignment horizontal="left" vertical="center" wrapText="1"/>
      <protection hidden="1"/>
    </xf>
    <xf numFmtId="1" fontId="9" fillId="0" borderId="23" xfId="0" applyNumberFormat="1" applyFont="1" applyBorder="1" applyAlignment="1" applyProtection="1">
      <alignment horizontal="left" vertical="center" wrapText="1"/>
      <protection hidden="1"/>
    </xf>
    <xf numFmtId="0" fontId="4" fillId="0" borderId="21" xfId="0" applyFont="1" applyBorder="1" applyAlignment="1" applyProtection="1">
      <alignment horizontal="left" vertical="center" wrapText="1"/>
      <protection hidden="1"/>
    </xf>
    <xf numFmtId="1" fontId="4" fillId="0" borderId="21" xfId="0" applyNumberFormat="1" applyFont="1" applyBorder="1" applyAlignment="1" applyProtection="1">
      <alignment horizontal="left" vertical="center" wrapText="1"/>
      <protection hidden="1"/>
    </xf>
    <xf numFmtId="0" fontId="4"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26" xfId="0" applyFont="1" applyBorder="1" applyAlignment="1" applyProtection="1">
      <alignment horizontal="center" vertical="center" wrapText="1"/>
      <protection hidden="1"/>
    </xf>
    <xf numFmtId="0" fontId="9" fillId="0" borderId="5" xfId="0" applyFont="1" applyBorder="1" applyAlignment="1" applyProtection="1">
      <alignment horizontal="left" vertical="center" wrapText="1"/>
      <protection hidden="1"/>
    </xf>
    <xf numFmtId="0" fontId="6" fillId="0" borderId="5" xfId="0" applyFont="1" applyBorder="1" applyAlignment="1" applyProtection="1">
      <alignment horizontal="right" vertical="center" wrapText="1"/>
      <protection hidden="1"/>
    </xf>
    <xf numFmtId="0" fontId="6" fillId="0" borderId="4" xfId="0" applyFont="1" applyBorder="1" applyAlignment="1" applyProtection="1">
      <alignment horizontal="right" vertical="center" wrapText="1"/>
      <protection hidden="1"/>
    </xf>
    <xf numFmtId="0" fontId="6" fillId="0" borderId="45" xfId="0" applyFont="1" applyBorder="1" applyAlignment="1" applyProtection="1">
      <alignment horizontal="right" vertical="center" wrapText="1"/>
      <protection hidden="1"/>
    </xf>
    <xf numFmtId="0" fontId="6" fillId="0" borderId="21" xfId="0" applyFont="1" applyBorder="1" applyAlignment="1" applyProtection="1">
      <alignment horizontal="right" vertical="center" wrapText="1"/>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3" fillId="0" borderId="1" xfId="0" applyFont="1" applyBorder="1" applyAlignment="1" applyProtection="1">
      <alignment horizontal="center" vertical="center" textRotation="90"/>
      <protection hidden="1"/>
    </xf>
    <xf numFmtId="0" fontId="3" fillId="0" borderId="27" xfId="0" applyFont="1" applyBorder="1" applyAlignment="1" applyProtection="1">
      <alignment horizontal="center" vertical="center" textRotation="90"/>
      <protection hidden="1"/>
    </xf>
    <xf numFmtId="0" fontId="6" fillId="0" borderId="21"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68" fillId="0" borderId="0" xfId="6" applyFont="1" applyBorder="1" applyAlignment="1" applyProtection="1">
      <alignment horizontal="center" vertical="center"/>
      <protection hidden="1"/>
    </xf>
    <xf numFmtId="0" fontId="73" fillId="0" borderId="10" xfId="6" applyFont="1" applyBorder="1" applyAlignment="1" applyProtection="1">
      <alignment horizontal="center" vertical="center" wrapText="1"/>
      <protection hidden="1"/>
    </xf>
    <xf numFmtId="0" fontId="73" fillId="0" borderId="9" xfId="6" applyFont="1" applyBorder="1" applyAlignment="1" applyProtection="1">
      <alignment horizontal="center" vertical="center" wrapText="1"/>
      <protection hidden="1"/>
    </xf>
    <xf numFmtId="1" fontId="34" fillId="0" borderId="1" xfId="6" applyNumberFormat="1" applyFont="1" applyBorder="1" applyAlignment="1" applyProtection="1">
      <alignment horizontal="center" vertical="center" wrapText="1"/>
      <protection hidden="1"/>
    </xf>
    <xf numFmtId="0" fontId="61" fillId="0" borderId="42" xfId="6" applyFont="1" applyBorder="1" applyAlignment="1" applyProtection="1">
      <alignment horizontal="right" vertical="center"/>
      <protection hidden="1"/>
    </xf>
    <xf numFmtId="0" fontId="61" fillId="0" borderId="43" xfId="6" applyFont="1" applyBorder="1" applyAlignment="1" applyProtection="1">
      <alignment horizontal="right" vertical="center"/>
      <protection hidden="1"/>
    </xf>
    <xf numFmtId="0" fontId="54" fillId="0" borderId="10" xfId="6" applyFont="1" applyBorder="1" applyAlignment="1" applyProtection="1">
      <alignment horizontal="center"/>
      <protection hidden="1"/>
    </xf>
    <xf numFmtId="0" fontId="54" fillId="0" borderId="11" xfId="6" applyFont="1" applyBorder="1" applyAlignment="1" applyProtection="1">
      <alignment horizontal="center"/>
      <protection hidden="1"/>
    </xf>
    <xf numFmtId="0" fontId="54" fillId="0" borderId="9" xfId="6" applyFont="1" applyBorder="1" applyAlignment="1" applyProtection="1">
      <alignment horizontal="center"/>
      <protection hidden="1"/>
    </xf>
    <xf numFmtId="0" fontId="75" fillId="0" borderId="1" xfId="6" applyFont="1" applyBorder="1" applyAlignment="1" applyProtection="1">
      <alignment horizontal="left"/>
      <protection hidden="1"/>
    </xf>
    <xf numFmtId="0" fontId="74" fillId="0" borderId="1" xfId="6" applyFont="1" applyBorder="1" applyAlignment="1" applyProtection="1">
      <alignment horizontal="left"/>
      <protection hidden="1"/>
    </xf>
    <xf numFmtId="0" fontId="74" fillId="0" borderId="10" xfId="6" applyFont="1" applyBorder="1" applyAlignment="1" applyProtection="1">
      <alignment horizontal="left"/>
      <protection hidden="1"/>
    </xf>
    <xf numFmtId="0" fontId="74" fillId="0" borderId="11" xfId="6" applyFont="1" applyBorder="1" applyAlignment="1" applyProtection="1">
      <alignment horizontal="left"/>
      <protection hidden="1"/>
    </xf>
    <xf numFmtId="0" fontId="74" fillId="0" borderId="9" xfId="6" applyFont="1" applyBorder="1" applyAlignment="1" applyProtection="1">
      <alignment horizontal="left"/>
      <protection hidden="1"/>
    </xf>
    <xf numFmtId="0" fontId="77" fillId="0" borderId="1" xfId="6" applyFont="1" applyBorder="1" applyAlignment="1" applyProtection="1">
      <alignment horizontal="left" vertical="center"/>
      <protection hidden="1"/>
    </xf>
    <xf numFmtId="2" fontId="77" fillId="0" borderId="10" xfId="5" applyNumberFormat="1" applyFont="1" applyBorder="1" applyAlignment="1" applyProtection="1">
      <alignment horizontal="left"/>
      <protection hidden="1"/>
    </xf>
    <xf numFmtId="2" fontId="77" fillId="0" borderId="11" xfId="5" applyNumberFormat="1" applyFont="1" applyBorder="1" applyAlignment="1" applyProtection="1">
      <alignment horizontal="left"/>
      <protection hidden="1"/>
    </xf>
    <xf numFmtId="2" fontId="77" fillId="0" borderId="9" xfId="5" applyNumberFormat="1" applyFont="1" applyBorder="1" applyAlignment="1" applyProtection="1">
      <alignment horizontal="left"/>
      <protection hidden="1"/>
    </xf>
    <xf numFmtId="0" fontId="74" fillId="0" borderId="1" xfId="6" applyFont="1" applyBorder="1" applyAlignment="1" applyProtection="1">
      <alignment horizontal="left" vertical="center"/>
      <protection hidden="1"/>
    </xf>
    <xf numFmtId="0" fontId="75" fillId="0" borderId="10" xfId="6" applyFont="1" applyBorder="1" applyAlignment="1" applyProtection="1">
      <alignment horizontal="center" vertical="center" wrapText="1"/>
      <protection hidden="1"/>
    </xf>
    <xf numFmtId="0" fontId="75" fillId="0" borderId="9" xfId="6" applyFont="1" applyBorder="1" applyAlignment="1" applyProtection="1">
      <alignment horizontal="center" vertical="center" wrapText="1"/>
      <protection hidden="1"/>
    </xf>
    <xf numFmtId="0" fontId="34" fillId="0" borderId="35" xfId="6" applyFont="1" applyBorder="1" applyAlignment="1" applyProtection="1">
      <alignment horizontal="center" vertical="top"/>
      <protection hidden="1"/>
    </xf>
    <xf numFmtId="0" fontId="34" fillId="0" borderId="37" xfId="6" applyFont="1" applyBorder="1" applyAlignment="1" applyProtection="1">
      <alignment horizontal="center" vertical="top"/>
      <protection hidden="1"/>
    </xf>
    <xf numFmtId="0" fontId="54" fillId="0" borderId="1" xfId="6" applyFont="1" applyBorder="1" applyAlignment="1" applyProtection="1">
      <alignment horizontal="center"/>
      <protection hidden="1"/>
    </xf>
    <xf numFmtId="0" fontId="34" fillId="0" borderId="38" xfId="6" applyFont="1" applyBorder="1" applyAlignment="1" applyProtection="1">
      <alignment horizontal="center" vertical="top"/>
      <protection hidden="1"/>
    </xf>
    <xf numFmtId="0" fontId="77" fillId="0" borderId="34" xfId="6" applyFont="1" applyBorder="1" applyAlignment="1" applyProtection="1">
      <alignment horizontal="left" vertical="center"/>
      <protection hidden="1"/>
    </xf>
    <xf numFmtId="0" fontId="75" fillId="0" borderId="1" xfId="6" applyFont="1" applyFill="1" applyBorder="1" applyAlignment="1" applyProtection="1">
      <alignment horizontal="left" vertical="center"/>
      <protection hidden="1"/>
    </xf>
    <xf numFmtId="0" fontId="34" fillId="0" borderId="1" xfId="6" applyFont="1" applyBorder="1" applyAlignment="1" applyProtection="1">
      <alignment horizontal="center" vertical="center" wrapText="1"/>
      <protection hidden="1"/>
    </xf>
    <xf numFmtId="0" fontId="75" fillId="0" borderId="1" xfId="6" applyFont="1" applyFill="1" applyBorder="1" applyAlignment="1" applyProtection="1">
      <alignment vertical="center"/>
      <protection hidden="1"/>
    </xf>
    <xf numFmtId="0" fontId="78" fillId="0" borderId="10" xfId="6" applyFont="1" applyBorder="1" applyAlignment="1" applyProtection="1">
      <alignment horizontal="left" vertical="top"/>
      <protection hidden="1"/>
    </xf>
    <xf numFmtId="0" fontId="78" fillId="0" borderId="11" xfId="6" applyFont="1" applyBorder="1" applyAlignment="1" applyProtection="1">
      <alignment horizontal="left" vertical="top"/>
      <protection hidden="1"/>
    </xf>
    <xf numFmtId="0" fontId="78" fillId="0" borderId="9" xfId="6" applyFont="1" applyBorder="1" applyAlignment="1" applyProtection="1">
      <alignment horizontal="left" vertical="top"/>
      <protection hidden="1"/>
    </xf>
    <xf numFmtId="1" fontId="34" fillId="9" borderId="10" xfId="6" applyNumberFormat="1" applyFont="1" applyFill="1" applyBorder="1" applyAlignment="1" applyProtection="1">
      <alignment horizontal="center" vertical="center"/>
      <protection hidden="1"/>
    </xf>
    <xf numFmtId="1" fontId="34" fillId="9" borderId="11" xfId="6" applyNumberFormat="1" applyFont="1" applyFill="1" applyBorder="1" applyAlignment="1" applyProtection="1">
      <alignment horizontal="center" vertical="center"/>
      <protection hidden="1"/>
    </xf>
    <xf numFmtId="0" fontId="74" fillId="0" borderId="36" xfId="6" applyFont="1" applyBorder="1" applyAlignment="1" applyProtection="1">
      <alignment horizontal="left"/>
      <protection hidden="1"/>
    </xf>
    <xf numFmtId="0" fontId="74" fillId="0" borderId="10" xfId="6" applyFont="1" applyBorder="1" applyAlignment="1" applyProtection="1">
      <alignment horizontal="left" vertical="center"/>
      <protection hidden="1"/>
    </xf>
    <xf numFmtId="0" fontId="74" fillId="0" borderId="11" xfId="6" applyFont="1" applyBorder="1" applyAlignment="1" applyProtection="1">
      <alignment horizontal="left" vertical="center"/>
      <protection hidden="1"/>
    </xf>
    <xf numFmtId="0" fontId="31" fillId="0" borderId="11" xfId="6" applyFont="1" applyBorder="1" applyAlignment="1" applyProtection="1">
      <alignment horizontal="center" vertical="center"/>
      <protection hidden="1"/>
    </xf>
    <xf numFmtId="0" fontId="74" fillId="0" borderId="11" xfId="6" applyFont="1" applyBorder="1" applyAlignment="1" applyProtection="1">
      <alignment horizontal="center" vertical="center"/>
      <protection hidden="1"/>
    </xf>
    <xf numFmtId="0" fontId="74" fillId="0" borderId="36" xfId="6" applyFont="1" applyBorder="1" applyAlignment="1" applyProtection="1">
      <alignment horizontal="center" vertical="center"/>
      <protection hidden="1"/>
    </xf>
    <xf numFmtId="0" fontId="76" fillId="0" borderId="1" xfId="6" applyFont="1" applyFill="1" applyBorder="1" applyAlignment="1" applyProtection="1">
      <alignment horizontal="left" vertical="center" wrapText="1"/>
      <protection hidden="1"/>
    </xf>
    <xf numFmtId="0" fontId="55" fillId="0" borderId="17" xfId="6" applyFont="1" applyBorder="1" applyAlignment="1" applyProtection="1">
      <alignment horizontal="center" vertical="center"/>
      <protection hidden="1"/>
    </xf>
    <xf numFmtId="0" fontId="55" fillId="0" borderId="39" xfId="6" applyFont="1" applyBorder="1" applyAlignment="1" applyProtection="1">
      <alignment horizontal="center" vertical="center"/>
      <protection hidden="1"/>
    </xf>
    <xf numFmtId="0" fontId="55" fillId="0" borderId="19" xfId="6" applyFont="1" applyBorder="1" applyAlignment="1" applyProtection="1">
      <alignment horizontal="center" vertical="center"/>
      <protection hidden="1"/>
    </xf>
    <xf numFmtId="0" fontId="55" fillId="0" borderId="40" xfId="6" applyFont="1" applyBorder="1" applyAlignment="1" applyProtection="1">
      <alignment horizontal="center" vertical="center"/>
      <protection hidden="1"/>
    </xf>
    <xf numFmtId="0" fontId="55" fillId="0" borderId="22" xfId="6" applyFont="1" applyBorder="1" applyAlignment="1" applyProtection="1">
      <alignment horizontal="center" vertical="center"/>
      <protection hidden="1"/>
    </xf>
    <xf numFmtId="0" fontId="55" fillId="0" borderId="41" xfId="6" applyFont="1" applyBorder="1" applyAlignment="1" applyProtection="1">
      <alignment horizontal="center" vertical="center"/>
      <protection hidden="1"/>
    </xf>
    <xf numFmtId="0" fontId="75" fillId="0" borderId="10" xfId="6" applyFont="1" applyBorder="1" applyAlignment="1" applyProtection="1">
      <alignment horizontal="left"/>
      <protection hidden="1"/>
    </xf>
    <xf numFmtId="0" fontId="75" fillId="0" borderId="11" xfId="6" applyFont="1" applyBorder="1" applyAlignment="1" applyProtection="1">
      <alignment horizontal="left"/>
      <protection hidden="1"/>
    </xf>
    <xf numFmtId="0" fontId="74" fillId="0" borderId="1" xfId="6" applyFont="1" applyBorder="1" applyAlignment="1" applyProtection="1">
      <alignment horizontal="right" vertical="center"/>
      <protection hidden="1"/>
    </xf>
    <xf numFmtId="0" fontId="73" fillId="0" borderId="1" xfId="6" applyFont="1" applyFill="1" applyBorder="1" applyAlignment="1" applyProtection="1">
      <alignment vertical="center"/>
      <protection hidden="1"/>
    </xf>
    <xf numFmtId="0" fontId="73" fillId="0" borderId="1" xfId="6" applyFont="1" applyBorder="1" applyAlignment="1" applyProtection="1">
      <alignment horizontal="center" vertical="center" wrapText="1"/>
      <protection hidden="1"/>
    </xf>
    <xf numFmtId="2" fontId="77" fillId="0" borderId="1" xfId="5" applyNumberFormat="1" applyFont="1" applyBorder="1" applyAlignment="1" applyProtection="1">
      <alignment horizontal="center" vertical="center"/>
      <protection hidden="1"/>
    </xf>
    <xf numFmtId="0" fontId="77" fillId="0" borderId="16" xfId="6" applyFont="1" applyBorder="1" applyAlignment="1" applyProtection="1">
      <alignment horizontal="center" vertical="center" wrapText="1"/>
      <protection hidden="1"/>
    </xf>
    <xf numFmtId="0" fontId="77" fillId="0" borderId="18" xfId="6" applyFont="1" applyBorder="1" applyAlignment="1" applyProtection="1">
      <alignment horizontal="center" vertical="center" wrapText="1"/>
      <protection hidden="1"/>
    </xf>
    <xf numFmtId="0" fontId="77" fillId="0" borderId="21" xfId="6" applyFont="1" applyBorder="1" applyAlignment="1" applyProtection="1">
      <alignment horizontal="center" vertical="center" wrapText="1"/>
      <protection hidden="1"/>
    </xf>
    <xf numFmtId="0" fontId="77" fillId="0" borderId="25" xfId="6" applyFont="1" applyBorder="1" applyAlignment="1" applyProtection="1">
      <alignment horizontal="center" vertical="center" wrapText="1"/>
      <protection hidden="1"/>
    </xf>
    <xf numFmtId="0" fontId="58" fillId="0" borderId="1" xfId="6" applyFont="1" applyBorder="1" applyAlignment="1" applyProtection="1">
      <alignment horizontal="left" vertical="center"/>
      <protection hidden="1"/>
    </xf>
    <xf numFmtId="0" fontId="51" fillId="0" borderId="10" xfId="6" applyFont="1" applyBorder="1" applyAlignment="1" applyProtection="1">
      <alignment horizontal="center"/>
      <protection hidden="1"/>
    </xf>
    <xf numFmtId="0" fontId="51" fillId="0" borderId="11" xfId="6" applyFont="1" applyBorder="1" applyAlignment="1" applyProtection="1">
      <alignment horizontal="center"/>
      <protection hidden="1"/>
    </xf>
    <xf numFmtId="0" fontId="51" fillId="0" borderId="9" xfId="6" applyFont="1" applyBorder="1" applyAlignment="1" applyProtection="1">
      <alignment horizontal="center"/>
      <protection hidden="1"/>
    </xf>
    <xf numFmtId="2" fontId="31" fillId="0" borderId="1" xfId="0" applyNumberFormat="1" applyFont="1" applyBorder="1" applyAlignment="1" applyProtection="1">
      <alignment horizontal="center" vertical="center"/>
      <protection hidden="1"/>
    </xf>
    <xf numFmtId="2" fontId="74" fillId="0" borderId="10" xfId="0" applyNumberFormat="1" applyFont="1" applyBorder="1" applyAlignment="1" applyProtection="1">
      <alignment horizontal="center"/>
      <protection hidden="1"/>
    </xf>
    <xf numFmtId="2" fontId="74" fillId="0" borderId="11" xfId="0" applyNumberFormat="1" applyFont="1" applyBorder="1" applyAlignment="1" applyProtection="1">
      <alignment horizontal="center"/>
      <protection hidden="1"/>
    </xf>
    <xf numFmtId="0" fontId="43" fillId="0" borderId="10" xfId="6" applyFont="1" applyBorder="1" applyAlignment="1" applyProtection="1">
      <alignment horizontal="left"/>
      <protection hidden="1"/>
    </xf>
    <xf numFmtId="0" fontId="43" fillId="0" borderId="11" xfId="6" applyFont="1" applyBorder="1" applyAlignment="1" applyProtection="1">
      <alignment horizontal="left"/>
      <protection hidden="1"/>
    </xf>
    <xf numFmtId="0" fontId="43" fillId="0" borderId="9" xfId="6" applyFont="1" applyBorder="1" applyAlignment="1" applyProtection="1">
      <alignment horizontal="left"/>
      <protection hidden="1"/>
    </xf>
    <xf numFmtId="0" fontId="53" fillId="0" borderId="11" xfId="6" applyFont="1" applyBorder="1" applyAlignment="1" applyProtection="1">
      <alignment horizontal="right" vertical="center"/>
      <protection hidden="1"/>
    </xf>
    <xf numFmtId="0" fontId="79" fillId="0" borderId="11" xfId="6" applyFont="1" applyBorder="1" applyAlignment="1" applyProtection="1">
      <alignment horizontal="right" vertical="center"/>
      <protection hidden="1"/>
    </xf>
    <xf numFmtId="0" fontId="79" fillId="0" borderId="9" xfId="6" applyFont="1" applyBorder="1" applyAlignment="1" applyProtection="1">
      <alignment horizontal="right" vertical="center"/>
      <protection hidden="1"/>
    </xf>
    <xf numFmtId="2" fontId="74" fillId="0" borderId="10" xfId="5" applyNumberFormat="1" applyFont="1" applyBorder="1" applyAlignment="1" applyProtection="1">
      <alignment horizontal="left"/>
      <protection hidden="1"/>
    </xf>
    <xf numFmtId="2" fontId="74" fillId="0" borderId="11" xfId="5" applyNumberFormat="1" applyFont="1" applyBorder="1" applyAlignment="1" applyProtection="1">
      <alignment horizontal="left"/>
      <protection hidden="1"/>
    </xf>
    <xf numFmtId="2" fontId="74" fillId="0" borderId="9" xfId="5" applyNumberFormat="1" applyFont="1" applyBorder="1" applyAlignment="1" applyProtection="1">
      <alignment horizontal="left"/>
      <protection hidden="1"/>
    </xf>
    <xf numFmtId="0" fontId="73" fillId="0" borderId="1" xfId="6" applyFont="1" applyFill="1" applyBorder="1" applyAlignment="1" applyProtection="1">
      <alignment horizontal="left" vertical="center"/>
      <protection hidden="1"/>
    </xf>
    <xf numFmtId="0" fontId="74" fillId="0" borderId="34" xfId="6" applyFont="1" applyBorder="1" applyAlignment="1" applyProtection="1">
      <alignment horizontal="left"/>
      <protection hidden="1"/>
    </xf>
    <xf numFmtId="0" fontId="44" fillId="0" borderId="1" xfId="6" applyFont="1" applyBorder="1" applyAlignment="1" applyProtection="1">
      <alignment horizontal="center"/>
      <protection hidden="1"/>
    </xf>
    <xf numFmtId="0" fontId="44" fillId="0" borderId="10" xfId="6" applyFont="1" applyBorder="1" applyAlignment="1" applyProtection="1">
      <alignment horizontal="center"/>
      <protection hidden="1"/>
    </xf>
    <xf numFmtId="0" fontId="44" fillId="0" borderId="11" xfId="6" applyFont="1" applyBorder="1" applyAlignment="1" applyProtection="1">
      <alignment horizontal="center"/>
      <protection hidden="1"/>
    </xf>
    <xf numFmtId="0" fontId="44" fillId="0" borderId="9" xfId="6" applyFont="1" applyBorder="1" applyAlignment="1" applyProtection="1">
      <alignment horizontal="center"/>
      <protection hidden="1"/>
    </xf>
    <xf numFmtId="0" fontId="116" fillId="0" borderId="0" xfId="6" applyFont="1" applyAlignment="1" applyProtection="1">
      <alignment horizontal="center" vertical="center"/>
      <protection hidden="1"/>
    </xf>
    <xf numFmtId="0" fontId="74" fillId="0" borderId="10" xfId="6" applyFont="1" applyBorder="1" applyAlignment="1" applyProtection="1">
      <alignment horizontal="left" vertical="center" wrapText="1"/>
      <protection hidden="1"/>
    </xf>
    <xf numFmtId="0" fontId="74" fillId="0" borderId="11" xfId="6" applyFont="1" applyBorder="1" applyAlignment="1" applyProtection="1">
      <alignment horizontal="left" vertical="center" wrapText="1"/>
      <protection hidden="1"/>
    </xf>
    <xf numFmtId="0" fontId="74" fillId="0" borderId="9" xfId="6" applyFont="1" applyBorder="1" applyAlignment="1" applyProtection="1">
      <alignment horizontal="left" vertical="center" wrapText="1"/>
      <protection hidden="1"/>
    </xf>
    <xf numFmtId="0" fontId="74" fillId="0" borderId="10" xfId="6" applyFont="1" applyBorder="1" applyAlignment="1" applyProtection="1">
      <alignment horizontal="left" vertical="top" wrapText="1"/>
      <protection hidden="1"/>
    </xf>
    <xf numFmtId="0" fontId="74" fillId="0" borderId="11" xfId="6" applyFont="1" applyBorder="1" applyAlignment="1" applyProtection="1">
      <alignment horizontal="left" vertical="top" wrapText="1"/>
      <protection hidden="1"/>
    </xf>
    <xf numFmtId="0" fontId="74" fillId="0" borderId="9" xfId="6" applyFont="1" applyBorder="1" applyAlignment="1" applyProtection="1">
      <alignment horizontal="left" vertical="top" wrapText="1"/>
      <protection hidden="1"/>
    </xf>
    <xf numFmtId="0" fontId="74" fillId="0" borderId="1" xfId="6" applyFont="1" applyBorder="1" applyAlignment="1" applyProtection="1">
      <alignment horizontal="center" vertical="center"/>
      <protection hidden="1"/>
    </xf>
    <xf numFmtId="0" fontId="34" fillId="0" borderId="33" xfId="6" applyFont="1" applyBorder="1" applyAlignment="1" applyProtection="1">
      <alignment horizontal="center" vertical="top"/>
      <protection hidden="1"/>
    </xf>
    <xf numFmtId="0" fontId="84" fillId="0" borderId="30" xfId="4" applyFont="1" applyFill="1" applyBorder="1" applyAlignment="1" applyProtection="1">
      <alignment horizontal="left" vertical="center"/>
      <protection hidden="1"/>
    </xf>
    <xf numFmtId="1" fontId="34" fillId="9" borderId="1" xfId="6" applyNumberFormat="1" applyFont="1" applyFill="1" applyBorder="1" applyAlignment="1" applyProtection="1">
      <alignment horizontal="center" vertical="center"/>
      <protection hidden="1"/>
    </xf>
    <xf numFmtId="0" fontId="74" fillId="0" borderId="17" xfId="6" applyFont="1" applyBorder="1" applyAlignment="1" applyProtection="1">
      <alignment horizontal="left" vertical="center" wrapText="1"/>
      <protection hidden="1"/>
    </xf>
    <xf numFmtId="0" fontId="74" fillId="0" borderId="18" xfId="6" applyFont="1" applyBorder="1" applyAlignment="1" applyProtection="1">
      <alignment horizontal="left" vertical="center" wrapText="1"/>
      <protection hidden="1"/>
    </xf>
    <xf numFmtId="0" fontId="74" fillId="0" borderId="22" xfId="6" applyFont="1" applyBorder="1" applyAlignment="1" applyProtection="1">
      <alignment horizontal="left" vertical="center" wrapText="1"/>
      <protection hidden="1"/>
    </xf>
    <xf numFmtId="0" fontId="74" fillId="0" borderId="25" xfId="6" applyFont="1" applyBorder="1" applyAlignment="1" applyProtection="1">
      <alignment horizontal="left" vertical="center" wrapText="1"/>
      <protection hidden="1"/>
    </xf>
    <xf numFmtId="1" fontId="34" fillId="0" borderId="1" xfId="6" applyNumberFormat="1" applyFont="1" applyBorder="1" applyAlignment="1" applyProtection="1">
      <alignment horizontal="center" vertical="center"/>
      <protection hidden="1"/>
    </xf>
    <xf numFmtId="0" fontId="82" fillId="0" borderId="0" xfId="6" applyFont="1" applyBorder="1" applyAlignment="1" applyProtection="1">
      <alignment horizontal="center" vertical="center"/>
      <protection hidden="1"/>
    </xf>
    <xf numFmtId="0" fontId="83" fillId="0" borderId="0" xfId="6" applyFont="1" applyBorder="1" applyAlignment="1" applyProtection="1">
      <alignment horizontal="center" vertical="center"/>
      <protection hidden="1"/>
    </xf>
    <xf numFmtId="0" fontId="74" fillId="0" borderId="11" xfId="6" applyFont="1" applyBorder="1" applyAlignment="1" applyProtection="1">
      <alignment horizontal="right" vertical="center"/>
      <protection hidden="1"/>
    </xf>
    <xf numFmtId="0" fontId="74" fillId="0" borderId="9" xfId="6" applyFont="1" applyBorder="1" applyAlignment="1" applyProtection="1">
      <alignment horizontal="right" vertical="center"/>
      <protection hidden="1"/>
    </xf>
    <xf numFmtId="0" fontId="207" fillId="0" borderId="1" xfId="0" applyFont="1" applyBorder="1" applyAlignment="1" applyProtection="1">
      <alignment horizontal="left" vertical="center" wrapText="1"/>
      <protection hidden="1"/>
    </xf>
    <xf numFmtId="0" fontId="207" fillId="0" borderId="1" xfId="0" applyFont="1" applyBorder="1" applyAlignment="1" applyProtection="1">
      <alignment horizontal="left" vertical="top" wrapText="1"/>
      <protection hidden="1"/>
    </xf>
    <xf numFmtId="0" fontId="81" fillId="0" borderId="31" xfId="6" applyFont="1" applyFill="1" applyBorder="1" applyAlignment="1" applyProtection="1">
      <alignment horizontal="center" vertical="center"/>
      <protection hidden="1"/>
    </xf>
    <xf numFmtId="0" fontId="81" fillId="0" borderId="32" xfId="6" applyFont="1" applyFill="1" applyBorder="1" applyAlignment="1" applyProtection="1">
      <alignment horizontal="center" vertical="center"/>
      <protection hidden="1"/>
    </xf>
    <xf numFmtId="0" fontId="74" fillId="0" borderId="3" xfId="6" applyFont="1" applyBorder="1" applyAlignment="1" applyProtection="1">
      <alignment horizontal="left" vertical="center"/>
      <protection hidden="1"/>
    </xf>
    <xf numFmtId="0" fontId="74" fillId="0" borderId="1" xfId="6" applyFont="1" applyBorder="1" applyAlignment="1" applyProtection="1">
      <alignment horizontal="center"/>
      <protection hidden="1"/>
    </xf>
    <xf numFmtId="0" fontId="81" fillId="0" borderId="30" xfId="6" applyFont="1" applyFill="1" applyBorder="1" applyAlignment="1" applyProtection="1">
      <alignment horizontal="left" vertical="center"/>
      <protection hidden="1"/>
    </xf>
    <xf numFmtId="0" fontId="55" fillId="0" borderId="10" xfId="6" applyFont="1" applyBorder="1" applyAlignment="1" applyProtection="1">
      <alignment horizontal="center" vertical="center"/>
      <protection hidden="1"/>
    </xf>
    <xf numFmtId="0" fontId="55" fillId="0" borderId="36" xfId="6" applyFont="1" applyBorder="1" applyAlignment="1" applyProtection="1">
      <alignment horizontal="center" vertical="center"/>
      <protection hidden="1"/>
    </xf>
    <xf numFmtId="0" fontId="57" fillId="0" borderId="17" xfId="6" applyFont="1" applyBorder="1" applyAlignment="1" applyProtection="1">
      <alignment horizontal="center" vertical="center"/>
      <protection hidden="1"/>
    </xf>
    <xf numFmtId="0" fontId="0" fillId="0" borderId="39" xfId="0" applyBorder="1" applyProtection="1">
      <protection hidden="1"/>
    </xf>
    <xf numFmtId="0" fontId="0" fillId="0" borderId="19" xfId="0" applyBorder="1" applyProtection="1">
      <protection hidden="1"/>
    </xf>
    <xf numFmtId="0" fontId="0" fillId="0" borderId="40" xfId="0" applyBorder="1" applyProtection="1">
      <protection hidden="1"/>
    </xf>
    <xf numFmtId="0" fontId="0" fillId="0" borderId="22" xfId="0" applyBorder="1" applyProtection="1">
      <protection hidden="1"/>
    </xf>
    <xf numFmtId="0" fontId="0" fillId="0" borderId="41" xfId="0" applyBorder="1" applyProtection="1">
      <protection hidden="1"/>
    </xf>
    <xf numFmtId="0" fontId="74" fillId="0" borderId="10" xfId="6" applyFont="1" applyBorder="1" applyAlignment="1" applyProtection="1">
      <alignment horizontal="center"/>
      <protection hidden="1"/>
    </xf>
    <xf numFmtId="0" fontId="74" fillId="0" borderId="11" xfId="6" applyFont="1" applyBorder="1" applyAlignment="1" applyProtection="1">
      <alignment horizontal="center"/>
      <protection hidden="1"/>
    </xf>
    <xf numFmtId="0" fontId="74" fillId="0" borderId="29" xfId="6" applyFont="1" applyBorder="1" applyAlignment="1" applyProtection="1">
      <alignment horizontal="left" vertical="center"/>
      <protection hidden="1"/>
    </xf>
    <xf numFmtId="0" fontId="74" fillId="0" borderId="30" xfId="6" applyFont="1" applyBorder="1" applyAlignment="1" applyProtection="1">
      <alignment horizontal="left" vertical="center"/>
      <protection hidden="1"/>
    </xf>
    <xf numFmtId="0" fontId="32" fillId="0" borderId="50" xfId="0" applyFont="1" applyBorder="1" applyAlignment="1" applyProtection="1">
      <alignment horizontal="right" vertical="center"/>
      <protection hidden="1"/>
    </xf>
    <xf numFmtId="0" fontId="32" fillId="0" borderId="0" xfId="0" applyFont="1" applyBorder="1" applyAlignment="1" applyProtection="1">
      <alignment horizontal="left" vertical="center" wrapText="1"/>
      <protection hidden="1"/>
    </xf>
    <xf numFmtId="0" fontId="34" fillId="0" borderId="50" xfId="0" applyFont="1" applyBorder="1" applyAlignment="1" applyProtection="1">
      <alignment horizontal="left" vertical="center" wrapText="1"/>
      <protection hidden="1"/>
    </xf>
    <xf numFmtId="0" fontId="35" fillId="0" borderId="50" xfId="0" applyFont="1" applyBorder="1" applyAlignment="1" applyProtection="1">
      <alignment horizontal="center" vertical="center" wrapText="1"/>
      <protection hidden="1"/>
    </xf>
    <xf numFmtId="0" fontId="36" fillId="0" borderId="50" xfId="0" applyFont="1" applyBorder="1" applyAlignment="1" applyProtection="1">
      <alignment horizontal="center" wrapText="1"/>
      <protection hidden="1"/>
    </xf>
    <xf numFmtId="14" fontId="41" fillId="0" borderId="51" xfId="0" applyNumberFormat="1" applyFont="1" applyBorder="1" applyAlignment="1" applyProtection="1">
      <alignment horizontal="left" vertical="center" wrapText="1"/>
      <protection hidden="1"/>
    </xf>
    <xf numFmtId="0" fontId="41" fillId="0" borderId="52" xfId="0" applyFont="1" applyBorder="1" applyAlignment="1" applyProtection="1">
      <alignment horizontal="left" vertical="center" wrapText="1"/>
      <protection hidden="1"/>
    </xf>
    <xf numFmtId="0" fontId="41" fillId="0" borderId="53" xfId="0" applyFont="1" applyBorder="1" applyAlignment="1" applyProtection="1">
      <alignment horizontal="left" vertical="center" wrapText="1"/>
      <protection hidden="1"/>
    </xf>
    <xf numFmtId="0" fontId="11" fillId="0" borderId="50" xfId="0" applyFont="1" applyBorder="1" applyAlignment="1" applyProtection="1">
      <alignment horizontal="left" vertical="center" wrapText="1"/>
      <protection hidden="1"/>
    </xf>
    <xf numFmtId="0" fontId="9" fillId="0" borderId="50" xfId="0" applyFont="1" applyBorder="1" applyAlignment="1" applyProtection="1">
      <alignment horizontal="left" vertical="center"/>
      <protection hidden="1"/>
    </xf>
    <xf numFmtId="0" fontId="0" fillId="0" borderId="50" xfId="0" applyFont="1" applyBorder="1" applyAlignment="1" applyProtection="1">
      <alignment horizontal="center"/>
      <protection hidden="1"/>
    </xf>
    <xf numFmtId="0" fontId="32" fillId="0" borderId="50" xfId="0" applyFont="1" applyBorder="1" applyAlignment="1" applyProtection="1">
      <alignment horizontal="left" vertical="center"/>
      <protection hidden="1"/>
    </xf>
    <xf numFmtId="0" fontId="8" fillId="0" borderId="50" xfId="0" applyFont="1" applyBorder="1" applyAlignment="1" applyProtection="1">
      <alignment horizontal="left" vertical="center"/>
      <protection hidden="1"/>
    </xf>
    <xf numFmtId="0" fontId="73" fillId="0" borderId="50" xfId="0" applyFont="1" applyBorder="1" applyAlignment="1" applyProtection="1">
      <alignment horizontal="left" vertical="center"/>
      <protection hidden="1"/>
    </xf>
    <xf numFmtId="0" fontId="23" fillId="0" borderId="50" xfId="0" applyFont="1" applyBorder="1" applyAlignment="1" applyProtection="1">
      <alignment horizontal="center"/>
      <protection hidden="1"/>
    </xf>
    <xf numFmtId="0" fontId="9" fillId="0" borderId="50" xfId="0" applyFont="1" applyBorder="1" applyAlignment="1" applyProtection="1">
      <alignment horizontal="right" vertical="center"/>
      <protection hidden="1"/>
    </xf>
    <xf numFmtId="0" fontId="41" fillId="0" borderId="50" xfId="0" applyFont="1" applyBorder="1" applyAlignment="1" applyProtection="1">
      <alignment horizontal="left" vertical="center" wrapText="1"/>
      <protection hidden="1"/>
    </xf>
    <xf numFmtId="0" fontId="34" fillId="0" borderId="50" xfId="0" applyFont="1" applyBorder="1" applyAlignment="1" applyProtection="1">
      <alignment horizontal="center" vertical="center" wrapText="1"/>
      <protection hidden="1"/>
    </xf>
    <xf numFmtId="0" fontId="41" fillId="0" borderId="50" xfId="0" applyFont="1" applyBorder="1" applyAlignment="1" applyProtection="1">
      <alignment horizontal="center" vertical="center" wrapText="1"/>
      <protection hidden="1"/>
    </xf>
    <xf numFmtId="0" fontId="34" fillId="0" borderId="0" xfId="0" applyFont="1" applyBorder="1" applyAlignment="1" applyProtection="1">
      <alignment horizontal="left" vertical="center" wrapText="1"/>
      <protection hidden="1"/>
    </xf>
    <xf numFmtId="0" fontId="41" fillId="0" borderId="0" xfId="0" applyFont="1" applyBorder="1" applyAlignment="1" applyProtection="1">
      <alignment horizontal="center" vertical="center" wrapText="1"/>
      <protection hidden="1"/>
    </xf>
    <xf numFmtId="0" fontId="34" fillId="0" borderId="0" xfId="0" applyFont="1" applyBorder="1" applyAlignment="1" applyProtection="1">
      <alignment horizontal="center" vertical="center" wrapText="1"/>
      <protection hidden="1"/>
    </xf>
    <xf numFmtId="0" fontId="117" fillId="0" borderId="0" xfId="0" applyFont="1" applyBorder="1" applyAlignment="1" applyProtection="1">
      <alignment horizontal="center" vertical="center" wrapText="1"/>
      <protection hidden="1"/>
    </xf>
    <xf numFmtId="0" fontId="31" fillId="0" borderId="50" xfId="0" applyFont="1" applyBorder="1" applyAlignment="1" applyProtection="1">
      <alignment horizontal="left" vertical="center"/>
      <protection hidden="1"/>
    </xf>
    <xf numFmtId="0" fontId="37" fillId="0" borderId="0" xfId="0" applyFont="1" applyBorder="1" applyAlignment="1" applyProtection="1">
      <alignment horizontal="left" vertical="center"/>
      <protection hidden="1"/>
    </xf>
    <xf numFmtId="0" fontId="40" fillId="0" borderId="50" xfId="0" applyFont="1" applyBorder="1" applyAlignment="1" applyProtection="1">
      <alignment horizontal="left" vertical="center"/>
      <protection hidden="1"/>
    </xf>
    <xf numFmtId="0" fontId="158" fillId="0" borderId="50" xfId="0" applyFont="1" applyBorder="1" applyAlignment="1" applyProtection="1">
      <alignment horizontal="left" vertical="center"/>
      <protection hidden="1"/>
    </xf>
    <xf numFmtId="0" fontId="0" fillId="0" borderId="50" xfId="0" applyFont="1" applyBorder="1" applyAlignment="1" applyProtection="1">
      <alignment horizontal="left" vertical="center"/>
      <protection hidden="1"/>
    </xf>
    <xf numFmtId="0" fontId="33" fillId="0" borderId="50" xfId="0" applyFont="1" applyBorder="1" applyAlignment="1" applyProtection="1">
      <alignment horizontal="left" vertical="center"/>
      <protection hidden="1"/>
    </xf>
    <xf numFmtId="0" fontId="34" fillId="0" borderId="50" xfId="0" applyFont="1" applyBorder="1" applyAlignment="1" applyProtection="1">
      <alignment horizontal="center" vertical="center"/>
      <protection hidden="1"/>
    </xf>
    <xf numFmtId="0" fontId="41" fillId="0" borderId="50" xfId="0" applyFont="1" applyBorder="1" applyAlignment="1" applyProtection="1">
      <alignment horizontal="center" vertical="center"/>
      <protection hidden="1"/>
    </xf>
    <xf numFmtId="0" fontId="35" fillId="0" borderId="50" xfId="0" applyFont="1" applyBorder="1" applyAlignment="1" applyProtection="1">
      <alignment horizontal="center" vertical="center"/>
      <protection hidden="1"/>
    </xf>
    <xf numFmtId="0" fontId="36" fillId="0" borderId="51" xfId="0" applyFont="1" applyBorder="1" applyAlignment="1" applyProtection="1">
      <alignment horizontal="left" vertical="center"/>
      <protection hidden="1"/>
    </xf>
    <xf numFmtId="0" fontId="36" fillId="0" borderId="52" xfId="0" applyFont="1" applyBorder="1" applyAlignment="1" applyProtection="1">
      <alignment horizontal="left" vertical="center"/>
      <protection hidden="1"/>
    </xf>
    <xf numFmtId="0" fontId="36" fillId="0" borderId="53" xfId="0" applyFont="1" applyBorder="1" applyAlignment="1" applyProtection="1">
      <alignment horizontal="left" vertical="center"/>
      <protection hidden="1"/>
    </xf>
    <xf numFmtId="0" fontId="35" fillId="0" borderId="51" xfId="0" applyFont="1" applyBorder="1" applyAlignment="1" applyProtection="1">
      <alignment horizontal="center" vertical="center"/>
      <protection hidden="1"/>
    </xf>
    <xf numFmtId="0" fontId="35" fillId="0" borderId="52" xfId="0" applyFont="1" applyBorder="1" applyAlignment="1" applyProtection="1">
      <alignment horizontal="center" vertical="center"/>
      <protection hidden="1"/>
    </xf>
    <xf numFmtId="0" fontId="35" fillId="0" borderId="53" xfId="0" applyFont="1" applyBorder="1" applyAlignment="1" applyProtection="1">
      <alignment horizontal="center" vertical="center"/>
      <protection hidden="1"/>
    </xf>
    <xf numFmtId="0" fontId="37" fillId="0" borderId="51" xfId="0" applyFont="1" applyBorder="1" applyAlignment="1" applyProtection="1">
      <alignment horizontal="left" vertical="center"/>
      <protection hidden="1"/>
    </xf>
    <xf numFmtId="0" fontId="37" fillId="0" borderId="52" xfId="0" applyFont="1" applyBorder="1" applyAlignment="1" applyProtection="1">
      <alignment horizontal="left" vertical="center"/>
      <protection hidden="1"/>
    </xf>
    <xf numFmtId="0" fontId="37" fillId="0" borderId="53" xfId="0" applyFont="1" applyBorder="1" applyAlignment="1" applyProtection="1">
      <alignment horizontal="left" vertical="center"/>
      <protection hidden="1"/>
    </xf>
    <xf numFmtId="0" fontId="33" fillId="0" borderId="0" xfId="0" applyFont="1" applyBorder="1" applyAlignment="1" applyProtection="1">
      <alignment horizontal="left" vertical="center" wrapText="1"/>
      <protection hidden="1"/>
    </xf>
    <xf numFmtId="0" fontId="37" fillId="0" borderId="50" xfId="0" applyFont="1" applyBorder="1" applyAlignment="1" applyProtection="1">
      <alignment horizontal="center" vertical="center"/>
      <protection hidden="1"/>
    </xf>
    <xf numFmtId="0" fontId="37" fillId="0" borderId="50" xfId="0" applyFont="1" applyBorder="1" applyAlignment="1" applyProtection="1">
      <alignment horizontal="left" vertical="center"/>
      <protection hidden="1"/>
    </xf>
    <xf numFmtId="0" fontId="36" fillId="0" borderId="50" xfId="0" applyFont="1" applyBorder="1" applyAlignment="1" applyProtection="1">
      <alignment horizontal="center" vertical="center"/>
      <protection hidden="1"/>
    </xf>
    <xf numFmtId="0" fontId="35" fillId="0" borderId="0" xfId="0" applyFont="1" applyBorder="1" applyAlignment="1" applyProtection="1">
      <alignment horizontal="left" vertical="center" wrapText="1"/>
      <protection hidden="1"/>
    </xf>
    <xf numFmtId="0" fontId="31" fillId="0" borderId="0" xfId="0" applyFont="1" applyBorder="1" applyAlignment="1" applyProtection="1">
      <alignment horizontal="center" vertical="center"/>
      <protection hidden="1"/>
    </xf>
    <xf numFmtId="0" fontId="35" fillId="0" borderId="50" xfId="0" applyFont="1" applyBorder="1" applyAlignment="1" applyProtection="1">
      <alignment horizontal="center" vertical="center"/>
      <protection locked="0" hidden="1"/>
    </xf>
    <xf numFmtId="0" fontId="41" fillId="0" borderId="51" xfId="0" applyFont="1" applyBorder="1" applyAlignment="1" applyProtection="1">
      <alignment horizontal="left" vertical="center"/>
      <protection hidden="1"/>
    </xf>
    <xf numFmtId="0" fontId="41" fillId="0" borderId="52" xfId="0" applyFont="1" applyBorder="1" applyAlignment="1" applyProtection="1">
      <alignment horizontal="left" vertical="center"/>
      <protection hidden="1"/>
    </xf>
    <xf numFmtId="0" fontId="41" fillId="0" borderId="53" xfId="0" applyFont="1" applyBorder="1" applyAlignment="1" applyProtection="1">
      <alignment horizontal="left" vertical="center"/>
      <protection hidden="1"/>
    </xf>
    <xf numFmtId="0" fontId="41" fillId="0" borderId="51" xfId="0" applyFont="1" applyBorder="1" applyAlignment="1" applyProtection="1">
      <alignment horizontal="center"/>
      <protection hidden="1"/>
    </xf>
    <xf numFmtId="0" fontId="41" fillId="0" borderId="53" xfId="0" applyFont="1" applyBorder="1" applyAlignment="1" applyProtection="1">
      <alignment horizontal="center"/>
      <protection hidden="1"/>
    </xf>
    <xf numFmtId="0" fontId="34" fillId="0" borderId="50" xfId="0" applyNumberFormat="1" applyFont="1" applyBorder="1" applyAlignment="1" applyProtection="1">
      <alignment horizontal="center" vertical="center"/>
      <protection hidden="1"/>
    </xf>
    <xf numFmtId="14" fontId="33" fillId="0" borderId="50" xfId="0" applyNumberFormat="1" applyFont="1" applyBorder="1" applyAlignment="1" applyProtection="1">
      <alignment horizontal="center" vertical="center"/>
      <protection hidden="1"/>
    </xf>
    <xf numFmtId="0" fontId="31" fillId="0" borderId="50" xfId="0" applyFont="1" applyBorder="1" applyAlignment="1" applyProtection="1">
      <alignment horizontal="center" vertical="center"/>
      <protection hidden="1"/>
    </xf>
    <xf numFmtId="0" fontId="24" fillId="0" borderId="50" xfId="0" applyFont="1" applyBorder="1" applyAlignment="1" applyProtection="1">
      <alignment horizontal="center" vertical="center"/>
      <protection hidden="1"/>
    </xf>
    <xf numFmtId="0" fontId="45" fillId="0" borderId="50" xfId="0" applyFont="1" applyBorder="1" applyAlignment="1" applyProtection="1">
      <alignment horizontal="center" vertical="center" wrapText="1"/>
      <protection hidden="1"/>
    </xf>
    <xf numFmtId="14" fontId="24" fillId="0" borderId="50" xfId="0" applyNumberFormat="1" applyFont="1" applyBorder="1" applyAlignment="1" applyProtection="1">
      <alignment horizontal="center" vertical="center"/>
      <protection hidden="1"/>
    </xf>
    <xf numFmtId="0" fontId="33" fillId="0" borderId="0" xfId="0" applyFont="1" applyBorder="1" applyAlignment="1" applyProtection="1">
      <alignment horizontal="center" vertical="center" wrapText="1"/>
      <protection hidden="1"/>
    </xf>
    <xf numFmtId="0" fontId="202" fillId="0" borderId="0" xfId="0" applyFont="1" applyBorder="1" applyAlignment="1" applyProtection="1">
      <alignment horizontal="center" vertical="center" wrapText="1"/>
      <protection hidden="1"/>
    </xf>
    <xf numFmtId="0" fontId="32" fillId="0" borderId="50" xfId="0" applyFont="1" applyBorder="1" applyAlignment="1" applyProtection="1">
      <alignment horizontal="center" vertical="center"/>
      <protection hidden="1"/>
    </xf>
    <xf numFmtId="1" fontId="31" fillId="0" borderId="50" xfId="1" applyNumberFormat="1" applyFont="1" applyBorder="1" applyAlignment="1" applyProtection="1">
      <alignment horizontal="center" vertical="center"/>
      <protection hidden="1"/>
    </xf>
    <xf numFmtId="1" fontId="31" fillId="0" borderId="50" xfId="0" applyNumberFormat="1" applyFont="1" applyBorder="1" applyAlignment="1" applyProtection="1">
      <alignment horizontal="center" vertical="center"/>
      <protection hidden="1"/>
    </xf>
    <xf numFmtId="0" fontId="35" fillId="0" borderId="50" xfId="0" applyFont="1" applyBorder="1" applyAlignment="1" applyProtection="1">
      <alignment horizontal="left" vertical="center" wrapText="1"/>
      <protection hidden="1"/>
    </xf>
    <xf numFmtId="0" fontId="33" fillId="0" borderId="50" xfId="0" applyFont="1" applyBorder="1" applyAlignment="1" applyProtection="1">
      <alignment horizontal="center" vertical="center" wrapText="1"/>
      <protection hidden="1"/>
    </xf>
    <xf numFmtId="14" fontId="33" fillId="0" borderId="50" xfId="0" applyNumberFormat="1" applyFont="1" applyBorder="1" applyAlignment="1" applyProtection="1">
      <alignment horizontal="center" vertical="center" wrapText="1"/>
      <protection hidden="1"/>
    </xf>
    <xf numFmtId="0" fontId="32" fillId="0" borderId="50" xfId="0" applyFont="1" applyBorder="1" applyAlignment="1" applyProtection="1">
      <alignment horizontal="center" vertical="center" wrapText="1"/>
      <protection hidden="1"/>
    </xf>
    <xf numFmtId="0" fontId="14" fillId="0" borderId="0" xfId="0" applyFont="1" applyBorder="1" applyAlignment="1" applyProtection="1">
      <alignment horizontal="center" vertical="center"/>
      <protection hidden="1"/>
    </xf>
    <xf numFmtId="0" fontId="32" fillId="0" borderId="0" xfId="0" applyFont="1" applyBorder="1" applyAlignment="1" applyProtection="1">
      <alignment horizontal="center" vertical="center"/>
      <protection hidden="1"/>
    </xf>
    <xf numFmtId="0" fontId="34" fillId="0" borderId="50" xfId="0" applyFont="1" applyBorder="1" applyAlignment="1" applyProtection="1">
      <alignment horizontal="left" vertical="center"/>
      <protection hidden="1"/>
    </xf>
    <xf numFmtId="0" fontId="14" fillId="0" borderId="50" xfId="0" applyFont="1" applyBorder="1" applyAlignment="1" applyProtection="1">
      <alignment horizontal="center" vertical="center"/>
      <protection hidden="1"/>
    </xf>
    <xf numFmtId="0" fontId="36" fillId="0" borderId="50" xfId="0" applyFont="1" applyBorder="1" applyAlignment="1" applyProtection="1">
      <alignment horizontal="center" vertical="center" wrapText="1"/>
      <protection hidden="1"/>
    </xf>
    <xf numFmtId="0" fontId="33" fillId="0" borderId="50" xfId="0" applyFont="1" applyBorder="1" applyAlignment="1" applyProtection="1">
      <alignment horizontal="center" vertical="center"/>
      <protection locked="0" hidden="1"/>
    </xf>
    <xf numFmtId="0" fontId="31" fillId="0" borderId="50" xfId="0" applyFont="1" applyBorder="1" applyAlignment="1" applyProtection="1">
      <alignment horizontal="center" vertical="center" wrapText="1"/>
      <protection hidden="1"/>
    </xf>
    <xf numFmtId="14" fontId="31" fillId="0" borderId="50" xfId="0" applyNumberFormat="1" applyFont="1" applyBorder="1" applyAlignment="1" applyProtection="1">
      <alignment horizontal="center" vertical="center" wrapText="1"/>
      <protection hidden="1"/>
    </xf>
    <xf numFmtId="14" fontId="31" fillId="0" borderId="50" xfId="0" applyNumberFormat="1" applyFont="1" applyBorder="1" applyAlignment="1" applyProtection="1">
      <alignment horizontal="center" vertical="center"/>
      <protection hidden="1"/>
    </xf>
    <xf numFmtId="0" fontId="38" fillId="0" borderId="50" xfId="0" applyFont="1" applyBorder="1" applyAlignment="1" applyProtection="1">
      <alignment horizontal="center" vertical="center"/>
      <protection hidden="1"/>
    </xf>
    <xf numFmtId="0" fontId="37" fillId="0" borderId="50" xfId="0" applyFont="1" applyBorder="1" applyAlignment="1" applyProtection="1">
      <alignment horizontal="right" vertical="center"/>
      <protection hidden="1"/>
    </xf>
    <xf numFmtId="0" fontId="35" fillId="0" borderId="54" xfId="0" applyFont="1" applyBorder="1" applyAlignment="1" applyProtection="1">
      <alignment horizontal="center" vertical="center"/>
      <protection hidden="1"/>
    </xf>
    <xf numFmtId="0" fontId="35" fillId="0" borderId="55" xfId="0" applyFont="1" applyBorder="1" applyAlignment="1" applyProtection="1">
      <alignment horizontal="center" vertical="center"/>
      <protection hidden="1"/>
    </xf>
    <xf numFmtId="0" fontId="35" fillId="0" borderId="56" xfId="0" applyFont="1" applyBorder="1" applyAlignment="1" applyProtection="1">
      <alignment horizontal="center" vertical="center"/>
      <protection hidden="1"/>
    </xf>
    <xf numFmtId="0" fontId="35" fillId="0" borderId="60" xfId="0" applyFont="1" applyBorder="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35" fillId="0" borderId="61" xfId="0" applyFont="1" applyBorder="1" applyAlignment="1" applyProtection="1">
      <alignment horizontal="center" vertical="center"/>
      <protection hidden="1"/>
    </xf>
    <xf numFmtId="0" fontId="35" fillId="0" borderId="57" xfId="0" applyFont="1" applyBorder="1" applyAlignment="1" applyProtection="1">
      <alignment horizontal="center" vertical="center"/>
      <protection hidden="1"/>
    </xf>
    <xf numFmtId="0" fontId="35" fillId="0" borderId="58" xfId="0" applyFont="1" applyBorder="1" applyAlignment="1" applyProtection="1">
      <alignment horizontal="center" vertical="center"/>
      <protection hidden="1"/>
    </xf>
    <xf numFmtId="0" fontId="35" fillId="0" borderId="59" xfId="0" applyFont="1" applyBorder="1" applyAlignment="1" applyProtection="1">
      <alignment horizontal="center" vertical="center"/>
      <protection hidden="1"/>
    </xf>
    <xf numFmtId="0" fontId="0" fillId="0" borderId="0" xfId="0" applyFont="1" applyAlignment="1" applyProtection="1">
      <alignment horizontal="center" wrapText="1"/>
      <protection hidden="1"/>
    </xf>
    <xf numFmtId="0" fontId="37" fillId="0" borderId="0" xfId="0" applyFont="1" applyBorder="1" applyAlignment="1" applyProtection="1">
      <alignment horizontal="center" vertical="center"/>
      <protection hidden="1"/>
    </xf>
    <xf numFmtId="0" fontId="35" fillId="0" borderId="0" xfId="0" applyFont="1" applyBorder="1" applyAlignment="1" applyProtection="1">
      <alignment horizontal="center" vertical="center" wrapText="1"/>
      <protection hidden="1"/>
    </xf>
    <xf numFmtId="0" fontId="0" fillId="0" borderId="0" xfId="0" applyBorder="1" applyProtection="1">
      <protection hidden="1"/>
    </xf>
    <xf numFmtId="0" fontId="36" fillId="0" borderId="51" xfId="0" applyFont="1" applyBorder="1" applyAlignment="1" applyProtection="1">
      <alignment horizontal="center" vertical="center" wrapText="1"/>
      <protection hidden="1"/>
    </xf>
    <xf numFmtId="0" fontId="36" fillId="0" borderId="52" xfId="0" applyFont="1" applyBorder="1" applyAlignment="1" applyProtection="1">
      <alignment horizontal="center" vertical="center" wrapText="1"/>
      <protection hidden="1"/>
    </xf>
    <xf numFmtId="0" fontId="36" fillId="0" borderId="53" xfId="0" applyFont="1" applyBorder="1" applyAlignment="1" applyProtection="1">
      <alignment horizontal="center" vertical="center" wrapText="1"/>
      <protection hidden="1"/>
    </xf>
    <xf numFmtId="0" fontId="35" fillId="0" borderId="54" xfId="0" applyFont="1" applyBorder="1" applyAlignment="1" applyProtection="1">
      <alignment horizontal="center" vertical="center" wrapText="1"/>
      <protection hidden="1"/>
    </xf>
    <xf numFmtId="0" fontId="35" fillId="0" borderId="55" xfId="0" applyFont="1" applyBorder="1" applyAlignment="1" applyProtection="1">
      <alignment horizontal="center" vertical="center" wrapText="1"/>
      <protection hidden="1"/>
    </xf>
    <xf numFmtId="0" fontId="35" fillId="0" borderId="56" xfId="0" applyFont="1" applyBorder="1" applyAlignment="1" applyProtection="1">
      <alignment horizontal="center" vertical="center" wrapText="1"/>
      <protection hidden="1"/>
    </xf>
    <xf numFmtId="0" fontId="35" fillId="0" borderId="57" xfId="0" applyFont="1" applyBorder="1" applyAlignment="1" applyProtection="1">
      <alignment horizontal="center" vertical="center" wrapText="1"/>
      <protection hidden="1"/>
    </xf>
    <xf numFmtId="0" fontId="35" fillId="0" borderId="58" xfId="0" applyFont="1" applyBorder="1" applyAlignment="1" applyProtection="1">
      <alignment horizontal="center" vertical="center" wrapText="1"/>
      <protection hidden="1"/>
    </xf>
    <xf numFmtId="0" fontId="35" fillId="0" borderId="59" xfId="0" applyFont="1" applyBorder="1" applyAlignment="1" applyProtection="1">
      <alignment horizontal="center" vertical="center" wrapText="1"/>
      <protection hidden="1"/>
    </xf>
    <xf numFmtId="0" fontId="31" fillId="0" borderId="51" xfId="0" applyFont="1" applyBorder="1" applyAlignment="1" applyProtection="1">
      <alignment horizontal="right" vertical="center" wrapText="1"/>
      <protection hidden="1"/>
    </xf>
    <xf numFmtId="0" fontId="31" fillId="0" borderId="52" xfId="0" applyFont="1" applyBorder="1" applyAlignment="1" applyProtection="1">
      <alignment horizontal="right" vertical="center" wrapText="1"/>
      <protection hidden="1"/>
    </xf>
    <xf numFmtId="0" fontId="31" fillId="0" borderId="53" xfId="0" applyFont="1" applyBorder="1" applyAlignment="1" applyProtection="1">
      <alignment horizontal="right" vertical="center" wrapText="1"/>
      <protection hidden="1"/>
    </xf>
    <xf numFmtId="0" fontId="31" fillId="0" borderId="51" xfId="0" applyFont="1" applyBorder="1" applyAlignment="1" applyProtection="1">
      <alignment horizontal="left" vertical="center"/>
      <protection hidden="1"/>
    </xf>
    <xf numFmtId="0" fontId="31" fillId="0" borderId="52" xfId="0" applyFont="1" applyBorder="1" applyAlignment="1" applyProtection="1">
      <alignment horizontal="left" vertical="center"/>
      <protection hidden="1"/>
    </xf>
    <xf numFmtId="0" fontId="31" fillId="0" borderId="53" xfId="0" applyFont="1" applyBorder="1" applyAlignment="1" applyProtection="1">
      <alignment horizontal="left" vertical="center"/>
      <protection hidden="1"/>
    </xf>
    <xf numFmtId="0" fontId="35" fillId="0" borderId="50" xfId="0" applyFont="1" applyBorder="1" applyAlignment="1" applyProtection="1">
      <alignment horizontal="left" vertical="center"/>
      <protection hidden="1"/>
    </xf>
    <xf numFmtId="0" fontId="36" fillId="0" borderId="50" xfId="0" applyFont="1" applyBorder="1" applyAlignment="1" applyProtection="1">
      <alignment horizontal="left" vertical="center"/>
      <protection hidden="1"/>
    </xf>
  </cellXfs>
  <cellStyles count="23">
    <cellStyle name="Comma" xfId="1" builtinId="3"/>
    <cellStyle name="Hyperlink" xfId="22" builtinId="8"/>
    <cellStyle name="Hyperlink 2" xfId="21"/>
    <cellStyle name="Normal" xfId="0" builtinId="0"/>
    <cellStyle name="Normal 10" xfId="19"/>
    <cellStyle name="Normal 2" xfId="2"/>
    <cellStyle name="Normal 2 10" xfId="20"/>
    <cellStyle name="Normal 2 2" xfId="3"/>
    <cellStyle name="Normal 2 3" xfId="6"/>
    <cellStyle name="Normal 2 4" xfId="8"/>
    <cellStyle name="Normal 2 5" xfId="10"/>
    <cellStyle name="Normal 2 6" xfId="12"/>
    <cellStyle name="Normal 2 7" xfId="14"/>
    <cellStyle name="Normal 2 8" xfId="16"/>
    <cellStyle name="Normal 2 9" xfId="18"/>
    <cellStyle name="Normal 3" xfId="5"/>
    <cellStyle name="Normal 4" xfId="7"/>
    <cellStyle name="Normal 5" xfId="9"/>
    <cellStyle name="Normal 6" xfId="11"/>
    <cellStyle name="Normal 7" xfId="13"/>
    <cellStyle name="Normal 8" xfId="15"/>
    <cellStyle name="Normal 9" xfId="17"/>
    <cellStyle name="Normal_pay 2008-09" xfId="4"/>
  </cellStyles>
  <dxfs count="0"/>
  <tableStyles count="0" defaultTableStyle="TableStyleMedium9" defaultPivotStyle="PivotStyleLight16"/>
  <colors>
    <mruColors>
      <color rgb="FF525E16"/>
      <color rgb="FF166D07"/>
      <color rgb="FFC0C03E"/>
      <color rgb="FF5A285B"/>
      <color rgb="FF2C5123"/>
      <color rgb="FF2A4A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2771775</xdr:colOff>
      <xdr:row>1</xdr:row>
      <xdr:rowOff>19050</xdr:rowOff>
    </xdr:from>
    <xdr:to>
      <xdr:col>1</xdr:col>
      <xdr:colOff>4714875</xdr:colOff>
      <xdr:row>1</xdr:row>
      <xdr:rowOff>1752600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3381375" y="514350"/>
          <a:ext cx="1943100" cy="1733550"/>
        </a:xfrm>
        <a:prstGeom prst="rect">
          <a:avLst/>
        </a:prstGeom>
        <a:noFill/>
      </xdr:spPr>
    </xdr:pic>
    <xdr:clientData/>
  </xdr:twoCellAnchor>
  <xdr:oneCellAnchor>
    <xdr:from>
      <xdr:col>0</xdr:col>
      <xdr:colOff>47625</xdr:colOff>
      <xdr:row>1</xdr:row>
      <xdr:rowOff>152400</xdr:rowOff>
    </xdr:from>
    <xdr:ext cx="3848100" cy="655885"/>
    <xdr:sp macro="" textlink="">
      <xdr:nvSpPr>
        <xdr:cNvPr id="3" name="Rectangle 2"/>
        <xdr:cNvSpPr/>
      </xdr:nvSpPr>
      <xdr:spPr>
        <a:xfrm>
          <a:off x="47625" y="647700"/>
          <a:ext cx="3848100" cy="655885"/>
        </a:xfrm>
        <a:prstGeom prst="rect">
          <a:avLst/>
        </a:prstGeom>
        <a:noFill/>
      </xdr:spPr>
      <xdr:txBody>
        <a:bodyPr wrap="square" lIns="91440" tIns="45720" rIns="91440" bIns="45720">
          <a:spAutoFit/>
        </a:bodyPr>
        <a:lstStyle/>
        <a:p>
          <a:pPr algn="ctr"/>
          <a:endParaRPr lang="en-US" sz="3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1381125</xdr:colOff>
      <xdr:row>1</xdr:row>
      <xdr:rowOff>47625</xdr:rowOff>
    </xdr:from>
    <xdr:to>
      <xdr:col>7</xdr:col>
      <xdr:colOff>1885950</xdr:colOff>
      <xdr:row>2</xdr:row>
      <xdr:rowOff>0</xdr:rowOff>
    </xdr:to>
    <xdr:sp macro="" textlink="">
      <xdr:nvSpPr>
        <xdr:cNvPr id="2" name="rightArrow"/>
        <xdr:cNvSpPr/>
      </xdr:nvSpPr>
      <xdr:spPr>
        <a:xfrm>
          <a:off x="11410950" y="495300"/>
          <a:ext cx="504825" cy="228600"/>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1002031</xdr:colOff>
      <xdr:row>22</xdr:row>
      <xdr:rowOff>38100</xdr:rowOff>
    </xdr:from>
    <xdr:to>
      <xdr:col>3</xdr:col>
      <xdr:colOff>1381125</xdr:colOff>
      <xdr:row>22</xdr:row>
      <xdr:rowOff>247650</xdr:rowOff>
    </xdr:to>
    <xdr:sp macro="" textlink="">
      <xdr:nvSpPr>
        <xdr:cNvPr id="3" name="rightArrow"/>
        <xdr:cNvSpPr/>
      </xdr:nvSpPr>
      <xdr:spPr>
        <a:xfrm>
          <a:off x="4716781" y="6486525"/>
          <a:ext cx="379094" cy="209550"/>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7</xdr:col>
      <xdr:colOff>1409700</xdr:colOff>
      <xdr:row>2</xdr:row>
      <xdr:rowOff>38102</xdr:rowOff>
    </xdr:from>
    <xdr:to>
      <xdr:col>7</xdr:col>
      <xdr:colOff>1914525</xdr:colOff>
      <xdr:row>3</xdr:row>
      <xdr:rowOff>9526</xdr:rowOff>
    </xdr:to>
    <xdr:sp macro="" textlink="">
      <xdr:nvSpPr>
        <xdr:cNvPr id="4" name="rightArrow"/>
        <xdr:cNvSpPr/>
      </xdr:nvSpPr>
      <xdr:spPr>
        <a:xfrm>
          <a:off x="10953750" y="752477"/>
          <a:ext cx="504825" cy="238124"/>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1057274</xdr:colOff>
      <xdr:row>2</xdr:row>
      <xdr:rowOff>38101</xdr:rowOff>
    </xdr:from>
    <xdr:to>
      <xdr:col>3</xdr:col>
      <xdr:colOff>1447799</xdr:colOff>
      <xdr:row>3</xdr:row>
      <xdr:rowOff>9525</xdr:rowOff>
    </xdr:to>
    <xdr:sp macro="" textlink="">
      <xdr:nvSpPr>
        <xdr:cNvPr id="5" name="rightArrow"/>
        <xdr:cNvSpPr/>
      </xdr:nvSpPr>
      <xdr:spPr>
        <a:xfrm>
          <a:off x="4772024" y="752476"/>
          <a:ext cx="390525" cy="238124"/>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7</xdr:col>
      <xdr:colOff>1419224</xdr:colOff>
      <xdr:row>3</xdr:row>
      <xdr:rowOff>9526</xdr:rowOff>
    </xdr:from>
    <xdr:to>
      <xdr:col>7</xdr:col>
      <xdr:colOff>1914525</xdr:colOff>
      <xdr:row>3</xdr:row>
      <xdr:rowOff>238125</xdr:rowOff>
    </xdr:to>
    <xdr:sp macro="" textlink="">
      <xdr:nvSpPr>
        <xdr:cNvPr id="6" name="rightArrow"/>
        <xdr:cNvSpPr/>
      </xdr:nvSpPr>
      <xdr:spPr>
        <a:xfrm>
          <a:off x="10963274" y="990601"/>
          <a:ext cx="495301" cy="228599"/>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1057275</xdr:colOff>
      <xdr:row>4</xdr:row>
      <xdr:rowOff>85724</xdr:rowOff>
    </xdr:from>
    <xdr:to>
      <xdr:col>3</xdr:col>
      <xdr:colOff>1466850</xdr:colOff>
      <xdr:row>5</xdr:row>
      <xdr:rowOff>19049</xdr:rowOff>
    </xdr:to>
    <xdr:sp macro="" textlink="">
      <xdr:nvSpPr>
        <xdr:cNvPr id="7" name="rightArrow"/>
        <xdr:cNvSpPr/>
      </xdr:nvSpPr>
      <xdr:spPr>
        <a:xfrm>
          <a:off x="4772025" y="1333499"/>
          <a:ext cx="409575" cy="200025"/>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1066800</xdr:colOff>
      <xdr:row>5</xdr:row>
      <xdr:rowOff>66674</xdr:rowOff>
    </xdr:from>
    <xdr:to>
      <xdr:col>3</xdr:col>
      <xdr:colOff>1476375</xdr:colOff>
      <xdr:row>5</xdr:row>
      <xdr:rowOff>266699</xdr:rowOff>
    </xdr:to>
    <xdr:sp macro="" textlink="">
      <xdr:nvSpPr>
        <xdr:cNvPr id="12" name="rightArrow"/>
        <xdr:cNvSpPr/>
      </xdr:nvSpPr>
      <xdr:spPr>
        <a:xfrm>
          <a:off x="4781550" y="1581149"/>
          <a:ext cx="409575" cy="200025"/>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7</xdr:col>
      <xdr:colOff>1409700</xdr:colOff>
      <xdr:row>4</xdr:row>
      <xdr:rowOff>28575</xdr:rowOff>
    </xdr:from>
    <xdr:to>
      <xdr:col>7</xdr:col>
      <xdr:colOff>1905001</xdr:colOff>
      <xdr:row>4</xdr:row>
      <xdr:rowOff>257174</xdr:rowOff>
    </xdr:to>
    <xdr:sp macro="" textlink="">
      <xdr:nvSpPr>
        <xdr:cNvPr id="18" name="rightArrow"/>
        <xdr:cNvSpPr/>
      </xdr:nvSpPr>
      <xdr:spPr>
        <a:xfrm>
          <a:off x="10953750" y="1276350"/>
          <a:ext cx="495301" cy="228599"/>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1047750</xdr:colOff>
      <xdr:row>3</xdr:row>
      <xdr:rowOff>47625</xdr:rowOff>
    </xdr:from>
    <xdr:to>
      <xdr:col>3</xdr:col>
      <xdr:colOff>1438275</xdr:colOff>
      <xdr:row>4</xdr:row>
      <xdr:rowOff>19049</xdr:rowOff>
    </xdr:to>
    <xdr:sp macro="" textlink="">
      <xdr:nvSpPr>
        <xdr:cNvPr id="15" name="rightArrow"/>
        <xdr:cNvSpPr/>
      </xdr:nvSpPr>
      <xdr:spPr>
        <a:xfrm>
          <a:off x="4762500" y="1028700"/>
          <a:ext cx="390525" cy="238124"/>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6</xdr:col>
      <xdr:colOff>1400174</xdr:colOff>
      <xdr:row>21</xdr:row>
      <xdr:rowOff>171450</xdr:rowOff>
    </xdr:from>
    <xdr:to>
      <xdr:col>10</xdr:col>
      <xdr:colOff>2038349</xdr:colOff>
      <xdr:row>24</xdr:row>
      <xdr:rowOff>129021</xdr:rowOff>
    </xdr:to>
    <xdr:sp macro="" textlink="">
      <xdr:nvSpPr>
        <xdr:cNvPr id="13" name="Oval Callout 12"/>
        <xdr:cNvSpPr/>
      </xdr:nvSpPr>
      <xdr:spPr>
        <a:xfrm>
          <a:off x="9439274" y="6305550"/>
          <a:ext cx="6105525" cy="919596"/>
        </a:xfrm>
        <a:prstGeom prst="wedgeEllipseCallout">
          <a:avLst>
            <a:gd name="adj1" fmla="val -73983"/>
            <a:gd name="adj2" fmla="val -19029"/>
          </a:avLst>
        </a:prstGeom>
        <a:solidFill>
          <a:schemeClr val="accent3">
            <a:lumMod val="40000"/>
            <a:lumOff val="6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baseline="0">
              <a:solidFill>
                <a:srgbClr val="7030A0"/>
              </a:solidFill>
              <a:latin typeface="Kruti Dev 010" pitchFamily="2" charset="0"/>
              <a:ea typeface="+mn-ea"/>
              <a:cs typeface="+mn-cs"/>
            </a:rPr>
            <a:t>vkidk VhMh,l  </a:t>
          </a:r>
          <a:r>
            <a:rPr lang="en-US" sz="1200" b="1" baseline="0">
              <a:solidFill>
                <a:srgbClr val="7030A0"/>
              </a:solidFill>
              <a:latin typeface="+mn-lt"/>
              <a:ea typeface="+mn-ea"/>
              <a:cs typeface="+mn-cs"/>
            </a:rPr>
            <a:t>BIN </a:t>
          </a:r>
          <a:r>
            <a:rPr lang="en-US" sz="1200" b="1" baseline="0">
              <a:solidFill>
                <a:srgbClr val="7030A0"/>
              </a:solidFill>
              <a:latin typeface="Kruti Dev 010" pitchFamily="2" charset="0"/>
              <a:ea typeface="+mn-ea"/>
              <a:cs typeface="+mn-cs"/>
            </a:rPr>
            <a:t>ds }kjk tek gksrk gSa rks </a:t>
          </a:r>
          <a:r>
            <a:rPr lang="en-US" sz="1200" b="1" baseline="0">
              <a:solidFill>
                <a:srgbClr val="7030A0"/>
              </a:solidFill>
              <a:latin typeface="+mn-lt"/>
              <a:ea typeface="+mn-ea"/>
              <a:cs typeface="+mn-cs"/>
            </a:rPr>
            <a:t>Cell E23  </a:t>
          </a:r>
          <a:r>
            <a:rPr lang="en-US" sz="1200" b="1" baseline="0">
              <a:solidFill>
                <a:srgbClr val="7030A0"/>
              </a:solidFill>
              <a:latin typeface="Kruti Dev 010" pitchFamily="2" charset="0"/>
              <a:ea typeface="+mn-ea"/>
              <a:cs typeface="+mn-cs"/>
            </a:rPr>
            <a:t> esa </a:t>
          </a:r>
          <a:r>
            <a:rPr lang="en-US" sz="1200" b="1" baseline="0">
              <a:solidFill>
                <a:srgbClr val="7030A0"/>
              </a:solidFill>
              <a:latin typeface="+mn-lt"/>
              <a:ea typeface="+mn-ea"/>
              <a:cs typeface="Aharoni" pitchFamily="2" charset="-79"/>
            </a:rPr>
            <a:t>Book Indentification Number </a:t>
          </a:r>
          <a:r>
            <a:rPr lang="en-US" sz="1200" b="1" baseline="0">
              <a:solidFill>
                <a:srgbClr val="7030A0"/>
              </a:solidFill>
              <a:latin typeface="Kruti Dev 010" pitchFamily="2" charset="0"/>
              <a:ea typeface="+mn-ea"/>
              <a:cs typeface="+mn-cs"/>
            </a:rPr>
            <a:t>lysDV djsa vkSj </a:t>
          </a:r>
          <a:r>
            <a:rPr lang="en-US" sz="1100" b="1" baseline="0">
              <a:solidFill>
                <a:srgbClr val="7030A0"/>
              </a:solidFill>
              <a:latin typeface="Kruti Dev 010" pitchFamily="2" charset="0"/>
              <a:ea typeface="+mn-ea"/>
              <a:cs typeface="+mn-cs"/>
            </a:rPr>
            <a:t>vkidk VhMh,l  pkyku </a:t>
          </a:r>
          <a:r>
            <a:rPr lang="en-US" sz="1100" b="1" baseline="0">
              <a:solidFill>
                <a:srgbClr val="7030A0"/>
              </a:solidFill>
              <a:latin typeface="+mn-lt"/>
              <a:ea typeface="+mn-ea"/>
              <a:cs typeface="+mn-cs"/>
            </a:rPr>
            <a:t>CIN</a:t>
          </a:r>
          <a:r>
            <a:rPr lang="en-US" sz="1100" b="1" baseline="0">
              <a:solidFill>
                <a:srgbClr val="7030A0"/>
              </a:solidFill>
              <a:latin typeface="Kruti Dev 010" pitchFamily="2" charset="0"/>
              <a:ea typeface="+mn-ea"/>
              <a:cs typeface="+mn-cs"/>
            </a:rPr>
            <a:t> ds }kjk tek gksrk gSa rks </a:t>
          </a:r>
          <a:r>
            <a:rPr lang="en-US" sz="1100" b="1" baseline="0">
              <a:solidFill>
                <a:srgbClr val="7030A0"/>
              </a:solidFill>
              <a:latin typeface="+mn-lt"/>
              <a:ea typeface="+mn-ea"/>
              <a:cs typeface="+mn-cs"/>
            </a:rPr>
            <a:t>Cell E23   </a:t>
          </a:r>
          <a:r>
            <a:rPr lang="en-US" sz="1100" b="1" baseline="0">
              <a:solidFill>
                <a:srgbClr val="7030A0"/>
              </a:solidFill>
              <a:latin typeface="Kruti Dev 010" pitchFamily="2" charset="0"/>
              <a:ea typeface="+mn-ea"/>
              <a:cs typeface="+mn-cs"/>
            </a:rPr>
            <a:t>esa </a:t>
          </a:r>
          <a:r>
            <a:rPr lang="en-US" sz="1100" b="1" baseline="0">
              <a:solidFill>
                <a:srgbClr val="7030A0"/>
              </a:solidFill>
              <a:latin typeface="+mn-lt"/>
              <a:ea typeface="+mn-ea"/>
              <a:cs typeface="+mn-cs"/>
            </a:rPr>
            <a:t>Challan Indentification Number </a:t>
          </a:r>
          <a:r>
            <a:rPr lang="en-US" sz="1100" b="1" baseline="0">
              <a:solidFill>
                <a:srgbClr val="7030A0"/>
              </a:solidFill>
              <a:latin typeface="Kruti Dev 010" pitchFamily="2" charset="0"/>
              <a:ea typeface="+mn-ea"/>
              <a:cs typeface="+mn-cs"/>
            </a:rPr>
            <a:t>lysDV djsa </a:t>
          </a:r>
          <a:endParaRPr lang="en-US" sz="1200" b="1">
            <a:solidFill>
              <a:srgbClr val="7030A0"/>
            </a:solidFill>
            <a:latin typeface="Kruti Dev 010" pitchFamily="2" charset="0"/>
            <a:ea typeface="+mn-ea"/>
            <a:cs typeface="+mn-cs"/>
          </a:endParaRPr>
        </a:p>
        <a:p>
          <a:pPr algn="ctr"/>
          <a:endParaRPr lang="en-US" sz="1100">
            <a:solidFill>
              <a:srgbClr val="7030A0"/>
            </a:solidFill>
          </a:endParaRPr>
        </a:p>
      </xdr:txBody>
    </xdr:sp>
    <xdr:clientData/>
  </xdr:twoCellAnchor>
  <xdr:twoCellAnchor>
    <xdr:from>
      <xdr:col>1</xdr:col>
      <xdr:colOff>1771649</xdr:colOff>
      <xdr:row>8</xdr:row>
      <xdr:rowOff>57151</xdr:rowOff>
    </xdr:from>
    <xdr:to>
      <xdr:col>2</xdr:col>
      <xdr:colOff>9524</xdr:colOff>
      <xdr:row>8</xdr:row>
      <xdr:rowOff>152400</xdr:rowOff>
    </xdr:to>
    <xdr:sp macro="" textlink="">
      <xdr:nvSpPr>
        <xdr:cNvPr id="14" name="5-Point Star 13"/>
        <xdr:cNvSpPr/>
      </xdr:nvSpPr>
      <xdr:spPr>
        <a:xfrm>
          <a:off x="2257424" y="2105026"/>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1476375</xdr:colOff>
      <xdr:row>9</xdr:row>
      <xdr:rowOff>57150</xdr:rowOff>
    </xdr:from>
    <xdr:to>
      <xdr:col>1</xdr:col>
      <xdr:colOff>1619250</xdr:colOff>
      <xdr:row>9</xdr:row>
      <xdr:rowOff>152399</xdr:rowOff>
    </xdr:to>
    <xdr:sp macro="" textlink="">
      <xdr:nvSpPr>
        <xdr:cNvPr id="39" name="5-Point Star 38"/>
        <xdr:cNvSpPr/>
      </xdr:nvSpPr>
      <xdr:spPr>
        <a:xfrm>
          <a:off x="1962150" y="241935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1781175</xdr:colOff>
      <xdr:row>10</xdr:row>
      <xdr:rowOff>76200</xdr:rowOff>
    </xdr:from>
    <xdr:to>
      <xdr:col>2</xdr:col>
      <xdr:colOff>19050</xdr:colOff>
      <xdr:row>10</xdr:row>
      <xdr:rowOff>171449</xdr:rowOff>
    </xdr:to>
    <xdr:sp macro="" textlink="">
      <xdr:nvSpPr>
        <xdr:cNvPr id="41" name="5-Point Star 40"/>
        <xdr:cNvSpPr/>
      </xdr:nvSpPr>
      <xdr:spPr>
        <a:xfrm>
          <a:off x="2266950" y="275272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2</xdr:col>
      <xdr:colOff>219075</xdr:colOff>
      <xdr:row>12</xdr:row>
      <xdr:rowOff>104775</xdr:rowOff>
    </xdr:from>
    <xdr:to>
      <xdr:col>2</xdr:col>
      <xdr:colOff>361950</xdr:colOff>
      <xdr:row>12</xdr:row>
      <xdr:rowOff>200024</xdr:rowOff>
    </xdr:to>
    <xdr:sp macro="" textlink="">
      <xdr:nvSpPr>
        <xdr:cNvPr id="42" name="5-Point Star 41"/>
        <xdr:cNvSpPr/>
      </xdr:nvSpPr>
      <xdr:spPr>
        <a:xfrm>
          <a:off x="2609850" y="340995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2</xdr:col>
      <xdr:colOff>295275</xdr:colOff>
      <xdr:row>13</xdr:row>
      <xdr:rowOff>66675</xdr:rowOff>
    </xdr:from>
    <xdr:to>
      <xdr:col>2</xdr:col>
      <xdr:colOff>438150</xdr:colOff>
      <xdr:row>13</xdr:row>
      <xdr:rowOff>161924</xdr:rowOff>
    </xdr:to>
    <xdr:sp macro="" textlink="">
      <xdr:nvSpPr>
        <xdr:cNvPr id="43" name="5-Point Star 42"/>
        <xdr:cNvSpPr/>
      </xdr:nvSpPr>
      <xdr:spPr>
        <a:xfrm>
          <a:off x="2686050" y="368617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2</xdr:col>
      <xdr:colOff>123825</xdr:colOff>
      <xdr:row>14</xdr:row>
      <xdr:rowOff>114300</xdr:rowOff>
    </xdr:from>
    <xdr:to>
      <xdr:col>2</xdr:col>
      <xdr:colOff>266700</xdr:colOff>
      <xdr:row>14</xdr:row>
      <xdr:rowOff>209549</xdr:rowOff>
    </xdr:to>
    <xdr:sp macro="" textlink="">
      <xdr:nvSpPr>
        <xdr:cNvPr id="44" name="5-Point Star 43"/>
        <xdr:cNvSpPr/>
      </xdr:nvSpPr>
      <xdr:spPr>
        <a:xfrm>
          <a:off x="2514600" y="404812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1676400</xdr:colOff>
      <xdr:row>16</xdr:row>
      <xdr:rowOff>66675</xdr:rowOff>
    </xdr:from>
    <xdr:to>
      <xdr:col>1</xdr:col>
      <xdr:colOff>1819275</xdr:colOff>
      <xdr:row>16</xdr:row>
      <xdr:rowOff>161924</xdr:rowOff>
    </xdr:to>
    <xdr:sp macro="" textlink="">
      <xdr:nvSpPr>
        <xdr:cNvPr id="45" name="5-Point Star 44"/>
        <xdr:cNvSpPr/>
      </xdr:nvSpPr>
      <xdr:spPr>
        <a:xfrm>
          <a:off x="2162175" y="462915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914400</xdr:colOff>
      <xdr:row>17</xdr:row>
      <xdr:rowOff>85725</xdr:rowOff>
    </xdr:from>
    <xdr:to>
      <xdr:col>1</xdr:col>
      <xdr:colOff>1057275</xdr:colOff>
      <xdr:row>17</xdr:row>
      <xdr:rowOff>180974</xdr:rowOff>
    </xdr:to>
    <xdr:sp macro="" textlink="">
      <xdr:nvSpPr>
        <xdr:cNvPr id="46" name="5-Point Star 45"/>
        <xdr:cNvSpPr/>
      </xdr:nvSpPr>
      <xdr:spPr>
        <a:xfrm>
          <a:off x="1400175" y="496252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1743075</xdr:colOff>
      <xdr:row>15</xdr:row>
      <xdr:rowOff>104775</xdr:rowOff>
    </xdr:from>
    <xdr:to>
      <xdr:col>1</xdr:col>
      <xdr:colOff>1885950</xdr:colOff>
      <xdr:row>15</xdr:row>
      <xdr:rowOff>200024</xdr:rowOff>
    </xdr:to>
    <xdr:sp macro="" textlink="">
      <xdr:nvSpPr>
        <xdr:cNvPr id="47" name="5-Point Star 46"/>
        <xdr:cNvSpPr/>
      </xdr:nvSpPr>
      <xdr:spPr>
        <a:xfrm>
          <a:off x="2228850" y="435292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1028700</xdr:colOff>
      <xdr:row>11</xdr:row>
      <xdr:rowOff>38100</xdr:rowOff>
    </xdr:from>
    <xdr:to>
      <xdr:col>1</xdr:col>
      <xdr:colOff>1171575</xdr:colOff>
      <xdr:row>11</xdr:row>
      <xdr:rowOff>133349</xdr:rowOff>
    </xdr:to>
    <xdr:sp macro="" textlink="">
      <xdr:nvSpPr>
        <xdr:cNvPr id="48" name="5-Point Star 47"/>
        <xdr:cNvSpPr/>
      </xdr:nvSpPr>
      <xdr:spPr>
        <a:xfrm>
          <a:off x="1514475" y="302895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5</xdr:col>
      <xdr:colOff>1238250</xdr:colOff>
      <xdr:row>19</xdr:row>
      <xdr:rowOff>85725</xdr:rowOff>
    </xdr:from>
    <xdr:to>
      <xdr:col>5</xdr:col>
      <xdr:colOff>1381125</xdr:colOff>
      <xdr:row>19</xdr:row>
      <xdr:rowOff>180974</xdr:rowOff>
    </xdr:to>
    <xdr:sp macro="" textlink="">
      <xdr:nvSpPr>
        <xdr:cNvPr id="49" name="5-Point Star 48"/>
        <xdr:cNvSpPr/>
      </xdr:nvSpPr>
      <xdr:spPr>
        <a:xfrm>
          <a:off x="7877175" y="559117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6</xdr:col>
      <xdr:colOff>657225</xdr:colOff>
      <xdr:row>13</xdr:row>
      <xdr:rowOff>76200</xdr:rowOff>
    </xdr:from>
    <xdr:to>
      <xdr:col>6</xdr:col>
      <xdr:colOff>800100</xdr:colOff>
      <xdr:row>13</xdr:row>
      <xdr:rowOff>171449</xdr:rowOff>
    </xdr:to>
    <xdr:sp macro="" textlink="">
      <xdr:nvSpPr>
        <xdr:cNvPr id="50" name="5-Point Star 49"/>
        <xdr:cNvSpPr/>
      </xdr:nvSpPr>
      <xdr:spPr>
        <a:xfrm>
          <a:off x="8696325" y="369570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6</xdr:col>
      <xdr:colOff>428625</xdr:colOff>
      <xdr:row>12</xdr:row>
      <xdr:rowOff>104775</xdr:rowOff>
    </xdr:from>
    <xdr:to>
      <xdr:col>6</xdr:col>
      <xdr:colOff>571500</xdr:colOff>
      <xdr:row>12</xdr:row>
      <xdr:rowOff>200024</xdr:rowOff>
    </xdr:to>
    <xdr:sp macro="" textlink="">
      <xdr:nvSpPr>
        <xdr:cNvPr id="51" name="5-Point Star 50"/>
        <xdr:cNvSpPr/>
      </xdr:nvSpPr>
      <xdr:spPr>
        <a:xfrm>
          <a:off x="8467725" y="340995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5</xdr:col>
      <xdr:colOff>1352550</xdr:colOff>
      <xdr:row>14</xdr:row>
      <xdr:rowOff>76200</xdr:rowOff>
    </xdr:from>
    <xdr:to>
      <xdr:col>6</xdr:col>
      <xdr:colOff>95250</xdr:colOff>
      <xdr:row>14</xdr:row>
      <xdr:rowOff>171449</xdr:rowOff>
    </xdr:to>
    <xdr:sp macro="" textlink="">
      <xdr:nvSpPr>
        <xdr:cNvPr id="52" name="5-Point Star 51"/>
        <xdr:cNvSpPr/>
      </xdr:nvSpPr>
      <xdr:spPr>
        <a:xfrm>
          <a:off x="7991475" y="401002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5</xdr:col>
      <xdr:colOff>1171575</xdr:colOff>
      <xdr:row>16</xdr:row>
      <xdr:rowOff>95250</xdr:rowOff>
    </xdr:from>
    <xdr:to>
      <xdr:col>5</xdr:col>
      <xdr:colOff>1314450</xdr:colOff>
      <xdr:row>16</xdr:row>
      <xdr:rowOff>190499</xdr:rowOff>
    </xdr:to>
    <xdr:sp macro="" textlink="">
      <xdr:nvSpPr>
        <xdr:cNvPr id="53" name="5-Point Star 52"/>
        <xdr:cNvSpPr/>
      </xdr:nvSpPr>
      <xdr:spPr>
        <a:xfrm>
          <a:off x="7810500" y="465772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5</xdr:col>
      <xdr:colOff>219075</xdr:colOff>
      <xdr:row>17</xdr:row>
      <xdr:rowOff>57150</xdr:rowOff>
    </xdr:from>
    <xdr:to>
      <xdr:col>5</xdr:col>
      <xdr:colOff>361950</xdr:colOff>
      <xdr:row>17</xdr:row>
      <xdr:rowOff>152399</xdr:rowOff>
    </xdr:to>
    <xdr:sp macro="" textlink="">
      <xdr:nvSpPr>
        <xdr:cNvPr id="54" name="5-Point Star 53"/>
        <xdr:cNvSpPr/>
      </xdr:nvSpPr>
      <xdr:spPr>
        <a:xfrm>
          <a:off x="6858000" y="493395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6</xdr:col>
      <xdr:colOff>352425</xdr:colOff>
      <xdr:row>18</xdr:row>
      <xdr:rowOff>85725</xdr:rowOff>
    </xdr:from>
    <xdr:to>
      <xdr:col>6</xdr:col>
      <xdr:colOff>495300</xdr:colOff>
      <xdr:row>18</xdr:row>
      <xdr:rowOff>180974</xdr:rowOff>
    </xdr:to>
    <xdr:sp macro="" textlink="">
      <xdr:nvSpPr>
        <xdr:cNvPr id="55" name="5-Point Star 54"/>
        <xdr:cNvSpPr/>
      </xdr:nvSpPr>
      <xdr:spPr>
        <a:xfrm>
          <a:off x="8391525" y="527685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6</xdr:col>
      <xdr:colOff>152400</xdr:colOff>
      <xdr:row>9</xdr:row>
      <xdr:rowOff>66675</xdr:rowOff>
    </xdr:from>
    <xdr:to>
      <xdr:col>6</xdr:col>
      <xdr:colOff>295275</xdr:colOff>
      <xdr:row>9</xdr:row>
      <xdr:rowOff>161924</xdr:rowOff>
    </xdr:to>
    <xdr:sp macro="" textlink="">
      <xdr:nvSpPr>
        <xdr:cNvPr id="56" name="5-Point Star 55"/>
        <xdr:cNvSpPr/>
      </xdr:nvSpPr>
      <xdr:spPr>
        <a:xfrm>
          <a:off x="8191500" y="242887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5</xdr:col>
      <xdr:colOff>1123950</xdr:colOff>
      <xdr:row>11</xdr:row>
      <xdr:rowOff>95250</xdr:rowOff>
    </xdr:from>
    <xdr:to>
      <xdr:col>5</xdr:col>
      <xdr:colOff>1266825</xdr:colOff>
      <xdr:row>11</xdr:row>
      <xdr:rowOff>190499</xdr:rowOff>
    </xdr:to>
    <xdr:sp macro="" textlink="">
      <xdr:nvSpPr>
        <xdr:cNvPr id="57" name="5-Point Star 56"/>
        <xdr:cNvSpPr/>
      </xdr:nvSpPr>
      <xdr:spPr>
        <a:xfrm>
          <a:off x="7762875" y="308610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6</xdr:col>
      <xdr:colOff>161925</xdr:colOff>
      <xdr:row>15</xdr:row>
      <xdr:rowOff>95250</xdr:rowOff>
    </xdr:from>
    <xdr:to>
      <xdr:col>6</xdr:col>
      <xdr:colOff>304800</xdr:colOff>
      <xdr:row>15</xdr:row>
      <xdr:rowOff>190499</xdr:rowOff>
    </xdr:to>
    <xdr:sp macro="" textlink="">
      <xdr:nvSpPr>
        <xdr:cNvPr id="58" name="5-Point Star 57"/>
        <xdr:cNvSpPr/>
      </xdr:nvSpPr>
      <xdr:spPr>
        <a:xfrm>
          <a:off x="8201025" y="434340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542925</xdr:colOff>
      <xdr:row>18</xdr:row>
      <xdr:rowOff>123825</xdr:rowOff>
    </xdr:from>
    <xdr:to>
      <xdr:col>1</xdr:col>
      <xdr:colOff>685800</xdr:colOff>
      <xdr:row>18</xdr:row>
      <xdr:rowOff>219074</xdr:rowOff>
    </xdr:to>
    <xdr:sp macro="" textlink="">
      <xdr:nvSpPr>
        <xdr:cNvPr id="59" name="5-Point Star 58"/>
        <xdr:cNvSpPr/>
      </xdr:nvSpPr>
      <xdr:spPr>
        <a:xfrm>
          <a:off x="1028700" y="531495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1009650</xdr:colOff>
      <xdr:row>19</xdr:row>
      <xdr:rowOff>123825</xdr:rowOff>
    </xdr:from>
    <xdr:to>
      <xdr:col>1</xdr:col>
      <xdr:colOff>1152525</xdr:colOff>
      <xdr:row>19</xdr:row>
      <xdr:rowOff>219074</xdr:rowOff>
    </xdr:to>
    <xdr:sp macro="" textlink="">
      <xdr:nvSpPr>
        <xdr:cNvPr id="60" name="5-Point Star 59"/>
        <xdr:cNvSpPr/>
      </xdr:nvSpPr>
      <xdr:spPr>
        <a:xfrm>
          <a:off x="1495425" y="5629275"/>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0</xdr:col>
      <xdr:colOff>476250</xdr:colOff>
      <xdr:row>22</xdr:row>
      <xdr:rowOff>66675</xdr:rowOff>
    </xdr:from>
    <xdr:to>
      <xdr:col>1</xdr:col>
      <xdr:colOff>133350</xdr:colOff>
      <xdr:row>22</xdr:row>
      <xdr:rowOff>161924</xdr:rowOff>
    </xdr:to>
    <xdr:sp macro="" textlink="">
      <xdr:nvSpPr>
        <xdr:cNvPr id="61" name="5-Point Star 60"/>
        <xdr:cNvSpPr/>
      </xdr:nvSpPr>
      <xdr:spPr>
        <a:xfrm>
          <a:off x="476250" y="6515100"/>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twoCellAnchor>
    <xdr:from>
      <xdr:col>1</xdr:col>
      <xdr:colOff>752475</xdr:colOff>
      <xdr:row>1</xdr:row>
      <xdr:rowOff>57150</xdr:rowOff>
    </xdr:from>
    <xdr:to>
      <xdr:col>1</xdr:col>
      <xdr:colOff>895350</xdr:colOff>
      <xdr:row>1</xdr:row>
      <xdr:rowOff>152399</xdr:rowOff>
    </xdr:to>
    <xdr:sp macro="" textlink="">
      <xdr:nvSpPr>
        <xdr:cNvPr id="62" name="5-Point Star 61"/>
        <xdr:cNvSpPr/>
      </xdr:nvSpPr>
      <xdr:spPr>
        <a:xfrm>
          <a:off x="1238250" y="504825"/>
          <a:ext cx="142875" cy="95249"/>
        </a:xfrm>
        <a:prstGeom prst="star5">
          <a:avLst/>
        </a:prstGeom>
      </xdr:spPr>
      <xdr:style>
        <a:lnRef idx="1">
          <a:schemeClr val="accent5"/>
        </a:lnRef>
        <a:fillRef idx="2">
          <a:schemeClr val="accent5"/>
        </a:fillRef>
        <a:effectRef idx="1">
          <a:schemeClr val="accent5"/>
        </a:effectRef>
        <a:fontRef idx="minor">
          <a:schemeClr val="dk1"/>
        </a:fontRef>
      </xdr:style>
      <xdr:txBody>
        <a:bodyPr rtlCol="0" anchor="ctr"/>
        <a:lstStyle/>
        <a:p>
          <a:pPr algn="ctr"/>
          <a:endParaRPr lang="en-US" sz="1100"/>
        </a:p>
      </xdr:txBody>
    </xdr:sp>
    <xdr:clientData/>
  </xdr:twoCellAnchor>
  <xdr:twoCellAnchor>
    <xdr:from>
      <xdr:col>1</xdr:col>
      <xdr:colOff>1533525</xdr:colOff>
      <xdr:row>2</xdr:row>
      <xdr:rowOff>57150</xdr:rowOff>
    </xdr:from>
    <xdr:to>
      <xdr:col>1</xdr:col>
      <xdr:colOff>1676400</xdr:colOff>
      <xdr:row>2</xdr:row>
      <xdr:rowOff>152399</xdr:rowOff>
    </xdr:to>
    <xdr:sp macro="" textlink="">
      <xdr:nvSpPr>
        <xdr:cNvPr id="63" name="5-Point Star 62"/>
        <xdr:cNvSpPr/>
      </xdr:nvSpPr>
      <xdr:spPr>
        <a:xfrm>
          <a:off x="2019300" y="771525"/>
          <a:ext cx="142875" cy="95249"/>
        </a:xfrm>
        <a:prstGeom prst="star5">
          <a:avLst/>
        </a:prstGeom>
      </xdr:spPr>
      <xdr:style>
        <a:lnRef idx="1">
          <a:schemeClr val="accent5"/>
        </a:lnRef>
        <a:fillRef idx="2">
          <a:schemeClr val="accent5"/>
        </a:fillRef>
        <a:effectRef idx="1">
          <a:schemeClr val="accent5"/>
        </a:effectRef>
        <a:fontRef idx="minor">
          <a:schemeClr val="dk1"/>
        </a:fontRef>
      </xdr:style>
      <xdr:txBody>
        <a:bodyPr rtlCol="0" anchor="ctr"/>
        <a:lstStyle/>
        <a:p>
          <a:pPr algn="ctr"/>
          <a:endParaRPr lang="en-US" sz="1100"/>
        </a:p>
      </xdr:txBody>
    </xdr:sp>
    <xdr:clientData/>
  </xdr:twoCellAnchor>
  <xdr:twoCellAnchor>
    <xdr:from>
      <xdr:col>1</xdr:col>
      <xdr:colOff>1114425</xdr:colOff>
      <xdr:row>3</xdr:row>
      <xdr:rowOff>57150</xdr:rowOff>
    </xdr:from>
    <xdr:to>
      <xdr:col>1</xdr:col>
      <xdr:colOff>1257300</xdr:colOff>
      <xdr:row>3</xdr:row>
      <xdr:rowOff>152399</xdr:rowOff>
    </xdr:to>
    <xdr:sp macro="" textlink="">
      <xdr:nvSpPr>
        <xdr:cNvPr id="64" name="5-Point Star 63"/>
        <xdr:cNvSpPr/>
      </xdr:nvSpPr>
      <xdr:spPr>
        <a:xfrm>
          <a:off x="1600200" y="1038225"/>
          <a:ext cx="142875" cy="95249"/>
        </a:xfrm>
        <a:prstGeom prst="star5">
          <a:avLst/>
        </a:prstGeom>
      </xdr:spPr>
      <xdr:style>
        <a:lnRef idx="1">
          <a:schemeClr val="accent5"/>
        </a:lnRef>
        <a:fillRef idx="2">
          <a:schemeClr val="accent5"/>
        </a:fillRef>
        <a:effectRef idx="1">
          <a:schemeClr val="accent5"/>
        </a:effectRef>
        <a:fontRef idx="minor">
          <a:schemeClr val="dk1"/>
        </a:fontRef>
      </xdr:style>
      <xdr:txBody>
        <a:bodyPr rtlCol="0" anchor="ctr"/>
        <a:lstStyle/>
        <a:p>
          <a:pPr algn="ctr"/>
          <a:endParaRPr lang="en-US" sz="1100"/>
        </a:p>
      </xdr:txBody>
    </xdr:sp>
    <xdr:clientData/>
  </xdr:twoCellAnchor>
  <xdr:twoCellAnchor>
    <xdr:from>
      <xdr:col>2</xdr:col>
      <xdr:colOff>76200</xdr:colOff>
      <xdr:row>4</xdr:row>
      <xdr:rowOff>47625</xdr:rowOff>
    </xdr:from>
    <xdr:to>
      <xdr:col>2</xdr:col>
      <xdr:colOff>219075</xdr:colOff>
      <xdr:row>4</xdr:row>
      <xdr:rowOff>142874</xdr:rowOff>
    </xdr:to>
    <xdr:sp macro="" textlink="">
      <xdr:nvSpPr>
        <xdr:cNvPr id="65" name="5-Point Star 64"/>
        <xdr:cNvSpPr/>
      </xdr:nvSpPr>
      <xdr:spPr>
        <a:xfrm>
          <a:off x="2466975" y="1295400"/>
          <a:ext cx="142875" cy="95249"/>
        </a:xfrm>
        <a:prstGeom prst="star5">
          <a:avLst/>
        </a:prstGeom>
      </xdr:spPr>
      <xdr:style>
        <a:lnRef idx="1">
          <a:schemeClr val="accent5"/>
        </a:lnRef>
        <a:fillRef idx="2">
          <a:schemeClr val="accent5"/>
        </a:fillRef>
        <a:effectRef idx="1">
          <a:schemeClr val="accent5"/>
        </a:effectRef>
        <a:fontRef idx="minor">
          <a:schemeClr val="dk1"/>
        </a:fontRef>
      </xdr:style>
      <xdr:txBody>
        <a:bodyPr rtlCol="0" anchor="ctr"/>
        <a:lstStyle/>
        <a:p>
          <a:pPr algn="ctr"/>
          <a:endParaRPr lang="en-US" sz="1100"/>
        </a:p>
      </xdr:txBody>
    </xdr:sp>
    <xdr:clientData/>
  </xdr:twoCellAnchor>
  <xdr:twoCellAnchor>
    <xdr:from>
      <xdr:col>2</xdr:col>
      <xdr:colOff>76200</xdr:colOff>
      <xdr:row>5</xdr:row>
      <xdr:rowOff>57150</xdr:rowOff>
    </xdr:from>
    <xdr:to>
      <xdr:col>2</xdr:col>
      <xdr:colOff>219075</xdr:colOff>
      <xdr:row>5</xdr:row>
      <xdr:rowOff>152399</xdr:rowOff>
    </xdr:to>
    <xdr:sp macro="" textlink="">
      <xdr:nvSpPr>
        <xdr:cNvPr id="66" name="5-Point Star 65"/>
        <xdr:cNvSpPr/>
      </xdr:nvSpPr>
      <xdr:spPr>
        <a:xfrm>
          <a:off x="2466975" y="1571625"/>
          <a:ext cx="142875" cy="95249"/>
        </a:xfrm>
        <a:prstGeom prst="star5">
          <a:avLst/>
        </a:prstGeom>
      </xdr:spPr>
      <xdr:style>
        <a:lnRef idx="1">
          <a:schemeClr val="accent5"/>
        </a:lnRef>
        <a:fillRef idx="2">
          <a:schemeClr val="accent5"/>
        </a:fillRef>
        <a:effectRef idx="1">
          <a:schemeClr val="accent5"/>
        </a:effectRef>
        <a:fontRef idx="minor">
          <a:schemeClr val="dk1"/>
        </a:fontRef>
      </xdr:style>
      <xdr:txBody>
        <a:bodyPr rtlCol="0" anchor="ctr"/>
        <a:lstStyle/>
        <a:p>
          <a:pPr algn="ctr"/>
          <a:endParaRPr lang="en-US" sz="1100"/>
        </a:p>
      </xdr:txBody>
    </xdr:sp>
    <xdr:clientData/>
  </xdr:twoCellAnchor>
  <xdr:twoCellAnchor>
    <xdr:from>
      <xdr:col>6</xdr:col>
      <xdr:colOff>333375</xdr:colOff>
      <xdr:row>3</xdr:row>
      <xdr:rowOff>66675</xdr:rowOff>
    </xdr:from>
    <xdr:to>
      <xdr:col>6</xdr:col>
      <xdr:colOff>476250</xdr:colOff>
      <xdr:row>3</xdr:row>
      <xdr:rowOff>161924</xdr:rowOff>
    </xdr:to>
    <xdr:sp macro="" textlink="">
      <xdr:nvSpPr>
        <xdr:cNvPr id="67" name="5-Point Star 66"/>
        <xdr:cNvSpPr/>
      </xdr:nvSpPr>
      <xdr:spPr>
        <a:xfrm>
          <a:off x="8372475" y="1047750"/>
          <a:ext cx="142875" cy="95249"/>
        </a:xfrm>
        <a:prstGeom prst="star5">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endParaRPr lang="en-US" sz="1100"/>
        </a:p>
      </xdr:txBody>
    </xdr:sp>
    <xdr:clientData/>
  </xdr:twoCellAnchor>
  <xdr:twoCellAnchor>
    <xdr:from>
      <xdr:col>6</xdr:col>
      <xdr:colOff>495300</xdr:colOff>
      <xdr:row>4</xdr:row>
      <xdr:rowOff>85725</xdr:rowOff>
    </xdr:from>
    <xdr:to>
      <xdr:col>6</xdr:col>
      <xdr:colOff>638175</xdr:colOff>
      <xdr:row>4</xdr:row>
      <xdr:rowOff>180974</xdr:rowOff>
    </xdr:to>
    <xdr:sp macro="" textlink="">
      <xdr:nvSpPr>
        <xdr:cNvPr id="69" name="5-Point Star 68"/>
        <xdr:cNvSpPr/>
      </xdr:nvSpPr>
      <xdr:spPr>
        <a:xfrm>
          <a:off x="8534400" y="1333500"/>
          <a:ext cx="142875" cy="95249"/>
        </a:xfrm>
        <a:prstGeom prst="star5">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endParaRPr lang="en-US" sz="1100"/>
        </a:p>
      </xdr:txBody>
    </xdr:sp>
    <xdr:clientData/>
  </xdr:twoCellAnchor>
  <xdr:twoCellAnchor>
    <xdr:from>
      <xdr:col>7</xdr:col>
      <xdr:colOff>1265767</xdr:colOff>
      <xdr:row>1</xdr:row>
      <xdr:rowOff>257174</xdr:rowOff>
    </xdr:from>
    <xdr:to>
      <xdr:col>7</xdr:col>
      <xdr:colOff>1408642</xdr:colOff>
      <xdr:row>2</xdr:row>
      <xdr:rowOff>87840</xdr:rowOff>
    </xdr:to>
    <xdr:sp macro="" textlink="">
      <xdr:nvSpPr>
        <xdr:cNvPr id="70" name="5-Point Star 69"/>
        <xdr:cNvSpPr/>
      </xdr:nvSpPr>
      <xdr:spPr>
        <a:xfrm>
          <a:off x="10917767" y="701674"/>
          <a:ext cx="142875" cy="95249"/>
        </a:xfrm>
        <a:prstGeom prst="star5">
          <a:avLst/>
        </a:prstGeom>
      </xdr:spPr>
      <xdr:style>
        <a:lnRef idx="1">
          <a:schemeClr val="accent2"/>
        </a:lnRef>
        <a:fillRef idx="2">
          <a:schemeClr val="accent2"/>
        </a:fillRef>
        <a:effectRef idx="1">
          <a:schemeClr val="accent2"/>
        </a:effectRef>
        <a:fontRef idx="minor">
          <a:schemeClr val="dk1"/>
        </a:fontRef>
      </xdr:style>
      <xdr:txBody>
        <a:bodyPr rtlCol="0" anchor="ctr"/>
        <a:lstStyle/>
        <a:p>
          <a:pPr algn="ctr"/>
          <a:endParaRPr lang="en-US" sz="1100"/>
        </a:p>
      </xdr:txBody>
    </xdr:sp>
    <xdr:clientData/>
  </xdr:twoCellAnchor>
  <xdr:twoCellAnchor>
    <xdr:from>
      <xdr:col>10</xdr:col>
      <xdr:colOff>0</xdr:colOff>
      <xdr:row>3</xdr:row>
      <xdr:rowOff>0</xdr:rowOff>
    </xdr:from>
    <xdr:to>
      <xdr:col>10</xdr:col>
      <xdr:colOff>142875</xdr:colOff>
      <xdr:row>3</xdr:row>
      <xdr:rowOff>95249</xdr:rowOff>
    </xdr:to>
    <xdr:sp macro="" textlink="">
      <xdr:nvSpPr>
        <xdr:cNvPr id="71" name="5-Point Star 70"/>
        <xdr:cNvSpPr/>
      </xdr:nvSpPr>
      <xdr:spPr>
        <a:xfrm>
          <a:off x="13506450" y="981075"/>
          <a:ext cx="142875" cy="95249"/>
        </a:xfrm>
        <a:prstGeom prst="star5">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endParaRPr lang="en-US" sz="1100"/>
        </a:p>
      </xdr:txBody>
    </xdr:sp>
    <xdr:clientData/>
  </xdr:twoCellAnchor>
  <xdr:twoCellAnchor editAs="oneCell">
    <xdr:from>
      <xdr:col>11</xdr:col>
      <xdr:colOff>1828800</xdr:colOff>
      <xdr:row>0</xdr:row>
      <xdr:rowOff>0</xdr:rowOff>
    </xdr:from>
    <xdr:to>
      <xdr:col>13</xdr:col>
      <xdr:colOff>552449</xdr:colOff>
      <xdr:row>10</xdr:row>
      <xdr:rowOff>85725</xdr:rowOff>
    </xdr:to>
    <xdr:pic>
      <xdr:nvPicPr>
        <xdr:cNvPr id="72" name="Picture 71"/>
        <xdr:cNvPicPr>
          <a:picLocks noChangeAspect="1" noChangeArrowheads="1"/>
        </xdr:cNvPicPr>
      </xdr:nvPicPr>
      <xdr:blipFill>
        <a:blip xmlns:r="http://schemas.openxmlformats.org/officeDocument/2006/relationships" r:embed="rId1"/>
        <a:srcRect/>
        <a:stretch>
          <a:fillRect/>
        </a:stretch>
      </xdr:blipFill>
      <xdr:spPr bwMode="auto">
        <a:xfrm>
          <a:off x="17716500" y="0"/>
          <a:ext cx="3486149" cy="3028950"/>
        </a:xfrm>
        <a:prstGeom prst="rect">
          <a:avLst/>
        </a:prstGeom>
        <a:noFill/>
      </xdr:spPr>
    </xdr:pic>
    <xdr:clientData/>
  </xdr:twoCellAnchor>
  <xdr:twoCellAnchor editAs="oneCell">
    <xdr:from>
      <xdr:col>12</xdr:col>
      <xdr:colOff>1485900</xdr:colOff>
      <xdr:row>21</xdr:row>
      <xdr:rowOff>314324</xdr:rowOff>
    </xdr:from>
    <xdr:to>
      <xdr:col>13</xdr:col>
      <xdr:colOff>533400</xdr:colOff>
      <xdr:row>29</xdr:row>
      <xdr:rowOff>0</xdr:rowOff>
    </xdr:to>
    <xdr:pic>
      <xdr:nvPicPr>
        <xdr:cNvPr id="73"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19754850" y="6448424"/>
          <a:ext cx="1428750" cy="2228851"/>
        </a:xfrm>
        <a:prstGeom prst="rect">
          <a:avLst/>
        </a:prstGeom>
        <a:noFill/>
      </xdr:spPr>
    </xdr:pic>
    <xdr:clientData/>
  </xdr:twoCellAnchor>
  <xdr:twoCellAnchor>
    <xdr:from>
      <xdr:col>3</xdr:col>
      <xdr:colOff>1057275</xdr:colOff>
      <xdr:row>5</xdr:row>
      <xdr:rowOff>85724</xdr:rowOff>
    </xdr:from>
    <xdr:to>
      <xdr:col>3</xdr:col>
      <xdr:colOff>1466850</xdr:colOff>
      <xdr:row>6</xdr:row>
      <xdr:rowOff>19049</xdr:rowOff>
    </xdr:to>
    <xdr:sp macro="" textlink="">
      <xdr:nvSpPr>
        <xdr:cNvPr id="74" name="rightArrow"/>
        <xdr:cNvSpPr/>
      </xdr:nvSpPr>
      <xdr:spPr>
        <a:xfrm>
          <a:off x="4772025" y="1333499"/>
          <a:ext cx="409575" cy="200025"/>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1066800</xdr:colOff>
      <xdr:row>6</xdr:row>
      <xdr:rowOff>66674</xdr:rowOff>
    </xdr:from>
    <xdr:to>
      <xdr:col>3</xdr:col>
      <xdr:colOff>1476375</xdr:colOff>
      <xdr:row>6</xdr:row>
      <xdr:rowOff>266699</xdr:rowOff>
    </xdr:to>
    <xdr:sp macro="" textlink="">
      <xdr:nvSpPr>
        <xdr:cNvPr id="75" name="rightArrow"/>
        <xdr:cNvSpPr/>
      </xdr:nvSpPr>
      <xdr:spPr>
        <a:xfrm>
          <a:off x="4781550" y="1581149"/>
          <a:ext cx="409575" cy="200025"/>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xdr:col>
      <xdr:colOff>1123950</xdr:colOff>
      <xdr:row>6</xdr:row>
      <xdr:rowOff>38100</xdr:rowOff>
    </xdr:from>
    <xdr:to>
      <xdr:col>1</xdr:col>
      <xdr:colOff>1266825</xdr:colOff>
      <xdr:row>6</xdr:row>
      <xdr:rowOff>133349</xdr:rowOff>
    </xdr:to>
    <xdr:sp macro="" textlink="">
      <xdr:nvSpPr>
        <xdr:cNvPr id="76" name="5-Point Star 75"/>
        <xdr:cNvSpPr/>
      </xdr:nvSpPr>
      <xdr:spPr>
        <a:xfrm>
          <a:off x="1609725" y="1819275"/>
          <a:ext cx="142875" cy="95249"/>
        </a:xfrm>
        <a:prstGeom prst="star5">
          <a:avLst/>
        </a:prstGeom>
      </xdr:spPr>
      <xdr:style>
        <a:lnRef idx="1">
          <a:schemeClr val="accent5"/>
        </a:lnRef>
        <a:fillRef idx="2">
          <a:schemeClr val="accent5"/>
        </a:fillRef>
        <a:effectRef idx="1">
          <a:schemeClr val="accent5"/>
        </a:effectRef>
        <a:fontRef idx="minor">
          <a:schemeClr val="dk1"/>
        </a:fontRef>
      </xdr:style>
      <xdr:txBody>
        <a:bodyPr rtlCol="0" anchor="ctr"/>
        <a:lstStyle/>
        <a:p>
          <a:pPr algn="ctr"/>
          <a:endParaRPr lang="en-US" sz="1100"/>
        </a:p>
      </xdr:txBody>
    </xdr:sp>
    <xdr:clientData/>
  </xdr:twoCellAnchor>
  <xdr:twoCellAnchor>
    <xdr:from>
      <xdr:col>7</xdr:col>
      <xdr:colOff>1409700</xdr:colOff>
      <xdr:row>6</xdr:row>
      <xdr:rowOff>38102</xdr:rowOff>
    </xdr:from>
    <xdr:to>
      <xdr:col>7</xdr:col>
      <xdr:colOff>1914525</xdr:colOff>
      <xdr:row>6</xdr:row>
      <xdr:rowOff>238125</xdr:rowOff>
    </xdr:to>
    <xdr:sp macro="" textlink="">
      <xdr:nvSpPr>
        <xdr:cNvPr id="77" name="rightArrow"/>
        <xdr:cNvSpPr/>
      </xdr:nvSpPr>
      <xdr:spPr>
        <a:xfrm>
          <a:off x="11068050" y="1552577"/>
          <a:ext cx="504825" cy="200023"/>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6</xdr:col>
      <xdr:colOff>48683</xdr:colOff>
      <xdr:row>6</xdr:row>
      <xdr:rowOff>58207</xdr:rowOff>
    </xdr:from>
    <xdr:to>
      <xdr:col>6</xdr:col>
      <xdr:colOff>191558</xdr:colOff>
      <xdr:row>6</xdr:row>
      <xdr:rowOff>153456</xdr:rowOff>
    </xdr:to>
    <xdr:sp macro="" textlink="">
      <xdr:nvSpPr>
        <xdr:cNvPr id="78" name="5-Point Star 77"/>
        <xdr:cNvSpPr/>
      </xdr:nvSpPr>
      <xdr:spPr>
        <a:xfrm>
          <a:off x="8197850" y="1825624"/>
          <a:ext cx="142875" cy="95249"/>
        </a:xfrm>
        <a:prstGeom prst="star5">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190500</xdr:colOff>
      <xdr:row>0</xdr:row>
      <xdr:rowOff>0</xdr:rowOff>
    </xdr:from>
    <xdr:to>
      <xdr:col>25</xdr:col>
      <xdr:colOff>173182</xdr:colOff>
      <xdr:row>2</xdr:row>
      <xdr:rowOff>129885</xdr:rowOff>
    </xdr:to>
    <xdr:sp macro="" textlink="">
      <xdr:nvSpPr>
        <xdr:cNvPr id="2" name="Oval Callout 1"/>
        <xdr:cNvSpPr/>
      </xdr:nvSpPr>
      <xdr:spPr>
        <a:xfrm>
          <a:off x="7230341" y="0"/>
          <a:ext cx="5983432" cy="874567"/>
        </a:xfrm>
        <a:prstGeom prst="wedgeEllipseCallout">
          <a:avLst>
            <a:gd name="adj1" fmla="val -121365"/>
            <a:gd name="adj2" fmla="val 125771"/>
          </a:avLst>
        </a:prstGeom>
        <a:solidFill>
          <a:schemeClr val="accent3">
            <a:lumMod val="40000"/>
            <a:lumOff val="6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baseline="0">
              <a:solidFill>
                <a:srgbClr val="7030A0"/>
              </a:solidFill>
              <a:latin typeface="Kruti Dev 010" pitchFamily="2" charset="0"/>
              <a:ea typeface="+mn-ea"/>
              <a:cs typeface="+mn-cs"/>
            </a:rPr>
            <a:t>vkidksa </a:t>
          </a:r>
          <a:r>
            <a:rPr lang="en-US" sz="1200" b="1" baseline="0">
              <a:solidFill>
                <a:srgbClr val="7030A0"/>
              </a:solidFill>
              <a:latin typeface="+mn-lt"/>
              <a:ea typeface="+mn-ea"/>
              <a:cs typeface="+mn-cs"/>
            </a:rPr>
            <a:t>Cell F5   </a:t>
          </a:r>
          <a:r>
            <a:rPr lang="en-US" sz="1200" b="1" baseline="0">
              <a:solidFill>
                <a:srgbClr val="7030A0"/>
              </a:solidFill>
              <a:latin typeface="Kruti Dev 010" pitchFamily="2" charset="0"/>
              <a:ea typeface="+mn-ea"/>
              <a:cs typeface="+mn-cs"/>
            </a:rPr>
            <a:t>esa vius 1 ekpZ 2017 dh cSfld xzsM is lfgr fy[kuh gSA mij lQsn dj dh lsy esa dsoy xzsM is fy[kuk gSaA  vki viuh vko';drkuqlkj fiys dyj dh lsy esa osY;q psat dj ldrs gSaA</a:t>
          </a:r>
          <a:endParaRPr lang="en-US" sz="1200" b="1">
            <a:solidFill>
              <a:srgbClr val="7030A0"/>
            </a:solidFill>
            <a:latin typeface="Kruti Dev 010" pitchFamily="2" charset="0"/>
            <a:ea typeface="+mn-ea"/>
            <a:cs typeface="+mn-cs"/>
          </a:endParaRPr>
        </a:p>
        <a:p>
          <a:pPr algn="ctr"/>
          <a:endParaRPr lang="en-US" sz="1100"/>
        </a:p>
      </xdr:txBody>
    </xdr:sp>
    <xdr:clientData/>
  </xdr:twoCellAnchor>
  <xdr:twoCellAnchor>
    <xdr:from>
      <xdr:col>10</xdr:col>
      <xdr:colOff>0</xdr:colOff>
      <xdr:row>1</xdr:row>
      <xdr:rowOff>0</xdr:rowOff>
    </xdr:from>
    <xdr:to>
      <xdr:col>13</xdr:col>
      <xdr:colOff>402167</xdr:colOff>
      <xdr:row>1</xdr:row>
      <xdr:rowOff>402167</xdr:rowOff>
    </xdr:to>
    <xdr:sp macro="" textlink="">
      <xdr:nvSpPr>
        <xdr:cNvPr id="3" name="Oval Callout 2"/>
        <xdr:cNvSpPr/>
      </xdr:nvSpPr>
      <xdr:spPr>
        <a:xfrm>
          <a:off x="5080000" y="264583"/>
          <a:ext cx="1926167" cy="402167"/>
        </a:xfrm>
        <a:prstGeom prst="wedgeEllipseCallout">
          <a:avLst>
            <a:gd name="adj1" fmla="val -155133"/>
            <a:gd name="adj2" fmla="val 97958"/>
          </a:avLst>
        </a:prstGeom>
        <a:solidFill>
          <a:schemeClr val="accent3">
            <a:lumMod val="40000"/>
            <a:lumOff val="6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baseline="0">
              <a:solidFill>
                <a:srgbClr val="7030A0"/>
              </a:solidFill>
              <a:latin typeface="+mn-lt"/>
              <a:ea typeface="+mn-ea"/>
              <a:cs typeface="+mn-cs"/>
            </a:rPr>
            <a:t>Sellect Grade PAY</a:t>
          </a:r>
          <a:endParaRPr lang="en-US" sz="1200" b="1">
            <a:solidFill>
              <a:srgbClr val="7030A0"/>
            </a:solidFill>
            <a:latin typeface="+mn-lt"/>
            <a:ea typeface="+mn-ea"/>
            <a:cs typeface="+mn-cs"/>
          </a:endParaRPr>
        </a:p>
        <a:p>
          <a:pPr algn="ctr"/>
          <a:endParaRPr lang="en-US" sz="1100"/>
        </a:p>
      </xdr:txBody>
    </xdr:sp>
    <xdr:clientData/>
  </xdr:twoCellAnchor>
  <xdr:twoCellAnchor>
    <xdr:from>
      <xdr:col>27</xdr:col>
      <xdr:colOff>867833</xdr:colOff>
      <xdr:row>0</xdr:row>
      <xdr:rowOff>148167</xdr:rowOff>
    </xdr:from>
    <xdr:to>
      <xdr:col>49</xdr:col>
      <xdr:colOff>349250</xdr:colOff>
      <xdr:row>2</xdr:row>
      <xdr:rowOff>285750</xdr:rowOff>
    </xdr:to>
    <xdr:sp macro="" textlink="">
      <xdr:nvSpPr>
        <xdr:cNvPr id="4" name="Oval Callout 3"/>
        <xdr:cNvSpPr/>
      </xdr:nvSpPr>
      <xdr:spPr>
        <a:xfrm>
          <a:off x="15261166" y="148167"/>
          <a:ext cx="10329334" cy="878416"/>
        </a:xfrm>
        <a:prstGeom prst="wedgeEllipseCallout">
          <a:avLst>
            <a:gd name="adj1" fmla="val -65117"/>
            <a:gd name="adj2" fmla="val 90959"/>
          </a:avLst>
        </a:prstGeom>
        <a:solidFill>
          <a:schemeClr val="accent3">
            <a:lumMod val="40000"/>
            <a:lumOff val="6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400" b="1" baseline="0">
              <a:solidFill>
                <a:srgbClr val="7030A0"/>
              </a:solidFill>
              <a:latin typeface="Kruti Dev 010" pitchFamily="2" charset="0"/>
              <a:ea typeface="+mn-ea"/>
              <a:cs typeface="+mn-cs"/>
            </a:rPr>
            <a:t>vko';drkuqlkj dsoy ihys dyj dh lSy esa MkVk ,fMV djds fy[ksaA</a:t>
          </a:r>
          <a:r>
            <a:rPr lang="en-US" sz="1400" b="1" baseline="0">
              <a:solidFill>
                <a:srgbClr val="7030A0"/>
              </a:solidFill>
              <a:latin typeface="+mn-lt"/>
              <a:ea typeface="+mn-ea"/>
              <a:cs typeface="+mn-cs"/>
            </a:rPr>
            <a:t> RPMF </a:t>
          </a:r>
          <a:r>
            <a:rPr lang="en-US" sz="1400" b="1" baseline="0">
              <a:solidFill>
                <a:srgbClr val="7030A0"/>
              </a:solidFill>
              <a:latin typeface="Kruti Dev 010" pitchFamily="2" charset="0"/>
              <a:ea typeface="+mn-ea"/>
              <a:cs typeface="+mn-cs"/>
            </a:rPr>
            <a:t>esa dqN djusa dh t:jr ugh gSaA vxj vkidks T;knk ,fMV djus gks rks igys ,d Qzsl QkbZy MkmuyksM djds lqjf{kr dj ysos A </a:t>
          </a:r>
          <a:endParaRPr lang="en-US" sz="1400" b="1">
            <a:solidFill>
              <a:srgbClr val="7030A0"/>
            </a:solidFill>
            <a:latin typeface="Kruti Dev 010" pitchFamily="2" charset="0"/>
            <a:ea typeface="+mn-ea"/>
            <a:cs typeface="+mn-cs"/>
          </a:endParaRPr>
        </a:p>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1080136</xdr:colOff>
      <xdr:row>31</xdr:row>
      <xdr:rowOff>95250</xdr:rowOff>
    </xdr:from>
    <xdr:to>
      <xdr:col>6</xdr:col>
      <xdr:colOff>1162049</xdr:colOff>
      <xdr:row>31</xdr:row>
      <xdr:rowOff>161926</xdr:rowOff>
    </xdr:to>
    <xdr:sp macro="" textlink="">
      <xdr:nvSpPr>
        <xdr:cNvPr id="2" name="5-Point Star 1"/>
        <xdr:cNvSpPr/>
      </xdr:nvSpPr>
      <xdr:spPr>
        <a:xfrm flipH="1">
          <a:off x="6737986" y="8258175"/>
          <a:ext cx="81913" cy="66676"/>
        </a:xfrm>
        <a:prstGeom prst="star5">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endParaRPr lang="en-US" sz="1100"/>
        </a:p>
      </xdr:txBody>
    </xdr:sp>
    <xdr:clientData/>
  </xdr:twoCellAnchor>
  <xdr:twoCellAnchor>
    <xdr:from>
      <xdr:col>6</xdr:col>
      <xdr:colOff>1028700</xdr:colOff>
      <xdr:row>36</xdr:row>
      <xdr:rowOff>47624</xdr:rowOff>
    </xdr:from>
    <xdr:to>
      <xdr:col>6</xdr:col>
      <xdr:colOff>1123951</xdr:colOff>
      <xdr:row>36</xdr:row>
      <xdr:rowOff>133349</xdr:rowOff>
    </xdr:to>
    <xdr:sp macro="" textlink="">
      <xdr:nvSpPr>
        <xdr:cNvPr id="3" name="5-Point Star 2"/>
        <xdr:cNvSpPr/>
      </xdr:nvSpPr>
      <xdr:spPr>
        <a:xfrm>
          <a:off x="6686550" y="9544049"/>
          <a:ext cx="95251" cy="85725"/>
        </a:xfrm>
        <a:prstGeom prst="star5">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endParaRPr lang="en-US" sz="1100"/>
        </a:p>
      </xdr:txBody>
    </xdr:sp>
    <xdr:clientData/>
  </xdr:twoCellAnchor>
  <xdr:twoCellAnchor>
    <xdr:from>
      <xdr:col>6</xdr:col>
      <xdr:colOff>561975</xdr:colOff>
      <xdr:row>23</xdr:row>
      <xdr:rowOff>9526</xdr:rowOff>
    </xdr:from>
    <xdr:to>
      <xdr:col>6</xdr:col>
      <xdr:colOff>695325</xdr:colOff>
      <xdr:row>23</xdr:row>
      <xdr:rowOff>238125</xdr:rowOff>
    </xdr:to>
    <xdr:sp macro="" textlink="">
      <xdr:nvSpPr>
        <xdr:cNvPr id="4" name="Down Arrow 3"/>
        <xdr:cNvSpPr/>
      </xdr:nvSpPr>
      <xdr:spPr>
        <a:xfrm>
          <a:off x="6219825" y="5886451"/>
          <a:ext cx="133350" cy="2285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eralaljatchandawal@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hyperlink" Target="mailto:heeralaljatchandawal@gmail.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abSelected="1" topLeftCell="A3" workbookViewId="0">
      <selection activeCell="B5" sqref="B5"/>
    </sheetView>
  </sheetViews>
  <sheetFormatPr defaultRowHeight="15" x14ac:dyDescent="0.25"/>
  <cols>
    <col min="2" max="2" width="134.140625" customWidth="1" collapsed="1"/>
  </cols>
  <sheetData>
    <row r="1" spans="1:2" ht="39" customHeight="1" thickTop="1" x14ac:dyDescent="0.25">
      <c r="A1" s="438" t="s">
        <v>462</v>
      </c>
      <c r="B1" s="439"/>
    </row>
    <row r="2" spans="1:2" ht="138.75" customHeight="1" thickBot="1" x14ac:dyDescent="0.3">
      <c r="A2" s="336"/>
      <c r="B2" s="346" t="s">
        <v>479</v>
      </c>
    </row>
    <row r="3" spans="1:2" ht="20.25" thickTop="1" thickBot="1" x14ac:dyDescent="0.3">
      <c r="A3" s="451" t="s">
        <v>423</v>
      </c>
      <c r="B3" s="452"/>
    </row>
    <row r="4" spans="1:2" ht="21.75" customHeight="1" thickTop="1" thickBot="1" x14ac:dyDescent="0.3">
      <c r="A4" s="453" t="s">
        <v>461</v>
      </c>
      <c r="B4" s="453"/>
    </row>
    <row r="5" spans="1:2" ht="76.5" customHeight="1" thickTop="1" thickBot="1" x14ac:dyDescent="0.3">
      <c r="A5" s="279">
        <v>1</v>
      </c>
      <c r="B5" s="276" t="s">
        <v>499</v>
      </c>
    </row>
    <row r="6" spans="1:2" s="262" customFormat="1" ht="35.25" customHeight="1" thickTop="1" thickBot="1" x14ac:dyDescent="0.35">
      <c r="A6" s="279">
        <v>2</v>
      </c>
      <c r="B6" s="277" t="s">
        <v>422</v>
      </c>
    </row>
    <row r="7" spans="1:2" ht="39" thickTop="1" thickBot="1" x14ac:dyDescent="0.35">
      <c r="A7" s="279">
        <v>3</v>
      </c>
      <c r="B7" s="277" t="s">
        <v>424</v>
      </c>
    </row>
    <row r="8" spans="1:2" ht="39" thickTop="1" thickBot="1" x14ac:dyDescent="0.35">
      <c r="A8" s="279">
        <v>4</v>
      </c>
      <c r="B8" s="277" t="s">
        <v>425</v>
      </c>
    </row>
    <row r="9" spans="1:2" ht="95.25" thickTop="1" thickBot="1" x14ac:dyDescent="0.3">
      <c r="A9" s="279">
        <v>5</v>
      </c>
      <c r="B9" s="278" t="s">
        <v>426</v>
      </c>
    </row>
    <row r="10" spans="1:2" ht="39" customHeight="1" thickTop="1" thickBot="1" x14ac:dyDescent="0.3">
      <c r="A10" s="279">
        <v>6</v>
      </c>
      <c r="B10" s="276" t="s">
        <v>460</v>
      </c>
    </row>
    <row r="11" spans="1:2" s="263" customFormat="1" ht="44.25" customHeight="1" thickTop="1" thickBot="1" x14ac:dyDescent="0.3">
      <c r="A11" s="279">
        <v>7</v>
      </c>
      <c r="B11" s="337" t="s">
        <v>459</v>
      </c>
    </row>
    <row r="12" spans="1:2" ht="21" customHeight="1" thickTop="1" thickBot="1" x14ac:dyDescent="0.35">
      <c r="A12" s="275">
        <v>8</v>
      </c>
      <c r="B12" s="280" t="s">
        <v>457</v>
      </c>
    </row>
    <row r="13" spans="1:2" ht="20.25" thickTop="1" thickBot="1" x14ac:dyDescent="0.35">
      <c r="A13" s="281">
        <v>9</v>
      </c>
      <c r="B13" s="280" t="s">
        <v>428</v>
      </c>
    </row>
    <row r="14" spans="1:2" ht="20.25" thickTop="1" thickBot="1" x14ac:dyDescent="0.35">
      <c r="A14" s="282" t="s">
        <v>418</v>
      </c>
      <c r="B14" s="282"/>
    </row>
    <row r="15" spans="1:2" ht="39" thickTop="1" thickBot="1" x14ac:dyDescent="0.35">
      <c r="A15" s="279">
        <v>10</v>
      </c>
      <c r="B15" s="277" t="s">
        <v>421</v>
      </c>
    </row>
    <row r="16" spans="1:2" ht="20.25" thickTop="1" thickBot="1" x14ac:dyDescent="0.35">
      <c r="A16" s="282" t="s">
        <v>419</v>
      </c>
      <c r="B16" s="282"/>
    </row>
    <row r="17" spans="1:2" ht="37.5" customHeight="1" thickTop="1" thickBot="1" x14ac:dyDescent="0.35">
      <c r="A17" s="279">
        <v>11</v>
      </c>
      <c r="B17" s="277" t="s">
        <v>429</v>
      </c>
    </row>
    <row r="18" spans="1:2" s="265" customFormat="1" ht="19.5" customHeight="1" thickTop="1" thickBot="1" x14ac:dyDescent="0.3">
      <c r="A18" s="454" t="s">
        <v>427</v>
      </c>
      <c r="B18" s="454"/>
    </row>
    <row r="19" spans="1:2" s="265" customFormat="1" ht="37.5" customHeight="1" thickTop="1" thickBot="1" x14ac:dyDescent="0.35">
      <c r="A19" s="279">
        <v>12</v>
      </c>
      <c r="B19" s="277" t="s">
        <v>430</v>
      </c>
    </row>
    <row r="20" spans="1:2" ht="20.25" thickTop="1" thickBot="1" x14ac:dyDescent="0.35">
      <c r="A20" s="450" t="s">
        <v>420</v>
      </c>
      <c r="B20" s="450"/>
    </row>
    <row r="21" spans="1:2" ht="39.75" customHeight="1" thickTop="1" thickBot="1" x14ac:dyDescent="0.3">
      <c r="A21" s="455" t="s">
        <v>458</v>
      </c>
      <c r="B21" s="455"/>
    </row>
    <row r="22" spans="1:2" ht="38.25" customHeight="1" thickTop="1" thickBot="1" x14ac:dyDescent="0.3">
      <c r="A22" s="449" t="s">
        <v>444</v>
      </c>
      <c r="B22" s="449"/>
    </row>
    <row r="23" spans="1:2" ht="64.5" customHeight="1" thickTop="1" x14ac:dyDescent="0.25">
      <c r="A23" s="318"/>
      <c r="B23" s="321" t="s">
        <v>500</v>
      </c>
    </row>
    <row r="24" spans="1:2" ht="11.25" customHeight="1" x14ac:dyDescent="0.25">
      <c r="A24" s="319"/>
      <c r="B24" s="320"/>
    </row>
    <row r="25" spans="1:2" ht="23.25" x14ac:dyDescent="0.35">
      <c r="A25" s="440" t="s">
        <v>455</v>
      </c>
      <c r="B25" s="441"/>
    </row>
    <row r="26" spans="1:2" ht="23.25" x14ac:dyDescent="0.35">
      <c r="A26" s="442" t="s">
        <v>456</v>
      </c>
      <c r="B26" s="443"/>
    </row>
    <row r="27" spans="1:2" ht="23.25" x14ac:dyDescent="0.35">
      <c r="A27" s="444" t="s">
        <v>451</v>
      </c>
      <c r="B27" s="445"/>
    </row>
    <row r="28" spans="1:2" ht="23.25" x14ac:dyDescent="0.35">
      <c r="A28" s="446" t="s">
        <v>452</v>
      </c>
      <c r="B28" s="447"/>
    </row>
    <row r="29" spans="1:2" ht="23.25" x14ac:dyDescent="0.35">
      <c r="A29" s="448" t="s">
        <v>453</v>
      </c>
      <c r="B29" s="437"/>
    </row>
    <row r="30" spans="1:2" s="270" customFormat="1" ht="23.25" x14ac:dyDescent="0.35">
      <c r="A30" s="436" t="s">
        <v>450</v>
      </c>
      <c r="B30" s="437"/>
    </row>
    <row r="31" spans="1:2" ht="29.25" x14ac:dyDescent="0.6">
      <c r="A31" s="434" t="s">
        <v>454</v>
      </c>
      <c r="B31" s="435"/>
    </row>
  </sheetData>
  <sheetProtection algorithmName="SHA-512" hashValue="Ly6HV5iKVd+XsxlvxWDKbWXICPkGtdyPhNaHqGWADpct7glPjuJVA5lX4b1HVXPTAZ1y7p+6en7/xc5MvKlx7Q==" saltValue="TDSrilpKZNFfabmFqEa4Kg==" spinCount="100000" sheet="1" formatCells="0" formatColumns="0" formatRows="0" insertColumns="0" insertRows="0" insertHyperlinks="0" deleteColumns="0" deleteRows="0" sort="0" autoFilter="0" pivotTables="0"/>
  <mergeCells count="14">
    <mergeCell ref="A31:B31"/>
    <mergeCell ref="A30:B30"/>
    <mergeCell ref="A1:B1"/>
    <mergeCell ref="A25:B25"/>
    <mergeCell ref="A26:B26"/>
    <mergeCell ref="A27:B27"/>
    <mergeCell ref="A28:B28"/>
    <mergeCell ref="A29:B29"/>
    <mergeCell ref="A22:B22"/>
    <mergeCell ref="A20:B20"/>
    <mergeCell ref="A3:B3"/>
    <mergeCell ref="A4:B4"/>
    <mergeCell ref="A18:B18"/>
    <mergeCell ref="A21:B21"/>
  </mergeCells>
  <hyperlinks>
    <hyperlink ref="A30"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sheetPr>
  <dimension ref="A1:CC673"/>
  <sheetViews>
    <sheetView topLeftCell="D21" zoomScale="90" zoomScaleNormal="90" workbookViewId="0">
      <selection activeCell="B5" sqref="B5"/>
    </sheetView>
  </sheetViews>
  <sheetFormatPr defaultRowHeight="15" x14ac:dyDescent="0.25"/>
  <cols>
    <col min="1" max="1" width="7.28515625" style="6" customWidth="1" collapsed="1"/>
    <col min="2" max="2" width="28.5703125" style="1" customWidth="1" collapsed="1"/>
    <col min="3" max="3" width="19.85546875" style="6" customWidth="1" collapsed="1"/>
    <col min="4" max="4" width="22.5703125" style="1" customWidth="1" collapsed="1"/>
    <col min="5" max="5" width="23" style="1" customWidth="1" collapsed="1"/>
    <col min="6" max="6" width="21" style="5" customWidth="1" collapsed="1"/>
    <col min="7" max="7" width="22.5703125" style="5" customWidth="1" collapsed="1"/>
    <col min="8" max="8" width="30.42578125" style="5" customWidth="1" collapsed="1"/>
    <col min="9" max="9" width="15.42578125" style="5" customWidth="1" collapsed="1"/>
    <col min="10" max="10" width="13.5703125" style="5" customWidth="1" collapsed="1"/>
    <col min="11" max="18" width="35.7109375" style="5" customWidth="1" collapsed="1"/>
    <col min="19" max="19" width="35.7109375" style="12" customWidth="1" collapsed="1"/>
    <col min="20" max="23" width="35.7109375" style="1" customWidth="1" collapsed="1"/>
    <col min="24" max="26" width="9.140625" style="1" collapsed="1"/>
    <col min="27" max="27" width="9.140625" style="1" customWidth="1" collapsed="1"/>
    <col min="28" max="32" width="9.140625" style="1" hidden="1" customWidth="1" collapsed="1"/>
    <col min="33" max="49" width="9.140625" style="1" collapsed="1"/>
    <col min="50" max="52" width="9.140625" style="1" hidden="1" customWidth="1" collapsed="1"/>
    <col min="53" max="67" width="9.140625" style="1" collapsed="1"/>
    <col min="68" max="68" width="8.28515625" style="1" customWidth="1" collapsed="1"/>
    <col min="69" max="69" width="0" style="1" hidden="1" customWidth="1" collapsed="1"/>
    <col min="70" max="70" width="9.7109375" style="1" hidden="1" customWidth="1" collapsed="1"/>
    <col min="71" max="81" width="9.140625" style="1" collapsed="1"/>
    <col min="82" max="16384" width="9.140625" style="6" collapsed="1"/>
  </cols>
  <sheetData>
    <row r="1" spans="1:62" s="39" customFormat="1" ht="35.25" customHeight="1" x14ac:dyDescent="0.25">
      <c r="C1" s="497" t="s">
        <v>305</v>
      </c>
      <c r="D1" s="497"/>
      <c r="E1" s="497"/>
      <c r="F1" s="497"/>
      <c r="G1" s="497"/>
      <c r="H1" s="497"/>
      <c r="I1" s="82"/>
      <c r="J1" s="40"/>
      <c r="K1" s="40"/>
      <c r="L1" s="40"/>
      <c r="M1" s="40"/>
      <c r="N1" s="40"/>
      <c r="O1" s="40"/>
      <c r="P1" s="40"/>
      <c r="Q1" s="40"/>
      <c r="R1" s="40"/>
      <c r="S1" s="40"/>
      <c r="BJ1" s="39" t="s">
        <v>90</v>
      </c>
    </row>
    <row r="2" spans="1:62" s="39" customFormat="1" ht="21" customHeight="1" x14ac:dyDescent="0.25">
      <c r="B2" s="457" t="s">
        <v>478</v>
      </c>
      <c r="C2" s="457"/>
      <c r="D2" s="457"/>
      <c r="E2" s="457"/>
      <c r="F2" s="457"/>
      <c r="G2" s="457"/>
      <c r="H2" s="459"/>
      <c r="I2" s="322" t="s">
        <v>301</v>
      </c>
      <c r="J2" s="40"/>
      <c r="K2" s="40"/>
      <c r="L2" s="40"/>
      <c r="M2" s="40"/>
      <c r="N2" s="40"/>
      <c r="O2" s="40"/>
      <c r="P2" s="40"/>
      <c r="Q2" s="40"/>
      <c r="R2" s="40"/>
      <c r="S2" s="40"/>
      <c r="AB2" s="39" t="s">
        <v>300</v>
      </c>
      <c r="AC2" s="39" t="s">
        <v>7</v>
      </c>
      <c r="AD2" s="39">
        <v>5</v>
      </c>
      <c r="AE2" s="39">
        <v>8</v>
      </c>
      <c r="BJ2" s="39" t="s">
        <v>94</v>
      </c>
    </row>
    <row r="3" spans="1:62" s="39" customFormat="1" ht="21" customHeight="1" x14ac:dyDescent="0.25">
      <c r="B3" s="457" t="s">
        <v>258</v>
      </c>
      <c r="C3" s="457"/>
      <c r="D3" s="457"/>
      <c r="E3" s="322" t="s">
        <v>300</v>
      </c>
      <c r="F3" s="501" t="s">
        <v>477</v>
      </c>
      <c r="G3" s="501"/>
      <c r="H3" s="501"/>
      <c r="I3" s="322" t="s">
        <v>311</v>
      </c>
      <c r="J3" s="40"/>
      <c r="K3" s="40"/>
      <c r="L3" s="40"/>
      <c r="M3" s="40"/>
      <c r="N3" s="40"/>
      <c r="O3" s="40"/>
      <c r="P3" s="40"/>
      <c r="Q3" s="40"/>
      <c r="R3" s="40"/>
      <c r="S3" s="40"/>
      <c r="AB3" s="39" t="s">
        <v>301</v>
      </c>
      <c r="AC3" s="39" t="s">
        <v>157</v>
      </c>
      <c r="AD3" s="39">
        <v>10</v>
      </c>
      <c r="AE3" s="39">
        <v>9</v>
      </c>
    </row>
    <row r="4" spans="1:62" s="39" customFormat="1" ht="21" customHeight="1" x14ac:dyDescent="0.25">
      <c r="B4" s="457" t="s">
        <v>259</v>
      </c>
      <c r="C4" s="457"/>
      <c r="D4" s="458"/>
      <c r="E4" s="323" t="s">
        <v>320</v>
      </c>
      <c r="F4" s="458" t="s">
        <v>260</v>
      </c>
      <c r="G4" s="458"/>
      <c r="H4" s="457"/>
      <c r="I4" s="322" t="s">
        <v>300</v>
      </c>
      <c r="J4" s="326">
        <v>6774</v>
      </c>
      <c r="K4" s="40"/>
      <c r="L4" s="40"/>
      <c r="M4" s="40"/>
      <c r="N4" s="40"/>
      <c r="O4" s="40"/>
      <c r="P4" s="40"/>
      <c r="Q4" s="40"/>
      <c r="R4" s="40"/>
      <c r="S4" s="40"/>
      <c r="AD4" s="39">
        <v>15</v>
      </c>
      <c r="AE4" s="39">
        <v>10</v>
      </c>
    </row>
    <row r="5" spans="1:62" s="39" customFormat="1" ht="21" customHeight="1" x14ac:dyDescent="0.25">
      <c r="B5" s="83"/>
      <c r="C5" s="499" t="s">
        <v>318</v>
      </c>
      <c r="D5" s="500"/>
      <c r="E5" s="324">
        <v>10</v>
      </c>
      <c r="F5" s="498" t="s">
        <v>304</v>
      </c>
      <c r="G5" s="498"/>
      <c r="H5" s="498"/>
      <c r="I5" s="325" t="s">
        <v>302</v>
      </c>
      <c r="J5" s="40"/>
      <c r="K5" s="40"/>
      <c r="L5" s="40"/>
      <c r="M5" s="40"/>
      <c r="N5" s="40"/>
      <c r="O5" s="40"/>
      <c r="P5" s="40"/>
      <c r="Q5" s="40"/>
      <c r="R5" s="40"/>
      <c r="S5" s="40"/>
      <c r="AD5" s="39">
        <v>20</v>
      </c>
      <c r="AE5" s="39">
        <v>16</v>
      </c>
    </row>
    <row r="6" spans="1:62" s="39" customFormat="1" ht="21" customHeight="1" x14ac:dyDescent="0.25">
      <c r="B6" s="83"/>
      <c r="C6" s="499" t="s">
        <v>319</v>
      </c>
      <c r="D6" s="500"/>
      <c r="E6" s="324">
        <v>8</v>
      </c>
      <c r="F6" s="498" t="s">
        <v>474</v>
      </c>
      <c r="G6" s="498"/>
      <c r="H6" s="498"/>
      <c r="I6" s="365" t="str">
        <f>IF(AND(I2=AB2),AC3,IF(AND(I2=AB3),AC2,""))</f>
        <v>GPF</v>
      </c>
      <c r="J6" s="40"/>
      <c r="K6" s="40"/>
      <c r="L6" s="40"/>
      <c r="M6" s="40"/>
      <c r="N6" s="40"/>
      <c r="O6" s="40"/>
      <c r="P6" s="40"/>
      <c r="Q6" s="40"/>
      <c r="R6" s="40"/>
      <c r="S6" s="40"/>
      <c r="AB6" s="39">
        <v>1</v>
      </c>
      <c r="AC6" s="39" t="s">
        <v>316</v>
      </c>
      <c r="AD6" s="39">
        <v>25</v>
      </c>
      <c r="AE6" s="39">
        <v>18</v>
      </c>
    </row>
    <row r="7" spans="1:62" s="39" customFormat="1" ht="21" customHeight="1" x14ac:dyDescent="0.25">
      <c r="B7" s="458" t="s">
        <v>468</v>
      </c>
      <c r="C7" s="458"/>
      <c r="D7" s="459"/>
      <c r="E7" s="322" t="s">
        <v>301</v>
      </c>
      <c r="F7" s="456" t="s">
        <v>476</v>
      </c>
      <c r="G7" s="457"/>
      <c r="H7" s="457"/>
      <c r="I7" s="364" t="s">
        <v>471</v>
      </c>
      <c r="J7" s="40"/>
      <c r="K7" s="40"/>
      <c r="L7" s="40"/>
      <c r="M7" s="40"/>
      <c r="N7" s="40"/>
      <c r="O7" s="40"/>
      <c r="P7" s="40"/>
      <c r="Q7" s="40"/>
      <c r="R7" s="40"/>
      <c r="S7" s="40"/>
      <c r="AB7" s="88">
        <v>2</v>
      </c>
      <c r="AC7" s="88" t="s">
        <v>317</v>
      </c>
      <c r="AD7" s="88">
        <v>30</v>
      </c>
      <c r="AE7" s="88">
        <v>20</v>
      </c>
    </row>
    <row r="8" spans="1:62" s="88" customFormat="1" ht="21" customHeight="1" x14ac:dyDescent="0.25">
      <c r="B8" s="85"/>
      <c r="C8" s="85"/>
      <c r="D8" s="85"/>
      <c r="E8" s="89"/>
      <c r="F8" s="84"/>
      <c r="G8" s="84"/>
      <c r="H8" s="84"/>
      <c r="I8" s="89"/>
      <c r="J8" s="90"/>
      <c r="K8" s="90"/>
      <c r="L8" s="90"/>
      <c r="M8" s="90"/>
      <c r="N8" s="90"/>
      <c r="O8" s="90"/>
      <c r="P8" s="90"/>
      <c r="Q8" s="90"/>
      <c r="R8" s="90"/>
      <c r="S8" s="90"/>
      <c r="AB8" s="39">
        <v>3</v>
      </c>
      <c r="AC8" s="39" t="s">
        <v>306</v>
      </c>
      <c r="AD8" s="39">
        <v>35</v>
      </c>
      <c r="AE8" s="39"/>
    </row>
    <row r="9" spans="1:62" s="1" customFormat="1" ht="24.95" customHeight="1" x14ac:dyDescent="0.25">
      <c r="A9" s="39"/>
      <c r="B9" s="489" t="s">
        <v>297</v>
      </c>
      <c r="C9" s="489"/>
      <c r="D9" s="484" t="s">
        <v>299</v>
      </c>
      <c r="E9" s="484"/>
      <c r="F9" s="484"/>
      <c r="G9" s="484"/>
      <c r="H9" s="484"/>
      <c r="I9" s="484"/>
      <c r="J9" s="40"/>
      <c r="K9" s="40"/>
      <c r="L9" s="40"/>
      <c r="M9" s="40"/>
      <c r="N9" s="40"/>
      <c r="O9" s="41"/>
      <c r="P9" s="40"/>
      <c r="Q9" s="41"/>
      <c r="R9" s="41"/>
      <c r="S9" s="40"/>
      <c r="T9" s="39"/>
      <c r="U9" s="39"/>
      <c r="V9" s="39"/>
      <c r="W9" s="39"/>
      <c r="X9" s="39"/>
      <c r="Y9" s="39"/>
      <c r="Z9" s="39"/>
      <c r="AA9" s="39"/>
      <c r="AB9" s="88">
        <v>4</v>
      </c>
      <c r="AC9" s="88" t="s">
        <v>307</v>
      </c>
      <c r="AD9" s="39"/>
      <c r="AE9" s="39"/>
      <c r="AF9" s="39"/>
      <c r="AG9" s="39"/>
      <c r="AH9" s="39"/>
      <c r="AI9" s="39"/>
      <c r="AJ9" s="39"/>
      <c r="AK9" s="39"/>
      <c r="AL9" s="39"/>
      <c r="AM9" s="39"/>
      <c r="AN9" s="39"/>
      <c r="AO9" s="39"/>
      <c r="AP9" s="39"/>
      <c r="AQ9" s="39"/>
      <c r="AR9" s="39"/>
      <c r="AS9" s="39"/>
      <c r="AT9" s="39"/>
      <c r="AU9" s="39"/>
      <c r="AV9" s="39"/>
      <c r="AW9" s="39"/>
      <c r="AX9" s="39"/>
      <c r="AY9" s="39"/>
      <c r="AZ9" s="39"/>
      <c r="BA9" s="39"/>
      <c r="BB9" s="39"/>
    </row>
    <row r="10" spans="1:62" s="1" customFormat="1" ht="24.95" customHeight="1" x14ac:dyDescent="0.25">
      <c r="A10" s="39"/>
      <c r="B10" s="489" t="s">
        <v>296</v>
      </c>
      <c r="C10" s="489"/>
      <c r="D10" s="473" t="s">
        <v>492</v>
      </c>
      <c r="E10" s="474"/>
      <c r="F10" s="485" t="s">
        <v>269</v>
      </c>
      <c r="G10" s="486"/>
      <c r="H10" s="482" t="s">
        <v>493</v>
      </c>
      <c r="I10" s="482"/>
      <c r="J10" s="40"/>
      <c r="K10" s="40"/>
      <c r="L10" s="40"/>
      <c r="M10" s="40"/>
      <c r="N10" s="40"/>
      <c r="O10" s="41"/>
      <c r="P10" s="40"/>
      <c r="Q10" s="41"/>
      <c r="R10" s="41"/>
      <c r="S10" s="40"/>
      <c r="T10" s="39"/>
      <c r="U10" s="39"/>
      <c r="V10" s="39"/>
      <c r="W10" s="39"/>
      <c r="X10" s="39"/>
      <c r="Y10" s="39"/>
      <c r="Z10" s="39"/>
      <c r="AA10" s="39"/>
      <c r="AB10" s="39">
        <v>5</v>
      </c>
      <c r="AC10" s="39" t="s">
        <v>308</v>
      </c>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row>
    <row r="11" spans="1:62" s="1" customFormat="1" ht="24.95" customHeight="1" x14ac:dyDescent="0.25">
      <c r="A11" s="39"/>
      <c r="B11" s="274"/>
      <c r="C11" s="273" t="s">
        <v>268</v>
      </c>
      <c r="D11" s="473" t="s">
        <v>494</v>
      </c>
      <c r="E11" s="474"/>
      <c r="F11" s="487"/>
      <c r="G11" s="488"/>
      <c r="H11" s="482"/>
      <c r="I11" s="482"/>
      <c r="J11" s="40"/>
      <c r="K11" s="40"/>
      <c r="L11" s="40"/>
      <c r="M11" s="40"/>
      <c r="N11" s="40"/>
      <c r="O11" s="41"/>
      <c r="P11" s="40"/>
      <c r="Q11" s="41"/>
      <c r="R11" s="41"/>
      <c r="S11" s="40"/>
      <c r="T11" s="39"/>
      <c r="U11" s="39"/>
      <c r="V11" s="39"/>
      <c r="W11" s="39"/>
      <c r="X11" s="39"/>
      <c r="Y11" s="39"/>
      <c r="Z11" s="39"/>
      <c r="AA11" s="39"/>
      <c r="AB11" s="88">
        <v>6</v>
      </c>
      <c r="AC11" s="88" t="s">
        <v>309</v>
      </c>
      <c r="AD11" s="39" t="s">
        <v>473</v>
      </c>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row>
    <row r="12" spans="1:62" s="1" customFormat="1" ht="24.95" customHeight="1" x14ac:dyDescent="0.25">
      <c r="A12" s="39"/>
      <c r="B12" s="489" t="s">
        <v>282</v>
      </c>
      <c r="C12" s="489"/>
      <c r="D12" s="473" t="s">
        <v>490</v>
      </c>
      <c r="E12" s="474"/>
      <c r="F12" s="490" t="s">
        <v>292</v>
      </c>
      <c r="G12" s="491"/>
      <c r="H12" s="480"/>
      <c r="I12" s="480"/>
      <c r="J12" s="40"/>
      <c r="K12" s="40"/>
      <c r="L12" s="496" t="s">
        <v>445</v>
      </c>
      <c r="M12" s="496"/>
      <c r="N12" s="496"/>
      <c r="O12" s="41"/>
      <c r="P12" s="40"/>
      <c r="Q12" s="41"/>
      <c r="R12" s="41"/>
      <c r="S12" s="40"/>
      <c r="T12" s="39"/>
      <c r="U12" s="39"/>
      <c r="V12" s="39"/>
      <c r="W12" s="39"/>
      <c r="X12" s="39"/>
      <c r="Y12" s="39"/>
      <c r="Z12" s="39"/>
      <c r="AA12" s="39"/>
      <c r="AB12" s="39">
        <v>7</v>
      </c>
      <c r="AC12" s="39" t="s">
        <v>310</v>
      </c>
      <c r="AD12" s="39" t="s">
        <v>469</v>
      </c>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row>
    <row r="13" spans="1:62" s="1" customFormat="1" ht="24.95" customHeight="1" x14ac:dyDescent="0.25">
      <c r="A13" s="39"/>
      <c r="B13" s="489" t="s">
        <v>283</v>
      </c>
      <c r="C13" s="489"/>
      <c r="D13" s="473" t="s">
        <v>491</v>
      </c>
      <c r="E13" s="474"/>
      <c r="F13" s="490" t="s">
        <v>293</v>
      </c>
      <c r="G13" s="491"/>
      <c r="H13" s="482" t="s">
        <v>273</v>
      </c>
      <c r="I13" s="482"/>
      <c r="J13" s="40"/>
      <c r="K13" s="40"/>
      <c r="L13" s="40"/>
      <c r="M13" s="40"/>
      <c r="N13" s="40"/>
      <c r="O13" s="41"/>
      <c r="P13" s="40"/>
      <c r="Q13" s="41"/>
      <c r="R13" s="41"/>
      <c r="S13" s="40"/>
      <c r="T13" s="39"/>
      <c r="U13" s="39"/>
      <c r="V13" s="39"/>
      <c r="W13" s="39"/>
      <c r="X13" s="39"/>
      <c r="Y13" s="39"/>
      <c r="Z13" s="39"/>
      <c r="AA13" s="39"/>
      <c r="AB13" s="88">
        <v>8</v>
      </c>
      <c r="AC13" s="88" t="s">
        <v>311</v>
      </c>
      <c r="AD13" s="39" t="s">
        <v>470</v>
      </c>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row>
    <row r="14" spans="1:62" s="1" customFormat="1" ht="24.95" customHeight="1" x14ac:dyDescent="0.25">
      <c r="A14" s="39"/>
      <c r="B14" s="490" t="s">
        <v>284</v>
      </c>
      <c r="C14" s="489"/>
      <c r="D14" s="473">
        <v>980060</v>
      </c>
      <c r="E14" s="474"/>
      <c r="F14" s="490" t="s">
        <v>294</v>
      </c>
      <c r="G14" s="491"/>
      <c r="H14" s="480"/>
      <c r="I14" s="480"/>
      <c r="J14" s="40"/>
      <c r="K14" s="40"/>
      <c r="L14" s="40"/>
      <c r="M14" s="40"/>
      <c r="N14" s="40"/>
      <c r="O14" s="41"/>
      <c r="P14" s="40"/>
      <c r="Q14" s="41"/>
      <c r="R14" s="41"/>
      <c r="S14" s="40"/>
      <c r="T14" s="39"/>
      <c r="U14" s="39"/>
      <c r="V14" s="39"/>
      <c r="W14" s="39"/>
      <c r="X14" s="39"/>
      <c r="Y14" s="39"/>
      <c r="Z14" s="39"/>
      <c r="AA14" s="39"/>
      <c r="AB14" s="39">
        <v>9</v>
      </c>
      <c r="AC14" s="39" t="s">
        <v>312</v>
      </c>
      <c r="AD14" s="39" t="s">
        <v>471</v>
      </c>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row>
    <row r="15" spans="1:62" s="1" customFormat="1" ht="24.95" customHeight="1" x14ac:dyDescent="0.25">
      <c r="A15" s="39"/>
      <c r="B15" s="490" t="s">
        <v>272</v>
      </c>
      <c r="C15" s="489"/>
      <c r="D15" s="478"/>
      <c r="E15" s="479"/>
      <c r="F15" s="490" t="s">
        <v>295</v>
      </c>
      <c r="G15" s="491"/>
      <c r="H15" s="480"/>
      <c r="I15" s="480"/>
      <c r="J15" s="40"/>
      <c r="K15" s="40"/>
      <c r="L15" s="40"/>
      <c r="M15" s="40"/>
      <c r="N15" s="40"/>
      <c r="O15" s="41"/>
      <c r="P15" s="40"/>
      <c r="Q15" s="41"/>
      <c r="R15" s="41"/>
      <c r="S15" s="40"/>
      <c r="T15" s="39"/>
      <c r="U15" s="39"/>
      <c r="V15" s="39"/>
      <c r="W15" s="39"/>
      <c r="X15" s="39"/>
      <c r="Y15" s="39"/>
      <c r="Z15" s="39"/>
      <c r="AA15" s="39"/>
      <c r="AB15" s="88">
        <v>10</v>
      </c>
      <c r="AC15" s="88" t="s">
        <v>313</v>
      </c>
      <c r="AD15" s="39" t="s">
        <v>472</v>
      </c>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row>
    <row r="16" spans="1:62" s="1" customFormat="1" ht="24.95" customHeight="1" x14ac:dyDescent="0.25">
      <c r="A16" s="39"/>
      <c r="B16" s="490" t="s">
        <v>285</v>
      </c>
      <c r="C16" s="489"/>
      <c r="D16" s="480">
        <v>51046657419</v>
      </c>
      <c r="E16" s="480"/>
      <c r="F16" s="493" t="s">
        <v>291</v>
      </c>
      <c r="G16" s="491"/>
      <c r="H16" s="482"/>
      <c r="I16" s="482"/>
      <c r="J16" s="40"/>
      <c r="K16" s="40"/>
      <c r="L16" s="40"/>
      <c r="M16" s="40"/>
      <c r="N16" s="40"/>
      <c r="O16" s="41"/>
      <c r="P16" s="40"/>
      <c r="Q16" s="41"/>
      <c r="R16" s="41"/>
      <c r="S16" s="40"/>
      <c r="T16" s="39"/>
      <c r="U16" s="39"/>
      <c r="V16" s="39"/>
      <c r="W16" s="39"/>
      <c r="X16" s="39"/>
      <c r="Y16" s="39"/>
      <c r="Z16" s="39"/>
      <c r="AA16" s="39"/>
      <c r="AB16" s="39">
        <v>11</v>
      </c>
      <c r="AC16" s="39" t="s">
        <v>314</v>
      </c>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row>
    <row r="17" spans="1:54" s="1" customFormat="1" ht="24.95" customHeight="1" x14ac:dyDescent="0.25">
      <c r="A17" s="39"/>
      <c r="B17" s="490" t="s">
        <v>280</v>
      </c>
      <c r="C17" s="490"/>
      <c r="D17" s="481" t="s">
        <v>298</v>
      </c>
      <c r="E17" s="481"/>
      <c r="F17" s="476" t="s">
        <v>277</v>
      </c>
      <c r="G17" s="477"/>
      <c r="H17" s="482" t="s">
        <v>276</v>
      </c>
      <c r="I17" s="482"/>
      <c r="J17" s="40"/>
      <c r="K17" s="40"/>
      <c r="L17" s="40"/>
      <c r="M17" s="40"/>
      <c r="N17" s="40"/>
      <c r="O17" s="41"/>
      <c r="P17" s="40"/>
      <c r="Q17" s="41"/>
      <c r="R17" s="41"/>
      <c r="S17" s="40"/>
      <c r="T17" s="39"/>
      <c r="U17" s="39"/>
      <c r="V17" s="39"/>
      <c r="W17" s="39"/>
      <c r="X17" s="39"/>
      <c r="Y17" s="39"/>
      <c r="Z17" s="39"/>
      <c r="AA17" s="39"/>
      <c r="AB17" s="88">
        <v>12</v>
      </c>
      <c r="AC17" s="88" t="s">
        <v>315</v>
      </c>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row>
    <row r="18" spans="1:54" s="1" customFormat="1" ht="24.95" customHeight="1" x14ac:dyDescent="0.25">
      <c r="A18" s="39"/>
      <c r="B18" s="490" t="s">
        <v>281</v>
      </c>
      <c r="C18" s="490"/>
      <c r="D18" s="482" t="s">
        <v>274</v>
      </c>
      <c r="E18" s="482"/>
      <c r="F18" s="476" t="s">
        <v>286</v>
      </c>
      <c r="G18" s="477"/>
      <c r="H18" s="482" t="s">
        <v>275</v>
      </c>
      <c r="I18" s="482"/>
      <c r="J18" s="40"/>
      <c r="K18" s="40"/>
      <c r="L18" s="40"/>
      <c r="M18" s="40"/>
      <c r="N18" s="40"/>
      <c r="O18" s="41"/>
      <c r="P18" s="40"/>
      <c r="Q18" s="41"/>
      <c r="R18" s="41"/>
      <c r="S18" s="40"/>
      <c r="T18" s="39"/>
      <c r="U18" s="39"/>
      <c r="V18" s="39"/>
      <c r="W18" s="39"/>
      <c r="X18" s="39"/>
      <c r="Y18" s="39"/>
      <c r="Z18" s="39"/>
      <c r="AA18" s="39"/>
      <c r="AB18" s="88"/>
      <c r="AC18" s="88"/>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row>
    <row r="19" spans="1:54" s="1" customFormat="1" ht="24.95" customHeight="1" x14ac:dyDescent="0.25">
      <c r="A19" s="39"/>
      <c r="B19" s="492" t="s">
        <v>289</v>
      </c>
      <c r="C19" s="492"/>
      <c r="D19" s="483">
        <v>42826</v>
      </c>
      <c r="E19" s="483"/>
      <c r="F19" s="476" t="s">
        <v>290</v>
      </c>
      <c r="G19" s="477"/>
      <c r="H19" s="475">
        <v>43190</v>
      </c>
      <c r="I19" s="475"/>
      <c r="J19" s="40"/>
      <c r="K19" s="40"/>
      <c r="L19" s="40"/>
      <c r="M19" s="40"/>
      <c r="N19" s="40"/>
      <c r="O19" s="41"/>
      <c r="P19" s="40"/>
      <c r="Q19" s="41"/>
      <c r="R19" s="41"/>
      <c r="S19" s="40"/>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row>
    <row r="20" spans="1:54" s="1" customFormat="1" ht="24.95" customHeight="1" x14ac:dyDescent="0.25">
      <c r="A20" s="39"/>
      <c r="B20" s="490" t="s">
        <v>288</v>
      </c>
      <c r="C20" s="490"/>
      <c r="D20" s="472" t="s">
        <v>161</v>
      </c>
      <c r="E20" s="472"/>
      <c r="F20" s="476" t="s">
        <v>287</v>
      </c>
      <c r="G20" s="477"/>
      <c r="H20" s="472" t="s">
        <v>160</v>
      </c>
      <c r="I20" s="472"/>
      <c r="J20" s="40"/>
      <c r="K20" s="40"/>
      <c r="L20" s="40"/>
      <c r="M20" s="40"/>
      <c r="N20" s="40"/>
      <c r="O20" s="41"/>
      <c r="P20" s="40"/>
      <c r="Q20" s="41"/>
      <c r="R20" s="41"/>
      <c r="S20" s="40"/>
      <c r="T20" s="39"/>
      <c r="U20" s="39"/>
      <c r="V20" s="39"/>
      <c r="W20" s="39"/>
      <c r="X20" s="39"/>
      <c r="Y20" s="39"/>
      <c r="Z20" s="39"/>
      <c r="AA20" s="39"/>
      <c r="AB20" s="39" t="s">
        <v>302</v>
      </c>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row>
    <row r="21" spans="1:54" s="1" customFormat="1" ht="24.95" customHeight="1" x14ac:dyDescent="0.25">
      <c r="A21" s="39"/>
      <c r="B21" s="39"/>
      <c r="C21" s="39"/>
      <c r="D21" s="39"/>
      <c r="E21" s="39"/>
      <c r="F21" s="40"/>
      <c r="G21" s="40"/>
      <c r="H21" s="40"/>
      <c r="I21" s="40"/>
      <c r="J21" s="40"/>
      <c r="K21" s="40"/>
      <c r="L21" s="40"/>
      <c r="M21" s="40"/>
      <c r="N21" s="40"/>
      <c r="O21" s="41"/>
      <c r="P21" s="40"/>
      <c r="Q21" s="41"/>
      <c r="R21" s="41"/>
      <c r="S21" s="40"/>
      <c r="T21" s="39"/>
      <c r="U21" s="39"/>
      <c r="V21" s="39"/>
      <c r="W21" s="39"/>
      <c r="X21" s="39"/>
      <c r="Y21" s="39"/>
      <c r="Z21" s="39"/>
      <c r="AA21" s="39"/>
      <c r="AB21" s="39" t="s">
        <v>303</v>
      </c>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row>
    <row r="22" spans="1:54" s="1" customFormat="1" ht="24.95" customHeight="1" x14ac:dyDescent="0.25">
      <c r="A22" s="39"/>
      <c r="B22" s="39"/>
      <c r="C22" s="39"/>
      <c r="D22" s="39"/>
      <c r="E22" s="39"/>
      <c r="F22" s="40"/>
      <c r="G22" s="40"/>
      <c r="H22" s="40"/>
      <c r="I22" s="40"/>
      <c r="J22" s="40"/>
      <c r="K22" s="40"/>
      <c r="L22" s="40"/>
      <c r="M22" s="40"/>
      <c r="N22" s="40"/>
      <c r="O22" s="41"/>
      <c r="P22" s="40"/>
      <c r="Q22" s="41"/>
      <c r="R22" s="41"/>
      <c r="S22" s="40"/>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row>
    <row r="23" spans="1:54" s="1" customFormat="1" ht="24.95" customHeight="1" x14ac:dyDescent="0.25">
      <c r="A23" s="465" t="s">
        <v>336</v>
      </c>
      <c r="B23" s="465"/>
      <c r="C23" s="465"/>
      <c r="D23" s="465"/>
      <c r="E23" s="466" t="s">
        <v>90</v>
      </c>
      <c r="F23" s="466"/>
      <c r="G23" s="40"/>
      <c r="H23" s="40"/>
      <c r="I23" s="40"/>
      <c r="J23" s="40"/>
      <c r="K23" s="40"/>
      <c r="L23" s="40"/>
      <c r="M23" s="40"/>
      <c r="N23" s="40"/>
      <c r="O23" s="41"/>
      <c r="P23" s="40"/>
      <c r="Q23" s="41"/>
      <c r="R23" s="41"/>
      <c r="S23" s="40"/>
      <c r="T23" s="39"/>
      <c r="U23" s="39"/>
      <c r="V23" s="39"/>
      <c r="W23" s="39"/>
      <c r="X23" s="39"/>
      <c r="Y23" s="39"/>
      <c r="Z23" s="39"/>
      <c r="AA23" s="39"/>
      <c r="AB23" s="39" t="s">
        <v>320</v>
      </c>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row>
    <row r="24" spans="1:54" s="1" customFormat="1" ht="26.25" customHeight="1" x14ac:dyDescent="0.25">
      <c r="A24" s="467" t="s">
        <v>335</v>
      </c>
      <c r="B24" s="468" t="s">
        <v>89</v>
      </c>
      <c r="C24" s="470" t="s">
        <v>90</v>
      </c>
      <c r="D24" s="471"/>
      <c r="E24" s="471"/>
      <c r="F24" s="471"/>
      <c r="G24" s="90"/>
      <c r="H24" s="90"/>
      <c r="I24" s="40"/>
      <c r="J24" s="40"/>
      <c r="K24" s="40"/>
      <c r="L24" s="40"/>
      <c r="M24" s="40"/>
      <c r="N24" s="40"/>
      <c r="O24" s="41"/>
      <c r="P24" s="40"/>
      <c r="Q24" s="41"/>
      <c r="R24" s="41"/>
      <c r="S24" s="40"/>
      <c r="T24" s="39"/>
      <c r="U24" s="39"/>
      <c r="V24" s="39"/>
      <c r="W24" s="39"/>
      <c r="X24" s="39"/>
      <c r="Y24" s="39"/>
      <c r="Z24" s="39"/>
      <c r="AA24" s="39"/>
      <c r="AB24" s="39" t="s">
        <v>321</v>
      </c>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row>
    <row r="25" spans="1:54" s="1" customFormat="1" ht="49.5" customHeight="1" x14ac:dyDescent="0.25">
      <c r="A25" s="467"/>
      <c r="B25" s="469"/>
      <c r="C25" s="93" t="s">
        <v>91</v>
      </c>
      <c r="D25" s="93" t="s">
        <v>92</v>
      </c>
      <c r="E25" s="92" t="s">
        <v>127</v>
      </c>
      <c r="F25" s="94" t="s">
        <v>93</v>
      </c>
      <c r="G25" s="90"/>
      <c r="H25" s="90"/>
      <c r="I25" s="40"/>
      <c r="J25" s="40"/>
      <c r="K25" s="40"/>
      <c r="L25" s="40"/>
      <c r="M25" s="40"/>
      <c r="N25" s="40"/>
      <c r="O25" s="41"/>
      <c r="P25" s="40"/>
      <c r="Q25" s="41"/>
      <c r="R25" s="41"/>
      <c r="S25" s="40"/>
      <c r="T25" s="39"/>
      <c r="U25" s="39"/>
      <c r="V25" s="39"/>
      <c r="W25" s="39"/>
      <c r="X25" s="39"/>
      <c r="Y25" s="39"/>
      <c r="Z25" s="39"/>
      <c r="AA25" s="39"/>
      <c r="AB25" s="39" t="s">
        <v>322</v>
      </c>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row>
    <row r="26" spans="1:54" s="1" customFormat="1" ht="18.95" customHeight="1" x14ac:dyDescent="0.25">
      <c r="A26" s="95">
        <v>1</v>
      </c>
      <c r="B26" s="407" t="str">
        <f>IF(AND(Bills!X7=""),"",IF(AND($I$5=$AB$21),"",Bills!X7))</f>
        <v/>
      </c>
      <c r="C26" s="264">
        <v>45</v>
      </c>
      <c r="D26" s="264">
        <v>45</v>
      </c>
      <c r="E26" s="327">
        <v>42877</v>
      </c>
      <c r="F26" s="231" t="str">
        <f>IF(C26&gt;0,"Yes","-")</f>
        <v>Yes</v>
      </c>
      <c r="G26" s="40"/>
      <c r="H26" s="40"/>
      <c r="I26" s="40"/>
      <c r="J26" s="40"/>
      <c r="K26" s="40"/>
      <c r="L26" s="40"/>
      <c r="M26" s="40"/>
      <c r="N26" s="40"/>
      <c r="O26" s="41"/>
      <c r="P26" s="40"/>
      <c r="Q26" s="41"/>
      <c r="R26" s="41"/>
      <c r="S26" s="40"/>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row>
    <row r="27" spans="1:54" s="1" customFormat="1" ht="18.95" customHeight="1" x14ac:dyDescent="0.25">
      <c r="A27" s="95">
        <v>2</v>
      </c>
      <c r="B27" s="407" t="str">
        <f>IF(AND(Bills!X8=""),"",IF(AND($I$5=$AB$21),"",Bills!X8))</f>
        <v/>
      </c>
      <c r="C27" s="264">
        <v>25</v>
      </c>
      <c r="D27" s="264"/>
      <c r="E27" s="264"/>
      <c r="F27" s="231" t="str">
        <f t="shared" ref="F27:F41" si="0">IF(C27&gt;0,"Yes","-")</f>
        <v>Yes</v>
      </c>
      <c r="G27" s="40"/>
      <c r="H27" s="40"/>
      <c r="I27" s="40"/>
      <c r="J27" s="40"/>
      <c r="K27" s="40"/>
      <c r="L27" s="40"/>
      <c r="M27" s="40"/>
      <c r="N27" s="40"/>
      <c r="O27" s="41"/>
      <c r="P27" s="40"/>
      <c r="Q27" s="41"/>
      <c r="R27" s="41"/>
      <c r="S27" s="40"/>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row>
    <row r="28" spans="1:54" s="1" customFormat="1" ht="18.95" customHeight="1" x14ac:dyDescent="0.25">
      <c r="A28" s="95">
        <v>3</v>
      </c>
      <c r="B28" s="407" t="str">
        <f>IF(AND(Bills!X9=""),"",IF(AND($I$5=$AB$21),"",Bills!X9))</f>
        <v/>
      </c>
      <c r="C28" s="264"/>
      <c r="D28" s="264"/>
      <c r="E28" s="264"/>
      <c r="F28" s="231" t="str">
        <f t="shared" si="0"/>
        <v>-</v>
      </c>
      <c r="G28" s="40"/>
      <c r="H28" s="40"/>
      <c r="I28" s="40"/>
      <c r="J28" s="40"/>
      <c r="K28" s="40"/>
      <c r="L28" s="40"/>
      <c r="M28" s="40"/>
      <c r="N28" s="40"/>
      <c r="O28" s="41"/>
      <c r="P28" s="40"/>
      <c r="Q28" s="41"/>
      <c r="R28" s="41"/>
      <c r="S28" s="40"/>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row>
    <row r="29" spans="1:54" s="1" customFormat="1" ht="18.95" customHeight="1" thickBot="1" x14ac:dyDescent="0.3">
      <c r="A29" s="95">
        <v>4</v>
      </c>
      <c r="B29" s="407" t="str">
        <f>IF(AND(Bills!X10=""),"",IF(AND($I$5=$AB$21),"",Bills!X10))</f>
        <v/>
      </c>
      <c r="C29" s="264"/>
      <c r="D29" s="264"/>
      <c r="E29" s="264"/>
      <c r="F29" s="231" t="str">
        <f t="shared" si="0"/>
        <v>-</v>
      </c>
      <c r="G29" s="40"/>
      <c r="H29" s="40"/>
      <c r="I29" s="40"/>
      <c r="J29" s="40"/>
      <c r="K29" s="40"/>
      <c r="L29" s="40"/>
      <c r="M29" s="40"/>
      <c r="N29" s="40"/>
      <c r="O29" s="41"/>
      <c r="P29" s="40"/>
      <c r="Q29" s="41"/>
      <c r="R29" s="41"/>
      <c r="S29" s="40"/>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row>
    <row r="30" spans="1:54" s="1" customFormat="1" ht="18.95" customHeight="1" thickTop="1" thickBot="1" x14ac:dyDescent="0.3">
      <c r="A30" s="95">
        <v>5</v>
      </c>
      <c r="B30" s="407">
        <f>IF(AND(Bills!X11=""),"",IF(AND($I$5=$AB$21),"",Bills!X11))</f>
        <v>1500</v>
      </c>
      <c r="C30" s="264"/>
      <c r="D30" s="264"/>
      <c r="E30" s="264"/>
      <c r="F30" s="231" t="str">
        <f t="shared" si="0"/>
        <v>-</v>
      </c>
      <c r="G30" s="40"/>
      <c r="H30" s="40"/>
      <c r="I30" s="40"/>
      <c r="J30" s="40"/>
      <c r="K30" s="40"/>
      <c r="L30" s="40"/>
      <c r="M30" s="502" t="s">
        <v>446</v>
      </c>
      <c r="N30" s="503"/>
      <c r="O30" s="312"/>
      <c r="P30" s="312"/>
      <c r="Q30" s="312"/>
      <c r="R30" s="41"/>
      <c r="S30" s="40"/>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row>
    <row r="31" spans="1:54" s="1" customFormat="1" ht="18.95" customHeight="1" thickTop="1" thickBot="1" x14ac:dyDescent="0.3">
      <c r="A31" s="95">
        <v>6</v>
      </c>
      <c r="B31" s="407">
        <f>IF(AND(Bills!X12=""),"",IF(AND($I$5=$AB$21),"",Bills!X12))</f>
        <v>1500</v>
      </c>
      <c r="C31" s="264"/>
      <c r="D31" s="264"/>
      <c r="E31" s="264"/>
      <c r="F31" s="231" t="str">
        <f t="shared" si="0"/>
        <v>-</v>
      </c>
      <c r="G31" s="40"/>
      <c r="H31" s="40"/>
      <c r="I31" s="40"/>
      <c r="J31" s="40"/>
      <c r="K31" s="40"/>
      <c r="L31" s="40"/>
      <c r="M31" s="502"/>
      <c r="N31" s="503"/>
      <c r="O31" s="312"/>
      <c r="P31" s="312"/>
      <c r="Q31" s="312"/>
      <c r="R31" s="41"/>
      <c r="S31" s="40"/>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row>
    <row r="32" spans="1:54" s="1" customFormat="1" ht="18.95" customHeight="1" thickTop="1" thickBot="1" x14ac:dyDescent="0.3">
      <c r="A32" s="95">
        <v>7</v>
      </c>
      <c r="B32" s="407">
        <f>IF(AND(Bills!X13=""),"",IF(AND($I$5=$AB$21),"",Bills!X13))</f>
        <v>1500</v>
      </c>
      <c r="C32" s="264">
        <v>8</v>
      </c>
      <c r="D32" s="264"/>
      <c r="E32" s="264"/>
      <c r="F32" s="231" t="str">
        <f t="shared" si="0"/>
        <v>Yes</v>
      </c>
      <c r="G32" s="40"/>
      <c r="H32" s="40"/>
      <c r="I32" s="40"/>
      <c r="J32" s="40"/>
      <c r="K32" s="40"/>
      <c r="L32" s="40"/>
      <c r="M32" s="504" t="s">
        <v>447</v>
      </c>
      <c r="N32" s="505"/>
      <c r="O32" s="313"/>
      <c r="P32" s="313"/>
      <c r="Q32" s="313"/>
      <c r="R32" s="41"/>
      <c r="S32" s="40"/>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row>
    <row r="33" spans="1:54" s="1" customFormat="1" ht="18.95" customHeight="1" thickTop="1" thickBot="1" x14ac:dyDescent="0.3">
      <c r="A33" s="95">
        <v>8</v>
      </c>
      <c r="B33" s="407">
        <f>IF(AND(Bills!X14=""),"",IF(AND($I$5=$AB$21),"",Bills!X14))</f>
        <v>1500</v>
      </c>
      <c r="C33" s="264">
        <v>9</v>
      </c>
      <c r="D33" s="264"/>
      <c r="E33" s="264"/>
      <c r="F33" s="231" t="str">
        <f t="shared" si="0"/>
        <v>Yes</v>
      </c>
      <c r="G33" s="40"/>
      <c r="H33" s="40"/>
      <c r="I33" s="40"/>
      <c r="J33" s="40"/>
      <c r="K33" s="40"/>
      <c r="L33" s="40"/>
      <c r="M33" s="504"/>
      <c r="N33" s="505"/>
      <c r="O33" s="313"/>
      <c r="P33" s="313"/>
      <c r="Q33" s="313"/>
      <c r="R33" s="41"/>
      <c r="S33" s="40"/>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row>
    <row r="34" spans="1:54" s="1" customFormat="1" ht="18.95" customHeight="1" thickTop="1" thickBot="1" x14ac:dyDescent="0.3">
      <c r="A34" s="95">
        <v>9</v>
      </c>
      <c r="B34" s="407">
        <f>IF(AND(Bills!X15=""),"",IF(AND($I$5=$AB$21),"",Bills!X15))</f>
        <v>1500</v>
      </c>
      <c r="C34" s="264">
        <v>10</v>
      </c>
      <c r="D34" s="264"/>
      <c r="E34" s="264"/>
      <c r="F34" s="231" t="str">
        <f t="shared" si="0"/>
        <v>Yes</v>
      </c>
      <c r="G34" s="40"/>
      <c r="H34" s="40"/>
      <c r="I34" s="40"/>
      <c r="J34" s="40"/>
      <c r="K34" s="40"/>
      <c r="L34" s="40"/>
      <c r="M34" s="506" t="s">
        <v>248</v>
      </c>
      <c r="N34" s="507"/>
      <c r="O34" s="314"/>
      <c r="P34" s="314"/>
      <c r="Q34" s="314"/>
      <c r="R34" s="41"/>
      <c r="S34" s="40"/>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row>
    <row r="35" spans="1:54" s="1" customFormat="1" ht="18.95" customHeight="1" thickTop="1" thickBot="1" x14ac:dyDescent="0.3">
      <c r="A35" s="95">
        <v>10</v>
      </c>
      <c r="B35" s="407">
        <f>IF(AND(Bills!X16=""),"",IF(AND($I$5=$AB$21),"",Bills!X16))</f>
        <v>1500</v>
      </c>
      <c r="C35" s="264">
        <v>15</v>
      </c>
      <c r="D35" s="264"/>
      <c r="E35" s="264"/>
      <c r="F35" s="231" t="str">
        <f t="shared" si="0"/>
        <v>Yes</v>
      </c>
      <c r="G35" s="40"/>
      <c r="H35" s="40"/>
      <c r="I35" s="40"/>
      <c r="J35" s="40"/>
      <c r="K35" s="40"/>
      <c r="L35" s="40"/>
      <c r="M35" s="506"/>
      <c r="N35" s="507"/>
      <c r="O35" s="314"/>
      <c r="P35" s="314"/>
      <c r="Q35" s="314"/>
      <c r="R35" s="41"/>
      <c r="S35" s="40"/>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row>
    <row r="36" spans="1:54" s="1" customFormat="1" ht="18.95" customHeight="1" thickTop="1" thickBot="1" x14ac:dyDescent="0.3">
      <c r="A36" s="95">
        <v>11</v>
      </c>
      <c r="B36" s="407">
        <f>IF(AND(Bills!X17=""),"",IF(AND($I$5=$AB$21),"",Bills!X17))</f>
        <v>1500</v>
      </c>
      <c r="C36" s="264"/>
      <c r="D36" s="264"/>
      <c r="E36" s="264"/>
      <c r="F36" s="231" t="str">
        <f t="shared" si="0"/>
        <v>-</v>
      </c>
      <c r="G36" s="40"/>
      <c r="H36" s="90"/>
      <c r="I36" s="40"/>
      <c r="J36" s="40"/>
      <c r="K36" s="40"/>
      <c r="L36" s="40"/>
      <c r="M36" s="508" t="s">
        <v>448</v>
      </c>
      <c r="N36" s="509"/>
      <c r="O36" s="315"/>
      <c r="P36" s="315"/>
      <c r="Q36" s="315"/>
      <c r="R36" s="41"/>
      <c r="S36" s="40"/>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row>
    <row r="37" spans="1:54" s="1" customFormat="1" ht="18.95" customHeight="1" thickTop="1" thickBot="1" x14ac:dyDescent="0.3">
      <c r="A37" s="95">
        <v>12</v>
      </c>
      <c r="B37" s="407">
        <f>IF(AND(Bills!X18=""),"",IF(AND($I$5=$AB$21),"",Bills!X18))</f>
        <v>1500</v>
      </c>
      <c r="C37" s="264"/>
      <c r="D37" s="264"/>
      <c r="E37" s="264"/>
      <c r="F37" s="231" t="str">
        <f t="shared" si="0"/>
        <v>-</v>
      </c>
      <c r="G37" s="40"/>
      <c r="H37" s="90"/>
      <c r="I37" s="40"/>
      <c r="J37" s="40"/>
      <c r="K37" s="40"/>
      <c r="L37" s="40"/>
      <c r="M37" s="508"/>
      <c r="N37" s="509"/>
      <c r="O37" s="315"/>
      <c r="P37" s="315"/>
      <c r="Q37" s="315"/>
      <c r="R37" s="41"/>
      <c r="S37" s="40"/>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row>
    <row r="38" spans="1:54" s="1" customFormat="1" ht="18.95" customHeight="1" thickTop="1" thickBot="1" x14ac:dyDescent="0.3">
      <c r="A38" s="95">
        <v>13</v>
      </c>
      <c r="B38" s="407" t="str">
        <f>IF(AND(Bills!X23=""),"",IF(AND($I$5=$AB$21),"",Bills!X23))</f>
        <v/>
      </c>
      <c r="C38" s="264"/>
      <c r="D38" s="264"/>
      <c r="E38" s="264"/>
      <c r="F38" s="231" t="str">
        <f t="shared" si="0"/>
        <v>-</v>
      </c>
      <c r="G38" s="40"/>
      <c r="H38" s="40"/>
      <c r="I38" s="40"/>
      <c r="J38" s="40"/>
      <c r="K38" s="40"/>
      <c r="L38" s="40"/>
      <c r="M38" s="510" t="s">
        <v>449</v>
      </c>
      <c r="N38" s="511"/>
      <c r="O38" s="316"/>
      <c r="P38" s="316"/>
      <c r="Q38" s="316"/>
      <c r="R38" s="41"/>
      <c r="S38" s="40"/>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row>
    <row r="39" spans="1:54" s="1" customFormat="1" ht="18.95" customHeight="1" thickTop="1" thickBot="1" x14ac:dyDescent="0.3">
      <c r="A39" s="95">
        <v>14</v>
      </c>
      <c r="B39" s="407" t="str">
        <f>IF(AND(Bills!X24=""),"",IF(AND($I$5=$AB$21),"",Bills!X24))</f>
        <v/>
      </c>
      <c r="C39" s="264"/>
      <c r="D39" s="264"/>
      <c r="E39" s="264"/>
      <c r="F39" s="231" t="str">
        <f t="shared" si="0"/>
        <v>-</v>
      </c>
      <c r="G39" s="40"/>
      <c r="H39" s="40"/>
      <c r="I39" s="40"/>
      <c r="J39" s="40"/>
      <c r="K39" s="40"/>
      <c r="L39" s="40"/>
      <c r="M39" s="510"/>
      <c r="N39" s="511"/>
      <c r="O39" s="316"/>
      <c r="P39" s="316"/>
      <c r="Q39" s="316"/>
      <c r="R39" s="41"/>
      <c r="S39" s="40"/>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row>
    <row r="40" spans="1:54" s="1" customFormat="1" ht="18.95" customHeight="1" thickTop="1" thickBot="1" x14ac:dyDescent="0.3">
      <c r="A40" s="95">
        <v>15</v>
      </c>
      <c r="B40" s="407" t="str">
        <f>IF(AND(Bills!X25=""),"",IF(AND($I$5=$AB$21),"",Bills!X25))</f>
        <v/>
      </c>
      <c r="C40" s="264"/>
      <c r="D40" s="264"/>
      <c r="E40" s="264"/>
      <c r="F40" s="231" t="str">
        <f t="shared" si="0"/>
        <v>-</v>
      </c>
      <c r="G40" s="40"/>
      <c r="H40" s="40"/>
      <c r="I40" s="40"/>
      <c r="J40" s="40"/>
      <c r="K40" s="40"/>
      <c r="L40" s="40"/>
      <c r="M40" s="494" t="s">
        <v>450</v>
      </c>
      <c r="N40" s="495"/>
      <c r="O40" s="317"/>
      <c r="P40" s="317"/>
      <c r="Q40" s="317"/>
      <c r="R40" s="41"/>
      <c r="S40" s="40"/>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54" s="1" customFormat="1" ht="18.95" customHeight="1" thickTop="1" thickBot="1" x14ac:dyDescent="0.3">
      <c r="A41" s="95">
        <v>16</v>
      </c>
      <c r="B41" s="409" t="str">
        <f>IF(AND(Bills!X26=""),"",IF(AND($I$5=$AB$21),"",Bills!X26))</f>
        <v/>
      </c>
      <c r="C41" s="328">
        <v>1</v>
      </c>
      <c r="D41" s="328"/>
      <c r="E41" s="328"/>
      <c r="F41" s="329" t="str">
        <f t="shared" si="0"/>
        <v>Yes</v>
      </c>
      <c r="G41" s="40"/>
      <c r="H41" s="40"/>
      <c r="I41" s="40"/>
      <c r="J41" s="40"/>
      <c r="K41" s="40"/>
      <c r="L41" s="40"/>
      <c r="M41" s="494"/>
      <c r="N41" s="495"/>
      <c r="O41" s="317"/>
      <c r="P41" s="317"/>
      <c r="Q41" s="317"/>
      <c r="R41" s="41"/>
      <c r="S41" s="40"/>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row>
    <row r="42" spans="1:54" s="1" customFormat="1" ht="18.95" customHeight="1" thickTop="1" x14ac:dyDescent="0.25">
      <c r="A42" s="335" t="s">
        <v>5</v>
      </c>
      <c r="B42" s="410">
        <f>SUM(B26:B41)</f>
        <v>12000</v>
      </c>
      <c r="C42" s="330"/>
      <c r="D42" s="330"/>
      <c r="E42" s="330"/>
      <c r="F42" s="331"/>
      <c r="G42" s="40"/>
      <c r="H42" s="40"/>
      <c r="I42" s="40"/>
      <c r="J42" s="40"/>
      <c r="K42" s="40"/>
      <c r="L42" s="40"/>
      <c r="M42" s="40"/>
      <c r="N42" s="40"/>
      <c r="O42" s="41"/>
      <c r="P42" s="40"/>
      <c r="Q42" s="41"/>
      <c r="R42" s="41"/>
      <c r="S42" s="40"/>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row>
    <row r="43" spans="1:54" s="1" customFormat="1" ht="19.5" customHeight="1" x14ac:dyDescent="0.25">
      <c r="A43" s="39"/>
      <c r="B43" s="39"/>
      <c r="C43" s="39"/>
      <c r="D43" s="39"/>
      <c r="E43" s="39"/>
      <c r="F43" s="40"/>
      <c r="G43" s="40"/>
      <c r="H43" s="40"/>
      <c r="I43" s="40"/>
      <c r="J43" s="40"/>
      <c r="K43" s="40"/>
      <c r="L43" s="40"/>
      <c r="M43" s="40"/>
      <c r="N43" s="40"/>
      <c r="O43" s="41"/>
      <c r="P43" s="40"/>
      <c r="Q43" s="41"/>
      <c r="R43" s="41"/>
      <c r="S43" s="40"/>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row>
    <row r="44" spans="1:54" s="1" customFormat="1" ht="18.75" customHeight="1" x14ac:dyDescent="0.25">
      <c r="A44" s="460" t="s">
        <v>335</v>
      </c>
      <c r="B44" s="461" t="s">
        <v>89</v>
      </c>
      <c r="C44" s="463" t="s">
        <v>94</v>
      </c>
      <c r="D44" s="464"/>
      <c r="E44" s="464"/>
      <c r="F44" s="464"/>
      <c r="G44" s="40"/>
      <c r="H44" s="40"/>
      <c r="I44" s="40"/>
      <c r="J44" s="40"/>
      <c r="K44" s="40"/>
      <c r="L44" s="40"/>
      <c r="M44" s="40"/>
      <c r="N44" s="40"/>
      <c r="O44" s="41"/>
      <c r="P44" s="40"/>
      <c r="Q44" s="41"/>
      <c r="R44" s="41"/>
      <c r="S44" s="40"/>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row>
    <row r="45" spans="1:54" s="1" customFormat="1" ht="36.75" customHeight="1" x14ac:dyDescent="0.25">
      <c r="A45" s="460"/>
      <c r="B45" s="462"/>
      <c r="C45" s="96" t="s">
        <v>117</v>
      </c>
      <c r="D45" s="338" t="s">
        <v>115</v>
      </c>
      <c r="E45" s="338" t="s">
        <v>116</v>
      </c>
      <c r="F45" s="97" t="s">
        <v>114</v>
      </c>
      <c r="G45" s="40"/>
      <c r="H45" s="40"/>
      <c r="I45" s="40"/>
      <c r="J45" s="40"/>
      <c r="K45" s="40"/>
      <c r="L45" s="40"/>
      <c r="M45" s="40"/>
      <c r="N45" s="40"/>
      <c r="O45" s="41"/>
      <c r="P45" s="40"/>
      <c r="Q45" s="41"/>
      <c r="R45" s="41"/>
      <c r="S45" s="40"/>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row>
    <row r="46" spans="1:54" s="1" customFormat="1" ht="18.95" customHeight="1" x14ac:dyDescent="0.25">
      <c r="A46" s="98">
        <v>1</v>
      </c>
      <c r="B46" s="408" t="str">
        <f>IF(AND(Bills!X7=""),"",IF(AND($I$5=$AB$21),"",Bills!X7))</f>
        <v/>
      </c>
      <c r="C46" s="342"/>
      <c r="D46" s="327"/>
      <c r="E46" s="340"/>
      <c r="F46" s="231" t="str">
        <f>IF(C46&gt;0,"Yes","-")</f>
        <v>-</v>
      </c>
      <c r="G46" s="40"/>
      <c r="H46" s="40"/>
      <c r="I46" s="40"/>
      <c r="J46" s="40"/>
      <c r="K46" s="40"/>
      <c r="L46" s="40"/>
      <c r="M46" s="40"/>
      <c r="N46" s="40"/>
      <c r="O46" s="41"/>
      <c r="P46" s="40"/>
      <c r="Q46" s="41"/>
      <c r="R46" s="41"/>
      <c r="S46" s="40"/>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row>
    <row r="47" spans="1:54" s="1" customFormat="1" ht="18.95" customHeight="1" x14ac:dyDescent="0.25">
      <c r="A47" s="98">
        <v>2</v>
      </c>
      <c r="B47" s="408" t="str">
        <f>IF(AND(Bills!X8=""),"",IF(AND($I$5=$AB$21),"",Bills!X8))</f>
        <v/>
      </c>
      <c r="C47" s="342"/>
      <c r="D47" s="327"/>
      <c r="E47" s="340"/>
      <c r="F47" s="231" t="str">
        <f t="shared" ref="F47:F61" si="1">IF(C47&gt;0,"Yes","-")</f>
        <v>-</v>
      </c>
      <c r="G47" s="40"/>
      <c r="H47" s="40"/>
      <c r="I47" s="40"/>
      <c r="J47" s="40"/>
      <c r="K47" s="40"/>
      <c r="L47" s="40"/>
      <c r="M47" s="40"/>
      <c r="N47" s="40"/>
      <c r="O47" s="41"/>
      <c r="P47" s="40"/>
      <c r="Q47" s="41"/>
      <c r="R47" s="41"/>
      <c r="S47" s="40"/>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row>
    <row r="48" spans="1:54" s="1" customFormat="1" ht="18.95" customHeight="1" x14ac:dyDescent="0.25">
      <c r="A48" s="98">
        <v>3</v>
      </c>
      <c r="B48" s="408" t="str">
        <f>IF(AND(Bills!X9=""),"",IF(AND($I$5=$AB$21),"",Bills!X9))</f>
        <v/>
      </c>
      <c r="C48" s="342"/>
      <c r="D48" s="327"/>
      <c r="E48" s="340"/>
      <c r="F48" s="231" t="str">
        <f t="shared" si="1"/>
        <v>-</v>
      </c>
      <c r="G48" s="40"/>
      <c r="H48" s="40"/>
      <c r="I48" s="40"/>
      <c r="J48" s="40"/>
      <c r="K48" s="40"/>
      <c r="L48" s="40"/>
      <c r="M48" s="40"/>
      <c r="N48" s="40"/>
      <c r="O48" s="41"/>
      <c r="P48" s="40"/>
      <c r="Q48" s="41"/>
      <c r="R48" s="41"/>
      <c r="S48" s="40"/>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row>
    <row r="49" spans="1:54" s="1" customFormat="1" ht="18.95" customHeight="1" x14ac:dyDescent="0.25">
      <c r="A49" s="98">
        <v>4</v>
      </c>
      <c r="B49" s="408" t="str">
        <f>IF(AND(Bills!X10=""),"",IF(AND($I$5=$AB$21),"",Bills!X10))</f>
        <v/>
      </c>
      <c r="C49" s="342"/>
      <c r="D49" s="327"/>
      <c r="E49" s="340"/>
      <c r="F49" s="231" t="str">
        <f t="shared" si="1"/>
        <v>-</v>
      </c>
      <c r="G49" s="40"/>
      <c r="H49" s="40"/>
      <c r="I49" s="40"/>
      <c r="J49" s="40"/>
      <c r="K49" s="40"/>
      <c r="L49" s="40"/>
      <c r="M49" s="40"/>
      <c r="N49" s="40"/>
      <c r="O49" s="41"/>
      <c r="P49" s="40"/>
      <c r="Q49" s="41"/>
      <c r="R49" s="41"/>
      <c r="S49" s="40"/>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row>
    <row r="50" spans="1:54" s="1" customFormat="1" ht="18.95" customHeight="1" x14ac:dyDescent="0.25">
      <c r="A50" s="98">
        <v>5</v>
      </c>
      <c r="B50" s="408">
        <f>IF(AND(Bills!X11=""),"",IF(AND($I$5=$AB$21),"",Bills!X11))</f>
        <v>1500</v>
      </c>
      <c r="C50" s="342"/>
      <c r="D50" s="327"/>
      <c r="E50" s="340"/>
      <c r="F50" s="231" t="str">
        <f t="shared" si="1"/>
        <v>-</v>
      </c>
      <c r="G50" s="40"/>
      <c r="H50" s="40"/>
      <c r="I50" s="40"/>
      <c r="J50" s="40"/>
      <c r="K50" s="40"/>
      <c r="L50" s="40"/>
      <c r="M50" s="40"/>
      <c r="N50" s="40"/>
      <c r="O50" s="41"/>
      <c r="P50" s="40"/>
      <c r="Q50" s="41"/>
      <c r="R50" s="41"/>
      <c r="S50" s="40"/>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row>
    <row r="51" spans="1:54" s="1" customFormat="1" ht="18.95" customHeight="1" x14ac:dyDescent="0.25">
      <c r="A51" s="98">
        <v>6</v>
      </c>
      <c r="B51" s="408">
        <f>IF(AND(Bills!X12=""),"",IF(AND($I$5=$AB$21),"",Bills!X12))</f>
        <v>1500</v>
      </c>
      <c r="C51" s="342"/>
      <c r="D51" s="327"/>
      <c r="E51" s="340"/>
      <c r="F51" s="231" t="str">
        <f t="shared" si="1"/>
        <v>-</v>
      </c>
      <c r="G51" s="40"/>
      <c r="H51" s="40"/>
      <c r="I51" s="40"/>
      <c r="J51" s="40"/>
      <c r="K51" s="40"/>
      <c r="L51" s="40"/>
      <c r="M51" s="40"/>
      <c r="N51" s="40"/>
      <c r="O51" s="41"/>
      <c r="P51" s="40"/>
      <c r="Q51" s="41"/>
      <c r="R51" s="41"/>
      <c r="S51" s="40"/>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row>
    <row r="52" spans="1:54" s="1" customFormat="1" ht="18.95" customHeight="1" x14ac:dyDescent="0.25">
      <c r="A52" s="98">
        <v>7</v>
      </c>
      <c r="B52" s="408">
        <f>IF(AND(Bills!X13=""),"",IF(AND($I$5=$AB$21),"",Bills!X13))</f>
        <v>1500</v>
      </c>
      <c r="C52" s="342"/>
      <c r="D52" s="327"/>
      <c r="E52" s="340"/>
      <c r="F52" s="231" t="str">
        <f t="shared" si="1"/>
        <v>-</v>
      </c>
      <c r="G52" s="40"/>
      <c r="H52" s="40"/>
      <c r="I52" s="40"/>
      <c r="J52" s="40"/>
      <c r="K52" s="40"/>
      <c r="L52" s="40"/>
      <c r="M52" s="40"/>
      <c r="N52" s="40"/>
      <c r="O52" s="41"/>
      <c r="P52" s="40"/>
      <c r="Q52" s="41"/>
      <c r="R52" s="41"/>
      <c r="S52" s="40"/>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row>
    <row r="53" spans="1:54" s="1" customFormat="1" ht="18.95" customHeight="1" x14ac:dyDescent="0.25">
      <c r="A53" s="98">
        <v>8</v>
      </c>
      <c r="B53" s="408">
        <f>IF(AND(Bills!X14=""),"",IF(AND($I$5=$AB$21),"",Bills!X14))</f>
        <v>1500</v>
      </c>
      <c r="C53" s="342"/>
      <c r="D53" s="327"/>
      <c r="E53" s="340"/>
      <c r="F53" s="231" t="str">
        <f t="shared" si="1"/>
        <v>-</v>
      </c>
      <c r="G53" s="40"/>
      <c r="H53" s="40"/>
      <c r="I53" s="40"/>
      <c r="J53" s="40"/>
      <c r="K53" s="40"/>
      <c r="L53" s="40"/>
      <c r="M53" s="40"/>
      <c r="N53" s="40"/>
      <c r="O53" s="41"/>
      <c r="P53" s="40"/>
      <c r="Q53" s="41"/>
      <c r="R53" s="41"/>
      <c r="S53" s="40"/>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1:54" s="1" customFormat="1" ht="18.95" customHeight="1" x14ac:dyDescent="0.25">
      <c r="A54" s="98">
        <v>9</v>
      </c>
      <c r="B54" s="408">
        <f>IF(AND(Bills!X15=""),"",IF(AND($I$5=$AB$21),"",Bills!X15))</f>
        <v>1500</v>
      </c>
      <c r="C54" s="342"/>
      <c r="D54" s="327"/>
      <c r="E54" s="340"/>
      <c r="F54" s="231" t="str">
        <f t="shared" si="1"/>
        <v>-</v>
      </c>
      <c r="G54" s="40"/>
      <c r="H54" s="40"/>
      <c r="I54" s="40"/>
      <c r="J54" s="40"/>
      <c r="K54" s="40"/>
      <c r="L54" s="40"/>
      <c r="M54" s="40"/>
      <c r="N54" s="40"/>
      <c r="O54" s="41"/>
      <c r="P54" s="40"/>
      <c r="Q54" s="41"/>
      <c r="R54" s="41"/>
      <c r="S54" s="40"/>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row>
    <row r="55" spans="1:54" s="1" customFormat="1" ht="18.95" customHeight="1" x14ac:dyDescent="0.25">
      <c r="A55" s="98">
        <v>10</v>
      </c>
      <c r="B55" s="408">
        <f>IF(AND(Bills!X16=""),"",IF(AND($I$5=$AB$21),"",Bills!X16))</f>
        <v>1500</v>
      </c>
      <c r="C55" s="342"/>
      <c r="D55" s="327"/>
      <c r="E55" s="340"/>
      <c r="F55" s="231" t="str">
        <f t="shared" si="1"/>
        <v>-</v>
      </c>
      <c r="G55" s="40"/>
      <c r="H55" s="40"/>
      <c r="I55" s="40"/>
      <c r="J55" s="40"/>
      <c r="K55" s="40"/>
      <c r="L55" s="40"/>
      <c r="M55" s="40"/>
      <c r="N55" s="40"/>
      <c r="O55" s="41"/>
      <c r="P55" s="40"/>
      <c r="Q55" s="41"/>
      <c r="R55" s="41"/>
      <c r="S55" s="40"/>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row>
    <row r="56" spans="1:54" s="1" customFormat="1" ht="18.95" customHeight="1" x14ac:dyDescent="0.25">
      <c r="A56" s="98">
        <v>11</v>
      </c>
      <c r="B56" s="408">
        <f>IF(AND(Bills!X17=""),"",IF(AND($I$5=$AB$21),"",Bills!X17))</f>
        <v>1500</v>
      </c>
      <c r="C56" s="342"/>
      <c r="D56" s="327"/>
      <c r="E56" s="340"/>
      <c r="F56" s="231" t="str">
        <f t="shared" si="1"/>
        <v>-</v>
      </c>
      <c r="G56" s="40"/>
      <c r="H56" s="40"/>
      <c r="I56" s="40"/>
      <c r="J56" s="40"/>
      <c r="K56" s="40"/>
      <c r="L56" s="40"/>
      <c r="M56" s="40"/>
      <c r="N56" s="40"/>
      <c r="O56" s="41"/>
      <c r="P56" s="40"/>
      <c r="Q56" s="41"/>
      <c r="R56" s="41"/>
      <c r="S56" s="40"/>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row>
    <row r="57" spans="1:54" s="1" customFormat="1" ht="18.95" customHeight="1" x14ac:dyDescent="0.25">
      <c r="A57" s="98">
        <v>12</v>
      </c>
      <c r="B57" s="408">
        <f>IF(AND(Bills!X18=""),"",IF(AND($I$5=$AB$21),"",Bills!X18))</f>
        <v>1500</v>
      </c>
      <c r="C57" s="342"/>
      <c r="D57" s="327"/>
      <c r="E57" s="340"/>
      <c r="F57" s="231" t="str">
        <f t="shared" si="1"/>
        <v>-</v>
      </c>
      <c r="G57" s="40"/>
      <c r="H57" s="40"/>
      <c r="I57" s="40"/>
      <c r="J57" s="40"/>
      <c r="K57" s="40"/>
      <c r="L57" s="40"/>
      <c r="M57" s="40"/>
      <c r="N57" s="40"/>
      <c r="O57" s="41"/>
      <c r="P57" s="40"/>
      <c r="Q57" s="41"/>
      <c r="R57" s="41"/>
      <c r="S57" s="40"/>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row>
    <row r="58" spans="1:54" s="1" customFormat="1" ht="18.95" customHeight="1" x14ac:dyDescent="0.25">
      <c r="A58" s="98">
        <v>13</v>
      </c>
      <c r="B58" s="408" t="str">
        <f>IF(AND(Bills!X23=""),"",IF(AND($I$5=$AB$21),"",Bills!X23))</f>
        <v/>
      </c>
      <c r="C58" s="342"/>
      <c r="D58" s="327"/>
      <c r="E58" s="340"/>
      <c r="F58" s="231" t="str">
        <f t="shared" si="1"/>
        <v>-</v>
      </c>
      <c r="G58" s="40"/>
      <c r="H58" s="40"/>
      <c r="I58" s="40"/>
      <c r="J58" s="40"/>
      <c r="K58" s="40"/>
      <c r="L58" s="40"/>
      <c r="M58" s="40"/>
      <c r="N58" s="40"/>
      <c r="O58" s="41"/>
      <c r="P58" s="40"/>
      <c r="Q58" s="41"/>
      <c r="R58" s="41"/>
      <c r="S58" s="40"/>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row>
    <row r="59" spans="1:54" s="1" customFormat="1" ht="18.95" customHeight="1" x14ac:dyDescent="0.25">
      <c r="A59" s="98">
        <v>14</v>
      </c>
      <c r="B59" s="408" t="str">
        <f>IF(AND(Bills!X24=""),"",IF(AND($I$5=$AB$21),"",Bills!X24))</f>
        <v/>
      </c>
      <c r="C59" s="342"/>
      <c r="D59" s="327"/>
      <c r="E59" s="340"/>
      <c r="F59" s="231" t="str">
        <f t="shared" si="1"/>
        <v>-</v>
      </c>
      <c r="G59" s="40"/>
      <c r="H59" s="40"/>
      <c r="I59" s="40"/>
      <c r="J59" s="40"/>
      <c r="K59" s="40"/>
      <c r="L59" s="40"/>
      <c r="M59" s="40"/>
      <c r="N59" s="40"/>
      <c r="O59" s="41"/>
      <c r="P59" s="40"/>
      <c r="Q59" s="41"/>
      <c r="R59" s="41"/>
      <c r="S59" s="40"/>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row>
    <row r="60" spans="1:54" s="1" customFormat="1" ht="18.95" customHeight="1" x14ac:dyDescent="0.25">
      <c r="A60" s="98">
        <v>15</v>
      </c>
      <c r="B60" s="408" t="str">
        <f>IF(AND(Bills!X25=""),"",IF(AND($I$5=$AB$21),"",Bills!X25))</f>
        <v/>
      </c>
      <c r="C60" s="342"/>
      <c r="D60" s="327"/>
      <c r="E60" s="340"/>
      <c r="F60" s="231" t="str">
        <f t="shared" si="1"/>
        <v>-</v>
      </c>
      <c r="G60" s="40"/>
      <c r="H60" s="40"/>
      <c r="I60" s="40"/>
      <c r="J60" s="40"/>
      <c r="K60" s="40"/>
      <c r="L60" s="40"/>
      <c r="M60" s="40"/>
      <c r="N60" s="40"/>
      <c r="O60" s="41"/>
      <c r="P60" s="40"/>
      <c r="Q60" s="41"/>
      <c r="R60" s="41"/>
      <c r="S60" s="40"/>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row>
    <row r="61" spans="1:54" s="1" customFormat="1" ht="18.95" customHeight="1" x14ac:dyDescent="0.25">
      <c r="A61" s="98">
        <v>16</v>
      </c>
      <c r="B61" s="411" t="str">
        <f>IF(AND(Bills!X26=""),"",IF(AND($I$5=$AB$21),"",Bills!X26))</f>
        <v/>
      </c>
      <c r="C61" s="343"/>
      <c r="D61" s="339"/>
      <c r="E61" s="341"/>
      <c r="F61" s="329" t="str">
        <f t="shared" si="1"/>
        <v>-</v>
      </c>
      <c r="G61" s="40"/>
      <c r="H61" s="40"/>
      <c r="I61" s="40"/>
      <c r="J61" s="40"/>
      <c r="K61" s="40"/>
      <c r="L61" s="40"/>
      <c r="M61" s="40"/>
      <c r="N61" s="40"/>
      <c r="O61" s="41"/>
      <c r="P61" s="40"/>
      <c r="Q61" s="41"/>
      <c r="R61" s="41"/>
      <c r="S61" s="40"/>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row>
    <row r="62" spans="1:54" s="1" customFormat="1" ht="18.95" customHeight="1" x14ac:dyDescent="0.25">
      <c r="A62" s="334" t="s">
        <v>5</v>
      </c>
      <c r="B62" s="412">
        <f>SUM(B46:B61)</f>
        <v>12000</v>
      </c>
      <c r="C62" s="332"/>
      <c r="D62" s="332"/>
      <c r="E62" s="332"/>
      <c r="F62" s="333"/>
      <c r="G62" s="40"/>
      <c r="H62" s="40"/>
      <c r="I62" s="40"/>
      <c r="J62" s="40"/>
      <c r="K62" s="40"/>
      <c r="L62" s="40"/>
      <c r="M62" s="40"/>
      <c r="N62" s="40"/>
      <c r="O62" s="41"/>
      <c r="P62" s="40"/>
      <c r="Q62" s="41"/>
      <c r="R62" s="41"/>
      <c r="S62" s="40"/>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row>
    <row r="63" spans="1:54" s="1" customFormat="1" x14ac:dyDescent="0.25">
      <c r="A63" s="39"/>
      <c r="B63" s="39"/>
      <c r="C63" s="39"/>
      <c r="D63" s="39"/>
      <c r="E63" s="39"/>
      <c r="F63" s="40"/>
      <c r="G63" s="40"/>
      <c r="H63" s="40"/>
      <c r="I63" s="40"/>
      <c r="J63" s="40"/>
      <c r="K63" s="40"/>
      <c r="L63" s="40"/>
      <c r="M63" s="40"/>
      <c r="N63" s="40"/>
      <c r="O63" s="41"/>
      <c r="P63" s="40"/>
      <c r="Q63" s="41"/>
      <c r="R63" s="41"/>
      <c r="S63" s="40"/>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row>
    <row r="64" spans="1:54" s="1" customFormat="1" x14ac:dyDescent="0.25">
      <c r="A64" s="39"/>
      <c r="B64" s="39"/>
      <c r="C64" s="39"/>
      <c r="D64" s="39"/>
      <c r="E64" s="39"/>
      <c r="F64" s="40"/>
      <c r="G64" s="40"/>
      <c r="H64" s="40"/>
      <c r="I64" s="40"/>
      <c r="J64" s="40"/>
      <c r="K64" s="40"/>
      <c r="L64" s="40"/>
      <c r="M64" s="40"/>
      <c r="N64" s="40"/>
      <c r="O64" s="41"/>
      <c r="P64" s="40"/>
      <c r="Q64" s="41"/>
      <c r="R64" s="41"/>
      <c r="S64" s="40"/>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s="1" customFormat="1" x14ac:dyDescent="0.25">
      <c r="A65" s="39"/>
      <c r="B65" s="39"/>
      <c r="C65" s="39"/>
      <c r="D65" s="39"/>
      <c r="E65" s="39"/>
      <c r="F65" s="40"/>
      <c r="G65" s="40"/>
      <c r="H65" s="40"/>
      <c r="I65" s="40"/>
      <c r="J65" s="40"/>
      <c r="K65" s="40"/>
      <c r="L65" s="40"/>
      <c r="M65" s="40"/>
      <c r="N65" s="40"/>
      <c r="O65" s="41"/>
      <c r="P65" s="40"/>
      <c r="Q65" s="41"/>
      <c r="R65" s="41"/>
      <c r="S65" s="40"/>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row>
    <row r="66" spans="1:54" s="1" customFormat="1" x14ac:dyDescent="0.25">
      <c r="A66" s="39"/>
      <c r="B66" s="39"/>
      <c r="C66" s="39"/>
      <c r="D66" s="39"/>
      <c r="E66" s="39"/>
      <c r="F66" s="40"/>
      <c r="G66" s="40"/>
      <c r="H66" s="40"/>
      <c r="I66" s="40"/>
      <c r="J66" s="40"/>
      <c r="K66" s="40"/>
      <c r="L66" s="40"/>
      <c r="M66" s="40"/>
      <c r="N66" s="40"/>
      <c r="O66" s="41"/>
      <c r="P66" s="40"/>
      <c r="Q66" s="41"/>
      <c r="R66" s="41"/>
      <c r="S66" s="40"/>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row>
    <row r="67" spans="1:54" s="1" customFormat="1" x14ac:dyDescent="0.25">
      <c r="A67" s="39"/>
      <c r="B67" s="39"/>
      <c r="C67" s="39"/>
      <c r="D67" s="39"/>
      <c r="E67" s="39"/>
      <c r="F67" s="40"/>
      <c r="G67" s="40"/>
      <c r="H67" s="40"/>
      <c r="I67" s="40"/>
      <c r="J67" s="40"/>
      <c r="K67" s="40"/>
      <c r="L67" s="40"/>
      <c r="M67" s="40"/>
      <c r="N67" s="40"/>
      <c r="O67" s="41"/>
      <c r="P67" s="40"/>
      <c r="Q67" s="41"/>
      <c r="R67" s="41"/>
      <c r="S67" s="40"/>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row>
    <row r="68" spans="1:54" s="1" customFormat="1" x14ac:dyDescent="0.25">
      <c r="A68" s="39"/>
      <c r="B68" s="39"/>
      <c r="C68" s="39"/>
      <c r="D68" s="39"/>
      <c r="E68" s="39"/>
      <c r="F68" s="40"/>
      <c r="G68" s="40"/>
      <c r="H68" s="40"/>
      <c r="I68" s="40"/>
      <c r="J68" s="40"/>
      <c r="K68" s="40"/>
      <c r="L68" s="40"/>
      <c r="M68" s="40"/>
      <c r="N68" s="40"/>
      <c r="O68" s="41"/>
      <c r="P68" s="40"/>
      <c r="Q68" s="41"/>
      <c r="R68" s="41"/>
      <c r="S68" s="40"/>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row>
    <row r="69" spans="1:54" s="1" customFormat="1" x14ac:dyDescent="0.25">
      <c r="A69" s="39"/>
      <c r="B69" s="39"/>
      <c r="C69" s="39"/>
      <c r="D69" s="39"/>
      <c r="E69" s="39"/>
      <c r="F69" s="40"/>
      <c r="G69" s="40"/>
      <c r="H69" s="40"/>
      <c r="I69" s="40"/>
      <c r="J69" s="40"/>
      <c r="K69" s="40"/>
      <c r="L69" s="40"/>
      <c r="M69" s="40"/>
      <c r="N69" s="40"/>
      <c r="O69" s="40"/>
      <c r="P69" s="40"/>
      <c r="Q69" s="40"/>
      <c r="R69" s="40"/>
      <c r="S69" s="40"/>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row>
    <row r="70" spans="1:54" s="1" customFormat="1" x14ac:dyDescent="0.25">
      <c r="A70" s="39"/>
      <c r="B70" s="39"/>
      <c r="C70" s="39"/>
      <c r="D70" s="39"/>
      <c r="E70" s="39"/>
      <c r="F70" s="40"/>
      <c r="G70" s="40"/>
      <c r="H70" s="40"/>
      <c r="I70" s="40"/>
      <c r="J70" s="40"/>
      <c r="K70" s="40"/>
      <c r="L70" s="40"/>
      <c r="M70" s="40"/>
      <c r="N70" s="40"/>
      <c r="O70" s="40"/>
      <c r="P70" s="40"/>
      <c r="Q70" s="40"/>
      <c r="R70" s="40"/>
      <c r="S70" s="40"/>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s="1" customFormat="1" x14ac:dyDescent="0.25">
      <c r="A71" s="39"/>
      <c r="B71" s="39"/>
      <c r="C71" s="39"/>
      <c r="D71" s="39"/>
      <c r="E71" s="39"/>
      <c r="F71" s="40"/>
      <c r="G71" s="40"/>
      <c r="H71" s="40"/>
      <c r="I71" s="40"/>
      <c r="J71" s="40"/>
      <c r="K71" s="40"/>
      <c r="L71" s="40"/>
      <c r="M71" s="40"/>
      <c r="N71" s="40"/>
      <c r="O71" s="40"/>
      <c r="P71" s="40"/>
      <c r="Q71" s="40"/>
      <c r="R71" s="40"/>
      <c r="S71" s="40"/>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row>
    <row r="72" spans="1:54" s="1" customFormat="1" x14ac:dyDescent="0.25">
      <c r="A72" s="39"/>
      <c r="B72" s="39"/>
      <c r="C72" s="39"/>
      <c r="D72" s="39"/>
      <c r="E72" s="39"/>
      <c r="F72" s="40"/>
      <c r="G72" s="40"/>
      <c r="H72" s="40"/>
      <c r="I72" s="40"/>
      <c r="J72" s="40"/>
      <c r="K72" s="40"/>
      <c r="L72" s="40"/>
      <c r="M72" s="40"/>
      <c r="N72" s="40"/>
      <c r="O72" s="40"/>
      <c r="P72" s="40"/>
      <c r="Q72" s="40"/>
      <c r="R72" s="40"/>
      <c r="S72" s="40"/>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row>
    <row r="73" spans="1:54" s="1" customFormat="1" x14ac:dyDescent="0.25">
      <c r="A73" s="39"/>
      <c r="B73" s="39"/>
      <c r="C73" s="39"/>
      <c r="D73" s="39"/>
      <c r="E73" s="39"/>
      <c r="F73" s="40"/>
      <c r="G73" s="40"/>
      <c r="H73" s="40"/>
      <c r="I73" s="40"/>
      <c r="J73" s="40"/>
      <c r="K73" s="40"/>
      <c r="L73" s="40"/>
      <c r="M73" s="40"/>
      <c r="N73" s="40"/>
      <c r="O73" s="40"/>
      <c r="P73" s="40"/>
      <c r="Q73" s="40"/>
      <c r="R73" s="40"/>
      <c r="S73" s="40"/>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row>
    <row r="74" spans="1:54" s="1" customFormat="1" x14ac:dyDescent="0.25">
      <c r="A74" s="39"/>
      <c r="B74" s="39"/>
      <c r="C74" s="39"/>
      <c r="D74" s="39"/>
      <c r="E74" s="39"/>
      <c r="F74" s="40"/>
      <c r="G74" s="40"/>
      <c r="H74" s="40"/>
      <c r="I74" s="40"/>
      <c r="J74" s="40"/>
      <c r="K74" s="40"/>
      <c r="L74" s="40"/>
      <c r="M74" s="40"/>
      <c r="N74" s="40"/>
      <c r="O74" s="40"/>
      <c r="P74" s="40"/>
      <c r="Q74" s="40"/>
      <c r="R74" s="40"/>
      <c r="S74" s="40"/>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row>
    <row r="75" spans="1:54" s="1" customFormat="1" hidden="1" x14ac:dyDescent="0.25">
      <c r="A75" s="39"/>
      <c r="B75" s="39"/>
      <c r="C75" s="39"/>
      <c r="D75" s="39"/>
      <c r="E75" s="39"/>
      <c r="F75" s="40"/>
      <c r="G75" s="40"/>
      <c r="H75" s="40"/>
      <c r="I75" s="40"/>
      <c r="J75" s="40"/>
      <c r="K75" s="40"/>
      <c r="L75" s="40"/>
      <c r="M75" s="40"/>
      <c r="N75" s="40"/>
      <c r="O75" s="40"/>
      <c r="P75" s="40"/>
      <c r="Q75" s="40"/>
      <c r="R75" s="40"/>
      <c r="S75" s="40"/>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row>
    <row r="76" spans="1:54" s="1" customFormat="1" hidden="1" x14ac:dyDescent="0.25">
      <c r="A76" s="39"/>
      <c r="B76" s="39"/>
      <c r="C76" s="39"/>
      <c r="D76" s="39" t="e">
        <f>IF(#REF!="","",#REF!)</f>
        <v>#REF!</v>
      </c>
      <c r="E76" s="39"/>
      <c r="F76" s="40" t="e">
        <f>IF(#REF!="","",#REF!)</f>
        <v>#REF!</v>
      </c>
      <c r="G76" s="40"/>
      <c r="H76" s="40" t="e">
        <f>IF(#REF!="","",#REF!)</f>
        <v>#REF!</v>
      </c>
      <c r="I76" s="40"/>
      <c r="J76" s="40" t="e">
        <f>IF(#REF!="","",#REF!)</f>
        <v>#REF!</v>
      </c>
      <c r="K76" s="40" t="e">
        <f>IF(#REF!="","",#REF!)</f>
        <v>#REF!</v>
      </c>
      <c r="L76" s="40" t="e">
        <f>IF(#REF!="","",#REF!)</f>
        <v>#REF!</v>
      </c>
      <c r="M76" s="40" t="e">
        <f>IF(#REF!="","",#REF!)</f>
        <v>#REF!</v>
      </c>
      <c r="N76" s="40" t="e">
        <f>IF(#REF!="","",#REF!)</f>
        <v>#REF!</v>
      </c>
      <c r="O76" s="40" t="e">
        <f>IF(#REF!="","",#REF!)</f>
        <v>#REF!</v>
      </c>
      <c r="P76" s="40" t="e">
        <f>IF(#REF!="","",#REF!)</f>
        <v>#REF!</v>
      </c>
      <c r="Q76" s="40" t="e">
        <f>IF(#REF!="","",#REF!)</f>
        <v>#REF!</v>
      </c>
      <c r="R76" s="40"/>
      <c r="S76" s="40"/>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s="1" customFormat="1" hidden="1" x14ac:dyDescent="0.25">
      <c r="A77" s="39"/>
      <c r="B77" s="39"/>
      <c r="C77" s="39"/>
      <c r="D77" s="39" t="e">
        <f>IF(#REF!="","",#REF!)</f>
        <v>#REF!</v>
      </c>
      <c r="E77" s="39"/>
      <c r="F77" s="40" t="e">
        <f>IF(#REF!="","",#REF!)</f>
        <v>#REF!</v>
      </c>
      <c r="G77" s="40"/>
      <c r="H77" s="40" t="e">
        <f>IF(#REF!="","",#REF!)</f>
        <v>#REF!</v>
      </c>
      <c r="I77" s="40"/>
      <c r="J77" s="40" t="e">
        <f>IF(#REF!="","",#REF!)</f>
        <v>#REF!</v>
      </c>
      <c r="K77" s="40" t="e">
        <f>IF(#REF!="","",#REF!)</f>
        <v>#REF!</v>
      </c>
      <c r="L77" s="40" t="e">
        <f>IF(#REF!="","",#REF!)</f>
        <v>#REF!</v>
      </c>
      <c r="M77" s="40" t="e">
        <f>IF(#REF!="","",#REF!)</f>
        <v>#REF!</v>
      </c>
      <c r="N77" s="40" t="e">
        <f>IF(#REF!="","",#REF!)</f>
        <v>#REF!</v>
      </c>
      <c r="O77" s="40" t="e">
        <f>IF(#REF!="","",#REF!)</f>
        <v>#REF!</v>
      </c>
      <c r="P77" s="40" t="e">
        <f>IF(#REF!="","",#REF!)</f>
        <v>#REF!</v>
      </c>
      <c r="Q77" s="40" t="e">
        <f>IF(#REF!="","",#REF!)</f>
        <v>#REF!</v>
      </c>
      <c r="R77" s="40" t="e">
        <f>IF(#REF!="","",#REF!)</f>
        <v>#REF!</v>
      </c>
      <c r="S77" s="40" t="e">
        <f>IF(#REF!="","",#REF!)</f>
        <v>#REF!</v>
      </c>
      <c r="T77" s="39" t="e">
        <f>IF(#REF!="","",#REF!)</f>
        <v>#REF!</v>
      </c>
      <c r="U77" s="39" t="e">
        <f>IF(#REF!="","",#REF!)</f>
        <v>#REF!</v>
      </c>
      <c r="V77" s="39" t="e">
        <f>IF(#REF!="","",#REF!)</f>
        <v>#REF!</v>
      </c>
      <c r="W77" s="39" t="e">
        <f>IF(#REF!="","",#REF!)</f>
        <v>#REF!</v>
      </c>
      <c r="X77" s="39" t="e">
        <f>IF(#REF!="","",#REF!)</f>
        <v>#REF!</v>
      </c>
      <c r="Y77" s="39" t="e">
        <f>IF(#REF!="","",#REF!)</f>
        <v>#REF!</v>
      </c>
      <c r="Z77" s="39" t="e">
        <f>IF(#REF!="","",#REF!)</f>
        <v>#REF!</v>
      </c>
      <c r="AA77" s="39" t="e">
        <f>IF(#REF!="","",#REF!)</f>
        <v>#REF!</v>
      </c>
      <c r="AB77" s="39" t="e">
        <f>IF(#REF!="","",#REF!)</f>
        <v>#REF!</v>
      </c>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row>
    <row r="78" spans="1:54" s="1" customFormat="1" x14ac:dyDescent="0.25">
      <c r="A78" s="39"/>
      <c r="B78" s="39"/>
      <c r="C78" s="39"/>
      <c r="D78" s="39"/>
      <c r="E78" s="39"/>
      <c r="F78" s="40"/>
      <c r="G78" s="40"/>
      <c r="H78" s="40"/>
      <c r="I78" s="40"/>
      <c r="J78" s="40"/>
      <c r="K78" s="40"/>
      <c r="L78" s="40"/>
      <c r="M78" s="40"/>
      <c r="N78" s="40"/>
      <c r="O78" s="40"/>
      <c r="P78" s="40"/>
      <c r="Q78" s="40"/>
      <c r="R78" s="40"/>
      <c r="S78" s="40"/>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row>
    <row r="79" spans="1:54" s="1" customFormat="1" x14ac:dyDescent="0.25">
      <c r="A79" s="39"/>
      <c r="B79" s="39"/>
      <c r="C79" s="39"/>
      <c r="D79" s="39"/>
      <c r="E79" s="39"/>
      <c r="F79" s="40"/>
      <c r="G79" s="40"/>
      <c r="H79" s="40"/>
      <c r="I79" s="40"/>
      <c r="J79" s="40"/>
      <c r="K79" s="40"/>
      <c r="L79" s="40"/>
      <c r="M79" s="40"/>
      <c r="N79" s="40"/>
      <c r="O79" s="40"/>
      <c r="P79" s="40"/>
      <c r="Q79" s="40"/>
      <c r="R79" s="40"/>
      <c r="S79" s="40"/>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row>
    <row r="80" spans="1:54" s="1" customFormat="1" x14ac:dyDescent="0.25">
      <c r="A80" s="39"/>
      <c r="B80" s="39"/>
      <c r="C80" s="39"/>
      <c r="D80" s="39"/>
      <c r="E80" s="39"/>
      <c r="F80" s="40"/>
      <c r="G80" s="40"/>
      <c r="H80" s="40"/>
      <c r="I80" s="40"/>
      <c r="J80" s="40"/>
      <c r="K80" s="40"/>
      <c r="L80" s="40"/>
      <c r="M80" s="40"/>
      <c r="N80" s="40"/>
      <c r="O80" s="40"/>
      <c r="P80" s="40"/>
      <c r="Q80" s="40"/>
      <c r="R80" s="40"/>
      <c r="S80" s="40"/>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row>
    <row r="81" spans="1:54" s="1" customFormat="1" x14ac:dyDescent="0.25">
      <c r="A81" s="39"/>
      <c r="B81" s="39"/>
      <c r="C81" s="39"/>
      <c r="D81" s="39"/>
      <c r="E81" s="39"/>
      <c r="F81" s="40"/>
      <c r="G81" s="40"/>
      <c r="H81" s="40"/>
      <c r="I81" s="40"/>
      <c r="J81" s="40"/>
      <c r="K81" s="40"/>
      <c r="L81" s="40"/>
      <c r="M81" s="40"/>
      <c r="N81" s="40"/>
      <c r="O81" s="40"/>
      <c r="P81" s="40"/>
      <c r="Q81" s="40"/>
      <c r="R81" s="40"/>
      <c r="S81" s="40"/>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row>
    <row r="82" spans="1:54" s="1" customFormat="1" x14ac:dyDescent="0.25">
      <c r="A82" s="39"/>
      <c r="B82" s="39"/>
      <c r="C82" s="39"/>
      <c r="D82" s="39"/>
      <c r="E82" s="39"/>
      <c r="F82" s="40"/>
      <c r="G82" s="40"/>
      <c r="H82" s="40"/>
      <c r="I82" s="40"/>
      <c r="J82" s="40"/>
      <c r="K82" s="40"/>
      <c r="L82" s="40"/>
      <c r="M82" s="40"/>
      <c r="N82" s="40"/>
      <c r="O82" s="40"/>
      <c r="P82" s="40"/>
      <c r="Q82" s="40"/>
      <c r="R82" s="40"/>
      <c r="S82" s="40"/>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s="1" customFormat="1" x14ac:dyDescent="0.25">
      <c r="A83" s="39"/>
      <c r="B83" s="39"/>
      <c r="C83" s="39"/>
      <c r="D83" s="39"/>
      <c r="E83" s="39"/>
      <c r="F83" s="40"/>
      <c r="G83" s="40"/>
      <c r="H83" s="40"/>
      <c r="I83" s="40"/>
      <c r="J83" s="40"/>
      <c r="K83" s="40"/>
      <c r="L83" s="40"/>
      <c r="M83" s="40"/>
      <c r="N83" s="40"/>
      <c r="O83" s="40"/>
      <c r="P83" s="40"/>
      <c r="Q83" s="40"/>
      <c r="R83" s="40"/>
      <c r="S83" s="40"/>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row>
    <row r="84" spans="1:54" s="1" customFormat="1" x14ac:dyDescent="0.25">
      <c r="A84" s="39"/>
      <c r="B84" s="39"/>
      <c r="C84" s="39"/>
      <c r="D84" s="39"/>
      <c r="E84" s="39"/>
      <c r="F84" s="40"/>
      <c r="G84" s="40"/>
      <c r="H84" s="40"/>
      <c r="I84" s="40"/>
      <c r="J84" s="40"/>
      <c r="K84" s="40"/>
      <c r="L84" s="40"/>
      <c r="M84" s="40"/>
      <c r="N84" s="40"/>
      <c r="O84" s="40"/>
      <c r="P84" s="40"/>
      <c r="Q84" s="40"/>
      <c r="R84" s="40"/>
      <c r="S84" s="40"/>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row>
    <row r="85" spans="1:54" s="1" customFormat="1" x14ac:dyDescent="0.25">
      <c r="A85" s="39"/>
      <c r="B85" s="39"/>
      <c r="C85" s="39"/>
      <c r="D85" s="39"/>
      <c r="E85" s="39"/>
      <c r="F85" s="40"/>
      <c r="G85" s="40"/>
      <c r="H85" s="40"/>
      <c r="I85" s="40"/>
      <c r="J85" s="40"/>
      <c r="K85" s="40"/>
      <c r="L85" s="40"/>
      <c r="M85" s="40"/>
      <c r="N85" s="40"/>
      <c r="O85" s="40"/>
      <c r="P85" s="40"/>
      <c r="Q85" s="40"/>
      <c r="R85" s="40"/>
      <c r="S85" s="40"/>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row>
    <row r="86" spans="1:54" s="1" customFormat="1" x14ac:dyDescent="0.25">
      <c r="A86" s="39"/>
      <c r="B86" s="39"/>
      <c r="C86" s="39"/>
      <c r="D86" s="39"/>
      <c r="E86" s="39"/>
      <c r="F86" s="40"/>
      <c r="G86" s="40"/>
      <c r="H86" s="40"/>
      <c r="I86" s="40"/>
      <c r="J86" s="40"/>
      <c r="K86" s="40"/>
      <c r="L86" s="40"/>
      <c r="M86" s="40"/>
      <c r="N86" s="40"/>
      <c r="O86" s="40"/>
      <c r="P86" s="40"/>
      <c r="Q86" s="40"/>
      <c r="R86" s="40"/>
      <c r="S86" s="40"/>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row>
    <row r="87" spans="1:54" s="1" customFormat="1" x14ac:dyDescent="0.25">
      <c r="A87" s="27"/>
      <c r="B87" s="27"/>
      <c r="C87" s="27"/>
      <c r="D87" s="27"/>
      <c r="E87" s="27"/>
      <c r="F87" s="30"/>
      <c r="G87" s="30"/>
      <c r="H87" s="40"/>
      <c r="I87" s="40"/>
      <c r="J87" s="40"/>
      <c r="K87" s="40"/>
      <c r="L87" s="40"/>
      <c r="M87" s="40"/>
      <c r="N87" s="40"/>
      <c r="O87" s="40"/>
      <c r="P87" s="40"/>
      <c r="Q87" s="40"/>
      <c r="R87" s="40"/>
      <c r="S87" s="40"/>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row>
    <row r="88" spans="1:54" s="1" customFormat="1" x14ac:dyDescent="0.25">
      <c r="A88" s="27"/>
      <c r="B88" s="27"/>
      <c r="C88" s="27"/>
      <c r="D88" s="27"/>
      <c r="E88" s="27"/>
      <c r="F88" s="30"/>
      <c r="G88" s="30"/>
      <c r="H88" s="40"/>
      <c r="I88" s="40"/>
      <c r="J88" s="40"/>
      <c r="K88" s="40"/>
      <c r="L88" s="40"/>
      <c r="M88" s="40"/>
      <c r="N88" s="40"/>
      <c r="O88" s="40"/>
      <c r="P88" s="40"/>
      <c r="Q88" s="40"/>
      <c r="R88" s="40"/>
      <c r="S88" s="40"/>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s="1" customFormat="1" x14ac:dyDescent="0.25">
      <c r="B89" s="15"/>
      <c r="C89" s="15"/>
      <c r="D89" s="15"/>
      <c r="E89" s="15"/>
      <c r="F89" s="14"/>
      <c r="G89" s="14"/>
      <c r="H89" s="14"/>
      <c r="I89" s="14"/>
      <c r="J89" s="14"/>
      <c r="K89" s="14"/>
      <c r="L89" s="14"/>
      <c r="M89" s="14"/>
      <c r="N89" s="14"/>
      <c r="O89" s="14"/>
      <c r="P89" s="14"/>
      <c r="Q89" s="14"/>
      <c r="R89" s="14"/>
      <c r="S89" s="14"/>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row>
    <row r="90" spans="1:54" s="1" customFormat="1" x14ac:dyDescent="0.25">
      <c r="B90" s="15"/>
      <c r="C90" s="15"/>
      <c r="D90" s="15"/>
      <c r="E90" s="15"/>
      <c r="F90" s="14"/>
      <c r="G90" s="14"/>
      <c r="H90" s="14"/>
      <c r="I90" s="14"/>
      <c r="J90" s="14"/>
      <c r="K90" s="14"/>
      <c r="L90" s="14"/>
      <c r="M90" s="14"/>
      <c r="N90" s="14"/>
      <c r="O90" s="14"/>
      <c r="P90" s="14"/>
      <c r="Q90" s="14"/>
      <c r="R90" s="14"/>
      <c r="S90" s="14"/>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row>
    <row r="91" spans="1:54" s="1" customFormat="1" x14ac:dyDescent="0.25">
      <c r="B91" s="15"/>
      <c r="C91" s="15"/>
      <c r="D91" s="15"/>
      <c r="E91" s="15"/>
      <c r="F91" s="14"/>
      <c r="G91" s="14"/>
      <c r="H91" s="14"/>
      <c r="I91" s="14"/>
      <c r="J91" s="14"/>
      <c r="K91" s="14"/>
      <c r="L91" s="14"/>
      <c r="M91" s="14"/>
      <c r="N91" s="14"/>
      <c r="O91" s="14"/>
      <c r="P91" s="14"/>
      <c r="Q91" s="14"/>
      <c r="R91" s="14"/>
      <c r="S91" s="14"/>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row>
    <row r="92" spans="1:54" s="1" customFormat="1" x14ac:dyDescent="0.25">
      <c r="B92" s="15"/>
      <c r="C92" s="15"/>
      <c r="D92" s="15"/>
      <c r="E92" s="15"/>
      <c r="F92" s="14"/>
      <c r="G92" s="14"/>
      <c r="H92" s="14"/>
      <c r="I92" s="14"/>
      <c r="J92" s="14"/>
      <c r="K92" s="14"/>
      <c r="L92" s="14"/>
      <c r="M92" s="14"/>
      <c r="N92" s="14"/>
      <c r="O92" s="14"/>
      <c r="P92" s="14"/>
      <c r="Q92" s="14"/>
      <c r="R92" s="14"/>
      <c r="S92" s="14"/>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row>
    <row r="93" spans="1:54" s="1" customFormat="1" x14ac:dyDescent="0.25">
      <c r="B93" s="15"/>
      <c r="C93" s="15"/>
      <c r="D93" s="15"/>
      <c r="E93" s="15"/>
      <c r="F93" s="14"/>
      <c r="G93" s="14"/>
      <c r="H93" s="14"/>
      <c r="I93" s="14"/>
      <c r="J93" s="14"/>
      <c r="K93" s="14"/>
      <c r="L93" s="14"/>
      <c r="M93" s="14"/>
      <c r="N93" s="14"/>
      <c r="O93" s="14"/>
      <c r="P93" s="14"/>
      <c r="Q93" s="14"/>
      <c r="R93" s="14"/>
      <c r="S93" s="14"/>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row>
    <row r="94" spans="1:54" s="1" customFormat="1" x14ac:dyDescent="0.25">
      <c r="B94" s="15"/>
      <c r="C94" s="15"/>
      <c r="D94" s="15"/>
      <c r="E94" s="15"/>
      <c r="F94" s="14"/>
      <c r="G94" s="14"/>
      <c r="H94" s="14"/>
      <c r="I94" s="14"/>
      <c r="J94" s="14"/>
      <c r="K94" s="14"/>
      <c r="L94" s="14"/>
      <c r="M94" s="14"/>
      <c r="N94" s="14"/>
      <c r="O94" s="14"/>
      <c r="P94" s="14"/>
      <c r="Q94" s="14"/>
      <c r="R94" s="14"/>
      <c r="S94" s="14"/>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row>
    <row r="95" spans="1:54" s="1" customFormat="1" x14ac:dyDescent="0.25">
      <c r="B95" s="15"/>
      <c r="C95" s="15"/>
      <c r="D95" s="15"/>
      <c r="E95" s="15"/>
      <c r="F95" s="14"/>
      <c r="G95" s="14"/>
      <c r="H95" s="14"/>
      <c r="I95" s="14"/>
      <c r="J95" s="14"/>
      <c r="K95" s="14"/>
      <c r="L95" s="14"/>
      <c r="M95" s="14"/>
      <c r="N95" s="14"/>
      <c r="O95" s="14"/>
      <c r="P95" s="14"/>
      <c r="Q95" s="14"/>
      <c r="R95" s="14"/>
      <c r="S95" s="14"/>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row>
    <row r="96" spans="1:54" s="1" customFormat="1" x14ac:dyDescent="0.25">
      <c r="B96" s="15"/>
      <c r="C96" s="15"/>
      <c r="D96" s="15"/>
      <c r="E96" s="15"/>
      <c r="F96" s="14"/>
      <c r="G96" s="14"/>
      <c r="H96" s="14"/>
      <c r="I96" s="14"/>
      <c r="J96" s="14"/>
      <c r="K96" s="14"/>
      <c r="L96" s="14"/>
      <c r="M96" s="14"/>
      <c r="N96" s="14"/>
      <c r="O96" s="14"/>
      <c r="P96" s="14"/>
      <c r="Q96" s="14"/>
      <c r="R96" s="14"/>
      <c r="S96" s="14"/>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row>
    <row r="97" spans="2:54" s="1" customFormat="1" x14ac:dyDescent="0.25">
      <c r="B97" s="15"/>
      <c r="C97" s="15"/>
      <c r="D97" s="15"/>
      <c r="E97" s="15"/>
      <c r="F97" s="14"/>
      <c r="G97" s="14"/>
      <c r="H97" s="14"/>
      <c r="I97" s="14"/>
      <c r="J97" s="14"/>
      <c r="K97" s="14"/>
      <c r="L97" s="14"/>
      <c r="M97" s="14"/>
      <c r="N97" s="14"/>
      <c r="O97" s="14"/>
      <c r="P97" s="14"/>
      <c r="Q97" s="14"/>
      <c r="R97" s="14"/>
      <c r="S97" s="14"/>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row>
    <row r="98" spans="2:54" s="1" customFormat="1" x14ac:dyDescent="0.25">
      <c r="B98" s="15"/>
      <c r="C98" s="15"/>
      <c r="D98" s="15"/>
      <c r="E98" s="15"/>
      <c r="F98" s="14"/>
      <c r="G98" s="14"/>
      <c r="H98" s="14"/>
      <c r="I98" s="14"/>
      <c r="J98" s="14"/>
      <c r="K98" s="14"/>
      <c r="L98" s="14"/>
      <c r="M98" s="14"/>
      <c r="N98" s="14"/>
      <c r="O98" s="14"/>
      <c r="P98" s="14"/>
      <c r="Q98" s="14"/>
      <c r="R98" s="14"/>
      <c r="S98" s="14"/>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row>
    <row r="99" spans="2:54" s="1" customFormat="1" x14ac:dyDescent="0.25">
      <c r="B99" s="15"/>
      <c r="C99" s="15"/>
      <c r="D99" s="15"/>
      <c r="E99" s="15"/>
      <c r="F99" s="14"/>
      <c r="G99" s="14"/>
      <c r="H99" s="14"/>
      <c r="I99" s="14"/>
      <c r="J99" s="14"/>
      <c r="K99" s="14"/>
      <c r="L99" s="14"/>
      <c r="M99" s="14"/>
      <c r="N99" s="14"/>
      <c r="O99" s="14"/>
      <c r="P99" s="14"/>
      <c r="Q99" s="14"/>
      <c r="R99" s="14"/>
      <c r="S99" s="14"/>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2:54" s="1" customFormat="1" x14ac:dyDescent="0.25">
      <c r="B100" s="15"/>
      <c r="C100" s="15"/>
      <c r="D100" s="15"/>
      <c r="E100" s="15"/>
      <c r="F100" s="14"/>
      <c r="G100" s="14"/>
      <c r="H100" s="14"/>
      <c r="I100" s="14"/>
      <c r="J100" s="14"/>
      <c r="K100" s="14"/>
      <c r="L100" s="14"/>
      <c r="M100" s="14"/>
      <c r="N100" s="14"/>
      <c r="O100" s="14"/>
      <c r="P100" s="14"/>
      <c r="Q100" s="14"/>
      <c r="R100" s="14"/>
      <c r="S100" s="14"/>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row>
    <row r="101" spans="2:54" s="1" customFormat="1" x14ac:dyDescent="0.25">
      <c r="B101" s="15"/>
      <c r="C101" s="15"/>
      <c r="D101" s="15"/>
      <c r="E101" s="15"/>
      <c r="F101" s="14"/>
      <c r="G101" s="14"/>
      <c r="H101" s="14"/>
      <c r="I101" s="14"/>
      <c r="J101" s="14"/>
      <c r="K101" s="14"/>
      <c r="L101" s="14"/>
      <c r="M101" s="14"/>
      <c r="N101" s="14"/>
      <c r="O101" s="14"/>
      <c r="P101" s="14"/>
      <c r="Q101" s="14"/>
      <c r="R101" s="14"/>
      <c r="S101" s="14"/>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row>
    <row r="102" spans="2:54" s="1" customFormat="1" x14ac:dyDescent="0.25">
      <c r="B102" s="15"/>
      <c r="C102" s="15"/>
      <c r="D102" s="15"/>
      <c r="E102" s="15"/>
      <c r="F102" s="14"/>
      <c r="G102" s="14"/>
      <c r="H102" s="14"/>
      <c r="I102" s="14"/>
      <c r="J102" s="14"/>
      <c r="K102" s="14"/>
      <c r="L102" s="14"/>
      <c r="M102" s="14"/>
      <c r="N102" s="14"/>
      <c r="O102" s="14"/>
      <c r="P102" s="14"/>
      <c r="Q102" s="14"/>
      <c r="R102" s="14"/>
      <c r="S102" s="14"/>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row>
    <row r="103" spans="2:54" s="1" customFormat="1" x14ac:dyDescent="0.25">
      <c r="B103" s="15"/>
      <c r="C103" s="15"/>
      <c r="D103" s="15"/>
      <c r="E103" s="15"/>
      <c r="F103" s="14"/>
      <c r="G103" s="14"/>
      <c r="H103" s="14"/>
      <c r="I103" s="14"/>
      <c r="J103" s="14"/>
      <c r="K103" s="14"/>
      <c r="L103" s="14"/>
      <c r="M103" s="14"/>
      <c r="N103" s="14"/>
      <c r="O103" s="14"/>
      <c r="P103" s="14"/>
      <c r="Q103" s="14"/>
      <c r="R103" s="14"/>
      <c r="S103" s="14"/>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row>
    <row r="104" spans="2:54" s="1" customFormat="1" x14ac:dyDescent="0.25">
      <c r="B104" s="15"/>
      <c r="C104" s="15"/>
      <c r="D104" s="15"/>
      <c r="E104" s="15"/>
      <c r="F104" s="14"/>
      <c r="G104" s="14"/>
      <c r="H104" s="14"/>
      <c r="I104" s="14"/>
      <c r="J104" s="14"/>
      <c r="K104" s="14"/>
      <c r="L104" s="14"/>
      <c r="M104" s="14"/>
      <c r="N104" s="14"/>
      <c r="O104" s="14"/>
      <c r="P104" s="14"/>
      <c r="Q104" s="14"/>
      <c r="R104" s="14"/>
      <c r="S104" s="14"/>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row>
    <row r="105" spans="2:54" s="1" customFormat="1" x14ac:dyDescent="0.25">
      <c r="B105" s="15"/>
      <c r="C105" s="15"/>
      <c r="D105" s="15"/>
      <c r="E105" s="15"/>
      <c r="F105" s="14"/>
      <c r="G105" s="14"/>
      <c r="H105" s="14"/>
      <c r="I105" s="14"/>
      <c r="J105" s="14"/>
      <c r="K105" s="14"/>
      <c r="L105" s="14"/>
      <c r="M105" s="14"/>
      <c r="N105" s="14"/>
      <c r="O105" s="14"/>
      <c r="P105" s="14"/>
      <c r="Q105" s="14"/>
      <c r="R105" s="14"/>
      <c r="S105" s="14"/>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row>
    <row r="106" spans="2:54" s="1" customFormat="1" x14ac:dyDescent="0.25">
      <c r="B106" s="15"/>
      <c r="C106" s="15"/>
      <c r="D106" s="15"/>
      <c r="E106" s="15"/>
      <c r="F106" s="14"/>
      <c r="G106" s="14"/>
      <c r="H106" s="14"/>
      <c r="I106" s="14"/>
      <c r="J106" s="14"/>
      <c r="K106" s="14"/>
      <c r="L106" s="14"/>
      <c r="M106" s="14"/>
      <c r="N106" s="14"/>
      <c r="O106" s="14"/>
      <c r="P106" s="14"/>
      <c r="Q106" s="14"/>
      <c r="R106" s="14"/>
      <c r="S106" s="14"/>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row>
    <row r="107" spans="2:54" s="1" customFormat="1" x14ac:dyDescent="0.25">
      <c r="B107" s="15"/>
      <c r="C107" s="15"/>
      <c r="D107" s="15"/>
      <c r="E107" s="15"/>
      <c r="F107" s="14"/>
      <c r="G107" s="14"/>
      <c r="H107" s="14"/>
      <c r="I107" s="14"/>
      <c r="J107" s="14"/>
      <c r="K107" s="14"/>
      <c r="L107" s="14"/>
      <c r="M107" s="14"/>
      <c r="N107" s="14"/>
      <c r="O107" s="14"/>
      <c r="P107" s="14"/>
      <c r="Q107" s="14"/>
      <c r="R107" s="14"/>
      <c r="S107" s="14"/>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row>
    <row r="108" spans="2:54" s="1" customFormat="1" x14ac:dyDescent="0.25">
      <c r="B108" s="15"/>
      <c r="C108" s="15"/>
      <c r="D108" s="15"/>
      <c r="E108" s="15"/>
      <c r="F108" s="14"/>
      <c r="G108" s="14"/>
      <c r="H108" s="14"/>
      <c r="I108" s="14"/>
      <c r="J108" s="14"/>
      <c r="K108" s="14"/>
      <c r="L108" s="14"/>
      <c r="M108" s="14"/>
      <c r="N108" s="14"/>
      <c r="O108" s="14"/>
      <c r="P108" s="14"/>
      <c r="Q108" s="14"/>
      <c r="R108" s="14"/>
      <c r="S108" s="14"/>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row>
    <row r="109" spans="2:54" s="1" customFormat="1" x14ac:dyDescent="0.25">
      <c r="B109" s="15"/>
      <c r="C109" s="15"/>
      <c r="D109" s="15"/>
      <c r="E109" s="15"/>
      <c r="F109" s="14"/>
      <c r="G109" s="14"/>
      <c r="H109" s="14"/>
      <c r="I109" s="14"/>
      <c r="J109" s="14"/>
      <c r="K109" s="14"/>
      <c r="L109" s="14"/>
      <c r="M109" s="14"/>
      <c r="N109" s="14"/>
      <c r="O109" s="14"/>
      <c r="P109" s="14"/>
      <c r="Q109" s="14"/>
      <c r="R109" s="14"/>
      <c r="S109" s="14"/>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row>
    <row r="110" spans="2:54" s="1" customFormat="1" x14ac:dyDescent="0.25">
      <c r="B110" s="15"/>
      <c r="C110" s="15"/>
      <c r="D110" s="15"/>
      <c r="E110" s="15"/>
      <c r="F110" s="14"/>
      <c r="G110" s="14"/>
      <c r="H110" s="14"/>
      <c r="I110" s="14"/>
      <c r="J110" s="14"/>
      <c r="K110" s="14"/>
      <c r="L110" s="14"/>
      <c r="M110" s="14"/>
      <c r="N110" s="14"/>
      <c r="O110" s="14"/>
      <c r="P110" s="14"/>
      <c r="Q110" s="14"/>
      <c r="R110" s="14"/>
      <c r="S110" s="14"/>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row>
    <row r="111" spans="2:54" s="1" customFormat="1" x14ac:dyDescent="0.25">
      <c r="B111" s="15"/>
      <c r="C111" s="15"/>
      <c r="D111" s="15"/>
      <c r="E111" s="15"/>
      <c r="F111" s="14"/>
      <c r="G111" s="14"/>
      <c r="H111" s="14"/>
      <c r="I111" s="14"/>
      <c r="J111" s="14"/>
      <c r="K111" s="14"/>
      <c r="L111" s="14"/>
      <c r="M111" s="14"/>
      <c r="N111" s="14"/>
      <c r="O111" s="14"/>
      <c r="P111" s="14"/>
      <c r="Q111" s="14"/>
      <c r="R111" s="14"/>
      <c r="S111" s="14"/>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row>
    <row r="112" spans="2:54" s="1" customFormat="1" x14ac:dyDescent="0.25">
      <c r="B112" s="15"/>
      <c r="C112" s="15"/>
      <c r="D112" s="15"/>
      <c r="E112" s="15"/>
      <c r="F112" s="14"/>
      <c r="G112" s="14"/>
      <c r="H112" s="14"/>
      <c r="I112" s="14"/>
      <c r="J112" s="14"/>
      <c r="K112" s="14"/>
      <c r="L112" s="14"/>
      <c r="M112" s="14"/>
      <c r="N112" s="14"/>
      <c r="O112" s="14"/>
      <c r="P112" s="14"/>
      <c r="Q112" s="14"/>
      <c r="R112" s="14"/>
      <c r="S112" s="14"/>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row>
    <row r="113" spans="2:54" s="1" customFormat="1" x14ac:dyDescent="0.25">
      <c r="B113" s="15"/>
      <c r="C113" s="15"/>
      <c r="D113" s="15"/>
      <c r="E113" s="15"/>
      <c r="F113" s="14"/>
      <c r="G113" s="14"/>
      <c r="H113" s="14"/>
      <c r="I113" s="14"/>
      <c r="J113" s="14"/>
      <c r="K113" s="14"/>
      <c r="L113" s="14"/>
      <c r="M113" s="14"/>
      <c r="N113" s="14"/>
      <c r="O113" s="14"/>
      <c r="P113" s="14"/>
      <c r="Q113" s="14"/>
      <c r="R113" s="14"/>
      <c r="S113" s="14"/>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row>
    <row r="114" spans="2:54" s="1" customFormat="1" x14ac:dyDescent="0.25">
      <c r="B114" s="15"/>
      <c r="C114" s="15"/>
      <c r="D114" s="15"/>
      <c r="E114" s="15"/>
      <c r="F114" s="14"/>
      <c r="G114" s="14"/>
      <c r="H114" s="14"/>
      <c r="I114" s="14"/>
      <c r="J114" s="14"/>
      <c r="K114" s="14"/>
      <c r="L114" s="14"/>
      <c r="M114" s="14"/>
      <c r="N114" s="14"/>
      <c r="O114" s="14"/>
      <c r="P114" s="14"/>
      <c r="Q114" s="14"/>
      <c r="R114" s="14"/>
      <c r="S114" s="14"/>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row>
    <row r="115" spans="2:54" s="1" customFormat="1" x14ac:dyDescent="0.25">
      <c r="B115" s="15"/>
      <c r="C115" s="15"/>
      <c r="D115" s="15"/>
      <c r="E115" s="15"/>
      <c r="F115" s="14"/>
      <c r="G115" s="14"/>
      <c r="H115" s="14"/>
      <c r="I115" s="14"/>
      <c r="J115" s="14"/>
      <c r="K115" s="14"/>
      <c r="L115" s="14"/>
      <c r="M115" s="14"/>
      <c r="N115" s="14"/>
      <c r="O115" s="14"/>
      <c r="P115" s="14"/>
      <c r="Q115" s="14"/>
      <c r="R115" s="14"/>
      <c r="S115" s="14"/>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row>
    <row r="116" spans="2:54" s="1" customFormat="1" x14ac:dyDescent="0.25">
      <c r="B116" s="15"/>
      <c r="C116" s="15"/>
      <c r="D116" s="15"/>
      <c r="E116" s="15"/>
      <c r="F116" s="14"/>
      <c r="G116" s="14"/>
      <c r="H116" s="14"/>
      <c r="I116" s="14"/>
      <c r="J116" s="14"/>
      <c r="K116" s="14"/>
      <c r="L116" s="14"/>
      <c r="M116" s="14"/>
      <c r="N116" s="14"/>
      <c r="O116" s="14"/>
      <c r="P116" s="14"/>
      <c r="Q116" s="14"/>
      <c r="R116" s="14"/>
      <c r="S116" s="14"/>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row>
    <row r="117" spans="2:54" s="1" customFormat="1" x14ac:dyDescent="0.25">
      <c r="B117" s="15"/>
      <c r="C117" s="15"/>
      <c r="D117" s="15"/>
      <c r="E117" s="15"/>
      <c r="F117" s="14"/>
      <c r="G117" s="14"/>
      <c r="H117" s="14"/>
      <c r="I117" s="14"/>
      <c r="J117" s="14"/>
      <c r="K117" s="14"/>
      <c r="L117" s="14"/>
      <c r="M117" s="14"/>
      <c r="N117" s="14"/>
      <c r="O117" s="14"/>
      <c r="P117" s="14"/>
      <c r="Q117" s="14"/>
      <c r="R117" s="14"/>
      <c r="S117" s="14"/>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row>
    <row r="118" spans="2:54" s="1" customFormat="1" x14ac:dyDescent="0.25">
      <c r="B118" s="15"/>
      <c r="C118" s="15"/>
      <c r="D118" s="15"/>
      <c r="E118" s="15"/>
      <c r="F118" s="14"/>
      <c r="G118" s="14"/>
      <c r="H118" s="14"/>
      <c r="I118" s="14"/>
      <c r="J118" s="14"/>
      <c r="K118" s="14"/>
      <c r="L118" s="14"/>
      <c r="M118" s="14"/>
      <c r="N118" s="14"/>
      <c r="O118" s="14"/>
      <c r="P118" s="14"/>
      <c r="Q118" s="14"/>
      <c r="R118" s="14"/>
      <c r="S118" s="14"/>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row>
    <row r="119" spans="2:54" s="1" customFormat="1" x14ac:dyDescent="0.25">
      <c r="B119" s="15"/>
      <c r="C119" s="15"/>
      <c r="D119" s="15"/>
      <c r="E119" s="15"/>
      <c r="F119" s="14"/>
      <c r="G119" s="14"/>
      <c r="H119" s="14"/>
      <c r="I119" s="14"/>
      <c r="J119" s="14"/>
      <c r="K119" s="14"/>
      <c r="L119" s="14"/>
      <c r="M119" s="14"/>
      <c r="N119" s="14"/>
      <c r="O119" s="14"/>
      <c r="P119" s="14"/>
      <c r="Q119" s="14"/>
      <c r="R119" s="14"/>
      <c r="S119" s="14"/>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row>
    <row r="120" spans="2:54" s="1" customFormat="1" x14ac:dyDescent="0.25">
      <c r="B120" s="15"/>
      <c r="C120" s="15"/>
      <c r="D120" s="15"/>
      <c r="E120" s="15"/>
      <c r="F120" s="14"/>
      <c r="G120" s="14"/>
      <c r="H120" s="14"/>
      <c r="I120" s="14"/>
      <c r="J120" s="14"/>
      <c r="K120" s="14"/>
      <c r="L120" s="14"/>
      <c r="M120" s="14"/>
      <c r="N120" s="14"/>
      <c r="O120" s="14"/>
      <c r="P120" s="14"/>
      <c r="Q120" s="14"/>
      <c r="R120" s="14"/>
      <c r="S120" s="14"/>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row>
    <row r="121" spans="2:54" s="1" customFormat="1" x14ac:dyDescent="0.25">
      <c r="B121" s="15"/>
      <c r="C121" s="15"/>
      <c r="D121" s="15"/>
      <c r="E121" s="15"/>
      <c r="F121" s="14"/>
      <c r="G121" s="14"/>
      <c r="H121" s="14"/>
      <c r="I121" s="14"/>
      <c r="J121" s="14"/>
      <c r="K121" s="14"/>
      <c r="L121" s="14"/>
      <c r="M121" s="14"/>
      <c r="N121" s="14"/>
      <c r="O121" s="14"/>
      <c r="P121" s="14"/>
      <c r="Q121" s="14"/>
      <c r="R121" s="14"/>
      <c r="S121" s="14"/>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row>
    <row r="122" spans="2:54" s="1" customFormat="1" x14ac:dyDescent="0.25">
      <c r="B122" s="15"/>
      <c r="C122" s="15"/>
      <c r="D122" s="15"/>
      <c r="E122" s="15"/>
      <c r="F122" s="14"/>
      <c r="G122" s="14"/>
      <c r="H122" s="14"/>
      <c r="I122" s="14"/>
      <c r="J122" s="14"/>
      <c r="K122" s="14"/>
      <c r="L122" s="14"/>
      <c r="M122" s="14"/>
      <c r="N122" s="14"/>
      <c r="O122" s="14"/>
      <c r="P122" s="14"/>
      <c r="Q122" s="14"/>
      <c r="R122" s="14"/>
      <c r="S122" s="14"/>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row>
    <row r="123" spans="2:54" s="1" customFormat="1" x14ac:dyDescent="0.25">
      <c r="B123" s="15"/>
      <c r="C123" s="15"/>
      <c r="D123" s="15"/>
      <c r="E123" s="15"/>
      <c r="F123" s="14"/>
      <c r="G123" s="14"/>
      <c r="H123" s="14"/>
      <c r="I123" s="14"/>
      <c r="J123" s="14"/>
      <c r="K123" s="14"/>
      <c r="L123" s="14"/>
      <c r="M123" s="14"/>
      <c r="N123" s="14"/>
      <c r="O123" s="14"/>
      <c r="P123" s="14"/>
      <c r="Q123" s="14"/>
      <c r="R123" s="14"/>
      <c r="S123" s="14"/>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row>
    <row r="124" spans="2:54" s="1" customFormat="1" x14ac:dyDescent="0.25">
      <c r="B124" s="15"/>
      <c r="C124" s="15"/>
      <c r="D124" s="15"/>
      <c r="E124" s="15"/>
      <c r="F124" s="14"/>
      <c r="G124" s="14"/>
      <c r="H124" s="14"/>
      <c r="I124" s="14"/>
      <c r="J124" s="14"/>
      <c r="K124" s="14"/>
      <c r="L124" s="14"/>
      <c r="M124" s="14"/>
      <c r="N124" s="14"/>
      <c r="O124" s="14"/>
      <c r="P124" s="14"/>
      <c r="Q124" s="14"/>
      <c r="R124" s="14"/>
      <c r="S124" s="14"/>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row>
    <row r="125" spans="2:54" s="1" customFormat="1" x14ac:dyDescent="0.25">
      <c r="B125" s="15"/>
      <c r="C125" s="15"/>
      <c r="D125" s="15"/>
      <c r="E125" s="15"/>
      <c r="F125" s="14"/>
      <c r="G125" s="14"/>
      <c r="H125" s="14"/>
      <c r="I125" s="14"/>
      <c r="J125" s="14"/>
      <c r="K125" s="14"/>
      <c r="L125" s="14"/>
      <c r="M125" s="14"/>
      <c r="N125" s="14"/>
      <c r="O125" s="14"/>
      <c r="P125" s="14"/>
      <c r="Q125" s="14"/>
      <c r="R125" s="14"/>
      <c r="S125" s="14"/>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row>
    <row r="126" spans="2:54" s="1" customFormat="1" x14ac:dyDescent="0.25">
      <c r="B126" s="15"/>
      <c r="C126" s="15"/>
      <c r="D126" s="15"/>
      <c r="E126" s="15"/>
      <c r="F126" s="14"/>
      <c r="G126" s="14"/>
      <c r="H126" s="14"/>
      <c r="I126" s="14"/>
      <c r="J126" s="14"/>
      <c r="K126" s="14"/>
      <c r="L126" s="14"/>
      <c r="M126" s="14"/>
      <c r="N126" s="14"/>
      <c r="O126" s="14"/>
      <c r="P126" s="14"/>
      <c r="Q126" s="14"/>
      <c r="R126" s="14"/>
      <c r="S126" s="14"/>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row>
    <row r="127" spans="2:54" s="1" customFormat="1" x14ac:dyDescent="0.25">
      <c r="B127" s="15"/>
      <c r="C127" s="15"/>
      <c r="D127" s="15"/>
      <c r="E127" s="15"/>
      <c r="F127" s="14"/>
      <c r="G127" s="14"/>
      <c r="H127" s="14"/>
      <c r="I127" s="14"/>
      <c r="J127" s="14"/>
      <c r="K127" s="14"/>
      <c r="L127" s="14"/>
      <c r="M127" s="14"/>
      <c r="N127" s="14"/>
      <c r="O127" s="14"/>
      <c r="P127" s="14"/>
      <c r="Q127" s="14"/>
      <c r="R127" s="14"/>
      <c r="S127" s="14"/>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row>
    <row r="128" spans="2:54" s="1" customFormat="1" x14ac:dyDescent="0.25">
      <c r="B128" s="15"/>
      <c r="C128" s="15"/>
      <c r="D128" s="15"/>
      <c r="E128" s="15"/>
      <c r="F128" s="14"/>
      <c r="G128" s="14"/>
      <c r="H128" s="14"/>
      <c r="I128" s="14"/>
      <c r="J128" s="14"/>
      <c r="K128" s="14"/>
      <c r="L128" s="14"/>
      <c r="M128" s="14"/>
      <c r="N128" s="14"/>
      <c r="O128" s="14"/>
      <c r="P128" s="14"/>
      <c r="Q128" s="14"/>
      <c r="R128" s="14"/>
      <c r="S128" s="14"/>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row>
    <row r="129" spans="2:54" s="1" customFormat="1" x14ac:dyDescent="0.25">
      <c r="B129" s="15"/>
      <c r="C129" s="15"/>
      <c r="D129" s="15"/>
      <c r="E129" s="15"/>
      <c r="F129" s="14"/>
      <c r="G129" s="14"/>
      <c r="H129" s="14"/>
      <c r="I129" s="14"/>
      <c r="J129" s="14"/>
      <c r="K129" s="14"/>
      <c r="L129" s="14"/>
      <c r="M129" s="14"/>
      <c r="N129" s="14"/>
      <c r="O129" s="14"/>
      <c r="P129" s="14"/>
      <c r="Q129" s="14"/>
      <c r="R129" s="14"/>
      <c r="S129" s="14"/>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row>
    <row r="130" spans="2:54" s="1" customFormat="1" x14ac:dyDescent="0.25">
      <c r="B130" s="15"/>
      <c r="C130" s="15"/>
      <c r="D130" s="15"/>
      <c r="E130" s="15"/>
      <c r="F130" s="14"/>
      <c r="G130" s="14"/>
      <c r="H130" s="14"/>
      <c r="I130" s="14"/>
      <c r="J130" s="14"/>
      <c r="K130" s="14"/>
      <c r="L130" s="14"/>
      <c r="M130" s="14"/>
      <c r="N130" s="14"/>
      <c r="O130" s="14"/>
      <c r="P130" s="14"/>
      <c r="Q130" s="14"/>
      <c r="R130" s="14"/>
      <c r="S130" s="14"/>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row>
    <row r="131" spans="2:54" s="1" customFormat="1" x14ac:dyDescent="0.25">
      <c r="B131" s="15"/>
      <c r="C131" s="15"/>
      <c r="D131" s="15"/>
      <c r="E131" s="15"/>
      <c r="F131" s="14"/>
      <c r="G131" s="14"/>
      <c r="H131" s="14"/>
      <c r="I131" s="14"/>
      <c r="J131" s="14"/>
      <c r="K131" s="14"/>
      <c r="L131" s="14"/>
      <c r="M131" s="14"/>
      <c r="N131" s="14"/>
      <c r="O131" s="14"/>
      <c r="P131" s="14"/>
      <c r="Q131" s="14"/>
      <c r="R131" s="14"/>
      <c r="S131" s="14"/>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row>
    <row r="132" spans="2:54" s="1" customFormat="1" x14ac:dyDescent="0.25">
      <c r="B132" s="15"/>
      <c r="C132" s="15"/>
      <c r="D132" s="15"/>
      <c r="E132" s="15"/>
      <c r="F132" s="14"/>
      <c r="G132" s="14"/>
      <c r="H132" s="14"/>
      <c r="I132" s="14"/>
      <c r="J132" s="14"/>
      <c r="K132" s="14"/>
      <c r="L132" s="14"/>
      <c r="M132" s="14"/>
      <c r="N132" s="14"/>
      <c r="O132" s="14"/>
      <c r="P132" s="14"/>
      <c r="Q132" s="14"/>
      <c r="R132" s="14"/>
      <c r="S132" s="14"/>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row>
    <row r="133" spans="2:54" s="1" customFormat="1" x14ac:dyDescent="0.25">
      <c r="B133" s="15"/>
      <c r="C133" s="15"/>
      <c r="D133" s="15"/>
      <c r="E133" s="15"/>
      <c r="F133" s="14"/>
      <c r="G133" s="14"/>
      <c r="H133" s="14"/>
      <c r="I133" s="14"/>
      <c r="J133" s="14"/>
      <c r="K133" s="14"/>
      <c r="L133" s="14"/>
      <c r="M133" s="14"/>
      <c r="N133" s="14"/>
      <c r="O133" s="14"/>
      <c r="P133" s="14"/>
      <c r="Q133" s="14"/>
      <c r="R133" s="14"/>
      <c r="S133" s="14"/>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row>
    <row r="134" spans="2:54" s="1" customFormat="1" x14ac:dyDescent="0.25">
      <c r="B134" s="15"/>
      <c r="C134" s="15"/>
      <c r="D134" s="15"/>
      <c r="E134" s="15"/>
      <c r="F134" s="14"/>
      <c r="G134" s="14"/>
      <c r="H134" s="14"/>
      <c r="I134" s="14"/>
      <c r="J134" s="14"/>
      <c r="K134" s="14"/>
      <c r="L134" s="14"/>
      <c r="M134" s="14"/>
      <c r="N134" s="14"/>
      <c r="O134" s="14"/>
      <c r="P134" s="14"/>
      <c r="Q134" s="14"/>
      <c r="R134" s="14"/>
      <c r="S134" s="14"/>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row>
    <row r="135" spans="2:54" s="1" customFormat="1" x14ac:dyDescent="0.25">
      <c r="B135" s="15"/>
      <c r="C135" s="15"/>
      <c r="D135" s="15"/>
      <c r="E135" s="15"/>
      <c r="F135" s="14"/>
      <c r="G135" s="14"/>
      <c r="H135" s="14"/>
      <c r="I135" s="14"/>
      <c r="J135" s="14"/>
      <c r="K135" s="14"/>
      <c r="L135" s="14"/>
      <c r="M135" s="14"/>
      <c r="N135" s="14"/>
      <c r="O135" s="14"/>
      <c r="P135" s="14"/>
      <c r="Q135" s="14"/>
      <c r="R135" s="14"/>
      <c r="S135" s="14"/>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row>
    <row r="136" spans="2:54" s="1" customFormat="1" x14ac:dyDescent="0.25">
      <c r="B136" s="15"/>
      <c r="C136" s="15"/>
      <c r="D136" s="15"/>
      <c r="E136" s="15"/>
      <c r="F136" s="14"/>
      <c r="G136" s="14"/>
      <c r="H136" s="14"/>
      <c r="I136" s="14"/>
      <c r="J136" s="14"/>
      <c r="K136" s="14"/>
      <c r="L136" s="14"/>
      <c r="M136" s="14"/>
      <c r="N136" s="14"/>
      <c r="O136" s="14"/>
      <c r="P136" s="14"/>
      <c r="Q136" s="14"/>
      <c r="R136" s="14"/>
      <c r="S136" s="14"/>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row>
    <row r="137" spans="2:54" s="1" customFormat="1" x14ac:dyDescent="0.25">
      <c r="B137" s="15"/>
      <c r="C137" s="15"/>
      <c r="D137" s="15"/>
      <c r="E137" s="15"/>
      <c r="F137" s="14"/>
      <c r="G137" s="14"/>
      <c r="H137" s="14"/>
      <c r="I137" s="14"/>
      <c r="J137" s="14"/>
      <c r="K137" s="14"/>
      <c r="L137" s="14"/>
      <c r="M137" s="14"/>
      <c r="N137" s="14"/>
      <c r="O137" s="14"/>
      <c r="P137" s="14"/>
      <c r="Q137" s="14"/>
      <c r="R137" s="14"/>
      <c r="S137" s="14"/>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row>
    <row r="138" spans="2:54" s="1" customFormat="1" x14ac:dyDescent="0.25">
      <c r="B138" s="15"/>
      <c r="C138" s="15"/>
      <c r="D138" s="15"/>
      <c r="E138" s="15"/>
      <c r="F138" s="14"/>
      <c r="G138" s="14"/>
      <c r="H138" s="14"/>
      <c r="I138" s="14"/>
      <c r="J138" s="14"/>
      <c r="K138" s="14"/>
      <c r="L138" s="14"/>
      <c r="M138" s="14"/>
      <c r="N138" s="14"/>
      <c r="O138" s="14"/>
      <c r="P138" s="14"/>
      <c r="Q138" s="14"/>
      <c r="R138" s="14"/>
      <c r="S138" s="14"/>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row>
    <row r="139" spans="2:54" s="1" customFormat="1" x14ac:dyDescent="0.25">
      <c r="B139" s="15"/>
      <c r="C139" s="15"/>
      <c r="D139" s="15"/>
      <c r="E139" s="15"/>
      <c r="F139" s="14"/>
      <c r="G139" s="14"/>
      <c r="H139" s="14"/>
      <c r="I139" s="14"/>
      <c r="J139" s="14"/>
      <c r="K139" s="14"/>
      <c r="L139" s="14"/>
      <c r="M139" s="14"/>
      <c r="N139" s="14"/>
      <c r="O139" s="14"/>
      <c r="P139" s="14"/>
      <c r="Q139" s="14"/>
      <c r="R139" s="14"/>
      <c r="S139" s="14"/>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row>
    <row r="140" spans="2:54" s="1" customFormat="1" x14ac:dyDescent="0.25">
      <c r="B140" s="15"/>
      <c r="C140" s="15"/>
      <c r="D140" s="15"/>
      <c r="E140" s="15"/>
      <c r="F140" s="14"/>
      <c r="G140" s="14"/>
      <c r="H140" s="14"/>
      <c r="I140" s="14"/>
      <c r="J140" s="14"/>
      <c r="K140" s="14"/>
      <c r="L140" s="14"/>
      <c r="M140" s="14"/>
      <c r="N140" s="14"/>
      <c r="O140" s="14"/>
      <c r="P140" s="14"/>
      <c r="Q140" s="14"/>
      <c r="R140" s="14"/>
      <c r="S140" s="14"/>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row>
    <row r="141" spans="2:54" s="1" customFormat="1" x14ac:dyDescent="0.25">
      <c r="B141" s="15"/>
      <c r="C141" s="15"/>
      <c r="D141" s="15"/>
      <c r="E141" s="15"/>
      <c r="F141" s="14"/>
      <c r="G141" s="14"/>
      <c r="H141" s="14"/>
      <c r="I141" s="14"/>
      <c r="J141" s="14"/>
      <c r="K141" s="14"/>
      <c r="L141" s="14"/>
      <c r="M141" s="14"/>
      <c r="N141" s="14"/>
      <c r="O141" s="14"/>
      <c r="P141" s="14"/>
      <c r="Q141" s="14"/>
      <c r="R141" s="14"/>
      <c r="S141" s="14"/>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row>
    <row r="142" spans="2:54" s="1" customFormat="1" x14ac:dyDescent="0.25">
      <c r="B142" s="15"/>
      <c r="C142" s="15"/>
      <c r="D142" s="15"/>
      <c r="E142" s="15"/>
      <c r="F142" s="14"/>
      <c r="G142" s="14"/>
      <c r="H142" s="14"/>
      <c r="I142" s="14"/>
      <c r="J142" s="14"/>
      <c r="K142" s="14"/>
      <c r="L142" s="14"/>
      <c r="M142" s="14"/>
      <c r="N142" s="14"/>
      <c r="O142" s="14"/>
      <c r="P142" s="14"/>
      <c r="Q142" s="14"/>
      <c r="R142" s="14"/>
      <c r="S142" s="14"/>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row>
    <row r="143" spans="2:54" s="1" customFormat="1" x14ac:dyDescent="0.25">
      <c r="B143" s="15"/>
      <c r="C143" s="15"/>
      <c r="D143" s="15"/>
      <c r="E143" s="15"/>
      <c r="F143" s="14"/>
      <c r="G143" s="14"/>
      <c r="H143" s="14"/>
      <c r="I143" s="14"/>
      <c r="J143" s="14"/>
      <c r="K143" s="14"/>
      <c r="L143" s="14"/>
      <c r="M143" s="14"/>
      <c r="N143" s="14"/>
      <c r="O143" s="14"/>
      <c r="P143" s="14"/>
      <c r="Q143" s="14"/>
      <c r="R143" s="14"/>
      <c r="S143" s="14"/>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row>
    <row r="144" spans="2:54" s="1" customFormat="1" x14ac:dyDescent="0.25">
      <c r="B144" s="15"/>
      <c r="C144" s="15"/>
      <c r="D144" s="15"/>
      <c r="E144" s="15"/>
      <c r="F144" s="14"/>
      <c r="G144" s="14"/>
      <c r="H144" s="14"/>
      <c r="I144" s="14"/>
      <c r="J144" s="14"/>
      <c r="K144" s="14"/>
      <c r="L144" s="14"/>
      <c r="M144" s="14"/>
      <c r="N144" s="14"/>
      <c r="O144" s="14"/>
      <c r="P144" s="14"/>
      <c r="Q144" s="14"/>
      <c r="R144" s="14"/>
      <c r="S144" s="14"/>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row>
    <row r="145" spans="2:54" s="1" customFormat="1" x14ac:dyDescent="0.25">
      <c r="B145" s="15"/>
      <c r="C145" s="15"/>
      <c r="D145" s="15"/>
      <c r="E145" s="15"/>
      <c r="F145" s="14"/>
      <c r="G145" s="14"/>
      <c r="H145" s="14"/>
      <c r="I145" s="14"/>
      <c r="J145" s="14"/>
      <c r="K145" s="14"/>
      <c r="L145" s="14"/>
      <c r="M145" s="14"/>
      <c r="N145" s="14"/>
      <c r="O145" s="14"/>
      <c r="P145" s="14"/>
      <c r="Q145" s="14"/>
      <c r="R145" s="14"/>
      <c r="S145" s="14"/>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row>
    <row r="146" spans="2:54" s="1" customFormat="1" x14ac:dyDescent="0.25">
      <c r="B146" s="15"/>
      <c r="C146" s="15"/>
      <c r="D146" s="15"/>
      <c r="E146" s="15"/>
      <c r="F146" s="14"/>
      <c r="G146" s="14"/>
      <c r="H146" s="14"/>
      <c r="I146" s="14"/>
      <c r="J146" s="14"/>
      <c r="K146" s="14"/>
      <c r="L146" s="14"/>
      <c r="M146" s="14"/>
      <c r="N146" s="14"/>
      <c r="O146" s="14"/>
      <c r="P146" s="14"/>
      <c r="Q146" s="14"/>
      <c r="R146" s="14"/>
      <c r="S146" s="14"/>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row>
    <row r="147" spans="2:54" s="1" customFormat="1" x14ac:dyDescent="0.25">
      <c r="B147" s="15"/>
      <c r="C147" s="15"/>
      <c r="D147" s="15"/>
      <c r="E147" s="15"/>
      <c r="F147" s="14"/>
      <c r="G147" s="14"/>
      <c r="H147" s="14"/>
      <c r="I147" s="14"/>
      <c r="J147" s="14"/>
      <c r="K147" s="14"/>
      <c r="L147" s="14"/>
      <c r="M147" s="14"/>
      <c r="N147" s="14"/>
      <c r="O147" s="14"/>
      <c r="P147" s="14"/>
      <c r="Q147" s="14"/>
      <c r="R147" s="14"/>
      <c r="S147" s="14"/>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row>
    <row r="148" spans="2:54" s="1" customFormat="1" x14ac:dyDescent="0.25">
      <c r="B148" s="15"/>
      <c r="C148" s="15"/>
      <c r="D148" s="15"/>
      <c r="E148" s="15"/>
      <c r="F148" s="14"/>
      <c r="G148" s="14"/>
      <c r="H148" s="14"/>
      <c r="I148" s="14"/>
      <c r="J148" s="14"/>
      <c r="K148" s="14"/>
      <c r="L148" s="14"/>
      <c r="M148" s="14"/>
      <c r="N148" s="14"/>
      <c r="O148" s="14"/>
      <c r="P148" s="14"/>
      <c r="Q148" s="14"/>
      <c r="R148" s="14"/>
      <c r="S148" s="14"/>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row>
    <row r="149" spans="2:54" s="1" customFormat="1" x14ac:dyDescent="0.25">
      <c r="B149" s="15"/>
      <c r="C149" s="15"/>
      <c r="D149" s="15"/>
      <c r="E149" s="15"/>
      <c r="F149" s="14"/>
      <c r="G149" s="14"/>
      <c r="H149" s="14"/>
      <c r="I149" s="14"/>
      <c r="J149" s="14"/>
      <c r="K149" s="14"/>
      <c r="L149" s="14"/>
      <c r="M149" s="14"/>
      <c r="N149" s="14"/>
      <c r="O149" s="14"/>
      <c r="P149" s="14"/>
      <c r="Q149" s="14"/>
      <c r="R149" s="14"/>
      <c r="S149" s="14"/>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row>
    <row r="150" spans="2:54" s="1" customFormat="1" x14ac:dyDescent="0.25">
      <c r="B150" s="15"/>
      <c r="C150" s="15"/>
      <c r="D150" s="15"/>
      <c r="E150" s="15"/>
      <c r="F150" s="14"/>
      <c r="G150" s="14"/>
      <c r="H150" s="14"/>
      <c r="I150" s="14"/>
      <c r="J150" s="14"/>
      <c r="K150" s="14"/>
      <c r="L150" s="14"/>
      <c r="M150" s="14"/>
      <c r="N150" s="14"/>
      <c r="O150" s="14"/>
      <c r="P150" s="14"/>
      <c r="Q150" s="14"/>
      <c r="R150" s="14"/>
      <c r="S150" s="14"/>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row>
    <row r="151" spans="2:54" s="1" customFormat="1" x14ac:dyDescent="0.25">
      <c r="B151" s="15"/>
      <c r="C151" s="15"/>
      <c r="D151" s="15"/>
      <c r="E151" s="15"/>
      <c r="F151" s="14"/>
      <c r="G151" s="14"/>
      <c r="H151" s="14"/>
      <c r="I151" s="14"/>
      <c r="J151" s="14"/>
      <c r="K151" s="14"/>
      <c r="L151" s="14"/>
      <c r="M151" s="14"/>
      <c r="N151" s="14"/>
      <c r="O151" s="14"/>
      <c r="P151" s="14"/>
      <c r="Q151" s="14"/>
      <c r="R151" s="14"/>
      <c r="S151" s="14"/>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row>
    <row r="152" spans="2:54" s="1" customFormat="1" x14ac:dyDescent="0.25">
      <c r="B152" s="15"/>
      <c r="C152" s="15"/>
      <c r="D152" s="15"/>
      <c r="E152" s="15"/>
      <c r="F152" s="14"/>
      <c r="G152" s="14"/>
      <c r="H152" s="14"/>
      <c r="I152" s="14"/>
      <c r="J152" s="14"/>
      <c r="K152" s="14"/>
      <c r="L152" s="14"/>
      <c r="M152" s="14"/>
      <c r="N152" s="14"/>
      <c r="O152" s="14"/>
      <c r="P152" s="14"/>
      <c r="Q152" s="14"/>
      <c r="R152" s="14"/>
      <c r="S152" s="14"/>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row>
    <row r="153" spans="2:54" s="1" customFormat="1" x14ac:dyDescent="0.25">
      <c r="B153" s="15"/>
      <c r="C153" s="15"/>
      <c r="D153" s="15"/>
      <c r="E153" s="15"/>
      <c r="F153" s="14"/>
      <c r="G153" s="14"/>
      <c r="H153" s="14"/>
      <c r="I153" s="14"/>
      <c r="J153" s="14"/>
      <c r="K153" s="14"/>
      <c r="L153" s="14"/>
      <c r="M153" s="14"/>
      <c r="N153" s="14"/>
      <c r="O153" s="14"/>
      <c r="P153" s="14"/>
      <c r="Q153" s="14"/>
      <c r="R153" s="14"/>
      <c r="S153" s="14"/>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row>
    <row r="154" spans="2:54" s="1" customFormat="1" x14ac:dyDescent="0.25">
      <c r="B154" s="15"/>
      <c r="C154" s="15"/>
      <c r="D154" s="15"/>
      <c r="E154" s="15"/>
      <c r="F154" s="14"/>
      <c r="G154" s="14"/>
      <c r="H154" s="14"/>
      <c r="I154" s="14"/>
      <c r="J154" s="14"/>
      <c r="K154" s="14"/>
      <c r="L154" s="14"/>
      <c r="M154" s="14"/>
      <c r="N154" s="14"/>
      <c r="O154" s="14"/>
      <c r="P154" s="14"/>
      <c r="Q154" s="14"/>
      <c r="R154" s="14"/>
      <c r="S154" s="14"/>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row>
    <row r="155" spans="2:54" s="1" customFormat="1" x14ac:dyDescent="0.25">
      <c r="B155" s="15"/>
      <c r="C155" s="15"/>
      <c r="D155" s="15"/>
      <c r="E155" s="15"/>
      <c r="F155" s="14"/>
      <c r="G155" s="14"/>
      <c r="H155" s="14"/>
      <c r="I155" s="14"/>
      <c r="J155" s="14"/>
      <c r="K155" s="14"/>
      <c r="L155" s="14"/>
      <c r="M155" s="14"/>
      <c r="N155" s="14"/>
      <c r="O155" s="14"/>
      <c r="P155" s="14"/>
      <c r="Q155" s="14"/>
      <c r="R155" s="14"/>
      <c r="S155" s="14"/>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row>
    <row r="156" spans="2:54" s="1" customFormat="1" x14ac:dyDescent="0.25">
      <c r="B156" s="15"/>
      <c r="C156" s="15"/>
      <c r="D156" s="15"/>
      <c r="E156" s="15"/>
      <c r="F156" s="14"/>
      <c r="G156" s="14"/>
      <c r="H156" s="14"/>
      <c r="I156" s="14"/>
      <c r="J156" s="14"/>
      <c r="K156" s="14"/>
      <c r="L156" s="14"/>
      <c r="M156" s="14"/>
      <c r="N156" s="14"/>
      <c r="O156" s="14"/>
      <c r="P156" s="14"/>
      <c r="Q156" s="14"/>
      <c r="R156" s="14"/>
      <c r="S156" s="14"/>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row>
    <row r="157" spans="2:54" s="1" customFormat="1" x14ac:dyDescent="0.25">
      <c r="B157" s="15"/>
      <c r="C157" s="15"/>
      <c r="D157" s="15"/>
      <c r="E157" s="15"/>
      <c r="F157" s="14"/>
      <c r="G157" s="14"/>
      <c r="H157" s="14"/>
      <c r="I157" s="14"/>
      <c r="J157" s="14"/>
      <c r="K157" s="14"/>
      <c r="L157" s="14"/>
      <c r="M157" s="14"/>
      <c r="N157" s="14"/>
      <c r="O157" s="14"/>
      <c r="P157" s="14"/>
      <c r="Q157" s="14"/>
      <c r="R157" s="14"/>
      <c r="S157" s="14"/>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row>
    <row r="158" spans="2:54" s="1" customFormat="1" x14ac:dyDescent="0.25">
      <c r="B158" s="15"/>
      <c r="C158" s="15"/>
      <c r="D158" s="15"/>
      <c r="E158" s="15"/>
      <c r="F158" s="14"/>
      <c r="G158" s="14"/>
      <c r="H158" s="14"/>
      <c r="I158" s="14"/>
      <c r="J158" s="14"/>
      <c r="K158" s="14"/>
      <c r="L158" s="14"/>
      <c r="M158" s="14"/>
      <c r="N158" s="14"/>
      <c r="O158" s="14"/>
      <c r="P158" s="14"/>
      <c r="Q158" s="14"/>
      <c r="R158" s="14"/>
      <c r="S158" s="14"/>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row>
    <row r="159" spans="2:54" s="1" customFormat="1" x14ac:dyDescent="0.25">
      <c r="B159" s="15"/>
      <c r="C159" s="15"/>
      <c r="D159" s="15"/>
      <c r="E159" s="15"/>
      <c r="F159" s="14"/>
      <c r="G159" s="14"/>
      <c r="H159" s="14"/>
      <c r="I159" s="14"/>
      <c r="J159" s="14"/>
      <c r="K159" s="14"/>
      <c r="L159" s="14"/>
      <c r="M159" s="14"/>
      <c r="N159" s="14"/>
      <c r="O159" s="14"/>
      <c r="P159" s="14"/>
      <c r="Q159" s="14"/>
      <c r="R159" s="14"/>
      <c r="S159" s="14"/>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row>
    <row r="160" spans="2:54" s="1" customFormat="1" x14ac:dyDescent="0.25">
      <c r="B160" s="15"/>
      <c r="C160" s="15"/>
      <c r="D160" s="15"/>
      <c r="E160" s="15"/>
      <c r="F160" s="14"/>
      <c r="G160" s="14"/>
      <c r="H160" s="14"/>
      <c r="I160" s="14"/>
      <c r="J160" s="14"/>
      <c r="K160" s="14"/>
      <c r="L160" s="14"/>
      <c r="M160" s="14"/>
      <c r="N160" s="14"/>
      <c r="O160" s="14"/>
      <c r="P160" s="14"/>
      <c r="Q160" s="14"/>
      <c r="R160" s="14"/>
      <c r="S160" s="14"/>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row>
    <row r="161" spans="2:54" s="1" customFormat="1" x14ac:dyDescent="0.25">
      <c r="B161" s="15"/>
      <c r="C161" s="15"/>
      <c r="D161" s="15"/>
      <c r="E161" s="15"/>
      <c r="F161" s="14"/>
      <c r="G161" s="14"/>
      <c r="H161" s="14"/>
      <c r="I161" s="14"/>
      <c r="J161" s="14"/>
      <c r="K161" s="14"/>
      <c r="L161" s="14"/>
      <c r="M161" s="14"/>
      <c r="N161" s="14"/>
      <c r="O161" s="14"/>
      <c r="P161" s="14"/>
      <c r="Q161" s="14"/>
      <c r="R161" s="14"/>
      <c r="S161" s="14"/>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row>
    <row r="162" spans="2:54" s="1" customFormat="1" x14ac:dyDescent="0.25">
      <c r="B162" s="15"/>
      <c r="C162" s="15"/>
      <c r="D162" s="15"/>
      <c r="E162" s="15"/>
      <c r="F162" s="14"/>
      <c r="G162" s="14"/>
      <c r="H162" s="14"/>
      <c r="I162" s="14"/>
      <c r="J162" s="14"/>
      <c r="K162" s="14"/>
      <c r="L162" s="14"/>
      <c r="M162" s="14"/>
      <c r="N162" s="14"/>
      <c r="O162" s="14"/>
      <c r="P162" s="14"/>
      <c r="Q162" s="14"/>
      <c r="R162" s="14"/>
      <c r="S162" s="14"/>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row>
    <row r="163" spans="2:54" s="1" customFormat="1" x14ac:dyDescent="0.25">
      <c r="B163" s="15"/>
      <c r="C163" s="15"/>
      <c r="D163" s="15"/>
      <c r="E163" s="15"/>
      <c r="F163" s="14"/>
      <c r="G163" s="14"/>
      <c r="H163" s="14"/>
      <c r="I163" s="14"/>
      <c r="J163" s="14"/>
      <c r="K163" s="14"/>
      <c r="L163" s="14"/>
      <c r="M163" s="14"/>
      <c r="N163" s="14"/>
      <c r="O163" s="14"/>
      <c r="P163" s="14"/>
      <c r="Q163" s="14"/>
      <c r="R163" s="14"/>
      <c r="S163" s="14"/>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row>
    <row r="164" spans="2:54" s="1" customFormat="1" x14ac:dyDescent="0.25">
      <c r="B164" s="15"/>
      <c r="C164" s="15"/>
      <c r="D164" s="15"/>
      <c r="E164" s="15"/>
      <c r="F164" s="14"/>
      <c r="G164" s="14"/>
      <c r="H164" s="14"/>
      <c r="I164" s="14"/>
      <c r="J164" s="14"/>
      <c r="K164" s="14"/>
      <c r="L164" s="14"/>
      <c r="M164" s="14"/>
      <c r="N164" s="14"/>
      <c r="O164" s="14"/>
      <c r="P164" s="14"/>
      <c r="Q164" s="14"/>
      <c r="R164" s="14"/>
      <c r="S164" s="14"/>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row>
    <row r="165" spans="2:54" s="1" customFormat="1" x14ac:dyDescent="0.25">
      <c r="B165" s="15"/>
      <c r="C165" s="15"/>
      <c r="D165" s="15"/>
      <c r="E165" s="15"/>
      <c r="F165" s="14"/>
      <c r="G165" s="14"/>
      <c r="H165" s="14"/>
      <c r="I165" s="14"/>
      <c r="J165" s="14"/>
      <c r="K165" s="14"/>
      <c r="L165" s="14"/>
      <c r="M165" s="14"/>
      <c r="N165" s="14"/>
      <c r="O165" s="14"/>
      <c r="P165" s="14"/>
      <c r="Q165" s="14"/>
      <c r="R165" s="14"/>
      <c r="S165" s="14"/>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row>
    <row r="166" spans="2:54" s="1" customFormat="1" x14ac:dyDescent="0.25">
      <c r="B166" s="15"/>
      <c r="C166" s="15"/>
      <c r="D166" s="15"/>
      <c r="E166" s="15"/>
      <c r="F166" s="14"/>
      <c r="G166" s="14"/>
      <c r="H166" s="14"/>
      <c r="I166" s="14"/>
      <c r="J166" s="14"/>
      <c r="K166" s="14"/>
      <c r="L166" s="14"/>
      <c r="M166" s="14"/>
      <c r="N166" s="14"/>
      <c r="O166" s="14"/>
      <c r="P166" s="14"/>
      <c r="Q166" s="14"/>
      <c r="R166" s="14"/>
      <c r="S166" s="14"/>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row>
    <row r="167" spans="2:54" s="1" customFormat="1" x14ac:dyDescent="0.25">
      <c r="B167" s="15"/>
      <c r="C167" s="15"/>
      <c r="D167" s="15"/>
      <c r="E167" s="15"/>
      <c r="F167" s="14"/>
      <c r="G167" s="14"/>
      <c r="H167" s="14"/>
      <c r="I167" s="14"/>
      <c r="J167" s="14"/>
      <c r="K167" s="14"/>
      <c r="L167" s="14"/>
      <c r="M167" s="14"/>
      <c r="N167" s="14"/>
      <c r="O167" s="14"/>
      <c r="P167" s="14"/>
      <c r="Q167" s="14"/>
      <c r="R167" s="14"/>
      <c r="S167" s="14"/>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row>
    <row r="168" spans="2:54" s="1" customFormat="1" x14ac:dyDescent="0.25">
      <c r="B168" s="15"/>
      <c r="C168" s="15"/>
      <c r="D168" s="15"/>
      <c r="E168" s="15"/>
      <c r="F168" s="14"/>
      <c r="G168" s="14"/>
      <c r="H168" s="14"/>
      <c r="I168" s="14"/>
      <c r="J168" s="14"/>
      <c r="K168" s="14"/>
      <c r="L168" s="14"/>
      <c r="M168" s="14"/>
      <c r="N168" s="14"/>
      <c r="O168" s="14"/>
      <c r="P168" s="14"/>
      <c r="Q168" s="14"/>
      <c r="R168" s="14"/>
      <c r="S168" s="14"/>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row>
    <row r="169" spans="2:54" s="1" customFormat="1" x14ac:dyDescent="0.25">
      <c r="B169" s="15"/>
      <c r="C169" s="15"/>
      <c r="D169" s="15"/>
      <c r="E169" s="15"/>
      <c r="F169" s="14"/>
      <c r="G169" s="14"/>
      <c r="H169" s="14"/>
      <c r="I169" s="14"/>
      <c r="J169" s="14"/>
      <c r="K169" s="14"/>
      <c r="L169" s="14"/>
      <c r="M169" s="14"/>
      <c r="N169" s="14"/>
      <c r="O169" s="14"/>
      <c r="P169" s="14"/>
      <c r="Q169" s="14"/>
      <c r="R169" s="14"/>
      <c r="S169" s="14"/>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row>
    <row r="170" spans="2:54" s="1" customFormat="1" x14ac:dyDescent="0.25">
      <c r="B170" s="15"/>
      <c r="C170" s="15"/>
      <c r="D170" s="15"/>
      <c r="E170" s="15"/>
      <c r="F170" s="14"/>
      <c r="G170" s="14"/>
      <c r="H170" s="14"/>
      <c r="I170" s="14"/>
      <c r="J170" s="14"/>
      <c r="K170" s="14"/>
      <c r="L170" s="14"/>
      <c r="M170" s="14"/>
      <c r="N170" s="14"/>
      <c r="O170" s="14"/>
      <c r="P170" s="14"/>
      <c r="Q170" s="14"/>
      <c r="R170" s="14"/>
      <c r="S170" s="14"/>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row>
    <row r="171" spans="2:54" s="1" customFormat="1" x14ac:dyDescent="0.25">
      <c r="B171" s="15"/>
      <c r="C171" s="15"/>
      <c r="D171" s="15"/>
      <c r="E171" s="15"/>
      <c r="F171" s="14"/>
      <c r="G171" s="14"/>
      <c r="H171" s="14"/>
      <c r="I171" s="14"/>
      <c r="J171" s="14"/>
      <c r="K171" s="14"/>
      <c r="L171" s="14"/>
      <c r="M171" s="14"/>
      <c r="N171" s="14"/>
      <c r="O171" s="14"/>
      <c r="P171" s="14"/>
      <c r="Q171" s="14"/>
      <c r="R171" s="14"/>
      <c r="S171" s="14"/>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row>
    <row r="172" spans="2:54" s="1" customFormat="1" x14ac:dyDescent="0.25">
      <c r="B172" s="15"/>
      <c r="C172" s="15"/>
      <c r="D172" s="15"/>
      <c r="E172" s="15"/>
      <c r="F172" s="14"/>
      <c r="G172" s="14"/>
      <c r="H172" s="14"/>
      <c r="I172" s="14"/>
      <c r="J172" s="14"/>
      <c r="K172" s="14"/>
      <c r="L172" s="14"/>
      <c r="M172" s="14"/>
      <c r="N172" s="14"/>
      <c r="O172" s="14"/>
      <c r="P172" s="14"/>
      <c r="Q172" s="14"/>
      <c r="R172" s="14"/>
      <c r="S172" s="14"/>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row>
    <row r="173" spans="2:54" s="1" customFormat="1" x14ac:dyDescent="0.25">
      <c r="B173" s="15"/>
      <c r="C173" s="15"/>
      <c r="D173" s="15"/>
      <c r="E173" s="15"/>
      <c r="F173" s="14"/>
      <c r="G173" s="14"/>
      <c r="H173" s="14"/>
      <c r="I173" s="14"/>
      <c r="J173" s="14"/>
      <c r="K173" s="14"/>
      <c r="L173" s="14"/>
      <c r="M173" s="14"/>
      <c r="N173" s="14"/>
      <c r="O173" s="14"/>
      <c r="P173" s="14"/>
      <c r="Q173" s="14"/>
      <c r="R173" s="14"/>
      <c r="S173" s="14"/>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row>
    <row r="174" spans="2:54" s="1" customFormat="1" x14ac:dyDescent="0.25">
      <c r="B174" s="15"/>
      <c r="C174" s="15"/>
      <c r="D174" s="15"/>
      <c r="E174" s="15"/>
      <c r="F174" s="14"/>
      <c r="G174" s="14"/>
      <c r="H174" s="14"/>
      <c r="I174" s="14"/>
      <c r="J174" s="14"/>
      <c r="K174" s="14"/>
      <c r="L174" s="14"/>
      <c r="M174" s="14"/>
      <c r="N174" s="14"/>
      <c r="O174" s="14"/>
      <c r="P174" s="14"/>
      <c r="Q174" s="14"/>
      <c r="R174" s="14"/>
      <c r="S174" s="14"/>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row>
    <row r="175" spans="2:54" s="1" customFormat="1" x14ac:dyDescent="0.25">
      <c r="B175" s="15"/>
      <c r="C175" s="15"/>
      <c r="D175" s="15"/>
      <c r="E175" s="15"/>
      <c r="F175" s="14"/>
      <c r="G175" s="14"/>
      <c r="H175" s="14"/>
      <c r="I175" s="14"/>
      <c r="J175" s="14"/>
      <c r="K175" s="14"/>
      <c r="L175" s="14"/>
      <c r="M175" s="14"/>
      <c r="N175" s="14"/>
      <c r="O175" s="14"/>
      <c r="P175" s="14"/>
      <c r="Q175" s="14"/>
      <c r="R175" s="14"/>
      <c r="S175" s="14"/>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row>
    <row r="176" spans="2:54" s="1" customFormat="1" x14ac:dyDescent="0.25">
      <c r="B176" s="15"/>
      <c r="C176" s="15"/>
      <c r="D176" s="15"/>
      <c r="E176" s="15"/>
      <c r="F176" s="14"/>
      <c r="G176" s="14"/>
      <c r="H176" s="14"/>
      <c r="I176" s="14"/>
      <c r="J176" s="14"/>
      <c r="K176" s="14"/>
      <c r="L176" s="14"/>
      <c r="M176" s="14"/>
      <c r="N176" s="14"/>
      <c r="O176" s="14"/>
      <c r="P176" s="14"/>
      <c r="Q176" s="14"/>
      <c r="R176" s="14"/>
      <c r="S176" s="14"/>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2:54" s="1" customFormat="1" x14ac:dyDescent="0.25">
      <c r="B177" s="15"/>
      <c r="C177" s="15"/>
      <c r="D177" s="15"/>
      <c r="E177" s="15"/>
      <c r="F177" s="14"/>
      <c r="G177" s="14"/>
      <c r="H177" s="14"/>
      <c r="I177" s="14"/>
      <c r="J177" s="14"/>
      <c r="K177" s="14"/>
      <c r="L177" s="14"/>
      <c r="M177" s="14"/>
      <c r="N177" s="14"/>
      <c r="O177" s="14"/>
      <c r="P177" s="14"/>
      <c r="Q177" s="14"/>
      <c r="R177" s="14"/>
      <c r="S177" s="14"/>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row>
    <row r="178" spans="2:54" s="1" customFormat="1" x14ac:dyDescent="0.25">
      <c r="B178" s="15"/>
      <c r="C178" s="15"/>
      <c r="D178" s="15"/>
      <c r="E178" s="15"/>
      <c r="F178" s="14"/>
      <c r="G178" s="14"/>
      <c r="H178" s="14"/>
      <c r="I178" s="14"/>
      <c r="J178" s="14"/>
      <c r="K178" s="14"/>
      <c r="L178" s="14"/>
      <c r="M178" s="14"/>
      <c r="N178" s="14"/>
      <c r="O178" s="14"/>
      <c r="P178" s="14"/>
      <c r="Q178" s="14"/>
      <c r="R178" s="14"/>
      <c r="S178" s="14"/>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row>
    <row r="179" spans="2:54" s="1" customFormat="1" x14ac:dyDescent="0.25">
      <c r="B179" s="15"/>
      <c r="C179" s="15"/>
      <c r="D179" s="15"/>
      <c r="E179" s="15"/>
      <c r="F179" s="14"/>
      <c r="G179" s="14"/>
      <c r="H179" s="14"/>
      <c r="I179" s="14"/>
      <c r="J179" s="14"/>
      <c r="K179" s="14"/>
      <c r="L179" s="14"/>
      <c r="M179" s="14"/>
      <c r="N179" s="14"/>
      <c r="O179" s="14"/>
      <c r="P179" s="14"/>
      <c r="Q179" s="14"/>
      <c r="R179" s="14"/>
      <c r="S179" s="14"/>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row>
    <row r="180" spans="2:54" s="1" customFormat="1" x14ac:dyDescent="0.25">
      <c r="B180" s="15"/>
      <c r="C180" s="15"/>
      <c r="D180" s="15"/>
      <c r="E180" s="15"/>
      <c r="F180" s="14"/>
      <c r="G180" s="14"/>
      <c r="H180" s="14"/>
      <c r="I180" s="14"/>
      <c r="J180" s="14"/>
      <c r="K180" s="14"/>
      <c r="L180" s="14"/>
      <c r="M180" s="14"/>
      <c r="N180" s="14"/>
      <c r="O180" s="14"/>
      <c r="P180" s="14"/>
      <c r="Q180" s="14"/>
      <c r="R180" s="14"/>
      <c r="S180" s="14"/>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row>
    <row r="181" spans="2:54" s="1" customFormat="1" x14ac:dyDescent="0.25">
      <c r="B181" s="15"/>
      <c r="C181" s="15"/>
      <c r="D181" s="15"/>
      <c r="E181" s="15"/>
      <c r="F181" s="14"/>
      <c r="G181" s="14"/>
      <c r="H181" s="14"/>
      <c r="I181" s="14"/>
      <c r="J181" s="14"/>
      <c r="K181" s="14"/>
      <c r="L181" s="14"/>
      <c r="M181" s="14"/>
      <c r="N181" s="14"/>
      <c r="O181" s="14"/>
      <c r="P181" s="14"/>
      <c r="Q181" s="14"/>
      <c r="R181" s="14"/>
      <c r="S181" s="14"/>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row>
    <row r="182" spans="2:54" s="1" customFormat="1" x14ac:dyDescent="0.25">
      <c r="B182" s="15"/>
      <c r="C182" s="15"/>
      <c r="D182" s="15"/>
      <c r="E182" s="15"/>
      <c r="F182" s="14"/>
      <c r="G182" s="14"/>
      <c r="H182" s="14"/>
      <c r="I182" s="14"/>
      <c r="J182" s="14"/>
      <c r="K182" s="14"/>
      <c r="L182" s="14"/>
      <c r="M182" s="14"/>
      <c r="N182" s="14"/>
      <c r="O182" s="14"/>
      <c r="P182" s="14"/>
      <c r="Q182" s="14"/>
      <c r="R182" s="14"/>
      <c r="S182" s="14"/>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row>
    <row r="183" spans="2:54" s="1" customFormat="1" x14ac:dyDescent="0.25">
      <c r="B183" s="15"/>
      <c r="C183" s="15"/>
      <c r="D183" s="15"/>
      <c r="E183" s="15"/>
      <c r="F183" s="14"/>
      <c r="G183" s="14"/>
      <c r="H183" s="14"/>
      <c r="I183" s="14"/>
      <c r="J183" s="14"/>
      <c r="K183" s="14"/>
      <c r="L183" s="14"/>
      <c r="M183" s="14"/>
      <c r="N183" s="14"/>
      <c r="O183" s="14"/>
      <c r="P183" s="14"/>
      <c r="Q183" s="14"/>
      <c r="R183" s="14"/>
      <c r="S183" s="14"/>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row>
    <row r="184" spans="2:54" s="1" customFormat="1" x14ac:dyDescent="0.25">
      <c r="B184" s="15"/>
      <c r="C184" s="15"/>
      <c r="D184" s="15"/>
      <c r="E184" s="15"/>
      <c r="F184" s="14"/>
      <c r="G184" s="14"/>
      <c r="H184" s="14"/>
      <c r="I184" s="14"/>
      <c r="J184" s="14"/>
      <c r="K184" s="14"/>
      <c r="L184" s="14"/>
      <c r="M184" s="14"/>
      <c r="N184" s="14"/>
      <c r="O184" s="14"/>
      <c r="P184" s="14"/>
      <c r="Q184" s="14"/>
      <c r="R184" s="14"/>
      <c r="S184" s="14"/>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row>
    <row r="185" spans="2:54" s="1" customFormat="1" x14ac:dyDescent="0.25">
      <c r="B185" s="15"/>
      <c r="C185" s="15"/>
      <c r="D185" s="15"/>
      <c r="E185" s="15"/>
      <c r="F185" s="14"/>
      <c r="G185" s="14"/>
      <c r="H185" s="14"/>
      <c r="I185" s="14"/>
      <c r="J185" s="14"/>
      <c r="K185" s="14"/>
      <c r="L185" s="14"/>
      <c r="M185" s="14"/>
      <c r="N185" s="14"/>
      <c r="O185" s="14"/>
      <c r="P185" s="14"/>
      <c r="Q185" s="14"/>
      <c r="R185" s="14"/>
      <c r="S185" s="14"/>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row>
    <row r="186" spans="2:54" s="1" customFormat="1" x14ac:dyDescent="0.25">
      <c r="B186" s="15"/>
      <c r="C186" s="15"/>
      <c r="D186" s="15"/>
      <c r="E186" s="15"/>
      <c r="F186" s="14"/>
      <c r="G186" s="14"/>
      <c r="H186" s="14"/>
      <c r="I186" s="14"/>
      <c r="J186" s="14"/>
      <c r="K186" s="14"/>
      <c r="L186" s="14"/>
      <c r="M186" s="14"/>
      <c r="N186" s="14"/>
      <c r="O186" s="14"/>
      <c r="P186" s="14"/>
      <c r="Q186" s="14"/>
      <c r="R186" s="14"/>
      <c r="S186" s="14"/>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row>
    <row r="187" spans="2:54" s="1" customFormat="1" x14ac:dyDescent="0.25">
      <c r="B187" s="15"/>
      <c r="C187" s="15"/>
      <c r="D187" s="15"/>
      <c r="E187" s="15"/>
      <c r="F187" s="14"/>
      <c r="G187" s="14"/>
      <c r="H187" s="14"/>
      <c r="I187" s="14"/>
      <c r="J187" s="14"/>
      <c r="K187" s="14"/>
      <c r="L187" s="14"/>
      <c r="M187" s="14"/>
      <c r="N187" s="14"/>
      <c r="O187" s="14"/>
      <c r="P187" s="14"/>
      <c r="Q187" s="14"/>
      <c r="R187" s="14"/>
      <c r="S187" s="14"/>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row>
    <row r="188" spans="2:54" s="1" customFormat="1" x14ac:dyDescent="0.25">
      <c r="B188" s="15"/>
      <c r="C188" s="15"/>
      <c r="D188" s="15"/>
      <c r="E188" s="15"/>
      <c r="F188" s="14"/>
      <c r="G188" s="14"/>
      <c r="H188" s="14"/>
      <c r="I188" s="14"/>
      <c r="J188" s="14"/>
      <c r="K188" s="14"/>
      <c r="L188" s="14"/>
      <c r="M188" s="14"/>
      <c r="N188" s="14"/>
      <c r="O188" s="14"/>
      <c r="P188" s="14"/>
      <c r="Q188" s="14"/>
      <c r="R188" s="14"/>
      <c r="S188" s="14"/>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row>
    <row r="189" spans="2:54" s="1" customFormat="1" x14ac:dyDescent="0.25">
      <c r="B189" s="15"/>
      <c r="C189" s="15"/>
      <c r="D189" s="15"/>
      <c r="E189" s="15"/>
      <c r="F189" s="14"/>
      <c r="G189" s="14"/>
      <c r="H189" s="14"/>
      <c r="I189" s="14"/>
      <c r="J189" s="14"/>
      <c r="K189" s="14"/>
      <c r="L189" s="14"/>
      <c r="M189" s="14"/>
      <c r="N189" s="14"/>
      <c r="O189" s="14"/>
      <c r="P189" s="14"/>
      <c r="Q189" s="14"/>
      <c r="R189" s="14"/>
      <c r="S189" s="14"/>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row>
    <row r="190" spans="2:54" s="1" customFormat="1" x14ac:dyDescent="0.25">
      <c r="B190" s="15"/>
      <c r="C190" s="15"/>
      <c r="D190" s="15"/>
      <c r="E190" s="15"/>
      <c r="F190" s="14"/>
      <c r="G190" s="14"/>
      <c r="H190" s="14"/>
      <c r="I190" s="14"/>
      <c r="J190" s="14"/>
      <c r="K190" s="14"/>
      <c r="L190" s="14"/>
      <c r="M190" s="14"/>
      <c r="N190" s="14"/>
      <c r="O190" s="14"/>
      <c r="P190" s="14"/>
      <c r="Q190" s="14"/>
      <c r="R190" s="14"/>
      <c r="S190" s="14"/>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row>
    <row r="191" spans="2:54" s="1" customFormat="1" x14ac:dyDescent="0.25">
      <c r="B191" s="15"/>
      <c r="C191" s="15"/>
      <c r="D191" s="15"/>
      <c r="E191" s="15"/>
      <c r="F191" s="14"/>
      <c r="G191" s="14"/>
      <c r="H191" s="14"/>
      <c r="I191" s="14"/>
      <c r="J191" s="14"/>
      <c r="K191" s="14"/>
      <c r="L191" s="14"/>
      <c r="M191" s="14"/>
      <c r="N191" s="14"/>
      <c r="O191" s="14"/>
      <c r="P191" s="14"/>
      <c r="Q191" s="14"/>
      <c r="R191" s="14"/>
      <c r="S191" s="14"/>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row>
    <row r="192" spans="2:54" s="1" customFormat="1" x14ac:dyDescent="0.25">
      <c r="B192" s="15"/>
      <c r="C192" s="15"/>
      <c r="D192" s="15"/>
      <c r="E192" s="15"/>
      <c r="F192" s="14"/>
      <c r="G192" s="14"/>
      <c r="H192" s="14"/>
      <c r="I192" s="14"/>
      <c r="J192" s="14"/>
      <c r="K192" s="14"/>
      <c r="L192" s="14"/>
      <c r="M192" s="14"/>
      <c r="N192" s="14"/>
      <c r="O192" s="14"/>
      <c r="P192" s="14"/>
      <c r="Q192" s="14"/>
      <c r="R192" s="14"/>
      <c r="S192" s="14"/>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row>
    <row r="193" spans="2:54" s="1" customFormat="1" x14ac:dyDescent="0.25">
      <c r="B193" s="15"/>
      <c r="C193" s="15"/>
      <c r="D193" s="15"/>
      <c r="E193" s="15"/>
      <c r="F193" s="14"/>
      <c r="G193" s="14"/>
      <c r="H193" s="14"/>
      <c r="I193" s="14"/>
      <c r="J193" s="14"/>
      <c r="K193" s="14"/>
      <c r="L193" s="14"/>
      <c r="M193" s="14"/>
      <c r="N193" s="14"/>
      <c r="O193" s="14"/>
      <c r="P193" s="14"/>
      <c r="Q193" s="14"/>
      <c r="R193" s="14"/>
      <c r="S193" s="14"/>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row>
    <row r="194" spans="2:54" s="1" customFormat="1" x14ac:dyDescent="0.25">
      <c r="B194" s="15"/>
      <c r="C194" s="15"/>
      <c r="D194" s="15"/>
      <c r="E194" s="15"/>
      <c r="F194" s="14"/>
      <c r="G194" s="14"/>
      <c r="H194" s="14"/>
      <c r="I194" s="14"/>
      <c r="J194" s="14"/>
      <c r="K194" s="14"/>
      <c r="L194" s="14"/>
      <c r="M194" s="14"/>
      <c r="N194" s="14"/>
      <c r="O194" s="14"/>
      <c r="P194" s="14"/>
      <c r="Q194" s="14"/>
      <c r="R194" s="14"/>
      <c r="S194" s="14"/>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row>
    <row r="195" spans="2:54" s="1" customFormat="1" x14ac:dyDescent="0.25">
      <c r="B195" s="15"/>
      <c r="C195" s="15"/>
      <c r="D195" s="15"/>
      <c r="E195" s="15"/>
      <c r="F195" s="14"/>
      <c r="G195" s="14"/>
      <c r="H195" s="14"/>
      <c r="I195" s="14"/>
      <c r="J195" s="14"/>
      <c r="K195" s="14"/>
      <c r="L195" s="14"/>
      <c r="M195" s="14"/>
      <c r="N195" s="14"/>
      <c r="O195" s="14"/>
      <c r="P195" s="14"/>
      <c r="Q195" s="14"/>
      <c r="R195" s="14"/>
      <c r="S195" s="14"/>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row>
    <row r="196" spans="2:54" s="1" customFormat="1" x14ac:dyDescent="0.25">
      <c r="B196" s="15"/>
      <c r="C196" s="15"/>
      <c r="D196" s="15"/>
      <c r="E196" s="15"/>
      <c r="F196" s="14"/>
      <c r="G196" s="14"/>
      <c r="H196" s="14"/>
      <c r="I196" s="14"/>
      <c r="J196" s="14"/>
      <c r="K196" s="14"/>
      <c r="L196" s="14"/>
      <c r="M196" s="14"/>
      <c r="N196" s="14"/>
      <c r="O196" s="14"/>
      <c r="P196" s="14"/>
      <c r="Q196" s="14"/>
      <c r="R196" s="14"/>
      <c r="S196" s="14"/>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row>
    <row r="197" spans="2:54" s="1" customFormat="1" x14ac:dyDescent="0.25">
      <c r="B197" s="15"/>
      <c r="C197" s="15"/>
      <c r="D197" s="15"/>
      <c r="E197" s="15"/>
      <c r="F197" s="14"/>
      <c r="G197" s="14"/>
      <c r="H197" s="14"/>
      <c r="I197" s="14"/>
      <c r="J197" s="14"/>
      <c r="K197" s="14"/>
      <c r="L197" s="14"/>
      <c r="M197" s="14"/>
      <c r="N197" s="14"/>
      <c r="O197" s="14"/>
      <c r="P197" s="14"/>
      <c r="Q197" s="14"/>
      <c r="R197" s="14"/>
      <c r="S197" s="14"/>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row>
    <row r="198" spans="2:54" s="1" customFormat="1" x14ac:dyDescent="0.25">
      <c r="B198" s="15"/>
      <c r="C198" s="15"/>
      <c r="D198" s="15"/>
      <c r="E198" s="15"/>
      <c r="F198" s="14"/>
      <c r="G198" s="14"/>
      <c r="H198" s="14"/>
      <c r="I198" s="14"/>
      <c r="J198" s="14"/>
      <c r="K198" s="14"/>
      <c r="L198" s="14"/>
      <c r="M198" s="14"/>
      <c r="N198" s="14"/>
      <c r="O198" s="14"/>
      <c r="P198" s="14"/>
      <c r="Q198" s="14"/>
      <c r="R198" s="14"/>
      <c r="S198" s="14"/>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row>
    <row r="199" spans="2:54" s="1" customFormat="1" x14ac:dyDescent="0.25">
      <c r="B199" s="15"/>
      <c r="C199" s="15"/>
      <c r="D199" s="15"/>
      <c r="E199" s="15"/>
      <c r="F199" s="14"/>
      <c r="G199" s="14"/>
      <c r="H199" s="14"/>
      <c r="I199" s="14"/>
      <c r="J199" s="14"/>
      <c r="K199" s="14"/>
      <c r="L199" s="14"/>
      <c r="M199" s="14"/>
      <c r="N199" s="14"/>
      <c r="O199" s="14"/>
      <c r="P199" s="14"/>
      <c r="Q199" s="14"/>
      <c r="R199" s="14"/>
      <c r="S199" s="14"/>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row>
    <row r="200" spans="2:54" s="1" customFormat="1" x14ac:dyDescent="0.25">
      <c r="B200" s="15"/>
      <c r="C200" s="15"/>
      <c r="D200" s="15"/>
      <c r="E200" s="15"/>
      <c r="F200" s="14"/>
      <c r="G200" s="14"/>
      <c r="H200" s="14"/>
      <c r="I200" s="14"/>
      <c r="J200" s="14"/>
      <c r="K200" s="14"/>
      <c r="L200" s="14"/>
      <c r="M200" s="14"/>
      <c r="N200" s="14"/>
      <c r="O200" s="14"/>
      <c r="P200" s="14"/>
      <c r="Q200" s="14"/>
      <c r="R200" s="14"/>
      <c r="S200" s="14"/>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row>
    <row r="201" spans="2:54" s="1" customFormat="1" x14ac:dyDescent="0.25">
      <c r="B201" s="15"/>
      <c r="C201" s="15"/>
      <c r="D201" s="15"/>
      <c r="E201" s="15"/>
      <c r="F201" s="14"/>
      <c r="G201" s="14"/>
      <c r="H201" s="14"/>
      <c r="I201" s="14"/>
      <c r="J201" s="14"/>
      <c r="K201" s="14"/>
      <c r="L201" s="14"/>
      <c r="M201" s="14"/>
      <c r="N201" s="14"/>
      <c r="O201" s="14"/>
      <c r="P201" s="14"/>
      <c r="Q201" s="14"/>
      <c r="R201" s="14"/>
      <c r="S201" s="14"/>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row>
    <row r="202" spans="2:54" s="1" customFormat="1" x14ac:dyDescent="0.25">
      <c r="B202" s="15"/>
      <c r="C202" s="15"/>
      <c r="D202" s="15"/>
      <c r="E202" s="15"/>
      <c r="F202" s="14"/>
      <c r="G202" s="14"/>
      <c r="H202" s="14"/>
      <c r="I202" s="14"/>
      <c r="J202" s="14"/>
      <c r="K202" s="14"/>
      <c r="L202" s="14"/>
      <c r="M202" s="14"/>
      <c r="N202" s="14"/>
      <c r="O202" s="14"/>
      <c r="P202" s="14"/>
      <c r="Q202" s="14"/>
      <c r="R202" s="14"/>
      <c r="S202" s="14"/>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row>
    <row r="203" spans="2:54" s="1" customFormat="1" x14ac:dyDescent="0.25">
      <c r="B203" s="15"/>
      <c r="C203" s="15"/>
      <c r="D203" s="15"/>
      <c r="E203" s="15"/>
      <c r="F203" s="14"/>
      <c r="G203" s="14"/>
      <c r="H203" s="14"/>
      <c r="I203" s="14"/>
      <c r="J203" s="14"/>
      <c r="K203" s="14"/>
      <c r="L203" s="14"/>
      <c r="M203" s="14"/>
      <c r="N203" s="14"/>
      <c r="O203" s="14"/>
      <c r="P203" s="14"/>
      <c r="Q203" s="14"/>
      <c r="R203" s="14"/>
      <c r="S203" s="14"/>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row>
    <row r="204" spans="2:54" s="1" customFormat="1" x14ac:dyDescent="0.25">
      <c r="B204" s="15"/>
      <c r="C204" s="15"/>
      <c r="D204" s="15"/>
      <c r="E204" s="15"/>
      <c r="F204" s="14"/>
      <c r="G204" s="14"/>
      <c r="H204" s="14"/>
      <c r="I204" s="14"/>
      <c r="J204" s="14"/>
      <c r="K204" s="14"/>
      <c r="L204" s="14"/>
      <c r="M204" s="14"/>
      <c r="N204" s="14"/>
      <c r="O204" s="14"/>
      <c r="P204" s="14"/>
      <c r="Q204" s="14"/>
      <c r="R204" s="14"/>
      <c r="S204" s="14"/>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row>
    <row r="205" spans="2:54" s="1" customFormat="1" x14ac:dyDescent="0.25">
      <c r="B205" s="15"/>
      <c r="C205" s="15"/>
      <c r="D205" s="15"/>
      <c r="E205" s="15"/>
      <c r="F205" s="14"/>
      <c r="G205" s="14"/>
      <c r="H205" s="14"/>
      <c r="I205" s="14"/>
      <c r="J205" s="14"/>
      <c r="K205" s="14"/>
      <c r="L205" s="14"/>
      <c r="M205" s="14"/>
      <c r="N205" s="14"/>
      <c r="O205" s="14"/>
      <c r="P205" s="14"/>
      <c r="Q205" s="14"/>
      <c r="R205" s="14"/>
      <c r="S205" s="14"/>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2:54" s="1" customFormat="1" x14ac:dyDescent="0.25">
      <c r="B206" s="15"/>
      <c r="C206" s="15"/>
      <c r="D206" s="15"/>
      <c r="E206" s="15"/>
      <c r="F206" s="14"/>
      <c r="G206" s="14"/>
      <c r="H206" s="14"/>
      <c r="I206" s="14"/>
      <c r="J206" s="14"/>
      <c r="K206" s="14"/>
      <c r="L206" s="14"/>
      <c r="M206" s="14"/>
      <c r="N206" s="14"/>
      <c r="O206" s="14"/>
      <c r="P206" s="14"/>
      <c r="Q206" s="14"/>
      <c r="R206" s="14"/>
      <c r="S206" s="14"/>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row>
    <row r="207" spans="2:54" s="1" customFormat="1" x14ac:dyDescent="0.25">
      <c r="B207" s="15"/>
      <c r="C207" s="15"/>
      <c r="D207" s="15"/>
      <c r="E207" s="15"/>
      <c r="F207" s="14"/>
      <c r="G207" s="14"/>
      <c r="H207" s="14"/>
      <c r="I207" s="14"/>
      <c r="J207" s="14"/>
      <c r="K207" s="14"/>
      <c r="L207" s="14"/>
      <c r="M207" s="14"/>
      <c r="N207" s="14"/>
      <c r="O207" s="14"/>
      <c r="P207" s="14"/>
      <c r="Q207" s="14"/>
      <c r="R207" s="14"/>
      <c r="S207" s="14"/>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row>
    <row r="208" spans="2:54" s="1" customFormat="1" x14ac:dyDescent="0.25">
      <c r="B208" s="15"/>
      <c r="C208" s="15"/>
      <c r="D208" s="15"/>
      <c r="E208" s="15"/>
      <c r="F208" s="14"/>
      <c r="G208" s="14"/>
      <c r="H208" s="14"/>
      <c r="I208" s="14"/>
      <c r="J208" s="14"/>
      <c r="K208" s="14"/>
      <c r="L208" s="14"/>
      <c r="M208" s="14"/>
      <c r="N208" s="14"/>
      <c r="O208" s="14"/>
      <c r="P208" s="14"/>
      <c r="Q208" s="14"/>
      <c r="R208" s="14"/>
      <c r="S208" s="14"/>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row>
    <row r="209" spans="2:54" s="1" customFormat="1" x14ac:dyDescent="0.25">
      <c r="B209" s="15"/>
      <c r="C209" s="15"/>
      <c r="D209" s="15"/>
      <c r="E209" s="15"/>
      <c r="F209" s="14"/>
      <c r="G209" s="14"/>
      <c r="H209" s="14"/>
      <c r="I209" s="14"/>
      <c r="J209" s="14"/>
      <c r="K209" s="14"/>
      <c r="L209" s="14"/>
      <c r="M209" s="14"/>
      <c r="N209" s="14"/>
      <c r="O209" s="14"/>
      <c r="P209" s="14"/>
      <c r="Q209" s="14"/>
      <c r="R209" s="14"/>
      <c r="S209" s="14"/>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row>
    <row r="210" spans="2:54" s="1" customFormat="1" x14ac:dyDescent="0.25">
      <c r="B210" s="15"/>
      <c r="C210" s="15"/>
      <c r="D210" s="15"/>
      <c r="E210" s="15"/>
      <c r="F210" s="14"/>
      <c r="G210" s="14"/>
      <c r="H210" s="14"/>
      <c r="I210" s="14"/>
      <c r="J210" s="14"/>
      <c r="K210" s="14"/>
      <c r="L210" s="14"/>
      <c r="M210" s="14"/>
      <c r="N210" s="14"/>
      <c r="O210" s="14"/>
      <c r="P210" s="14"/>
      <c r="Q210" s="14"/>
      <c r="R210" s="14"/>
      <c r="S210" s="14"/>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row>
    <row r="211" spans="2:54" s="1" customFormat="1" x14ac:dyDescent="0.25">
      <c r="B211" s="15"/>
      <c r="C211" s="15"/>
      <c r="D211" s="15"/>
      <c r="E211" s="15"/>
      <c r="F211" s="14"/>
      <c r="G211" s="14"/>
      <c r="H211" s="14"/>
      <c r="I211" s="14"/>
      <c r="J211" s="14"/>
      <c r="K211" s="14"/>
      <c r="L211" s="14"/>
      <c r="M211" s="14"/>
      <c r="N211" s="14"/>
      <c r="O211" s="14"/>
      <c r="P211" s="14"/>
      <c r="Q211" s="14"/>
      <c r="R211" s="14"/>
      <c r="S211" s="14"/>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row>
    <row r="212" spans="2:54" s="1" customFormat="1" x14ac:dyDescent="0.25">
      <c r="B212" s="15"/>
      <c r="C212" s="15"/>
      <c r="D212" s="15"/>
      <c r="E212" s="15"/>
      <c r="F212" s="14"/>
      <c r="G212" s="14"/>
      <c r="H212" s="14"/>
      <c r="I212" s="14"/>
      <c r="J212" s="14"/>
      <c r="K212" s="14"/>
      <c r="L212" s="14"/>
      <c r="M212" s="14"/>
      <c r="N212" s="14"/>
      <c r="O212" s="14"/>
      <c r="P212" s="14"/>
      <c r="Q212" s="14"/>
      <c r="R212" s="14"/>
      <c r="S212" s="14"/>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row>
    <row r="213" spans="2:54" s="1" customFormat="1" x14ac:dyDescent="0.25">
      <c r="B213" s="15"/>
      <c r="C213" s="15"/>
      <c r="D213" s="15"/>
      <c r="E213" s="15"/>
      <c r="F213" s="14"/>
      <c r="G213" s="14"/>
      <c r="H213" s="14"/>
      <c r="I213" s="14"/>
      <c r="J213" s="14"/>
      <c r="K213" s="14"/>
      <c r="L213" s="14"/>
      <c r="M213" s="14"/>
      <c r="N213" s="14"/>
      <c r="O213" s="14"/>
      <c r="P213" s="14"/>
      <c r="Q213" s="14"/>
      <c r="R213" s="14"/>
      <c r="S213" s="14"/>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row>
    <row r="214" spans="2:54" s="1" customFormat="1" x14ac:dyDescent="0.25">
      <c r="B214" s="15"/>
      <c r="C214" s="15"/>
      <c r="D214" s="15"/>
      <c r="E214" s="15"/>
      <c r="F214" s="14"/>
      <c r="G214" s="14"/>
      <c r="H214" s="14"/>
      <c r="I214" s="14"/>
      <c r="J214" s="14"/>
      <c r="K214" s="14"/>
      <c r="L214" s="14"/>
      <c r="M214" s="14"/>
      <c r="N214" s="14"/>
      <c r="O214" s="14"/>
      <c r="P214" s="14"/>
      <c r="Q214" s="14"/>
      <c r="R214" s="14"/>
      <c r="S214" s="14"/>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row>
    <row r="215" spans="2:54" s="1" customFormat="1" x14ac:dyDescent="0.25">
      <c r="B215" s="15"/>
      <c r="C215" s="15"/>
      <c r="D215" s="15"/>
      <c r="E215" s="15"/>
      <c r="F215" s="14"/>
      <c r="G215" s="14"/>
      <c r="H215" s="14"/>
      <c r="I215" s="14"/>
      <c r="J215" s="14"/>
      <c r="K215" s="14"/>
      <c r="L215" s="14"/>
      <c r="M215" s="14"/>
      <c r="N215" s="14"/>
      <c r="O215" s="14"/>
      <c r="P215" s="14"/>
      <c r="Q215" s="14"/>
      <c r="R215" s="14"/>
      <c r="S215" s="14"/>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row>
    <row r="216" spans="2:54" s="1" customFormat="1" x14ac:dyDescent="0.25">
      <c r="B216" s="15"/>
      <c r="C216" s="15"/>
      <c r="D216" s="15"/>
      <c r="E216" s="15"/>
      <c r="F216" s="14"/>
      <c r="G216" s="14"/>
      <c r="H216" s="14"/>
      <c r="I216" s="14"/>
      <c r="J216" s="14"/>
      <c r="K216" s="14"/>
      <c r="L216" s="14"/>
      <c r="M216" s="14"/>
      <c r="N216" s="14"/>
      <c r="O216" s="14"/>
      <c r="P216" s="14"/>
      <c r="Q216" s="14"/>
      <c r="R216" s="14"/>
      <c r="S216" s="14"/>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row>
    <row r="217" spans="2:54" s="1" customFormat="1" x14ac:dyDescent="0.25">
      <c r="B217" s="15"/>
      <c r="C217" s="15"/>
      <c r="D217" s="15"/>
      <c r="E217" s="15"/>
      <c r="F217" s="14"/>
      <c r="G217" s="14"/>
      <c r="H217" s="14"/>
      <c r="I217" s="14"/>
      <c r="J217" s="14"/>
      <c r="K217" s="14"/>
      <c r="L217" s="14"/>
      <c r="M217" s="14"/>
      <c r="N217" s="14"/>
      <c r="O217" s="14"/>
      <c r="P217" s="14"/>
      <c r="Q217" s="14"/>
      <c r="R217" s="14"/>
      <c r="S217" s="14"/>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row>
    <row r="218" spans="2:54" s="1" customFormat="1" x14ac:dyDescent="0.25">
      <c r="B218" s="15"/>
      <c r="C218" s="15"/>
      <c r="D218" s="15"/>
      <c r="E218" s="15"/>
      <c r="F218" s="14"/>
      <c r="G218" s="14"/>
      <c r="H218" s="14"/>
      <c r="I218" s="14"/>
      <c r="J218" s="14"/>
      <c r="K218" s="14"/>
      <c r="L218" s="14"/>
      <c r="M218" s="14"/>
      <c r="N218" s="14"/>
      <c r="O218" s="14"/>
      <c r="P218" s="14"/>
      <c r="Q218" s="14"/>
      <c r="R218" s="14"/>
      <c r="S218" s="14"/>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row>
    <row r="219" spans="2:54" s="1" customFormat="1" x14ac:dyDescent="0.25">
      <c r="B219" s="15"/>
      <c r="C219" s="15"/>
      <c r="D219" s="15"/>
      <c r="E219" s="15"/>
      <c r="F219" s="14"/>
      <c r="G219" s="14"/>
      <c r="H219" s="14"/>
      <c r="I219" s="14"/>
      <c r="J219" s="14"/>
      <c r="K219" s="14"/>
      <c r="L219" s="14"/>
      <c r="M219" s="14"/>
      <c r="N219" s="14"/>
      <c r="O219" s="14"/>
      <c r="P219" s="14"/>
      <c r="Q219" s="14"/>
      <c r="R219" s="14"/>
      <c r="S219" s="14"/>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row>
    <row r="220" spans="2:54" s="1" customFormat="1" x14ac:dyDescent="0.25">
      <c r="B220" s="15"/>
      <c r="C220" s="15"/>
      <c r="D220" s="15"/>
      <c r="E220" s="15"/>
      <c r="F220" s="14"/>
      <c r="G220" s="14"/>
      <c r="H220" s="14"/>
      <c r="I220" s="14"/>
      <c r="J220" s="14"/>
      <c r="K220" s="14"/>
      <c r="L220" s="14"/>
      <c r="M220" s="14"/>
      <c r="N220" s="14"/>
      <c r="O220" s="14"/>
      <c r="P220" s="14"/>
      <c r="Q220" s="14"/>
      <c r="R220" s="14"/>
      <c r="S220" s="14"/>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row>
    <row r="221" spans="2:54" s="1" customFormat="1" x14ac:dyDescent="0.25">
      <c r="B221" s="15"/>
      <c r="C221" s="15"/>
      <c r="D221" s="15"/>
      <c r="E221" s="15"/>
      <c r="F221" s="14"/>
      <c r="G221" s="14"/>
      <c r="H221" s="14"/>
      <c r="I221" s="14"/>
      <c r="J221" s="14"/>
      <c r="K221" s="14"/>
      <c r="L221" s="14"/>
      <c r="M221" s="14"/>
      <c r="N221" s="14"/>
      <c r="O221" s="14"/>
      <c r="P221" s="14"/>
      <c r="Q221" s="14"/>
      <c r="R221" s="14"/>
      <c r="S221" s="14"/>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row>
    <row r="222" spans="2:54" s="1" customFormat="1" x14ac:dyDescent="0.25">
      <c r="B222" s="15"/>
      <c r="C222" s="15"/>
      <c r="D222" s="15"/>
      <c r="E222" s="15"/>
      <c r="F222" s="14"/>
      <c r="G222" s="14"/>
      <c r="H222" s="14"/>
      <c r="I222" s="14"/>
      <c r="J222" s="14"/>
      <c r="K222" s="14"/>
      <c r="L222" s="14"/>
      <c r="M222" s="14"/>
      <c r="N222" s="14"/>
      <c r="O222" s="14"/>
      <c r="P222" s="14"/>
      <c r="Q222" s="14"/>
      <c r="R222" s="14"/>
      <c r="S222" s="14"/>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row>
    <row r="223" spans="2:54" s="1" customFormat="1" x14ac:dyDescent="0.25">
      <c r="B223" s="15"/>
      <c r="C223" s="15"/>
      <c r="D223" s="15"/>
      <c r="E223" s="15"/>
      <c r="F223" s="14"/>
      <c r="G223" s="14"/>
      <c r="H223" s="14"/>
      <c r="I223" s="14"/>
      <c r="J223" s="14"/>
      <c r="K223" s="14"/>
      <c r="L223" s="14"/>
      <c r="M223" s="14"/>
      <c r="N223" s="14"/>
      <c r="O223" s="14"/>
      <c r="P223" s="14"/>
      <c r="Q223" s="14"/>
      <c r="R223" s="14"/>
      <c r="S223" s="14"/>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row>
    <row r="224" spans="2:54" s="1" customFormat="1" x14ac:dyDescent="0.25">
      <c r="B224" s="15"/>
      <c r="C224" s="15"/>
      <c r="D224" s="15"/>
      <c r="E224" s="15"/>
      <c r="F224" s="14"/>
      <c r="G224" s="14"/>
      <c r="H224" s="14"/>
      <c r="I224" s="14"/>
      <c r="J224" s="14"/>
      <c r="K224" s="14"/>
      <c r="L224" s="14"/>
      <c r="M224" s="14"/>
      <c r="N224" s="14"/>
      <c r="O224" s="14"/>
      <c r="P224" s="14"/>
      <c r="Q224" s="14"/>
      <c r="R224" s="14"/>
      <c r="S224" s="14"/>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row>
    <row r="225" spans="2:54" s="1" customFormat="1" x14ac:dyDescent="0.25">
      <c r="B225" s="15"/>
      <c r="C225" s="15"/>
      <c r="D225" s="15"/>
      <c r="E225" s="15"/>
      <c r="F225" s="14"/>
      <c r="G225" s="14"/>
      <c r="H225" s="14"/>
      <c r="I225" s="14"/>
      <c r="J225" s="14"/>
      <c r="K225" s="14"/>
      <c r="L225" s="14"/>
      <c r="M225" s="14"/>
      <c r="N225" s="14"/>
      <c r="O225" s="14"/>
      <c r="P225" s="14"/>
      <c r="Q225" s="14"/>
      <c r="R225" s="14"/>
      <c r="S225" s="14"/>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row>
    <row r="226" spans="2:54" s="1" customFormat="1" x14ac:dyDescent="0.25">
      <c r="B226" s="15"/>
      <c r="C226" s="15"/>
      <c r="D226" s="15"/>
      <c r="E226" s="15"/>
      <c r="F226" s="14"/>
      <c r="G226" s="14"/>
      <c r="H226" s="14"/>
      <c r="I226" s="14"/>
      <c r="J226" s="14"/>
      <c r="K226" s="14"/>
      <c r="L226" s="14"/>
      <c r="M226" s="14"/>
      <c r="N226" s="14"/>
      <c r="O226" s="14"/>
      <c r="P226" s="14"/>
      <c r="Q226" s="14"/>
      <c r="R226" s="14"/>
      <c r="S226" s="14"/>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row>
    <row r="227" spans="2:54" s="1" customFormat="1" x14ac:dyDescent="0.25">
      <c r="B227" s="15"/>
      <c r="C227" s="15"/>
      <c r="D227" s="15"/>
      <c r="E227" s="15"/>
      <c r="F227" s="14"/>
      <c r="G227" s="14"/>
      <c r="H227" s="14"/>
      <c r="I227" s="14"/>
      <c r="J227" s="14"/>
      <c r="K227" s="14"/>
      <c r="L227" s="14"/>
      <c r="M227" s="14"/>
      <c r="N227" s="14"/>
      <c r="O227" s="14"/>
      <c r="P227" s="14"/>
      <c r="Q227" s="14"/>
      <c r="R227" s="14"/>
      <c r="S227" s="14"/>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row>
    <row r="228" spans="2:54" s="1" customFormat="1" x14ac:dyDescent="0.25">
      <c r="B228" s="15"/>
      <c r="C228" s="15"/>
      <c r="D228" s="15"/>
      <c r="E228" s="15"/>
      <c r="F228" s="14"/>
      <c r="G228" s="14"/>
      <c r="H228" s="14"/>
      <c r="I228" s="14"/>
      <c r="J228" s="14"/>
      <c r="K228" s="14"/>
      <c r="L228" s="14"/>
      <c r="M228" s="14"/>
      <c r="N228" s="14"/>
      <c r="O228" s="14"/>
      <c r="P228" s="14"/>
      <c r="Q228" s="14"/>
      <c r="R228" s="14"/>
      <c r="S228" s="14"/>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row>
    <row r="229" spans="2:54" s="1" customFormat="1" x14ac:dyDescent="0.25">
      <c r="B229" s="15"/>
      <c r="C229" s="15"/>
      <c r="D229" s="15"/>
      <c r="E229" s="15"/>
      <c r="F229" s="14"/>
      <c r="G229" s="14"/>
      <c r="H229" s="14"/>
      <c r="I229" s="14"/>
      <c r="J229" s="14"/>
      <c r="K229" s="14"/>
      <c r="L229" s="14"/>
      <c r="M229" s="14"/>
      <c r="N229" s="14"/>
      <c r="O229" s="14"/>
      <c r="P229" s="14"/>
      <c r="Q229" s="14"/>
      <c r="R229" s="14"/>
      <c r="S229" s="14"/>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row>
    <row r="230" spans="2:54" s="1" customFormat="1" x14ac:dyDescent="0.25">
      <c r="B230" s="15"/>
      <c r="C230" s="15"/>
      <c r="D230" s="15"/>
      <c r="E230" s="15"/>
      <c r="F230" s="14"/>
      <c r="G230" s="14"/>
      <c r="H230" s="14"/>
      <c r="I230" s="14"/>
      <c r="J230" s="14"/>
      <c r="K230" s="14"/>
      <c r="L230" s="14"/>
      <c r="M230" s="14"/>
      <c r="N230" s="14"/>
      <c r="O230" s="14"/>
      <c r="P230" s="14"/>
      <c r="Q230" s="14"/>
      <c r="R230" s="14"/>
      <c r="S230" s="14"/>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row>
    <row r="231" spans="2:54" s="1" customFormat="1" x14ac:dyDescent="0.25">
      <c r="B231" s="15"/>
      <c r="C231" s="15"/>
      <c r="D231" s="15"/>
      <c r="E231" s="15"/>
      <c r="F231" s="14"/>
      <c r="G231" s="14"/>
      <c r="H231" s="14"/>
      <c r="I231" s="14"/>
      <c r="J231" s="14"/>
      <c r="K231" s="14"/>
      <c r="L231" s="14"/>
      <c r="M231" s="14"/>
      <c r="N231" s="14"/>
      <c r="O231" s="14"/>
      <c r="P231" s="14"/>
      <c r="Q231" s="14"/>
      <c r="R231" s="14"/>
      <c r="S231" s="14"/>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row>
    <row r="232" spans="2:54" s="1" customFormat="1" x14ac:dyDescent="0.25">
      <c r="B232" s="15"/>
      <c r="C232" s="15"/>
      <c r="D232" s="15"/>
      <c r="E232" s="15"/>
      <c r="F232" s="14"/>
      <c r="G232" s="14"/>
      <c r="H232" s="14"/>
      <c r="I232" s="14"/>
      <c r="J232" s="14"/>
      <c r="K232" s="14"/>
      <c r="L232" s="14"/>
      <c r="M232" s="14"/>
      <c r="N232" s="14"/>
      <c r="O232" s="14"/>
      <c r="P232" s="14"/>
      <c r="Q232" s="14"/>
      <c r="R232" s="14"/>
      <c r="S232" s="14"/>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row>
    <row r="233" spans="2:54" s="1" customFormat="1" x14ac:dyDescent="0.25">
      <c r="B233" s="15"/>
      <c r="C233" s="15"/>
      <c r="D233" s="15"/>
      <c r="E233" s="15"/>
      <c r="F233" s="14"/>
      <c r="G233" s="14"/>
      <c r="H233" s="14"/>
      <c r="I233" s="14"/>
      <c r="J233" s="14"/>
      <c r="K233" s="14"/>
      <c r="L233" s="14"/>
      <c r="M233" s="14"/>
      <c r="N233" s="14"/>
      <c r="O233" s="14"/>
      <c r="P233" s="14"/>
      <c r="Q233" s="14"/>
      <c r="R233" s="14"/>
      <c r="S233" s="14"/>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row>
    <row r="234" spans="2:54" s="1" customFormat="1" x14ac:dyDescent="0.25">
      <c r="B234" s="15"/>
      <c r="C234" s="15"/>
      <c r="D234" s="15"/>
      <c r="E234" s="15"/>
      <c r="F234" s="14"/>
      <c r="G234" s="14"/>
      <c r="H234" s="14"/>
      <c r="I234" s="14"/>
      <c r="J234" s="14"/>
      <c r="K234" s="14"/>
      <c r="L234" s="14"/>
      <c r="M234" s="14"/>
      <c r="N234" s="14"/>
      <c r="O234" s="14"/>
      <c r="P234" s="14"/>
      <c r="Q234" s="14"/>
      <c r="R234" s="14"/>
      <c r="S234" s="14"/>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row>
    <row r="235" spans="2:54" s="1" customFormat="1" x14ac:dyDescent="0.25">
      <c r="B235" s="15"/>
      <c r="C235" s="15"/>
      <c r="D235" s="15"/>
      <c r="E235" s="15"/>
      <c r="F235" s="14"/>
      <c r="G235" s="14"/>
      <c r="H235" s="14"/>
      <c r="I235" s="14"/>
      <c r="J235" s="14"/>
      <c r="K235" s="14"/>
      <c r="L235" s="14"/>
      <c r="M235" s="14"/>
      <c r="N235" s="14"/>
      <c r="O235" s="14"/>
      <c r="P235" s="14"/>
      <c r="Q235" s="14"/>
      <c r="R235" s="14"/>
      <c r="S235" s="14"/>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row>
    <row r="236" spans="2:54" s="1" customFormat="1" x14ac:dyDescent="0.25">
      <c r="B236" s="15"/>
      <c r="C236" s="15"/>
      <c r="D236" s="15"/>
      <c r="E236" s="15"/>
      <c r="F236" s="14"/>
      <c r="G236" s="14"/>
      <c r="H236" s="14"/>
      <c r="I236" s="14"/>
      <c r="J236" s="14"/>
      <c r="K236" s="14"/>
      <c r="L236" s="14"/>
      <c r="M236" s="14"/>
      <c r="N236" s="14"/>
      <c r="O236" s="14"/>
      <c r="P236" s="14"/>
      <c r="Q236" s="14"/>
      <c r="R236" s="14"/>
      <c r="S236" s="14"/>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row>
    <row r="237" spans="2:54" s="1" customFormat="1" x14ac:dyDescent="0.25">
      <c r="B237" s="15"/>
      <c r="C237" s="15"/>
      <c r="D237" s="15"/>
      <c r="E237" s="15"/>
      <c r="F237" s="14"/>
      <c r="G237" s="14"/>
      <c r="H237" s="14"/>
      <c r="I237" s="14"/>
      <c r="J237" s="14"/>
      <c r="K237" s="14"/>
      <c r="L237" s="14"/>
      <c r="M237" s="14"/>
      <c r="N237" s="14"/>
      <c r="O237" s="14"/>
      <c r="P237" s="14"/>
      <c r="Q237" s="14"/>
      <c r="R237" s="14"/>
      <c r="S237" s="14"/>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row>
    <row r="238" spans="2:54" s="1" customFormat="1" x14ac:dyDescent="0.25">
      <c r="B238" s="15"/>
      <c r="C238" s="15"/>
      <c r="D238" s="15"/>
      <c r="E238" s="15"/>
      <c r="F238" s="14"/>
      <c r="G238" s="14"/>
      <c r="H238" s="14"/>
      <c r="I238" s="14"/>
      <c r="J238" s="14"/>
      <c r="K238" s="14"/>
      <c r="L238" s="14"/>
      <c r="M238" s="14"/>
      <c r="N238" s="14"/>
      <c r="O238" s="14"/>
      <c r="P238" s="14"/>
      <c r="Q238" s="14"/>
      <c r="R238" s="14"/>
      <c r="S238" s="14"/>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row>
    <row r="239" spans="2:54" s="1" customFormat="1" x14ac:dyDescent="0.25">
      <c r="B239" s="15"/>
      <c r="C239" s="15"/>
      <c r="D239" s="15"/>
      <c r="E239" s="15"/>
      <c r="F239" s="14"/>
      <c r="G239" s="14"/>
      <c r="H239" s="14"/>
      <c r="I239" s="14"/>
      <c r="J239" s="14"/>
      <c r="K239" s="14"/>
      <c r="L239" s="14"/>
      <c r="M239" s="14"/>
      <c r="N239" s="14"/>
      <c r="O239" s="14"/>
      <c r="P239" s="14"/>
      <c r="Q239" s="14"/>
      <c r="R239" s="14"/>
      <c r="S239" s="14"/>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row>
    <row r="240" spans="2:54" s="1" customFormat="1" x14ac:dyDescent="0.25">
      <c r="B240" s="15"/>
      <c r="C240" s="15"/>
      <c r="D240" s="15"/>
      <c r="E240" s="15"/>
      <c r="F240" s="14"/>
      <c r="G240" s="14"/>
      <c r="H240" s="14"/>
      <c r="I240" s="14"/>
      <c r="J240" s="14"/>
      <c r="K240" s="14"/>
      <c r="L240" s="14"/>
      <c r="M240" s="14"/>
      <c r="N240" s="14"/>
      <c r="O240" s="14"/>
      <c r="P240" s="14"/>
      <c r="Q240" s="14"/>
      <c r="R240" s="14"/>
      <c r="S240" s="14"/>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row>
    <row r="241" spans="2:54" s="1" customFormat="1" x14ac:dyDescent="0.25">
      <c r="B241" s="15"/>
      <c r="C241" s="15"/>
      <c r="D241" s="15"/>
      <c r="E241" s="15"/>
      <c r="F241" s="14"/>
      <c r="G241" s="14"/>
      <c r="H241" s="14"/>
      <c r="I241" s="14"/>
      <c r="J241" s="14"/>
      <c r="K241" s="14"/>
      <c r="L241" s="14"/>
      <c r="M241" s="14"/>
      <c r="N241" s="14"/>
      <c r="O241" s="14"/>
      <c r="P241" s="14"/>
      <c r="Q241" s="14"/>
      <c r="R241" s="14"/>
      <c r="S241" s="14"/>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row>
    <row r="242" spans="2:54" s="1" customFormat="1" x14ac:dyDescent="0.25">
      <c r="B242" s="15"/>
      <c r="C242" s="15"/>
      <c r="D242" s="15"/>
      <c r="E242" s="15"/>
      <c r="F242" s="14"/>
      <c r="G242" s="14"/>
      <c r="H242" s="14"/>
      <c r="I242" s="14"/>
      <c r="J242" s="14"/>
      <c r="K242" s="14"/>
      <c r="L242" s="14"/>
      <c r="M242" s="14"/>
      <c r="N242" s="14"/>
      <c r="O242" s="14"/>
      <c r="P242" s="14"/>
      <c r="Q242" s="14"/>
      <c r="R242" s="14"/>
      <c r="S242" s="14"/>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row>
    <row r="243" spans="2:54" s="1" customFormat="1" x14ac:dyDescent="0.25">
      <c r="B243" s="15"/>
      <c r="C243" s="15"/>
      <c r="D243" s="15"/>
      <c r="E243" s="15"/>
      <c r="F243" s="14"/>
      <c r="G243" s="14"/>
      <c r="H243" s="14"/>
      <c r="I243" s="14"/>
      <c r="J243" s="14"/>
      <c r="K243" s="14"/>
      <c r="L243" s="14"/>
      <c r="M243" s="14"/>
      <c r="N243" s="14"/>
      <c r="O243" s="14"/>
      <c r="P243" s="14"/>
      <c r="Q243" s="14"/>
      <c r="R243" s="14"/>
      <c r="S243" s="14"/>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row>
    <row r="244" spans="2:54" s="1" customFormat="1" x14ac:dyDescent="0.25">
      <c r="B244" s="15"/>
      <c r="C244" s="15"/>
      <c r="D244" s="15"/>
      <c r="E244" s="15"/>
      <c r="F244" s="14"/>
      <c r="G244" s="14"/>
      <c r="H244" s="14"/>
      <c r="I244" s="14"/>
      <c r="J244" s="14"/>
      <c r="K244" s="14"/>
      <c r="L244" s="14"/>
      <c r="M244" s="14"/>
      <c r="N244" s="14"/>
      <c r="O244" s="14"/>
      <c r="P244" s="14"/>
      <c r="Q244" s="14"/>
      <c r="R244" s="14"/>
      <c r="S244" s="14"/>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row>
    <row r="245" spans="2:54" s="1" customFormat="1" x14ac:dyDescent="0.25">
      <c r="B245" s="15"/>
      <c r="C245" s="15"/>
      <c r="D245" s="15"/>
      <c r="E245" s="15"/>
      <c r="F245" s="14"/>
      <c r="G245" s="14"/>
      <c r="H245" s="14"/>
      <c r="I245" s="14"/>
      <c r="J245" s="14"/>
      <c r="K245" s="14"/>
      <c r="L245" s="14"/>
      <c r="M245" s="14"/>
      <c r="N245" s="14"/>
      <c r="O245" s="14"/>
      <c r="P245" s="14"/>
      <c r="Q245" s="14"/>
      <c r="R245" s="14"/>
      <c r="S245" s="14"/>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row>
    <row r="246" spans="2:54" s="1" customFormat="1" x14ac:dyDescent="0.25">
      <c r="B246" s="15"/>
      <c r="C246" s="15"/>
      <c r="D246" s="15"/>
      <c r="E246" s="15"/>
      <c r="F246" s="14"/>
      <c r="G246" s="14"/>
      <c r="H246" s="14"/>
      <c r="I246" s="14"/>
      <c r="J246" s="14"/>
      <c r="K246" s="14"/>
      <c r="L246" s="14"/>
      <c r="M246" s="14"/>
      <c r="N246" s="14"/>
      <c r="O246" s="14"/>
      <c r="P246" s="14"/>
      <c r="Q246" s="14"/>
      <c r="R246" s="14"/>
      <c r="S246" s="14"/>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row>
    <row r="247" spans="2:54" s="1" customFormat="1" x14ac:dyDescent="0.25">
      <c r="B247" s="15"/>
      <c r="C247" s="15"/>
      <c r="D247" s="15"/>
      <c r="E247" s="15"/>
      <c r="F247" s="14"/>
      <c r="G247" s="14"/>
      <c r="H247" s="14"/>
      <c r="I247" s="14"/>
      <c r="J247" s="14"/>
      <c r="K247" s="14"/>
      <c r="L247" s="14"/>
      <c r="M247" s="14"/>
      <c r="N247" s="14"/>
      <c r="O247" s="14"/>
      <c r="P247" s="14"/>
      <c r="Q247" s="14"/>
      <c r="R247" s="14"/>
      <c r="S247" s="14"/>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row>
    <row r="248" spans="2:54" s="1" customFormat="1" x14ac:dyDescent="0.25">
      <c r="B248" s="15"/>
      <c r="C248" s="15"/>
      <c r="D248" s="15"/>
      <c r="E248" s="15"/>
      <c r="F248" s="14"/>
      <c r="G248" s="14"/>
      <c r="H248" s="14"/>
      <c r="I248" s="14"/>
      <c r="J248" s="14"/>
      <c r="K248" s="14"/>
      <c r="L248" s="14"/>
      <c r="M248" s="14"/>
      <c r="N248" s="14"/>
      <c r="O248" s="14"/>
      <c r="P248" s="14"/>
      <c r="Q248" s="14"/>
      <c r="R248" s="14"/>
      <c r="S248" s="14"/>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row>
    <row r="249" spans="2:54" s="1" customFormat="1" x14ac:dyDescent="0.25">
      <c r="B249" s="15"/>
      <c r="C249" s="15"/>
      <c r="D249" s="15"/>
      <c r="E249" s="15"/>
      <c r="F249" s="14"/>
      <c r="G249" s="14"/>
      <c r="H249" s="14"/>
      <c r="I249" s="14"/>
      <c r="J249" s="14"/>
      <c r="K249" s="14"/>
      <c r="L249" s="14"/>
      <c r="M249" s="14"/>
      <c r="N249" s="14"/>
      <c r="O249" s="14"/>
      <c r="P249" s="14"/>
      <c r="Q249" s="14"/>
      <c r="R249" s="14"/>
      <c r="S249" s="14"/>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row>
    <row r="250" spans="2:54" s="1" customFormat="1" x14ac:dyDescent="0.25">
      <c r="B250" s="15"/>
      <c r="C250" s="15"/>
      <c r="D250" s="15"/>
      <c r="E250" s="15"/>
      <c r="F250" s="14"/>
      <c r="G250" s="14"/>
      <c r="H250" s="14"/>
      <c r="I250" s="14"/>
      <c r="J250" s="14"/>
      <c r="K250" s="14"/>
      <c r="L250" s="14"/>
      <c r="M250" s="14"/>
      <c r="N250" s="14"/>
      <c r="O250" s="14"/>
      <c r="P250" s="14"/>
      <c r="Q250" s="14"/>
      <c r="R250" s="14"/>
      <c r="S250" s="14"/>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row>
    <row r="251" spans="2:54" s="1" customFormat="1" x14ac:dyDescent="0.25">
      <c r="B251" s="15"/>
      <c r="C251" s="15"/>
      <c r="D251" s="15"/>
      <c r="E251" s="15"/>
      <c r="F251" s="14"/>
      <c r="G251" s="14"/>
      <c r="H251" s="14"/>
      <c r="I251" s="14"/>
      <c r="J251" s="14"/>
      <c r="K251" s="14"/>
      <c r="L251" s="14"/>
      <c r="M251" s="14"/>
      <c r="N251" s="14"/>
      <c r="O251" s="14"/>
      <c r="P251" s="14"/>
      <c r="Q251" s="14"/>
      <c r="R251" s="14"/>
      <c r="S251" s="14"/>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row>
    <row r="252" spans="2:54" s="1" customFormat="1" x14ac:dyDescent="0.25">
      <c r="B252" s="15"/>
      <c r="C252" s="15"/>
      <c r="D252" s="15"/>
      <c r="E252" s="15"/>
      <c r="F252" s="14"/>
      <c r="G252" s="14"/>
      <c r="H252" s="14"/>
      <c r="I252" s="14"/>
      <c r="J252" s="14"/>
      <c r="K252" s="14"/>
      <c r="L252" s="14"/>
      <c r="M252" s="14"/>
      <c r="N252" s="14"/>
      <c r="O252" s="14"/>
      <c r="P252" s="14"/>
      <c r="Q252" s="14"/>
      <c r="R252" s="14"/>
      <c r="S252" s="14"/>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row>
    <row r="253" spans="2:54" s="1" customFormat="1" x14ac:dyDescent="0.25">
      <c r="B253" s="15"/>
      <c r="C253" s="15"/>
      <c r="D253" s="15"/>
      <c r="E253" s="15"/>
      <c r="F253" s="14"/>
      <c r="G253" s="14"/>
      <c r="H253" s="14"/>
      <c r="I253" s="14"/>
      <c r="J253" s="14"/>
      <c r="K253" s="14"/>
      <c r="L253" s="14"/>
      <c r="M253" s="14"/>
      <c r="N253" s="14"/>
      <c r="O253" s="14"/>
      <c r="P253" s="14"/>
      <c r="Q253" s="14"/>
      <c r="R253" s="14"/>
      <c r="S253" s="14"/>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row>
    <row r="254" spans="2:54" s="1" customFormat="1" x14ac:dyDescent="0.25">
      <c r="B254" s="15"/>
      <c r="C254" s="15"/>
      <c r="D254" s="15"/>
      <c r="E254" s="15"/>
      <c r="F254" s="14"/>
      <c r="G254" s="14"/>
      <c r="H254" s="14"/>
      <c r="I254" s="14"/>
      <c r="J254" s="14"/>
      <c r="K254" s="14"/>
      <c r="L254" s="14"/>
      <c r="M254" s="14"/>
      <c r="N254" s="14"/>
      <c r="O254" s="14"/>
      <c r="P254" s="14"/>
      <c r="Q254" s="14"/>
      <c r="R254" s="14"/>
      <c r="S254" s="14"/>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row>
    <row r="255" spans="2:54" s="1" customFormat="1" x14ac:dyDescent="0.25">
      <c r="B255" s="15"/>
      <c r="C255" s="15"/>
      <c r="D255" s="15"/>
      <c r="E255" s="15"/>
      <c r="F255" s="14"/>
      <c r="G255" s="14"/>
      <c r="H255" s="14"/>
      <c r="I255" s="14"/>
      <c r="J255" s="14"/>
      <c r="K255" s="14"/>
      <c r="L255" s="14"/>
      <c r="M255" s="14"/>
      <c r="N255" s="14"/>
      <c r="O255" s="14"/>
      <c r="P255" s="14"/>
      <c r="Q255" s="14"/>
      <c r="R255" s="14"/>
      <c r="S255" s="14"/>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row>
    <row r="256" spans="2:54" s="1" customFormat="1" x14ac:dyDescent="0.25">
      <c r="B256" s="15"/>
      <c r="C256" s="15"/>
      <c r="D256" s="15"/>
      <c r="E256" s="15"/>
      <c r="F256" s="14"/>
      <c r="G256" s="14"/>
      <c r="H256" s="14"/>
      <c r="I256" s="14"/>
      <c r="J256" s="14"/>
      <c r="K256" s="14"/>
      <c r="L256" s="14"/>
      <c r="M256" s="14"/>
      <c r="N256" s="14"/>
      <c r="O256" s="14"/>
      <c r="P256" s="14"/>
      <c r="Q256" s="14"/>
      <c r="R256" s="14"/>
      <c r="S256" s="14"/>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row>
    <row r="257" spans="2:54" s="1" customFormat="1" x14ac:dyDescent="0.25">
      <c r="B257" s="15"/>
      <c r="C257" s="15"/>
      <c r="D257" s="15"/>
      <c r="E257" s="15"/>
      <c r="F257" s="14"/>
      <c r="G257" s="14"/>
      <c r="H257" s="14"/>
      <c r="I257" s="14"/>
      <c r="J257" s="14"/>
      <c r="K257" s="14"/>
      <c r="L257" s="14"/>
      <c r="M257" s="14"/>
      <c r="N257" s="14"/>
      <c r="O257" s="14"/>
      <c r="P257" s="14"/>
      <c r="Q257" s="14"/>
      <c r="R257" s="14"/>
      <c r="S257" s="14"/>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row>
    <row r="258" spans="2:54" s="1" customFormat="1" x14ac:dyDescent="0.25">
      <c r="B258" s="15"/>
      <c r="C258" s="15"/>
      <c r="D258" s="15"/>
      <c r="E258" s="15"/>
      <c r="F258" s="14"/>
      <c r="G258" s="14"/>
      <c r="H258" s="14"/>
      <c r="I258" s="14"/>
      <c r="J258" s="14"/>
      <c r="K258" s="14"/>
      <c r="L258" s="14"/>
      <c r="M258" s="14"/>
      <c r="N258" s="14"/>
      <c r="O258" s="14"/>
      <c r="P258" s="14"/>
      <c r="Q258" s="14"/>
      <c r="R258" s="14"/>
      <c r="S258" s="14"/>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row>
    <row r="259" spans="2:54" s="1" customFormat="1" x14ac:dyDescent="0.25">
      <c r="B259" s="15"/>
      <c r="C259" s="15"/>
      <c r="D259" s="15"/>
      <c r="E259" s="15"/>
      <c r="F259" s="14"/>
      <c r="G259" s="14"/>
      <c r="H259" s="14"/>
      <c r="I259" s="14"/>
      <c r="J259" s="14"/>
      <c r="K259" s="14"/>
      <c r="L259" s="14"/>
      <c r="M259" s="14"/>
      <c r="N259" s="14"/>
      <c r="O259" s="14"/>
      <c r="P259" s="14"/>
      <c r="Q259" s="14"/>
      <c r="R259" s="14"/>
      <c r="S259" s="14"/>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row>
    <row r="260" spans="2:54" s="1" customFormat="1" x14ac:dyDescent="0.25">
      <c r="B260" s="15"/>
      <c r="C260" s="15"/>
      <c r="D260" s="15"/>
      <c r="E260" s="15"/>
      <c r="F260" s="14"/>
      <c r="G260" s="14"/>
      <c r="H260" s="14"/>
      <c r="I260" s="14"/>
      <c r="J260" s="14"/>
      <c r="K260" s="14"/>
      <c r="L260" s="14"/>
      <c r="M260" s="14"/>
      <c r="N260" s="14"/>
      <c r="O260" s="14"/>
      <c r="P260" s="14"/>
      <c r="Q260" s="14"/>
      <c r="R260" s="14"/>
      <c r="S260" s="14"/>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row>
    <row r="261" spans="2:54" s="1" customFormat="1" x14ac:dyDescent="0.25">
      <c r="B261" s="15"/>
      <c r="C261" s="15"/>
      <c r="D261" s="15"/>
      <c r="E261" s="15"/>
      <c r="F261" s="14"/>
      <c r="G261" s="14"/>
      <c r="H261" s="14"/>
      <c r="I261" s="14"/>
      <c r="J261" s="14"/>
      <c r="K261" s="14"/>
      <c r="L261" s="14"/>
      <c r="M261" s="14"/>
      <c r="N261" s="14"/>
      <c r="O261" s="14"/>
      <c r="P261" s="14"/>
      <c r="Q261" s="14"/>
      <c r="R261" s="14"/>
      <c r="S261" s="14"/>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row>
    <row r="262" spans="2:54" s="1" customFormat="1" x14ac:dyDescent="0.25">
      <c r="B262" s="15"/>
      <c r="C262" s="15"/>
      <c r="D262" s="15"/>
      <c r="E262" s="15"/>
      <c r="F262" s="14"/>
      <c r="G262" s="14"/>
      <c r="H262" s="14"/>
      <c r="I262" s="14"/>
      <c r="J262" s="14"/>
      <c r="K262" s="14"/>
      <c r="L262" s="14"/>
      <c r="M262" s="14"/>
      <c r="N262" s="14"/>
      <c r="O262" s="14"/>
      <c r="P262" s="14"/>
      <c r="Q262" s="14"/>
      <c r="R262" s="14"/>
      <c r="S262" s="14"/>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row>
    <row r="263" spans="2:54" s="1" customFormat="1" x14ac:dyDescent="0.25">
      <c r="B263" s="15"/>
      <c r="C263" s="15"/>
      <c r="D263" s="15"/>
      <c r="E263" s="15"/>
      <c r="F263" s="14"/>
      <c r="G263" s="14"/>
      <c r="H263" s="14"/>
      <c r="I263" s="14"/>
      <c r="J263" s="14"/>
      <c r="K263" s="14"/>
      <c r="L263" s="14"/>
      <c r="M263" s="14"/>
      <c r="N263" s="14"/>
      <c r="O263" s="14"/>
      <c r="P263" s="14"/>
      <c r="Q263" s="14"/>
      <c r="R263" s="14"/>
      <c r="S263" s="14"/>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row>
    <row r="264" spans="2:54" s="1" customFormat="1" x14ac:dyDescent="0.25">
      <c r="B264" s="15"/>
      <c r="C264" s="15"/>
      <c r="D264" s="15"/>
      <c r="E264" s="15"/>
      <c r="F264" s="14"/>
      <c r="G264" s="14"/>
      <c r="H264" s="14"/>
      <c r="I264" s="14"/>
      <c r="J264" s="14"/>
      <c r="K264" s="14"/>
      <c r="L264" s="14"/>
      <c r="M264" s="14"/>
      <c r="N264" s="14"/>
      <c r="O264" s="14"/>
      <c r="P264" s="14"/>
      <c r="Q264" s="14"/>
      <c r="R264" s="14"/>
      <c r="S264" s="14"/>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row>
    <row r="265" spans="2:54" s="1" customFormat="1" x14ac:dyDescent="0.25">
      <c r="B265" s="15"/>
      <c r="C265" s="15"/>
      <c r="D265" s="15"/>
      <c r="E265" s="15"/>
      <c r="F265" s="14"/>
      <c r="G265" s="14"/>
      <c r="H265" s="14"/>
      <c r="I265" s="14"/>
      <c r="J265" s="14"/>
      <c r="K265" s="14"/>
      <c r="L265" s="14"/>
      <c r="M265" s="14"/>
      <c r="N265" s="14"/>
      <c r="O265" s="14"/>
      <c r="P265" s="14"/>
      <c r="Q265" s="14"/>
      <c r="R265" s="14"/>
      <c r="S265" s="14"/>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row>
    <row r="266" spans="2:54" s="1" customFormat="1" x14ac:dyDescent="0.25">
      <c r="B266" s="15"/>
      <c r="C266" s="15"/>
      <c r="D266" s="15"/>
      <c r="E266" s="15"/>
      <c r="F266" s="14"/>
      <c r="G266" s="14"/>
      <c r="H266" s="14"/>
      <c r="I266" s="14"/>
      <c r="J266" s="14"/>
      <c r="K266" s="14"/>
      <c r="L266" s="14"/>
      <c r="M266" s="14"/>
      <c r="N266" s="14"/>
      <c r="O266" s="14"/>
      <c r="P266" s="14"/>
      <c r="Q266" s="14"/>
      <c r="R266" s="14"/>
      <c r="S266" s="14"/>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row>
    <row r="267" spans="2:54" s="1" customFormat="1" x14ac:dyDescent="0.25">
      <c r="B267" s="15"/>
      <c r="C267" s="15"/>
      <c r="D267" s="15"/>
      <c r="E267" s="15"/>
      <c r="F267" s="14"/>
      <c r="G267" s="14"/>
      <c r="H267" s="14"/>
      <c r="I267" s="14"/>
      <c r="J267" s="14"/>
      <c r="K267" s="14"/>
      <c r="L267" s="14"/>
      <c r="M267" s="14"/>
      <c r="N267" s="14"/>
      <c r="O267" s="14"/>
      <c r="P267" s="14"/>
      <c r="Q267" s="14"/>
      <c r="R267" s="14"/>
      <c r="S267" s="14"/>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row>
    <row r="268" spans="2:54" s="1" customFormat="1" x14ac:dyDescent="0.25">
      <c r="B268" s="15"/>
      <c r="C268" s="15"/>
      <c r="D268" s="15"/>
      <c r="E268" s="15"/>
      <c r="F268" s="14"/>
      <c r="G268" s="14"/>
      <c r="H268" s="14"/>
      <c r="I268" s="14"/>
      <c r="J268" s="14"/>
      <c r="K268" s="14"/>
      <c r="L268" s="14"/>
      <c r="M268" s="14"/>
      <c r="N268" s="14"/>
      <c r="O268" s="14"/>
      <c r="P268" s="14"/>
      <c r="Q268" s="14"/>
      <c r="R268" s="14"/>
      <c r="S268" s="14"/>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row>
    <row r="269" spans="2:54" s="1" customFormat="1" x14ac:dyDescent="0.25">
      <c r="B269" s="15"/>
      <c r="C269" s="15"/>
      <c r="D269" s="15"/>
      <c r="E269" s="15"/>
      <c r="F269" s="14"/>
      <c r="G269" s="14"/>
      <c r="H269" s="14"/>
      <c r="I269" s="14"/>
      <c r="J269" s="14"/>
      <c r="K269" s="14"/>
      <c r="L269" s="14"/>
      <c r="M269" s="14"/>
      <c r="N269" s="14"/>
      <c r="O269" s="14"/>
      <c r="P269" s="14"/>
      <c r="Q269" s="14"/>
      <c r="R269" s="14"/>
      <c r="S269" s="14"/>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row>
    <row r="270" spans="2:54" s="1" customFormat="1" x14ac:dyDescent="0.25">
      <c r="B270" s="15"/>
      <c r="C270" s="15"/>
      <c r="D270" s="15"/>
      <c r="E270" s="15"/>
      <c r="F270" s="14"/>
      <c r="G270" s="14"/>
      <c r="H270" s="14"/>
      <c r="I270" s="14"/>
      <c r="J270" s="14"/>
      <c r="K270" s="14"/>
      <c r="L270" s="14"/>
      <c r="M270" s="14"/>
      <c r="N270" s="14"/>
      <c r="O270" s="14"/>
      <c r="P270" s="14"/>
      <c r="Q270" s="14"/>
      <c r="R270" s="14"/>
      <c r="S270" s="14"/>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row>
    <row r="271" spans="2:54" s="1" customFormat="1" x14ac:dyDescent="0.25">
      <c r="B271" s="15"/>
      <c r="C271" s="15"/>
      <c r="D271" s="15"/>
      <c r="E271" s="15"/>
      <c r="F271" s="14"/>
      <c r="G271" s="14"/>
      <c r="H271" s="14"/>
      <c r="I271" s="14"/>
      <c r="J271" s="14"/>
      <c r="K271" s="14"/>
      <c r="L271" s="14"/>
      <c r="M271" s="14"/>
      <c r="N271" s="14"/>
      <c r="O271" s="14"/>
      <c r="P271" s="14"/>
      <c r="Q271" s="14"/>
      <c r="R271" s="14"/>
      <c r="S271" s="14"/>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row>
    <row r="272" spans="2:54" s="1" customFormat="1" x14ac:dyDescent="0.25">
      <c r="B272" s="15"/>
      <c r="C272" s="15"/>
      <c r="D272" s="15"/>
      <c r="E272" s="15"/>
      <c r="F272" s="14"/>
      <c r="G272" s="14"/>
      <c r="H272" s="14"/>
      <c r="I272" s="14"/>
      <c r="J272" s="14"/>
      <c r="K272" s="14"/>
      <c r="L272" s="14"/>
      <c r="M272" s="14"/>
      <c r="N272" s="14"/>
      <c r="O272" s="14"/>
      <c r="P272" s="14"/>
      <c r="Q272" s="14"/>
      <c r="R272" s="14"/>
      <c r="S272" s="14"/>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row>
    <row r="273" spans="2:54" s="1" customFormat="1" x14ac:dyDescent="0.25">
      <c r="B273" s="15"/>
      <c r="C273" s="15"/>
      <c r="D273" s="15"/>
      <c r="E273" s="15"/>
      <c r="F273" s="14"/>
      <c r="G273" s="14"/>
      <c r="H273" s="14"/>
      <c r="I273" s="14"/>
      <c r="J273" s="14"/>
      <c r="K273" s="14"/>
      <c r="L273" s="14"/>
      <c r="M273" s="14"/>
      <c r="N273" s="14"/>
      <c r="O273" s="14"/>
      <c r="P273" s="14"/>
      <c r="Q273" s="14"/>
      <c r="R273" s="14"/>
      <c r="S273" s="14"/>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row>
    <row r="274" spans="2:54" s="1" customFormat="1" x14ac:dyDescent="0.25">
      <c r="B274" s="15"/>
      <c r="C274" s="15"/>
      <c r="D274" s="15"/>
      <c r="E274" s="15"/>
      <c r="F274" s="14"/>
      <c r="G274" s="14"/>
      <c r="H274" s="14"/>
      <c r="I274" s="14"/>
      <c r="J274" s="14"/>
      <c r="K274" s="14"/>
      <c r="L274" s="14"/>
      <c r="M274" s="14"/>
      <c r="N274" s="14"/>
      <c r="O274" s="14"/>
      <c r="P274" s="14"/>
      <c r="Q274" s="14"/>
      <c r="R274" s="14"/>
      <c r="S274" s="14"/>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row>
    <row r="275" spans="2:54" s="1" customFormat="1" x14ac:dyDescent="0.25">
      <c r="B275" s="15"/>
      <c r="C275" s="15"/>
      <c r="D275" s="15"/>
      <c r="E275" s="15"/>
      <c r="F275" s="14"/>
      <c r="G275" s="14"/>
      <c r="H275" s="14"/>
      <c r="I275" s="14"/>
      <c r="J275" s="14"/>
      <c r="K275" s="14"/>
      <c r="L275" s="14"/>
      <c r="M275" s="14"/>
      <c r="N275" s="14"/>
      <c r="O275" s="14"/>
      <c r="P275" s="14"/>
      <c r="Q275" s="14"/>
      <c r="R275" s="14"/>
      <c r="S275" s="14"/>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row>
    <row r="276" spans="2:54" s="1" customFormat="1" x14ac:dyDescent="0.25">
      <c r="B276" s="15"/>
      <c r="C276" s="15"/>
      <c r="D276" s="15"/>
      <c r="E276" s="15"/>
      <c r="F276" s="14"/>
      <c r="G276" s="14"/>
      <c r="H276" s="14"/>
      <c r="I276" s="14"/>
      <c r="J276" s="14"/>
      <c r="K276" s="14"/>
      <c r="L276" s="14"/>
      <c r="M276" s="14"/>
      <c r="N276" s="14"/>
      <c r="O276" s="14"/>
      <c r="P276" s="14"/>
      <c r="Q276" s="14"/>
      <c r="R276" s="14"/>
      <c r="S276" s="14"/>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row>
    <row r="277" spans="2:54" s="1" customFormat="1" x14ac:dyDescent="0.25">
      <c r="B277" s="15"/>
      <c r="C277" s="15"/>
      <c r="D277" s="15"/>
      <c r="E277" s="15"/>
      <c r="F277" s="14"/>
      <c r="G277" s="14"/>
      <c r="H277" s="14"/>
      <c r="I277" s="14"/>
      <c r="J277" s="14"/>
      <c r="K277" s="14"/>
      <c r="L277" s="14"/>
      <c r="M277" s="14"/>
      <c r="N277" s="14"/>
      <c r="O277" s="14"/>
      <c r="P277" s="14"/>
      <c r="Q277" s="14"/>
      <c r="R277" s="14"/>
      <c r="S277" s="14"/>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row>
    <row r="278" spans="2:54" s="1" customFormat="1" x14ac:dyDescent="0.25">
      <c r="B278" s="15"/>
      <c r="C278" s="15"/>
      <c r="D278" s="15"/>
      <c r="E278" s="15"/>
      <c r="F278" s="14"/>
      <c r="G278" s="14"/>
      <c r="H278" s="14"/>
      <c r="I278" s="14"/>
      <c r="J278" s="14"/>
      <c r="K278" s="14"/>
      <c r="L278" s="14"/>
      <c r="M278" s="14"/>
      <c r="N278" s="14"/>
      <c r="O278" s="14"/>
      <c r="P278" s="14"/>
      <c r="Q278" s="14"/>
      <c r="R278" s="14"/>
      <c r="S278" s="14"/>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row>
    <row r="279" spans="2:54" s="1" customFormat="1" x14ac:dyDescent="0.25">
      <c r="B279" s="15"/>
      <c r="C279" s="15"/>
      <c r="D279" s="15"/>
      <c r="E279" s="15"/>
      <c r="F279" s="14"/>
      <c r="G279" s="14"/>
      <c r="H279" s="14"/>
      <c r="I279" s="14"/>
      <c r="J279" s="14"/>
      <c r="K279" s="14"/>
      <c r="L279" s="14"/>
      <c r="M279" s="14"/>
      <c r="N279" s="14"/>
      <c r="O279" s="14"/>
      <c r="P279" s="14"/>
      <c r="Q279" s="14"/>
      <c r="R279" s="14"/>
      <c r="S279" s="14"/>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row>
    <row r="280" spans="2:54" s="1" customFormat="1" x14ac:dyDescent="0.25">
      <c r="B280" s="15"/>
      <c r="C280" s="15"/>
      <c r="D280" s="15"/>
      <c r="E280" s="15"/>
      <c r="F280" s="14"/>
      <c r="G280" s="14"/>
      <c r="H280" s="14"/>
      <c r="I280" s="14"/>
      <c r="J280" s="14"/>
      <c r="K280" s="14"/>
      <c r="L280" s="14"/>
      <c r="M280" s="14"/>
      <c r="N280" s="14"/>
      <c r="O280" s="14"/>
      <c r="P280" s="14"/>
      <c r="Q280" s="14"/>
      <c r="R280" s="14"/>
      <c r="S280" s="14"/>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row>
    <row r="281" spans="2:54" s="1" customFormat="1" x14ac:dyDescent="0.25">
      <c r="B281" s="15"/>
      <c r="C281" s="15"/>
      <c r="D281" s="15"/>
      <c r="E281" s="15"/>
      <c r="F281" s="14"/>
      <c r="G281" s="14"/>
      <c r="H281" s="14"/>
      <c r="I281" s="14"/>
      <c r="J281" s="14"/>
      <c r="K281" s="14"/>
      <c r="L281" s="14"/>
      <c r="M281" s="14"/>
      <c r="N281" s="14"/>
      <c r="O281" s="14"/>
      <c r="P281" s="14"/>
      <c r="Q281" s="14"/>
      <c r="R281" s="14"/>
      <c r="S281" s="14"/>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row>
    <row r="282" spans="2:54" s="1" customFormat="1" x14ac:dyDescent="0.25">
      <c r="B282" s="15"/>
      <c r="C282" s="15"/>
      <c r="D282" s="15"/>
      <c r="E282" s="15"/>
      <c r="F282" s="14"/>
      <c r="G282" s="14"/>
      <c r="H282" s="14"/>
      <c r="I282" s="14"/>
      <c r="J282" s="14"/>
      <c r="K282" s="14"/>
      <c r="L282" s="14"/>
      <c r="M282" s="14"/>
      <c r="N282" s="14"/>
      <c r="O282" s="14"/>
      <c r="P282" s="14"/>
      <c r="Q282" s="14"/>
      <c r="R282" s="14"/>
      <c r="S282" s="14"/>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row>
    <row r="283" spans="2:54" s="1" customFormat="1" x14ac:dyDescent="0.25">
      <c r="B283" s="15"/>
      <c r="C283" s="15"/>
      <c r="D283" s="15"/>
      <c r="E283" s="15"/>
      <c r="F283" s="14"/>
      <c r="G283" s="14"/>
      <c r="H283" s="14"/>
      <c r="I283" s="14"/>
      <c r="J283" s="14"/>
      <c r="K283" s="14"/>
      <c r="L283" s="14"/>
      <c r="M283" s="14"/>
      <c r="N283" s="14"/>
      <c r="O283" s="14"/>
      <c r="P283" s="14"/>
      <c r="Q283" s="14"/>
      <c r="R283" s="14"/>
      <c r="S283" s="14"/>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row>
    <row r="284" spans="2:54" s="1" customFormat="1" x14ac:dyDescent="0.25">
      <c r="B284" s="15"/>
      <c r="C284" s="15"/>
      <c r="D284" s="15"/>
      <c r="E284" s="15"/>
      <c r="F284" s="14"/>
      <c r="G284" s="14"/>
      <c r="H284" s="14"/>
      <c r="I284" s="14"/>
      <c r="J284" s="14"/>
      <c r="K284" s="14"/>
      <c r="L284" s="14"/>
      <c r="M284" s="14"/>
      <c r="N284" s="14"/>
      <c r="O284" s="14"/>
      <c r="P284" s="14"/>
      <c r="Q284" s="14"/>
      <c r="R284" s="14"/>
      <c r="S284" s="14"/>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row>
    <row r="285" spans="2:54" s="1" customFormat="1" x14ac:dyDescent="0.25">
      <c r="B285" s="15"/>
      <c r="C285" s="15"/>
      <c r="D285" s="15"/>
      <c r="E285" s="15"/>
      <c r="F285" s="14"/>
      <c r="G285" s="14"/>
      <c r="H285" s="14"/>
      <c r="I285" s="14"/>
      <c r="J285" s="14"/>
      <c r="K285" s="14"/>
      <c r="L285" s="14"/>
      <c r="M285" s="14"/>
      <c r="N285" s="14"/>
      <c r="O285" s="14"/>
      <c r="P285" s="14"/>
      <c r="Q285" s="14"/>
      <c r="R285" s="14"/>
      <c r="S285" s="14"/>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row>
    <row r="286" spans="2:54" s="1" customFormat="1" x14ac:dyDescent="0.25">
      <c r="B286" s="15"/>
      <c r="C286" s="15"/>
      <c r="D286" s="15"/>
      <c r="E286" s="15"/>
      <c r="F286" s="14"/>
      <c r="G286" s="14"/>
      <c r="H286" s="14"/>
      <c r="I286" s="14"/>
      <c r="J286" s="14"/>
      <c r="K286" s="14"/>
      <c r="L286" s="14"/>
      <c r="M286" s="14"/>
      <c r="N286" s="14"/>
      <c r="O286" s="14"/>
      <c r="P286" s="14"/>
      <c r="Q286" s="14"/>
      <c r="R286" s="14"/>
      <c r="S286" s="14"/>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row>
    <row r="287" spans="2:54" s="1" customFormat="1" x14ac:dyDescent="0.25">
      <c r="B287" s="15"/>
      <c r="C287" s="15"/>
      <c r="D287" s="15"/>
      <c r="E287" s="15"/>
      <c r="F287" s="14"/>
      <c r="G287" s="14"/>
      <c r="H287" s="14"/>
      <c r="I287" s="14"/>
      <c r="J287" s="14"/>
      <c r="K287" s="14"/>
      <c r="L287" s="14"/>
      <c r="M287" s="14"/>
      <c r="N287" s="14"/>
      <c r="O287" s="14"/>
      <c r="P287" s="14"/>
      <c r="Q287" s="14"/>
      <c r="R287" s="14"/>
      <c r="S287" s="14"/>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row>
    <row r="288" spans="2:54" s="1" customFormat="1" x14ac:dyDescent="0.25">
      <c r="B288" s="15"/>
      <c r="C288" s="15"/>
      <c r="D288" s="15"/>
      <c r="E288" s="15"/>
      <c r="F288" s="14"/>
      <c r="G288" s="14"/>
      <c r="H288" s="14"/>
      <c r="I288" s="14"/>
      <c r="J288" s="14"/>
      <c r="K288" s="14"/>
      <c r="L288" s="14"/>
      <c r="M288" s="14"/>
      <c r="N288" s="14"/>
      <c r="O288" s="14"/>
      <c r="P288" s="14"/>
      <c r="Q288" s="14"/>
      <c r="R288" s="14"/>
      <c r="S288" s="14"/>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row>
    <row r="289" spans="2:54" s="1" customFormat="1" x14ac:dyDescent="0.25">
      <c r="B289" s="15"/>
      <c r="C289" s="15"/>
      <c r="D289" s="15"/>
      <c r="E289" s="15"/>
      <c r="F289" s="14"/>
      <c r="G289" s="14"/>
      <c r="H289" s="14"/>
      <c r="I289" s="14"/>
      <c r="J289" s="14"/>
      <c r="K289" s="14"/>
      <c r="L289" s="14"/>
      <c r="M289" s="14"/>
      <c r="N289" s="14"/>
      <c r="O289" s="14"/>
      <c r="P289" s="14"/>
      <c r="Q289" s="14"/>
      <c r="R289" s="14"/>
      <c r="S289" s="14"/>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row>
    <row r="290" spans="2:54" s="1" customFormat="1" x14ac:dyDescent="0.25">
      <c r="B290" s="15"/>
      <c r="C290" s="15"/>
      <c r="D290" s="15"/>
      <c r="E290" s="15"/>
      <c r="F290" s="14"/>
      <c r="G290" s="14"/>
      <c r="H290" s="14"/>
      <c r="I290" s="14"/>
      <c r="J290" s="14"/>
      <c r="K290" s="14"/>
      <c r="L290" s="14"/>
      <c r="M290" s="14"/>
      <c r="N290" s="14"/>
      <c r="O290" s="14"/>
      <c r="P290" s="14"/>
      <c r="Q290" s="14"/>
      <c r="R290" s="14"/>
      <c r="S290" s="14"/>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row>
    <row r="291" spans="2:54" s="1" customFormat="1" x14ac:dyDescent="0.25">
      <c r="B291" s="15"/>
      <c r="C291" s="15"/>
      <c r="D291" s="15"/>
      <c r="E291" s="15"/>
      <c r="F291" s="14"/>
      <c r="G291" s="14"/>
      <c r="H291" s="14"/>
      <c r="I291" s="14"/>
      <c r="J291" s="14"/>
      <c r="K291" s="14"/>
      <c r="L291" s="14"/>
      <c r="M291" s="14"/>
      <c r="N291" s="14"/>
      <c r="O291" s="14"/>
      <c r="P291" s="14"/>
      <c r="Q291" s="14"/>
      <c r="R291" s="14"/>
      <c r="S291" s="14"/>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row>
    <row r="292" spans="2:54" s="1" customFormat="1" x14ac:dyDescent="0.25">
      <c r="B292" s="15"/>
      <c r="C292" s="15"/>
      <c r="D292" s="15"/>
      <c r="E292" s="15"/>
      <c r="F292" s="14"/>
      <c r="G292" s="14"/>
      <c r="H292" s="14"/>
      <c r="I292" s="14"/>
      <c r="J292" s="14"/>
      <c r="K292" s="14"/>
      <c r="L292" s="14"/>
      <c r="M292" s="14"/>
      <c r="N292" s="14"/>
      <c r="O292" s="14"/>
      <c r="P292" s="14"/>
      <c r="Q292" s="14"/>
      <c r="R292" s="14"/>
      <c r="S292" s="14"/>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row>
    <row r="293" spans="2:54" s="1" customFormat="1" x14ac:dyDescent="0.25">
      <c r="B293" s="15"/>
      <c r="C293" s="15"/>
      <c r="D293" s="15"/>
      <c r="E293" s="15"/>
      <c r="F293" s="14"/>
      <c r="G293" s="14"/>
      <c r="H293" s="14"/>
      <c r="I293" s="14"/>
      <c r="J293" s="14"/>
      <c r="K293" s="14"/>
      <c r="L293" s="14"/>
      <c r="M293" s="14"/>
      <c r="N293" s="14"/>
      <c r="O293" s="14"/>
      <c r="P293" s="14"/>
      <c r="Q293" s="14"/>
      <c r="R293" s="14"/>
      <c r="S293" s="14"/>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row>
    <row r="294" spans="2:54" s="1" customFormat="1" x14ac:dyDescent="0.25">
      <c r="B294" s="15"/>
      <c r="C294" s="15"/>
      <c r="D294" s="15"/>
      <c r="E294" s="15"/>
      <c r="F294" s="14"/>
      <c r="G294" s="14"/>
      <c r="H294" s="14"/>
      <c r="I294" s="14"/>
      <c r="J294" s="14"/>
      <c r="K294" s="14"/>
      <c r="L294" s="14"/>
      <c r="M294" s="14"/>
      <c r="N294" s="14"/>
      <c r="O294" s="14"/>
      <c r="P294" s="14"/>
      <c r="Q294" s="14"/>
      <c r="R294" s="14"/>
      <c r="S294" s="14"/>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row>
    <row r="295" spans="2:54" s="1" customFormat="1" x14ac:dyDescent="0.25">
      <c r="B295" s="15"/>
      <c r="C295" s="15"/>
      <c r="D295" s="15"/>
      <c r="E295" s="15"/>
      <c r="F295" s="14"/>
      <c r="G295" s="14"/>
      <c r="H295" s="14"/>
      <c r="I295" s="14"/>
      <c r="J295" s="14"/>
      <c r="K295" s="14"/>
      <c r="L295" s="14"/>
      <c r="M295" s="14"/>
      <c r="N295" s="14"/>
      <c r="O295" s="14"/>
      <c r="P295" s="14"/>
      <c r="Q295" s="14"/>
      <c r="R295" s="14"/>
      <c r="S295" s="14"/>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row>
    <row r="296" spans="2:54" s="1" customFormat="1" x14ac:dyDescent="0.25">
      <c r="B296" s="15"/>
      <c r="C296" s="15"/>
      <c r="D296" s="15"/>
      <c r="E296" s="15"/>
      <c r="F296" s="14"/>
      <c r="G296" s="14"/>
      <c r="H296" s="14"/>
      <c r="I296" s="14"/>
      <c r="J296" s="14"/>
      <c r="K296" s="14"/>
      <c r="L296" s="14"/>
      <c r="M296" s="14"/>
      <c r="N296" s="14"/>
      <c r="O296" s="14"/>
      <c r="P296" s="14"/>
      <c r="Q296" s="14"/>
      <c r="R296" s="14"/>
      <c r="S296" s="14"/>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row>
    <row r="297" spans="2:54" s="1" customFormat="1" x14ac:dyDescent="0.25">
      <c r="B297" s="15"/>
      <c r="C297" s="15"/>
      <c r="D297" s="15"/>
      <c r="E297" s="15"/>
      <c r="F297" s="14"/>
      <c r="G297" s="14"/>
      <c r="H297" s="14"/>
      <c r="I297" s="14"/>
      <c r="J297" s="14"/>
      <c r="K297" s="14"/>
      <c r="L297" s="14"/>
      <c r="M297" s="14"/>
      <c r="N297" s="14"/>
      <c r="O297" s="14"/>
      <c r="P297" s="14"/>
      <c r="Q297" s="14"/>
      <c r="R297" s="14"/>
      <c r="S297" s="14"/>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row>
    <row r="298" spans="2:54" s="1" customFormat="1" x14ac:dyDescent="0.25">
      <c r="B298" s="15"/>
      <c r="C298" s="15"/>
      <c r="D298" s="15"/>
      <c r="E298" s="15"/>
      <c r="F298" s="14"/>
      <c r="G298" s="14"/>
      <c r="H298" s="14"/>
      <c r="I298" s="14"/>
      <c r="J298" s="14"/>
      <c r="K298" s="14"/>
      <c r="L298" s="14"/>
      <c r="M298" s="14"/>
      <c r="N298" s="14"/>
      <c r="O298" s="14"/>
      <c r="P298" s="14"/>
      <c r="Q298" s="14"/>
      <c r="R298" s="14"/>
      <c r="S298" s="14"/>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row>
    <row r="299" spans="2:54" s="1" customFormat="1" x14ac:dyDescent="0.25">
      <c r="B299" s="15"/>
      <c r="C299" s="15"/>
      <c r="D299" s="15"/>
      <c r="E299" s="15"/>
      <c r="F299" s="14"/>
      <c r="G299" s="14"/>
      <c r="H299" s="14"/>
      <c r="I299" s="14"/>
      <c r="J299" s="14"/>
      <c r="K299" s="14"/>
      <c r="L299" s="14"/>
      <c r="M299" s="14"/>
      <c r="N299" s="14"/>
      <c r="O299" s="14"/>
      <c r="P299" s="14"/>
      <c r="Q299" s="14"/>
      <c r="R299" s="14"/>
      <c r="S299" s="14"/>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row>
    <row r="300" spans="2:54" s="1" customFormat="1" x14ac:dyDescent="0.25">
      <c r="B300" s="15"/>
      <c r="C300" s="15"/>
      <c r="D300" s="15"/>
      <c r="E300" s="15"/>
      <c r="F300" s="14"/>
      <c r="G300" s="14"/>
      <c r="H300" s="14"/>
      <c r="I300" s="14"/>
      <c r="J300" s="14"/>
      <c r="K300" s="14"/>
      <c r="L300" s="14"/>
      <c r="M300" s="14"/>
      <c r="N300" s="14"/>
      <c r="O300" s="14"/>
      <c r="P300" s="14"/>
      <c r="Q300" s="14"/>
      <c r="R300" s="14"/>
      <c r="S300" s="14"/>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row>
    <row r="301" spans="2:54" s="1" customFormat="1" x14ac:dyDescent="0.25">
      <c r="B301" s="15"/>
      <c r="C301" s="15"/>
      <c r="D301" s="15"/>
      <c r="E301" s="15"/>
      <c r="F301" s="14"/>
      <c r="G301" s="14"/>
      <c r="H301" s="14"/>
      <c r="I301" s="14"/>
      <c r="J301" s="14"/>
      <c r="K301" s="14"/>
      <c r="L301" s="14"/>
      <c r="M301" s="14"/>
      <c r="N301" s="14"/>
      <c r="O301" s="14"/>
      <c r="P301" s="14"/>
      <c r="Q301" s="14"/>
      <c r="R301" s="14"/>
      <c r="S301" s="14"/>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row>
    <row r="302" spans="2:54" s="1" customFormat="1" x14ac:dyDescent="0.25">
      <c r="B302" s="15"/>
      <c r="C302" s="15"/>
      <c r="D302" s="15"/>
      <c r="E302" s="15"/>
      <c r="F302" s="14"/>
      <c r="G302" s="14"/>
      <c r="H302" s="14"/>
      <c r="I302" s="14"/>
      <c r="J302" s="14"/>
      <c r="K302" s="14"/>
      <c r="L302" s="14"/>
      <c r="M302" s="14"/>
      <c r="N302" s="14"/>
      <c r="O302" s="14"/>
      <c r="P302" s="14"/>
      <c r="Q302" s="14"/>
      <c r="R302" s="14"/>
      <c r="S302" s="14"/>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row>
    <row r="303" spans="2:54" s="1" customFormat="1" x14ac:dyDescent="0.25">
      <c r="B303" s="15"/>
      <c r="C303" s="15"/>
      <c r="D303" s="15"/>
      <c r="E303" s="15"/>
      <c r="F303" s="14"/>
      <c r="G303" s="14"/>
      <c r="H303" s="14"/>
      <c r="I303" s="14"/>
      <c r="J303" s="14"/>
      <c r="K303" s="14"/>
      <c r="L303" s="14"/>
      <c r="M303" s="14"/>
      <c r="N303" s="14"/>
      <c r="O303" s="14"/>
      <c r="P303" s="14"/>
      <c r="Q303" s="14"/>
      <c r="R303" s="14"/>
      <c r="S303" s="14"/>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row>
    <row r="304" spans="2:54" s="1" customFormat="1" x14ac:dyDescent="0.25">
      <c r="B304" s="15"/>
      <c r="C304" s="15"/>
      <c r="D304" s="15"/>
      <c r="E304" s="15"/>
      <c r="F304" s="14"/>
      <c r="G304" s="14"/>
      <c r="H304" s="14"/>
      <c r="I304" s="14"/>
      <c r="J304" s="14"/>
      <c r="K304" s="14"/>
      <c r="L304" s="14"/>
      <c r="M304" s="14"/>
      <c r="N304" s="14"/>
      <c r="O304" s="14"/>
      <c r="P304" s="14"/>
      <c r="Q304" s="14"/>
      <c r="R304" s="14"/>
      <c r="S304" s="14"/>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row>
    <row r="305" spans="2:54" s="1" customFormat="1" x14ac:dyDescent="0.25">
      <c r="B305" s="15"/>
      <c r="C305" s="15"/>
      <c r="D305" s="15"/>
      <c r="E305" s="15"/>
      <c r="F305" s="14"/>
      <c r="G305" s="14"/>
      <c r="H305" s="14"/>
      <c r="I305" s="14"/>
      <c r="J305" s="14"/>
      <c r="K305" s="14"/>
      <c r="L305" s="14"/>
      <c r="M305" s="14"/>
      <c r="N305" s="14"/>
      <c r="O305" s="14"/>
      <c r="P305" s="14"/>
      <c r="Q305" s="14"/>
      <c r="R305" s="14"/>
      <c r="S305" s="14"/>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row>
    <row r="306" spans="2:54" s="1" customFormat="1" x14ac:dyDescent="0.25">
      <c r="B306" s="15"/>
      <c r="C306" s="15"/>
      <c r="D306" s="15"/>
      <c r="E306" s="15"/>
      <c r="F306" s="14"/>
      <c r="G306" s="14"/>
      <c r="H306" s="14"/>
      <c r="I306" s="14"/>
      <c r="J306" s="14"/>
      <c r="K306" s="14"/>
      <c r="L306" s="14"/>
      <c r="M306" s="14"/>
      <c r="N306" s="14"/>
      <c r="O306" s="14"/>
      <c r="P306" s="14"/>
      <c r="Q306" s="14"/>
      <c r="R306" s="14"/>
      <c r="S306" s="14"/>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row>
    <row r="307" spans="2:54" s="1" customFormat="1" x14ac:dyDescent="0.25">
      <c r="B307" s="15"/>
      <c r="C307" s="15"/>
      <c r="D307" s="15"/>
      <c r="E307" s="15"/>
      <c r="F307" s="14"/>
      <c r="G307" s="14"/>
      <c r="H307" s="14"/>
      <c r="I307" s="14"/>
      <c r="J307" s="14"/>
      <c r="K307" s="14"/>
      <c r="L307" s="14"/>
      <c r="M307" s="14"/>
      <c r="N307" s="14"/>
      <c r="O307" s="14"/>
      <c r="P307" s="14"/>
      <c r="Q307" s="14"/>
      <c r="R307" s="14"/>
      <c r="S307" s="14"/>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row>
    <row r="308" spans="2:54" s="1" customFormat="1" x14ac:dyDescent="0.25">
      <c r="B308" s="15"/>
      <c r="C308" s="15"/>
      <c r="D308" s="15"/>
      <c r="E308" s="15"/>
      <c r="F308" s="14"/>
      <c r="G308" s="14"/>
      <c r="H308" s="14"/>
      <c r="I308" s="14"/>
      <c r="J308" s="14"/>
      <c r="K308" s="14"/>
      <c r="L308" s="14"/>
      <c r="M308" s="14"/>
      <c r="N308" s="14"/>
      <c r="O308" s="14"/>
      <c r="P308" s="14"/>
      <c r="Q308" s="14"/>
      <c r="R308" s="14"/>
      <c r="S308" s="14"/>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row>
    <row r="309" spans="2:54" s="1" customFormat="1" x14ac:dyDescent="0.25">
      <c r="B309" s="15"/>
      <c r="C309" s="15"/>
      <c r="D309" s="15"/>
      <c r="E309" s="15"/>
      <c r="F309" s="14"/>
      <c r="G309" s="14"/>
      <c r="H309" s="14"/>
      <c r="I309" s="14"/>
      <c r="J309" s="14"/>
      <c r="K309" s="14"/>
      <c r="L309" s="14"/>
      <c r="M309" s="14"/>
      <c r="N309" s="14"/>
      <c r="O309" s="14"/>
      <c r="P309" s="14"/>
      <c r="Q309" s="14"/>
      <c r="R309" s="14"/>
      <c r="S309" s="14"/>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row>
    <row r="310" spans="2:54" s="1" customFormat="1" x14ac:dyDescent="0.25">
      <c r="B310" s="15"/>
      <c r="C310" s="15"/>
      <c r="D310" s="15"/>
      <c r="E310" s="15"/>
      <c r="F310" s="14"/>
      <c r="G310" s="14"/>
      <c r="H310" s="14"/>
      <c r="I310" s="14"/>
      <c r="J310" s="14"/>
      <c r="K310" s="14"/>
      <c r="L310" s="14"/>
      <c r="M310" s="14"/>
      <c r="N310" s="14"/>
      <c r="O310" s="14"/>
      <c r="P310" s="14"/>
      <c r="Q310" s="14"/>
      <c r="R310" s="14"/>
      <c r="S310" s="14"/>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row>
    <row r="311" spans="2:54" s="1" customFormat="1" x14ac:dyDescent="0.25">
      <c r="B311" s="15"/>
      <c r="C311" s="15"/>
      <c r="D311" s="15"/>
      <c r="E311" s="15"/>
      <c r="F311" s="14"/>
      <c r="G311" s="14"/>
      <c r="H311" s="14"/>
      <c r="I311" s="14"/>
      <c r="J311" s="14"/>
      <c r="K311" s="14"/>
      <c r="L311" s="14"/>
      <c r="M311" s="14"/>
      <c r="N311" s="14"/>
      <c r="O311" s="14"/>
      <c r="P311" s="14"/>
      <c r="Q311" s="14"/>
      <c r="R311" s="14"/>
      <c r="S311" s="14"/>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row>
    <row r="312" spans="2:54" s="1" customFormat="1" x14ac:dyDescent="0.25">
      <c r="B312" s="15"/>
      <c r="C312" s="15"/>
      <c r="D312" s="15"/>
      <c r="E312" s="15"/>
      <c r="F312" s="14"/>
      <c r="G312" s="14"/>
      <c r="H312" s="14"/>
      <c r="I312" s="14"/>
      <c r="J312" s="14"/>
      <c r="K312" s="14"/>
      <c r="L312" s="14"/>
      <c r="M312" s="14"/>
      <c r="N312" s="14"/>
      <c r="O312" s="14"/>
      <c r="P312" s="14"/>
      <c r="Q312" s="14"/>
      <c r="R312" s="14"/>
      <c r="S312" s="14"/>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row>
    <row r="313" spans="2:54" s="1" customFormat="1" x14ac:dyDescent="0.25">
      <c r="B313" s="15"/>
      <c r="C313" s="15"/>
      <c r="D313" s="15"/>
      <c r="E313" s="15"/>
      <c r="F313" s="14"/>
      <c r="G313" s="14"/>
      <c r="H313" s="14"/>
      <c r="I313" s="14"/>
      <c r="J313" s="14"/>
      <c r="K313" s="14"/>
      <c r="L313" s="14"/>
      <c r="M313" s="14"/>
      <c r="N313" s="14"/>
      <c r="O313" s="14"/>
      <c r="P313" s="14"/>
      <c r="Q313" s="14"/>
      <c r="R313" s="14"/>
      <c r="S313" s="14"/>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row>
    <row r="314" spans="2:54" s="1" customFormat="1" x14ac:dyDescent="0.25">
      <c r="B314" s="15"/>
      <c r="C314" s="15"/>
      <c r="D314" s="15"/>
      <c r="E314" s="15"/>
      <c r="F314" s="14"/>
      <c r="G314" s="14"/>
      <c r="H314" s="14"/>
      <c r="I314" s="14"/>
      <c r="J314" s="14"/>
      <c r="K314" s="14"/>
      <c r="L314" s="14"/>
      <c r="M314" s="14"/>
      <c r="N314" s="14"/>
      <c r="O314" s="14"/>
      <c r="P314" s="14"/>
      <c r="Q314" s="14"/>
      <c r="R314" s="14"/>
      <c r="S314" s="14"/>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row>
    <row r="315" spans="2:54" s="1" customFormat="1" x14ac:dyDescent="0.25">
      <c r="B315" s="15"/>
      <c r="C315" s="15"/>
      <c r="D315" s="15"/>
      <c r="E315" s="15"/>
      <c r="F315" s="14"/>
      <c r="G315" s="14"/>
      <c r="H315" s="14"/>
      <c r="I315" s="14"/>
      <c r="J315" s="14"/>
      <c r="K315" s="14"/>
      <c r="L315" s="14"/>
      <c r="M315" s="14"/>
      <c r="N315" s="14"/>
      <c r="O315" s="14"/>
      <c r="P315" s="14"/>
      <c r="Q315" s="14"/>
      <c r="R315" s="14"/>
      <c r="S315" s="14"/>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row>
    <row r="316" spans="2:54" s="1" customFormat="1" x14ac:dyDescent="0.25">
      <c r="B316" s="15"/>
      <c r="C316" s="15"/>
      <c r="D316" s="15"/>
      <c r="E316" s="15"/>
      <c r="F316" s="14"/>
      <c r="G316" s="14"/>
      <c r="H316" s="14"/>
      <c r="I316" s="14"/>
      <c r="J316" s="14"/>
      <c r="K316" s="14"/>
      <c r="L316" s="14"/>
      <c r="M316" s="14"/>
      <c r="N316" s="14"/>
      <c r="O316" s="14"/>
      <c r="P316" s="14"/>
      <c r="Q316" s="14"/>
      <c r="R316" s="14"/>
      <c r="S316" s="14"/>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row>
    <row r="317" spans="2:54" s="1" customFormat="1" x14ac:dyDescent="0.25">
      <c r="B317" s="15"/>
      <c r="C317" s="15"/>
      <c r="D317" s="15"/>
      <c r="E317" s="15"/>
      <c r="F317" s="14"/>
      <c r="G317" s="14"/>
      <c r="H317" s="14"/>
      <c r="I317" s="14"/>
      <c r="J317" s="14"/>
      <c r="K317" s="14"/>
      <c r="L317" s="14"/>
      <c r="M317" s="14"/>
      <c r="N317" s="14"/>
      <c r="O317" s="14"/>
      <c r="P317" s="14"/>
      <c r="Q317" s="14"/>
      <c r="R317" s="14"/>
      <c r="S317" s="14"/>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row>
    <row r="318" spans="2:54" s="1" customFormat="1" x14ac:dyDescent="0.25">
      <c r="B318" s="15"/>
      <c r="C318" s="15"/>
      <c r="D318" s="15"/>
      <c r="E318" s="15"/>
      <c r="F318" s="14"/>
      <c r="G318" s="14"/>
      <c r="H318" s="14"/>
      <c r="I318" s="14"/>
      <c r="J318" s="14"/>
      <c r="K318" s="14"/>
      <c r="L318" s="14"/>
      <c r="M318" s="14"/>
      <c r="N318" s="14"/>
      <c r="O318" s="14"/>
      <c r="P318" s="14"/>
      <c r="Q318" s="14"/>
      <c r="R318" s="14"/>
      <c r="S318" s="14"/>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row>
    <row r="319" spans="2:54" s="1" customFormat="1" x14ac:dyDescent="0.25">
      <c r="B319" s="15"/>
      <c r="C319" s="15"/>
      <c r="D319" s="15"/>
      <c r="E319" s="15"/>
      <c r="F319" s="14"/>
      <c r="G319" s="14"/>
      <c r="H319" s="14"/>
      <c r="I319" s="14"/>
      <c r="J319" s="14"/>
      <c r="K319" s="14"/>
      <c r="L319" s="14"/>
      <c r="M319" s="14"/>
      <c r="N319" s="14"/>
      <c r="O319" s="14"/>
      <c r="P319" s="14"/>
      <c r="Q319" s="14"/>
      <c r="R319" s="14"/>
      <c r="S319" s="14"/>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row>
    <row r="320" spans="2:54" s="1" customFormat="1" x14ac:dyDescent="0.25">
      <c r="B320" s="15"/>
      <c r="C320" s="15"/>
      <c r="D320" s="15"/>
      <c r="E320" s="15"/>
      <c r="F320" s="14"/>
      <c r="G320" s="14"/>
      <c r="H320" s="14"/>
      <c r="I320" s="14"/>
      <c r="J320" s="14"/>
      <c r="K320" s="14"/>
      <c r="L320" s="14"/>
      <c r="M320" s="14"/>
      <c r="N320" s="14"/>
      <c r="O320" s="14"/>
      <c r="P320" s="14"/>
      <c r="Q320" s="14"/>
      <c r="R320" s="14"/>
      <c r="S320" s="14"/>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row>
    <row r="321" spans="2:54" s="1" customFormat="1" x14ac:dyDescent="0.25">
      <c r="B321" s="15"/>
      <c r="C321" s="15"/>
      <c r="D321" s="15"/>
      <c r="E321" s="15"/>
      <c r="F321" s="14"/>
      <c r="G321" s="14"/>
      <c r="H321" s="14"/>
      <c r="I321" s="14"/>
      <c r="J321" s="14"/>
      <c r="K321" s="14"/>
      <c r="L321" s="14"/>
      <c r="M321" s="14"/>
      <c r="N321" s="14"/>
      <c r="O321" s="14"/>
      <c r="P321" s="14"/>
      <c r="Q321" s="14"/>
      <c r="R321" s="14"/>
      <c r="S321" s="14"/>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row>
    <row r="322" spans="2:54" s="1" customFormat="1" x14ac:dyDescent="0.25">
      <c r="B322" s="15"/>
      <c r="C322" s="15"/>
      <c r="D322" s="15"/>
      <c r="E322" s="15"/>
      <c r="F322" s="14"/>
      <c r="G322" s="14"/>
      <c r="H322" s="14"/>
      <c r="I322" s="14"/>
      <c r="J322" s="14"/>
      <c r="K322" s="14"/>
      <c r="L322" s="14"/>
      <c r="M322" s="14"/>
      <c r="N322" s="14"/>
      <c r="O322" s="14"/>
      <c r="P322" s="14"/>
      <c r="Q322" s="14"/>
      <c r="R322" s="14"/>
      <c r="S322" s="14"/>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row>
    <row r="323" spans="2:54" s="1" customFormat="1" x14ac:dyDescent="0.25">
      <c r="B323" s="15"/>
      <c r="C323" s="15"/>
      <c r="D323" s="15"/>
      <c r="E323" s="15"/>
      <c r="F323" s="14"/>
      <c r="G323" s="14"/>
      <c r="H323" s="14"/>
      <c r="I323" s="14"/>
      <c r="J323" s="14"/>
      <c r="K323" s="14"/>
      <c r="L323" s="14"/>
      <c r="M323" s="14"/>
      <c r="N323" s="14"/>
      <c r="O323" s="14"/>
      <c r="P323" s="14"/>
      <c r="Q323" s="14"/>
      <c r="R323" s="14"/>
      <c r="S323" s="14"/>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row>
    <row r="324" spans="2:54" s="1" customFormat="1" x14ac:dyDescent="0.25">
      <c r="B324" s="15"/>
      <c r="C324" s="15"/>
      <c r="D324" s="15"/>
      <c r="E324" s="15"/>
      <c r="F324" s="14"/>
      <c r="G324" s="14"/>
      <c r="H324" s="14"/>
      <c r="I324" s="14"/>
      <c r="J324" s="14"/>
      <c r="K324" s="14"/>
      <c r="L324" s="14"/>
      <c r="M324" s="14"/>
      <c r="N324" s="14"/>
      <c r="O324" s="14"/>
      <c r="P324" s="14"/>
      <c r="Q324" s="14"/>
      <c r="R324" s="14"/>
      <c r="S324" s="14"/>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row>
    <row r="325" spans="2:54" s="1" customFormat="1" x14ac:dyDescent="0.25">
      <c r="B325" s="15"/>
      <c r="C325" s="15"/>
      <c r="D325" s="15"/>
      <c r="E325" s="15"/>
      <c r="F325" s="14"/>
      <c r="G325" s="14"/>
      <c r="H325" s="14"/>
      <c r="I325" s="14"/>
      <c r="J325" s="14"/>
      <c r="K325" s="14"/>
      <c r="L325" s="14"/>
      <c r="M325" s="14"/>
      <c r="N325" s="14"/>
      <c r="O325" s="14"/>
      <c r="P325" s="14"/>
      <c r="Q325" s="14"/>
      <c r="R325" s="14"/>
      <c r="S325" s="14"/>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row>
    <row r="326" spans="2:54" s="1" customFormat="1" x14ac:dyDescent="0.25">
      <c r="B326" s="15"/>
      <c r="C326" s="15"/>
      <c r="D326" s="15"/>
      <c r="E326" s="15"/>
      <c r="F326" s="14"/>
      <c r="G326" s="14"/>
      <c r="H326" s="14"/>
      <c r="I326" s="14"/>
      <c r="J326" s="14"/>
      <c r="K326" s="14"/>
      <c r="L326" s="14"/>
      <c r="M326" s="14"/>
      <c r="N326" s="14"/>
      <c r="O326" s="14"/>
      <c r="P326" s="14"/>
      <c r="Q326" s="14"/>
      <c r="R326" s="14"/>
      <c r="S326" s="14"/>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row>
    <row r="327" spans="2:54" s="1" customFormat="1" x14ac:dyDescent="0.25">
      <c r="B327" s="15"/>
      <c r="C327" s="15"/>
      <c r="D327" s="15"/>
      <c r="E327" s="15"/>
      <c r="F327" s="14"/>
      <c r="G327" s="14"/>
      <c r="H327" s="14"/>
      <c r="I327" s="14"/>
      <c r="J327" s="14"/>
      <c r="K327" s="14"/>
      <c r="L327" s="14"/>
      <c r="M327" s="14"/>
      <c r="N327" s="14"/>
      <c r="O327" s="14"/>
      <c r="P327" s="14"/>
      <c r="Q327" s="14"/>
      <c r="R327" s="14"/>
      <c r="S327" s="14"/>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row>
    <row r="328" spans="2:54" s="1" customFormat="1" x14ac:dyDescent="0.25">
      <c r="B328" s="15"/>
      <c r="C328" s="15"/>
      <c r="D328" s="15"/>
      <c r="E328" s="15"/>
      <c r="F328" s="14"/>
      <c r="G328" s="14"/>
      <c r="H328" s="14"/>
      <c r="I328" s="14"/>
      <c r="J328" s="14"/>
      <c r="K328" s="14"/>
      <c r="L328" s="14"/>
      <c r="M328" s="14"/>
      <c r="N328" s="14"/>
      <c r="O328" s="14"/>
      <c r="P328" s="14"/>
      <c r="Q328" s="14"/>
      <c r="R328" s="14"/>
      <c r="S328" s="14"/>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row>
    <row r="329" spans="2:54" s="1" customFormat="1" x14ac:dyDescent="0.25">
      <c r="B329" s="15"/>
      <c r="C329" s="15"/>
      <c r="D329" s="15"/>
      <c r="E329" s="15"/>
      <c r="F329" s="14"/>
      <c r="G329" s="14"/>
      <c r="H329" s="14"/>
      <c r="I329" s="14"/>
      <c r="J329" s="14"/>
      <c r="K329" s="14"/>
      <c r="L329" s="14"/>
      <c r="M329" s="14"/>
      <c r="N329" s="14"/>
      <c r="O329" s="14"/>
      <c r="P329" s="14"/>
      <c r="Q329" s="14"/>
      <c r="R329" s="14"/>
      <c r="S329" s="14"/>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row>
    <row r="330" spans="2:54" s="1" customFormat="1" x14ac:dyDescent="0.25">
      <c r="B330" s="15"/>
      <c r="C330" s="15"/>
      <c r="D330" s="15"/>
      <c r="E330" s="15"/>
      <c r="F330" s="14"/>
      <c r="G330" s="14"/>
      <c r="H330" s="14"/>
      <c r="I330" s="14"/>
      <c r="J330" s="14"/>
      <c r="K330" s="14"/>
      <c r="L330" s="14"/>
      <c r="M330" s="14"/>
      <c r="N330" s="14"/>
      <c r="O330" s="14"/>
      <c r="P330" s="14"/>
      <c r="Q330" s="14"/>
      <c r="R330" s="14"/>
      <c r="S330" s="14"/>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row>
    <row r="331" spans="2:54" s="1" customFormat="1" x14ac:dyDescent="0.25">
      <c r="B331" s="15"/>
      <c r="C331" s="15"/>
      <c r="D331" s="15"/>
      <c r="E331" s="15"/>
      <c r="F331" s="14"/>
      <c r="G331" s="14"/>
      <c r="H331" s="14"/>
      <c r="I331" s="14"/>
      <c r="J331" s="14"/>
      <c r="K331" s="14"/>
      <c r="L331" s="14"/>
      <c r="M331" s="14"/>
      <c r="N331" s="14"/>
      <c r="O331" s="14"/>
      <c r="P331" s="14"/>
      <c r="Q331" s="14"/>
      <c r="R331" s="14"/>
      <c r="S331" s="14"/>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row>
    <row r="332" spans="2:54" s="1" customFormat="1" x14ac:dyDescent="0.25">
      <c r="B332" s="15"/>
      <c r="C332" s="15"/>
      <c r="D332" s="15"/>
      <c r="E332" s="15"/>
      <c r="F332" s="14"/>
      <c r="G332" s="14"/>
      <c r="H332" s="14"/>
      <c r="I332" s="14"/>
      <c r="J332" s="14"/>
      <c r="K332" s="14"/>
      <c r="L332" s="14"/>
      <c r="M332" s="14"/>
      <c r="N332" s="14"/>
      <c r="O332" s="14"/>
      <c r="P332" s="14"/>
      <c r="Q332" s="14"/>
      <c r="R332" s="14"/>
      <c r="S332" s="14"/>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row>
    <row r="333" spans="2:54" s="1" customFormat="1" x14ac:dyDescent="0.25">
      <c r="B333" s="15"/>
      <c r="C333" s="15"/>
      <c r="D333" s="15"/>
      <c r="E333" s="15"/>
      <c r="F333" s="14"/>
      <c r="G333" s="14"/>
      <c r="H333" s="14"/>
      <c r="I333" s="14"/>
      <c r="J333" s="14"/>
      <c r="K333" s="14"/>
      <c r="L333" s="14"/>
      <c r="M333" s="14"/>
      <c r="N333" s="14"/>
      <c r="O333" s="14"/>
      <c r="P333" s="14"/>
      <c r="Q333" s="14"/>
      <c r="R333" s="14"/>
      <c r="S333" s="14"/>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row>
    <row r="334" spans="2:54" s="1" customFormat="1" x14ac:dyDescent="0.25">
      <c r="B334" s="15"/>
      <c r="C334" s="15"/>
      <c r="D334" s="15"/>
      <c r="E334" s="15"/>
      <c r="F334" s="14"/>
      <c r="G334" s="14"/>
      <c r="H334" s="14"/>
      <c r="I334" s="14"/>
      <c r="J334" s="14"/>
      <c r="K334" s="14"/>
      <c r="L334" s="14"/>
      <c r="M334" s="14"/>
      <c r="N334" s="14"/>
      <c r="O334" s="14"/>
      <c r="P334" s="14"/>
      <c r="Q334" s="14"/>
      <c r="R334" s="14"/>
      <c r="S334" s="14"/>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row>
    <row r="335" spans="2:54" s="1" customFormat="1" x14ac:dyDescent="0.25">
      <c r="B335" s="15"/>
      <c r="C335" s="15"/>
      <c r="D335" s="15"/>
      <c r="E335" s="15"/>
      <c r="F335" s="14"/>
      <c r="G335" s="14"/>
      <c r="H335" s="14"/>
      <c r="I335" s="14"/>
      <c r="J335" s="14"/>
      <c r="K335" s="14"/>
      <c r="L335" s="14"/>
      <c r="M335" s="14"/>
      <c r="N335" s="14"/>
      <c r="O335" s="14"/>
      <c r="P335" s="14"/>
      <c r="Q335" s="14"/>
      <c r="R335" s="14"/>
      <c r="S335" s="14"/>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row>
    <row r="336" spans="2:54" s="1" customFormat="1" x14ac:dyDescent="0.25">
      <c r="B336" s="15"/>
      <c r="C336" s="15"/>
      <c r="D336" s="15"/>
      <c r="E336" s="15"/>
      <c r="F336" s="14"/>
      <c r="G336" s="14"/>
      <c r="H336" s="14"/>
      <c r="I336" s="14"/>
      <c r="J336" s="14"/>
      <c r="K336" s="14"/>
      <c r="L336" s="14"/>
      <c r="M336" s="14"/>
      <c r="N336" s="14"/>
      <c r="O336" s="14"/>
      <c r="P336" s="14"/>
      <c r="Q336" s="14"/>
      <c r="R336" s="14"/>
      <c r="S336" s="14"/>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row>
    <row r="337" spans="2:54" s="1" customFormat="1" x14ac:dyDescent="0.25">
      <c r="B337" s="15"/>
      <c r="C337" s="15"/>
      <c r="D337" s="15"/>
      <c r="E337" s="15"/>
      <c r="F337" s="14"/>
      <c r="G337" s="14"/>
      <c r="H337" s="14"/>
      <c r="I337" s="14"/>
      <c r="J337" s="14"/>
      <c r="K337" s="14"/>
      <c r="L337" s="14"/>
      <c r="M337" s="14"/>
      <c r="N337" s="14"/>
      <c r="O337" s="14"/>
      <c r="P337" s="14"/>
      <c r="Q337" s="14"/>
      <c r="R337" s="14"/>
      <c r="S337" s="14"/>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row>
    <row r="338" spans="2:54" s="1" customFormat="1" x14ac:dyDescent="0.25">
      <c r="B338" s="15"/>
      <c r="C338" s="15"/>
      <c r="D338" s="15"/>
      <c r="E338" s="15"/>
      <c r="F338" s="14"/>
      <c r="G338" s="14"/>
      <c r="H338" s="14"/>
      <c r="I338" s="14"/>
      <c r="J338" s="14"/>
      <c r="K338" s="14"/>
      <c r="L338" s="14"/>
      <c r="M338" s="14"/>
      <c r="N338" s="14"/>
      <c r="O338" s="14"/>
      <c r="P338" s="14"/>
      <c r="Q338" s="14"/>
      <c r="R338" s="14"/>
      <c r="S338" s="14"/>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row>
    <row r="339" spans="2:54" s="1" customFormat="1" x14ac:dyDescent="0.25">
      <c r="B339" s="15"/>
      <c r="C339" s="15"/>
      <c r="D339" s="15"/>
      <c r="E339" s="15"/>
      <c r="F339" s="14"/>
      <c r="G339" s="14"/>
      <c r="H339" s="14"/>
      <c r="I339" s="14"/>
      <c r="J339" s="14"/>
      <c r="K339" s="14"/>
      <c r="L339" s="14"/>
      <c r="M339" s="14"/>
      <c r="N339" s="14"/>
      <c r="O339" s="14"/>
      <c r="P339" s="14"/>
      <c r="Q339" s="14"/>
      <c r="R339" s="14"/>
      <c r="S339" s="14"/>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row>
    <row r="340" spans="2:54" s="1" customFormat="1" x14ac:dyDescent="0.25">
      <c r="B340" s="15"/>
      <c r="C340" s="15"/>
      <c r="D340" s="15"/>
      <c r="E340" s="15"/>
      <c r="F340" s="14"/>
      <c r="G340" s="14"/>
      <c r="H340" s="14"/>
      <c r="I340" s="14"/>
      <c r="J340" s="14"/>
      <c r="K340" s="14"/>
      <c r="L340" s="14"/>
      <c r="M340" s="14"/>
      <c r="N340" s="14"/>
      <c r="O340" s="14"/>
      <c r="P340" s="14"/>
      <c r="Q340" s="14"/>
      <c r="R340" s="14"/>
      <c r="S340" s="14"/>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row>
    <row r="341" spans="2:54" s="1" customFormat="1" x14ac:dyDescent="0.25">
      <c r="B341" s="15"/>
      <c r="C341" s="15"/>
      <c r="D341" s="15"/>
      <c r="E341" s="15"/>
      <c r="F341" s="14"/>
      <c r="G341" s="14"/>
      <c r="H341" s="14"/>
      <c r="I341" s="14"/>
      <c r="J341" s="14"/>
      <c r="K341" s="14"/>
      <c r="L341" s="14"/>
      <c r="M341" s="14"/>
      <c r="N341" s="14"/>
      <c r="O341" s="14"/>
      <c r="P341" s="14"/>
      <c r="Q341" s="14"/>
      <c r="R341" s="14"/>
      <c r="S341" s="14"/>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row>
    <row r="342" spans="2:54" s="1" customFormat="1" x14ac:dyDescent="0.25">
      <c r="B342" s="15"/>
      <c r="C342" s="15"/>
      <c r="D342" s="15"/>
      <c r="E342" s="15"/>
      <c r="F342" s="14"/>
      <c r="G342" s="14"/>
      <c r="H342" s="14"/>
      <c r="I342" s="14"/>
      <c r="J342" s="14"/>
      <c r="K342" s="14"/>
      <c r="L342" s="14"/>
      <c r="M342" s="14"/>
      <c r="N342" s="14"/>
      <c r="O342" s="14"/>
      <c r="P342" s="14"/>
      <c r="Q342" s="14"/>
      <c r="R342" s="14"/>
      <c r="S342" s="14"/>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row>
    <row r="343" spans="2:54" s="1" customFormat="1" x14ac:dyDescent="0.25">
      <c r="B343" s="15"/>
      <c r="C343" s="15"/>
      <c r="D343" s="15"/>
      <c r="E343" s="15"/>
      <c r="F343" s="14"/>
      <c r="G343" s="14"/>
      <c r="H343" s="14"/>
      <c r="I343" s="14"/>
      <c r="J343" s="14"/>
      <c r="K343" s="14"/>
      <c r="L343" s="14"/>
      <c r="M343" s="14"/>
      <c r="N343" s="14"/>
      <c r="O343" s="14"/>
      <c r="P343" s="14"/>
      <c r="Q343" s="14"/>
      <c r="R343" s="14"/>
      <c r="S343" s="14"/>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row>
    <row r="344" spans="2:54" s="1" customFormat="1" x14ac:dyDescent="0.25">
      <c r="B344" s="15"/>
      <c r="C344" s="15"/>
      <c r="D344" s="15"/>
      <c r="E344" s="15"/>
      <c r="F344" s="14"/>
      <c r="G344" s="14"/>
      <c r="H344" s="14"/>
      <c r="I344" s="14"/>
      <c r="J344" s="14"/>
      <c r="K344" s="14"/>
      <c r="L344" s="14"/>
      <c r="M344" s="14"/>
      <c r="N344" s="14"/>
      <c r="O344" s="14"/>
      <c r="P344" s="14"/>
      <c r="Q344" s="14"/>
      <c r="R344" s="14"/>
      <c r="S344" s="14"/>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row>
    <row r="345" spans="2:54" s="1" customFormat="1" x14ac:dyDescent="0.25">
      <c r="B345" s="15"/>
      <c r="C345" s="15"/>
      <c r="D345" s="15"/>
      <c r="E345" s="15"/>
      <c r="F345" s="14"/>
      <c r="G345" s="14"/>
      <c r="H345" s="14"/>
      <c r="I345" s="14"/>
      <c r="J345" s="14"/>
      <c r="K345" s="14"/>
      <c r="L345" s="14"/>
      <c r="M345" s="14"/>
      <c r="N345" s="14"/>
      <c r="O345" s="14"/>
      <c r="P345" s="14"/>
      <c r="Q345" s="14"/>
      <c r="R345" s="14"/>
      <c r="S345" s="14"/>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row>
    <row r="346" spans="2:54" s="1" customFormat="1" x14ac:dyDescent="0.25">
      <c r="B346" s="15"/>
      <c r="C346" s="15"/>
      <c r="D346" s="15"/>
      <c r="E346" s="15"/>
      <c r="F346" s="14"/>
      <c r="G346" s="14"/>
      <c r="H346" s="14"/>
      <c r="I346" s="14"/>
      <c r="J346" s="14"/>
      <c r="K346" s="14"/>
      <c r="L346" s="14"/>
      <c r="M346" s="14"/>
      <c r="N346" s="14"/>
      <c r="O346" s="14"/>
      <c r="P346" s="14"/>
      <c r="Q346" s="14"/>
      <c r="R346" s="14"/>
      <c r="S346" s="14"/>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row>
    <row r="347" spans="2:54" s="1" customFormat="1" x14ac:dyDescent="0.25">
      <c r="B347" s="15"/>
      <c r="C347" s="15"/>
      <c r="D347" s="15"/>
      <c r="E347" s="15"/>
      <c r="F347" s="14"/>
      <c r="G347" s="14"/>
      <c r="H347" s="14"/>
      <c r="I347" s="14"/>
      <c r="J347" s="14"/>
      <c r="K347" s="14"/>
      <c r="L347" s="14"/>
      <c r="M347" s="14"/>
      <c r="N347" s="14"/>
      <c r="O347" s="14"/>
      <c r="P347" s="14"/>
      <c r="Q347" s="14"/>
      <c r="R347" s="14"/>
      <c r="S347" s="14"/>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row>
    <row r="348" spans="2:54" s="1" customFormat="1" x14ac:dyDescent="0.25">
      <c r="B348" s="15"/>
      <c r="C348" s="15"/>
      <c r="D348" s="15"/>
      <c r="E348" s="15"/>
      <c r="F348" s="14"/>
      <c r="G348" s="14"/>
      <c r="H348" s="14"/>
      <c r="I348" s="14"/>
      <c r="J348" s="14"/>
      <c r="K348" s="14"/>
      <c r="L348" s="14"/>
      <c r="M348" s="14"/>
      <c r="N348" s="14"/>
      <c r="O348" s="14"/>
      <c r="P348" s="14"/>
      <c r="Q348" s="14"/>
      <c r="R348" s="14"/>
      <c r="S348" s="14"/>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row>
    <row r="349" spans="2:54" s="1" customFormat="1" x14ac:dyDescent="0.25">
      <c r="B349" s="15"/>
      <c r="C349" s="15"/>
      <c r="D349" s="15"/>
      <c r="E349" s="15"/>
      <c r="F349" s="14"/>
      <c r="G349" s="14"/>
      <c r="H349" s="14"/>
      <c r="I349" s="14"/>
      <c r="J349" s="14"/>
      <c r="K349" s="14"/>
      <c r="L349" s="14"/>
      <c r="M349" s="14"/>
      <c r="N349" s="14"/>
      <c r="O349" s="14"/>
      <c r="P349" s="14"/>
      <c r="Q349" s="14"/>
      <c r="R349" s="14"/>
      <c r="S349" s="14"/>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row>
    <row r="350" spans="2:54" s="1" customFormat="1" x14ac:dyDescent="0.25">
      <c r="B350" s="15"/>
      <c r="C350" s="15"/>
      <c r="D350" s="15"/>
      <c r="E350" s="15"/>
      <c r="F350" s="14"/>
      <c r="G350" s="14"/>
      <c r="H350" s="14"/>
      <c r="I350" s="14"/>
      <c r="J350" s="14"/>
      <c r="K350" s="14"/>
      <c r="L350" s="14"/>
      <c r="M350" s="14"/>
      <c r="N350" s="14"/>
      <c r="O350" s="14"/>
      <c r="P350" s="14"/>
      <c r="Q350" s="14"/>
      <c r="R350" s="14"/>
      <c r="S350" s="14"/>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row>
    <row r="351" spans="2:54" s="1" customFormat="1" x14ac:dyDescent="0.25">
      <c r="B351" s="15"/>
      <c r="C351" s="15"/>
      <c r="D351" s="15"/>
      <c r="E351" s="15"/>
      <c r="F351" s="14"/>
      <c r="G351" s="14"/>
      <c r="H351" s="14"/>
      <c r="I351" s="14"/>
      <c r="J351" s="14"/>
      <c r="K351" s="14"/>
      <c r="L351" s="14"/>
      <c r="M351" s="14"/>
      <c r="N351" s="14"/>
      <c r="O351" s="14"/>
      <c r="P351" s="14"/>
      <c r="Q351" s="14"/>
      <c r="R351" s="14"/>
      <c r="S351" s="14"/>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row>
    <row r="352" spans="2:54" s="1" customFormat="1" x14ac:dyDescent="0.25">
      <c r="B352" s="15"/>
      <c r="C352" s="15"/>
      <c r="D352" s="15"/>
      <c r="E352" s="15"/>
      <c r="F352" s="14"/>
      <c r="G352" s="14"/>
      <c r="H352" s="14"/>
      <c r="I352" s="14"/>
      <c r="J352" s="14"/>
      <c r="K352" s="14"/>
      <c r="L352" s="14"/>
      <c r="M352" s="14"/>
      <c r="N352" s="14"/>
      <c r="O352" s="14"/>
      <c r="P352" s="14"/>
      <c r="Q352" s="14"/>
      <c r="R352" s="14"/>
      <c r="S352" s="14"/>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row>
    <row r="353" spans="2:54" s="1" customFormat="1" x14ac:dyDescent="0.25">
      <c r="B353" s="15"/>
      <c r="C353" s="15"/>
      <c r="D353" s="15"/>
      <c r="E353" s="15"/>
      <c r="F353" s="14"/>
      <c r="G353" s="14"/>
      <c r="H353" s="14"/>
      <c r="I353" s="14"/>
      <c r="J353" s="14"/>
      <c r="K353" s="14"/>
      <c r="L353" s="14"/>
      <c r="M353" s="14"/>
      <c r="N353" s="14"/>
      <c r="O353" s="14"/>
      <c r="P353" s="14"/>
      <c r="Q353" s="14"/>
      <c r="R353" s="14"/>
      <c r="S353" s="14"/>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row>
    <row r="354" spans="2:54" s="1" customFormat="1" x14ac:dyDescent="0.25">
      <c r="B354" s="15"/>
      <c r="C354" s="15"/>
      <c r="D354" s="15"/>
      <c r="E354" s="15"/>
      <c r="F354" s="14"/>
      <c r="G354" s="14"/>
      <c r="H354" s="14"/>
      <c r="I354" s="14"/>
      <c r="J354" s="14"/>
      <c r="K354" s="14"/>
      <c r="L354" s="14"/>
      <c r="M354" s="14"/>
      <c r="N354" s="14"/>
      <c r="O354" s="14"/>
      <c r="P354" s="14"/>
      <c r="Q354" s="14"/>
      <c r="R354" s="14"/>
      <c r="S354" s="14"/>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row>
    <row r="355" spans="2:54" s="1" customFormat="1" x14ac:dyDescent="0.25">
      <c r="B355" s="15"/>
      <c r="C355" s="15"/>
      <c r="D355" s="15"/>
      <c r="E355" s="15"/>
      <c r="F355" s="14"/>
      <c r="G355" s="14"/>
      <c r="H355" s="14"/>
      <c r="I355" s="14"/>
      <c r="J355" s="14"/>
      <c r="K355" s="14"/>
      <c r="L355" s="14"/>
      <c r="M355" s="14"/>
      <c r="N355" s="14"/>
      <c r="O355" s="14"/>
      <c r="P355" s="14"/>
      <c r="Q355" s="14"/>
      <c r="R355" s="14"/>
      <c r="S355" s="14"/>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row>
    <row r="356" spans="2:54" s="1" customFormat="1" x14ac:dyDescent="0.25">
      <c r="B356" s="15"/>
      <c r="C356" s="15"/>
      <c r="D356" s="15"/>
      <c r="E356" s="15"/>
      <c r="F356" s="14"/>
      <c r="G356" s="14"/>
      <c r="H356" s="14"/>
      <c r="I356" s="14"/>
      <c r="J356" s="14"/>
      <c r="K356" s="14"/>
      <c r="L356" s="14"/>
      <c r="M356" s="14"/>
      <c r="N356" s="14"/>
      <c r="O356" s="14"/>
      <c r="P356" s="14"/>
      <c r="Q356" s="14"/>
      <c r="R356" s="14"/>
      <c r="S356" s="14"/>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row>
    <row r="357" spans="2:54" s="1" customFormat="1" x14ac:dyDescent="0.25">
      <c r="B357" s="15"/>
      <c r="C357" s="15"/>
      <c r="D357" s="15"/>
      <c r="E357" s="15"/>
      <c r="F357" s="14"/>
      <c r="G357" s="14"/>
      <c r="H357" s="14"/>
      <c r="I357" s="14"/>
      <c r="J357" s="14"/>
      <c r="K357" s="14"/>
      <c r="L357" s="14"/>
      <c r="M357" s="14"/>
      <c r="N357" s="14"/>
      <c r="O357" s="14"/>
      <c r="P357" s="14"/>
      <c r="Q357" s="14"/>
      <c r="R357" s="14"/>
      <c r="S357" s="14"/>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row>
    <row r="358" spans="2:54" s="1" customFormat="1" x14ac:dyDescent="0.25">
      <c r="B358" s="15"/>
      <c r="C358" s="15"/>
      <c r="D358" s="15"/>
      <c r="E358" s="15"/>
      <c r="F358" s="14"/>
      <c r="G358" s="14"/>
      <c r="H358" s="14"/>
      <c r="I358" s="14"/>
      <c r="J358" s="14"/>
      <c r="K358" s="14"/>
      <c r="L358" s="14"/>
      <c r="M358" s="14"/>
      <c r="N358" s="14"/>
      <c r="O358" s="14"/>
      <c r="P358" s="14"/>
      <c r="Q358" s="14"/>
      <c r="R358" s="14"/>
      <c r="S358" s="14"/>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row>
    <row r="359" spans="2:54" s="1" customFormat="1" x14ac:dyDescent="0.25">
      <c r="B359" s="15"/>
      <c r="C359" s="15"/>
      <c r="D359" s="15"/>
      <c r="E359" s="15"/>
      <c r="F359" s="14"/>
      <c r="G359" s="14"/>
      <c r="H359" s="14"/>
      <c r="I359" s="14"/>
      <c r="J359" s="14"/>
      <c r="K359" s="14"/>
      <c r="L359" s="14"/>
      <c r="M359" s="14"/>
      <c r="N359" s="14"/>
      <c r="O359" s="14"/>
      <c r="P359" s="14"/>
      <c r="Q359" s="14"/>
      <c r="R359" s="14"/>
      <c r="S359" s="14"/>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row>
    <row r="360" spans="2:54" s="1" customFormat="1" x14ac:dyDescent="0.25">
      <c r="B360" s="15"/>
      <c r="C360" s="15"/>
      <c r="D360" s="15"/>
      <c r="E360" s="15"/>
      <c r="F360" s="14"/>
      <c r="G360" s="14"/>
      <c r="H360" s="14"/>
      <c r="I360" s="14"/>
      <c r="J360" s="14"/>
      <c r="K360" s="14"/>
      <c r="L360" s="14"/>
      <c r="M360" s="14"/>
      <c r="N360" s="14"/>
      <c r="O360" s="14"/>
      <c r="P360" s="14"/>
      <c r="Q360" s="14"/>
      <c r="R360" s="14"/>
      <c r="S360" s="14"/>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row>
    <row r="361" spans="2:54" s="1" customFormat="1" x14ac:dyDescent="0.25">
      <c r="B361" s="15"/>
      <c r="C361" s="15"/>
      <c r="D361" s="15"/>
      <c r="E361" s="15"/>
      <c r="F361" s="14"/>
      <c r="G361" s="14"/>
      <c r="H361" s="14"/>
      <c r="I361" s="14"/>
      <c r="J361" s="14"/>
      <c r="K361" s="14"/>
      <c r="L361" s="14"/>
      <c r="M361" s="14"/>
      <c r="N361" s="14"/>
      <c r="O361" s="14"/>
      <c r="P361" s="14"/>
      <c r="Q361" s="14"/>
      <c r="R361" s="14"/>
      <c r="S361" s="14"/>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row>
    <row r="362" spans="2:54" s="1" customFormat="1" x14ac:dyDescent="0.25">
      <c r="B362" s="15"/>
      <c r="C362" s="15"/>
      <c r="D362" s="15"/>
      <c r="E362" s="15"/>
      <c r="F362" s="14"/>
      <c r="G362" s="14"/>
      <c r="H362" s="14"/>
      <c r="I362" s="14"/>
      <c r="J362" s="14"/>
      <c r="K362" s="14"/>
      <c r="L362" s="14"/>
      <c r="M362" s="14"/>
      <c r="N362" s="14"/>
      <c r="O362" s="14"/>
      <c r="P362" s="14"/>
      <c r="Q362" s="14"/>
      <c r="R362" s="14"/>
      <c r="S362" s="14"/>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row>
    <row r="363" spans="2:54" s="1" customFormat="1" x14ac:dyDescent="0.25">
      <c r="B363" s="15"/>
      <c r="C363" s="15"/>
      <c r="D363" s="15"/>
      <c r="E363" s="15"/>
      <c r="F363" s="14"/>
      <c r="G363" s="14"/>
      <c r="H363" s="14"/>
      <c r="I363" s="14"/>
      <c r="J363" s="14"/>
      <c r="K363" s="14"/>
      <c r="L363" s="14"/>
      <c r="M363" s="14"/>
      <c r="N363" s="14"/>
      <c r="O363" s="14"/>
      <c r="P363" s="14"/>
      <c r="Q363" s="14"/>
      <c r="R363" s="14"/>
      <c r="S363" s="14"/>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row>
    <row r="364" spans="2:54" s="1" customFormat="1" x14ac:dyDescent="0.25">
      <c r="B364" s="15"/>
      <c r="C364" s="15"/>
      <c r="D364" s="15"/>
      <c r="E364" s="15"/>
      <c r="F364" s="14"/>
      <c r="G364" s="14"/>
      <c r="H364" s="14"/>
      <c r="I364" s="14"/>
      <c r="J364" s="14"/>
      <c r="K364" s="14"/>
      <c r="L364" s="14"/>
      <c r="M364" s="14"/>
      <c r="N364" s="14"/>
      <c r="O364" s="14"/>
      <c r="P364" s="14"/>
      <c r="Q364" s="14"/>
      <c r="R364" s="14"/>
      <c r="S364" s="14"/>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row>
    <row r="365" spans="2:54" s="1" customFormat="1" x14ac:dyDescent="0.25">
      <c r="B365" s="15"/>
      <c r="C365" s="15"/>
      <c r="D365" s="15"/>
      <c r="E365" s="15"/>
      <c r="F365" s="14"/>
      <c r="G365" s="14"/>
      <c r="H365" s="14"/>
      <c r="I365" s="14"/>
      <c r="J365" s="14"/>
      <c r="K365" s="14"/>
      <c r="L365" s="14"/>
      <c r="M365" s="14"/>
      <c r="N365" s="14"/>
      <c r="O365" s="14"/>
      <c r="P365" s="14"/>
      <c r="Q365" s="14"/>
      <c r="R365" s="14"/>
      <c r="S365" s="14"/>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row>
    <row r="366" spans="2:54" s="1" customFormat="1" x14ac:dyDescent="0.25">
      <c r="B366" s="15"/>
      <c r="C366" s="15"/>
      <c r="D366" s="15"/>
      <c r="E366" s="15"/>
      <c r="F366" s="14"/>
      <c r="G366" s="14"/>
      <c r="H366" s="14"/>
      <c r="I366" s="14"/>
      <c r="J366" s="14"/>
      <c r="K366" s="14"/>
      <c r="L366" s="14"/>
      <c r="M366" s="14"/>
      <c r="N366" s="14"/>
      <c r="O366" s="14"/>
      <c r="P366" s="14"/>
      <c r="Q366" s="14"/>
      <c r="R366" s="14"/>
      <c r="S366" s="14"/>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row>
    <row r="367" spans="2:54" s="1" customFormat="1" x14ac:dyDescent="0.25">
      <c r="B367" s="15"/>
      <c r="C367" s="15"/>
      <c r="D367" s="15"/>
      <c r="E367" s="15"/>
      <c r="F367" s="14"/>
      <c r="G367" s="14"/>
      <c r="H367" s="14"/>
      <c r="I367" s="14"/>
      <c r="J367" s="14"/>
      <c r="K367" s="14"/>
      <c r="L367" s="14"/>
      <c r="M367" s="14"/>
      <c r="N367" s="14"/>
      <c r="O367" s="14"/>
      <c r="P367" s="14"/>
      <c r="Q367" s="14"/>
      <c r="R367" s="14"/>
      <c r="S367" s="14"/>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row>
    <row r="368" spans="2:54" s="1" customFormat="1" x14ac:dyDescent="0.25">
      <c r="B368" s="15"/>
      <c r="C368" s="15"/>
      <c r="D368" s="15"/>
      <c r="E368" s="15"/>
      <c r="F368" s="14"/>
      <c r="G368" s="14"/>
      <c r="H368" s="14"/>
      <c r="I368" s="14"/>
      <c r="J368" s="14"/>
      <c r="K368" s="14"/>
      <c r="L368" s="14"/>
      <c r="M368" s="14"/>
      <c r="N368" s="14"/>
      <c r="O368" s="14"/>
      <c r="P368" s="14"/>
      <c r="Q368" s="14"/>
      <c r="R368" s="14"/>
      <c r="S368" s="14"/>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row>
    <row r="369" spans="2:54" s="1" customFormat="1" x14ac:dyDescent="0.25">
      <c r="B369" s="15"/>
      <c r="C369" s="15"/>
      <c r="D369" s="15"/>
      <c r="E369" s="15"/>
      <c r="F369" s="14"/>
      <c r="G369" s="14"/>
      <c r="H369" s="14"/>
      <c r="I369" s="14"/>
      <c r="J369" s="14"/>
      <c r="K369" s="14"/>
      <c r="L369" s="14"/>
      <c r="M369" s="14"/>
      <c r="N369" s="14"/>
      <c r="O369" s="14"/>
      <c r="P369" s="14"/>
      <c r="Q369" s="14"/>
      <c r="R369" s="14"/>
      <c r="S369" s="14"/>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row>
    <row r="370" spans="2:54" s="1" customFormat="1" x14ac:dyDescent="0.25">
      <c r="B370" s="15"/>
      <c r="C370" s="15"/>
      <c r="D370" s="15"/>
      <c r="E370" s="15"/>
      <c r="F370" s="14"/>
      <c r="G370" s="14"/>
      <c r="H370" s="14"/>
      <c r="I370" s="14"/>
      <c r="J370" s="14"/>
      <c r="K370" s="14"/>
      <c r="L370" s="14"/>
      <c r="M370" s="14"/>
      <c r="N370" s="14"/>
      <c r="O370" s="14"/>
      <c r="P370" s="14"/>
      <c r="Q370" s="14"/>
      <c r="R370" s="14"/>
      <c r="S370" s="14"/>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row>
    <row r="371" spans="2:54" s="1" customFormat="1" x14ac:dyDescent="0.25">
      <c r="B371" s="15"/>
      <c r="C371" s="15"/>
      <c r="D371" s="15"/>
      <c r="E371" s="15"/>
      <c r="F371" s="14"/>
      <c r="G371" s="14"/>
      <c r="H371" s="14"/>
      <c r="I371" s="14"/>
      <c r="J371" s="14"/>
      <c r="K371" s="14"/>
      <c r="L371" s="14"/>
      <c r="M371" s="14"/>
      <c r="N371" s="14"/>
      <c r="O371" s="14"/>
      <c r="P371" s="14"/>
      <c r="Q371" s="14"/>
      <c r="R371" s="14"/>
      <c r="S371" s="14"/>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row>
    <row r="372" spans="2:54" s="1" customFormat="1" x14ac:dyDescent="0.25">
      <c r="B372" s="15"/>
      <c r="C372" s="15"/>
      <c r="D372" s="15"/>
      <c r="E372" s="15"/>
      <c r="F372" s="14"/>
      <c r="G372" s="14"/>
      <c r="H372" s="14"/>
      <c r="I372" s="14"/>
      <c r="J372" s="14"/>
      <c r="K372" s="14"/>
      <c r="L372" s="14"/>
      <c r="M372" s="14"/>
      <c r="N372" s="14"/>
      <c r="O372" s="14"/>
      <c r="P372" s="14"/>
      <c r="Q372" s="14"/>
      <c r="R372" s="14"/>
      <c r="S372" s="14"/>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row>
    <row r="373" spans="2:54" s="1" customFormat="1" x14ac:dyDescent="0.25">
      <c r="B373" s="15"/>
      <c r="C373" s="15"/>
      <c r="D373" s="15"/>
      <c r="E373" s="15"/>
      <c r="F373" s="14"/>
      <c r="G373" s="14"/>
      <c r="H373" s="14"/>
      <c r="I373" s="14"/>
      <c r="J373" s="14"/>
      <c r="K373" s="14"/>
      <c r="L373" s="14"/>
      <c r="M373" s="14"/>
      <c r="N373" s="14"/>
      <c r="O373" s="14"/>
      <c r="P373" s="14"/>
      <c r="Q373" s="14"/>
      <c r="R373" s="14"/>
      <c r="S373" s="14"/>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row>
    <row r="374" spans="2:54" s="1" customFormat="1" x14ac:dyDescent="0.25">
      <c r="B374" s="15"/>
      <c r="C374" s="15"/>
      <c r="D374" s="15"/>
      <c r="E374" s="15"/>
      <c r="F374" s="14"/>
      <c r="G374" s="14"/>
      <c r="H374" s="14"/>
      <c r="I374" s="14"/>
      <c r="J374" s="14"/>
      <c r="K374" s="14"/>
      <c r="L374" s="14"/>
      <c r="M374" s="14"/>
      <c r="N374" s="14"/>
      <c r="O374" s="14"/>
      <c r="P374" s="14"/>
      <c r="Q374" s="14"/>
      <c r="R374" s="14"/>
      <c r="S374" s="14"/>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row>
    <row r="375" spans="2:54" s="1" customFormat="1" x14ac:dyDescent="0.25">
      <c r="B375" s="15"/>
      <c r="C375" s="15"/>
      <c r="D375" s="15"/>
      <c r="E375" s="15"/>
      <c r="F375" s="14"/>
      <c r="G375" s="14"/>
      <c r="H375" s="14"/>
      <c r="I375" s="14"/>
      <c r="J375" s="14"/>
      <c r="K375" s="14"/>
      <c r="L375" s="14"/>
      <c r="M375" s="14"/>
      <c r="N375" s="14"/>
      <c r="O375" s="14"/>
      <c r="P375" s="14"/>
      <c r="Q375" s="14"/>
      <c r="R375" s="14"/>
      <c r="S375" s="14"/>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row>
    <row r="376" spans="2:54" s="1" customFormat="1" x14ac:dyDescent="0.25">
      <c r="B376" s="15"/>
      <c r="C376" s="15"/>
      <c r="D376" s="15"/>
      <c r="E376" s="15"/>
      <c r="F376" s="14"/>
      <c r="G376" s="14"/>
      <c r="H376" s="14"/>
      <c r="I376" s="14"/>
      <c r="J376" s="14"/>
      <c r="K376" s="14"/>
      <c r="L376" s="14"/>
      <c r="M376" s="14"/>
      <c r="N376" s="14"/>
      <c r="O376" s="14"/>
      <c r="P376" s="14"/>
      <c r="Q376" s="14"/>
      <c r="R376" s="14"/>
      <c r="S376" s="14"/>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row>
    <row r="377" spans="2:54" s="1" customFormat="1" x14ac:dyDescent="0.25">
      <c r="B377" s="15"/>
      <c r="C377" s="15"/>
      <c r="D377" s="15"/>
      <c r="E377" s="15"/>
      <c r="F377" s="14"/>
      <c r="G377" s="14"/>
      <c r="H377" s="14"/>
      <c r="I377" s="14"/>
      <c r="J377" s="14"/>
      <c r="K377" s="14"/>
      <c r="L377" s="14"/>
      <c r="M377" s="14"/>
      <c r="N377" s="14"/>
      <c r="O377" s="14"/>
      <c r="P377" s="14"/>
      <c r="Q377" s="14"/>
      <c r="R377" s="14"/>
      <c r="S377" s="14"/>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row>
    <row r="378" spans="2:54" s="1" customFormat="1" x14ac:dyDescent="0.25">
      <c r="B378" s="15"/>
      <c r="C378" s="15"/>
      <c r="D378" s="15"/>
      <c r="E378" s="15"/>
      <c r="F378" s="14"/>
      <c r="G378" s="14"/>
      <c r="H378" s="14"/>
      <c r="I378" s="14"/>
      <c r="J378" s="14"/>
      <c r="K378" s="14"/>
      <c r="L378" s="14"/>
      <c r="M378" s="14"/>
      <c r="N378" s="14"/>
      <c r="O378" s="14"/>
      <c r="P378" s="14"/>
      <c r="Q378" s="14"/>
      <c r="R378" s="14"/>
      <c r="S378" s="14"/>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row>
    <row r="379" spans="2:54" s="1" customFormat="1" x14ac:dyDescent="0.25">
      <c r="B379" s="15"/>
      <c r="C379" s="15"/>
      <c r="D379" s="15"/>
      <c r="E379" s="15"/>
      <c r="F379" s="14"/>
      <c r="G379" s="14"/>
      <c r="H379" s="14"/>
      <c r="I379" s="14"/>
      <c r="J379" s="14"/>
      <c r="K379" s="14"/>
      <c r="L379" s="14"/>
      <c r="M379" s="14"/>
      <c r="N379" s="14"/>
      <c r="O379" s="14"/>
      <c r="P379" s="14"/>
      <c r="Q379" s="14"/>
      <c r="R379" s="14"/>
      <c r="S379" s="14"/>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row>
    <row r="380" spans="2:54" s="1" customFormat="1" x14ac:dyDescent="0.25">
      <c r="B380" s="15"/>
      <c r="C380" s="15"/>
      <c r="D380" s="15"/>
      <c r="E380" s="15"/>
      <c r="F380" s="14"/>
      <c r="G380" s="14"/>
      <c r="H380" s="14"/>
      <c r="I380" s="14"/>
      <c r="J380" s="14"/>
      <c r="K380" s="14"/>
      <c r="L380" s="14"/>
      <c r="M380" s="14"/>
      <c r="N380" s="14"/>
      <c r="O380" s="14"/>
      <c r="P380" s="14"/>
      <c r="Q380" s="14"/>
      <c r="R380" s="14"/>
      <c r="S380" s="14"/>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row>
    <row r="381" spans="2:54" s="1" customFormat="1" x14ac:dyDescent="0.25">
      <c r="B381" s="15"/>
      <c r="C381" s="15"/>
      <c r="D381" s="15"/>
      <c r="E381" s="15"/>
      <c r="F381" s="14"/>
      <c r="G381" s="14"/>
      <c r="H381" s="14"/>
      <c r="I381" s="14"/>
      <c r="J381" s="14"/>
      <c r="K381" s="14"/>
      <c r="L381" s="14"/>
      <c r="M381" s="14"/>
      <c r="N381" s="14"/>
      <c r="O381" s="14"/>
      <c r="P381" s="14"/>
      <c r="Q381" s="14"/>
      <c r="R381" s="14"/>
      <c r="S381" s="14"/>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row>
    <row r="382" spans="2:54" s="1" customFormat="1" x14ac:dyDescent="0.25">
      <c r="B382" s="15"/>
      <c r="C382" s="15"/>
      <c r="D382" s="15"/>
      <c r="E382" s="15"/>
      <c r="F382" s="14"/>
      <c r="G382" s="14"/>
      <c r="H382" s="14"/>
      <c r="I382" s="14"/>
      <c r="J382" s="14"/>
      <c r="K382" s="14"/>
      <c r="L382" s="14"/>
      <c r="M382" s="14"/>
      <c r="N382" s="14"/>
      <c r="O382" s="14"/>
      <c r="P382" s="14"/>
      <c r="Q382" s="14"/>
      <c r="R382" s="14"/>
      <c r="S382" s="14"/>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row>
    <row r="383" spans="2:54" s="1" customFormat="1" x14ac:dyDescent="0.25">
      <c r="B383" s="15"/>
      <c r="C383" s="15"/>
      <c r="D383" s="15"/>
      <c r="E383" s="15"/>
      <c r="F383" s="14"/>
      <c r="G383" s="14"/>
      <c r="H383" s="14"/>
      <c r="I383" s="14"/>
      <c r="J383" s="14"/>
      <c r="K383" s="14"/>
      <c r="L383" s="14"/>
      <c r="M383" s="14"/>
      <c r="N383" s="14"/>
      <c r="O383" s="14"/>
      <c r="P383" s="14"/>
      <c r="Q383" s="14"/>
      <c r="R383" s="14"/>
      <c r="S383" s="14"/>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row>
    <row r="384" spans="2:54" s="1" customFormat="1" x14ac:dyDescent="0.25">
      <c r="B384" s="15"/>
      <c r="C384" s="15"/>
      <c r="D384" s="15"/>
      <c r="E384" s="15"/>
      <c r="F384" s="14"/>
      <c r="G384" s="14"/>
      <c r="H384" s="14"/>
      <c r="I384" s="14"/>
      <c r="J384" s="14"/>
      <c r="K384" s="14"/>
      <c r="L384" s="14"/>
      <c r="M384" s="14"/>
      <c r="N384" s="14"/>
      <c r="O384" s="14"/>
      <c r="P384" s="14"/>
      <c r="Q384" s="14"/>
      <c r="R384" s="14"/>
      <c r="S384" s="14"/>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row>
    <row r="385" spans="2:54" s="1" customFormat="1" x14ac:dyDescent="0.25">
      <c r="B385" s="15"/>
      <c r="C385" s="15"/>
      <c r="D385" s="15"/>
      <c r="E385" s="15"/>
      <c r="F385" s="14"/>
      <c r="G385" s="14"/>
      <c r="H385" s="14"/>
      <c r="I385" s="14"/>
      <c r="J385" s="14"/>
      <c r="K385" s="14"/>
      <c r="L385" s="14"/>
      <c r="M385" s="14"/>
      <c r="N385" s="14"/>
      <c r="O385" s="14"/>
      <c r="P385" s="14"/>
      <c r="Q385" s="14"/>
      <c r="R385" s="14"/>
      <c r="S385" s="14"/>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row>
    <row r="386" spans="2:54" s="1" customFormat="1" x14ac:dyDescent="0.25">
      <c r="B386" s="15"/>
      <c r="C386" s="15"/>
      <c r="D386" s="15"/>
      <c r="E386" s="15"/>
      <c r="F386" s="14"/>
      <c r="G386" s="14"/>
      <c r="H386" s="14"/>
      <c r="I386" s="14"/>
      <c r="J386" s="14"/>
      <c r="K386" s="14"/>
      <c r="L386" s="14"/>
      <c r="M386" s="14"/>
      <c r="N386" s="14"/>
      <c r="O386" s="14"/>
      <c r="P386" s="14"/>
      <c r="Q386" s="14"/>
      <c r="R386" s="14"/>
      <c r="S386" s="14"/>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row>
    <row r="387" spans="2:54" s="1" customFormat="1" x14ac:dyDescent="0.25">
      <c r="F387" s="12"/>
      <c r="G387" s="12"/>
      <c r="H387" s="12"/>
      <c r="I387" s="12"/>
      <c r="J387" s="12"/>
      <c r="K387" s="12"/>
      <c r="L387" s="12"/>
      <c r="M387" s="12"/>
      <c r="N387" s="12"/>
      <c r="O387" s="12"/>
      <c r="P387" s="12"/>
      <c r="Q387" s="12"/>
      <c r="R387" s="12"/>
      <c r="S387" s="12"/>
    </row>
    <row r="388" spans="2:54" s="1" customFormat="1" x14ac:dyDescent="0.25">
      <c r="F388" s="12"/>
      <c r="G388" s="12"/>
      <c r="H388" s="12"/>
      <c r="I388" s="12"/>
      <c r="J388" s="12"/>
      <c r="K388" s="12"/>
      <c r="L388" s="12"/>
      <c r="M388" s="12"/>
      <c r="N388" s="12"/>
      <c r="O388" s="12"/>
      <c r="P388" s="12"/>
      <c r="Q388" s="12"/>
      <c r="R388" s="12"/>
      <c r="S388" s="12"/>
    </row>
    <row r="389" spans="2:54" s="1" customFormat="1" x14ac:dyDescent="0.25">
      <c r="F389" s="12"/>
      <c r="G389" s="12"/>
      <c r="H389" s="12"/>
      <c r="I389" s="12"/>
      <c r="J389" s="12"/>
      <c r="K389" s="12"/>
      <c r="L389" s="12"/>
      <c r="M389" s="12"/>
      <c r="N389" s="12"/>
      <c r="O389" s="12"/>
      <c r="P389" s="12"/>
      <c r="Q389" s="12"/>
      <c r="R389" s="12"/>
      <c r="S389" s="12"/>
    </row>
    <row r="390" spans="2:54" s="1" customFormat="1" x14ac:dyDescent="0.25">
      <c r="F390" s="12"/>
      <c r="G390" s="12"/>
      <c r="H390" s="12"/>
      <c r="I390" s="12"/>
      <c r="J390" s="12"/>
      <c r="K390" s="12"/>
      <c r="L390" s="12"/>
      <c r="M390" s="12"/>
      <c r="N390" s="12"/>
      <c r="O390" s="12"/>
      <c r="P390" s="12"/>
      <c r="Q390" s="12"/>
      <c r="R390" s="12"/>
      <c r="S390" s="12"/>
    </row>
    <row r="391" spans="2:54" s="1" customFormat="1" x14ac:dyDescent="0.25">
      <c r="F391" s="12"/>
      <c r="G391" s="12"/>
      <c r="H391" s="12"/>
      <c r="I391" s="12"/>
      <c r="J391" s="12"/>
      <c r="K391" s="12"/>
      <c r="L391" s="12"/>
      <c r="M391" s="12"/>
      <c r="N391" s="12"/>
      <c r="O391" s="12"/>
      <c r="P391" s="12"/>
      <c r="Q391" s="12"/>
      <c r="R391" s="12"/>
      <c r="S391" s="12"/>
    </row>
    <row r="392" spans="2:54" s="1" customFormat="1" x14ac:dyDescent="0.25">
      <c r="F392" s="12"/>
      <c r="G392" s="12"/>
      <c r="H392" s="12"/>
      <c r="I392" s="12"/>
      <c r="J392" s="12"/>
      <c r="K392" s="12"/>
      <c r="L392" s="12"/>
      <c r="M392" s="12"/>
      <c r="N392" s="12"/>
      <c r="O392" s="12"/>
      <c r="P392" s="12"/>
      <c r="Q392" s="12"/>
      <c r="R392" s="12"/>
      <c r="S392" s="12"/>
    </row>
    <row r="393" spans="2:54" s="1" customFormat="1" x14ac:dyDescent="0.25">
      <c r="F393" s="12"/>
      <c r="G393" s="12"/>
      <c r="H393" s="12"/>
      <c r="I393" s="12"/>
      <c r="J393" s="12"/>
      <c r="K393" s="12"/>
      <c r="L393" s="12"/>
      <c r="M393" s="12"/>
      <c r="N393" s="12"/>
      <c r="O393" s="12"/>
      <c r="P393" s="12"/>
      <c r="Q393" s="12"/>
      <c r="R393" s="12"/>
      <c r="S393" s="12"/>
    </row>
    <row r="394" spans="2:54" s="1" customFormat="1" x14ac:dyDescent="0.25">
      <c r="F394" s="12"/>
      <c r="G394" s="12"/>
      <c r="H394" s="12"/>
      <c r="I394" s="12"/>
      <c r="J394" s="12"/>
      <c r="K394" s="12"/>
      <c r="L394" s="12"/>
      <c r="M394" s="12"/>
      <c r="N394" s="12"/>
      <c r="O394" s="12"/>
      <c r="P394" s="12"/>
      <c r="Q394" s="12"/>
      <c r="R394" s="12"/>
      <c r="S394" s="12"/>
    </row>
    <row r="395" spans="2:54" s="1" customFormat="1" x14ac:dyDescent="0.25">
      <c r="F395" s="12"/>
      <c r="G395" s="12"/>
      <c r="H395" s="12"/>
      <c r="I395" s="12"/>
      <c r="J395" s="12"/>
      <c r="K395" s="12"/>
      <c r="L395" s="12"/>
      <c r="M395" s="12"/>
      <c r="N395" s="12"/>
      <c r="O395" s="12"/>
      <c r="P395" s="12"/>
      <c r="Q395" s="12"/>
      <c r="R395" s="12"/>
      <c r="S395" s="12"/>
    </row>
    <row r="396" spans="2:54" s="1" customFormat="1" x14ac:dyDescent="0.25">
      <c r="F396" s="12"/>
      <c r="G396" s="12"/>
      <c r="H396" s="12"/>
      <c r="I396" s="12"/>
      <c r="J396" s="12"/>
      <c r="K396" s="12"/>
      <c r="L396" s="12"/>
      <c r="M396" s="12"/>
      <c r="N396" s="12"/>
      <c r="O396" s="12"/>
      <c r="P396" s="12"/>
      <c r="Q396" s="12"/>
      <c r="R396" s="12"/>
      <c r="S396" s="12"/>
    </row>
    <row r="397" spans="2:54" s="1" customFormat="1" x14ac:dyDescent="0.25">
      <c r="F397" s="12"/>
      <c r="G397" s="12"/>
      <c r="H397" s="12"/>
      <c r="I397" s="12"/>
      <c r="J397" s="12"/>
      <c r="K397" s="12"/>
      <c r="L397" s="12"/>
      <c r="M397" s="12"/>
      <c r="N397" s="12"/>
      <c r="O397" s="12"/>
      <c r="P397" s="12"/>
      <c r="Q397" s="12"/>
      <c r="R397" s="12"/>
      <c r="S397" s="12"/>
    </row>
    <row r="398" spans="2:54" s="1" customFormat="1" x14ac:dyDescent="0.25">
      <c r="F398" s="12"/>
      <c r="G398" s="12"/>
      <c r="H398" s="12"/>
      <c r="I398" s="12"/>
      <c r="J398" s="12"/>
      <c r="K398" s="12"/>
      <c r="L398" s="12"/>
      <c r="M398" s="12"/>
      <c r="N398" s="12"/>
      <c r="O398" s="12"/>
      <c r="P398" s="12"/>
      <c r="Q398" s="12"/>
      <c r="R398" s="12"/>
      <c r="S398" s="12"/>
    </row>
    <row r="399" spans="2:54" s="1" customFormat="1" x14ac:dyDescent="0.25">
      <c r="F399" s="12"/>
      <c r="G399" s="12"/>
      <c r="H399" s="12"/>
      <c r="I399" s="12"/>
      <c r="J399" s="12"/>
      <c r="K399" s="12"/>
      <c r="L399" s="12"/>
      <c r="M399" s="12"/>
      <c r="N399" s="12"/>
      <c r="O399" s="12"/>
      <c r="P399" s="12"/>
      <c r="Q399" s="12"/>
      <c r="R399" s="12"/>
      <c r="S399" s="12"/>
    </row>
    <row r="400" spans="2:54" s="1" customFormat="1" x14ac:dyDescent="0.25">
      <c r="F400" s="12"/>
      <c r="G400" s="12"/>
      <c r="H400" s="12"/>
      <c r="I400" s="12"/>
      <c r="J400" s="12"/>
      <c r="K400" s="12"/>
      <c r="L400" s="12"/>
      <c r="M400" s="12"/>
      <c r="N400" s="12"/>
      <c r="O400" s="12"/>
      <c r="P400" s="12"/>
      <c r="Q400" s="12"/>
      <c r="R400" s="12"/>
      <c r="S400" s="12"/>
    </row>
    <row r="401" spans="6:19" s="1" customFormat="1" x14ac:dyDescent="0.25">
      <c r="F401" s="12"/>
      <c r="G401" s="12"/>
      <c r="H401" s="12"/>
      <c r="I401" s="12"/>
      <c r="J401" s="12"/>
      <c r="K401" s="12"/>
      <c r="L401" s="12"/>
      <c r="M401" s="12"/>
      <c r="N401" s="12"/>
      <c r="O401" s="12"/>
      <c r="P401" s="12"/>
      <c r="Q401" s="12"/>
      <c r="R401" s="12"/>
      <c r="S401" s="12"/>
    </row>
    <row r="402" spans="6:19" s="1" customFormat="1" x14ac:dyDescent="0.25">
      <c r="F402" s="12"/>
      <c r="G402" s="12"/>
      <c r="H402" s="12"/>
      <c r="I402" s="12"/>
      <c r="J402" s="12"/>
      <c r="K402" s="12"/>
      <c r="L402" s="12"/>
      <c r="M402" s="12"/>
      <c r="N402" s="12"/>
      <c r="O402" s="12"/>
      <c r="P402" s="12"/>
      <c r="Q402" s="12"/>
      <c r="R402" s="12"/>
      <c r="S402" s="12"/>
    </row>
    <row r="403" spans="6:19" s="1" customFormat="1" x14ac:dyDescent="0.25">
      <c r="F403" s="12"/>
      <c r="G403" s="12"/>
      <c r="H403" s="12"/>
      <c r="I403" s="12"/>
      <c r="J403" s="12"/>
      <c r="K403" s="12"/>
      <c r="L403" s="12"/>
      <c r="M403" s="12"/>
      <c r="N403" s="12"/>
      <c r="O403" s="12"/>
      <c r="P403" s="12"/>
      <c r="Q403" s="12"/>
      <c r="R403" s="12"/>
      <c r="S403" s="12"/>
    </row>
    <row r="404" spans="6:19" s="1" customFormat="1" x14ac:dyDescent="0.25">
      <c r="F404" s="12"/>
      <c r="G404" s="12"/>
      <c r="H404" s="12"/>
      <c r="I404" s="12"/>
      <c r="J404" s="12"/>
      <c r="K404" s="12"/>
      <c r="L404" s="12"/>
      <c r="M404" s="12"/>
      <c r="N404" s="12"/>
      <c r="O404" s="12"/>
      <c r="P404" s="12"/>
      <c r="Q404" s="12"/>
      <c r="R404" s="12"/>
      <c r="S404" s="12"/>
    </row>
    <row r="405" spans="6:19" s="1" customFormat="1" x14ac:dyDescent="0.25">
      <c r="F405" s="12"/>
      <c r="G405" s="12"/>
      <c r="H405" s="12"/>
      <c r="I405" s="12"/>
      <c r="J405" s="12"/>
      <c r="K405" s="12"/>
      <c r="L405" s="12"/>
      <c r="M405" s="12"/>
      <c r="N405" s="12"/>
      <c r="O405" s="12"/>
      <c r="P405" s="12"/>
      <c r="Q405" s="12"/>
      <c r="R405" s="12"/>
      <c r="S405" s="12"/>
    </row>
    <row r="406" spans="6:19" s="1" customFormat="1" x14ac:dyDescent="0.25">
      <c r="F406" s="12"/>
      <c r="G406" s="12"/>
      <c r="H406" s="12"/>
      <c r="I406" s="12"/>
      <c r="J406" s="12"/>
      <c r="K406" s="12"/>
      <c r="L406" s="12"/>
      <c r="M406" s="12"/>
      <c r="N406" s="12"/>
      <c r="O406" s="12"/>
      <c r="P406" s="12"/>
      <c r="Q406" s="12"/>
      <c r="R406" s="12"/>
      <c r="S406" s="12"/>
    </row>
    <row r="407" spans="6:19" s="1" customFormat="1" x14ac:dyDescent="0.25">
      <c r="F407" s="12"/>
      <c r="G407" s="12"/>
      <c r="H407" s="12"/>
      <c r="I407" s="12"/>
      <c r="J407" s="12"/>
      <c r="K407" s="12"/>
      <c r="L407" s="12"/>
      <c r="M407" s="12"/>
      <c r="N407" s="12"/>
      <c r="O407" s="12"/>
      <c r="P407" s="12"/>
      <c r="Q407" s="12"/>
      <c r="R407" s="12"/>
      <c r="S407" s="12"/>
    </row>
    <row r="408" spans="6:19" s="1" customFormat="1" x14ac:dyDescent="0.25">
      <c r="F408" s="12"/>
      <c r="G408" s="12"/>
      <c r="H408" s="12"/>
      <c r="I408" s="12"/>
      <c r="J408" s="12"/>
      <c r="K408" s="12"/>
      <c r="L408" s="12"/>
      <c r="M408" s="12"/>
      <c r="N408" s="12"/>
      <c r="O408" s="12"/>
      <c r="P408" s="12"/>
      <c r="Q408" s="12"/>
      <c r="R408" s="12"/>
      <c r="S408" s="12"/>
    </row>
    <row r="409" spans="6:19" s="1" customFormat="1" x14ac:dyDescent="0.25">
      <c r="F409" s="12"/>
      <c r="G409" s="12"/>
      <c r="H409" s="12"/>
      <c r="I409" s="12"/>
      <c r="J409" s="12"/>
      <c r="K409" s="12"/>
      <c r="L409" s="12"/>
      <c r="M409" s="12"/>
      <c r="N409" s="12"/>
      <c r="O409" s="12"/>
      <c r="P409" s="12"/>
      <c r="Q409" s="12"/>
      <c r="R409" s="12"/>
      <c r="S409" s="12"/>
    </row>
    <row r="410" spans="6:19" s="1" customFormat="1" x14ac:dyDescent="0.25">
      <c r="F410" s="12"/>
      <c r="G410" s="12"/>
      <c r="H410" s="12"/>
      <c r="I410" s="12"/>
      <c r="J410" s="12"/>
      <c r="K410" s="12"/>
      <c r="L410" s="12"/>
      <c r="M410" s="12"/>
      <c r="N410" s="12"/>
      <c r="O410" s="12"/>
      <c r="P410" s="12"/>
      <c r="Q410" s="12"/>
      <c r="R410" s="12"/>
      <c r="S410" s="12"/>
    </row>
    <row r="411" spans="6:19" s="1" customFormat="1" x14ac:dyDescent="0.25">
      <c r="F411" s="12"/>
      <c r="G411" s="12"/>
      <c r="H411" s="12"/>
      <c r="I411" s="12"/>
      <c r="J411" s="12"/>
      <c r="K411" s="12"/>
      <c r="L411" s="12"/>
      <c r="M411" s="12"/>
      <c r="N411" s="12"/>
      <c r="O411" s="12"/>
      <c r="P411" s="12"/>
      <c r="Q411" s="12"/>
      <c r="R411" s="12"/>
      <c r="S411" s="12"/>
    </row>
    <row r="412" spans="6:19" s="1" customFormat="1" x14ac:dyDescent="0.25">
      <c r="F412" s="12"/>
      <c r="G412" s="12"/>
      <c r="H412" s="12"/>
      <c r="I412" s="12"/>
      <c r="J412" s="12"/>
      <c r="K412" s="12"/>
      <c r="L412" s="12"/>
      <c r="M412" s="12"/>
      <c r="N412" s="12"/>
      <c r="O412" s="12"/>
      <c r="P412" s="12"/>
      <c r="Q412" s="12"/>
      <c r="R412" s="12"/>
      <c r="S412" s="12"/>
    </row>
    <row r="413" spans="6:19" s="1" customFormat="1" x14ac:dyDescent="0.25">
      <c r="F413" s="12"/>
      <c r="G413" s="12"/>
      <c r="H413" s="12"/>
      <c r="I413" s="12"/>
      <c r="J413" s="12"/>
      <c r="K413" s="12"/>
      <c r="L413" s="12"/>
      <c r="M413" s="12"/>
      <c r="N413" s="12"/>
      <c r="O413" s="12"/>
      <c r="P413" s="12"/>
      <c r="Q413" s="12"/>
      <c r="R413" s="12"/>
      <c r="S413" s="12"/>
    </row>
    <row r="414" spans="6:19" s="1" customFormat="1" x14ac:dyDescent="0.25">
      <c r="F414" s="12"/>
      <c r="G414" s="12"/>
      <c r="H414" s="12"/>
      <c r="I414" s="12"/>
      <c r="J414" s="12"/>
      <c r="K414" s="12"/>
      <c r="L414" s="12"/>
      <c r="M414" s="12"/>
      <c r="N414" s="12"/>
      <c r="O414" s="12"/>
      <c r="P414" s="12"/>
      <c r="Q414" s="12"/>
      <c r="R414" s="12"/>
      <c r="S414" s="12"/>
    </row>
    <row r="415" spans="6:19" s="1" customFormat="1" x14ac:dyDescent="0.25">
      <c r="F415" s="12"/>
      <c r="G415" s="12"/>
      <c r="H415" s="12"/>
      <c r="I415" s="12"/>
      <c r="J415" s="12"/>
      <c r="K415" s="12"/>
      <c r="L415" s="12"/>
      <c r="M415" s="12"/>
      <c r="N415" s="12"/>
      <c r="O415" s="12"/>
      <c r="P415" s="12"/>
      <c r="Q415" s="12"/>
      <c r="R415" s="12"/>
      <c r="S415" s="12"/>
    </row>
    <row r="416" spans="6:19" s="1" customFormat="1" x14ac:dyDescent="0.25">
      <c r="F416" s="12"/>
      <c r="G416" s="12"/>
      <c r="H416" s="12"/>
      <c r="I416" s="12"/>
      <c r="J416" s="12"/>
      <c r="K416" s="12"/>
      <c r="L416" s="12"/>
      <c r="M416" s="12"/>
      <c r="N416" s="12"/>
      <c r="O416" s="12"/>
      <c r="P416" s="12"/>
      <c r="Q416" s="12"/>
      <c r="R416" s="12"/>
      <c r="S416" s="12"/>
    </row>
    <row r="417" spans="6:19" s="1" customFormat="1" x14ac:dyDescent="0.25">
      <c r="F417" s="12"/>
      <c r="G417" s="12"/>
      <c r="H417" s="12"/>
      <c r="I417" s="12"/>
      <c r="J417" s="12"/>
      <c r="K417" s="12"/>
      <c r="L417" s="12"/>
      <c r="M417" s="12"/>
      <c r="N417" s="12"/>
      <c r="O417" s="12"/>
      <c r="P417" s="12"/>
      <c r="Q417" s="12"/>
      <c r="R417" s="12"/>
      <c r="S417" s="12"/>
    </row>
    <row r="418" spans="6:19" s="1" customFormat="1" x14ac:dyDescent="0.25">
      <c r="F418" s="12"/>
      <c r="G418" s="12"/>
      <c r="H418" s="12"/>
      <c r="I418" s="12"/>
      <c r="J418" s="12"/>
      <c r="K418" s="12"/>
      <c r="L418" s="12"/>
      <c r="M418" s="12"/>
      <c r="N418" s="12"/>
      <c r="O418" s="12"/>
      <c r="P418" s="12"/>
      <c r="Q418" s="12"/>
      <c r="R418" s="12"/>
      <c r="S418" s="12"/>
    </row>
    <row r="419" spans="6:19" s="1" customFormat="1" x14ac:dyDescent="0.25">
      <c r="F419" s="12"/>
      <c r="G419" s="12"/>
      <c r="H419" s="12"/>
      <c r="I419" s="12"/>
      <c r="J419" s="12"/>
      <c r="K419" s="12"/>
      <c r="L419" s="12"/>
      <c r="M419" s="12"/>
      <c r="N419" s="12"/>
      <c r="O419" s="12"/>
      <c r="P419" s="12"/>
      <c r="Q419" s="12"/>
      <c r="R419" s="12"/>
      <c r="S419" s="12"/>
    </row>
    <row r="420" spans="6:19" s="1" customFormat="1" x14ac:dyDescent="0.25">
      <c r="F420" s="12"/>
      <c r="G420" s="12"/>
      <c r="H420" s="12"/>
      <c r="I420" s="12"/>
      <c r="J420" s="12"/>
      <c r="K420" s="12"/>
      <c r="L420" s="12"/>
      <c r="M420" s="12"/>
      <c r="N420" s="12"/>
      <c r="O420" s="12"/>
      <c r="P420" s="12"/>
      <c r="Q420" s="12"/>
      <c r="R420" s="12"/>
      <c r="S420" s="12"/>
    </row>
    <row r="421" spans="6:19" s="1" customFormat="1" x14ac:dyDescent="0.25">
      <c r="F421" s="12"/>
      <c r="G421" s="12"/>
      <c r="H421" s="12"/>
      <c r="I421" s="12"/>
      <c r="J421" s="12"/>
      <c r="K421" s="12"/>
      <c r="L421" s="12"/>
      <c r="M421" s="12"/>
      <c r="N421" s="12"/>
      <c r="O421" s="12"/>
      <c r="P421" s="12"/>
      <c r="Q421" s="12"/>
      <c r="R421" s="12"/>
      <c r="S421" s="12"/>
    </row>
    <row r="422" spans="6:19" s="1" customFormat="1" x14ac:dyDescent="0.25">
      <c r="F422" s="12"/>
      <c r="G422" s="12"/>
      <c r="H422" s="12"/>
      <c r="I422" s="12"/>
      <c r="J422" s="12"/>
      <c r="K422" s="12"/>
      <c r="L422" s="12"/>
      <c r="M422" s="12"/>
      <c r="N422" s="12"/>
      <c r="O422" s="12"/>
      <c r="P422" s="12"/>
      <c r="Q422" s="12"/>
      <c r="R422" s="12"/>
      <c r="S422" s="12"/>
    </row>
    <row r="423" spans="6:19" s="1" customFormat="1" x14ac:dyDescent="0.25">
      <c r="F423" s="12"/>
      <c r="G423" s="12"/>
      <c r="H423" s="12"/>
      <c r="I423" s="12"/>
      <c r="J423" s="12"/>
      <c r="K423" s="12"/>
      <c r="L423" s="12"/>
      <c r="M423" s="12"/>
      <c r="N423" s="12"/>
      <c r="O423" s="12"/>
      <c r="P423" s="12"/>
      <c r="Q423" s="12"/>
      <c r="R423" s="12"/>
      <c r="S423" s="12"/>
    </row>
    <row r="424" spans="6:19" s="1" customFormat="1" x14ac:dyDescent="0.25">
      <c r="F424" s="12"/>
      <c r="G424" s="12"/>
      <c r="H424" s="12"/>
      <c r="I424" s="12"/>
      <c r="J424" s="12"/>
      <c r="K424" s="12"/>
      <c r="L424" s="12"/>
      <c r="M424" s="12"/>
      <c r="N424" s="12"/>
      <c r="O424" s="12"/>
      <c r="P424" s="12"/>
      <c r="Q424" s="12"/>
      <c r="R424" s="12"/>
      <c r="S424" s="12"/>
    </row>
    <row r="425" spans="6:19" s="1" customFormat="1" x14ac:dyDescent="0.25">
      <c r="F425" s="12"/>
      <c r="G425" s="12"/>
      <c r="H425" s="12"/>
      <c r="I425" s="12"/>
      <c r="J425" s="12"/>
      <c r="K425" s="12"/>
      <c r="L425" s="12"/>
      <c r="M425" s="12"/>
      <c r="N425" s="12"/>
      <c r="O425" s="12"/>
      <c r="P425" s="12"/>
      <c r="Q425" s="12"/>
      <c r="R425" s="12"/>
      <c r="S425" s="12"/>
    </row>
    <row r="426" spans="6:19" s="1" customFormat="1" x14ac:dyDescent="0.25">
      <c r="F426" s="12"/>
      <c r="G426" s="12"/>
      <c r="H426" s="12"/>
      <c r="I426" s="12"/>
      <c r="J426" s="12"/>
      <c r="K426" s="12"/>
      <c r="L426" s="12"/>
      <c r="M426" s="12"/>
      <c r="N426" s="12"/>
      <c r="O426" s="12"/>
      <c r="P426" s="12"/>
      <c r="Q426" s="12"/>
      <c r="R426" s="12"/>
      <c r="S426" s="12"/>
    </row>
    <row r="427" spans="6:19" s="1" customFormat="1" x14ac:dyDescent="0.25">
      <c r="F427" s="12"/>
      <c r="G427" s="12"/>
      <c r="H427" s="12"/>
      <c r="I427" s="12"/>
      <c r="J427" s="12"/>
      <c r="K427" s="12"/>
      <c r="L427" s="12"/>
      <c r="M427" s="12"/>
      <c r="N427" s="12"/>
      <c r="O427" s="12"/>
      <c r="P427" s="12"/>
      <c r="Q427" s="12"/>
      <c r="R427" s="12"/>
      <c r="S427" s="12"/>
    </row>
    <row r="428" spans="6:19" s="1" customFormat="1" x14ac:dyDescent="0.25">
      <c r="F428" s="12"/>
      <c r="G428" s="12"/>
      <c r="H428" s="12"/>
      <c r="I428" s="12"/>
      <c r="J428" s="12"/>
      <c r="K428" s="12"/>
      <c r="L428" s="12"/>
      <c r="M428" s="12"/>
      <c r="N428" s="12"/>
      <c r="O428" s="12"/>
      <c r="P428" s="12"/>
      <c r="Q428" s="12"/>
      <c r="R428" s="12"/>
      <c r="S428" s="12"/>
    </row>
    <row r="429" spans="6:19" s="1" customFormat="1" x14ac:dyDescent="0.25">
      <c r="F429" s="12"/>
      <c r="G429" s="12"/>
      <c r="H429" s="12"/>
      <c r="I429" s="12"/>
      <c r="J429" s="12"/>
      <c r="K429" s="12"/>
      <c r="L429" s="12"/>
      <c r="M429" s="12"/>
      <c r="N429" s="12"/>
      <c r="O429" s="12"/>
      <c r="P429" s="12"/>
      <c r="Q429" s="12"/>
      <c r="R429" s="12"/>
      <c r="S429" s="12"/>
    </row>
    <row r="430" spans="6:19" s="1" customFormat="1" x14ac:dyDescent="0.25">
      <c r="F430" s="12"/>
      <c r="G430" s="12"/>
      <c r="H430" s="12"/>
      <c r="I430" s="12"/>
      <c r="J430" s="12"/>
      <c r="K430" s="12"/>
      <c r="L430" s="12"/>
      <c r="M430" s="12"/>
      <c r="N430" s="12"/>
      <c r="O430" s="12"/>
      <c r="P430" s="12"/>
      <c r="Q430" s="12"/>
      <c r="R430" s="12"/>
      <c r="S430" s="12"/>
    </row>
    <row r="431" spans="6:19" s="1" customFormat="1" x14ac:dyDescent="0.25">
      <c r="F431" s="12"/>
      <c r="G431" s="12"/>
      <c r="H431" s="12"/>
      <c r="I431" s="12"/>
      <c r="J431" s="12"/>
      <c r="K431" s="12"/>
      <c r="L431" s="12"/>
      <c r="M431" s="12"/>
      <c r="N431" s="12"/>
      <c r="O431" s="12"/>
      <c r="P431" s="12"/>
      <c r="Q431" s="12"/>
      <c r="R431" s="12"/>
      <c r="S431" s="12"/>
    </row>
    <row r="432" spans="6:19" s="1" customFormat="1" x14ac:dyDescent="0.25">
      <c r="F432" s="12"/>
      <c r="G432" s="12"/>
      <c r="H432" s="12"/>
      <c r="I432" s="12"/>
      <c r="J432" s="12"/>
      <c r="K432" s="12"/>
      <c r="L432" s="12"/>
      <c r="M432" s="12"/>
      <c r="N432" s="12"/>
      <c r="O432" s="12"/>
      <c r="P432" s="12"/>
      <c r="Q432" s="12"/>
      <c r="R432" s="12"/>
      <c r="S432" s="12"/>
    </row>
    <row r="433" spans="6:19" s="1" customFormat="1" x14ac:dyDescent="0.25">
      <c r="F433" s="12"/>
      <c r="G433" s="12"/>
      <c r="H433" s="12"/>
      <c r="I433" s="12"/>
      <c r="J433" s="12"/>
      <c r="K433" s="12"/>
      <c r="L433" s="12"/>
      <c r="M433" s="12"/>
      <c r="N433" s="12"/>
      <c r="O433" s="12"/>
      <c r="P433" s="12"/>
      <c r="Q433" s="12"/>
      <c r="R433" s="12"/>
      <c r="S433" s="12"/>
    </row>
    <row r="434" spans="6:19" s="1" customFormat="1" x14ac:dyDescent="0.25">
      <c r="F434" s="12"/>
      <c r="G434" s="12"/>
      <c r="H434" s="12"/>
      <c r="I434" s="12"/>
      <c r="J434" s="12"/>
      <c r="K434" s="12"/>
      <c r="L434" s="12"/>
      <c r="M434" s="12"/>
      <c r="N434" s="12"/>
      <c r="O434" s="12"/>
      <c r="P434" s="12"/>
      <c r="Q434" s="12"/>
      <c r="R434" s="12"/>
      <c r="S434" s="12"/>
    </row>
    <row r="435" spans="6:19" s="1" customFormat="1" x14ac:dyDescent="0.25">
      <c r="F435" s="12"/>
      <c r="G435" s="12"/>
      <c r="H435" s="12"/>
      <c r="I435" s="12"/>
      <c r="J435" s="12"/>
      <c r="K435" s="12"/>
      <c r="L435" s="12"/>
      <c r="M435" s="12"/>
      <c r="N435" s="12"/>
      <c r="O435" s="12"/>
      <c r="P435" s="12"/>
      <c r="Q435" s="12"/>
      <c r="R435" s="12"/>
      <c r="S435" s="12"/>
    </row>
    <row r="436" spans="6:19" s="1" customFormat="1" x14ac:dyDescent="0.25">
      <c r="F436" s="12"/>
      <c r="G436" s="12"/>
      <c r="H436" s="12"/>
      <c r="I436" s="12"/>
      <c r="J436" s="12"/>
      <c r="K436" s="12"/>
      <c r="L436" s="12"/>
      <c r="M436" s="12"/>
      <c r="N436" s="12"/>
      <c r="O436" s="12"/>
      <c r="P436" s="12"/>
      <c r="Q436" s="12"/>
      <c r="R436" s="12"/>
      <c r="S436" s="12"/>
    </row>
    <row r="437" spans="6:19" s="1" customFormat="1" x14ac:dyDescent="0.25">
      <c r="F437" s="12"/>
      <c r="G437" s="12"/>
      <c r="H437" s="12"/>
      <c r="I437" s="12"/>
      <c r="J437" s="12"/>
      <c r="K437" s="12"/>
      <c r="L437" s="12"/>
      <c r="M437" s="12"/>
      <c r="N437" s="12"/>
      <c r="O437" s="12"/>
      <c r="P437" s="12"/>
      <c r="Q437" s="12"/>
      <c r="R437" s="12"/>
      <c r="S437" s="12"/>
    </row>
    <row r="438" spans="6:19" s="1" customFormat="1" x14ac:dyDescent="0.25">
      <c r="F438" s="12"/>
      <c r="G438" s="12"/>
      <c r="H438" s="12"/>
      <c r="I438" s="12"/>
      <c r="J438" s="12"/>
      <c r="K438" s="12"/>
      <c r="L438" s="12"/>
      <c r="M438" s="12"/>
      <c r="N438" s="12"/>
      <c r="O438" s="12"/>
      <c r="P438" s="12"/>
      <c r="Q438" s="12"/>
      <c r="R438" s="12"/>
      <c r="S438" s="12"/>
    </row>
    <row r="439" spans="6:19" s="1" customFormat="1" x14ac:dyDescent="0.25">
      <c r="F439" s="12"/>
      <c r="G439" s="12"/>
      <c r="H439" s="12"/>
      <c r="I439" s="12"/>
      <c r="J439" s="12"/>
      <c r="K439" s="12"/>
      <c r="L439" s="12"/>
      <c r="M439" s="12"/>
      <c r="N439" s="12"/>
      <c r="O439" s="12"/>
      <c r="P439" s="12"/>
      <c r="Q439" s="12"/>
      <c r="R439" s="12"/>
      <c r="S439" s="12"/>
    </row>
    <row r="440" spans="6:19" s="1" customFormat="1" x14ac:dyDescent="0.25">
      <c r="F440" s="12"/>
      <c r="G440" s="12"/>
      <c r="H440" s="12"/>
      <c r="I440" s="12"/>
      <c r="J440" s="12"/>
      <c r="K440" s="12"/>
      <c r="L440" s="12"/>
      <c r="M440" s="12"/>
      <c r="N440" s="12"/>
      <c r="O440" s="12"/>
      <c r="P440" s="12"/>
      <c r="Q440" s="12"/>
      <c r="R440" s="12"/>
      <c r="S440" s="12"/>
    </row>
    <row r="441" spans="6:19" s="1" customFormat="1" x14ac:dyDescent="0.25">
      <c r="F441" s="12"/>
      <c r="G441" s="12"/>
      <c r="H441" s="12"/>
      <c r="I441" s="12"/>
      <c r="J441" s="12"/>
      <c r="K441" s="12"/>
      <c r="L441" s="12"/>
      <c r="M441" s="12"/>
      <c r="N441" s="12"/>
      <c r="O441" s="12"/>
      <c r="P441" s="12"/>
      <c r="Q441" s="12"/>
      <c r="R441" s="12"/>
      <c r="S441" s="12"/>
    </row>
    <row r="442" spans="6:19" s="1" customFormat="1" x14ac:dyDescent="0.25">
      <c r="F442" s="12"/>
      <c r="G442" s="12"/>
      <c r="H442" s="12"/>
      <c r="I442" s="12"/>
      <c r="J442" s="12"/>
      <c r="K442" s="12"/>
      <c r="L442" s="12"/>
      <c r="M442" s="12"/>
      <c r="N442" s="12"/>
      <c r="O442" s="12"/>
      <c r="P442" s="12"/>
      <c r="Q442" s="12"/>
      <c r="R442" s="12"/>
      <c r="S442" s="12"/>
    </row>
    <row r="443" spans="6:19" s="1" customFormat="1" x14ac:dyDescent="0.25">
      <c r="F443" s="12"/>
      <c r="G443" s="12"/>
      <c r="H443" s="12"/>
      <c r="I443" s="12"/>
      <c r="J443" s="12"/>
      <c r="K443" s="12"/>
      <c r="L443" s="12"/>
      <c r="M443" s="12"/>
      <c r="N443" s="12"/>
      <c r="O443" s="12"/>
      <c r="P443" s="12"/>
      <c r="Q443" s="12"/>
      <c r="R443" s="12"/>
      <c r="S443" s="12"/>
    </row>
    <row r="444" spans="6:19" s="1" customFormat="1" x14ac:dyDescent="0.25">
      <c r="F444" s="12"/>
      <c r="G444" s="12"/>
      <c r="H444" s="12"/>
      <c r="I444" s="12"/>
      <c r="J444" s="12"/>
      <c r="K444" s="12"/>
      <c r="L444" s="12"/>
      <c r="M444" s="12"/>
      <c r="N444" s="12"/>
      <c r="O444" s="12"/>
      <c r="P444" s="12"/>
      <c r="Q444" s="12"/>
      <c r="R444" s="12"/>
      <c r="S444" s="12"/>
    </row>
    <row r="445" spans="6:19" s="1" customFormat="1" x14ac:dyDescent="0.25">
      <c r="F445" s="12"/>
      <c r="G445" s="12"/>
      <c r="H445" s="12"/>
      <c r="I445" s="12"/>
      <c r="J445" s="12"/>
      <c r="K445" s="12"/>
      <c r="L445" s="12"/>
      <c r="M445" s="12"/>
      <c r="N445" s="12"/>
      <c r="O445" s="12"/>
      <c r="P445" s="12"/>
      <c r="Q445" s="12"/>
      <c r="R445" s="12"/>
      <c r="S445" s="12"/>
    </row>
    <row r="446" spans="6:19" s="1" customFormat="1" x14ac:dyDescent="0.25">
      <c r="F446" s="12"/>
      <c r="G446" s="12"/>
      <c r="H446" s="12"/>
      <c r="I446" s="12"/>
      <c r="J446" s="12"/>
      <c r="K446" s="12"/>
      <c r="L446" s="12"/>
      <c r="M446" s="12"/>
      <c r="N446" s="12"/>
      <c r="O446" s="12"/>
      <c r="P446" s="12"/>
      <c r="Q446" s="12"/>
      <c r="R446" s="12"/>
      <c r="S446" s="12"/>
    </row>
    <row r="447" spans="6:19" s="1" customFormat="1" x14ac:dyDescent="0.25">
      <c r="F447" s="12"/>
      <c r="G447" s="12"/>
      <c r="H447" s="12"/>
      <c r="I447" s="12"/>
      <c r="J447" s="12"/>
      <c r="K447" s="12"/>
      <c r="L447" s="12"/>
      <c r="M447" s="12"/>
      <c r="N447" s="12"/>
      <c r="O447" s="12"/>
      <c r="P447" s="12"/>
      <c r="Q447" s="12"/>
      <c r="R447" s="12"/>
      <c r="S447" s="12"/>
    </row>
    <row r="448" spans="6:19" s="1" customFormat="1" x14ac:dyDescent="0.25">
      <c r="F448" s="12"/>
      <c r="G448" s="12"/>
      <c r="H448" s="12"/>
      <c r="I448" s="12"/>
      <c r="J448" s="12"/>
      <c r="K448" s="12"/>
      <c r="L448" s="12"/>
      <c r="M448" s="12"/>
      <c r="N448" s="12"/>
      <c r="O448" s="12"/>
      <c r="P448" s="12"/>
      <c r="Q448" s="12"/>
      <c r="R448" s="12"/>
      <c r="S448" s="12"/>
    </row>
    <row r="449" spans="6:19" s="1" customFormat="1" x14ac:dyDescent="0.25">
      <c r="F449" s="12"/>
      <c r="G449" s="12"/>
      <c r="H449" s="12"/>
      <c r="I449" s="12"/>
      <c r="J449" s="12"/>
      <c r="K449" s="12"/>
      <c r="L449" s="12"/>
      <c r="M449" s="12"/>
      <c r="N449" s="12"/>
      <c r="O449" s="12"/>
      <c r="P449" s="12"/>
      <c r="Q449" s="12"/>
      <c r="R449" s="12"/>
      <c r="S449" s="12"/>
    </row>
    <row r="450" spans="6:19" s="1" customFormat="1" x14ac:dyDescent="0.25">
      <c r="F450" s="12"/>
      <c r="G450" s="12"/>
      <c r="H450" s="12"/>
      <c r="I450" s="12"/>
      <c r="J450" s="12"/>
      <c r="K450" s="12"/>
      <c r="L450" s="12"/>
      <c r="M450" s="12"/>
      <c r="N450" s="12"/>
      <c r="O450" s="12"/>
      <c r="P450" s="12"/>
      <c r="Q450" s="12"/>
      <c r="R450" s="12"/>
      <c r="S450" s="12"/>
    </row>
    <row r="451" spans="6:19" s="1" customFormat="1" x14ac:dyDescent="0.25">
      <c r="F451" s="12"/>
      <c r="G451" s="12"/>
      <c r="H451" s="12"/>
      <c r="I451" s="12"/>
      <c r="J451" s="12"/>
      <c r="K451" s="12"/>
      <c r="L451" s="12"/>
      <c r="M451" s="12"/>
      <c r="N451" s="12"/>
      <c r="O451" s="12"/>
      <c r="P451" s="12"/>
      <c r="Q451" s="12"/>
      <c r="R451" s="12"/>
      <c r="S451" s="12"/>
    </row>
    <row r="452" spans="6:19" s="1" customFormat="1" x14ac:dyDescent="0.25">
      <c r="F452" s="12"/>
      <c r="G452" s="12"/>
      <c r="H452" s="12"/>
      <c r="I452" s="12"/>
      <c r="J452" s="12"/>
      <c r="K452" s="12"/>
      <c r="L452" s="12"/>
      <c r="M452" s="12"/>
      <c r="N452" s="12"/>
      <c r="O452" s="12"/>
      <c r="P452" s="12"/>
      <c r="Q452" s="12"/>
      <c r="R452" s="12"/>
      <c r="S452" s="12"/>
    </row>
    <row r="453" spans="6:19" s="1" customFormat="1" x14ac:dyDescent="0.25">
      <c r="F453" s="12"/>
      <c r="G453" s="12"/>
      <c r="H453" s="12"/>
      <c r="I453" s="12"/>
      <c r="J453" s="12"/>
      <c r="K453" s="12"/>
      <c r="L453" s="12"/>
      <c r="M453" s="12"/>
      <c r="N453" s="12"/>
      <c r="O453" s="12"/>
      <c r="P453" s="12"/>
      <c r="Q453" s="12"/>
      <c r="R453" s="12"/>
      <c r="S453" s="12"/>
    </row>
    <row r="454" spans="6:19" s="1" customFormat="1" x14ac:dyDescent="0.25">
      <c r="F454" s="12"/>
      <c r="G454" s="12"/>
      <c r="H454" s="12"/>
      <c r="I454" s="12"/>
      <c r="J454" s="12"/>
      <c r="K454" s="12"/>
      <c r="L454" s="12"/>
      <c r="M454" s="12"/>
      <c r="N454" s="12"/>
      <c r="O454" s="12"/>
      <c r="P454" s="12"/>
      <c r="Q454" s="12"/>
      <c r="R454" s="12"/>
      <c r="S454" s="12"/>
    </row>
    <row r="455" spans="6:19" s="1" customFormat="1" x14ac:dyDescent="0.25">
      <c r="F455" s="12"/>
      <c r="G455" s="12"/>
      <c r="H455" s="12"/>
      <c r="I455" s="12"/>
      <c r="J455" s="12"/>
      <c r="K455" s="12"/>
      <c r="L455" s="12"/>
      <c r="M455" s="12"/>
      <c r="N455" s="12"/>
      <c r="O455" s="12"/>
      <c r="P455" s="12"/>
      <c r="Q455" s="12"/>
      <c r="R455" s="12"/>
      <c r="S455" s="12"/>
    </row>
    <row r="456" spans="6:19" s="1" customFormat="1" x14ac:dyDescent="0.25">
      <c r="F456" s="12"/>
      <c r="G456" s="12"/>
      <c r="H456" s="12"/>
      <c r="I456" s="12"/>
      <c r="J456" s="12"/>
      <c r="K456" s="12"/>
      <c r="L456" s="12"/>
      <c r="M456" s="12"/>
      <c r="N456" s="12"/>
      <c r="O456" s="12"/>
      <c r="P456" s="12"/>
      <c r="Q456" s="12"/>
      <c r="R456" s="12"/>
      <c r="S456" s="12"/>
    </row>
    <row r="457" spans="6:19" s="1" customFormat="1" x14ac:dyDescent="0.25">
      <c r="F457" s="12"/>
      <c r="G457" s="12"/>
      <c r="H457" s="12"/>
      <c r="I457" s="12"/>
      <c r="J457" s="12"/>
      <c r="K457" s="12"/>
      <c r="L457" s="12"/>
      <c r="M457" s="12"/>
      <c r="N457" s="12"/>
      <c r="O457" s="12"/>
      <c r="P457" s="12"/>
      <c r="Q457" s="12"/>
      <c r="R457" s="12"/>
      <c r="S457" s="12"/>
    </row>
    <row r="458" spans="6:19" s="1" customFormat="1" x14ac:dyDescent="0.25">
      <c r="F458" s="12"/>
      <c r="G458" s="12"/>
      <c r="H458" s="12"/>
      <c r="I458" s="12"/>
      <c r="J458" s="12"/>
      <c r="K458" s="12"/>
      <c r="L458" s="12"/>
      <c r="M458" s="12"/>
      <c r="N458" s="12"/>
      <c r="O458" s="12"/>
      <c r="P458" s="12"/>
      <c r="Q458" s="12"/>
      <c r="R458" s="12"/>
      <c r="S458" s="12"/>
    </row>
    <row r="459" spans="6:19" s="1" customFormat="1" x14ac:dyDescent="0.25">
      <c r="F459" s="12"/>
      <c r="G459" s="12"/>
      <c r="H459" s="12"/>
      <c r="I459" s="12"/>
      <c r="J459" s="12"/>
      <c r="K459" s="12"/>
      <c r="L459" s="12"/>
      <c r="M459" s="12"/>
      <c r="N459" s="12"/>
      <c r="O459" s="12"/>
      <c r="P459" s="12"/>
      <c r="Q459" s="12"/>
      <c r="R459" s="12"/>
      <c r="S459" s="12"/>
    </row>
    <row r="460" spans="6:19" s="1" customFormat="1" x14ac:dyDescent="0.25">
      <c r="F460" s="12"/>
      <c r="G460" s="12"/>
      <c r="H460" s="12"/>
      <c r="I460" s="12"/>
      <c r="J460" s="12"/>
      <c r="K460" s="12"/>
      <c r="L460" s="12"/>
      <c r="M460" s="12"/>
      <c r="N460" s="12"/>
      <c r="O460" s="12"/>
      <c r="P460" s="12"/>
      <c r="Q460" s="12"/>
      <c r="R460" s="12"/>
      <c r="S460" s="12"/>
    </row>
    <row r="461" spans="6:19" s="1" customFormat="1" x14ac:dyDescent="0.25">
      <c r="F461" s="12"/>
      <c r="G461" s="12"/>
      <c r="H461" s="12"/>
      <c r="I461" s="12"/>
      <c r="J461" s="12"/>
      <c r="K461" s="12"/>
      <c r="L461" s="12"/>
      <c r="M461" s="12"/>
      <c r="N461" s="12"/>
      <c r="O461" s="12"/>
      <c r="P461" s="12"/>
      <c r="Q461" s="12"/>
      <c r="R461" s="12"/>
      <c r="S461" s="12"/>
    </row>
    <row r="462" spans="6:19" s="1" customFormat="1" x14ac:dyDescent="0.25">
      <c r="F462" s="12"/>
      <c r="G462" s="12"/>
      <c r="H462" s="12"/>
      <c r="I462" s="12"/>
      <c r="J462" s="12"/>
      <c r="K462" s="12"/>
      <c r="L462" s="12"/>
      <c r="M462" s="12"/>
      <c r="N462" s="12"/>
      <c r="O462" s="12"/>
      <c r="P462" s="12"/>
      <c r="Q462" s="12"/>
      <c r="R462" s="12"/>
      <c r="S462" s="12"/>
    </row>
    <row r="463" spans="6:19" s="1" customFormat="1" x14ac:dyDescent="0.25">
      <c r="F463" s="12"/>
      <c r="G463" s="12"/>
      <c r="H463" s="12"/>
      <c r="I463" s="12"/>
      <c r="J463" s="12"/>
      <c r="K463" s="12"/>
      <c r="L463" s="12"/>
      <c r="M463" s="12"/>
      <c r="N463" s="12"/>
      <c r="O463" s="12"/>
      <c r="P463" s="12"/>
      <c r="Q463" s="12"/>
      <c r="R463" s="12"/>
      <c r="S463" s="12"/>
    </row>
    <row r="464" spans="6:19" s="1" customFormat="1" x14ac:dyDescent="0.25">
      <c r="F464" s="12"/>
      <c r="G464" s="12"/>
      <c r="H464" s="12"/>
      <c r="I464" s="12"/>
      <c r="J464" s="12"/>
      <c r="K464" s="12"/>
      <c r="L464" s="12"/>
      <c r="M464" s="12"/>
      <c r="N464" s="12"/>
      <c r="O464" s="12"/>
      <c r="P464" s="12"/>
      <c r="Q464" s="12"/>
      <c r="R464" s="12"/>
      <c r="S464" s="12"/>
    </row>
    <row r="465" spans="6:19" s="1" customFormat="1" x14ac:dyDescent="0.25">
      <c r="F465" s="12"/>
      <c r="G465" s="12"/>
      <c r="H465" s="12"/>
      <c r="I465" s="12"/>
      <c r="J465" s="12"/>
      <c r="K465" s="12"/>
      <c r="L465" s="12"/>
      <c r="M465" s="12"/>
      <c r="N465" s="12"/>
      <c r="O465" s="12"/>
      <c r="P465" s="12"/>
      <c r="Q465" s="12"/>
      <c r="R465" s="12"/>
      <c r="S465" s="12"/>
    </row>
    <row r="466" spans="6:19" s="1" customFormat="1" x14ac:dyDescent="0.25">
      <c r="F466" s="12"/>
      <c r="G466" s="12"/>
      <c r="H466" s="12"/>
      <c r="I466" s="12"/>
      <c r="J466" s="12"/>
      <c r="K466" s="12"/>
      <c r="L466" s="12"/>
      <c r="M466" s="12"/>
      <c r="N466" s="12"/>
      <c r="O466" s="12"/>
      <c r="P466" s="12"/>
      <c r="Q466" s="12"/>
      <c r="R466" s="12"/>
      <c r="S466" s="12"/>
    </row>
    <row r="467" spans="6:19" s="1" customFormat="1" x14ac:dyDescent="0.25">
      <c r="F467" s="12"/>
      <c r="G467" s="12"/>
      <c r="H467" s="12"/>
      <c r="I467" s="12"/>
      <c r="J467" s="12"/>
      <c r="K467" s="12"/>
      <c r="L467" s="12"/>
      <c r="M467" s="12"/>
      <c r="N467" s="12"/>
      <c r="O467" s="12"/>
      <c r="P467" s="12"/>
      <c r="Q467" s="12"/>
      <c r="R467" s="12"/>
      <c r="S467" s="12"/>
    </row>
    <row r="468" spans="6:19" s="1" customFormat="1" x14ac:dyDescent="0.25">
      <c r="F468" s="12"/>
      <c r="G468" s="12"/>
      <c r="H468" s="12"/>
      <c r="I468" s="12"/>
      <c r="J468" s="12"/>
      <c r="K468" s="12"/>
      <c r="L468" s="12"/>
      <c r="M468" s="12"/>
      <c r="N468" s="12"/>
      <c r="O468" s="12"/>
      <c r="P468" s="12"/>
      <c r="Q468" s="12"/>
      <c r="R468" s="12"/>
      <c r="S468" s="12"/>
    </row>
    <row r="469" spans="6:19" s="1" customFormat="1" x14ac:dyDescent="0.25">
      <c r="F469" s="12"/>
      <c r="G469" s="12"/>
      <c r="H469" s="12"/>
      <c r="I469" s="12"/>
      <c r="J469" s="12"/>
      <c r="K469" s="12"/>
      <c r="L469" s="12"/>
      <c r="M469" s="12"/>
      <c r="N469" s="12"/>
      <c r="O469" s="12"/>
      <c r="P469" s="12"/>
      <c r="Q469" s="12"/>
      <c r="R469" s="12"/>
      <c r="S469" s="12"/>
    </row>
    <row r="470" spans="6:19" s="1" customFormat="1" x14ac:dyDescent="0.25">
      <c r="F470" s="12"/>
      <c r="G470" s="12"/>
      <c r="H470" s="12"/>
      <c r="I470" s="12"/>
      <c r="J470" s="12"/>
      <c r="K470" s="12"/>
      <c r="L470" s="12"/>
      <c r="M470" s="12"/>
      <c r="N470" s="12"/>
      <c r="O470" s="12"/>
      <c r="P470" s="12"/>
      <c r="Q470" s="12"/>
      <c r="R470" s="12"/>
      <c r="S470" s="12"/>
    </row>
    <row r="471" spans="6:19" s="1" customFormat="1" x14ac:dyDescent="0.25">
      <c r="F471" s="12"/>
      <c r="G471" s="12"/>
      <c r="H471" s="12"/>
      <c r="I471" s="12"/>
      <c r="J471" s="12"/>
      <c r="K471" s="12"/>
      <c r="L471" s="12"/>
      <c r="M471" s="12"/>
      <c r="N471" s="12"/>
      <c r="O471" s="12"/>
      <c r="P471" s="12"/>
      <c r="Q471" s="12"/>
      <c r="R471" s="12"/>
      <c r="S471" s="12"/>
    </row>
    <row r="472" spans="6:19" s="1" customFormat="1" x14ac:dyDescent="0.25">
      <c r="F472" s="12"/>
      <c r="G472" s="12"/>
      <c r="H472" s="12"/>
      <c r="I472" s="12"/>
      <c r="J472" s="12"/>
      <c r="K472" s="12"/>
      <c r="L472" s="12"/>
      <c r="M472" s="12"/>
      <c r="N472" s="12"/>
      <c r="O472" s="12"/>
      <c r="P472" s="12"/>
      <c r="Q472" s="12"/>
      <c r="R472" s="12"/>
      <c r="S472" s="12"/>
    </row>
    <row r="473" spans="6:19" s="1" customFormat="1" x14ac:dyDescent="0.25">
      <c r="F473" s="12"/>
      <c r="G473" s="12"/>
      <c r="H473" s="12"/>
      <c r="I473" s="12"/>
      <c r="J473" s="12"/>
      <c r="K473" s="12"/>
      <c r="L473" s="12"/>
      <c r="M473" s="12"/>
      <c r="N473" s="12"/>
      <c r="O473" s="12"/>
      <c r="P473" s="12"/>
      <c r="Q473" s="12"/>
      <c r="R473" s="12"/>
      <c r="S473" s="12"/>
    </row>
    <row r="474" spans="6:19" s="1" customFormat="1" x14ac:dyDescent="0.25">
      <c r="F474" s="12"/>
      <c r="G474" s="12"/>
      <c r="H474" s="12"/>
      <c r="I474" s="12"/>
      <c r="J474" s="12"/>
      <c r="K474" s="12"/>
      <c r="L474" s="12"/>
      <c r="M474" s="12"/>
      <c r="N474" s="12"/>
      <c r="O474" s="12"/>
      <c r="P474" s="12"/>
      <c r="Q474" s="12"/>
      <c r="R474" s="12"/>
      <c r="S474" s="12"/>
    </row>
    <row r="475" spans="6:19" s="1" customFormat="1" x14ac:dyDescent="0.25">
      <c r="F475" s="12"/>
      <c r="G475" s="12"/>
      <c r="H475" s="12"/>
      <c r="I475" s="12"/>
      <c r="J475" s="12"/>
      <c r="K475" s="12"/>
      <c r="L475" s="12"/>
      <c r="M475" s="12"/>
      <c r="N475" s="12"/>
      <c r="O475" s="12"/>
      <c r="P475" s="12"/>
      <c r="Q475" s="12"/>
      <c r="R475" s="12"/>
      <c r="S475" s="12"/>
    </row>
    <row r="476" spans="6:19" s="1" customFormat="1" x14ac:dyDescent="0.25">
      <c r="F476" s="12"/>
      <c r="G476" s="12"/>
      <c r="H476" s="12"/>
      <c r="I476" s="12"/>
      <c r="J476" s="12"/>
      <c r="K476" s="12"/>
      <c r="L476" s="12"/>
      <c r="M476" s="12"/>
      <c r="N476" s="12"/>
      <c r="O476" s="12"/>
      <c r="P476" s="12"/>
      <c r="Q476" s="12"/>
      <c r="R476" s="12"/>
      <c r="S476" s="12"/>
    </row>
    <row r="477" spans="6:19" s="1" customFormat="1" x14ac:dyDescent="0.25">
      <c r="F477" s="12"/>
      <c r="G477" s="12"/>
      <c r="H477" s="12"/>
      <c r="I477" s="12"/>
      <c r="J477" s="12"/>
      <c r="K477" s="12"/>
      <c r="L477" s="12"/>
      <c r="M477" s="12"/>
      <c r="N477" s="12"/>
      <c r="O477" s="12"/>
      <c r="P477" s="12"/>
      <c r="Q477" s="12"/>
      <c r="R477" s="12"/>
      <c r="S477" s="12"/>
    </row>
    <row r="478" spans="6:19" s="1" customFormat="1" x14ac:dyDescent="0.25">
      <c r="F478" s="12"/>
      <c r="G478" s="12"/>
      <c r="H478" s="12"/>
      <c r="I478" s="12"/>
      <c r="J478" s="12"/>
      <c r="K478" s="12"/>
      <c r="L478" s="12"/>
      <c r="M478" s="12"/>
      <c r="N478" s="12"/>
      <c r="O478" s="12"/>
      <c r="P478" s="12"/>
      <c r="Q478" s="12"/>
      <c r="R478" s="12"/>
      <c r="S478" s="12"/>
    </row>
    <row r="479" spans="6:19" s="1" customFormat="1" x14ac:dyDescent="0.25">
      <c r="F479" s="12"/>
      <c r="G479" s="12"/>
      <c r="H479" s="12"/>
      <c r="I479" s="12"/>
      <c r="J479" s="12"/>
      <c r="K479" s="12"/>
      <c r="L479" s="12"/>
      <c r="M479" s="12"/>
      <c r="N479" s="12"/>
      <c r="O479" s="12"/>
      <c r="P479" s="12"/>
      <c r="Q479" s="12"/>
      <c r="R479" s="12"/>
      <c r="S479" s="12"/>
    </row>
    <row r="480" spans="6:19" s="1" customFormat="1" x14ac:dyDescent="0.25">
      <c r="F480" s="12"/>
      <c r="G480" s="12"/>
      <c r="H480" s="12"/>
      <c r="I480" s="12"/>
      <c r="J480" s="12"/>
      <c r="K480" s="12"/>
      <c r="L480" s="12"/>
      <c r="M480" s="12"/>
      <c r="N480" s="12"/>
      <c r="O480" s="12"/>
      <c r="P480" s="12"/>
      <c r="Q480" s="12"/>
      <c r="R480" s="12"/>
      <c r="S480" s="12"/>
    </row>
    <row r="481" spans="6:19" s="1" customFormat="1" x14ac:dyDescent="0.25">
      <c r="F481" s="12"/>
      <c r="G481" s="12"/>
      <c r="H481" s="12"/>
      <c r="I481" s="12"/>
      <c r="J481" s="12"/>
      <c r="K481" s="12"/>
      <c r="L481" s="12"/>
      <c r="M481" s="12"/>
      <c r="N481" s="12"/>
      <c r="O481" s="12"/>
      <c r="P481" s="12"/>
      <c r="Q481" s="12"/>
      <c r="R481" s="12"/>
      <c r="S481" s="12"/>
    </row>
    <row r="482" spans="6:19" s="1" customFormat="1" x14ac:dyDescent="0.25">
      <c r="F482" s="12"/>
      <c r="G482" s="12"/>
      <c r="H482" s="12"/>
      <c r="I482" s="12"/>
      <c r="J482" s="12"/>
      <c r="K482" s="12"/>
      <c r="L482" s="12"/>
      <c r="M482" s="12"/>
      <c r="N482" s="12"/>
      <c r="O482" s="12"/>
      <c r="P482" s="12"/>
      <c r="Q482" s="12"/>
      <c r="R482" s="12"/>
      <c r="S482" s="12"/>
    </row>
    <row r="483" spans="6:19" s="1" customFormat="1" x14ac:dyDescent="0.25">
      <c r="F483" s="12"/>
      <c r="G483" s="12"/>
      <c r="H483" s="12"/>
      <c r="I483" s="12"/>
      <c r="J483" s="12"/>
      <c r="K483" s="12"/>
      <c r="L483" s="12"/>
      <c r="M483" s="12"/>
      <c r="N483" s="12"/>
      <c r="O483" s="12"/>
      <c r="P483" s="12"/>
      <c r="Q483" s="12"/>
      <c r="R483" s="12"/>
      <c r="S483" s="12"/>
    </row>
    <row r="484" spans="6:19" s="1" customFormat="1" x14ac:dyDescent="0.25">
      <c r="F484" s="12"/>
      <c r="G484" s="12"/>
      <c r="H484" s="12"/>
      <c r="I484" s="12"/>
      <c r="J484" s="12"/>
      <c r="K484" s="12"/>
      <c r="L484" s="12"/>
      <c r="M484" s="12"/>
      <c r="N484" s="12"/>
      <c r="O484" s="12"/>
      <c r="P484" s="12"/>
      <c r="Q484" s="12"/>
      <c r="R484" s="12"/>
      <c r="S484" s="12"/>
    </row>
    <row r="485" spans="6:19" s="1" customFormat="1" x14ac:dyDescent="0.25">
      <c r="F485" s="12"/>
      <c r="G485" s="12"/>
      <c r="H485" s="12"/>
      <c r="I485" s="12"/>
      <c r="J485" s="12"/>
      <c r="K485" s="12"/>
      <c r="L485" s="12"/>
      <c r="M485" s="12"/>
      <c r="N485" s="12"/>
      <c r="O485" s="12"/>
      <c r="P485" s="12"/>
      <c r="Q485" s="12"/>
      <c r="R485" s="12"/>
      <c r="S485" s="12"/>
    </row>
    <row r="486" spans="6:19" s="1" customFormat="1" x14ac:dyDescent="0.25">
      <c r="F486" s="12"/>
      <c r="G486" s="12"/>
      <c r="H486" s="12"/>
      <c r="I486" s="12"/>
      <c r="J486" s="12"/>
      <c r="K486" s="12"/>
      <c r="L486" s="12"/>
      <c r="M486" s="12"/>
      <c r="N486" s="12"/>
      <c r="O486" s="12"/>
      <c r="P486" s="12"/>
      <c r="Q486" s="12"/>
      <c r="R486" s="12"/>
      <c r="S486" s="12"/>
    </row>
    <row r="487" spans="6:19" s="1" customFormat="1" x14ac:dyDescent="0.25">
      <c r="F487" s="12"/>
      <c r="G487" s="12"/>
      <c r="H487" s="12"/>
      <c r="I487" s="12"/>
      <c r="J487" s="12"/>
      <c r="K487" s="12"/>
      <c r="L487" s="12"/>
      <c r="M487" s="12"/>
      <c r="N487" s="12"/>
      <c r="O487" s="12"/>
      <c r="P487" s="12"/>
      <c r="Q487" s="12"/>
      <c r="R487" s="12"/>
      <c r="S487" s="12"/>
    </row>
    <row r="488" spans="6:19" s="1" customFormat="1" x14ac:dyDescent="0.25">
      <c r="F488" s="12"/>
      <c r="G488" s="12"/>
      <c r="H488" s="12"/>
      <c r="I488" s="12"/>
      <c r="J488" s="12"/>
      <c r="K488" s="12"/>
      <c r="L488" s="12"/>
      <c r="M488" s="12"/>
      <c r="N488" s="12"/>
      <c r="O488" s="12"/>
      <c r="P488" s="12"/>
      <c r="Q488" s="12"/>
      <c r="R488" s="12"/>
      <c r="S488" s="12"/>
    </row>
    <row r="489" spans="6:19" s="1" customFormat="1" x14ac:dyDescent="0.25">
      <c r="F489" s="12"/>
      <c r="G489" s="12"/>
      <c r="H489" s="12"/>
      <c r="I489" s="12"/>
      <c r="J489" s="12"/>
      <c r="K489" s="12"/>
      <c r="L489" s="12"/>
      <c r="M489" s="12"/>
      <c r="N489" s="12"/>
      <c r="O489" s="12"/>
      <c r="P489" s="12"/>
      <c r="Q489" s="12"/>
      <c r="R489" s="12"/>
      <c r="S489" s="12"/>
    </row>
    <row r="490" spans="6:19" s="1" customFormat="1" x14ac:dyDescent="0.25">
      <c r="F490" s="12"/>
      <c r="G490" s="12"/>
      <c r="H490" s="12"/>
      <c r="I490" s="12"/>
      <c r="J490" s="12"/>
      <c r="K490" s="12"/>
      <c r="L490" s="12"/>
      <c r="M490" s="12"/>
      <c r="N490" s="12"/>
      <c r="O490" s="12"/>
      <c r="P490" s="12"/>
      <c r="Q490" s="12"/>
      <c r="R490" s="12"/>
      <c r="S490" s="12"/>
    </row>
    <row r="491" spans="6:19" s="1" customFormat="1" x14ac:dyDescent="0.25">
      <c r="F491" s="12"/>
      <c r="G491" s="12"/>
      <c r="H491" s="12"/>
      <c r="I491" s="12"/>
      <c r="J491" s="12"/>
      <c r="K491" s="12"/>
      <c r="L491" s="12"/>
      <c r="M491" s="12"/>
      <c r="N491" s="12"/>
      <c r="O491" s="12"/>
      <c r="P491" s="12"/>
      <c r="Q491" s="12"/>
      <c r="R491" s="12"/>
      <c r="S491" s="12"/>
    </row>
    <row r="492" spans="6:19" s="1" customFormat="1" x14ac:dyDescent="0.25">
      <c r="F492" s="12"/>
      <c r="G492" s="12"/>
      <c r="H492" s="12"/>
      <c r="I492" s="12"/>
      <c r="J492" s="12"/>
      <c r="K492" s="12"/>
      <c r="L492" s="12"/>
      <c r="M492" s="12"/>
      <c r="N492" s="12"/>
      <c r="O492" s="12"/>
      <c r="P492" s="12"/>
      <c r="Q492" s="12"/>
      <c r="R492" s="12"/>
      <c r="S492" s="12"/>
    </row>
    <row r="493" spans="6:19" s="1" customFormat="1" x14ac:dyDescent="0.25">
      <c r="F493" s="12"/>
      <c r="G493" s="12"/>
      <c r="H493" s="12"/>
      <c r="I493" s="12"/>
      <c r="J493" s="12"/>
      <c r="K493" s="12"/>
      <c r="L493" s="12"/>
      <c r="M493" s="12"/>
      <c r="N493" s="12"/>
      <c r="O493" s="12"/>
      <c r="P493" s="12"/>
      <c r="Q493" s="12"/>
      <c r="R493" s="12"/>
      <c r="S493" s="12"/>
    </row>
    <row r="494" spans="6:19" s="1" customFormat="1" x14ac:dyDescent="0.25">
      <c r="F494" s="12"/>
      <c r="G494" s="12"/>
      <c r="H494" s="12"/>
      <c r="I494" s="12"/>
      <c r="J494" s="12"/>
      <c r="K494" s="12"/>
      <c r="L494" s="12"/>
      <c r="M494" s="12"/>
      <c r="N494" s="12"/>
      <c r="O494" s="12"/>
      <c r="P494" s="12"/>
      <c r="Q494" s="12"/>
      <c r="R494" s="12"/>
      <c r="S494" s="12"/>
    </row>
    <row r="495" spans="6:19" s="1" customFormat="1" x14ac:dyDescent="0.25">
      <c r="F495" s="12"/>
      <c r="G495" s="12"/>
      <c r="H495" s="12"/>
      <c r="I495" s="12"/>
      <c r="J495" s="12"/>
      <c r="K495" s="12"/>
      <c r="L495" s="12"/>
      <c r="M495" s="12"/>
      <c r="N495" s="12"/>
      <c r="O495" s="12"/>
      <c r="P495" s="12"/>
      <c r="Q495" s="12"/>
      <c r="R495" s="12"/>
      <c r="S495" s="12"/>
    </row>
    <row r="496" spans="6:19" s="1" customFormat="1" x14ac:dyDescent="0.25">
      <c r="F496" s="12"/>
      <c r="G496" s="12"/>
      <c r="H496" s="12"/>
      <c r="I496" s="12"/>
      <c r="J496" s="12"/>
      <c r="K496" s="12"/>
      <c r="L496" s="12"/>
      <c r="M496" s="12"/>
      <c r="N496" s="12"/>
      <c r="O496" s="12"/>
      <c r="P496" s="12"/>
      <c r="Q496" s="12"/>
      <c r="R496" s="12"/>
      <c r="S496" s="12"/>
    </row>
    <row r="497" spans="6:19" s="1" customFormat="1" x14ac:dyDescent="0.25">
      <c r="F497" s="12"/>
      <c r="G497" s="12"/>
      <c r="H497" s="12"/>
      <c r="I497" s="12"/>
      <c r="J497" s="12"/>
      <c r="K497" s="12"/>
      <c r="L497" s="12"/>
      <c r="M497" s="12"/>
      <c r="N497" s="12"/>
      <c r="O497" s="12"/>
      <c r="P497" s="12"/>
      <c r="Q497" s="12"/>
      <c r="R497" s="12"/>
      <c r="S497" s="12"/>
    </row>
    <row r="498" spans="6:19" s="1" customFormat="1" x14ac:dyDescent="0.25">
      <c r="F498" s="12"/>
      <c r="G498" s="12"/>
      <c r="H498" s="12"/>
      <c r="I498" s="12"/>
      <c r="J498" s="12"/>
      <c r="K498" s="12"/>
      <c r="L498" s="12"/>
      <c r="M498" s="12"/>
      <c r="N498" s="12"/>
      <c r="O498" s="12"/>
      <c r="P498" s="12"/>
      <c r="Q498" s="12"/>
      <c r="R498" s="12"/>
      <c r="S498" s="12"/>
    </row>
    <row r="499" spans="6:19" s="1" customFormat="1" x14ac:dyDescent="0.25">
      <c r="F499" s="12"/>
      <c r="G499" s="12"/>
      <c r="H499" s="12"/>
      <c r="I499" s="12"/>
      <c r="J499" s="12"/>
      <c r="K499" s="12"/>
      <c r="L499" s="12"/>
      <c r="M499" s="12"/>
      <c r="N499" s="12"/>
      <c r="O499" s="12"/>
      <c r="P499" s="12"/>
      <c r="Q499" s="12"/>
      <c r="R499" s="12"/>
      <c r="S499" s="12"/>
    </row>
    <row r="500" spans="6:19" s="1" customFormat="1" x14ac:dyDescent="0.25">
      <c r="F500" s="12"/>
      <c r="G500" s="12"/>
      <c r="H500" s="12"/>
      <c r="I500" s="12"/>
      <c r="J500" s="12"/>
      <c r="K500" s="12"/>
      <c r="L500" s="12"/>
      <c r="M500" s="12"/>
      <c r="N500" s="12"/>
      <c r="O500" s="12"/>
      <c r="P500" s="12"/>
      <c r="Q500" s="12"/>
      <c r="R500" s="12"/>
      <c r="S500" s="12"/>
    </row>
    <row r="501" spans="6:19" s="1" customFormat="1" x14ac:dyDescent="0.25">
      <c r="F501" s="12"/>
      <c r="G501" s="12"/>
      <c r="H501" s="12"/>
      <c r="I501" s="12"/>
      <c r="J501" s="12"/>
      <c r="K501" s="12"/>
      <c r="L501" s="12"/>
      <c r="M501" s="12"/>
      <c r="N501" s="12"/>
      <c r="O501" s="12"/>
      <c r="P501" s="12"/>
      <c r="Q501" s="12"/>
      <c r="R501" s="12"/>
      <c r="S501" s="12"/>
    </row>
    <row r="502" spans="6:19" s="1" customFormat="1" x14ac:dyDescent="0.25">
      <c r="F502" s="12"/>
      <c r="G502" s="12"/>
      <c r="H502" s="12"/>
      <c r="I502" s="12"/>
      <c r="J502" s="12"/>
      <c r="K502" s="12"/>
      <c r="L502" s="12"/>
      <c r="M502" s="12"/>
      <c r="N502" s="12"/>
      <c r="O502" s="12"/>
      <c r="P502" s="12"/>
      <c r="Q502" s="12"/>
      <c r="R502" s="12"/>
      <c r="S502" s="12"/>
    </row>
    <row r="503" spans="6:19" s="1" customFormat="1" x14ac:dyDescent="0.25">
      <c r="F503" s="12"/>
      <c r="G503" s="12"/>
      <c r="H503" s="12"/>
      <c r="I503" s="12"/>
      <c r="J503" s="12"/>
      <c r="K503" s="12"/>
      <c r="L503" s="12"/>
      <c r="M503" s="12"/>
      <c r="N503" s="12"/>
      <c r="O503" s="12"/>
      <c r="P503" s="12"/>
      <c r="Q503" s="12"/>
      <c r="R503" s="12"/>
      <c r="S503" s="12"/>
    </row>
    <row r="504" spans="6:19" s="1" customFormat="1" x14ac:dyDescent="0.25">
      <c r="F504" s="12"/>
      <c r="G504" s="12"/>
      <c r="H504" s="12"/>
      <c r="I504" s="12"/>
      <c r="J504" s="12"/>
      <c r="K504" s="12"/>
      <c r="L504" s="12"/>
      <c r="M504" s="12"/>
      <c r="N504" s="12"/>
      <c r="O504" s="12"/>
      <c r="P504" s="12"/>
      <c r="Q504" s="12"/>
      <c r="R504" s="12"/>
      <c r="S504" s="12"/>
    </row>
    <row r="505" spans="6:19" s="1" customFormat="1" x14ac:dyDescent="0.25">
      <c r="F505" s="12"/>
      <c r="G505" s="12"/>
      <c r="H505" s="12"/>
      <c r="I505" s="12"/>
      <c r="J505" s="12"/>
      <c r="K505" s="12"/>
      <c r="L505" s="12"/>
      <c r="M505" s="12"/>
      <c r="N505" s="12"/>
      <c r="O505" s="12"/>
      <c r="P505" s="12"/>
      <c r="Q505" s="12"/>
      <c r="R505" s="12"/>
      <c r="S505" s="12"/>
    </row>
    <row r="506" spans="6:19" s="1" customFormat="1" x14ac:dyDescent="0.25">
      <c r="F506" s="12"/>
      <c r="G506" s="12"/>
      <c r="H506" s="12"/>
      <c r="I506" s="12"/>
      <c r="J506" s="12"/>
      <c r="K506" s="12"/>
      <c r="L506" s="12"/>
      <c r="M506" s="12"/>
      <c r="N506" s="12"/>
      <c r="O506" s="12"/>
      <c r="P506" s="12"/>
      <c r="Q506" s="12"/>
      <c r="R506" s="12"/>
      <c r="S506" s="12"/>
    </row>
    <row r="507" spans="6:19" s="1" customFormat="1" x14ac:dyDescent="0.25">
      <c r="F507" s="12"/>
      <c r="G507" s="12"/>
      <c r="H507" s="12"/>
      <c r="I507" s="12"/>
      <c r="J507" s="12"/>
      <c r="K507" s="12"/>
      <c r="L507" s="12"/>
      <c r="M507" s="12"/>
      <c r="N507" s="12"/>
      <c r="O507" s="12"/>
      <c r="P507" s="12"/>
      <c r="Q507" s="12"/>
      <c r="R507" s="12"/>
      <c r="S507" s="12"/>
    </row>
    <row r="508" spans="6:19" s="1" customFormat="1" x14ac:dyDescent="0.25">
      <c r="F508" s="12"/>
      <c r="G508" s="12"/>
      <c r="H508" s="12"/>
      <c r="I508" s="12"/>
      <c r="J508" s="12"/>
      <c r="K508" s="12"/>
      <c r="L508" s="12"/>
      <c r="M508" s="12"/>
      <c r="N508" s="12"/>
      <c r="O508" s="12"/>
      <c r="P508" s="12"/>
      <c r="Q508" s="12"/>
      <c r="R508" s="12"/>
      <c r="S508" s="12"/>
    </row>
    <row r="509" spans="6:19" s="1" customFormat="1" x14ac:dyDescent="0.25">
      <c r="F509" s="12"/>
      <c r="G509" s="12"/>
      <c r="H509" s="12"/>
      <c r="I509" s="12"/>
      <c r="J509" s="12"/>
      <c r="K509" s="12"/>
      <c r="L509" s="12"/>
      <c r="M509" s="12"/>
      <c r="N509" s="12"/>
      <c r="O509" s="12"/>
      <c r="P509" s="12"/>
      <c r="Q509" s="12"/>
      <c r="R509" s="12"/>
      <c r="S509" s="12"/>
    </row>
    <row r="510" spans="6:19" s="1" customFormat="1" x14ac:dyDescent="0.25">
      <c r="F510" s="12"/>
      <c r="G510" s="12"/>
      <c r="H510" s="12"/>
      <c r="I510" s="12"/>
      <c r="J510" s="12"/>
      <c r="K510" s="12"/>
      <c r="L510" s="12"/>
      <c r="M510" s="12"/>
      <c r="N510" s="12"/>
      <c r="O510" s="12"/>
      <c r="P510" s="12"/>
      <c r="Q510" s="12"/>
      <c r="R510" s="12"/>
      <c r="S510" s="12"/>
    </row>
    <row r="511" spans="6:19" s="1" customFormat="1" x14ac:dyDescent="0.25">
      <c r="F511" s="12"/>
      <c r="G511" s="12"/>
      <c r="H511" s="12"/>
      <c r="I511" s="12"/>
      <c r="J511" s="12"/>
      <c r="K511" s="12"/>
      <c r="L511" s="12"/>
      <c r="M511" s="12"/>
      <c r="N511" s="12"/>
      <c r="O511" s="12"/>
      <c r="P511" s="12"/>
      <c r="Q511" s="12"/>
      <c r="R511" s="12"/>
      <c r="S511" s="12"/>
    </row>
    <row r="512" spans="6:19" s="1" customFormat="1" x14ac:dyDescent="0.25">
      <c r="F512" s="12"/>
      <c r="G512" s="12"/>
      <c r="H512" s="12"/>
      <c r="I512" s="12"/>
      <c r="J512" s="12"/>
      <c r="K512" s="12"/>
      <c r="L512" s="12"/>
      <c r="M512" s="12"/>
      <c r="N512" s="12"/>
      <c r="O512" s="12"/>
      <c r="P512" s="12"/>
      <c r="Q512" s="12"/>
      <c r="R512" s="12"/>
      <c r="S512" s="12"/>
    </row>
    <row r="513" spans="6:19" s="1" customFormat="1" x14ac:dyDescent="0.25">
      <c r="F513" s="12"/>
      <c r="G513" s="12"/>
      <c r="H513" s="12"/>
      <c r="I513" s="12"/>
      <c r="J513" s="12"/>
      <c r="K513" s="12"/>
      <c r="L513" s="12"/>
      <c r="M513" s="12"/>
      <c r="N513" s="12"/>
      <c r="O513" s="12"/>
      <c r="P513" s="12"/>
      <c r="Q513" s="12"/>
      <c r="R513" s="12"/>
      <c r="S513" s="12"/>
    </row>
    <row r="514" spans="6:19" s="1" customFormat="1" x14ac:dyDescent="0.25">
      <c r="F514" s="12"/>
      <c r="G514" s="12"/>
      <c r="H514" s="12"/>
      <c r="I514" s="12"/>
      <c r="J514" s="12"/>
      <c r="K514" s="12"/>
      <c r="L514" s="12"/>
      <c r="M514" s="12"/>
      <c r="N514" s="12"/>
      <c r="O514" s="12"/>
      <c r="P514" s="12"/>
      <c r="Q514" s="12"/>
      <c r="R514" s="12"/>
      <c r="S514" s="12"/>
    </row>
    <row r="515" spans="6:19" s="1" customFormat="1" x14ac:dyDescent="0.25">
      <c r="F515" s="12"/>
      <c r="G515" s="12"/>
      <c r="H515" s="12"/>
      <c r="I515" s="12"/>
      <c r="J515" s="12"/>
      <c r="K515" s="12"/>
      <c r="L515" s="12"/>
      <c r="M515" s="12"/>
      <c r="N515" s="12"/>
      <c r="O515" s="12"/>
      <c r="P515" s="12"/>
      <c r="Q515" s="12"/>
      <c r="R515" s="12"/>
      <c r="S515" s="12"/>
    </row>
    <row r="516" spans="6:19" s="1" customFormat="1" x14ac:dyDescent="0.25">
      <c r="F516" s="12"/>
      <c r="G516" s="12"/>
      <c r="H516" s="12"/>
      <c r="I516" s="12"/>
      <c r="J516" s="12"/>
      <c r="K516" s="12"/>
      <c r="L516" s="12"/>
      <c r="M516" s="12"/>
      <c r="N516" s="12"/>
      <c r="O516" s="12"/>
      <c r="P516" s="12"/>
      <c r="Q516" s="12"/>
      <c r="R516" s="12"/>
      <c r="S516" s="12"/>
    </row>
    <row r="517" spans="6:19" s="1" customFormat="1" x14ac:dyDescent="0.25">
      <c r="F517" s="12"/>
      <c r="G517" s="12"/>
      <c r="H517" s="12"/>
      <c r="I517" s="12"/>
      <c r="J517" s="12"/>
      <c r="K517" s="12"/>
      <c r="L517" s="12"/>
      <c r="M517" s="12"/>
      <c r="N517" s="12"/>
      <c r="O517" s="12"/>
      <c r="P517" s="12"/>
      <c r="Q517" s="12"/>
      <c r="R517" s="12"/>
      <c r="S517" s="12"/>
    </row>
    <row r="518" spans="6:19" s="1" customFormat="1" x14ac:dyDescent="0.25">
      <c r="F518" s="12"/>
      <c r="G518" s="12"/>
      <c r="H518" s="12"/>
      <c r="I518" s="12"/>
      <c r="J518" s="12"/>
      <c r="K518" s="12"/>
      <c r="L518" s="12"/>
      <c r="M518" s="12"/>
      <c r="N518" s="12"/>
      <c r="O518" s="12"/>
      <c r="P518" s="12"/>
      <c r="Q518" s="12"/>
      <c r="R518" s="12"/>
      <c r="S518" s="12"/>
    </row>
    <row r="519" spans="6:19" s="1" customFormat="1" x14ac:dyDescent="0.25">
      <c r="F519" s="12"/>
      <c r="G519" s="12"/>
      <c r="H519" s="12"/>
      <c r="I519" s="12"/>
      <c r="J519" s="12"/>
      <c r="K519" s="12"/>
      <c r="L519" s="12"/>
      <c r="M519" s="12"/>
      <c r="N519" s="12"/>
      <c r="O519" s="12"/>
      <c r="P519" s="12"/>
      <c r="Q519" s="12"/>
      <c r="R519" s="12"/>
      <c r="S519" s="12"/>
    </row>
    <row r="520" spans="6:19" s="1" customFormat="1" x14ac:dyDescent="0.25">
      <c r="F520" s="12"/>
      <c r="G520" s="12"/>
      <c r="H520" s="12"/>
      <c r="I520" s="12"/>
      <c r="J520" s="12"/>
      <c r="K520" s="12"/>
      <c r="L520" s="12"/>
      <c r="M520" s="12"/>
      <c r="N520" s="12"/>
      <c r="O520" s="12"/>
      <c r="P520" s="12"/>
      <c r="Q520" s="12"/>
      <c r="R520" s="12"/>
      <c r="S520" s="12"/>
    </row>
    <row r="521" spans="6:19" s="1" customFormat="1" x14ac:dyDescent="0.25">
      <c r="F521" s="12"/>
      <c r="G521" s="12"/>
      <c r="H521" s="12"/>
      <c r="I521" s="12"/>
      <c r="J521" s="12"/>
      <c r="K521" s="12"/>
      <c r="L521" s="12"/>
      <c r="M521" s="12"/>
      <c r="N521" s="12"/>
      <c r="O521" s="12"/>
      <c r="P521" s="12"/>
      <c r="Q521" s="12"/>
      <c r="R521" s="12"/>
      <c r="S521" s="12"/>
    </row>
    <row r="522" spans="6:19" s="1" customFormat="1" x14ac:dyDescent="0.25">
      <c r="F522" s="12"/>
      <c r="G522" s="12"/>
      <c r="H522" s="12"/>
      <c r="I522" s="12"/>
      <c r="J522" s="12"/>
      <c r="K522" s="12"/>
      <c r="L522" s="12"/>
      <c r="M522" s="12"/>
      <c r="N522" s="12"/>
      <c r="O522" s="12"/>
      <c r="P522" s="12"/>
      <c r="Q522" s="12"/>
      <c r="R522" s="12"/>
      <c r="S522" s="12"/>
    </row>
    <row r="523" spans="6:19" s="1" customFormat="1" x14ac:dyDescent="0.25">
      <c r="F523" s="12"/>
      <c r="G523" s="12"/>
      <c r="H523" s="12"/>
      <c r="I523" s="12"/>
      <c r="J523" s="12"/>
      <c r="K523" s="12"/>
      <c r="L523" s="12"/>
      <c r="M523" s="12"/>
      <c r="N523" s="12"/>
      <c r="O523" s="12"/>
      <c r="P523" s="12"/>
      <c r="Q523" s="12"/>
      <c r="R523" s="12"/>
      <c r="S523" s="12"/>
    </row>
    <row r="524" spans="6:19" s="1" customFormat="1" x14ac:dyDescent="0.25">
      <c r="F524" s="12"/>
      <c r="G524" s="12"/>
      <c r="H524" s="12"/>
      <c r="I524" s="12"/>
      <c r="J524" s="12"/>
      <c r="K524" s="12"/>
      <c r="L524" s="12"/>
      <c r="M524" s="12"/>
      <c r="N524" s="12"/>
      <c r="O524" s="12"/>
      <c r="P524" s="12"/>
      <c r="Q524" s="12"/>
      <c r="R524" s="12"/>
      <c r="S524" s="12"/>
    </row>
    <row r="525" spans="6:19" s="1" customFormat="1" x14ac:dyDescent="0.25">
      <c r="F525" s="12"/>
      <c r="G525" s="12"/>
      <c r="H525" s="12"/>
      <c r="I525" s="12"/>
      <c r="J525" s="12"/>
      <c r="K525" s="12"/>
      <c r="L525" s="12"/>
      <c r="M525" s="12"/>
      <c r="N525" s="12"/>
      <c r="O525" s="12"/>
      <c r="P525" s="12"/>
      <c r="Q525" s="12"/>
      <c r="R525" s="12"/>
      <c r="S525" s="12"/>
    </row>
    <row r="526" spans="6:19" s="1" customFormat="1" x14ac:dyDescent="0.25">
      <c r="F526" s="12"/>
      <c r="G526" s="12"/>
      <c r="H526" s="12"/>
      <c r="I526" s="12"/>
      <c r="J526" s="12"/>
      <c r="K526" s="12"/>
      <c r="L526" s="12"/>
      <c r="M526" s="12"/>
      <c r="N526" s="12"/>
      <c r="O526" s="12"/>
      <c r="P526" s="12"/>
      <c r="Q526" s="12"/>
      <c r="R526" s="12"/>
      <c r="S526" s="12"/>
    </row>
    <row r="527" spans="6:19" s="1" customFormat="1" x14ac:dyDescent="0.25">
      <c r="F527" s="12"/>
      <c r="G527" s="12"/>
      <c r="H527" s="12"/>
      <c r="I527" s="12"/>
      <c r="J527" s="12"/>
      <c r="K527" s="12"/>
      <c r="L527" s="12"/>
      <c r="M527" s="12"/>
      <c r="N527" s="12"/>
      <c r="O527" s="12"/>
      <c r="P527" s="12"/>
      <c r="Q527" s="12"/>
      <c r="R527" s="12"/>
      <c r="S527" s="12"/>
    </row>
    <row r="528" spans="6:19" s="1" customFormat="1" x14ac:dyDescent="0.25">
      <c r="F528" s="12"/>
      <c r="G528" s="12"/>
      <c r="H528" s="12"/>
      <c r="I528" s="12"/>
      <c r="J528" s="12"/>
      <c r="K528" s="12"/>
      <c r="L528" s="12"/>
      <c r="M528" s="12"/>
      <c r="N528" s="12"/>
      <c r="O528" s="12"/>
      <c r="P528" s="12"/>
      <c r="Q528" s="12"/>
      <c r="R528" s="12"/>
      <c r="S528" s="12"/>
    </row>
    <row r="529" spans="6:19" s="1" customFormat="1" x14ac:dyDescent="0.25">
      <c r="F529" s="12"/>
      <c r="G529" s="12"/>
      <c r="H529" s="12"/>
      <c r="I529" s="12"/>
      <c r="J529" s="12"/>
      <c r="K529" s="12"/>
      <c r="L529" s="12"/>
      <c r="M529" s="12"/>
      <c r="N529" s="12"/>
      <c r="O529" s="12"/>
      <c r="P529" s="12"/>
      <c r="Q529" s="12"/>
      <c r="R529" s="12"/>
      <c r="S529" s="12"/>
    </row>
    <row r="530" spans="6:19" s="1" customFormat="1" x14ac:dyDescent="0.25">
      <c r="F530" s="12"/>
      <c r="G530" s="12"/>
      <c r="H530" s="12"/>
      <c r="I530" s="12"/>
      <c r="J530" s="12"/>
      <c r="K530" s="12"/>
      <c r="L530" s="12"/>
      <c r="M530" s="12"/>
      <c r="N530" s="12"/>
      <c r="O530" s="12"/>
      <c r="P530" s="12"/>
      <c r="Q530" s="12"/>
      <c r="R530" s="12"/>
      <c r="S530" s="12"/>
    </row>
    <row r="531" spans="6:19" s="1" customFormat="1" x14ac:dyDescent="0.25">
      <c r="F531" s="12"/>
      <c r="G531" s="12"/>
      <c r="H531" s="12"/>
      <c r="I531" s="12"/>
      <c r="J531" s="12"/>
      <c r="K531" s="12"/>
      <c r="L531" s="12"/>
      <c r="M531" s="12"/>
      <c r="N531" s="12"/>
      <c r="O531" s="12"/>
      <c r="P531" s="12"/>
      <c r="Q531" s="12"/>
      <c r="R531" s="12"/>
      <c r="S531" s="12"/>
    </row>
    <row r="532" spans="6:19" s="1" customFormat="1" x14ac:dyDescent="0.25">
      <c r="F532" s="12"/>
      <c r="G532" s="12"/>
      <c r="H532" s="12"/>
      <c r="I532" s="12"/>
      <c r="J532" s="12"/>
      <c r="K532" s="12"/>
      <c r="L532" s="12"/>
      <c r="M532" s="12"/>
      <c r="N532" s="12"/>
      <c r="O532" s="12"/>
      <c r="P532" s="12"/>
      <c r="Q532" s="12"/>
      <c r="R532" s="12"/>
      <c r="S532" s="12"/>
    </row>
    <row r="533" spans="6:19" s="1" customFormat="1" x14ac:dyDescent="0.25">
      <c r="F533" s="12"/>
      <c r="G533" s="12"/>
      <c r="H533" s="12"/>
      <c r="I533" s="12"/>
      <c r="J533" s="12"/>
      <c r="K533" s="12"/>
      <c r="L533" s="12"/>
      <c r="M533" s="12"/>
      <c r="N533" s="12"/>
      <c r="O533" s="12"/>
      <c r="P533" s="12"/>
      <c r="Q533" s="12"/>
      <c r="R533" s="12"/>
      <c r="S533" s="12"/>
    </row>
    <row r="534" spans="6:19" s="1" customFormat="1" x14ac:dyDescent="0.25">
      <c r="F534" s="12"/>
      <c r="G534" s="12"/>
      <c r="H534" s="12"/>
      <c r="I534" s="12"/>
      <c r="J534" s="12"/>
      <c r="K534" s="12"/>
      <c r="L534" s="12"/>
      <c r="M534" s="12"/>
      <c r="N534" s="12"/>
      <c r="O534" s="12"/>
      <c r="P534" s="12"/>
      <c r="Q534" s="12"/>
      <c r="R534" s="12"/>
      <c r="S534" s="12"/>
    </row>
    <row r="535" spans="6:19" s="1" customFormat="1" x14ac:dyDescent="0.25">
      <c r="F535" s="12"/>
      <c r="G535" s="12"/>
      <c r="H535" s="12"/>
      <c r="I535" s="12"/>
      <c r="J535" s="12"/>
      <c r="K535" s="12"/>
      <c r="L535" s="12"/>
      <c r="M535" s="12"/>
      <c r="N535" s="12"/>
      <c r="O535" s="12"/>
      <c r="P535" s="12"/>
      <c r="Q535" s="12"/>
      <c r="R535" s="12"/>
      <c r="S535" s="12"/>
    </row>
    <row r="536" spans="6:19" s="1" customFormat="1" x14ac:dyDescent="0.25">
      <c r="F536" s="12"/>
      <c r="G536" s="12"/>
      <c r="H536" s="12"/>
      <c r="I536" s="12"/>
      <c r="J536" s="12"/>
      <c r="K536" s="12"/>
      <c r="L536" s="12"/>
      <c r="M536" s="12"/>
      <c r="N536" s="12"/>
      <c r="O536" s="12"/>
      <c r="P536" s="12"/>
      <c r="Q536" s="12"/>
      <c r="R536" s="12"/>
      <c r="S536" s="12"/>
    </row>
    <row r="537" spans="6:19" s="1" customFormat="1" x14ac:dyDescent="0.25">
      <c r="F537" s="12"/>
      <c r="G537" s="12"/>
      <c r="H537" s="12"/>
      <c r="I537" s="12"/>
      <c r="J537" s="12"/>
      <c r="K537" s="12"/>
      <c r="L537" s="12"/>
      <c r="M537" s="12"/>
      <c r="N537" s="12"/>
      <c r="O537" s="12"/>
      <c r="P537" s="12"/>
      <c r="Q537" s="12"/>
      <c r="R537" s="12"/>
      <c r="S537" s="12"/>
    </row>
    <row r="538" spans="6:19" s="1" customFormat="1" x14ac:dyDescent="0.25">
      <c r="F538" s="12"/>
      <c r="G538" s="12"/>
      <c r="H538" s="12"/>
      <c r="I538" s="12"/>
      <c r="J538" s="12"/>
      <c r="K538" s="12"/>
      <c r="L538" s="12"/>
      <c r="M538" s="12"/>
      <c r="N538" s="12"/>
      <c r="O538" s="12"/>
      <c r="P538" s="12"/>
      <c r="Q538" s="12"/>
      <c r="R538" s="12"/>
      <c r="S538" s="12"/>
    </row>
    <row r="539" spans="6:19" s="1" customFormat="1" x14ac:dyDescent="0.25">
      <c r="F539" s="12"/>
      <c r="G539" s="12"/>
      <c r="H539" s="12"/>
      <c r="I539" s="12"/>
      <c r="J539" s="12"/>
      <c r="K539" s="12"/>
      <c r="L539" s="12"/>
      <c r="M539" s="12"/>
      <c r="N539" s="12"/>
      <c r="O539" s="12"/>
      <c r="P539" s="12"/>
      <c r="Q539" s="12"/>
      <c r="R539" s="12"/>
      <c r="S539" s="12"/>
    </row>
    <row r="540" spans="6:19" s="1" customFormat="1" x14ac:dyDescent="0.25">
      <c r="F540" s="12"/>
      <c r="G540" s="12"/>
      <c r="H540" s="12"/>
      <c r="I540" s="12"/>
      <c r="J540" s="12"/>
      <c r="K540" s="12"/>
      <c r="L540" s="12"/>
      <c r="M540" s="12"/>
      <c r="N540" s="12"/>
      <c r="O540" s="12"/>
      <c r="P540" s="12"/>
      <c r="Q540" s="12"/>
      <c r="R540" s="12"/>
      <c r="S540" s="12"/>
    </row>
    <row r="541" spans="6:19" s="1" customFormat="1" x14ac:dyDescent="0.25">
      <c r="F541" s="12"/>
      <c r="G541" s="12"/>
      <c r="H541" s="12"/>
      <c r="I541" s="12"/>
      <c r="J541" s="12"/>
      <c r="K541" s="12"/>
      <c r="L541" s="12"/>
      <c r="M541" s="12"/>
      <c r="N541" s="12"/>
      <c r="O541" s="12"/>
      <c r="P541" s="12"/>
      <c r="Q541" s="12"/>
      <c r="R541" s="12"/>
      <c r="S541" s="12"/>
    </row>
    <row r="542" spans="6:19" s="1" customFormat="1" x14ac:dyDescent="0.25">
      <c r="F542" s="12"/>
      <c r="G542" s="12"/>
      <c r="H542" s="12"/>
      <c r="I542" s="12"/>
      <c r="J542" s="12"/>
      <c r="K542" s="12"/>
      <c r="L542" s="12"/>
      <c r="M542" s="12"/>
      <c r="N542" s="12"/>
      <c r="O542" s="12"/>
      <c r="P542" s="12"/>
      <c r="Q542" s="12"/>
      <c r="R542" s="12"/>
      <c r="S542" s="12"/>
    </row>
    <row r="543" spans="6:19" s="1" customFormat="1" x14ac:dyDescent="0.25">
      <c r="F543" s="12"/>
      <c r="G543" s="12"/>
      <c r="H543" s="12"/>
      <c r="I543" s="12"/>
      <c r="J543" s="12"/>
      <c r="K543" s="12"/>
      <c r="L543" s="12"/>
      <c r="M543" s="12"/>
      <c r="N543" s="12"/>
      <c r="O543" s="12"/>
      <c r="P543" s="12"/>
      <c r="Q543" s="12"/>
      <c r="R543" s="12"/>
      <c r="S543" s="12"/>
    </row>
    <row r="544" spans="6:19" s="1" customFormat="1" x14ac:dyDescent="0.25">
      <c r="F544" s="12"/>
      <c r="G544" s="12"/>
      <c r="H544" s="12"/>
      <c r="I544" s="12"/>
      <c r="J544" s="12"/>
      <c r="K544" s="12"/>
      <c r="L544" s="12"/>
      <c r="M544" s="12"/>
      <c r="N544" s="12"/>
      <c r="O544" s="12"/>
      <c r="P544" s="12"/>
      <c r="Q544" s="12"/>
      <c r="R544" s="12"/>
      <c r="S544" s="12"/>
    </row>
    <row r="545" spans="6:19" s="1" customFormat="1" x14ac:dyDescent="0.25">
      <c r="F545" s="12"/>
      <c r="G545" s="12"/>
      <c r="H545" s="12"/>
      <c r="I545" s="12"/>
      <c r="J545" s="12"/>
      <c r="K545" s="12"/>
      <c r="L545" s="12"/>
      <c r="M545" s="12"/>
      <c r="N545" s="12"/>
      <c r="O545" s="12"/>
      <c r="P545" s="12"/>
      <c r="Q545" s="12"/>
      <c r="R545" s="12"/>
      <c r="S545" s="12"/>
    </row>
    <row r="546" spans="6:19" s="1" customFormat="1" x14ac:dyDescent="0.25">
      <c r="F546" s="12"/>
      <c r="G546" s="12"/>
      <c r="H546" s="12"/>
      <c r="I546" s="12"/>
      <c r="J546" s="12"/>
      <c r="K546" s="12"/>
      <c r="L546" s="12"/>
      <c r="M546" s="12"/>
      <c r="N546" s="12"/>
      <c r="O546" s="12"/>
      <c r="P546" s="12"/>
      <c r="Q546" s="12"/>
      <c r="R546" s="12"/>
      <c r="S546" s="12"/>
    </row>
    <row r="547" spans="6:19" s="1" customFormat="1" x14ac:dyDescent="0.25">
      <c r="F547" s="12"/>
      <c r="G547" s="12"/>
      <c r="H547" s="12"/>
      <c r="I547" s="12"/>
      <c r="J547" s="12"/>
      <c r="K547" s="12"/>
      <c r="L547" s="12"/>
      <c r="M547" s="12"/>
      <c r="N547" s="12"/>
      <c r="O547" s="12"/>
      <c r="P547" s="12"/>
      <c r="Q547" s="12"/>
      <c r="R547" s="12"/>
      <c r="S547" s="12"/>
    </row>
    <row r="548" spans="6:19" s="1" customFormat="1" x14ac:dyDescent="0.25">
      <c r="F548" s="12"/>
      <c r="G548" s="12"/>
      <c r="H548" s="12"/>
      <c r="I548" s="12"/>
      <c r="J548" s="12"/>
      <c r="K548" s="12"/>
      <c r="L548" s="12"/>
      <c r="M548" s="12"/>
      <c r="N548" s="12"/>
      <c r="O548" s="12"/>
      <c r="P548" s="12"/>
      <c r="Q548" s="12"/>
      <c r="R548" s="12"/>
      <c r="S548" s="12"/>
    </row>
    <row r="549" spans="6:19" s="1" customFormat="1" x14ac:dyDescent="0.25">
      <c r="F549" s="12"/>
      <c r="G549" s="12"/>
      <c r="H549" s="12"/>
      <c r="I549" s="12"/>
      <c r="J549" s="12"/>
      <c r="K549" s="12"/>
      <c r="L549" s="12"/>
      <c r="M549" s="12"/>
      <c r="N549" s="12"/>
      <c r="O549" s="12"/>
      <c r="P549" s="12"/>
      <c r="Q549" s="12"/>
      <c r="R549" s="12"/>
      <c r="S549" s="12"/>
    </row>
    <row r="550" spans="6:19" s="1" customFormat="1" x14ac:dyDescent="0.25">
      <c r="F550" s="12"/>
      <c r="G550" s="12"/>
      <c r="H550" s="12"/>
      <c r="I550" s="12"/>
      <c r="J550" s="12"/>
      <c r="K550" s="12"/>
      <c r="L550" s="12"/>
      <c r="M550" s="12"/>
      <c r="N550" s="12"/>
      <c r="O550" s="12"/>
      <c r="P550" s="12"/>
      <c r="Q550" s="12"/>
      <c r="R550" s="12"/>
      <c r="S550" s="12"/>
    </row>
    <row r="551" spans="6:19" s="1" customFormat="1" x14ac:dyDescent="0.25">
      <c r="F551" s="12"/>
      <c r="G551" s="12"/>
      <c r="H551" s="12"/>
      <c r="I551" s="12"/>
      <c r="J551" s="12"/>
      <c r="K551" s="12"/>
      <c r="L551" s="12"/>
      <c r="M551" s="12"/>
      <c r="N551" s="12"/>
      <c r="O551" s="12"/>
      <c r="P551" s="12"/>
      <c r="Q551" s="12"/>
      <c r="R551" s="12"/>
      <c r="S551" s="12"/>
    </row>
    <row r="552" spans="6:19" s="1" customFormat="1" x14ac:dyDescent="0.25">
      <c r="F552" s="12"/>
      <c r="G552" s="12"/>
      <c r="H552" s="12"/>
      <c r="I552" s="12"/>
      <c r="J552" s="12"/>
      <c r="K552" s="12"/>
      <c r="L552" s="12"/>
      <c r="M552" s="12"/>
      <c r="N552" s="12"/>
      <c r="O552" s="12"/>
      <c r="P552" s="12"/>
      <c r="Q552" s="12"/>
      <c r="R552" s="12"/>
      <c r="S552" s="12"/>
    </row>
    <row r="553" spans="6:19" s="1" customFormat="1" x14ac:dyDescent="0.25">
      <c r="F553" s="12"/>
      <c r="G553" s="12"/>
      <c r="H553" s="12"/>
      <c r="I553" s="12"/>
      <c r="J553" s="12"/>
      <c r="K553" s="12"/>
      <c r="L553" s="12"/>
      <c r="M553" s="12"/>
      <c r="N553" s="12"/>
      <c r="O553" s="12"/>
      <c r="P553" s="12"/>
      <c r="Q553" s="12"/>
      <c r="R553" s="12"/>
      <c r="S553" s="12"/>
    </row>
    <row r="554" spans="6:19" s="1" customFormat="1" x14ac:dyDescent="0.25">
      <c r="F554" s="12"/>
      <c r="G554" s="12"/>
      <c r="H554" s="12"/>
      <c r="I554" s="12"/>
      <c r="J554" s="12"/>
      <c r="K554" s="12"/>
      <c r="L554" s="12"/>
      <c r="M554" s="12"/>
      <c r="N554" s="12"/>
      <c r="O554" s="12"/>
      <c r="P554" s="12"/>
      <c r="Q554" s="12"/>
      <c r="R554" s="12"/>
      <c r="S554" s="12"/>
    </row>
    <row r="555" spans="6:19" s="1" customFormat="1" x14ac:dyDescent="0.25">
      <c r="F555" s="12"/>
      <c r="G555" s="12"/>
      <c r="H555" s="12"/>
      <c r="I555" s="12"/>
      <c r="J555" s="12"/>
      <c r="K555" s="12"/>
      <c r="L555" s="12"/>
      <c r="M555" s="12"/>
      <c r="N555" s="12"/>
      <c r="O555" s="12"/>
      <c r="P555" s="12"/>
      <c r="Q555" s="12"/>
      <c r="R555" s="12"/>
      <c r="S555" s="12"/>
    </row>
    <row r="556" spans="6:19" s="1" customFormat="1" x14ac:dyDescent="0.25">
      <c r="F556" s="12"/>
      <c r="G556" s="12"/>
      <c r="H556" s="12"/>
      <c r="I556" s="12"/>
      <c r="J556" s="12"/>
      <c r="K556" s="12"/>
      <c r="L556" s="12"/>
      <c r="M556" s="12"/>
      <c r="N556" s="12"/>
      <c r="O556" s="12"/>
      <c r="P556" s="12"/>
      <c r="Q556" s="12"/>
      <c r="R556" s="12"/>
      <c r="S556" s="12"/>
    </row>
    <row r="557" spans="6:19" s="1" customFormat="1" x14ac:dyDescent="0.25">
      <c r="F557" s="12"/>
      <c r="G557" s="12"/>
      <c r="H557" s="12"/>
      <c r="I557" s="12"/>
      <c r="J557" s="12"/>
      <c r="K557" s="12"/>
      <c r="L557" s="12"/>
      <c r="M557" s="12"/>
      <c r="N557" s="12"/>
      <c r="O557" s="12"/>
      <c r="P557" s="12"/>
      <c r="Q557" s="12"/>
      <c r="R557" s="12"/>
      <c r="S557" s="12"/>
    </row>
    <row r="558" spans="6:19" s="1" customFormat="1" x14ac:dyDescent="0.25">
      <c r="F558" s="12"/>
      <c r="G558" s="12"/>
      <c r="H558" s="12"/>
      <c r="I558" s="12"/>
      <c r="J558" s="12"/>
      <c r="K558" s="12"/>
      <c r="L558" s="12"/>
      <c r="M558" s="12"/>
      <c r="N558" s="12"/>
      <c r="O558" s="12"/>
      <c r="P558" s="12"/>
      <c r="Q558" s="12"/>
      <c r="R558" s="12"/>
      <c r="S558" s="12"/>
    </row>
    <row r="559" spans="6:19" s="1" customFormat="1" x14ac:dyDescent="0.25">
      <c r="F559" s="12"/>
      <c r="G559" s="12"/>
      <c r="H559" s="12"/>
      <c r="I559" s="12"/>
      <c r="J559" s="12"/>
      <c r="K559" s="12"/>
      <c r="L559" s="12"/>
      <c r="M559" s="12"/>
      <c r="N559" s="12"/>
      <c r="O559" s="12"/>
      <c r="P559" s="12"/>
      <c r="Q559" s="12"/>
      <c r="R559" s="12"/>
      <c r="S559" s="12"/>
    </row>
    <row r="560" spans="6:19" s="1" customFormat="1" x14ac:dyDescent="0.25">
      <c r="F560" s="12"/>
      <c r="G560" s="12"/>
      <c r="H560" s="12"/>
      <c r="I560" s="12"/>
      <c r="J560" s="12"/>
      <c r="K560" s="12"/>
      <c r="L560" s="12"/>
      <c r="M560" s="12"/>
      <c r="N560" s="12"/>
      <c r="O560" s="12"/>
      <c r="P560" s="12"/>
      <c r="Q560" s="12"/>
      <c r="R560" s="12"/>
      <c r="S560" s="12"/>
    </row>
    <row r="561" spans="6:19" s="1" customFormat="1" x14ac:dyDescent="0.25">
      <c r="F561" s="12"/>
      <c r="G561" s="12"/>
      <c r="H561" s="12"/>
      <c r="I561" s="12"/>
      <c r="J561" s="12"/>
      <c r="K561" s="12"/>
      <c r="L561" s="12"/>
      <c r="M561" s="12"/>
      <c r="N561" s="12"/>
      <c r="O561" s="12"/>
      <c r="P561" s="12"/>
      <c r="Q561" s="12"/>
      <c r="R561" s="12"/>
      <c r="S561" s="12"/>
    </row>
    <row r="562" spans="6:19" s="1" customFormat="1" x14ac:dyDescent="0.25">
      <c r="F562" s="12"/>
      <c r="G562" s="12"/>
      <c r="H562" s="12"/>
      <c r="I562" s="12"/>
      <c r="J562" s="12"/>
      <c r="K562" s="12"/>
      <c r="L562" s="12"/>
      <c r="M562" s="12"/>
      <c r="N562" s="12"/>
      <c r="O562" s="12"/>
      <c r="P562" s="12"/>
      <c r="Q562" s="12"/>
      <c r="R562" s="12"/>
      <c r="S562" s="12"/>
    </row>
    <row r="563" spans="6:19" s="1" customFormat="1" x14ac:dyDescent="0.25">
      <c r="F563" s="12"/>
      <c r="G563" s="12"/>
      <c r="H563" s="12"/>
      <c r="I563" s="12"/>
      <c r="J563" s="12"/>
      <c r="K563" s="12"/>
      <c r="L563" s="12"/>
      <c r="M563" s="12"/>
      <c r="N563" s="12"/>
      <c r="O563" s="12"/>
      <c r="P563" s="12"/>
      <c r="Q563" s="12"/>
      <c r="R563" s="12"/>
      <c r="S563" s="12"/>
    </row>
    <row r="564" spans="6:19" s="1" customFormat="1" x14ac:dyDescent="0.25">
      <c r="F564" s="12"/>
      <c r="G564" s="12"/>
      <c r="H564" s="12"/>
      <c r="I564" s="12"/>
      <c r="J564" s="12"/>
      <c r="K564" s="12"/>
      <c r="L564" s="12"/>
      <c r="M564" s="12"/>
      <c r="N564" s="12"/>
      <c r="O564" s="12"/>
      <c r="P564" s="12"/>
      <c r="Q564" s="12"/>
      <c r="R564" s="12"/>
      <c r="S564" s="12"/>
    </row>
    <row r="565" spans="6:19" s="1" customFormat="1" x14ac:dyDescent="0.25">
      <c r="F565" s="12"/>
      <c r="G565" s="12"/>
      <c r="H565" s="12"/>
      <c r="I565" s="12"/>
      <c r="J565" s="12"/>
      <c r="K565" s="12"/>
      <c r="L565" s="12"/>
      <c r="M565" s="12"/>
      <c r="N565" s="12"/>
      <c r="O565" s="12"/>
      <c r="P565" s="12"/>
      <c r="Q565" s="12"/>
      <c r="R565" s="12"/>
      <c r="S565" s="12"/>
    </row>
    <row r="566" spans="6:19" s="1" customFormat="1" x14ac:dyDescent="0.25">
      <c r="F566" s="12"/>
      <c r="G566" s="12"/>
      <c r="H566" s="12"/>
      <c r="I566" s="12"/>
      <c r="J566" s="12"/>
      <c r="K566" s="12"/>
      <c r="L566" s="12"/>
      <c r="M566" s="12"/>
      <c r="N566" s="12"/>
      <c r="O566" s="12"/>
      <c r="P566" s="12"/>
      <c r="Q566" s="12"/>
      <c r="R566" s="12"/>
      <c r="S566" s="12"/>
    </row>
    <row r="567" spans="6:19" s="1" customFormat="1" x14ac:dyDescent="0.25">
      <c r="F567" s="12"/>
      <c r="G567" s="12"/>
      <c r="H567" s="12"/>
      <c r="I567" s="12"/>
      <c r="J567" s="12"/>
      <c r="K567" s="12"/>
      <c r="L567" s="12"/>
      <c r="M567" s="12"/>
      <c r="N567" s="12"/>
      <c r="O567" s="12"/>
      <c r="P567" s="12"/>
      <c r="Q567" s="12"/>
      <c r="R567" s="12"/>
      <c r="S567" s="12"/>
    </row>
    <row r="568" spans="6:19" s="1" customFormat="1" x14ac:dyDescent="0.25">
      <c r="F568" s="12"/>
      <c r="G568" s="12"/>
      <c r="H568" s="12"/>
      <c r="I568" s="12"/>
      <c r="J568" s="12"/>
      <c r="K568" s="12"/>
      <c r="L568" s="12"/>
      <c r="M568" s="12"/>
      <c r="N568" s="12"/>
      <c r="O568" s="12"/>
      <c r="P568" s="12"/>
      <c r="Q568" s="12"/>
      <c r="R568" s="12"/>
      <c r="S568" s="12"/>
    </row>
    <row r="569" spans="6:19" s="1" customFormat="1" x14ac:dyDescent="0.25">
      <c r="F569" s="12"/>
      <c r="G569" s="12"/>
      <c r="H569" s="12"/>
      <c r="I569" s="12"/>
      <c r="J569" s="12"/>
      <c r="K569" s="12"/>
      <c r="L569" s="12"/>
      <c r="M569" s="12"/>
      <c r="N569" s="12"/>
      <c r="O569" s="12"/>
      <c r="P569" s="12"/>
      <c r="Q569" s="12"/>
      <c r="R569" s="12"/>
      <c r="S569" s="12"/>
    </row>
    <row r="570" spans="6:19" s="1" customFormat="1" x14ac:dyDescent="0.25">
      <c r="F570" s="12"/>
      <c r="G570" s="12"/>
      <c r="H570" s="12"/>
      <c r="I570" s="12"/>
      <c r="J570" s="12"/>
      <c r="K570" s="12"/>
      <c r="L570" s="12"/>
      <c r="M570" s="12"/>
      <c r="N570" s="12"/>
      <c r="O570" s="12"/>
      <c r="P570" s="12"/>
      <c r="Q570" s="12"/>
      <c r="R570" s="12"/>
      <c r="S570" s="12"/>
    </row>
    <row r="571" spans="6:19" s="1" customFormat="1" x14ac:dyDescent="0.25">
      <c r="F571" s="12"/>
      <c r="G571" s="12"/>
      <c r="H571" s="12"/>
      <c r="I571" s="12"/>
      <c r="J571" s="12"/>
      <c r="K571" s="12"/>
      <c r="L571" s="12"/>
      <c r="M571" s="12"/>
      <c r="N571" s="12"/>
      <c r="O571" s="12"/>
      <c r="P571" s="12"/>
      <c r="Q571" s="12"/>
      <c r="R571" s="12"/>
      <c r="S571" s="12"/>
    </row>
    <row r="572" spans="6:19" s="1" customFormat="1" x14ac:dyDescent="0.25">
      <c r="F572" s="12"/>
      <c r="G572" s="12"/>
      <c r="H572" s="12"/>
      <c r="I572" s="12"/>
      <c r="J572" s="12"/>
      <c r="K572" s="12"/>
      <c r="L572" s="12"/>
      <c r="M572" s="12"/>
      <c r="N572" s="12"/>
      <c r="O572" s="12"/>
      <c r="P572" s="12"/>
      <c r="Q572" s="12"/>
      <c r="R572" s="12"/>
      <c r="S572" s="12"/>
    </row>
    <row r="573" spans="6:19" s="1" customFormat="1" x14ac:dyDescent="0.25">
      <c r="F573" s="12"/>
      <c r="G573" s="12"/>
      <c r="H573" s="12"/>
      <c r="I573" s="12"/>
      <c r="J573" s="12"/>
      <c r="K573" s="12"/>
      <c r="L573" s="12"/>
      <c r="M573" s="12"/>
      <c r="N573" s="12"/>
      <c r="O573" s="12"/>
      <c r="P573" s="12"/>
      <c r="Q573" s="12"/>
      <c r="R573" s="12"/>
      <c r="S573" s="12"/>
    </row>
    <row r="574" spans="6:19" s="1" customFormat="1" x14ac:dyDescent="0.25">
      <c r="F574" s="12"/>
      <c r="G574" s="12"/>
      <c r="H574" s="12"/>
      <c r="I574" s="12"/>
      <c r="J574" s="12"/>
      <c r="K574" s="12"/>
      <c r="L574" s="12"/>
      <c r="M574" s="12"/>
      <c r="N574" s="12"/>
      <c r="O574" s="12"/>
      <c r="P574" s="12"/>
      <c r="Q574" s="12"/>
      <c r="R574" s="12"/>
      <c r="S574" s="12"/>
    </row>
    <row r="575" spans="6:19" s="1" customFormat="1" x14ac:dyDescent="0.25">
      <c r="F575" s="12"/>
      <c r="G575" s="12"/>
      <c r="H575" s="12"/>
      <c r="I575" s="12"/>
      <c r="J575" s="12"/>
      <c r="K575" s="12"/>
      <c r="L575" s="12"/>
      <c r="M575" s="12"/>
      <c r="N575" s="12"/>
      <c r="O575" s="12"/>
      <c r="P575" s="12"/>
      <c r="Q575" s="12"/>
      <c r="R575" s="12"/>
      <c r="S575" s="12"/>
    </row>
    <row r="576" spans="6:19" s="1" customFormat="1" x14ac:dyDescent="0.25">
      <c r="F576" s="12"/>
      <c r="G576" s="12"/>
      <c r="H576" s="12"/>
      <c r="I576" s="12"/>
      <c r="J576" s="12"/>
      <c r="K576" s="12"/>
      <c r="L576" s="12"/>
      <c r="M576" s="12"/>
      <c r="N576" s="12"/>
      <c r="O576" s="12"/>
      <c r="P576" s="12"/>
      <c r="Q576" s="12"/>
      <c r="R576" s="12"/>
      <c r="S576" s="12"/>
    </row>
    <row r="577" spans="6:19" s="1" customFormat="1" x14ac:dyDescent="0.25">
      <c r="F577" s="12"/>
      <c r="G577" s="12"/>
      <c r="H577" s="12"/>
      <c r="I577" s="12"/>
      <c r="J577" s="12"/>
      <c r="K577" s="12"/>
      <c r="L577" s="12"/>
      <c r="M577" s="12"/>
      <c r="N577" s="12"/>
      <c r="O577" s="12"/>
      <c r="P577" s="12"/>
      <c r="Q577" s="12"/>
      <c r="R577" s="12"/>
      <c r="S577" s="12"/>
    </row>
    <row r="578" spans="6:19" s="1" customFormat="1" x14ac:dyDescent="0.25">
      <c r="F578" s="12"/>
      <c r="G578" s="12"/>
      <c r="H578" s="12"/>
      <c r="I578" s="12"/>
      <c r="J578" s="12"/>
      <c r="K578" s="12"/>
      <c r="L578" s="12"/>
      <c r="M578" s="12"/>
      <c r="N578" s="12"/>
      <c r="O578" s="12"/>
      <c r="P578" s="12"/>
      <c r="Q578" s="12"/>
      <c r="R578" s="12"/>
      <c r="S578" s="12"/>
    </row>
    <row r="579" spans="6:19" s="1" customFormat="1" x14ac:dyDescent="0.25">
      <c r="F579" s="12"/>
      <c r="G579" s="12"/>
      <c r="H579" s="12"/>
      <c r="I579" s="12"/>
      <c r="J579" s="12"/>
      <c r="K579" s="12"/>
      <c r="L579" s="12"/>
      <c r="M579" s="12"/>
      <c r="N579" s="12"/>
      <c r="O579" s="12"/>
      <c r="P579" s="12"/>
      <c r="Q579" s="12"/>
      <c r="R579" s="12"/>
      <c r="S579" s="12"/>
    </row>
    <row r="580" spans="6:19" s="1" customFormat="1" x14ac:dyDescent="0.25">
      <c r="F580" s="12"/>
      <c r="G580" s="12"/>
      <c r="H580" s="12"/>
      <c r="I580" s="12"/>
      <c r="J580" s="12"/>
      <c r="K580" s="12"/>
      <c r="L580" s="12"/>
      <c r="M580" s="12"/>
      <c r="N580" s="12"/>
      <c r="O580" s="12"/>
      <c r="P580" s="12"/>
      <c r="Q580" s="12"/>
      <c r="R580" s="12"/>
      <c r="S580" s="12"/>
    </row>
    <row r="581" spans="6:19" s="1" customFormat="1" x14ac:dyDescent="0.25">
      <c r="F581" s="12"/>
      <c r="G581" s="12"/>
      <c r="H581" s="12"/>
      <c r="I581" s="12"/>
      <c r="J581" s="12"/>
      <c r="K581" s="12"/>
      <c r="L581" s="12"/>
      <c r="M581" s="12"/>
      <c r="N581" s="12"/>
      <c r="O581" s="12"/>
      <c r="P581" s="12"/>
      <c r="Q581" s="12"/>
      <c r="R581" s="12"/>
      <c r="S581" s="12"/>
    </row>
    <row r="582" spans="6:19" s="1" customFormat="1" x14ac:dyDescent="0.25">
      <c r="F582" s="12"/>
      <c r="G582" s="12"/>
      <c r="H582" s="12"/>
      <c r="I582" s="12"/>
      <c r="J582" s="12"/>
      <c r="K582" s="12"/>
      <c r="L582" s="12"/>
      <c r="M582" s="12"/>
      <c r="N582" s="12"/>
      <c r="O582" s="12"/>
      <c r="P582" s="12"/>
      <c r="Q582" s="12"/>
      <c r="R582" s="12"/>
      <c r="S582" s="12"/>
    </row>
    <row r="583" spans="6:19" s="1" customFormat="1" x14ac:dyDescent="0.25">
      <c r="F583" s="12"/>
      <c r="G583" s="12"/>
      <c r="H583" s="12"/>
      <c r="I583" s="12"/>
      <c r="J583" s="12"/>
      <c r="K583" s="12"/>
      <c r="L583" s="12"/>
      <c r="M583" s="12"/>
      <c r="N583" s="12"/>
      <c r="O583" s="12"/>
      <c r="P583" s="12"/>
      <c r="Q583" s="12"/>
      <c r="R583" s="12"/>
      <c r="S583" s="12"/>
    </row>
    <row r="584" spans="6:19" s="1" customFormat="1" x14ac:dyDescent="0.25">
      <c r="F584" s="12"/>
      <c r="G584" s="12"/>
      <c r="H584" s="12"/>
      <c r="I584" s="12"/>
      <c r="J584" s="12"/>
      <c r="K584" s="12"/>
      <c r="L584" s="12"/>
      <c r="M584" s="12"/>
      <c r="N584" s="12"/>
      <c r="O584" s="12"/>
      <c r="P584" s="12"/>
      <c r="Q584" s="12"/>
      <c r="R584" s="12"/>
      <c r="S584" s="12"/>
    </row>
    <row r="585" spans="6:19" s="1" customFormat="1" x14ac:dyDescent="0.25">
      <c r="F585" s="12"/>
      <c r="G585" s="12"/>
      <c r="H585" s="12"/>
      <c r="I585" s="12"/>
      <c r="J585" s="12"/>
      <c r="K585" s="12"/>
      <c r="L585" s="12"/>
      <c r="M585" s="12"/>
      <c r="N585" s="12"/>
      <c r="O585" s="12"/>
      <c r="P585" s="12"/>
      <c r="Q585" s="12"/>
      <c r="R585" s="12"/>
      <c r="S585" s="12"/>
    </row>
    <row r="586" spans="6:19" s="1" customFormat="1" x14ac:dyDescent="0.25">
      <c r="F586" s="12"/>
      <c r="G586" s="12"/>
      <c r="H586" s="12"/>
      <c r="I586" s="12"/>
      <c r="J586" s="12"/>
      <c r="K586" s="12"/>
      <c r="L586" s="12"/>
      <c r="M586" s="12"/>
      <c r="N586" s="12"/>
      <c r="O586" s="12"/>
      <c r="P586" s="12"/>
      <c r="Q586" s="12"/>
      <c r="R586" s="12"/>
      <c r="S586" s="12"/>
    </row>
    <row r="587" spans="6:19" s="1" customFormat="1" x14ac:dyDescent="0.25">
      <c r="F587" s="12"/>
      <c r="G587" s="12"/>
      <c r="H587" s="12"/>
      <c r="I587" s="12"/>
      <c r="J587" s="12"/>
      <c r="K587" s="12"/>
      <c r="L587" s="12"/>
      <c r="M587" s="12"/>
      <c r="N587" s="12"/>
      <c r="O587" s="12"/>
      <c r="P587" s="12"/>
      <c r="Q587" s="12"/>
      <c r="R587" s="12"/>
      <c r="S587" s="12"/>
    </row>
    <row r="588" spans="6:19" s="1" customFormat="1" x14ac:dyDescent="0.25">
      <c r="F588" s="12"/>
      <c r="G588" s="12"/>
      <c r="H588" s="12"/>
      <c r="I588" s="12"/>
      <c r="J588" s="12"/>
      <c r="K588" s="12"/>
      <c r="L588" s="12"/>
      <c r="M588" s="12"/>
      <c r="N588" s="12"/>
      <c r="O588" s="12"/>
      <c r="P588" s="12"/>
      <c r="Q588" s="12"/>
      <c r="R588" s="12"/>
      <c r="S588" s="12"/>
    </row>
    <row r="589" spans="6:19" s="1" customFormat="1" x14ac:dyDescent="0.25">
      <c r="F589" s="12"/>
      <c r="G589" s="12"/>
      <c r="H589" s="12"/>
      <c r="I589" s="12"/>
      <c r="J589" s="12"/>
      <c r="K589" s="12"/>
      <c r="L589" s="12"/>
      <c r="M589" s="12"/>
      <c r="N589" s="12"/>
      <c r="O589" s="12"/>
      <c r="P589" s="12"/>
      <c r="Q589" s="12"/>
      <c r="R589" s="12"/>
      <c r="S589" s="12"/>
    </row>
    <row r="590" spans="6:19" s="1" customFormat="1" x14ac:dyDescent="0.25">
      <c r="F590" s="12"/>
      <c r="G590" s="12"/>
      <c r="H590" s="12"/>
      <c r="I590" s="12"/>
      <c r="J590" s="12"/>
      <c r="K590" s="12"/>
      <c r="L590" s="12"/>
      <c r="M590" s="12"/>
      <c r="N590" s="12"/>
      <c r="O590" s="12"/>
      <c r="P590" s="12"/>
      <c r="Q590" s="12"/>
      <c r="R590" s="12"/>
      <c r="S590" s="12"/>
    </row>
    <row r="591" spans="6:19" s="1" customFormat="1" x14ac:dyDescent="0.25">
      <c r="F591" s="12"/>
      <c r="G591" s="12"/>
      <c r="H591" s="12"/>
      <c r="I591" s="12"/>
      <c r="J591" s="12"/>
      <c r="K591" s="12"/>
      <c r="L591" s="12"/>
      <c r="M591" s="12"/>
      <c r="N591" s="12"/>
      <c r="O591" s="12"/>
      <c r="P591" s="12"/>
      <c r="Q591" s="12"/>
      <c r="R591" s="12"/>
      <c r="S591" s="12"/>
    </row>
    <row r="592" spans="6:19" s="1" customFormat="1" x14ac:dyDescent="0.25">
      <c r="F592" s="12"/>
      <c r="G592" s="12"/>
      <c r="H592" s="12"/>
      <c r="I592" s="12"/>
      <c r="J592" s="12"/>
      <c r="K592" s="12"/>
      <c r="L592" s="12"/>
      <c r="M592" s="12"/>
      <c r="N592" s="12"/>
      <c r="O592" s="12"/>
      <c r="P592" s="12"/>
      <c r="Q592" s="12"/>
      <c r="R592" s="12"/>
      <c r="S592" s="12"/>
    </row>
    <row r="593" spans="6:19" s="1" customFormat="1" x14ac:dyDescent="0.25">
      <c r="F593" s="12"/>
      <c r="G593" s="12"/>
      <c r="H593" s="12"/>
      <c r="I593" s="12"/>
      <c r="J593" s="12"/>
      <c r="K593" s="12"/>
      <c r="L593" s="12"/>
      <c r="M593" s="12"/>
      <c r="N593" s="12"/>
      <c r="O593" s="12"/>
      <c r="P593" s="12"/>
      <c r="Q593" s="12"/>
      <c r="R593" s="12"/>
      <c r="S593" s="12"/>
    </row>
    <row r="594" spans="6:19" s="1" customFormat="1" x14ac:dyDescent="0.25">
      <c r="F594" s="12"/>
      <c r="G594" s="12"/>
      <c r="H594" s="12"/>
      <c r="I594" s="12"/>
      <c r="J594" s="12"/>
      <c r="K594" s="12"/>
      <c r="L594" s="12"/>
      <c r="M594" s="12"/>
      <c r="N594" s="12"/>
      <c r="O594" s="12"/>
      <c r="P594" s="12"/>
      <c r="Q594" s="12"/>
      <c r="R594" s="12"/>
      <c r="S594" s="12"/>
    </row>
    <row r="595" spans="6:19" s="1" customFormat="1" x14ac:dyDescent="0.25">
      <c r="F595" s="12"/>
      <c r="G595" s="12"/>
      <c r="H595" s="12"/>
      <c r="I595" s="12"/>
      <c r="J595" s="12"/>
      <c r="K595" s="12"/>
      <c r="L595" s="12"/>
      <c r="M595" s="12"/>
      <c r="N595" s="12"/>
      <c r="O595" s="12"/>
      <c r="P595" s="12"/>
      <c r="Q595" s="12"/>
      <c r="R595" s="12"/>
      <c r="S595" s="12"/>
    </row>
    <row r="596" spans="6:19" s="1" customFormat="1" x14ac:dyDescent="0.25">
      <c r="F596" s="12"/>
      <c r="G596" s="12"/>
      <c r="H596" s="12"/>
      <c r="I596" s="12"/>
      <c r="J596" s="12"/>
      <c r="K596" s="12"/>
      <c r="L596" s="12"/>
      <c r="M596" s="12"/>
      <c r="N596" s="12"/>
      <c r="O596" s="12"/>
      <c r="P596" s="12"/>
      <c r="Q596" s="12"/>
      <c r="R596" s="12"/>
      <c r="S596" s="12"/>
    </row>
    <row r="597" spans="6:19" s="1" customFormat="1" x14ac:dyDescent="0.25">
      <c r="F597" s="12"/>
      <c r="G597" s="12"/>
      <c r="H597" s="12"/>
      <c r="I597" s="12"/>
      <c r="J597" s="12"/>
      <c r="K597" s="12"/>
      <c r="L597" s="12"/>
      <c r="M597" s="12"/>
      <c r="N597" s="12"/>
      <c r="O597" s="12"/>
      <c r="P597" s="12"/>
      <c r="Q597" s="12"/>
      <c r="R597" s="12"/>
      <c r="S597" s="12"/>
    </row>
    <row r="598" spans="6:19" s="1" customFormat="1" x14ac:dyDescent="0.25">
      <c r="F598" s="12"/>
      <c r="G598" s="12"/>
      <c r="H598" s="12"/>
      <c r="I598" s="12"/>
      <c r="J598" s="12"/>
      <c r="K598" s="12"/>
      <c r="L598" s="12"/>
      <c r="M598" s="12"/>
      <c r="N598" s="12"/>
      <c r="O598" s="12"/>
      <c r="P598" s="12"/>
      <c r="Q598" s="12"/>
      <c r="R598" s="12"/>
      <c r="S598" s="12"/>
    </row>
    <row r="599" spans="6:19" s="1" customFormat="1" x14ac:dyDescent="0.25">
      <c r="F599" s="12"/>
      <c r="G599" s="12"/>
      <c r="H599" s="12"/>
      <c r="I599" s="12"/>
      <c r="J599" s="12"/>
      <c r="K599" s="12"/>
      <c r="L599" s="12"/>
      <c r="M599" s="12"/>
      <c r="N599" s="12"/>
      <c r="O599" s="12"/>
      <c r="P599" s="12"/>
      <c r="Q599" s="12"/>
      <c r="R599" s="12"/>
      <c r="S599" s="12"/>
    </row>
    <row r="600" spans="6:19" s="1" customFormat="1" x14ac:dyDescent="0.25">
      <c r="F600" s="12"/>
      <c r="G600" s="12"/>
      <c r="H600" s="12"/>
      <c r="I600" s="12"/>
      <c r="J600" s="12"/>
      <c r="K600" s="12"/>
      <c r="L600" s="12"/>
      <c r="M600" s="12"/>
      <c r="N600" s="12"/>
      <c r="O600" s="12"/>
      <c r="P600" s="12"/>
      <c r="Q600" s="12"/>
      <c r="R600" s="12"/>
      <c r="S600" s="12"/>
    </row>
    <row r="601" spans="6:19" s="1" customFormat="1" x14ac:dyDescent="0.25">
      <c r="F601" s="12"/>
      <c r="G601" s="12"/>
      <c r="H601" s="12"/>
      <c r="I601" s="12"/>
      <c r="J601" s="12"/>
      <c r="K601" s="12"/>
      <c r="L601" s="12"/>
      <c r="M601" s="12"/>
      <c r="N601" s="12"/>
      <c r="O601" s="12"/>
      <c r="P601" s="12"/>
      <c r="Q601" s="12"/>
      <c r="R601" s="12"/>
      <c r="S601" s="12"/>
    </row>
    <row r="602" spans="6:19" s="1" customFormat="1" x14ac:dyDescent="0.25">
      <c r="F602" s="12"/>
      <c r="G602" s="12"/>
      <c r="H602" s="12"/>
      <c r="I602" s="12"/>
      <c r="J602" s="12"/>
      <c r="K602" s="12"/>
      <c r="L602" s="12"/>
      <c r="M602" s="12"/>
      <c r="N602" s="12"/>
      <c r="O602" s="12"/>
      <c r="P602" s="12"/>
      <c r="Q602" s="12"/>
      <c r="R602" s="12"/>
      <c r="S602" s="12"/>
    </row>
    <row r="603" spans="6:19" s="1" customFormat="1" x14ac:dyDescent="0.25">
      <c r="F603" s="12"/>
      <c r="G603" s="12"/>
      <c r="H603" s="12"/>
      <c r="I603" s="12"/>
      <c r="J603" s="12"/>
      <c r="K603" s="12"/>
      <c r="L603" s="12"/>
      <c r="M603" s="12"/>
      <c r="N603" s="12"/>
      <c r="O603" s="12"/>
      <c r="P603" s="12"/>
      <c r="Q603" s="12"/>
      <c r="R603" s="12"/>
      <c r="S603" s="12"/>
    </row>
    <row r="604" spans="6:19" s="1" customFormat="1" x14ac:dyDescent="0.25">
      <c r="F604" s="12"/>
      <c r="G604" s="12"/>
      <c r="H604" s="12"/>
      <c r="I604" s="12"/>
      <c r="J604" s="12"/>
      <c r="K604" s="12"/>
      <c r="L604" s="12"/>
      <c r="M604" s="12"/>
      <c r="N604" s="12"/>
      <c r="O604" s="12"/>
      <c r="P604" s="12"/>
      <c r="Q604" s="12"/>
      <c r="R604" s="12"/>
      <c r="S604" s="12"/>
    </row>
    <row r="605" spans="6:19" s="1" customFormat="1" x14ac:dyDescent="0.25">
      <c r="F605" s="12"/>
      <c r="G605" s="12"/>
      <c r="H605" s="12"/>
      <c r="I605" s="12"/>
      <c r="J605" s="12"/>
      <c r="K605" s="12"/>
      <c r="L605" s="12"/>
      <c r="M605" s="12"/>
      <c r="N605" s="12"/>
      <c r="O605" s="12"/>
      <c r="P605" s="12"/>
      <c r="Q605" s="12"/>
      <c r="R605" s="12"/>
      <c r="S605" s="12"/>
    </row>
    <row r="606" spans="6:19" s="1" customFormat="1" x14ac:dyDescent="0.25">
      <c r="F606" s="12"/>
      <c r="G606" s="12"/>
      <c r="H606" s="12"/>
      <c r="I606" s="12"/>
      <c r="J606" s="12"/>
      <c r="K606" s="12"/>
      <c r="L606" s="12"/>
      <c r="M606" s="12"/>
      <c r="N606" s="12"/>
      <c r="O606" s="12"/>
      <c r="P606" s="12"/>
      <c r="Q606" s="12"/>
      <c r="R606" s="12"/>
      <c r="S606" s="12"/>
    </row>
    <row r="607" spans="6:19" s="1" customFormat="1" x14ac:dyDescent="0.25">
      <c r="F607" s="12"/>
      <c r="G607" s="12"/>
      <c r="H607" s="12"/>
      <c r="I607" s="12"/>
      <c r="J607" s="12"/>
      <c r="K607" s="12"/>
      <c r="L607" s="12"/>
      <c r="M607" s="12"/>
      <c r="N607" s="12"/>
      <c r="O607" s="12"/>
      <c r="P607" s="12"/>
      <c r="Q607" s="12"/>
      <c r="R607" s="12"/>
      <c r="S607" s="12"/>
    </row>
    <row r="608" spans="6:19" s="1" customFormat="1" x14ac:dyDescent="0.25">
      <c r="F608" s="12"/>
      <c r="G608" s="12"/>
      <c r="H608" s="12"/>
      <c r="I608" s="12"/>
      <c r="J608" s="12"/>
      <c r="K608" s="12"/>
      <c r="L608" s="12"/>
      <c r="M608" s="12"/>
      <c r="N608" s="12"/>
      <c r="O608" s="12"/>
      <c r="P608" s="12"/>
      <c r="Q608" s="12"/>
      <c r="R608" s="12"/>
      <c r="S608" s="12"/>
    </row>
    <row r="609" spans="6:19" s="1" customFormat="1" x14ac:dyDescent="0.25">
      <c r="F609" s="12"/>
      <c r="G609" s="12"/>
      <c r="H609" s="12"/>
      <c r="I609" s="12"/>
      <c r="J609" s="12"/>
      <c r="K609" s="12"/>
      <c r="L609" s="12"/>
      <c r="M609" s="12"/>
      <c r="N609" s="12"/>
      <c r="O609" s="12"/>
      <c r="P609" s="12"/>
      <c r="Q609" s="12"/>
      <c r="R609" s="12"/>
      <c r="S609" s="12"/>
    </row>
    <row r="610" spans="6:19" s="1" customFormat="1" x14ac:dyDescent="0.25">
      <c r="F610" s="12"/>
      <c r="G610" s="12"/>
      <c r="H610" s="12"/>
      <c r="I610" s="12"/>
      <c r="J610" s="12"/>
      <c r="K610" s="12"/>
      <c r="L610" s="12"/>
      <c r="M610" s="12"/>
      <c r="N610" s="12"/>
      <c r="O610" s="12"/>
      <c r="P610" s="12"/>
      <c r="Q610" s="12"/>
      <c r="R610" s="12"/>
      <c r="S610" s="12"/>
    </row>
    <row r="611" spans="6:19" s="1" customFormat="1" x14ac:dyDescent="0.25">
      <c r="F611" s="12"/>
      <c r="G611" s="12"/>
      <c r="H611" s="12"/>
      <c r="I611" s="12"/>
      <c r="J611" s="12"/>
      <c r="K611" s="12"/>
      <c r="L611" s="12"/>
      <c r="M611" s="12"/>
      <c r="N611" s="12"/>
      <c r="O611" s="12"/>
      <c r="P611" s="12"/>
      <c r="Q611" s="12"/>
      <c r="R611" s="12"/>
      <c r="S611" s="12"/>
    </row>
    <row r="612" spans="6:19" s="1" customFormat="1" x14ac:dyDescent="0.25">
      <c r="F612" s="12"/>
      <c r="G612" s="12"/>
      <c r="H612" s="12"/>
      <c r="I612" s="12"/>
      <c r="J612" s="12"/>
      <c r="K612" s="12"/>
      <c r="L612" s="12"/>
      <c r="M612" s="12"/>
      <c r="N612" s="12"/>
      <c r="O612" s="12"/>
      <c r="P612" s="12"/>
      <c r="Q612" s="12"/>
      <c r="R612" s="12"/>
      <c r="S612" s="12"/>
    </row>
    <row r="613" spans="6:19" s="1" customFormat="1" x14ac:dyDescent="0.25">
      <c r="F613" s="12"/>
      <c r="G613" s="12"/>
      <c r="H613" s="12"/>
      <c r="I613" s="12"/>
      <c r="J613" s="12"/>
      <c r="K613" s="12"/>
      <c r="L613" s="12"/>
      <c r="M613" s="12"/>
      <c r="N613" s="12"/>
      <c r="O613" s="12"/>
      <c r="P613" s="12"/>
      <c r="Q613" s="12"/>
      <c r="R613" s="12"/>
      <c r="S613" s="12"/>
    </row>
    <row r="614" spans="6:19" s="1" customFormat="1" x14ac:dyDescent="0.25">
      <c r="F614" s="12"/>
      <c r="G614" s="12"/>
      <c r="H614" s="12"/>
      <c r="I614" s="12"/>
      <c r="J614" s="12"/>
      <c r="K614" s="12"/>
      <c r="L614" s="12"/>
      <c r="M614" s="12"/>
      <c r="N614" s="12"/>
      <c r="O614" s="12"/>
      <c r="P614" s="12"/>
      <c r="Q614" s="12"/>
      <c r="R614" s="12"/>
      <c r="S614" s="12"/>
    </row>
    <row r="615" spans="6:19" s="1" customFormat="1" x14ac:dyDescent="0.25">
      <c r="F615" s="12"/>
      <c r="G615" s="12"/>
      <c r="H615" s="12"/>
      <c r="I615" s="12"/>
      <c r="J615" s="12"/>
      <c r="K615" s="12"/>
      <c r="L615" s="12"/>
      <c r="M615" s="12"/>
      <c r="N615" s="12"/>
      <c r="O615" s="12"/>
      <c r="P615" s="12"/>
      <c r="Q615" s="12"/>
      <c r="R615" s="12"/>
      <c r="S615" s="12"/>
    </row>
    <row r="616" spans="6:19" s="1" customFormat="1" x14ac:dyDescent="0.25">
      <c r="F616" s="12"/>
      <c r="G616" s="12"/>
      <c r="H616" s="12"/>
      <c r="I616" s="12"/>
      <c r="J616" s="12"/>
      <c r="K616" s="12"/>
      <c r="L616" s="12"/>
      <c r="M616" s="12"/>
      <c r="N616" s="12"/>
      <c r="O616" s="12"/>
      <c r="P616" s="12"/>
      <c r="Q616" s="12"/>
      <c r="R616" s="12"/>
      <c r="S616" s="12"/>
    </row>
    <row r="617" spans="6:19" s="1" customFormat="1" x14ac:dyDescent="0.25">
      <c r="F617" s="12"/>
      <c r="G617" s="12"/>
      <c r="H617" s="12"/>
      <c r="I617" s="12"/>
      <c r="J617" s="12"/>
      <c r="K617" s="12"/>
      <c r="L617" s="12"/>
      <c r="M617" s="12"/>
      <c r="N617" s="12"/>
      <c r="O617" s="12"/>
      <c r="P617" s="12"/>
      <c r="Q617" s="12"/>
      <c r="R617" s="12"/>
      <c r="S617" s="12"/>
    </row>
    <row r="618" spans="6:19" s="1" customFormat="1" x14ac:dyDescent="0.25">
      <c r="F618" s="12"/>
      <c r="G618" s="12"/>
      <c r="H618" s="12"/>
      <c r="I618" s="12"/>
      <c r="J618" s="12"/>
      <c r="K618" s="12"/>
      <c r="L618" s="12"/>
      <c r="M618" s="12"/>
      <c r="N618" s="12"/>
      <c r="O618" s="12"/>
      <c r="P618" s="12"/>
      <c r="Q618" s="12"/>
      <c r="R618" s="12"/>
      <c r="S618" s="12"/>
    </row>
    <row r="619" spans="6:19" s="1" customFormat="1" x14ac:dyDescent="0.25">
      <c r="F619" s="12"/>
      <c r="G619" s="12"/>
      <c r="H619" s="12"/>
      <c r="I619" s="12"/>
      <c r="J619" s="12"/>
      <c r="K619" s="12"/>
      <c r="L619" s="12"/>
      <c r="M619" s="12"/>
      <c r="N619" s="12"/>
      <c r="O619" s="12"/>
      <c r="P619" s="12"/>
      <c r="Q619" s="12"/>
      <c r="R619" s="12"/>
      <c r="S619" s="12"/>
    </row>
    <row r="620" spans="6:19" s="1" customFormat="1" x14ac:dyDescent="0.25">
      <c r="F620" s="12"/>
      <c r="G620" s="12"/>
      <c r="H620" s="12"/>
      <c r="I620" s="12"/>
      <c r="J620" s="12"/>
      <c r="K620" s="12"/>
      <c r="L620" s="12"/>
      <c r="M620" s="12"/>
      <c r="N620" s="12"/>
      <c r="O620" s="12"/>
      <c r="P620" s="12"/>
      <c r="Q620" s="12"/>
      <c r="R620" s="12"/>
      <c r="S620" s="12"/>
    </row>
    <row r="621" spans="6:19" s="1" customFormat="1" x14ac:dyDescent="0.25">
      <c r="F621" s="12"/>
      <c r="G621" s="12"/>
      <c r="H621" s="12"/>
      <c r="I621" s="12"/>
      <c r="J621" s="12"/>
      <c r="K621" s="12"/>
      <c r="L621" s="12"/>
      <c r="M621" s="12"/>
      <c r="N621" s="12"/>
      <c r="O621" s="12"/>
      <c r="P621" s="12"/>
      <c r="Q621" s="12"/>
      <c r="R621" s="12"/>
      <c r="S621" s="12"/>
    </row>
    <row r="622" spans="6:19" s="1" customFormat="1" x14ac:dyDescent="0.25">
      <c r="F622" s="12"/>
      <c r="G622" s="12"/>
      <c r="H622" s="12"/>
      <c r="I622" s="12"/>
      <c r="J622" s="12"/>
      <c r="K622" s="12"/>
      <c r="L622" s="12"/>
      <c r="M622" s="12"/>
      <c r="N622" s="12"/>
      <c r="O622" s="12"/>
      <c r="P622" s="12"/>
      <c r="Q622" s="12"/>
      <c r="R622" s="12"/>
      <c r="S622" s="12"/>
    </row>
    <row r="623" spans="6:19" s="1" customFormat="1" x14ac:dyDescent="0.25">
      <c r="F623" s="12"/>
      <c r="G623" s="12"/>
      <c r="H623" s="12"/>
      <c r="I623" s="12"/>
      <c r="J623" s="12"/>
      <c r="K623" s="12"/>
      <c r="L623" s="12"/>
      <c r="M623" s="12"/>
      <c r="N623" s="12"/>
      <c r="O623" s="12"/>
      <c r="P623" s="12"/>
      <c r="Q623" s="12"/>
      <c r="R623" s="12"/>
      <c r="S623" s="12"/>
    </row>
    <row r="624" spans="6:19" s="1" customFormat="1" x14ac:dyDescent="0.25">
      <c r="F624" s="12"/>
      <c r="G624" s="12"/>
      <c r="H624" s="12"/>
      <c r="I624" s="12"/>
      <c r="J624" s="12"/>
      <c r="K624" s="12"/>
      <c r="L624" s="12"/>
      <c r="M624" s="12"/>
      <c r="N624" s="12"/>
      <c r="O624" s="12"/>
      <c r="P624" s="12"/>
      <c r="Q624" s="12"/>
      <c r="R624" s="12"/>
      <c r="S624" s="12"/>
    </row>
    <row r="625" spans="6:19" s="1" customFormat="1" x14ac:dyDescent="0.25">
      <c r="F625" s="12"/>
      <c r="G625" s="12"/>
      <c r="H625" s="12"/>
      <c r="I625" s="12"/>
      <c r="J625" s="12"/>
      <c r="K625" s="12"/>
      <c r="L625" s="12"/>
      <c r="M625" s="12"/>
      <c r="N625" s="12"/>
      <c r="O625" s="12"/>
      <c r="P625" s="12"/>
      <c r="Q625" s="12"/>
      <c r="R625" s="12"/>
      <c r="S625" s="12"/>
    </row>
    <row r="626" spans="6:19" s="1" customFormat="1" x14ac:dyDescent="0.25">
      <c r="F626" s="12"/>
      <c r="G626" s="12"/>
      <c r="H626" s="12"/>
      <c r="I626" s="12"/>
      <c r="J626" s="12"/>
      <c r="K626" s="12"/>
      <c r="L626" s="12"/>
      <c r="M626" s="12"/>
      <c r="N626" s="12"/>
      <c r="O626" s="12"/>
      <c r="P626" s="12"/>
      <c r="Q626" s="12"/>
      <c r="R626" s="12"/>
      <c r="S626" s="12"/>
    </row>
    <row r="627" spans="6:19" s="1" customFormat="1" x14ac:dyDescent="0.25">
      <c r="F627" s="12"/>
      <c r="G627" s="12"/>
      <c r="H627" s="12"/>
      <c r="I627" s="12"/>
      <c r="J627" s="12"/>
      <c r="K627" s="12"/>
      <c r="L627" s="12"/>
      <c r="M627" s="12"/>
      <c r="N627" s="12"/>
      <c r="O627" s="12"/>
      <c r="P627" s="12"/>
      <c r="Q627" s="12"/>
      <c r="R627" s="12"/>
      <c r="S627" s="12"/>
    </row>
    <row r="628" spans="6:19" s="1" customFormat="1" x14ac:dyDescent="0.25">
      <c r="F628" s="12"/>
      <c r="G628" s="12"/>
      <c r="H628" s="12"/>
      <c r="I628" s="12"/>
      <c r="J628" s="12"/>
      <c r="K628" s="12"/>
      <c r="L628" s="12"/>
      <c r="M628" s="12"/>
      <c r="N628" s="12"/>
      <c r="O628" s="12"/>
      <c r="P628" s="12"/>
      <c r="Q628" s="12"/>
      <c r="R628" s="12"/>
      <c r="S628" s="12"/>
    </row>
    <row r="629" spans="6:19" s="1" customFormat="1" x14ac:dyDescent="0.25">
      <c r="F629" s="12"/>
      <c r="G629" s="12"/>
      <c r="H629" s="12"/>
      <c r="I629" s="12"/>
      <c r="J629" s="12"/>
      <c r="K629" s="12"/>
      <c r="L629" s="12"/>
      <c r="M629" s="12"/>
      <c r="N629" s="12"/>
      <c r="O629" s="12"/>
      <c r="P629" s="12"/>
      <c r="Q629" s="12"/>
      <c r="R629" s="12"/>
      <c r="S629" s="12"/>
    </row>
    <row r="630" spans="6:19" s="1" customFormat="1" x14ac:dyDescent="0.25">
      <c r="F630" s="12"/>
      <c r="G630" s="12"/>
      <c r="H630" s="12"/>
      <c r="I630" s="12"/>
      <c r="J630" s="12"/>
      <c r="K630" s="12"/>
      <c r="L630" s="12"/>
      <c r="M630" s="12"/>
      <c r="N630" s="12"/>
      <c r="O630" s="12"/>
      <c r="P630" s="12"/>
      <c r="Q630" s="12"/>
      <c r="R630" s="12"/>
      <c r="S630" s="12"/>
    </row>
    <row r="631" spans="6:19" s="1" customFormat="1" x14ac:dyDescent="0.25">
      <c r="F631" s="12"/>
      <c r="G631" s="12"/>
      <c r="H631" s="12"/>
      <c r="I631" s="12"/>
      <c r="J631" s="12"/>
      <c r="K631" s="12"/>
      <c r="L631" s="12"/>
      <c r="M631" s="12"/>
      <c r="N631" s="12"/>
      <c r="O631" s="12"/>
      <c r="P631" s="12"/>
      <c r="Q631" s="12"/>
      <c r="R631" s="12"/>
      <c r="S631" s="12"/>
    </row>
    <row r="632" spans="6:19" s="1" customFormat="1" x14ac:dyDescent="0.25">
      <c r="F632" s="12"/>
      <c r="G632" s="12"/>
      <c r="H632" s="12"/>
      <c r="I632" s="12"/>
      <c r="J632" s="12"/>
      <c r="K632" s="12"/>
      <c r="L632" s="12"/>
      <c r="M632" s="12"/>
      <c r="N632" s="12"/>
      <c r="O632" s="12"/>
      <c r="P632" s="12"/>
      <c r="Q632" s="12"/>
      <c r="R632" s="12"/>
      <c r="S632" s="12"/>
    </row>
    <row r="633" spans="6:19" s="1" customFormat="1" x14ac:dyDescent="0.25">
      <c r="F633" s="12"/>
      <c r="G633" s="12"/>
      <c r="H633" s="12"/>
      <c r="I633" s="12"/>
      <c r="J633" s="12"/>
      <c r="K633" s="12"/>
      <c r="L633" s="12"/>
      <c r="M633" s="12"/>
      <c r="N633" s="12"/>
      <c r="O633" s="12"/>
      <c r="P633" s="12"/>
      <c r="Q633" s="12"/>
      <c r="R633" s="12"/>
      <c r="S633" s="12"/>
    </row>
    <row r="634" spans="6:19" s="1" customFormat="1" x14ac:dyDescent="0.25">
      <c r="F634" s="12"/>
      <c r="G634" s="12"/>
      <c r="H634" s="12"/>
      <c r="I634" s="12"/>
      <c r="J634" s="12"/>
      <c r="K634" s="12"/>
      <c r="L634" s="12"/>
      <c r="M634" s="12"/>
      <c r="N634" s="12"/>
      <c r="O634" s="12"/>
      <c r="P634" s="12"/>
      <c r="Q634" s="12"/>
      <c r="R634" s="12"/>
      <c r="S634" s="12"/>
    </row>
    <row r="635" spans="6:19" s="1" customFormat="1" x14ac:dyDescent="0.25">
      <c r="F635" s="12"/>
      <c r="G635" s="12"/>
      <c r="H635" s="12"/>
      <c r="I635" s="12"/>
      <c r="J635" s="12"/>
      <c r="K635" s="12"/>
      <c r="L635" s="12"/>
      <c r="M635" s="12"/>
      <c r="N635" s="12"/>
      <c r="O635" s="12"/>
      <c r="P635" s="12"/>
      <c r="Q635" s="12"/>
      <c r="R635" s="12"/>
      <c r="S635" s="12"/>
    </row>
    <row r="636" spans="6:19" s="1" customFormat="1" x14ac:dyDescent="0.25">
      <c r="F636" s="12"/>
      <c r="G636" s="12"/>
      <c r="H636" s="12"/>
      <c r="I636" s="12"/>
      <c r="J636" s="12"/>
      <c r="K636" s="12"/>
      <c r="L636" s="12"/>
      <c r="M636" s="12"/>
      <c r="N636" s="12"/>
      <c r="O636" s="12"/>
      <c r="P636" s="12"/>
      <c r="Q636" s="12"/>
      <c r="R636" s="12"/>
      <c r="S636" s="12"/>
    </row>
    <row r="637" spans="6:19" s="1" customFormat="1" x14ac:dyDescent="0.25">
      <c r="F637" s="12"/>
      <c r="G637" s="12"/>
      <c r="H637" s="12"/>
      <c r="I637" s="12"/>
      <c r="J637" s="12"/>
      <c r="K637" s="12"/>
      <c r="L637" s="12"/>
      <c r="M637" s="12"/>
      <c r="N637" s="12"/>
      <c r="O637" s="12"/>
      <c r="P637" s="12"/>
      <c r="Q637" s="12"/>
      <c r="R637" s="12"/>
      <c r="S637" s="12"/>
    </row>
    <row r="638" spans="6:19" s="1" customFormat="1" x14ac:dyDescent="0.25">
      <c r="F638" s="12"/>
      <c r="G638" s="12"/>
      <c r="H638" s="12"/>
      <c r="I638" s="12"/>
      <c r="J638" s="12"/>
      <c r="K638" s="12"/>
      <c r="L638" s="12"/>
      <c r="M638" s="12"/>
      <c r="N638" s="12"/>
      <c r="O638" s="12"/>
      <c r="P638" s="12"/>
      <c r="Q638" s="12"/>
      <c r="R638" s="12"/>
      <c r="S638" s="12"/>
    </row>
    <row r="639" spans="6:19" s="1" customFormat="1" x14ac:dyDescent="0.25">
      <c r="F639" s="12"/>
      <c r="G639" s="12"/>
      <c r="H639" s="12"/>
      <c r="I639" s="12"/>
      <c r="J639" s="12"/>
      <c r="K639" s="12"/>
      <c r="L639" s="12"/>
      <c r="M639" s="12"/>
      <c r="N639" s="12"/>
      <c r="O639" s="12"/>
      <c r="P639" s="12"/>
      <c r="Q639" s="12"/>
      <c r="R639" s="12"/>
      <c r="S639" s="12"/>
    </row>
    <row r="640" spans="6:19" s="1" customFormat="1" x14ac:dyDescent="0.25">
      <c r="F640" s="12"/>
      <c r="G640" s="12"/>
      <c r="H640" s="12"/>
      <c r="I640" s="12"/>
      <c r="J640" s="12"/>
      <c r="K640" s="12"/>
      <c r="L640" s="12"/>
      <c r="M640" s="12"/>
      <c r="N640" s="12"/>
      <c r="O640" s="12"/>
      <c r="P640" s="12"/>
      <c r="Q640" s="12"/>
      <c r="R640" s="12"/>
      <c r="S640" s="12"/>
    </row>
    <row r="641" spans="6:19" s="1" customFormat="1" x14ac:dyDescent="0.25">
      <c r="F641" s="12"/>
      <c r="G641" s="12"/>
      <c r="H641" s="12"/>
      <c r="I641" s="12"/>
      <c r="J641" s="12"/>
      <c r="K641" s="12"/>
      <c r="L641" s="12"/>
      <c r="M641" s="12"/>
      <c r="N641" s="12"/>
      <c r="O641" s="12"/>
      <c r="P641" s="12"/>
      <c r="Q641" s="12"/>
      <c r="R641" s="12"/>
      <c r="S641" s="12"/>
    </row>
    <row r="642" spans="6:19" s="1" customFormat="1" x14ac:dyDescent="0.25">
      <c r="F642" s="12"/>
      <c r="G642" s="12"/>
      <c r="H642" s="12"/>
      <c r="I642" s="12"/>
      <c r="J642" s="12"/>
      <c r="K642" s="12"/>
      <c r="L642" s="12"/>
      <c r="M642" s="12"/>
      <c r="N642" s="12"/>
      <c r="O642" s="12"/>
      <c r="P642" s="12"/>
      <c r="Q642" s="12"/>
      <c r="R642" s="12"/>
      <c r="S642" s="12"/>
    </row>
    <row r="643" spans="6:19" s="1" customFormat="1" x14ac:dyDescent="0.25">
      <c r="F643" s="12"/>
      <c r="G643" s="12"/>
      <c r="H643" s="12"/>
      <c r="I643" s="12"/>
      <c r="J643" s="12"/>
      <c r="K643" s="12"/>
      <c r="L643" s="12"/>
      <c r="M643" s="12"/>
      <c r="N643" s="12"/>
      <c r="O643" s="12"/>
      <c r="P643" s="12"/>
      <c r="Q643" s="12"/>
      <c r="R643" s="12"/>
      <c r="S643" s="12"/>
    </row>
    <row r="644" spans="6:19" s="1" customFormat="1" x14ac:dyDescent="0.25">
      <c r="F644" s="12"/>
      <c r="G644" s="12"/>
      <c r="H644" s="12"/>
      <c r="I644" s="12"/>
      <c r="J644" s="12"/>
      <c r="K644" s="12"/>
      <c r="L644" s="12"/>
      <c r="M644" s="12"/>
      <c r="N644" s="12"/>
      <c r="O644" s="12"/>
      <c r="P644" s="12"/>
      <c r="Q644" s="12"/>
      <c r="R644" s="12"/>
      <c r="S644" s="12"/>
    </row>
    <row r="645" spans="6:19" s="1" customFormat="1" x14ac:dyDescent="0.25">
      <c r="F645" s="12"/>
      <c r="G645" s="12"/>
      <c r="H645" s="12"/>
      <c r="I645" s="12"/>
      <c r="J645" s="12"/>
      <c r="K645" s="12"/>
      <c r="L645" s="12"/>
      <c r="M645" s="12"/>
      <c r="N645" s="12"/>
      <c r="O645" s="12"/>
      <c r="P645" s="12"/>
      <c r="Q645" s="12"/>
      <c r="R645" s="12"/>
      <c r="S645" s="12"/>
    </row>
    <row r="646" spans="6:19" s="1" customFormat="1" x14ac:dyDescent="0.25">
      <c r="F646" s="12"/>
      <c r="G646" s="12"/>
      <c r="H646" s="12"/>
      <c r="I646" s="12"/>
      <c r="J646" s="12"/>
      <c r="K646" s="12"/>
      <c r="L646" s="12"/>
      <c r="M646" s="12"/>
      <c r="N646" s="12"/>
      <c r="O646" s="12"/>
      <c r="P646" s="12"/>
      <c r="Q646" s="12"/>
      <c r="R646" s="12"/>
      <c r="S646" s="12"/>
    </row>
    <row r="647" spans="6:19" s="1" customFormat="1" x14ac:dyDescent="0.25">
      <c r="F647" s="12"/>
      <c r="G647" s="12"/>
      <c r="H647" s="12"/>
      <c r="I647" s="12"/>
      <c r="J647" s="12"/>
      <c r="K647" s="12"/>
      <c r="L647" s="12"/>
      <c r="M647" s="12"/>
      <c r="N647" s="12"/>
      <c r="O647" s="12"/>
      <c r="P647" s="12"/>
      <c r="Q647" s="12"/>
      <c r="R647" s="12"/>
      <c r="S647" s="12"/>
    </row>
    <row r="648" spans="6:19" s="1" customFormat="1" x14ac:dyDescent="0.25">
      <c r="F648" s="12"/>
      <c r="G648" s="12"/>
      <c r="H648" s="12"/>
      <c r="I648" s="12"/>
      <c r="J648" s="12"/>
      <c r="K648" s="12"/>
      <c r="L648" s="12"/>
      <c r="M648" s="12"/>
      <c r="N648" s="12"/>
      <c r="O648" s="12"/>
      <c r="P648" s="12"/>
      <c r="Q648" s="12"/>
      <c r="R648" s="12"/>
      <c r="S648" s="12"/>
    </row>
    <row r="649" spans="6:19" s="1" customFormat="1" x14ac:dyDescent="0.25">
      <c r="F649" s="12"/>
      <c r="G649" s="12"/>
      <c r="H649" s="12"/>
      <c r="I649" s="12"/>
      <c r="J649" s="12"/>
      <c r="K649" s="12"/>
      <c r="L649" s="12"/>
      <c r="M649" s="12"/>
      <c r="N649" s="12"/>
      <c r="O649" s="12"/>
      <c r="P649" s="12"/>
      <c r="Q649" s="12"/>
      <c r="R649" s="12"/>
      <c r="S649" s="12"/>
    </row>
    <row r="650" spans="6:19" s="1" customFormat="1" x14ac:dyDescent="0.25">
      <c r="F650" s="12"/>
      <c r="G650" s="12"/>
      <c r="H650" s="12"/>
      <c r="I650" s="12"/>
      <c r="J650" s="12"/>
      <c r="K650" s="12"/>
      <c r="L650" s="12"/>
      <c r="M650" s="12"/>
      <c r="N650" s="12"/>
      <c r="O650" s="12"/>
      <c r="P650" s="12"/>
      <c r="Q650" s="12"/>
      <c r="R650" s="12"/>
      <c r="S650" s="12"/>
    </row>
    <row r="651" spans="6:19" s="1" customFormat="1" x14ac:dyDescent="0.25">
      <c r="F651" s="12"/>
      <c r="G651" s="12"/>
      <c r="H651" s="12"/>
      <c r="I651" s="12"/>
      <c r="J651" s="12"/>
      <c r="K651" s="12"/>
      <c r="L651" s="12"/>
      <c r="M651" s="12"/>
      <c r="N651" s="12"/>
      <c r="O651" s="12"/>
      <c r="P651" s="12"/>
      <c r="Q651" s="12"/>
      <c r="R651" s="12"/>
      <c r="S651" s="12"/>
    </row>
    <row r="652" spans="6:19" s="1" customFormat="1" x14ac:dyDescent="0.25">
      <c r="F652" s="12"/>
      <c r="G652" s="12"/>
      <c r="H652" s="12"/>
      <c r="I652" s="12"/>
      <c r="J652" s="12"/>
      <c r="K652" s="12"/>
      <c r="L652" s="12"/>
      <c r="M652" s="12"/>
      <c r="N652" s="12"/>
      <c r="O652" s="12"/>
      <c r="P652" s="12"/>
      <c r="Q652" s="12"/>
      <c r="R652" s="12"/>
      <c r="S652" s="12"/>
    </row>
    <row r="653" spans="6:19" s="1" customFormat="1" x14ac:dyDescent="0.25">
      <c r="F653" s="12"/>
      <c r="G653" s="12"/>
      <c r="H653" s="12"/>
      <c r="I653" s="12"/>
      <c r="J653" s="12"/>
      <c r="K653" s="12"/>
      <c r="L653" s="12"/>
      <c r="M653" s="12"/>
      <c r="N653" s="12"/>
      <c r="O653" s="12"/>
      <c r="P653" s="12"/>
      <c r="Q653" s="12"/>
      <c r="R653" s="12"/>
      <c r="S653" s="12"/>
    </row>
    <row r="654" spans="6:19" s="1" customFormat="1" x14ac:dyDescent="0.25">
      <c r="F654" s="12"/>
      <c r="G654" s="12"/>
      <c r="H654" s="12"/>
      <c r="I654" s="12"/>
      <c r="J654" s="12"/>
      <c r="K654" s="12"/>
      <c r="L654" s="12"/>
      <c r="M654" s="12"/>
      <c r="N654" s="12"/>
      <c r="O654" s="12"/>
      <c r="P654" s="12"/>
      <c r="Q654" s="12"/>
      <c r="R654" s="12"/>
      <c r="S654" s="12"/>
    </row>
    <row r="655" spans="6:19" s="1" customFormat="1" x14ac:dyDescent="0.25">
      <c r="F655" s="12"/>
      <c r="G655" s="12"/>
      <c r="H655" s="12"/>
      <c r="I655" s="12"/>
      <c r="J655" s="12"/>
      <c r="K655" s="12"/>
      <c r="L655" s="12"/>
      <c r="M655" s="12"/>
      <c r="N655" s="12"/>
      <c r="O655" s="12"/>
      <c r="P655" s="12"/>
      <c r="Q655" s="12"/>
      <c r="R655" s="12"/>
      <c r="S655" s="12"/>
    </row>
    <row r="656" spans="6:19" s="1" customFormat="1" x14ac:dyDescent="0.25">
      <c r="F656" s="12"/>
      <c r="G656" s="12"/>
      <c r="H656" s="12"/>
      <c r="I656" s="12"/>
      <c r="J656" s="12"/>
      <c r="K656" s="12"/>
      <c r="L656" s="12"/>
      <c r="M656" s="12"/>
      <c r="N656" s="12"/>
      <c r="O656" s="12"/>
      <c r="P656" s="12"/>
      <c r="Q656" s="12"/>
      <c r="R656" s="12"/>
      <c r="S656" s="12"/>
    </row>
    <row r="657" spans="6:19" s="1" customFormat="1" x14ac:dyDescent="0.25">
      <c r="F657" s="12"/>
      <c r="G657" s="12"/>
      <c r="H657" s="12"/>
      <c r="I657" s="12"/>
      <c r="J657" s="12"/>
      <c r="K657" s="12"/>
      <c r="L657" s="12"/>
      <c r="M657" s="12"/>
      <c r="N657" s="12"/>
      <c r="O657" s="12"/>
      <c r="P657" s="12"/>
      <c r="Q657" s="12"/>
      <c r="R657" s="12"/>
      <c r="S657" s="12"/>
    </row>
    <row r="658" spans="6:19" s="1" customFormat="1" x14ac:dyDescent="0.25">
      <c r="F658" s="12"/>
      <c r="G658" s="12"/>
      <c r="H658" s="12"/>
      <c r="I658" s="12"/>
      <c r="J658" s="12"/>
      <c r="K658" s="12"/>
      <c r="L658" s="12"/>
      <c r="M658" s="12"/>
      <c r="N658" s="12"/>
      <c r="O658" s="12"/>
      <c r="P658" s="12"/>
      <c r="Q658" s="12"/>
      <c r="R658" s="12"/>
      <c r="S658" s="12"/>
    </row>
    <row r="659" spans="6:19" s="1" customFormat="1" x14ac:dyDescent="0.25">
      <c r="F659" s="12"/>
      <c r="G659" s="12"/>
      <c r="H659" s="12"/>
      <c r="I659" s="12"/>
      <c r="J659" s="12"/>
      <c r="K659" s="12"/>
      <c r="L659" s="12"/>
      <c r="M659" s="12"/>
      <c r="N659" s="12"/>
      <c r="O659" s="12"/>
      <c r="P659" s="12"/>
      <c r="Q659" s="12"/>
      <c r="R659" s="12"/>
      <c r="S659" s="12"/>
    </row>
    <row r="660" spans="6:19" s="1" customFormat="1" x14ac:dyDescent="0.25">
      <c r="F660" s="12"/>
      <c r="G660" s="12"/>
      <c r="H660" s="12"/>
      <c r="I660" s="12"/>
      <c r="J660" s="12"/>
      <c r="K660" s="12"/>
      <c r="L660" s="12"/>
      <c r="M660" s="12"/>
      <c r="N660" s="12"/>
      <c r="O660" s="12"/>
      <c r="P660" s="12"/>
      <c r="Q660" s="12"/>
      <c r="R660" s="12"/>
      <c r="S660" s="12"/>
    </row>
    <row r="661" spans="6:19" s="1" customFormat="1" x14ac:dyDescent="0.25">
      <c r="F661" s="12"/>
      <c r="G661" s="12"/>
      <c r="H661" s="12"/>
      <c r="I661" s="12"/>
      <c r="J661" s="12"/>
      <c r="K661" s="12"/>
      <c r="L661" s="12"/>
      <c r="M661" s="12"/>
      <c r="N661" s="12"/>
      <c r="O661" s="12"/>
      <c r="P661" s="12"/>
      <c r="Q661" s="12"/>
      <c r="R661" s="12"/>
      <c r="S661" s="12"/>
    </row>
    <row r="662" spans="6:19" s="1" customFormat="1" x14ac:dyDescent="0.25">
      <c r="F662" s="12"/>
      <c r="G662" s="12"/>
      <c r="H662" s="12"/>
      <c r="I662" s="12"/>
      <c r="J662" s="12"/>
      <c r="K662" s="12"/>
      <c r="L662" s="12"/>
      <c r="M662" s="12"/>
      <c r="N662" s="12"/>
      <c r="O662" s="12"/>
      <c r="P662" s="12"/>
      <c r="Q662" s="12"/>
      <c r="R662" s="12"/>
      <c r="S662" s="12"/>
    </row>
    <row r="663" spans="6:19" s="1" customFormat="1" x14ac:dyDescent="0.25">
      <c r="F663" s="12"/>
      <c r="G663" s="12"/>
      <c r="H663" s="12"/>
      <c r="I663" s="12"/>
      <c r="J663" s="12"/>
      <c r="K663" s="12"/>
      <c r="L663" s="12"/>
      <c r="M663" s="12"/>
      <c r="N663" s="12"/>
      <c r="O663" s="12"/>
      <c r="P663" s="12"/>
      <c r="Q663" s="12"/>
      <c r="R663" s="12"/>
      <c r="S663" s="12"/>
    </row>
    <row r="664" spans="6:19" s="1" customFormat="1" x14ac:dyDescent="0.25">
      <c r="F664" s="12"/>
      <c r="G664" s="12"/>
      <c r="H664" s="12"/>
      <c r="I664" s="12"/>
      <c r="J664" s="12"/>
      <c r="K664" s="12"/>
      <c r="L664" s="12"/>
      <c r="M664" s="12"/>
      <c r="N664" s="12"/>
      <c r="O664" s="12"/>
      <c r="P664" s="12"/>
      <c r="Q664" s="12"/>
      <c r="R664" s="12"/>
      <c r="S664" s="12"/>
    </row>
    <row r="665" spans="6:19" s="1" customFormat="1" x14ac:dyDescent="0.25">
      <c r="F665" s="12"/>
      <c r="G665" s="12"/>
      <c r="H665" s="12"/>
      <c r="I665" s="12"/>
      <c r="J665" s="12"/>
      <c r="K665" s="12"/>
      <c r="L665" s="12"/>
      <c r="M665" s="12"/>
      <c r="N665" s="12"/>
      <c r="O665" s="12"/>
      <c r="P665" s="12"/>
      <c r="Q665" s="12"/>
      <c r="R665" s="12"/>
      <c r="S665" s="12"/>
    </row>
    <row r="666" spans="6:19" s="1" customFormat="1" x14ac:dyDescent="0.25">
      <c r="F666" s="12"/>
      <c r="G666" s="12"/>
      <c r="H666" s="12"/>
      <c r="I666" s="12"/>
      <c r="J666" s="12"/>
      <c r="K666" s="12"/>
      <c r="L666" s="12"/>
      <c r="M666" s="12"/>
      <c r="N666" s="12"/>
      <c r="O666" s="12"/>
      <c r="P666" s="12"/>
      <c r="Q666" s="12"/>
      <c r="R666" s="12"/>
      <c r="S666" s="12"/>
    </row>
    <row r="667" spans="6:19" s="1" customFormat="1" x14ac:dyDescent="0.25">
      <c r="F667" s="12"/>
      <c r="G667" s="12"/>
      <c r="H667" s="12"/>
      <c r="I667" s="12"/>
      <c r="J667" s="12"/>
      <c r="K667" s="12"/>
      <c r="L667" s="12"/>
      <c r="M667" s="12"/>
      <c r="N667" s="12"/>
      <c r="O667" s="12"/>
      <c r="P667" s="12"/>
      <c r="Q667" s="12"/>
      <c r="R667" s="12"/>
      <c r="S667" s="12"/>
    </row>
    <row r="668" spans="6:19" s="1" customFormat="1" x14ac:dyDescent="0.25">
      <c r="F668" s="12"/>
      <c r="G668" s="12"/>
      <c r="H668" s="12"/>
      <c r="I668" s="12"/>
      <c r="J668" s="12"/>
      <c r="K668" s="12"/>
      <c r="L668" s="12"/>
      <c r="M668" s="12"/>
      <c r="N668" s="12"/>
      <c r="O668" s="12"/>
      <c r="P668" s="12"/>
      <c r="Q668" s="12"/>
      <c r="R668" s="12"/>
      <c r="S668" s="12"/>
    </row>
    <row r="669" spans="6:19" s="1" customFormat="1" x14ac:dyDescent="0.25">
      <c r="F669" s="12"/>
      <c r="G669" s="12"/>
      <c r="H669" s="12"/>
      <c r="I669" s="12"/>
      <c r="J669" s="12"/>
      <c r="K669" s="12"/>
      <c r="L669" s="12"/>
      <c r="M669" s="12"/>
      <c r="N669" s="12"/>
      <c r="O669" s="12"/>
      <c r="P669" s="12"/>
      <c r="Q669" s="12"/>
      <c r="R669" s="12"/>
      <c r="S669" s="12"/>
    </row>
    <row r="670" spans="6:19" s="1" customFormat="1" x14ac:dyDescent="0.25">
      <c r="F670" s="12"/>
      <c r="G670" s="12"/>
      <c r="H670" s="12"/>
      <c r="I670" s="12"/>
      <c r="J670" s="12"/>
      <c r="K670" s="12"/>
      <c r="L670" s="12"/>
      <c r="M670" s="12"/>
      <c r="N670" s="12"/>
      <c r="O670" s="12"/>
      <c r="P670" s="12"/>
      <c r="Q670" s="12"/>
      <c r="R670" s="12"/>
      <c r="S670" s="12"/>
    </row>
    <row r="671" spans="6:19" s="1" customFormat="1" x14ac:dyDescent="0.25">
      <c r="F671" s="12"/>
      <c r="G671" s="12"/>
      <c r="H671" s="12"/>
      <c r="I671" s="12"/>
      <c r="J671" s="12"/>
      <c r="K671" s="12"/>
      <c r="L671" s="12"/>
      <c r="M671" s="12"/>
      <c r="N671" s="12"/>
      <c r="O671" s="12"/>
      <c r="P671" s="12"/>
      <c r="Q671" s="12"/>
      <c r="R671" s="12"/>
      <c r="S671" s="12"/>
    </row>
    <row r="672" spans="6:19" s="1" customFormat="1" x14ac:dyDescent="0.25">
      <c r="F672" s="12"/>
      <c r="G672" s="12"/>
      <c r="H672" s="12"/>
      <c r="I672" s="12"/>
      <c r="J672" s="12"/>
      <c r="K672" s="12"/>
      <c r="L672" s="12"/>
      <c r="M672" s="12"/>
      <c r="N672" s="12"/>
      <c r="O672" s="12"/>
      <c r="P672" s="12"/>
      <c r="Q672" s="12"/>
      <c r="R672" s="12"/>
      <c r="S672" s="12"/>
    </row>
    <row r="673" spans="6:19" s="1" customFormat="1" x14ac:dyDescent="0.25">
      <c r="F673" s="12"/>
      <c r="G673" s="12"/>
      <c r="H673" s="12"/>
      <c r="I673" s="12"/>
      <c r="J673" s="12"/>
      <c r="K673" s="12"/>
      <c r="L673" s="12"/>
      <c r="M673" s="12"/>
      <c r="N673" s="12"/>
      <c r="O673" s="12"/>
      <c r="P673" s="12"/>
      <c r="Q673" s="12"/>
      <c r="R673" s="12"/>
      <c r="S673" s="12"/>
    </row>
  </sheetData>
  <sheetProtection algorithmName="SHA-512" hashValue="FVrRe6KmZqEdu8MN5F5mvuEd5NOG6EPzh496hTIGS3qRE4hQub+C8FHAQRczAXooZtIRfQbwjt/1vfIrF+5KPQ==" saltValue="r9wa/poxXEn/4QKSVxBNTw==" spinCount="100000" sheet="1" formatCells="0" formatColumns="0" formatRows="0" insertColumns="0" insertRows="0" insertHyperlinks="0" deleteColumns="0" deleteRows="0" sort="0" autoFilter="0" pivotTables="0"/>
  <mergeCells count="72">
    <mergeCell ref="M30:N31"/>
    <mergeCell ref="M32:N33"/>
    <mergeCell ref="M34:N35"/>
    <mergeCell ref="M36:N37"/>
    <mergeCell ref="M38:N39"/>
    <mergeCell ref="M40:N41"/>
    <mergeCell ref="L12:N12"/>
    <mergeCell ref="B15:C15"/>
    <mergeCell ref="B16:C16"/>
    <mergeCell ref="C1:H1"/>
    <mergeCell ref="F6:H6"/>
    <mergeCell ref="C5:D5"/>
    <mergeCell ref="C6:D6"/>
    <mergeCell ref="F5:H5"/>
    <mergeCell ref="F3:H3"/>
    <mergeCell ref="B4:D4"/>
    <mergeCell ref="F4:H4"/>
    <mergeCell ref="B2:H2"/>
    <mergeCell ref="B9:C9"/>
    <mergeCell ref="B10:C10"/>
    <mergeCell ref="B12:C12"/>
    <mergeCell ref="B20:C20"/>
    <mergeCell ref="F20:G20"/>
    <mergeCell ref="F12:G12"/>
    <mergeCell ref="F13:G13"/>
    <mergeCell ref="F14:G14"/>
    <mergeCell ref="B19:C19"/>
    <mergeCell ref="B17:C17"/>
    <mergeCell ref="F18:G18"/>
    <mergeCell ref="F19:G19"/>
    <mergeCell ref="F15:G15"/>
    <mergeCell ref="F16:G16"/>
    <mergeCell ref="B3:D3"/>
    <mergeCell ref="H16:I16"/>
    <mergeCell ref="H17:I17"/>
    <mergeCell ref="H18:I18"/>
    <mergeCell ref="H11:I11"/>
    <mergeCell ref="H12:I12"/>
    <mergeCell ref="H13:I13"/>
    <mergeCell ref="H14:I14"/>
    <mergeCell ref="H15:I15"/>
    <mergeCell ref="D9:I9"/>
    <mergeCell ref="H10:I10"/>
    <mergeCell ref="F10:G10"/>
    <mergeCell ref="F11:G11"/>
    <mergeCell ref="B13:C13"/>
    <mergeCell ref="B14:C14"/>
    <mergeCell ref="B18:C18"/>
    <mergeCell ref="H19:I19"/>
    <mergeCell ref="D20:E20"/>
    <mergeCell ref="F17:G17"/>
    <mergeCell ref="D15:E15"/>
    <mergeCell ref="D16:E16"/>
    <mergeCell ref="D17:E17"/>
    <mergeCell ref="D18:E18"/>
    <mergeCell ref="D19:E19"/>
    <mergeCell ref="F7:H7"/>
    <mergeCell ref="B7:D7"/>
    <mergeCell ref="A44:A45"/>
    <mergeCell ref="B44:B45"/>
    <mergeCell ref="C44:F44"/>
    <mergeCell ref="A23:D23"/>
    <mergeCell ref="E23:F23"/>
    <mergeCell ref="A24:A25"/>
    <mergeCell ref="B24:B25"/>
    <mergeCell ref="C24:F24"/>
    <mergeCell ref="H20:I20"/>
    <mergeCell ref="D10:E10"/>
    <mergeCell ref="D11:E11"/>
    <mergeCell ref="D12:E12"/>
    <mergeCell ref="D13:E13"/>
    <mergeCell ref="D14:E14"/>
  </mergeCells>
  <dataValidations count="8">
    <dataValidation type="list" allowBlank="1" showInputMessage="1" showErrorMessage="1" sqref="E23:F23">
      <formula1>$BJ$1:$BJ$3</formula1>
    </dataValidation>
    <dataValidation type="list" allowBlank="1" showInputMessage="1" showErrorMessage="1" sqref="I5">
      <formula1>$AB$20:$AB$22</formula1>
    </dataValidation>
    <dataValidation type="list" allowBlank="1" showInputMessage="1" showErrorMessage="1" sqref="E5">
      <formula1>$AD$2:$AD$10</formula1>
    </dataValidation>
    <dataValidation type="list" allowBlank="1" showInputMessage="1" showErrorMessage="1" sqref="E6">
      <formula1>$AE$2:$AE$9</formula1>
    </dataValidation>
    <dataValidation type="list" allowBlank="1" showInputMessage="1" showErrorMessage="1" sqref="E3 I4 I2 E7">
      <formula1>$AB$2:$AB$4</formula1>
    </dataValidation>
    <dataValidation type="list" allowBlank="1" showInputMessage="1" showErrorMessage="1" sqref="I3">
      <formula1>$AC$6:$AC$19</formula1>
    </dataValidation>
    <dataValidation type="list" allowBlank="1" showInputMessage="1" showErrorMessage="1" sqref="E4">
      <formula1>$AB$23:$AB$26</formula1>
    </dataValidation>
    <dataValidation type="list" allowBlank="1" showInputMessage="1" showErrorMessage="1" sqref="I7">
      <formula1>$AD$11:$AD$16</formula1>
    </dataValidation>
  </dataValidations>
  <hyperlinks>
    <hyperlink ref="M40" r:id="rId1"/>
  </hyperlinks>
  <pageMargins left="0.7" right="0.7" top="0.75" bottom="0.75" header="0.3" footer="0.3"/>
  <pageSetup paperSize="5" scale="80" orientation="landscape" verticalDpi="300" r:id="rId2"/>
  <customProperties>
    <customPr name="DVSECTIONID" r:id="rId3"/>
  </customPropertie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1:GH1137"/>
  <sheetViews>
    <sheetView zoomScale="90" zoomScaleNormal="90" workbookViewId="0">
      <pane xSplit="8" ySplit="6" topLeftCell="I7" activePane="bottomRight" state="frozen"/>
      <selection activeCell="B5" sqref="B5"/>
      <selection pane="topRight" activeCell="B5" sqref="B5"/>
      <selection pane="bottomLeft" activeCell="B5" sqref="B5"/>
      <selection pane="bottomRight" activeCell="K9" sqref="K9"/>
    </sheetView>
  </sheetViews>
  <sheetFormatPr defaultRowHeight="15" x14ac:dyDescent="0.25"/>
  <cols>
    <col min="1" max="1" width="6.42578125" style="6" hidden="1" customWidth="1" collapsed="1"/>
    <col min="2" max="2" width="3.42578125" style="62" customWidth="1" collapsed="1"/>
    <col min="3" max="3" width="17" style="66" customWidth="1" collapsed="1"/>
    <col min="4" max="4" width="7.7109375" style="66" customWidth="1" collapsed="1"/>
    <col min="5" max="5" width="9.28515625" style="66" customWidth="1" collapsed="1"/>
    <col min="6" max="6" width="8.85546875" style="5" customWidth="1" collapsed="1"/>
    <col min="7" max="14" width="7.5703125" style="5" customWidth="1" collapsed="1"/>
    <col min="15" max="15" width="13" style="5" customWidth="1" collapsed="1"/>
    <col min="16" max="20" width="7.7109375" style="5" customWidth="1" collapsed="1"/>
    <col min="21" max="21" width="7.5703125" style="5" customWidth="1" collapsed="1"/>
    <col min="22" max="22" width="8.28515625" style="5" customWidth="1" collapsed="1"/>
    <col min="23" max="24" width="7.85546875" style="5" customWidth="1" collapsed="1"/>
    <col min="25" max="25" width="7" style="5" customWidth="1" collapsed="1"/>
    <col min="26" max="26" width="7.42578125" style="5" customWidth="1" collapsed="1"/>
    <col min="27" max="27" width="11.140625" style="5" customWidth="1" collapsed="1"/>
    <col min="28" max="28" width="13" style="5" customWidth="1" collapsed="1"/>
    <col min="29" max="29" width="9.140625" style="5" collapsed="1"/>
    <col min="30" max="30" width="11.5703125" style="5" customWidth="1" collapsed="1"/>
    <col min="31" max="31" width="8.28515625" style="62" hidden="1" customWidth="1" collapsed="1"/>
    <col min="32" max="43" width="9.140625" style="1" collapsed="1"/>
    <col min="44" max="44" width="0" style="1" hidden="1" customWidth="1" collapsed="1"/>
    <col min="45" max="46" width="9.140625" style="1" hidden="1" customWidth="1" collapsed="1"/>
    <col min="47" max="47" width="0" style="1" hidden="1" customWidth="1" collapsed="1"/>
    <col min="48" max="50" width="9.140625" style="1" collapsed="1"/>
    <col min="51" max="51" width="8.85546875" style="1" customWidth="1" collapsed="1"/>
    <col min="52" max="53" width="9.140625" style="1" hidden="1" customWidth="1" collapsed="1"/>
    <col min="54" max="54" width="0" style="1" hidden="1" customWidth="1" collapsed="1"/>
    <col min="55" max="154" width="9.140625" style="1" collapsed="1"/>
    <col min="155" max="155" width="9" style="1" customWidth="1" collapsed="1"/>
    <col min="156" max="156" width="9.140625" style="1" hidden="1" customWidth="1" collapsed="1"/>
    <col min="157" max="189" width="9.140625" style="1" collapsed="1"/>
    <col min="190" max="16384" width="9.140625" style="6" collapsed="1"/>
  </cols>
  <sheetData>
    <row r="1" spans="1:189" s="27" customFormat="1" ht="21" customHeight="1" x14ac:dyDescent="0.25">
      <c r="B1" s="520" t="s">
        <v>354</v>
      </c>
      <c r="C1" s="520"/>
      <c r="D1" s="520"/>
      <c r="E1" s="521" t="str">
        <f>UPPER(IF(Master!D10="","",Master!D10))</f>
        <v>ROOPARAM</v>
      </c>
      <c r="F1" s="521"/>
      <c r="G1" s="521"/>
      <c r="H1" s="521"/>
      <c r="I1" s="521"/>
      <c r="J1" s="521"/>
      <c r="K1" s="30"/>
      <c r="L1" s="30"/>
      <c r="M1" s="30"/>
      <c r="N1" s="30"/>
      <c r="O1" s="30"/>
      <c r="P1" s="30"/>
      <c r="Q1" s="30"/>
      <c r="R1" s="30"/>
      <c r="S1" s="30"/>
      <c r="T1" s="30"/>
      <c r="U1" s="30"/>
      <c r="V1" s="30"/>
      <c r="W1" s="30"/>
      <c r="X1" s="30"/>
      <c r="Y1" s="30"/>
      <c r="Z1" s="30"/>
      <c r="AA1" s="30"/>
      <c r="AB1" s="30"/>
      <c r="AC1" s="30"/>
      <c r="AD1" s="30"/>
      <c r="AE1" s="30"/>
    </row>
    <row r="2" spans="1:189" ht="37.5" customHeight="1" x14ac:dyDescent="0.25">
      <c r="B2" s="519" t="s">
        <v>353</v>
      </c>
      <c r="C2" s="519"/>
      <c r="D2" s="519"/>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row>
    <row r="3" spans="1:189" s="27" customFormat="1" ht="25.5" customHeight="1" x14ac:dyDescent="0.25">
      <c r="B3" s="519"/>
      <c r="C3" s="519"/>
      <c r="D3" s="519"/>
      <c r="E3" s="513">
        <v>4200</v>
      </c>
      <c r="F3" s="513"/>
      <c r="G3" s="30"/>
      <c r="H3" s="30"/>
      <c r="I3" s="514" t="s">
        <v>352</v>
      </c>
      <c r="J3" s="514"/>
      <c r="K3" s="514"/>
      <c r="L3" s="514"/>
      <c r="M3" s="514"/>
      <c r="N3" s="514"/>
      <c r="O3" s="514"/>
      <c r="P3" s="30"/>
      <c r="Q3" s="30"/>
      <c r="R3" s="30"/>
      <c r="S3" s="30"/>
      <c r="T3" s="30"/>
      <c r="U3" s="30"/>
      <c r="V3" s="30"/>
      <c r="W3" s="30"/>
      <c r="X3" s="30"/>
      <c r="Y3" s="30"/>
      <c r="Z3" s="30"/>
      <c r="AA3" s="30"/>
      <c r="AB3" s="30"/>
      <c r="AC3" s="30"/>
      <c r="AD3" s="30"/>
      <c r="AE3" s="30"/>
    </row>
    <row r="4" spans="1:189" s="22" customFormat="1" ht="14.25" customHeight="1" thickBot="1" x14ac:dyDescent="0.3">
      <c r="A4" s="24"/>
      <c r="B4" s="60"/>
      <c r="C4" s="36">
        <v>2</v>
      </c>
      <c r="D4" s="36">
        <v>3</v>
      </c>
      <c r="E4" s="36">
        <v>4</v>
      </c>
      <c r="F4" s="36">
        <v>5</v>
      </c>
      <c r="G4" s="36">
        <v>6</v>
      </c>
      <c r="H4" s="36">
        <v>7</v>
      </c>
      <c r="I4" s="36">
        <v>8</v>
      </c>
      <c r="J4" s="36">
        <v>9</v>
      </c>
      <c r="K4" s="36">
        <v>10</v>
      </c>
      <c r="L4" s="36">
        <v>11</v>
      </c>
      <c r="M4" s="36">
        <v>12</v>
      </c>
      <c r="N4" s="36">
        <v>13</v>
      </c>
      <c r="O4" s="36">
        <v>14</v>
      </c>
      <c r="P4" s="36">
        <v>15</v>
      </c>
      <c r="Q4" s="36">
        <v>16</v>
      </c>
      <c r="R4" s="36">
        <v>17</v>
      </c>
      <c r="S4" s="36">
        <v>18</v>
      </c>
      <c r="T4" s="36">
        <v>19</v>
      </c>
      <c r="U4" s="36">
        <v>20</v>
      </c>
      <c r="V4" s="36">
        <v>21</v>
      </c>
      <c r="W4" s="36">
        <v>22</v>
      </c>
      <c r="X4" s="36">
        <v>23</v>
      </c>
      <c r="Y4" s="36">
        <v>24</v>
      </c>
      <c r="Z4" s="36">
        <v>25</v>
      </c>
      <c r="AA4" s="36">
        <v>26</v>
      </c>
      <c r="AB4" s="36">
        <v>27</v>
      </c>
      <c r="AC4" s="36">
        <v>28</v>
      </c>
      <c r="AD4" s="36">
        <v>29</v>
      </c>
      <c r="AE4" s="36">
        <v>31</v>
      </c>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row>
    <row r="5" spans="1:189" s="19" customFormat="1" ht="46.5" customHeight="1" x14ac:dyDescent="0.25">
      <c r="A5" s="25"/>
      <c r="B5" s="523" t="s">
        <v>152</v>
      </c>
      <c r="C5" s="517" t="s">
        <v>0</v>
      </c>
      <c r="D5" s="517" t="s">
        <v>1</v>
      </c>
      <c r="E5" s="517" t="s">
        <v>2</v>
      </c>
      <c r="F5" s="384" t="s">
        <v>151</v>
      </c>
      <c r="G5" s="517" t="s">
        <v>3</v>
      </c>
      <c r="H5" s="517" t="s">
        <v>4</v>
      </c>
      <c r="I5" s="384" t="s">
        <v>153</v>
      </c>
      <c r="J5" s="384" t="s">
        <v>154</v>
      </c>
      <c r="K5" s="517" t="s">
        <v>12</v>
      </c>
      <c r="L5" s="384" t="s">
        <v>257</v>
      </c>
      <c r="M5" s="517" t="s">
        <v>498</v>
      </c>
      <c r="N5" s="385"/>
      <c r="O5" s="517" t="s">
        <v>5</v>
      </c>
      <c r="P5" s="384" t="s">
        <v>8</v>
      </c>
      <c r="Q5" s="384" t="s">
        <v>7</v>
      </c>
      <c r="R5" s="384" t="s">
        <v>9</v>
      </c>
      <c r="S5" s="517" t="s">
        <v>63</v>
      </c>
      <c r="T5" s="384" t="s">
        <v>15</v>
      </c>
      <c r="U5" s="386" t="s">
        <v>69</v>
      </c>
      <c r="V5" s="386" t="s">
        <v>68</v>
      </c>
      <c r="W5" s="386" t="s">
        <v>155</v>
      </c>
      <c r="X5" s="384" t="s">
        <v>16</v>
      </c>
      <c r="Y5" s="387" t="s">
        <v>267</v>
      </c>
      <c r="Z5" s="386" t="s">
        <v>266</v>
      </c>
      <c r="AA5" s="517" t="s">
        <v>61</v>
      </c>
      <c r="AB5" s="517" t="s">
        <v>13</v>
      </c>
      <c r="AC5" s="517" t="s">
        <v>10</v>
      </c>
      <c r="AD5" s="525" t="s">
        <v>71</v>
      </c>
      <c r="AE5" s="372"/>
      <c r="AF5" s="25"/>
      <c r="AG5" s="25"/>
      <c r="AH5" s="25"/>
      <c r="AI5" s="25"/>
      <c r="AJ5" s="25"/>
      <c r="AK5" s="25"/>
      <c r="AL5" s="25"/>
      <c r="AM5" s="25"/>
      <c r="AN5" s="25"/>
      <c r="AO5" s="25"/>
      <c r="AP5" s="25"/>
      <c r="AQ5" s="25"/>
      <c r="AR5" s="25"/>
      <c r="AS5" s="5">
        <v>1700</v>
      </c>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row>
    <row r="6" spans="1:189" ht="20.25" customHeight="1" x14ac:dyDescent="0.25">
      <c r="A6" s="39"/>
      <c r="B6" s="524"/>
      <c r="C6" s="518"/>
      <c r="D6" s="518"/>
      <c r="E6" s="518"/>
      <c r="F6" s="143">
        <v>19600</v>
      </c>
      <c r="G6" s="518"/>
      <c r="H6" s="518"/>
      <c r="I6" s="101"/>
      <c r="J6" s="101"/>
      <c r="K6" s="518"/>
      <c r="L6" s="415" t="str">
        <f>IF(AND(F6=""),"",IF(AND(Master!E7=Master!AB3),"",IF(AND(Master!E7=""),"",IF(AND(Master!I7=Master!AD11),Bills!AZ8,IF(AND(Master!I7=Master!AD12),Bills!BA8,IF(AND(Master!I7=Master!AD13),Bills!BA8,IF(AND(Master!I7=Master!AD14),Bills!BA8,IF(AND(Master!I7=Master!AD15),Bills!BA8,""))))))))</f>
        <v/>
      </c>
      <c r="M6" s="518"/>
      <c r="N6" s="101"/>
      <c r="O6" s="518"/>
      <c r="P6" s="141">
        <v>3000</v>
      </c>
      <c r="Q6" s="141">
        <v>5000</v>
      </c>
      <c r="R6" s="141">
        <f>IF(AND(Master!I$5=Master!AB$21),"",IF(AND(Master!I6=Master!AC3),"",IF(F6&lt;7001,199,IF(F6&lt;13001,331,IF(F6&lt;21001,496,660)))))</f>
        <v>496</v>
      </c>
      <c r="S6" s="518"/>
      <c r="T6" s="141">
        <v>442</v>
      </c>
      <c r="U6" s="141"/>
      <c r="V6" s="141"/>
      <c r="W6" s="141"/>
      <c r="X6" s="406"/>
      <c r="Y6" s="375">
        <v>252.9</v>
      </c>
      <c r="Z6" s="141"/>
      <c r="AA6" s="518"/>
      <c r="AB6" s="518"/>
      <c r="AC6" s="518"/>
      <c r="AD6" s="526"/>
      <c r="AE6" s="44" t="e">
        <f>IF(#REF!=#REF!,1,0)</f>
        <v>#REF!</v>
      </c>
      <c r="AF6" s="27"/>
      <c r="AG6" s="27"/>
      <c r="AH6" s="27"/>
      <c r="AI6" s="27"/>
      <c r="AJ6" s="27"/>
      <c r="AK6" s="27"/>
      <c r="AL6" s="27"/>
      <c r="AM6" s="27"/>
      <c r="AN6" s="27"/>
      <c r="AO6" s="27"/>
      <c r="AP6" s="27"/>
      <c r="AQ6" s="27"/>
      <c r="AR6" s="27"/>
      <c r="AS6" s="5">
        <v>1750</v>
      </c>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row>
    <row r="7" spans="1:189" ht="16.5" customHeight="1" x14ac:dyDescent="0.25">
      <c r="A7" s="39" t="s">
        <v>306</v>
      </c>
      <c r="B7" s="388">
        <v>1</v>
      </c>
      <c r="C7" s="132">
        <v>42795</v>
      </c>
      <c r="D7" s="13"/>
      <c r="E7" s="49"/>
      <c r="F7" s="370">
        <f>F6</f>
        <v>19600</v>
      </c>
      <c r="G7" s="137">
        <f>IF(AND(Master!I5=Master!AB21),"",ROUND(132%*F7,0))</f>
        <v>25872</v>
      </c>
      <c r="H7" s="129">
        <f>IF(AND(Master!I$5=Master!AB$21),"",IF(AND(F7=""),"",ROUND(F7*Master!$E$5/100,0)))</f>
        <v>1960</v>
      </c>
      <c r="I7" s="137" t="str">
        <f>IF(AND(I6=""),"",IF(AND(Master!$I$5=Master!$AB$21),"",I6))</f>
        <v/>
      </c>
      <c r="J7" s="137" t="str">
        <f>IF(AND(J6=""),"",IF(AND(Master!$I$5=Master!$AB$21),"",J6))</f>
        <v/>
      </c>
      <c r="K7" s="368"/>
      <c r="L7" s="137" t="str">
        <f>IF(AND(L6=""),"",IF(AND(Master!$I$5=Master!$AB$21),"",L6))</f>
        <v/>
      </c>
      <c r="M7" s="419" t="str">
        <f>IF(AND(Master!I$5=Master!AB$21),"",IF(AND(Master!I$6=Master!AC$3),ROUND((F7+G7)*0.1,0),""))</f>
        <v/>
      </c>
      <c r="N7" s="137" t="str">
        <f>IF(AND(N6=""),"",IF(AND(Master!$I$5=Master!$AB$21),"",N6))</f>
        <v/>
      </c>
      <c r="O7" s="133">
        <f>IF(AND(C7=""),"",SUM(F7,G7,H7,I7,J7,K7,L7,N7))</f>
        <v>47432</v>
      </c>
      <c r="P7" s="137">
        <f>IF(AND(Master!I$5=Master!AB$21),"",P6)</f>
        <v>3000</v>
      </c>
      <c r="Q7" s="137">
        <f>IF(AND(Master!I$5=Master!AB$21),"",IF(AND(Master!I$6=Master!AC$2),Q6,""))</f>
        <v>5000</v>
      </c>
      <c r="R7" s="419">
        <f>IF(AND(Master!I$5=Master!AB$21),"",IF(AND(Master!I$6=Master!AC$2),R6,""))</f>
        <v>496</v>
      </c>
      <c r="S7" s="419" t="str">
        <f>IF(AND(Master!I$5=Master!AB$21),"",IF(AND(Master!I$6=Master!AC$3),ROUND((F7+G7)*0.1,0),""))</f>
        <v/>
      </c>
      <c r="T7" s="137">
        <f>IF(AND(T6=""),"",IF(AND(Master!$I$5=Master!$AB$21),"",T6))</f>
        <v>442</v>
      </c>
      <c r="U7" s="137" t="str">
        <f>IF(AND(U6=""),"",IF(AND(Master!$I$5=Master!$AB$21),"",U6))</f>
        <v/>
      </c>
      <c r="V7" s="137" t="str">
        <f>IF(AND(V6=""),"",IF(AND(Master!$I$5=Master!$AB$21),"",V6))</f>
        <v/>
      </c>
      <c r="W7" s="137" t="str">
        <f>IF(AND(W6=""),"",IF(AND(Master!$I$5=Master!$AB$21),"",W6))</f>
        <v/>
      </c>
      <c r="X7" s="137" t="str">
        <f>IF(AND(X6=""),"",IF(AND(Master!$I$5=Master!$AB$21),"",X6))</f>
        <v/>
      </c>
      <c r="Y7" s="431"/>
      <c r="Z7" s="137" t="str">
        <f>IF(AND(Z6=""),"",IF(AND(Master!$I$5=Master!$AB$21),"",Z6))</f>
        <v/>
      </c>
      <c r="AA7" s="43">
        <f t="shared" ref="AA7:AA25" si="0">IF(AND(C7=""),"",SUM(P7:Z7))</f>
        <v>8938</v>
      </c>
      <c r="AB7" s="42">
        <f t="shared" ref="AB7:AB25" si="1">IF(AND(C7=""),"",O7-AA7)</f>
        <v>38494</v>
      </c>
      <c r="AC7" s="16"/>
      <c r="AD7" s="389"/>
      <c r="AE7" s="44" t="e">
        <f>IF(#REF!=#REF!,1,0)</f>
        <v>#REF!</v>
      </c>
      <c r="AF7" s="27"/>
      <c r="AG7" s="27"/>
      <c r="AH7" s="27"/>
      <c r="AI7" s="27"/>
      <c r="AJ7" s="27"/>
      <c r="AK7" s="27"/>
      <c r="AL7" s="27"/>
      <c r="AM7" s="27"/>
      <c r="AN7" s="27"/>
      <c r="AO7" s="27"/>
      <c r="AP7" s="27"/>
      <c r="AQ7" s="27"/>
      <c r="AR7" s="27"/>
      <c r="AS7" s="5">
        <v>1750</v>
      </c>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6.5" customHeight="1" x14ac:dyDescent="0.25">
      <c r="A8" s="88" t="s">
        <v>307</v>
      </c>
      <c r="B8" s="388">
        <v>2</v>
      </c>
      <c r="C8" s="132">
        <v>42826</v>
      </c>
      <c r="D8" s="13"/>
      <c r="E8" s="49"/>
      <c r="F8" s="137">
        <f>F7</f>
        <v>19600</v>
      </c>
      <c r="G8" s="137">
        <f>IF(AND(Master!I5=Master!AB21),"",ROUND(136%*F8,0))</f>
        <v>26656</v>
      </c>
      <c r="H8" s="129">
        <f>IF(AND(Master!I$5=Master!AB$21),"",IF(AND(F8=""),"",ROUND(F8*Master!$E$5/100,0)))</f>
        <v>1960</v>
      </c>
      <c r="I8" s="137" t="str">
        <f>IF(AND(I7=""),"",IF(AND(Master!$I$5=Master!$AB$21),"",I7))</f>
        <v/>
      </c>
      <c r="J8" s="137" t="str">
        <f>IF(AND(J7=""),"",IF(AND(Master!$I$5=Master!$AB$21),"",J7))</f>
        <v/>
      </c>
      <c r="K8" s="137"/>
      <c r="L8" s="137" t="str">
        <f>IF(AND(L7=""),"",IF(AND(Master!$I$5=Master!$AB$21),"",L7))</f>
        <v/>
      </c>
      <c r="M8" s="419" t="str">
        <f>IF(AND(Master!I$5=Master!AB$21),"",IF(AND(Master!I$6=Master!AC$3),ROUND((F8+G8)*0.1,0),""))</f>
        <v/>
      </c>
      <c r="N8" s="137" t="str">
        <f>IF(AND(N7=""),"",IF(AND(Master!$I$5=Master!$AB$21),"",N7))</f>
        <v/>
      </c>
      <c r="O8" s="133">
        <f t="shared" ref="O8:O25" si="2">IF(AND(C8=""),"",SUM(F8,G8,H8,I8,J8,K8,L8,N8))</f>
        <v>48216</v>
      </c>
      <c r="P8" s="137">
        <f>IF(AND(Master!I$5=Master!AB$21),"",P7)</f>
        <v>3000</v>
      </c>
      <c r="Q8" s="137">
        <f>IF(AND(Master!I$5=Master!AB$21),"",IF(AND(Master!I$6=Master!AC$2),Q7,""))</f>
        <v>5000</v>
      </c>
      <c r="R8" s="419">
        <f>IF(AND(Master!I$5=Master!AB$21),"",IF(AND(Master!I$6=Master!AC$2),R7,""))</f>
        <v>496</v>
      </c>
      <c r="S8" s="419" t="str">
        <f>IF(AND(Master!I$5=Master!AB$21),"",IF(AND(Master!I$6=Master!AC$3),ROUND((F8+G8)*0.1,0),""))</f>
        <v/>
      </c>
      <c r="T8" s="137">
        <f>IF(AND(T7=""),"",IF(AND(Master!$I$5=Master!$AB$21),"",T7))</f>
        <v>442</v>
      </c>
      <c r="U8" s="137" t="str">
        <f>IF(AND(U7=""),"",IF(AND(Master!$I$5=Master!$AB$21),"",U7))</f>
        <v/>
      </c>
      <c r="V8" s="137" t="str">
        <f>IF(AND(V7=""),"",IF(AND(Master!$I$5=Master!$AB$21),"",V7))</f>
        <v/>
      </c>
      <c r="W8" s="137" t="str">
        <f>IF(AND(W7=""),"",IF(AND(Master!$I$5=Master!$AB$21),"",W7))</f>
        <v/>
      </c>
      <c r="X8" s="137" t="str">
        <f>IF(AND(X7=""),"",IF(AND(Master!$I$5=Master!$AB$21),"",X7))</f>
        <v/>
      </c>
      <c r="Y8" s="146">
        <f>IF(AND(Y6=""),"",IF(AND(Master!I$5=Master!AB$21),"",Y6))</f>
        <v>252.9</v>
      </c>
      <c r="Z8" s="137" t="str">
        <f>IF(AND(Z7=""),"",IF(AND(Master!$I$5=Master!$AB$21),"",Z7))</f>
        <v/>
      </c>
      <c r="AA8" s="43">
        <f t="shared" si="0"/>
        <v>9190.9</v>
      </c>
      <c r="AB8" s="42">
        <f t="shared" si="1"/>
        <v>39025.1</v>
      </c>
      <c r="AC8" s="16"/>
      <c r="AD8" s="389"/>
      <c r="AE8" s="44" t="e">
        <f>IF(#REF!=#REF!,1,0)</f>
        <v>#REF!</v>
      </c>
      <c r="AF8" s="27"/>
      <c r="AG8" s="27"/>
      <c r="AH8" s="27"/>
      <c r="AI8" s="27"/>
      <c r="AJ8" s="27"/>
      <c r="AK8" s="27"/>
      <c r="AL8" s="27"/>
      <c r="AM8" s="27"/>
      <c r="AN8" s="27"/>
      <c r="AO8" s="27"/>
      <c r="AP8" s="27"/>
      <c r="AQ8" s="27"/>
      <c r="AR8" s="27"/>
      <c r="AS8" s="5">
        <v>1900</v>
      </c>
      <c r="AT8" s="27"/>
      <c r="AU8" s="27"/>
      <c r="AV8" s="27"/>
      <c r="AW8" s="27"/>
      <c r="AX8" s="27"/>
      <c r="AY8" s="27"/>
      <c r="AZ8" s="366">
        <f>IF(AND(Master!I$5=Master!AB$21),"",IF(AND(Master!E7=Master!AC3),"",IF(F6&lt;7001,190,IF(F6&lt;9001,300,IF(F6&gt;9000,480)))))</f>
        <v>480</v>
      </c>
      <c r="BA8" s="367">
        <f>IF(AND(Master!I$5=Master!AB$21),"",IF(AND(Master!E7=Master!AC3),"",IF(F6&lt;7001,70,IF(F6&lt;9001,130,IF(F6&gt;9000,240)))))</f>
        <v>240</v>
      </c>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6.5" customHeight="1" x14ac:dyDescent="0.25">
      <c r="A9" s="39" t="s">
        <v>308</v>
      </c>
      <c r="B9" s="388">
        <v>3</v>
      </c>
      <c r="C9" s="132">
        <v>42856</v>
      </c>
      <c r="D9" s="13"/>
      <c r="E9" s="49"/>
      <c r="F9" s="137">
        <f t="shared" ref="F9:F10" si="3">F8</f>
        <v>19600</v>
      </c>
      <c r="G9" s="137">
        <f>IF(AND(Master!I5=Master!AB21),"",ROUND(136%*F9,0))</f>
        <v>26656</v>
      </c>
      <c r="H9" s="129">
        <f>IF(AND(Master!I$5=Master!AB$21),"",IF(AND(F9=""),"",ROUND(F9*Master!$E$5/100,0)))</f>
        <v>1960</v>
      </c>
      <c r="I9" s="137"/>
      <c r="J9" s="137" t="str">
        <f>IF(AND(J8=""),"",IF(AND(Master!$I$5=Master!$AB$21),"",J8))</f>
        <v/>
      </c>
      <c r="K9" s="137"/>
      <c r="L9" s="137" t="str">
        <f>IF(AND(L8=""),"",IF(AND(Master!$I$5=Master!$AB$21),"",L8))</f>
        <v/>
      </c>
      <c r="M9" s="419" t="str">
        <f>IF(AND(Master!I$5=Master!AB$21),"",IF(AND(Master!I$6=Master!AC$3),ROUND((F9+G9)*0.1,0),""))</f>
        <v/>
      </c>
      <c r="N9" s="137" t="str">
        <f>IF(AND(N8=""),"",IF(AND(Master!$I$5=Master!$AB$21),"",N8))</f>
        <v/>
      </c>
      <c r="O9" s="133">
        <f t="shared" si="2"/>
        <v>48216</v>
      </c>
      <c r="P9" s="137">
        <f>IF(AND(Master!I$5=Master!AB$21),"",P8)</f>
        <v>3000</v>
      </c>
      <c r="Q9" s="137">
        <f>IF(AND(Master!I$5=Master!AB$21),"",IF(AND(Master!I$6=Master!AC$2),Q8,""))</f>
        <v>5000</v>
      </c>
      <c r="R9" s="142">
        <f>IF(AND(Master!I$5=Master!AB$21),"",IF(AND(Master!I6=Master!AC3),"",IF(F9&lt;7001,205,IF(F9&lt;13001,341,IF(F9&lt;21001,511,680)))))</f>
        <v>511</v>
      </c>
      <c r="S9" s="419" t="str">
        <f>IF(AND(Master!I$5=Master!AB$21),"",IF(AND(Master!I$6=Master!AC$3),ROUND((F9+G9)*0.1,0),""))</f>
        <v/>
      </c>
      <c r="T9" s="137">
        <f>IF(AND(T8=""),"",IF(AND(Master!$I$5=Master!$AB$21),"",T8))</f>
        <v>442</v>
      </c>
      <c r="U9" s="137" t="str">
        <f>IF(AND(U8=""),"",IF(AND(Master!$I$5=Master!$AB$21),"",U8))</f>
        <v/>
      </c>
      <c r="V9" s="137" t="str">
        <f>IF(AND(V8=""),"",IF(AND(Master!$I$5=Master!$AB$21),"",V8))</f>
        <v/>
      </c>
      <c r="W9" s="137" t="str">
        <f>IF(AND(W8=""),"",IF(AND(Master!$I$5=Master!$AB$21),"",W8))</f>
        <v/>
      </c>
      <c r="X9" s="137" t="str">
        <f>IF(AND(X8=""),"",IF(AND(Master!$I$5=Master!$AB$21),"",X8))</f>
        <v/>
      </c>
      <c r="Y9" s="430"/>
      <c r="Z9" s="137" t="str">
        <f>IF(AND(Z8=""),"",IF(AND(Master!$I$5=Master!$AB$21),"",Z8))</f>
        <v/>
      </c>
      <c r="AA9" s="43">
        <f t="shared" si="0"/>
        <v>8953</v>
      </c>
      <c r="AB9" s="42">
        <f t="shared" si="1"/>
        <v>39263</v>
      </c>
      <c r="AC9" s="16"/>
      <c r="AD9" s="389"/>
      <c r="AE9" s="44" t="e">
        <f>IF(#REF!=#REF!,1,0)</f>
        <v>#REF!</v>
      </c>
      <c r="AF9" s="27"/>
      <c r="AG9" s="27"/>
      <c r="AH9" s="27"/>
      <c r="AI9" s="27"/>
      <c r="AJ9" s="27"/>
      <c r="AK9" s="27"/>
      <c r="AL9" s="27"/>
      <c r="AM9" s="27"/>
      <c r="AN9" s="27"/>
      <c r="AO9" s="27"/>
      <c r="AP9" s="27"/>
      <c r="AQ9" s="27"/>
      <c r="AR9" s="27"/>
      <c r="AS9" s="5">
        <v>2000</v>
      </c>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16.5" customHeight="1" x14ac:dyDescent="0.25">
      <c r="A10" s="88" t="s">
        <v>309</v>
      </c>
      <c r="B10" s="388">
        <v>4</v>
      </c>
      <c r="C10" s="132">
        <v>42887</v>
      </c>
      <c r="D10" s="13"/>
      <c r="E10" s="49"/>
      <c r="F10" s="137">
        <f t="shared" si="3"/>
        <v>19600</v>
      </c>
      <c r="G10" s="137">
        <f>IF(AND(Master!I5=Master!AB21),"",ROUND(136%*F10,0))</f>
        <v>26656</v>
      </c>
      <c r="H10" s="129">
        <f>IF(AND(Master!I$5=Master!AB$21),"",IF(AND(F10=""),"",ROUND(F10*Master!$E$5/100,0)))</f>
        <v>1960</v>
      </c>
      <c r="I10" s="137" t="str">
        <f>IF(AND(I9=""),"",IF(AND(Master!$I$5=Master!$AB$21),"",I9))</f>
        <v/>
      </c>
      <c r="J10" s="137" t="str">
        <f>IF(AND(J9=""),"",IF(AND(Master!$I$5=Master!$AB$21),"",J9))</f>
        <v/>
      </c>
      <c r="K10" s="137"/>
      <c r="L10" s="137" t="str">
        <f>IF(AND(L9=""),"",IF(AND(Master!$I$5=Master!$AB$21),"",L9))</f>
        <v/>
      </c>
      <c r="M10" s="419" t="str">
        <f>IF(AND(Master!I$5=Master!AB$21),"",IF(AND(Master!I$6=Master!AC$3),ROUND((F10+G10)*0.1,0),""))</f>
        <v/>
      </c>
      <c r="N10" s="137" t="str">
        <f>IF(AND(N9=""),"",IF(AND(Master!$I$5=Master!$AB$21),"",N9))</f>
        <v/>
      </c>
      <c r="O10" s="133">
        <f t="shared" si="2"/>
        <v>48216</v>
      </c>
      <c r="P10" s="137">
        <f>IF(AND(Master!I$5=Master!AB$21),"",P9)</f>
        <v>3000</v>
      </c>
      <c r="Q10" s="137">
        <f>IF(AND(Master!I$5=Master!AB$21),"",IF(AND(Master!I$6=Master!AC$2),Q9,""))</f>
        <v>5000</v>
      </c>
      <c r="R10" s="419">
        <f>IF(AND(Master!I$5=Master!AB$21),"",IF(AND(Master!I$6=Master!AC$2),R9,""))</f>
        <v>511</v>
      </c>
      <c r="S10" s="419" t="str">
        <f>IF(AND(Master!I$5=Master!AB$21),"",IF(AND(Master!I$6=Master!AC$3),ROUND((F10+G10)*0.1,0),""))</f>
        <v/>
      </c>
      <c r="T10" s="137">
        <f>IF(AND(T9=""),"",IF(AND(Master!$I$5=Master!$AB$21),"",T9))</f>
        <v>442</v>
      </c>
      <c r="U10" s="137" t="str">
        <f>IF(AND(U9=""),"",IF(AND(Master!$I$5=Master!$AB$21),"",U9))</f>
        <v/>
      </c>
      <c r="V10" s="137" t="str">
        <f>IF(AND(V9=""),"",IF(AND(Master!$I$5=Master!$AB$21),"",V9))</f>
        <v/>
      </c>
      <c r="W10" s="137" t="str">
        <f>IF(AND(W9=""),"",IF(AND(Master!$I$5=Master!$AB$21),"",W9))</f>
        <v/>
      </c>
      <c r="X10" s="137" t="str">
        <f>IF(AND(X9=""),"",IF(AND(Master!$I$5=Master!$AB$21),"",X9))</f>
        <v/>
      </c>
      <c r="Y10" s="430"/>
      <c r="Z10" s="137" t="str">
        <f>IF(AND(Z9=""),"",IF(AND(Master!$I$5=Master!$AB$21),"",Z9))</f>
        <v/>
      </c>
      <c r="AA10" s="43">
        <f t="shared" si="0"/>
        <v>8953</v>
      </c>
      <c r="AB10" s="42">
        <f t="shared" si="1"/>
        <v>39263</v>
      </c>
      <c r="AC10" s="16"/>
      <c r="AD10" s="389"/>
      <c r="AE10" s="44" t="e">
        <f>IF(#REF!=#REF!,1,0)</f>
        <v>#REF!</v>
      </c>
      <c r="AF10" s="27"/>
      <c r="AG10" s="27"/>
      <c r="AH10" s="27"/>
      <c r="AI10" s="27"/>
      <c r="AJ10" s="27"/>
      <c r="AK10" s="27"/>
      <c r="AL10" s="27"/>
      <c r="AM10" s="27"/>
      <c r="AN10" s="27"/>
      <c r="AO10" s="27"/>
      <c r="AP10" s="27"/>
      <c r="AQ10" s="27"/>
      <c r="AR10" s="27"/>
      <c r="AS10" s="5" t="s">
        <v>341</v>
      </c>
      <c r="AT10" s="27"/>
      <c r="AU10" s="27"/>
      <c r="AV10" s="27"/>
      <c r="AW10" s="27"/>
      <c r="AX10" s="27"/>
      <c r="AY10" s="27"/>
      <c r="AZ10" s="366">
        <f>IF(AND(Master!I$5=Master!AB$21),"",IF(AND(Master!E7=Master!AC3),"",IF(F15&lt;23101,620,IF(F15&gt;23100,1000))))</f>
        <v>1000</v>
      </c>
      <c r="BA10" s="367">
        <f>IF(AND(Master!I$5=Master!AB$21),"",IF(AND(Master!E7=Master!AC3),"",IF(F15&lt;23101,320,IF(F15&gt;23100,620))))</f>
        <v>620</v>
      </c>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6.5" customHeight="1" x14ac:dyDescent="0.25">
      <c r="A11" s="39" t="s">
        <v>310</v>
      </c>
      <c r="B11" s="388">
        <v>5</v>
      </c>
      <c r="C11" s="132">
        <v>42917</v>
      </c>
      <c r="D11" s="13"/>
      <c r="E11" s="49"/>
      <c r="F11" s="137">
        <f>IF(AND(Master!I$5=Master!AB$21),F10,ROUNDUP(ROUND(1.03*F10,0),-1))</f>
        <v>20190</v>
      </c>
      <c r="G11" s="137">
        <f>IF(AND(Master!I5=Master!AB21),"",ROUND(136%*F11,0))</f>
        <v>27458</v>
      </c>
      <c r="H11" s="129">
        <f>IF(AND(Master!I$5=Master!AB$21),"",IF(AND(F11=""),"",ROUND(F11*Master!$E$5/100,0)))</f>
        <v>2019</v>
      </c>
      <c r="I11" s="137" t="str">
        <f>IF(AND(I10=""),"",IF(AND(Master!$I$5=Master!$AB$21),"",I10))</f>
        <v/>
      </c>
      <c r="J11" s="137" t="str">
        <f>IF(AND(J10=""),"",IF(AND(Master!$I$5=Master!$AB$21),"",J10))</f>
        <v/>
      </c>
      <c r="K11" s="137"/>
      <c r="L11" s="137" t="str">
        <f>IF(AND(L10=""),"",IF(AND(Master!$I$5=Master!$AB$21),"",L10))</f>
        <v/>
      </c>
      <c r="M11" s="419" t="str">
        <f>IF(AND(Master!I$5=Master!AB$21),"",IF(AND(Master!I$6=Master!AC$3),ROUND((F11+G11)*0.1,0),""))</f>
        <v/>
      </c>
      <c r="N11" s="137" t="str">
        <f>IF(AND(N10=""),"",IF(AND(Master!$I$5=Master!$AB$21),"",N10))</f>
        <v/>
      </c>
      <c r="O11" s="133">
        <f t="shared" si="2"/>
        <v>49667</v>
      </c>
      <c r="P11" s="137">
        <f>IF(AND(Master!I$5=Master!AB$21),"",P10)</f>
        <v>3000</v>
      </c>
      <c r="Q11" s="137">
        <f>IF(AND(Master!I$5=Master!AB$21),"",IF(AND(Master!I$6=Master!AC$2),Q10,""))</f>
        <v>5000</v>
      </c>
      <c r="R11" s="419">
        <f>IF(AND(Master!I$5=Master!AB$21),"",IF(AND(Master!I$6=Master!AC$2),R10,""))</f>
        <v>511</v>
      </c>
      <c r="S11" s="419" t="str">
        <f>IF(AND(Master!I$5=Master!AB$21),"",IF(AND(Master!I$6=Master!AC$3),ROUND((F11+G11)*0.1,0),""))</f>
        <v/>
      </c>
      <c r="T11" s="137">
        <f>IF(AND(T10=""),"",IF(AND(Master!$I$5=Master!$AB$21),"",T10))</f>
        <v>442</v>
      </c>
      <c r="U11" s="137" t="str">
        <f>IF(AND(U10=""),"",IF(AND(Master!$I$5=Master!$AB$21),"",U10))</f>
        <v/>
      </c>
      <c r="V11" s="137" t="str">
        <f>IF(AND(V10=""),"",IF(AND(Master!$I$5=Master!$AB$21),"",V10))</f>
        <v/>
      </c>
      <c r="W11" s="137" t="str">
        <f>IF(AND(W10=""),"",IF(AND(Master!$I$5=Master!$AB$21),"",W10))</f>
        <v/>
      </c>
      <c r="X11" s="137">
        <v>1500</v>
      </c>
      <c r="Y11" s="430"/>
      <c r="Z11" s="137" t="str">
        <f>IF(AND(Z10=""),"",IF(AND(Master!$I$5=Master!$AB$21),"",Z10))</f>
        <v/>
      </c>
      <c r="AA11" s="43">
        <f t="shared" si="0"/>
        <v>10453</v>
      </c>
      <c r="AB11" s="42">
        <f t="shared" si="1"/>
        <v>39214</v>
      </c>
      <c r="AC11" s="16"/>
      <c r="AD11" s="389"/>
      <c r="AE11" s="44" t="e">
        <f>IF(#REF!=#REF!,1,0)</f>
        <v>#REF!</v>
      </c>
      <c r="AF11" s="27"/>
      <c r="AG11" s="27"/>
      <c r="AH11" s="27"/>
      <c r="AI11" s="27"/>
      <c r="AJ11" s="27"/>
      <c r="AK11" s="27"/>
      <c r="AL11" s="27"/>
      <c r="AM11" s="27"/>
      <c r="AN11" s="27"/>
      <c r="AO11" s="27"/>
      <c r="AP11" s="27"/>
      <c r="AQ11" s="27"/>
      <c r="AR11" s="27"/>
      <c r="AS11" s="5" t="s">
        <v>342</v>
      </c>
      <c r="AT11" s="27"/>
      <c r="AU11" s="27"/>
      <c r="AV11" s="27"/>
      <c r="AW11" s="27"/>
      <c r="AX11" s="27"/>
      <c r="AY11" s="27"/>
      <c r="AZ11" s="27">
        <f>IF(AND(Master!I$5=Master!AB$21),"",IF(AND(Master!E7=Master!AC3),"",IF(F16&lt;23101,620,IF(F16&gt;23100,1000))))</f>
        <v>1000</v>
      </c>
      <c r="BA11" s="27">
        <f>IF(AND(Master!I$5=Master!AB$21),"",IF(AND(Master!E7=Master!AC3),"",IF(F16&lt;23101,320,IF(F16&gt;23100,620))))</f>
        <v>620</v>
      </c>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16.5" customHeight="1" x14ac:dyDescent="0.25">
      <c r="A12" s="88" t="s">
        <v>311</v>
      </c>
      <c r="B12" s="388">
        <v>6</v>
      </c>
      <c r="C12" s="132">
        <v>42948</v>
      </c>
      <c r="D12" s="13"/>
      <c r="E12" s="49"/>
      <c r="F12" s="137">
        <f>F11</f>
        <v>20190</v>
      </c>
      <c r="G12" s="137">
        <f>IF(AND(Master!I5=Master!AB21),"",ROUND(136%*F12,0))</f>
        <v>27458</v>
      </c>
      <c r="H12" s="129">
        <f>IF(AND(Master!I$5=Master!AB$21),"",IF(AND(F12=""),"",ROUND(F12*Master!$E$5/100,0)))</f>
        <v>2019</v>
      </c>
      <c r="I12" s="137" t="str">
        <f>IF(AND(I11=""),"",IF(AND(Master!$I$5=Master!$AB$21),"",I11))</f>
        <v/>
      </c>
      <c r="J12" s="137" t="str">
        <f>IF(AND(J11=""),"",IF(AND(Master!$I$5=Master!$AB$21),"",J11))</f>
        <v/>
      </c>
      <c r="K12" s="137"/>
      <c r="L12" s="137" t="str">
        <f>IF(AND(L11=""),"",IF(AND(Master!$I$5=Master!$AB$21),"",L11))</f>
        <v/>
      </c>
      <c r="M12" s="419" t="str">
        <f>IF(AND(Master!I$5=Master!AB$21),"",IF(AND(Master!I$6=Master!AC$3),ROUND((F12+G12)*0.1,0),""))</f>
        <v/>
      </c>
      <c r="N12" s="137" t="str">
        <f>IF(AND(N11=""),"",IF(AND(Master!$I$5=Master!$AB$21),"",N11))</f>
        <v/>
      </c>
      <c r="O12" s="133">
        <f t="shared" si="2"/>
        <v>49667</v>
      </c>
      <c r="P12" s="137">
        <f>IF(AND(Master!I$5=Master!AB$21),"",P11)</f>
        <v>3000</v>
      </c>
      <c r="Q12" s="137">
        <f>IF(AND(Master!I$5=Master!AB$21),"",IF(AND(Master!I$6=Master!AC$2),Q11,""))</f>
        <v>5000</v>
      </c>
      <c r="R12" s="419">
        <f>IF(AND(Master!I$5=Master!AB$21),"",IF(AND(Master!I$6=Master!AC$2),R11,""))</f>
        <v>511</v>
      </c>
      <c r="S12" s="419" t="str">
        <f>IF(AND(Master!I$5=Master!AB$21),"",IF(AND(Master!I$6=Master!AC$3),ROUND((F12+G12)*0.1,0),""))</f>
        <v/>
      </c>
      <c r="T12" s="137">
        <f>IF(AND(T11=""),"",IF(AND(Master!$I$5=Master!$AB$21),"",T11))</f>
        <v>442</v>
      </c>
      <c r="U12" s="137" t="str">
        <f>IF(AND(U11=""),"",IF(AND(Master!$I$5=Master!$AB$21),"",U11))</f>
        <v/>
      </c>
      <c r="V12" s="137" t="str">
        <f>IF(AND(V11=""),"",IF(AND(Master!$I$5=Master!$AB$21),"",V11))</f>
        <v/>
      </c>
      <c r="W12" s="137" t="str">
        <f>IF(AND(W11=""),"",IF(AND(Master!$I$5=Master!$AB$21),"",W11))</f>
        <v/>
      </c>
      <c r="X12" s="137">
        <f>IF(AND(X11=""),"",IF(AND(Master!$I$5=Master!$AB$21),"",X11))</f>
        <v>1500</v>
      </c>
      <c r="Y12" s="430"/>
      <c r="Z12" s="137" t="str">
        <f>IF(AND(Z11=""),"",IF(AND(Master!$I$5=Master!$AB$21),"",Z11))</f>
        <v/>
      </c>
      <c r="AA12" s="43">
        <f t="shared" si="0"/>
        <v>10453</v>
      </c>
      <c r="AB12" s="42">
        <f t="shared" si="1"/>
        <v>39214</v>
      </c>
      <c r="AC12" s="16"/>
      <c r="AD12" s="389"/>
      <c r="AE12" s="44" t="e">
        <f>IF(#REF!=#REF!,1,0)</f>
        <v>#REF!</v>
      </c>
      <c r="AF12" s="27"/>
      <c r="AG12" s="27"/>
      <c r="AH12" s="27"/>
      <c r="AI12" s="27"/>
      <c r="AJ12" s="27"/>
      <c r="AK12" s="27"/>
      <c r="AL12" s="27"/>
      <c r="AM12" s="27"/>
      <c r="AN12" s="27"/>
      <c r="AO12" s="27"/>
      <c r="AP12" s="27"/>
      <c r="AQ12" s="27"/>
      <c r="AR12" s="27"/>
      <c r="AS12" s="5" t="s">
        <v>343</v>
      </c>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6.5" customHeight="1" x14ac:dyDescent="0.25">
      <c r="A13" s="39" t="s">
        <v>312</v>
      </c>
      <c r="B13" s="388">
        <v>7</v>
      </c>
      <c r="C13" s="132">
        <v>42979</v>
      </c>
      <c r="D13" s="13"/>
      <c r="E13" s="49"/>
      <c r="F13" s="137">
        <f t="shared" ref="F13:F14" si="4">F12</f>
        <v>20190</v>
      </c>
      <c r="G13" s="137">
        <f>IF(AND(Master!I5=Master!AB21),"",ROUND(136%*F13,0))</f>
        <v>27458</v>
      </c>
      <c r="H13" s="129">
        <f>IF(AND(Master!I$5=Master!AB$21),"",IF(AND(F13=""),"",ROUND(F13*Master!$E$5/100,0)))</f>
        <v>2019</v>
      </c>
      <c r="I13" s="137" t="str">
        <f>IF(AND(I12=""),"",IF(AND(Master!$I$5=Master!$AB$21),"",I12))</f>
        <v/>
      </c>
      <c r="J13" s="137" t="str">
        <f>IF(AND(J12=""),"",IF(AND(Master!$I$5=Master!$AB$21),"",J12))</f>
        <v/>
      </c>
      <c r="K13" s="137"/>
      <c r="L13" s="137" t="str">
        <f>IF(AND(L12=""),"",IF(AND(Master!$I$5=Master!$AB$21),"",L12))</f>
        <v/>
      </c>
      <c r="M13" s="419" t="str">
        <f>IF(AND(Master!I$5=Master!AB$21),"",IF(AND(Master!I$6=Master!AC$3),ROUND((F13+G13)*0.1,0),""))</f>
        <v/>
      </c>
      <c r="N13" s="137" t="str">
        <f>IF(AND(N12=""),"",IF(AND(Master!$I$5=Master!$AB$21),"",N12))</f>
        <v/>
      </c>
      <c r="O13" s="133">
        <f t="shared" si="2"/>
        <v>49667</v>
      </c>
      <c r="P13" s="137">
        <f>IF(AND(Master!I$5=Master!AB$21),"",P12)</f>
        <v>3000</v>
      </c>
      <c r="Q13" s="137">
        <f>IF(AND(Master!I$5=Master!AB$21),"",IF(AND(Master!I$6=Master!AC$2),Q12,""))</f>
        <v>5000</v>
      </c>
      <c r="R13" s="419">
        <f>IF(AND(Master!I$5=Master!AB$21),"",IF(AND(Master!I$6=Master!AC$2),R12,""))</f>
        <v>511</v>
      </c>
      <c r="S13" s="419" t="str">
        <f>IF(AND(Master!I$5=Master!AB$21),"",IF(AND(Master!I$6=Master!AC$3),ROUND((F13+G13)*0.1,0),""))</f>
        <v/>
      </c>
      <c r="T13" s="137">
        <f>IF(AND(T12=""),"",IF(AND(Master!$I$5=Master!$AB$21),"",T12))</f>
        <v>442</v>
      </c>
      <c r="U13" s="137" t="str">
        <f>IF(AND(U12=""),"",IF(AND(Master!$I$5=Master!$AB$21),"",U12))</f>
        <v/>
      </c>
      <c r="V13" s="137" t="str">
        <f>IF(AND(V12=""),"",IF(AND(Master!$I$5=Master!$AB$21),"",V12))</f>
        <v/>
      </c>
      <c r="W13" s="137" t="str">
        <f>IF(AND(W12=""),"",IF(AND(Master!$I$5=Master!$AB$21),"",W12))</f>
        <v/>
      </c>
      <c r="X13" s="137">
        <f>IF(AND(X12=""),"",IF(AND(Master!$I$5=Master!$AB$21),"",X12))</f>
        <v>1500</v>
      </c>
      <c r="Y13" s="430"/>
      <c r="Z13" s="137" t="str">
        <f>IF(AND(Z12=""),"",IF(AND(Master!$I$5=Master!$AB$21),"",Z12))</f>
        <v/>
      </c>
      <c r="AA13" s="43">
        <f t="shared" si="0"/>
        <v>10453</v>
      </c>
      <c r="AB13" s="42">
        <f t="shared" si="1"/>
        <v>39214</v>
      </c>
      <c r="AC13" s="16"/>
      <c r="AD13" s="389"/>
      <c r="AE13" s="44" t="e">
        <f>IF(#REF!=#REF!,1,0)</f>
        <v>#REF!</v>
      </c>
      <c r="AF13" s="27"/>
      <c r="AG13" s="27"/>
      <c r="AH13" s="27"/>
      <c r="AI13" s="27"/>
      <c r="AJ13" s="27"/>
      <c r="AK13" s="27"/>
      <c r="AL13" s="27"/>
      <c r="AM13" s="27"/>
      <c r="AN13" s="27"/>
      <c r="AO13" s="27"/>
      <c r="AP13" s="27"/>
      <c r="AQ13" s="27"/>
      <c r="AR13" s="27"/>
      <c r="AS13" s="5" t="s">
        <v>344</v>
      </c>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ht="16.5" customHeight="1" x14ac:dyDescent="0.25">
      <c r="A14" s="88" t="s">
        <v>313</v>
      </c>
      <c r="B14" s="388">
        <v>8</v>
      </c>
      <c r="C14" s="132">
        <v>43009</v>
      </c>
      <c r="D14" s="13"/>
      <c r="E14" s="49"/>
      <c r="F14" s="137">
        <f t="shared" si="4"/>
        <v>20190</v>
      </c>
      <c r="G14" s="137">
        <f>IF(AND(Master!I5=Master!AB21),"",ROUND(139%*F14,0))</f>
        <v>28064</v>
      </c>
      <c r="H14" s="129">
        <f>IF(AND(Master!I$5=Master!AB$21),"",IF(AND(F14=""),"",ROUND(F14*Master!$E$5/100,0)))</f>
        <v>2019</v>
      </c>
      <c r="I14" s="137" t="str">
        <f>IF(AND(I13=""),"",IF(AND(Master!$I$5=Master!$AB$21),"",I13))</f>
        <v/>
      </c>
      <c r="J14" s="137" t="str">
        <f>IF(AND(J13=""),"",IF(AND(Master!$I$5=Master!$AB$21),"",J13))</f>
        <v/>
      </c>
      <c r="K14" s="137"/>
      <c r="L14" s="137" t="str">
        <f>IF(AND(L13=""),"",IF(AND(Master!$I$5=Master!$AB$21),"",L13))</f>
        <v/>
      </c>
      <c r="M14" s="419" t="str">
        <f>IF(AND(Master!I$5=Master!AB$21),"",IF(AND(Master!I$6=Master!AC$3),ROUND((F14+G14)*0.1,0),""))</f>
        <v/>
      </c>
      <c r="N14" s="137" t="str">
        <f>IF(AND(N13=""),"",IF(AND(Master!$I$5=Master!$AB$21),"",N13))</f>
        <v/>
      </c>
      <c r="O14" s="133">
        <f t="shared" si="2"/>
        <v>50273</v>
      </c>
      <c r="P14" s="137">
        <f>IF(AND(Master!I$5=Master!AB$21),"",P13)</f>
        <v>3000</v>
      </c>
      <c r="Q14" s="137">
        <f>IF(AND(Master!I$5=Master!AB$21),"",IF(AND(Master!I$6=Master!AC$2),Q13,""))</f>
        <v>5000</v>
      </c>
      <c r="R14" s="419">
        <f>IF(AND(Master!I$5=Master!AB$21),"",IF(AND(Master!I$6=Master!AC$2),R13,""))</f>
        <v>511</v>
      </c>
      <c r="S14" s="419" t="str">
        <f>IF(AND(Master!I$5=Master!AB$21),"",IF(AND(Master!I$6=Master!AC$3),ROUND((F14+G14)*0.1,0),""))</f>
        <v/>
      </c>
      <c r="T14" s="137">
        <f>IF(AND(T13=""),"",IF(AND(Master!$I$5=Master!$AB$21),"",T13))</f>
        <v>442</v>
      </c>
      <c r="U14" s="137" t="str">
        <f>IF(AND(U13=""),"",IF(AND(Master!$I$5=Master!$AB$21),"",U13))</f>
        <v/>
      </c>
      <c r="V14" s="137" t="str">
        <f>IF(AND(V13=""),"",IF(AND(Master!$I$5=Master!$AB$21),"",V13))</f>
        <v/>
      </c>
      <c r="W14" s="137" t="str">
        <f>IF(AND(W13=""),"",IF(AND(Master!$I$5=Master!$AB$21),"",W13))</f>
        <v/>
      </c>
      <c r="X14" s="137">
        <f>IF(AND(X13=""),"",IF(AND(Master!$I$5=Master!$AB$21),"",X13))</f>
        <v>1500</v>
      </c>
      <c r="Y14" s="430"/>
      <c r="Z14" s="137" t="str">
        <f>IF(AND(Z13=""),"",IF(AND(Master!$I$5=Master!$AB$21),"",Z13))</f>
        <v/>
      </c>
      <c r="AA14" s="43">
        <f t="shared" si="0"/>
        <v>10453</v>
      </c>
      <c r="AB14" s="42">
        <f t="shared" si="1"/>
        <v>39820</v>
      </c>
      <c r="AC14" s="16"/>
      <c r="AD14" s="389"/>
      <c r="AE14" s="44" t="e">
        <f>IF(#REF!=#REF!,1,0)</f>
        <v>#REF!</v>
      </c>
      <c r="AF14" s="27"/>
      <c r="AG14" s="27"/>
      <c r="AH14" s="27"/>
      <c r="AI14" s="27"/>
      <c r="AJ14" s="27"/>
      <c r="AK14" s="27"/>
      <c r="AL14" s="27"/>
      <c r="AM14" s="27"/>
      <c r="AN14" s="27"/>
      <c r="AO14" s="27"/>
      <c r="AP14" s="27"/>
      <c r="AQ14" s="27"/>
      <c r="AR14" s="27"/>
      <c r="AS14" s="5" t="s">
        <v>345</v>
      </c>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row>
    <row r="15" spans="1:189" ht="16.5" customHeight="1" x14ac:dyDescent="0.25">
      <c r="A15" s="39" t="s">
        <v>314</v>
      </c>
      <c r="B15" s="388">
        <v>9</v>
      </c>
      <c r="C15" s="413">
        <v>43040</v>
      </c>
      <c r="D15" s="13"/>
      <c r="E15" s="49"/>
      <c r="F15" s="142">
        <f>IF(AND(Master!I5=Master!AB21),F46,IF(AND(Master!I5=Master!AB20),E47))</f>
        <v>52300</v>
      </c>
      <c r="G15" s="142">
        <f>IF(AND(Master!I5=Master!AB21),"",IF(AND(F15=F14),G14,ROUND(5%*F15,0)))</f>
        <v>2615</v>
      </c>
      <c r="H15" s="142">
        <f>IF(AND(Master!I$5=Master!AB$21),"",IF(AND(F15=""),"",IF(AND(F15=F14),H14,ROUND(F15*Master!$E$6/100,0))))</f>
        <v>4184</v>
      </c>
      <c r="I15" s="137" t="str">
        <f>IF(AND(I14=""),"",IF(AND(Master!$I$5=Master!$AB$21),"",I14))</f>
        <v/>
      </c>
      <c r="J15" s="137" t="str">
        <f>IF(AND(J14=""),"",IF(AND(Master!$I$5=Master!$AB$21),"",J14))</f>
        <v/>
      </c>
      <c r="K15" s="137"/>
      <c r="L15" s="142" t="str">
        <f>IF(AND(F15=""),"",IF(AND(Master!E7=Master!AB3),"",IF(AND(Master!E7=""),"",IF(AND(Master!I7=Master!AD11),AZ10,IF(AND(Master!I7=Master!AD12),BA10,IF(AND(Master!I7=Master!AD13),BA10,IF(AND(Master!I7=Master!AD14),BA10,IF(AND(Master!I7=Master!AD15),BA10,""))))))))</f>
        <v/>
      </c>
      <c r="M15" s="419" t="str">
        <f>IF(AND(Master!I$5=Master!AB$21),"",IF(AND(Master!I$6=Master!AC$3),ROUND((F15+G15)*0.1,0),""))</f>
        <v/>
      </c>
      <c r="N15" s="137" t="str">
        <f>IF(AND(N14=""),"",IF(AND(Master!$I$5=Master!$AB$21),"",N14))</f>
        <v/>
      </c>
      <c r="O15" s="133">
        <f t="shared" si="2"/>
        <v>59099</v>
      </c>
      <c r="P15" s="137">
        <f>IF(AND(Master!I$5=Master!AB$21),"",P14)</f>
        <v>3000</v>
      </c>
      <c r="Q15" s="137">
        <f>IF(AND(Master!I$5=Master!AB$21),"",IF(AND(Master!I$6=Master!AC$2),Q14,""))</f>
        <v>5000</v>
      </c>
      <c r="R15" s="142">
        <f>IF(AND(Master!I$5=Master!AB$21),"",IF(AND(Master!I6=Master!AC3),"",IF(F15&lt;18001,210,IF(F15&lt;33501,349,IF(F15&lt;54001,522,695)))))</f>
        <v>522</v>
      </c>
      <c r="S15" s="419" t="str">
        <f>IF(AND(Master!I$5=Master!AB$21),ROUND((F15)*0.1,0),IF(AND(Master!I$6=Master!AC$3),ROUND((F15+G15)*0.1,0),""))</f>
        <v/>
      </c>
      <c r="T15" s="137">
        <f>IF(AND(T14=""),"",IF(AND(Master!$I$5=Master!$AB$21),"",T14))</f>
        <v>442</v>
      </c>
      <c r="U15" s="137" t="str">
        <f>IF(AND(U14=""),"",IF(AND(Master!$I$5=Master!$AB$21),"",U14))</f>
        <v/>
      </c>
      <c r="V15" s="137" t="str">
        <f>IF(AND(V14=""),"",IF(AND(Master!$I$5=Master!$AB$21),"",V14))</f>
        <v/>
      </c>
      <c r="W15" s="137" t="str">
        <f>IF(AND(W14=""),"",IF(AND(Master!$I$5=Master!$AB$21),"",W14))</f>
        <v/>
      </c>
      <c r="X15" s="137">
        <f>IF(AND(X14=""),"",IF(AND(Master!$I$5=Master!$AB$21),"",X14))</f>
        <v>1500</v>
      </c>
      <c r="Y15" s="430"/>
      <c r="Z15" s="137" t="str">
        <f>IF(AND(Z14=""),"",IF(AND(Master!$I$5=Master!$AB$21),"",Z14))</f>
        <v/>
      </c>
      <c r="AA15" s="43">
        <f t="shared" si="0"/>
        <v>10464</v>
      </c>
      <c r="AB15" s="42">
        <f t="shared" si="1"/>
        <v>48635</v>
      </c>
      <c r="AC15" s="16"/>
      <c r="AD15" s="390"/>
      <c r="AE15" s="44" t="e">
        <f>IF(#REF!=#REF!,1,0)</f>
        <v>#REF!</v>
      </c>
      <c r="AF15" s="27"/>
      <c r="AG15" s="27"/>
      <c r="AH15" s="27"/>
      <c r="AI15" s="27"/>
      <c r="AJ15" s="27"/>
      <c r="AK15" s="27"/>
      <c r="AL15" s="27"/>
      <c r="AM15" s="27"/>
      <c r="AN15" s="27"/>
      <c r="AO15" s="27"/>
      <c r="AP15" s="27"/>
      <c r="AQ15" s="27"/>
      <c r="AR15" s="27"/>
      <c r="AS15" s="5">
        <v>3600</v>
      </c>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row>
    <row r="16" spans="1:189" ht="16.5" customHeight="1" x14ac:dyDescent="0.25">
      <c r="A16" s="88" t="s">
        <v>315</v>
      </c>
      <c r="B16" s="388">
        <v>10</v>
      </c>
      <c r="C16" s="132">
        <v>43070</v>
      </c>
      <c r="D16" s="13"/>
      <c r="E16" s="49"/>
      <c r="F16" s="137">
        <f>IF(AND(Master!I5=Master!AB21),F46,IF(AND(Master!I5=Master!AB20),E47))</f>
        <v>52300</v>
      </c>
      <c r="G16" s="137">
        <f>IF(AND(Master!I5=Master!AB21),"",ROUND(5%*F16,0))</f>
        <v>2615</v>
      </c>
      <c r="H16" s="129">
        <f>IF(AND(Master!I$5=Master!AB$21),"",IF(AND(F16=""),"",ROUND(F16*Master!$E$6/100,0)))</f>
        <v>4184</v>
      </c>
      <c r="I16" s="137" t="str">
        <f>IF(AND(I15=""),"",IF(AND(Master!$I$5=Master!$AB$21),"",I15))</f>
        <v/>
      </c>
      <c r="J16" s="137" t="str">
        <f>IF(AND(J15=""),"",IF(AND(Master!$I$5=Master!$AB$21),"",J15))</f>
        <v/>
      </c>
      <c r="K16" s="137"/>
      <c r="L16" s="137" t="str">
        <f>IF(AND(F16=""),"",IF(AND(Master!E7=Master!AB3),"",IF(AND(Master!E7=""),"",IF(AND(Master!I7=Master!AD11),AZ11,IF(AND(Master!I7=Master!AD12),BA11,IF(AND(Master!I7=Master!AD13),BA11,IF(AND(Master!I7=Master!AD14),BA11,IF(AND(Master!I7=Master!AD15),BA11,""))))))))</f>
        <v/>
      </c>
      <c r="M16" s="419" t="str">
        <f>IF(AND(Master!I$5=Master!AB$21),"",IF(AND(Master!I$6=Master!AC$3),ROUND((F16+G16)*0.1,0),""))</f>
        <v/>
      </c>
      <c r="N16" s="137" t="str">
        <f>IF(AND(N15=""),"",IF(AND(Master!$I$5=Master!$AB$21),"",N15))</f>
        <v/>
      </c>
      <c r="O16" s="133">
        <f t="shared" si="2"/>
        <v>59099</v>
      </c>
      <c r="P16" s="137">
        <f>IF(AND(Master!I$5=Master!AB$21),"",P15)</f>
        <v>3000</v>
      </c>
      <c r="Q16" s="137">
        <f>IF(AND(Master!I$5=Master!AB$21),"",IF(AND(Master!I$6=Master!AC$2),Q15,""))</f>
        <v>5000</v>
      </c>
      <c r="R16" s="419">
        <f>IF(AND(Master!I$5=Master!AB$21),"",IF(AND(Master!I$6=Master!AC$2),R15,""))</f>
        <v>522</v>
      </c>
      <c r="S16" s="419" t="str">
        <f>IF(AND(Master!I$5=Master!AB$21),ROUND((F16)*0.1,0),IF(AND(Master!I$6=Master!AC$3),ROUND((F16+G16)*0.1,0),""))</f>
        <v/>
      </c>
      <c r="T16" s="137">
        <f>IF(AND(T15=""),"",IF(AND(Master!$I$5=Master!$AB$21),"",T15))</f>
        <v>442</v>
      </c>
      <c r="U16" s="137" t="str">
        <f>IF(AND(U15=""),"",IF(AND(Master!$I$5=Master!$AB$21),"",U15))</f>
        <v/>
      </c>
      <c r="V16" s="137" t="str">
        <f>IF(AND(V15=""),"",IF(AND(Master!$I$5=Master!$AB$21),"",V15))</f>
        <v/>
      </c>
      <c r="W16" s="137" t="str">
        <f>IF(AND(W15=""),"",IF(AND(Master!$I$5=Master!$AB$21),"",W15))</f>
        <v/>
      </c>
      <c r="X16" s="137">
        <f>IF(AND(X15=""),"",IF(AND(Master!$I$5=Master!$AB$21),"",X15))</f>
        <v>1500</v>
      </c>
      <c r="Y16" s="430"/>
      <c r="Z16" s="137" t="str">
        <f>IF(AND(Z15=""),"",IF(AND(Master!$I$5=Master!$AB$21),"",Z15))</f>
        <v/>
      </c>
      <c r="AA16" s="43">
        <f t="shared" si="0"/>
        <v>10464</v>
      </c>
      <c r="AB16" s="42">
        <f t="shared" si="1"/>
        <v>48635</v>
      </c>
      <c r="AC16" s="16"/>
      <c r="AD16" s="390"/>
      <c r="AE16" s="44" t="e">
        <f>IF(#REF!=#REF!,1,0)</f>
        <v>#REF!</v>
      </c>
      <c r="AF16" s="27"/>
      <c r="AG16" s="27"/>
      <c r="AH16" s="27"/>
      <c r="AI16" s="27"/>
      <c r="AJ16" s="27"/>
      <c r="AK16" s="27"/>
      <c r="AL16" s="27"/>
      <c r="AM16" s="27"/>
      <c r="AN16" s="27"/>
      <c r="AO16" s="27"/>
      <c r="AP16" s="27"/>
      <c r="AQ16" s="27"/>
      <c r="AR16" s="27"/>
      <c r="AS16" s="5">
        <v>4200</v>
      </c>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row>
    <row r="17" spans="1:190" ht="16.5" customHeight="1" x14ac:dyDescent="0.25">
      <c r="A17" s="39" t="s">
        <v>316</v>
      </c>
      <c r="B17" s="388">
        <v>11</v>
      </c>
      <c r="C17" s="132">
        <v>43101</v>
      </c>
      <c r="D17" s="13"/>
      <c r="E17" s="49"/>
      <c r="F17" s="137">
        <f>IF(AND(Master!I5=Master!AB21),F46,IF(AND(Master!I5=Master!AB20),E47))</f>
        <v>52300</v>
      </c>
      <c r="G17" s="137">
        <f>IF(AND(Master!I5=Master!AB21),"",ROUND(5%*F17,0))</f>
        <v>2615</v>
      </c>
      <c r="H17" s="129">
        <f>IF(AND(Master!I$5=Master!AB$21),"",IF(AND(F17=""),"",ROUND(F17*Master!$E$6/100,0)))</f>
        <v>4184</v>
      </c>
      <c r="I17" s="137" t="str">
        <f>IF(AND(I16=""),"",IF(AND(Master!$I$5=Master!$AB$21),"",I16))</f>
        <v/>
      </c>
      <c r="J17" s="137" t="str">
        <f>IF(AND(J16=""),"",IF(AND(Master!$I$5=Master!$AB$21),"",J16))</f>
        <v/>
      </c>
      <c r="K17" s="137"/>
      <c r="L17" s="137" t="str">
        <f>IF(AND(L16=""),"",IF(AND(Master!$I$5=Master!$AB$21),"",L16))</f>
        <v/>
      </c>
      <c r="M17" s="419" t="str">
        <f>IF(AND(Master!I$5=Master!AB$21),"",IF(AND(Master!I$6=Master!AC$3),ROUND((F17+G17)*0.1,0),""))</f>
        <v/>
      </c>
      <c r="N17" s="137" t="str">
        <f>IF(AND(N16=""),"",IF(AND(Master!$I$5=Master!$AB$21),"",N16))</f>
        <v/>
      </c>
      <c r="O17" s="133">
        <f t="shared" si="2"/>
        <v>59099</v>
      </c>
      <c r="P17" s="137">
        <f>IF(AND(Master!I$5=Master!AB$21),"",P16)</f>
        <v>3000</v>
      </c>
      <c r="Q17" s="137">
        <f>IF(AND(Master!I$5=Master!AB$21),"",IF(AND(Master!I$6=Master!AC$2),Q16,""))</f>
        <v>5000</v>
      </c>
      <c r="R17" s="419">
        <f>IF(AND(Master!I$5=Master!AB$21),"",IF(AND(Master!I$6=Master!AC$2),R16,""))</f>
        <v>522</v>
      </c>
      <c r="S17" s="419" t="str">
        <f>IF(AND(Master!I$5=Master!AB$21),ROUND((F17)*0.1,0),IF(AND(Master!I$6=Master!AC$3),ROUND((F17+G17)*0.1,0),""))</f>
        <v/>
      </c>
      <c r="T17" s="137">
        <f>IF(AND(T16=""),"",IF(AND(Master!$I$5=Master!$AB$21),"",T16))</f>
        <v>442</v>
      </c>
      <c r="U17" s="137" t="str">
        <f>IF(AND(U16=""),"",IF(AND(Master!$I$5=Master!$AB$21),"",U16))</f>
        <v/>
      </c>
      <c r="V17" s="137" t="str">
        <f>IF(AND(V16=""),"",IF(AND(Master!$I$5=Master!$AB$21),"",V16))</f>
        <v/>
      </c>
      <c r="W17" s="137" t="str">
        <f>IF(AND(W16=""),"",IF(AND(Master!$I$5=Master!$AB$21),"",W16))</f>
        <v/>
      </c>
      <c r="X17" s="137">
        <f>IF(AND(X16=""),"",IF(AND(Master!$I$5=Master!$AB$21),"",X16))</f>
        <v>1500</v>
      </c>
      <c r="Y17" s="430"/>
      <c r="Z17" s="137" t="str">
        <f>IF(AND(Z16=""),"",IF(AND(Master!$I$5=Master!$AB$21),"",Z16))</f>
        <v/>
      </c>
      <c r="AA17" s="43">
        <f t="shared" si="0"/>
        <v>10464</v>
      </c>
      <c r="AB17" s="42">
        <f t="shared" si="1"/>
        <v>48635</v>
      </c>
      <c r="AC17" s="16"/>
      <c r="AD17" s="390"/>
      <c r="AE17" s="44" t="e">
        <f>IF(#REF!=#REF!,1,0)</f>
        <v>#REF!</v>
      </c>
      <c r="AF17" s="27"/>
      <c r="AG17" s="27"/>
      <c r="AH17" s="27"/>
      <c r="AI17" s="27"/>
      <c r="AJ17" s="27"/>
      <c r="AK17" s="27"/>
      <c r="AL17" s="27"/>
      <c r="AM17" s="27"/>
      <c r="AN17" s="27"/>
      <c r="AO17" s="27"/>
      <c r="AP17" s="27"/>
      <c r="AQ17" s="27"/>
      <c r="AR17" s="27"/>
      <c r="AS17" s="5">
        <v>4800</v>
      </c>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row>
    <row r="18" spans="1:190" ht="16.5" customHeight="1" x14ac:dyDescent="0.25">
      <c r="A18" s="88" t="s">
        <v>317</v>
      </c>
      <c r="B18" s="388">
        <v>12</v>
      </c>
      <c r="C18" s="132">
        <v>43132</v>
      </c>
      <c r="D18" s="13"/>
      <c r="E18" s="49"/>
      <c r="F18" s="137">
        <f>IF(AND(Master!I5=Master!AB21),F46,IF(AND(Master!I5=Master!AB20),E47))</f>
        <v>52300</v>
      </c>
      <c r="G18" s="137">
        <f>IF(AND(Master!I5=Master!AB21),"",ROUND(5%*F18,0))</f>
        <v>2615</v>
      </c>
      <c r="H18" s="129">
        <f>IF(AND(Master!I$5=Master!AB$21),"",IF(AND(F18=""),"",ROUND(F18*Master!$E$6/100,0)))</f>
        <v>4184</v>
      </c>
      <c r="I18" s="137" t="str">
        <f>IF(AND(I17=""),"",IF(AND(Master!$I$5=Master!$AB$21),"",I17))</f>
        <v/>
      </c>
      <c r="J18" s="137" t="str">
        <f>IF(AND(J17=""),"",IF(AND(Master!$I$5=Master!$AB$21),"",J17))</f>
        <v/>
      </c>
      <c r="K18" s="137"/>
      <c r="L18" s="137" t="str">
        <f>IF(AND(L17=""),"",IF(AND(Master!$I$5=Master!$AB$21),"",L17))</f>
        <v/>
      </c>
      <c r="M18" s="419" t="str">
        <f>IF(AND(Master!I$5=Master!AB$21),"",IF(AND(Master!I$6=Master!AC$3),ROUND((F18+G18)*0.1,0),""))</f>
        <v/>
      </c>
      <c r="N18" s="137" t="str">
        <f>IF(AND(N17=""),"",IF(AND(Master!$I$5=Master!$AB$21),"",N17))</f>
        <v/>
      </c>
      <c r="O18" s="133">
        <f t="shared" si="2"/>
        <v>59099</v>
      </c>
      <c r="P18" s="137">
        <f>IF(AND(Master!I$5=Master!AB$21),"",P17)</f>
        <v>3000</v>
      </c>
      <c r="Q18" s="137">
        <f>IF(AND(Master!I$5=Master!AB$21),"",IF(AND(Master!I$6=Master!AC$2),Q17,""))</f>
        <v>5000</v>
      </c>
      <c r="R18" s="419">
        <f>IF(AND(Master!I$5=Master!AB$21),"",IF(AND(Master!I$6=Master!AC$2),R17,""))</f>
        <v>522</v>
      </c>
      <c r="S18" s="419" t="str">
        <f>IF(AND(Master!I$5=Master!AB$21),ROUND((F18)*0.1,0),IF(AND(Master!I$6=Master!AC$3),ROUND((F18+G18)*0.1,0),""))</f>
        <v/>
      </c>
      <c r="T18" s="137">
        <f>IF(AND(T17=""),"",IF(AND(Master!$I$5=Master!$AB$21),"",T17))</f>
        <v>442</v>
      </c>
      <c r="U18" s="137" t="str">
        <f>IF(AND(U17=""),"",IF(AND(Master!$I$5=Master!$AB$21),"",U17))</f>
        <v/>
      </c>
      <c r="V18" s="137" t="str">
        <f>IF(AND(V17=""),"",IF(AND(Master!$I$5=Master!$AB$21),"",V17))</f>
        <v/>
      </c>
      <c r="W18" s="137" t="str">
        <f>IF(AND(W17=""),"",IF(AND(Master!$I$5=Master!$AB$21),"",W17))</f>
        <v/>
      </c>
      <c r="X18" s="137">
        <f>IF(AND(X17=""),"",IF(AND(Master!$I$5=Master!$AB$21),"",X17))</f>
        <v>1500</v>
      </c>
      <c r="Y18" s="430"/>
      <c r="Z18" s="137" t="str">
        <f>IF(AND(Z17=""),"",IF(AND(Master!$I$5=Master!$AB$21),"",Z17))</f>
        <v/>
      </c>
      <c r="AA18" s="43">
        <f t="shared" si="0"/>
        <v>10464</v>
      </c>
      <c r="AB18" s="42">
        <f t="shared" si="1"/>
        <v>48635</v>
      </c>
      <c r="AC18" s="16"/>
      <c r="AD18" s="389"/>
      <c r="AE18" s="374" t="e">
        <f>IF(#REF!=#REF!,1,0)</f>
        <v>#REF!</v>
      </c>
      <c r="AF18" s="128"/>
      <c r="AG18" s="27"/>
      <c r="AH18" s="27"/>
      <c r="AI18" s="27"/>
      <c r="AJ18" s="27"/>
      <c r="AK18" s="27"/>
      <c r="AL18" s="27"/>
      <c r="AM18" s="27"/>
      <c r="AN18" s="27"/>
      <c r="AO18" s="27"/>
      <c r="AP18" s="27"/>
      <c r="AQ18" s="27"/>
      <c r="AR18" s="27"/>
      <c r="AS18" s="5" t="s">
        <v>347</v>
      </c>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row>
    <row r="19" spans="1:190" s="61" customFormat="1" ht="16.5" customHeight="1" x14ac:dyDescent="0.25">
      <c r="B19" s="388">
        <v>13</v>
      </c>
      <c r="C19" s="369" t="s">
        <v>12</v>
      </c>
      <c r="D19" s="37"/>
      <c r="E19" s="50"/>
      <c r="F19" s="55"/>
      <c r="G19" s="58"/>
      <c r="H19" s="57"/>
      <c r="I19" s="55"/>
      <c r="J19" s="55"/>
      <c r="K19" s="414">
        <f>IF(AND(Master!I4=""),"",IF(AND(Master!I4=Master!AB2),Master!J4,IF(AND(Master!I4=Master!AB3),"0","")))</f>
        <v>6774</v>
      </c>
      <c r="L19" s="55"/>
      <c r="M19" s="419"/>
      <c r="N19" s="55"/>
      <c r="O19" s="133">
        <f t="shared" si="2"/>
        <v>6774</v>
      </c>
      <c r="P19" s="55"/>
      <c r="Q19" s="55"/>
      <c r="R19" s="55"/>
      <c r="S19" s="420"/>
      <c r="T19" s="55"/>
      <c r="U19" s="55"/>
      <c r="V19" s="55"/>
      <c r="W19" s="55"/>
      <c r="X19" s="422"/>
      <c r="Y19" s="55"/>
      <c r="Z19" s="56"/>
      <c r="AA19" s="43">
        <f t="shared" si="0"/>
        <v>0</v>
      </c>
      <c r="AB19" s="42">
        <f t="shared" si="1"/>
        <v>6774</v>
      </c>
      <c r="AC19" s="54"/>
      <c r="AD19" s="391"/>
      <c r="AE19" s="44" t="e">
        <f>IF(#REF!=#REF!,1,0)</f>
        <v>#REF!</v>
      </c>
      <c r="AF19" s="28"/>
      <c r="AG19" s="28"/>
      <c r="AH19" s="28"/>
      <c r="AI19" s="28"/>
      <c r="AJ19" s="28"/>
      <c r="AK19" s="28"/>
      <c r="AL19" s="28"/>
      <c r="AM19" s="28"/>
      <c r="AN19" s="28"/>
      <c r="AO19" s="28"/>
      <c r="AP19" s="28"/>
      <c r="AQ19" s="28"/>
      <c r="AR19" s="28"/>
      <c r="AS19" s="5" t="s">
        <v>346</v>
      </c>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row>
    <row r="20" spans="1:190" s="48" customFormat="1" ht="16.5" customHeight="1" x14ac:dyDescent="0.25">
      <c r="B20" s="388">
        <v>14</v>
      </c>
      <c r="C20" s="145" t="s">
        <v>261</v>
      </c>
      <c r="D20" s="37"/>
      <c r="E20" s="50"/>
      <c r="F20" s="100"/>
      <c r="G20" s="137">
        <f>IF(AND(Master!I5=Master!AB21),"",(ROUND(136%*F7,0)-ROUND(132%*F7,0))*3)</f>
        <v>2352</v>
      </c>
      <c r="H20" s="57"/>
      <c r="I20" s="55"/>
      <c r="J20" s="55"/>
      <c r="K20" s="55"/>
      <c r="L20" s="55"/>
      <c r="M20" s="419" t="str">
        <f>IF(AND(Master!I5=Master!AB21),"",IF(AND(Master!I6=Master!AC3),ROUND(Bills!G20*10/100,0),""))</f>
        <v/>
      </c>
      <c r="N20" s="55"/>
      <c r="O20" s="133">
        <f t="shared" si="2"/>
        <v>2352</v>
      </c>
      <c r="P20" s="55"/>
      <c r="Q20" s="419">
        <f>IF(AND(Master!I6=Master!AC2),Bills!G20,"")</f>
        <v>2352</v>
      </c>
      <c r="R20" s="144"/>
      <c r="S20" s="419" t="str">
        <f>IF(AND(Master!I5=Master!AB21),"",IF(AND(Master!I6=Master!AC3),ROUND(Bills!G20*10/100,0),""))</f>
        <v/>
      </c>
      <c r="T20" s="55"/>
      <c r="U20" s="55"/>
      <c r="V20" s="55"/>
      <c r="W20" s="55"/>
      <c r="X20" s="422"/>
      <c r="Y20" s="55"/>
      <c r="Z20" s="56"/>
      <c r="AA20" s="43">
        <f t="shared" si="0"/>
        <v>2352</v>
      </c>
      <c r="AB20" s="42">
        <f t="shared" si="1"/>
        <v>0</v>
      </c>
      <c r="AC20" s="11"/>
      <c r="AD20" s="392"/>
      <c r="AE20" s="44" t="e">
        <f>IF(#REF!=#REF!,1,0)</f>
        <v>#REF!</v>
      </c>
      <c r="AF20" s="29"/>
      <c r="AG20" s="29"/>
      <c r="AH20" s="29"/>
      <c r="AI20" s="29"/>
      <c r="AJ20" s="29"/>
      <c r="AK20" s="29"/>
      <c r="AL20" s="29"/>
      <c r="AM20" s="29"/>
      <c r="AN20" s="29"/>
      <c r="AO20" s="29"/>
      <c r="AP20" s="29"/>
      <c r="AQ20" s="29"/>
      <c r="AR20" s="29"/>
      <c r="AS20" s="5">
        <v>6000</v>
      </c>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row>
    <row r="21" spans="1:190" s="48" customFormat="1" ht="16.5" customHeight="1" x14ac:dyDescent="0.25">
      <c r="B21" s="388">
        <v>15</v>
      </c>
      <c r="C21" s="145" t="s">
        <v>262</v>
      </c>
      <c r="D21" s="37"/>
      <c r="E21" s="50"/>
      <c r="F21" s="100"/>
      <c r="G21" s="137">
        <f>IF(AND(Master!I5=Master!AB21),"",(ROUND(139%*F11,0)-ROUND(136%*F11,0))*3)</f>
        <v>1818</v>
      </c>
      <c r="H21" s="57"/>
      <c r="I21" s="55"/>
      <c r="J21" s="55"/>
      <c r="K21" s="55"/>
      <c r="L21" s="55"/>
      <c r="M21" s="419" t="str">
        <f>IF(AND(Master!I5=Master!AB21),"",IF(AND(Master!I6=Master!AC3),ROUND(Bills!G21*10/100,0),""))</f>
        <v/>
      </c>
      <c r="N21" s="55"/>
      <c r="O21" s="133">
        <f t="shared" si="2"/>
        <v>1818</v>
      </c>
      <c r="P21" s="55"/>
      <c r="Q21" s="419">
        <f>IF(AND(Master!I6=Master!AC2),Bills!G21,"")</f>
        <v>1818</v>
      </c>
      <c r="R21" s="144"/>
      <c r="S21" s="419" t="str">
        <f>IF(AND(Master!I5=Master!AB21),"",IF(AND(Master!I6=Master!AC3),ROUND(Bills!G21*10/100,0),""))</f>
        <v/>
      </c>
      <c r="T21" s="55"/>
      <c r="U21" s="55"/>
      <c r="V21" s="55"/>
      <c r="W21" s="55"/>
      <c r="X21" s="422"/>
      <c r="Y21" s="55"/>
      <c r="Z21" s="56"/>
      <c r="AA21" s="43">
        <f t="shared" si="0"/>
        <v>1818</v>
      </c>
      <c r="AB21" s="42">
        <f t="shared" si="1"/>
        <v>0</v>
      </c>
      <c r="AC21" s="11"/>
      <c r="AD21" s="392"/>
      <c r="AE21" s="44" t="e">
        <f>IF(#REF!=#REF!,1,0)</f>
        <v>#REF!</v>
      </c>
      <c r="AF21" s="29"/>
      <c r="AG21" s="29"/>
      <c r="AH21" s="29"/>
      <c r="AI21" s="29"/>
      <c r="AJ21" s="29"/>
      <c r="AK21" s="29"/>
      <c r="AL21" s="29"/>
      <c r="AM21" s="29"/>
      <c r="AN21" s="29"/>
      <c r="AO21" s="29"/>
      <c r="AP21" s="29"/>
      <c r="AQ21" s="29"/>
      <c r="AR21" s="29"/>
      <c r="AS21" s="5">
        <v>6600</v>
      </c>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row>
    <row r="22" spans="1:190" ht="16.5" customHeight="1" x14ac:dyDescent="0.25">
      <c r="B22" s="388">
        <v>16</v>
      </c>
      <c r="C22" s="130" t="s">
        <v>263</v>
      </c>
      <c r="D22" s="13"/>
      <c r="E22" s="49"/>
      <c r="F22" s="137">
        <f>IF(Master!E3="NO",0,VLOOKUP(Master!I3,Bills!A7:G18,6,FALSE))/2</f>
        <v>10095</v>
      </c>
      <c r="G22" s="137">
        <f>IF(Master!E3="NO",0,VLOOKUP(Master!I3,Bills!A7:G18,7,FALSE))/2</f>
        <v>13729</v>
      </c>
      <c r="H22" s="57"/>
      <c r="I22" s="58"/>
      <c r="J22" s="58"/>
      <c r="K22" s="58"/>
      <c r="L22" s="58"/>
      <c r="M22" s="137"/>
      <c r="N22" s="58"/>
      <c r="O22" s="133">
        <f t="shared" si="2"/>
        <v>23824</v>
      </c>
      <c r="P22" s="58"/>
      <c r="Q22" s="138"/>
      <c r="R22" s="140"/>
      <c r="S22" s="137"/>
      <c r="T22" s="58"/>
      <c r="U22" s="58"/>
      <c r="V22" s="58"/>
      <c r="W22" s="58"/>
      <c r="X22" s="422"/>
      <c r="Y22" s="58"/>
      <c r="Z22" s="59"/>
      <c r="AA22" s="43">
        <f t="shared" si="0"/>
        <v>0</v>
      </c>
      <c r="AB22" s="42">
        <f t="shared" si="1"/>
        <v>23824</v>
      </c>
      <c r="AC22" s="16"/>
      <c r="AD22" s="390"/>
      <c r="AE22" s="44" t="e">
        <f>IF(#REF!=#REF!,1,0)</f>
        <v>#REF!</v>
      </c>
      <c r="AF22" s="27"/>
      <c r="AG22" s="27"/>
      <c r="AH22" s="27"/>
      <c r="AI22" s="27"/>
      <c r="AJ22" s="27"/>
      <c r="AK22" s="27"/>
      <c r="AL22" s="27"/>
      <c r="AM22" s="27"/>
      <c r="AN22" s="27"/>
      <c r="AO22" s="27"/>
      <c r="AP22" s="27"/>
      <c r="AQ22" s="27"/>
      <c r="AR22" s="27"/>
      <c r="AS22" s="5">
        <v>6800</v>
      </c>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row>
    <row r="23" spans="1:190" ht="16.5" customHeight="1" x14ac:dyDescent="0.25">
      <c r="B23" s="388">
        <v>17</v>
      </c>
      <c r="C23" s="130" t="s">
        <v>264</v>
      </c>
      <c r="D23" s="13"/>
      <c r="E23" s="49"/>
      <c r="F23" s="138"/>
      <c r="G23" s="137"/>
      <c r="H23" s="139"/>
      <c r="I23" s="139"/>
      <c r="J23" s="139"/>
      <c r="K23" s="139"/>
      <c r="L23" s="139"/>
      <c r="M23" s="137"/>
      <c r="N23" s="139"/>
      <c r="O23" s="133">
        <f t="shared" si="2"/>
        <v>0</v>
      </c>
      <c r="P23" s="58"/>
      <c r="Q23" s="138"/>
      <c r="R23" s="140"/>
      <c r="S23" s="137"/>
      <c r="T23" s="58"/>
      <c r="U23" s="58"/>
      <c r="V23" s="58"/>
      <c r="W23" s="58"/>
      <c r="X23" s="129"/>
      <c r="Y23" s="58"/>
      <c r="Z23" s="424"/>
      <c r="AA23" s="43">
        <f t="shared" si="0"/>
        <v>0</v>
      </c>
      <c r="AB23" s="42">
        <f t="shared" si="1"/>
        <v>0</v>
      </c>
      <c r="AC23" s="16"/>
      <c r="AD23" s="390"/>
      <c r="AE23" s="44" t="e">
        <f>IF(#REF!=#REF!,1,0)</f>
        <v>#REF!</v>
      </c>
      <c r="AF23" s="27"/>
      <c r="AG23" s="27"/>
      <c r="AH23" s="27"/>
      <c r="AI23" s="27"/>
      <c r="AJ23" s="27"/>
      <c r="AK23" s="27"/>
      <c r="AL23" s="27"/>
      <c r="AM23" s="27"/>
      <c r="AN23" s="27"/>
      <c r="AO23" s="27"/>
      <c r="AP23" s="27"/>
      <c r="AQ23" s="27"/>
      <c r="AR23" s="27"/>
      <c r="AS23" s="5">
        <v>7200</v>
      </c>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row>
    <row r="24" spans="1:190" ht="16.5" customHeight="1" x14ac:dyDescent="0.25">
      <c r="B24" s="388">
        <v>18</v>
      </c>
      <c r="C24" s="130" t="s">
        <v>265</v>
      </c>
      <c r="D24" s="13"/>
      <c r="E24" s="49"/>
      <c r="F24" s="138"/>
      <c r="G24" s="137"/>
      <c r="H24" s="136"/>
      <c r="I24" s="138"/>
      <c r="J24" s="138"/>
      <c r="K24" s="138"/>
      <c r="L24" s="138"/>
      <c r="M24" s="137"/>
      <c r="N24" s="138"/>
      <c r="O24" s="133">
        <f t="shared" si="2"/>
        <v>0</v>
      </c>
      <c r="P24" s="58"/>
      <c r="Q24" s="138"/>
      <c r="R24" s="140"/>
      <c r="S24" s="137"/>
      <c r="T24" s="58"/>
      <c r="U24" s="58"/>
      <c r="V24" s="58"/>
      <c r="W24" s="58"/>
      <c r="X24" s="129"/>
      <c r="Y24" s="58"/>
      <c r="Z24" s="424"/>
      <c r="AA24" s="43">
        <f t="shared" si="0"/>
        <v>0</v>
      </c>
      <c r="AB24" s="42">
        <f t="shared" si="1"/>
        <v>0</v>
      </c>
      <c r="AC24" s="16"/>
      <c r="AD24" s="390"/>
      <c r="AE24" s="44" t="e">
        <f>IF(#REF!=#REF!,1,0)</f>
        <v>#REF!</v>
      </c>
      <c r="AF24" s="27"/>
      <c r="AG24" s="27"/>
      <c r="AH24" s="27"/>
      <c r="AI24" s="27"/>
      <c r="AJ24" s="27"/>
      <c r="AK24" s="27"/>
      <c r="AL24" s="27"/>
      <c r="AM24" s="27"/>
      <c r="AN24" s="27"/>
      <c r="AO24" s="27"/>
      <c r="AP24" s="27"/>
      <c r="AQ24" s="27"/>
      <c r="AR24" s="27"/>
      <c r="AS24" s="5">
        <v>7600</v>
      </c>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row>
    <row r="25" spans="1:190" ht="16.5" customHeight="1" x14ac:dyDescent="0.25">
      <c r="B25" s="388">
        <v>19</v>
      </c>
      <c r="C25" s="131" t="s">
        <v>266</v>
      </c>
      <c r="D25" s="13"/>
      <c r="E25" s="49"/>
      <c r="F25" s="138"/>
      <c r="G25" s="137"/>
      <c r="H25" s="136"/>
      <c r="I25" s="138"/>
      <c r="J25" s="138"/>
      <c r="K25" s="138"/>
      <c r="L25" s="138"/>
      <c r="M25" s="137"/>
      <c r="N25" s="138"/>
      <c r="O25" s="133">
        <f t="shared" si="2"/>
        <v>0</v>
      </c>
      <c r="P25" s="58"/>
      <c r="Q25" s="138"/>
      <c r="R25" s="140"/>
      <c r="S25" s="137"/>
      <c r="T25" s="58"/>
      <c r="U25" s="58"/>
      <c r="V25" s="58"/>
      <c r="W25" s="58"/>
      <c r="X25" s="129"/>
      <c r="Y25" s="58"/>
      <c r="Z25" s="424"/>
      <c r="AA25" s="43">
        <f t="shared" si="0"/>
        <v>0</v>
      </c>
      <c r="AB25" s="42">
        <f t="shared" si="1"/>
        <v>0</v>
      </c>
      <c r="AC25" s="16"/>
      <c r="AD25" s="390"/>
      <c r="AE25" s="86" t="e">
        <f>IF(#REF!=#REF!,1,0)</f>
        <v>#REF!</v>
      </c>
      <c r="AF25" s="27"/>
      <c r="AG25" s="27"/>
      <c r="AH25" s="27"/>
      <c r="AI25" s="27"/>
      <c r="AJ25" s="27"/>
      <c r="AK25" s="27"/>
      <c r="AL25" s="27"/>
      <c r="AM25" s="27"/>
      <c r="AN25" s="27"/>
      <c r="AO25" s="27"/>
      <c r="AP25" s="27"/>
      <c r="AQ25" s="27"/>
      <c r="AR25" s="27"/>
      <c r="AS25" s="5">
        <v>8200</v>
      </c>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row>
    <row r="26" spans="1:190" s="21" customFormat="1" ht="16.5" customHeight="1" thickBot="1" x14ac:dyDescent="0.3">
      <c r="A26" s="371"/>
      <c r="B26" s="393">
        <v>20</v>
      </c>
      <c r="C26" s="394"/>
      <c r="D26" s="395"/>
      <c r="E26" s="396"/>
      <c r="F26" s="397"/>
      <c r="G26" s="397"/>
      <c r="H26" s="398"/>
      <c r="I26" s="397"/>
      <c r="J26" s="397"/>
      <c r="K26" s="397"/>
      <c r="L26" s="397"/>
      <c r="M26" s="137"/>
      <c r="N26" s="397"/>
      <c r="O26" s="399" t="str">
        <f t="shared" ref="O26" si="5">IF(AND(C26=""),"",SUM(F26:N26))</f>
        <v/>
      </c>
      <c r="P26" s="400"/>
      <c r="Q26" s="397"/>
      <c r="R26" s="401"/>
      <c r="S26" s="421"/>
      <c r="T26" s="400"/>
      <c r="U26" s="400"/>
      <c r="V26" s="400"/>
      <c r="W26" s="400"/>
      <c r="X26" s="423"/>
      <c r="Y26" s="400"/>
      <c r="Z26" s="425"/>
      <c r="AA26" s="402" t="str">
        <f>IF(AND(C26=""),"",SUM(P26:Z26))</f>
        <v/>
      </c>
      <c r="AB26" s="403" t="str">
        <f>IF(AND(C26=""),"",O26-AA26)</f>
        <v/>
      </c>
      <c r="AC26" s="404"/>
      <c r="AD26" s="405"/>
      <c r="AE26" s="373" t="e">
        <f>IF(#REF!=#REF!,1,0)</f>
        <v>#REF!</v>
      </c>
      <c r="AF26" s="128"/>
      <c r="AG26" s="128"/>
      <c r="AH26" s="128"/>
      <c r="AI26" s="128"/>
      <c r="AJ26" s="128"/>
      <c r="AK26" s="128"/>
      <c r="AL26" s="128"/>
      <c r="AM26" s="128"/>
      <c r="AN26" s="128"/>
      <c r="AO26" s="128"/>
      <c r="AP26" s="128"/>
      <c r="AQ26" s="128"/>
      <c r="AR26" s="128"/>
      <c r="AS26" s="5">
        <v>8700</v>
      </c>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47"/>
    </row>
    <row r="27" spans="1:190" s="3" customFormat="1" x14ac:dyDescent="0.25">
      <c r="B27" s="376"/>
      <c r="C27" s="377"/>
      <c r="D27" s="378"/>
      <c r="E27" s="379"/>
      <c r="F27" s="380"/>
      <c r="G27" s="378"/>
      <c r="H27" s="378"/>
      <c r="I27" s="378"/>
      <c r="J27" s="378"/>
      <c r="K27" s="378"/>
      <c r="L27" s="378"/>
      <c r="M27" s="378"/>
      <c r="N27" s="378"/>
      <c r="O27" s="381">
        <f t="shared" ref="O27:O42" si="6">SUM(F27:N27)</f>
        <v>0</v>
      </c>
      <c r="P27" s="378"/>
      <c r="Q27" s="378"/>
      <c r="R27" s="378"/>
      <c r="S27" s="378"/>
      <c r="T27" s="378"/>
      <c r="U27" s="378"/>
      <c r="V27" s="378"/>
      <c r="W27" s="378"/>
      <c r="X27" s="378"/>
      <c r="Y27" s="378"/>
      <c r="Z27" s="380"/>
      <c r="AA27" s="381">
        <f t="shared" ref="AA27:AA90" si="7">SUM(P27:Z27)</f>
        <v>0</v>
      </c>
      <c r="AB27" s="381">
        <f t="shared" ref="AB27:AB90" si="8">O27-AA27</f>
        <v>0</v>
      </c>
      <c r="AC27" s="382"/>
      <c r="AD27" s="382"/>
      <c r="AE27" s="44" t="e">
        <f>IF(#REF!=#REF!,1,0)</f>
        <v>#REF!</v>
      </c>
      <c r="AF27" s="24"/>
      <c r="AG27" s="24"/>
      <c r="AH27" s="24"/>
      <c r="AI27" s="24"/>
      <c r="AJ27" s="27"/>
      <c r="AK27" s="27"/>
      <c r="AL27" s="27"/>
      <c r="AM27" s="27"/>
      <c r="AN27" s="27"/>
      <c r="AO27" s="27"/>
      <c r="AP27" s="27"/>
      <c r="AQ27" s="27"/>
      <c r="AR27" s="27"/>
      <c r="AS27" s="5">
        <v>8900</v>
      </c>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row>
    <row r="28" spans="1:190" s="3" customFormat="1" x14ac:dyDescent="0.25">
      <c r="B28" s="383"/>
      <c r="C28" s="377"/>
      <c r="D28" s="378"/>
      <c r="E28" s="379"/>
      <c r="F28" s="380"/>
      <c r="G28" s="378"/>
      <c r="H28" s="378"/>
      <c r="I28" s="378"/>
      <c r="J28" s="378"/>
      <c r="K28" s="378"/>
      <c r="L28" s="378"/>
      <c r="M28" s="378"/>
      <c r="N28" s="378"/>
      <c r="O28" s="381">
        <f t="shared" si="6"/>
        <v>0</v>
      </c>
      <c r="P28" s="378"/>
      <c r="Q28" s="378"/>
      <c r="R28" s="378"/>
      <c r="S28" s="378"/>
      <c r="T28" s="378"/>
      <c r="U28" s="378"/>
      <c r="V28" s="378"/>
      <c r="W28" s="378"/>
      <c r="X28" s="378"/>
      <c r="Y28" s="378"/>
      <c r="Z28" s="380"/>
      <c r="AA28" s="381">
        <f t="shared" si="7"/>
        <v>0</v>
      </c>
      <c r="AB28" s="381">
        <f t="shared" si="8"/>
        <v>0</v>
      </c>
      <c r="AC28" s="382"/>
      <c r="AD28" s="382"/>
      <c r="AE28" s="44" t="e">
        <f>IF(#REF!=#REF!,1,0)</f>
        <v>#REF!</v>
      </c>
      <c r="AF28" s="24"/>
      <c r="AG28" s="24"/>
      <c r="AH28" s="24"/>
      <c r="AI28" s="24"/>
      <c r="AJ28" s="27"/>
      <c r="AK28" s="27"/>
      <c r="AL28" s="27"/>
      <c r="AM28" s="27"/>
      <c r="AN28" s="27"/>
      <c r="AO28" s="27"/>
      <c r="AP28" s="27"/>
      <c r="AQ28" s="27"/>
      <c r="AR28" s="27"/>
      <c r="AS28" s="5">
        <v>9500</v>
      </c>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row>
    <row r="29" spans="1:190" s="3" customFormat="1" x14ac:dyDescent="0.25">
      <c r="B29" s="383"/>
      <c r="C29" s="377"/>
      <c r="D29" s="378"/>
      <c r="E29" s="379"/>
      <c r="F29" s="380"/>
      <c r="G29" s="378"/>
      <c r="H29" s="378"/>
      <c r="I29" s="378"/>
      <c r="J29" s="378"/>
      <c r="K29" s="378"/>
      <c r="L29" s="378"/>
      <c r="M29" s="378"/>
      <c r="N29" s="378"/>
      <c r="O29" s="381">
        <f t="shared" si="6"/>
        <v>0</v>
      </c>
      <c r="P29" s="378"/>
      <c r="Q29" s="378"/>
      <c r="R29" s="378"/>
      <c r="S29" s="378"/>
      <c r="T29" s="378"/>
      <c r="U29" s="378"/>
      <c r="V29" s="378"/>
      <c r="W29" s="378"/>
      <c r="X29" s="378"/>
      <c r="Y29" s="378"/>
      <c r="Z29" s="380"/>
      <c r="AA29" s="381">
        <f t="shared" si="7"/>
        <v>0</v>
      </c>
      <c r="AB29" s="381">
        <f t="shared" si="8"/>
        <v>0</v>
      </c>
      <c r="AC29" s="382"/>
      <c r="AD29" s="382"/>
      <c r="AE29" s="44" t="e">
        <f>IF(#REF!=#REF!,1,0)</f>
        <v>#REF!</v>
      </c>
      <c r="AF29" s="24"/>
      <c r="AG29" s="24"/>
      <c r="AH29" s="24"/>
      <c r="AI29" s="24"/>
      <c r="AJ29" s="27"/>
      <c r="AK29" s="27"/>
      <c r="AL29" s="27"/>
      <c r="AM29" s="27"/>
      <c r="AN29" s="27"/>
      <c r="AO29" s="27"/>
      <c r="AP29" s="27"/>
      <c r="AQ29" s="27"/>
      <c r="AR29" s="27"/>
      <c r="AS29" s="5">
        <v>10000</v>
      </c>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row>
    <row r="30" spans="1:190" s="3" customFormat="1" x14ac:dyDescent="0.25">
      <c r="B30" s="383"/>
      <c r="C30" s="377"/>
      <c r="D30" s="378"/>
      <c r="E30" s="379"/>
      <c r="F30" s="380"/>
      <c r="G30" s="378"/>
      <c r="H30" s="378"/>
      <c r="I30" s="378"/>
      <c r="J30" s="378"/>
      <c r="K30" s="378"/>
      <c r="L30" s="378"/>
      <c r="M30" s="378"/>
      <c r="N30" s="378"/>
      <c r="O30" s="381">
        <f t="shared" si="6"/>
        <v>0</v>
      </c>
      <c r="P30" s="378"/>
      <c r="Q30" s="378"/>
      <c r="R30" s="378"/>
      <c r="S30" s="378"/>
      <c r="T30" s="378"/>
      <c r="U30" s="378"/>
      <c r="V30" s="378"/>
      <c r="W30" s="378"/>
      <c r="X30" s="378"/>
      <c r="Y30" s="378"/>
      <c r="Z30" s="380"/>
      <c r="AA30" s="381">
        <f t="shared" si="7"/>
        <v>0</v>
      </c>
      <c r="AB30" s="381">
        <f t="shared" si="8"/>
        <v>0</v>
      </c>
      <c r="AC30" s="382"/>
      <c r="AD30" s="382"/>
      <c r="AE30" s="44" t="e">
        <f>IF(#REF!=#REF!,1,0)</f>
        <v>#REF!</v>
      </c>
      <c r="AF30" s="24"/>
      <c r="AG30" s="24"/>
      <c r="AH30" s="24"/>
      <c r="AI30" s="24"/>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row>
    <row r="31" spans="1:190" s="3" customFormat="1" x14ac:dyDescent="0.25">
      <c r="B31" s="30"/>
      <c r="C31" s="31"/>
      <c r="D31" s="32"/>
      <c r="E31" s="33"/>
      <c r="F31" s="34"/>
      <c r="G31" s="32"/>
      <c r="H31" s="32"/>
      <c r="I31" s="32"/>
      <c r="J31" s="32"/>
      <c r="K31" s="32"/>
      <c r="L31" s="32"/>
      <c r="M31" s="32"/>
      <c r="N31" s="32"/>
      <c r="O31" s="38">
        <f t="shared" si="6"/>
        <v>0</v>
      </c>
      <c r="P31" s="32"/>
      <c r="Q31" s="32"/>
      <c r="R31" s="32"/>
      <c r="S31" s="32"/>
      <c r="T31" s="32"/>
      <c r="U31" s="32"/>
      <c r="V31" s="32"/>
      <c r="W31" s="32"/>
      <c r="X31" s="32"/>
      <c r="Y31" s="32"/>
      <c r="Z31" s="34"/>
      <c r="AA31" s="38">
        <f t="shared" si="7"/>
        <v>0</v>
      </c>
      <c r="AB31" s="38">
        <f t="shared" si="8"/>
        <v>0</v>
      </c>
      <c r="AC31" s="23"/>
      <c r="AD31" s="23"/>
      <c r="AE31" s="26" t="e">
        <f>IF(#REF!=#REF!,1,0)</f>
        <v>#REF!</v>
      </c>
      <c r="AF31" s="24"/>
      <c r="AG31" s="24"/>
      <c r="AH31" s="24"/>
      <c r="AI31" s="24"/>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row>
    <row r="32" spans="1:190" s="3" customFormat="1" x14ac:dyDescent="0.25">
      <c r="B32" s="30"/>
      <c r="C32" s="31"/>
      <c r="D32" s="32"/>
      <c r="E32" s="33"/>
      <c r="F32" s="34"/>
      <c r="G32" s="32"/>
      <c r="H32" s="32"/>
      <c r="I32" s="32"/>
      <c r="J32" s="32"/>
      <c r="K32" s="32"/>
      <c r="L32" s="32"/>
      <c r="M32" s="32"/>
      <c r="N32" s="32"/>
      <c r="O32" s="38">
        <f t="shared" si="6"/>
        <v>0</v>
      </c>
      <c r="P32" s="32"/>
      <c r="Q32" s="32"/>
      <c r="R32" s="32"/>
      <c r="S32" s="32"/>
      <c r="T32" s="32"/>
      <c r="U32" s="32"/>
      <c r="V32" s="32"/>
      <c r="W32" s="32"/>
      <c r="X32" s="32"/>
      <c r="Y32" s="32"/>
      <c r="Z32" s="34"/>
      <c r="AA32" s="38">
        <f t="shared" si="7"/>
        <v>0</v>
      </c>
      <c r="AB32" s="38">
        <f t="shared" si="8"/>
        <v>0</v>
      </c>
      <c r="AC32" s="23"/>
      <c r="AD32" s="23"/>
      <c r="AE32" s="26" t="e">
        <f>IF(#REF!=#REF!,1,0)</f>
        <v>#REF!</v>
      </c>
      <c r="AF32" s="24"/>
      <c r="AG32" s="24"/>
      <c r="AH32" s="24"/>
      <c r="AI32" s="24"/>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row>
    <row r="33" spans="2:189" s="3" customFormat="1" x14ac:dyDescent="0.25">
      <c r="B33" s="30"/>
      <c r="C33" s="31"/>
      <c r="D33" s="32"/>
      <c r="E33" s="33"/>
      <c r="F33" s="34"/>
      <c r="G33" s="32"/>
      <c r="H33" s="32"/>
      <c r="I33" s="32"/>
      <c r="J33" s="32"/>
      <c r="K33" s="32"/>
      <c r="L33" s="32"/>
      <c r="M33" s="32"/>
      <c r="N33" s="32"/>
      <c r="O33" s="38">
        <f t="shared" si="6"/>
        <v>0</v>
      </c>
      <c r="P33" s="32"/>
      <c r="Q33" s="32"/>
      <c r="R33" s="32"/>
      <c r="S33" s="32"/>
      <c r="T33" s="32"/>
      <c r="U33" s="32"/>
      <c r="V33" s="32"/>
      <c r="W33" s="32"/>
      <c r="X33" s="32"/>
      <c r="Y33" s="32"/>
      <c r="Z33" s="34"/>
      <c r="AA33" s="38">
        <f t="shared" si="7"/>
        <v>0</v>
      </c>
      <c r="AB33" s="38">
        <f t="shared" si="8"/>
        <v>0</v>
      </c>
      <c r="AC33" s="23"/>
      <c r="AD33" s="23"/>
      <c r="AE33" s="26" t="e">
        <f>IF(#REF!=#REF!,1,0)</f>
        <v>#REF!</v>
      </c>
      <c r="AF33" s="24"/>
      <c r="AG33" s="24"/>
      <c r="AH33" s="24"/>
      <c r="AI33" s="24"/>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row>
    <row r="34" spans="2:189" s="3" customFormat="1" x14ac:dyDescent="0.25">
      <c r="B34" s="30"/>
      <c r="C34" s="31"/>
      <c r="D34" s="32"/>
      <c r="E34" s="33"/>
      <c r="F34" s="34"/>
      <c r="G34" s="32"/>
      <c r="H34" s="32"/>
      <c r="I34" s="32"/>
      <c r="J34" s="32"/>
      <c r="K34" s="32"/>
      <c r="L34" s="32"/>
      <c r="M34" s="32"/>
      <c r="N34" s="32"/>
      <c r="O34" s="38">
        <f t="shared" si="6"/>
        <v>0</v>
      </c>
      <c r="P34" s="32"/>
      <c r="Q34" s="32"/>
      <c r="R34" s="32"/>
      <c r="S34" s="32"/>
      <c r="T34" s="32"/>
      <c r="U34" s="32"/>
      <c r="V34" s="32"/>
      <c r="W34" s="32"/>
      <c r="X34" s="32"/>
      <c r="Y34" s="32"/>
      <c r="Z34" s="34"/>
      <c r="AA34" s="38">
        <f t="shared" si="7"/>
        <v>0</v>
      </c>
      <c r="AB34" s="38">
        <f t="shared" si="8"/>
        <v>0</v>
      </c>
      <c r="AC34" s="23"/>
      <c r="AD34" s="23"/>
      <c r="AE34" s="26" t="e">
        <f>IF(#REF!=#REF!,1,0)</f>
        <v>#REF!</v>
      </c>
      <c r="AF34" s="24"/>
      <c r="AG34" s="24"/>
      <c r="AH34" s="24"/>
      <c r="AI34" s="24"/>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row>
    <row r="35" spans="2:189" s="3" customFormat="1" x14ac:dyDescent="0.25">
      <c r="B35" s="30"/>
      <c r="C35" s="31"/>
      <c r="D35" s="32"/>
      <c r="E35" s="33"/>
      <c r="F35" s="34"/>
      <c r="G35" s="32"/>
      <c r="H35" s="32"/>
      <c r="I35" s="32"/>
      <c r="J35" s="32"/>
      <c r="K35" s="32"/>
      <c r="L35" s="32"/>
      <c r="M35" s="32"/>
      <c r="N35" s="32"/>
      <c r="O35" s="38">
        <f t="shared" si="6"/>
        <v>0</v>
      </c>
      <c r="P35" s="32"/>
      <c r="Q35" s="32"/>
      <c r="R35" s="32"/>
      <c r="S35" s="32"/>
      <c r="T35" s="32"/>
      <c r="U35" s="32"/>
      <c r="V35" s="32"/>
      <c r="W35" s="32"/>
      <c r="X35" s="32"/>
      <c r="Y35" s="32"/>
      <c r="Z35" s="34"/>
      <c r="AA35" s="38">
        <f t="shared" si="7"/>
        <v>0</v>
      </c>
      <c r="AB35" s="38">
        <f t="shared" si="8"/>
        <v>0</v>
      </c>
      <c r="AC35" s="23"/>
      <c r="AD35" s="23"/>
      <c r="AE35" s="26" t="e">
        <f>IF(#REF!=#REF!,1,0)</f>
        <v>#REF!</v>
      </c>
      <c r="AF35" s="24"/>
      <c r="AG35" s="24"/>
      <c r="AH35" s="24"/>
      <c r="AI35" s="24"/>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2:189" s="3" customFormat="1" x14ac:dyDescent="0.25">
      <c r="B36" s="30"/>
      <c r="C36" s="31"/>
      <c r="D36" s="32"/>
      <c r="E36" s="33"/>
      <c r="F36" s="34"/>
      <c r="G36" s="32"/>
      <c r="H36" s="32"/>
      <c r="I36" s="32"/>
      <c r="J36" s="32"/>
      <c r="K36" s="32"/>
      <c r="L36" s="32"/>
      <c r="M36" s="32"/>
      <c r="N36" s="32"/>
      <c r="O36" s="38">
        <f t="shared" si="6"/>
        <v>0</v>
      </c>
      <c r="P36" s="32"/>
      <c r="Q36" s="32"/>
      <c r="R36" s="32"/>
      <c r="S36" s="32"/>
      <c r="T36" s="32"/>
      <c r="U36" s="32"/>
      <c r="V36" s="32"/>
      <c r="W36" s="32"/>
      <c r="X36" s="32"/>
      <c r="Y36" s="32"/>
      <c r="Z36" s="34"/>
      <c r="AA36" s="38">
        <f t="shared" si="7"/>
        <v>0</v>
      </c>
      <c r="AB36" s="38">
        <f t="shared" si="8"/>
        <v>0</v>
      </c>
      <c r="AC36" s="23"/>
      <c r="AD36" s="23"/>
      <c r="AE36" s="26" t="e">
        <f>IF(#REF!=#REF!,1,0)</f>
        <v>#REF!</v>
      </c>
      <c r="AF36" s="24"/>
      <c r="AG36" s="24"/>
      <c r="AH36" s="24"/>
      <c r="AI36" s="24"/>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row>
    <row r="37" spans="2:189" s="3" customFormat="1" x14ac:dyDescent="0.25">
      <c r="B37" s="30"/>
      <c r="C37" s="31"/>
      <c r="D37" s="32"/>
      <c r="E37" s="33"/>
      <c r="F37" s="34"/>
      <c r="G37" s="32"/>
      <c r="H37" s="32"/>
      <c r="I37" s="32"/>
      <c r="J37" s="32"/>
      <c r="K37" s="32"/>
      <c r="L37" s="32"/>
      <c r="M37" s="32"/>
      <c r="N37" s="32"/>
      <c r="O37" s="38">
        <f t="shared" si="6"/>
        <v>0</v>
      </c>
      <c r="P37" s="32"/>
      <c r="Q37" s="32"/>
      <c r="R37" s="32"/>
      <c r="S37" s="32"/>
      <c r="T37" s="32"/>
      <c r="U37" s="32"/>
      <c r="V37" s="32"/>
      <c r="W37" s="32"/>
      <c r="X37" s="32"/>
      <c r="Y37" s="32"/>
      <c r="Z37" s="34"/>
      <c r="AA37" s="38">
        <f t="shared" si="7"/>
        <v>0</v>
      </c>
      <c r="AB37" s="38">
        <f t="shared" si="8"/>
        <v>0</v>
      </c>
      <c r="AC37" s="23"/>
      <c r="AD37" s="23"/>
      <c r="AE37" s="26" t="e">
        <f>IF(#REF!=#REF!,1,0)</f>
        <v>#REF!</v>
      </c>
      <c r="AF37" s="24"/>
      <c r="AG37" s="24"/>
      <c r="AH37" s="24"/>
      <c r="AI37" s="24"/>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row>
    <row r="38" spans="2:189" s="3" customFormat="1" x14ac:dyDescent="0.25">
      <c r="B38" s="30"/>
      <c r="C38" s="31"/>
      <c r="D38" s="32"/>
      <c r="E38" s="33"/>
      <c r="F38" s="34"/>
      <c r="G38" s="32"/>
      <c r="H38" s="32"/>
      <c r="I38" s="32"/>
      <c r="J38" s="32"/>
      <c r="K38" s="32"/>
      <c r="L38" s="32"/>
      <c r="M38" s="32"/>
      <c r="N38" s="32"/>
      <c r="O38" s="38">
        <f t="shared" si="6"/>
        <v>0</v>
      </c>
      <c r="P38" s="32"/>
      <c r="Q38" s="32"/>
      <c r="R38" s="32"/>
      <c r="S38" s="32"/>
      <c r="T38" s="32"/>
      <c r="U38" s="32"/>
      <c r="V38" s="32"/>
      <c r="W38" s="32"/>
      <c r="X38" s="32"/>
      <c r="Y38" s="32"/>
      <c r="Z38" s="34"/>
      <c r="AA38" s="38">
        <f t="shared" si="7"/>
        <v>0</v>
      </c>
      <c r="AB38" s="38">
        <f t="shared" si="8"/>
        <v>0</v>
      </c>
      <c r="AC38" s="23"/>
      <c r="AD38" s="23"/>
      <c r="AE38" s="35" t="e">
        <f>IF(#REF!=#REF!,1,0)</f>
        <v>#REF!</v>
      </c>
      <c r="AF38" s="24"/>
      <c r="AG38" s="24"/>
      <c r="AH38" s="24"/>
      <c r="AI38" s="24"/>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row>
    <row r="39" spans="2:189" s="3" customFormat="1" x14ac:dyDescent="0.25">
      <c r="B39" s="30"/>
      <c r="C39" s="31"/>
      <c r="D39" s="32"/>
      <c r="E39" s="33"/>
      <c r="F39" s="34"/>
      <c r="G39" s="32"/>
      <c r="H39" s="32"/>
      <c r="I39" s="32"/>
      <c r="J39" s="32"/>
      <c r="K39" s="32"/>
      <c r="L39" s="32"/>
      <c r="M39" s="32"/>
      <c r="N39" s="32"/>
      <c r="O39" s="38">
        <f t="shared" si="6"/>
        <v>0</v>
      </c>
      <c r="P39" s="32"/>
      <c r="Q39" s="32"/>
      <c r="R39" s="32"/>
      <c r="S39" s="32"/>
      <c r="T39" s="32"/>
      <c r="U39" s="32"/>
      <c r="V39" s="32"/>
      <c r="W39" s="32"/>
      <c r="X39" s="32"/>
      <c r="Y39" s="32"/>
      <c r="Z39" s="34"/>
      <c r="AA39" s="38">
        <f t="shared" si="7"/>
        <v>0</v>
      </c>
      <c r="AB39" s="38">
        <f t="shared" si="8"/>
        <v>0</v>
      </c>
      <c r="AC39" s="23"/>
      <c r="AD39" s="23"/>
      <c r="AE39" s="35" t="e">
        <f>IF(#REF!=#REF!,1,0)</f>
        <v>#REF!</v>
      </c>
      <c r="AF39" s="24"/>
      <c r="AG39" s="24"/>
      <c r="AH39" s="24"/>
      <c r="AI39" s="24"/>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row>
    <row r="40" spans="2:189" s="3" customFormat="1" x14ac:dyDescent="0.25">
      <c r="B40" s="30"/>
      <c r="C40" s="31"/>
      <c r="D40" s="32"/>
      <c r="E40" s="33"/>
      <c r="F40" s="34"/>
      <c r="G40" s="32"/>
      <c r="H40" s="32"/>
      <c r="I40" s="32"/>
      <c r="J40" s="32"/>
      <c r="K40" s="32"/>
      <c r="L40" s="32"/>
      <c r="M40" s="32"/>
      <c r="N40" s="32"/>
      <c r="O40" s="38">
        <f t="shared" si="6"/>
        <v>0</v>
      </c>
      <c r="P40" s="32"/>
      <c r="Q40" s="32"/>
      <c r="R40" s="32"/>
      <c r="S40" s="32"/>
      <c r="T40" s="32"/>
      <c r="U40" s="32"/>
      <c r="V40" s="32"/>
      <c r="W40" s="32"/>
      <c r="X40" s="32"/>
      <c r="Y40" s="32"/>
      <c r="Z40" s="34"/>
      <c r="AA40" s="38">
        <f t="shared" si="7"/>
        <v>0</v>
      </c>
      <c r="AB40" s="38">
        <f t="shared" si="8"/>
        <v>0</v>
      </c>
      <c r="AC40" s="23"/>
      <c r="AD40" s="23"/>
      <c r="AE40" s="35" t="e">
        <f>IF(#REF!=#REF!,1,0)</f>
        <v>#REF!</v>
      </c>
      <c r="AF40" s="24"/>
      <c r="AG40" s="24"/>
      <c r="AH40" s="24"/>
      <c r="AI40" s="24"/>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2:189" s="3" customFormat="1" x14ac:dyDescent="0.25">
      <c r="B41" s="30"/>
      <c r="C41" s="31"/>
      <c r="D41" s="32"/>
      <c r="E41" s="33"/>
      <c r="F41" s="34"/>
      <c r="G41" s="32"/>
      <c r="H41" s="32"/>
      <c r="I41" s="32"/>
      <c r="J41" s="32"/>
      <c r="K41" s="32"/>
      <c r="L41" s="32"/>
      <c r="M41" s="32"/>
      <c r="N41" s="32"/>
      <c r="O41" s="38">
        <f t="shared" si="6"/>
        <v>0</v>
      </c>
      <c r="P41" s="32"/>
      <c r="Q41" s="32"/>
      <c r="R41" s="32"/>
      <c r="S41" s="32"/>
      <c r="T41" s="32"/>
      <c r="U41" s="32"/>
      <c r="V41" s="32"/>
      <c r="W41" s="32"/>
      <c r="X41" s="32"/>
      <c r="Y41" s="32"/>
      <c r="Z41" s="34"/>
      <c r="AA41" s="38">
        <f t="shared" si="7"/>
        <v>0</v>
      </c>
      <c r="AB41" s="38">
        <f t="shared" si="8"/>
        <v>0</v>
      </c>
      <c r="AC41" s="23"/>
      <c r="AD41" s="23"/>
      <c r="AE41" s="35" t="e">
        <f>IF(#REF!=#REF!,1,0)</f>
        <v>#REF!</v>
      </c>
      <c r="AF41" s="24"/>
      <c r="AG41" s="24"/>
      <c r="AH41" s="24"/>
      <c r="AI41" s="24"/>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2:189" s="3" customFormat="1" hidden="1" x14ac:dyDescent="0.25">
      <c r="B42" s="30"/>
      <c r="C42" s="31"/>
      <c r="D42" s="32"/>
      <c r="E42" s="33"/>
      <c r="F42" s="34"/>
      <c r="G42" s="32"/>
      <c r="H42" s="32"/>
      <c r="I42" s="32"/>
      <c r="J42" s="32"/>
      <c r="K42" s="32"/>
      <c r="L42" s="32"/>
      <c r="M42" s="32"/>
      <c r="N42" s="32"/>
      <c r="O42" s="38">
        <f t="shared" si="6"/>
        <v>0</v>
      </c>
      <c r="P42" s="32"/>
      <c r="Q42" s="32"/>
      <c r="R42" s="32"/>
      <c r="S42" s="32"/>
      <c r="T42" s="32"/>
      <c r="U42" s="32"/>
      <c r="V42" s="32"/>
      <c r="W42" s="32"/>
      <c r="X42" s="32"/>
      <c r="Y42" s="32"/>
      <c r="Z42" s="34"/>
      <c r="AA42" s="38">
        <f t="shared" si="7"/>
        <v>0</v>
      </c>
      <c r="AB42" s="38">
        <f t="shared" si="8"/>
        <v>0</v>
      </c>
      <c r="AC42" s="23"/>
      <c r="AD42" s="23"/>
      <c r="AE42" s="35" t="e">
        <f>IF(#REF!=#REF!,1,0)</f>
        <v>#REF!</v>
      </c>
      <c r="AF42" s="24"/>
      <c r="AG42" s="24"/>
      <c r="AH42" s="24"/>
      <c r="AI42" s="24"/>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2:189" ht="15" hidden="1" customHeight="1" x14ac:dyDescent="0.25">
      <c r="B43" s="39"/>
      <c r="C43" s="39"/>
      <c r="D43" s="39"/>
      <c r="E43" s="39"/>
      <c r="F43" s="39"/>
      <c r="G43" s="39"/>
      <c r="H43" s="39"/>
      <c r="I43" s="39"/>
      <c r="J43" s="39"/>
      <c r="K43" s="515" t="s">
        <v>337</v>
      </c>
      <c r="L43" s="515"/>
      <c r="M43" s="515"/>
      <c r="N43" s="515"/>
      <c r="O43" s="515"/>
      <c r="P43" s="515"/>
      <c r="Q43" s="515"/>
      <c r="R43" s="515"/>
      <c r="S43" s="515"/>
      <c r="T43" s="516" t="s">
        <v>338</v>
      </c>
      <c r="U43" s="516"/>
      <c r="V43" s="516"/>
      <c r="W43" s="516"/>
      <c r="X43" s="516"/>
      <c r="Y43" s="516"/>
      <c r="Z43" s="516"/>
      <c r="AA43" s="522" t="s">
        <v>339</v>
      </c>
      <c r="AB43" s="522"/>
      <c r="AC43" s="522"/>
      <c r="AD43" s="522"/>
      <c r="AE43" s="39"/>
      <c r="AF43" s="39"/>
      <c r="AG43" s="39"/>
      <c r="AH43" s="6"/>
      <c r="AI43" s="6"/>
      <c r="AJ43" s="6"/>
      <c r="AK43" s="5"/>
      <c r="AL43" s="5"/>
      <c r="AM43" s="5"/>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row>
    <row r="44" spans="2:189" ht="15" hidden="1" customHeight="1" x14ac:dyDescent="0.25">
      <c r="B44" s="6"/>
      <c r="C44" s="6"/>
      <c r="D44" s="6"/>
      <c r="E44" s="6"/>
      <c r="F44" s="6">
        <f>E3</f>
        <v>4200</v>
      </c>
      <c r="G44" s="102"/>
      <c r="H44" s="512" t="s">
        <v>340</v>
      </c>
      <c r="I44" s="512"/>
      <c r="J44" s="103"/>
      <c r="K44" s="104">
        <v>1700</v>
      </c>
      <c r="L44" s="104">
        <v>1750</v>
      </c>
      <c r="M44" s="105">
        <v>1900</v>
      </c>
      <c r="N44" s="106">
        <v>2000</v>
      </c>
      <c r="O44" s="106" t="s">
        <v>341</v>
      </c>
      <c r="P44" s="106" t="s">
        <v>342</v>
      </c>
      <c r="Q44" s="106" t="s">
        <v>343</v>
      </c>
      <c r="R44" s="107" t="s">
        <v>344</v>
      </c>
      <c r="S44" s="107" t="s">
        <v>345</v>
      </c>
      <c r="T44" s="108" t="s">
        <v>346</v>
      </c>
      <c r="U44" s="108">
        <v>6000</v>
      </c>
      <c r="V44" s="106">
        <v>6600</v>
      </c>
      <c r="W44" s="106">
        <v>6800</v>
      </c>
      <c r="X44" s="106">
        <v>7200</v>
      </c>
      <c r="Y44" s="108">
        <v>7600</v>
      </c>
      <c r="Z44" s="108">
        <v>8200</v>
      </c>
      <c r="AA44" s="106">
        <v>8700</v>
      </c>
      <c r="AB44" s="106">
        <v>8900</v>
      </c>
      <c r="AC44" s="106">
        <v>9500</v>
      </c>
      <c r="AD44" s="107">
        <v>10000</v>
      </c>
      <c r="AE44" s="39"/>
      <c r="AF44" s="39"/>
      <c r="AG44" s="39"/>
      <c r="AH44" s="6"/>
      <c r="AI44" s="6"/>
      <c r="AJ44" s="6"/>
      <c r="AK44" s="5"/>
      <c r="AL44" s="5"/>
      <c r="AM44" s="5"/>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row>
    <row r="45" spans="2:189" ht="15" hidden="1" customHeight="1" x14ac:dyDescent="0.25">
      <c r="B45" s="6"/>
      <c r="C45" s="6"/>
      <c r="D45" s="6"/>
      <c r="E45" s="6"/>
      <c r="F45" s="6"/>
      <c r="G45" s="109">
        <v>4200</v>
      </c>
      <c r="H45" s="110">
        <v>4800</v>
      </c>
      <c r="I45" s="110">
        <v>3600</v>
      </c>
      <c r="J45" s="111" t="s">
        <v>347</v>
      </c>
      <c r="K45" s="112">
        <v>1</v>
      </c>
      <c r="L45" s="112">
        <v>2</v>
      </c>
      <c r="M45" s="112">
        <v>3</v>
      </c>
      <c r="N45" s="112">
        <v>4</v>
      </c>
      <c r="O45" s="112">
        <v>5</v>
      </c>
      <c r="P45" s="112">
        <v>6</v>
      </c>
      <c r="Q45" s="112">
        <v>7</v>
      </c>
      <c r="R45" s="112">
        <v>8</v>
      </c>
      <c r="S45" s="112">
        <v>9</v>
      </c>
      <c r="T45" s="112">
        <v>14</v>
      </c>
      <c r="U45" s="112">
        <v>15</v>
      </c>
      <c r="V45" s="112">
        <v>16</v>
      </c>
      <c r="W45" s="112">
        <v>17</v>
      </c>
      <c r="X45" s="112">
        <v>18</v>
      </c>
      <c r="Y45" s="106">
        <v>19</v>
      </c>
      <c r="Z45" s="106">
        <v>20</v>
      </c>
      <c r="AA45" s="106">
        <v>21</v>
      </c>
      <c r="AB45" s="106">
        <v>22</v>
      </c>
      <c r="AC45" s="106">
        <v>23</v>
      </c>
      <c r="AD45" s="106">
        <v>24</v>
      </c>
      <c r="AE45" s="39"/>
      <c r="AF45" s="39"/>
      <c r="AG45" s="39"/>
      <c r="AH45" s="6"/>
      <c r="AI45" s="6"/>
      <c r="AJ45" s="6"/>
      <c r="AK45" s="5"/>
      <c r="AL45" s="5"/>
      <c r="AM45" s="5"/>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row>
    <row r="46" spans="2:189" ht="15" hidden="1" customHeight="1" x14ac:dyDescent="0.25">
      <c r="B46" s="6"/>
      <c r="C46" s="6"/>
      <c r="D46" s="6">
        <f t="shared" ref="D46:D85" si="9">F46</f>
        <v>26500</v>
      </c>
      <c r="E46" s="6">
        <f>F14*2.57</f>
        <v>51888.299999999996</v>
      </c>
      <c r="F46" s="6">
        <f>IF($F$44=4200,G46,IF($F$44=4800,H46,IF($F$44="5400A",J46,IF($F$44=3600,I46,IF($F$44=1700,K46,IF($F$44=1750,L46,IF($F$44=1900,M46,IF($F$44=2000,N46,IF($F$44="2400A",O46,IF($F$44="2400B",P46,IF($F$44="2400C",Q46,IF($F$44="2800A",R46,IF($F$44="2800B",S46,IF($F$44="5400B",T46,IF($F$44=6000,U46,IF($F$44=6600,V46,IF($F$44=6800,W46,IF($F$44=7200,X46,IF($F$44=7600,Y46,IF($F$44=8200,Z46,IF($F$44=8700,AA46,IF($F$44=8900,IF($F$44=9500,AC46,IF($F$44=10000,AD46,""))))))))))))))))))))))))</f>
        <v>26500</v>
      </c>
      <c r="G46" s="6">
        <v>26500</v>
      </c>
      <c r="H46" s="6">
        <v>31100</v>
      </c>
      <c r="I46" s="6">
        <v>23700</v>
      </c>
      <c r="J46" s="6">
        <v>39300</v>
      </c>
      <c r="K46" s="113">
        <v>12400</v>
      </c>
      <c r="L46" s="113">
        <v>12600</v>
      </c>
      <c r="M46" s="114">
        <v>12800</v>
      </c>
      <c r="N46" s="113">
        <v>13500</v>
      </c>
      <c r="O46" s="114">
        <v>14600</v>
      </c>
      <c r="P46" s="115">
        <v>15100</v>
      </c>
      <c r="Q46" s="116">
        <v>15700</v>
      </c>
      <c r="R46" s="117">
        <v>18500</v>
      </c>
      <c r="S46" s="117">
        <v>20100</v>
      </c>
      <c r="T46" s="118">
        <v>39300</v>
      </c>
      <c r="U46" s="118">
        <v>42500</v>
      </c>
      <c r="V46" s="114">
        <v>47200</v>
      </c>
      <c r="W46" s="114">
        <v>49700</v>
      </c>
      <c r="X46" s="114">
        <v>52800</v>
      </c>
      <c r="Y46" s="114">
        <v>58000</v>
      </c>
      <c r="Z46" s="114">
        <v>62300</v>
      </c>
      <c r="AA46" s="113">
        <v>86200</v>
      </c>
      <c r="AB46" s="113">
        <v>90800</v>
      </c>
      <c r="AC46" s="113">
        <v>102100</v>
      </c>
      <c r="AD46" s="119">
        <v>104200</v>
      </c>
      <c r="AE46" s="39"/>
      <c r="AF46" s="39"/>
      <c r="AG46" s="39"/>
      <c r="AH46" s="6"/>
      <c r="AI46" s="6"/>
      <c r="AJ46" s="6"/>
      <c r="AK46" s="5"/>
      <c r="AL46" s="5"/>
      <c r="AM46" s="5"/>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row>
    <row r="47" spans="2:189" ht="15" hidden="1" customHeight="1" x14ac:dyDescent="0.25">
      <c r="B47" s="6"/>
      <c r="C47" s="6"/>
      <c r="D47" s="6">
        <f t="shared" si="9"/>
        <v>37800</v>
      </c>
      <c r="E47" s="6">
        <f>IF(AND(E46&lt;=F46),F46,INDEX($D$46:$D$85,MATCH(E46,$F$46:$F$85)+(LOOKUP(E46,$F$46:$F$85)&lt;&gt;E46)))</f>
        <v>52300</v>
      </c>
      <c r="F47" s="6">
        <f t="shared" ref="F47:F85" si="10">IF($F$44=4200,G47,IF($F$44=4800,H47,IF($F$44="5400A",J47,IF($F$44=3600,I47,IF($F$44=1700,K47,IF($F$44=1750,L47,IF($F$44=1900,M47,IF($F$44=2000,N47,IF($F$44="2400A",O47,IF($F$44="2400B",P47,IF($F$44="2400C",Q47,IF($F$44="2800A",R47,IF($F$44="2800B",S47,IF($F$44="5400B",T47,IF($F$44=6000,U47,IF($F$44=6600,V47,IF($F$44=6800,W47,IF($F$44=7200,X47,IF($F$44=7600,Y47,IF($F$44=8200,Z47,IF($F$44=8700,AA47,IF($F$44=8900,IF($F$44=9500,AC47,IF($F$44=10000,AD47,""))))))))))))))))))))))))</f>
        <v>37800</v>
      </c>
      <c r="G47" s="6">
        <v>37800</v>
      </c>
      <c r="H47" s="6">
        <v>44300</v>
      </c>
      <c r="I47" s="6">
        <v>33800</v>
      </c>
      <c r="J47" s="6">
        <v>53100</v>
      </c>
      <c r="K47" s="113">
        <v>17700</v>
      </c>
      <c r="L47" s="113">
        <v>17900</v>
      </c>
      <c r="M47" s="114">
        <v>18200</v>
      </c>
      <c r="N47" s="113">
        <v>19200</v>
      </c>
      <c r="O47" s="114">
        <v>20800</v>
      </c>
      <c r="P47" s="115">
        <v>21500</v>
      </c>
      <c r="Q47" s="116">
        <v>22400</v>
      </c>
      <c r="R47" s="117">
        <v>25300</v>
      </c>
      <c r="S47" s="117">
        <v>28700</v>
      </c>
      <c r="T47" s="118">
        <v>56100</v>
      </c>
      <c r="U47" s="118">
        <v>60700</v>
      </c>
      <c r="V47" s="114">
        <v>67300</v>
      </c>
      <c r="W47" s="114">
        <v>71000</v>
      </c>
      <c r="X47" s="114">
        <v>75300</v>
      </c>
      <c r="Y47" s="114">
        <v>79900</v>
      </c>
      <c r="Z47" s="114">
        <v>88900</v>
      </c>
      <c r="AA47" s="113">
        <v>123100</v>
      </c>
      <c r="AB47" s="113">
        <v>129700</v>
      </c>
      <c r="AC47" s="113">
        <v>145800</v>
      </c>
      <c r="AD47" s="119">
        <v>148800</v>
      </c>
      <c r="AE47" s="39"/>
      <c r="AF47" s="39"/>
      <c r="AG47" s="39"/>
      <c r="AH47" s="6"/>
      <c r="AI47" s="6"/>
      <c r="AJ47" s="6"/>
      <c r="AK47" s="5"/>
      <c r="AL47" s="5"/>
      <c r="AM47" s="5"/>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row>
    <row r="48" spans="2:189" ht="15" hidden="1" customHeight="1" x14ac:dyDescent="0.25">
      <c r="B48" s="6"/>
      <c r="C48" s="6">
        <f>IF(AND(E46&lt;=F46),F46,INDEX($D$46:$D$85,MATCH(E46,$F$46:$F$85)+(LOOKUP(E46,$F$46:$F$85)&lt;&gt;E46)))</f>
        <v>52300</v>
      </c>
      <c r="D48" s="6">
        <f t="shared" si="9"/>
        <v>38900</v>
      </c>
      <c r="E48" s="6"/>
      <c r="F48" s="6">
        <f t="shared" si="10"/>
        <v>38900</v>
      </c>
      <c r="G48" s="6">
        <v>38900</v>
      </c>
      <c r="H48" s="6">
        <v>45600</v>
      </c>
      <c r="I48" s="6">
        <v>34800</v>
      </c>
      <c r="J48" s="6">
        <v>54700</v>
      </c>
      <c r="K48" s="114">
        <v>18200</v>
      </c>
      <c r="L48" s="114">
        <v>18400</v>
      </c>
      <c r="M48" s="114">
        <v>18700</v>
      </c>
      <c r="N48" s="114">
        <v>19800</v>
      </c>
      <c r="O48" s="114">
        <v>21400</v>
      </c>
      <c r="P48" s="115">
        <v>22100</v>
      </c>
      <c r="Q48" s="116">
        <v>23100</v>
      </c>
      <c r="R48" s="117">
        <v>27100</v>
      </c>
      <c r="S48" s="117">
        <v>29600</v>
      </c>
      <c r="T48" s="118">
        <v>57800</v>
      </c>
      <c r="U48" s="118">
        <v>62500</v>
      </c>
      <c r="V48" s="114">
        <v>69300</v>
      </c>
      <c r="W48" s="114">
        <v>73100</v>
      </c>
      <c r="X48" s="114">
        <v>77600</v>
      </c>
      <c r="Y48" s="114">
        <v>82300</v>
      </c>
      <c r="Z48" s="114">
        <v>91600</v>
      </c>
      <c r="AA48" s="113">
        <v>126800</v>
      </c>
      <c r="AB48" s="113">
        <v>133600</v>
      </c>
      <c r="AC48" s="113">
        <v>150200</v>
      </c>
      <c r="AD48" s="119">
        <v>153300</v>
      </c>
      <c r="AE48" s="39"/>
      <c r="AF48" s="39"/>
      <c r="AG48" s="39"/>
      <c r="AH48" s="6"/>
      <c r="AI48" s="6"/>
      <c r="AJ48" s="6"/>
      <c r="AK48" s="5"/>
      <c r="AL48" s="5"/>
      <c r="AM48" s="5"/>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row>
    <row r="49" spans="2:189" ht="15" hidden="1" customHeight="1" x14ac:dyDescent="0.25">
      <c r="B49" s="6" t="s">
        <v>348</v>
      </c>
      <c r="C49" s="6"/>
      <c r="D49" s="6">
        <f t="shared" si="9"/>
        <v>40100</v>
      </c>
      <c r="E49" s="6"/>
      <c r="F49" s="6">
        <f t="shared" si="10"/>
        <v>40100</v>
      </c>
      <c r="G49" s="6">
        <v>40100</v>
      </c>
      <c r="H49" s="6">
        <v>47000</v>
      </c>
      <c r="I49" s="6">
        <v>35800</v>
      </c>
      <c r="J49" s="6">
        <v>56300</v>
      </c>
      <c r="K49" s="114">
        <v>18700</v>
      </c>
      <c r="L49" s="114">
        <v>19000</v>
      </c>
      <c r="M49" s="113">
        <v>19300</v>
      </c>
      <c r="N49" s="118">
        <v>20400</v>
      </c>
      <c r="O49" s="113">
        <v>22000</v>
      </c>
      <c r="P49" s="120">
        <v>22800</v>
      </c>
      <c r="Q49" s="116">
        <v>23800</v>
      </c>
      <c r="R49" s="121">
        <v>27900</v>
      </c>
      <c r="S49" s="121">
        <v>30500</v>
      </c>
      <c r="T49" s="118">
        <v>59500</v>
      </c>
      <c r="U49" s="118">
        <v>64400</v>
      </c>
      <c r="V49" s="114">
        <v>71400</v>
      </c>
      <c r="W49" s="114">
        <v>75300</v>
      </c>
      <c r="X49" s="114">
        <v>79900</v>
      </c>
      <c r="Y49" s="114">
        <v>84800</v>
      </c>
      <c r="Z49" s="114">
        <v>94300</v>
      </c>
      <c r="AA49" s="113">
        <v>130600</v>
      </c>
      <c r="AB49" s="119">
        <v>137600</v>
      </c>
      <c r="AC49" s="119">
        <v>154700</v>
      </c>
      <c r="AD49" s="113">
        <v>157900</v>
      </c>
      <c r="AE49" s="39"/>
      <c r="AF49" s="39"/>
      <c r="AG49" s="39"/>
      <c r="AH49" s="6"/>
      <c r="AI49" s="6"/>
      <c r="AJ49" s="6"/>
      <c r="AK49" s="5"/>
      <c r="AL49" s="5"/>
      <c r="AM49" s="5"/>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row>
    <row r="50" spans="2:189" ht="15" hidden="1" customHeight="1" x14ac:dyDescent="0.25">
      <c r="B50" s="6" t="s">
        <v>349</v>
      </c>
      <c r="C50" s="6"/>
      <c r="D50" s="6">
        <f t="shared" si="9"/>
        <v>41300</v>
      </c>
      <c r="E50" s="6"/>
      <c r="F50" s="6">
        <f t="shared" si="10"/>
        <v>41300</v>
      </c>
      <c r="G50" s="6">
        <v>41300</v>
      </c>
      <c r="H50" s="6">
        <v>48400</v>
      </c>
      <c r="I50" s="6">
        <v>36900</v>
      </c>
      <c r="J50" s="6">
        <v>58000</v>
      </c>
      <c r="K50" s="114">
        <v>19300</v>
      </c>
      <c r="L50" s="114">
        <v>19600</v>
      </c>
      <c r="M50" s="113">
        <v>19900</v>
      </c>
      <c r="N50" s="118">
        <v>21000</v>
      </c>
      <c r="O50" s="114">
        <v>22700</v>
      </c>
      <c r="P50" s="115">
        <v>23500</v>
      </c>
      <c r="Q50" s="116">
        <v>24500</v>
      </c>
      <c r="R50" s="117">
        <v>28700</v>
      </c>
      <c r="S50" s="117">
        <v>31400</v>
      </c>
      <c r="T50" s="114">
        <v>61300</v>
      </c>
      <c r="U50" s="114">
        <v>66300</v>
      </c>
      <c r="V50" s="114">
        <v>73500</v>
      </c>
      <c r="W50" s="114">
        <v>77600</v>
      </c>
      <c r="X50" s="114">
        <v>82300</v>
      </c>
      <c r="Y50" s="114">
        <v>87300</v>
      </c>
      <c r="Z50" s="114">
        <v>97100</v>
      </c>
      <c r="AA50" s="118">
        <v>134500</v>
      </c>
      <c r="AB50" s="119">
        <v>141700</v>
      </c>
      <c r="AC50" s="119">
        <v>159300</v>
      </c>
      <c r="AD50" s="113">
        <v>162600</v>
      </c>
      <c r="AE50" s="39"/>
      <c r="AF50" s="39"/>
      <c r="AG50" s="39"/>
      <c r="AH50" s="6"/>
      <c r="AI50" s="6"/>
      <c r="AJ50" s="6"/>
      <c r="AK50" s="5"/>
      <c r="AL50" s="5"/>
      <c r="AM50" s="5"/>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row>
    <row r="51" spans="2:189" ht="15" hidden="1" customHeight="1" x14ac:dyDescent="0.25">
      <c r="B51" s="6" t="s">
        <v>350</v>
      </c>
      <c r="C51" s="6"/>
      <c r="D51" s="6">
        <f t="shared" si="9"/>
        <v>42500</v>
      </c>
      <c r="E51" s="6"/>
      <c r="F51" s="6">
        <f t="shared" si="10"/>
        <v>42500</v>
      </c>
      <c r="G51" s="6">
        <v>42500</v>
      </c>
      <c r="H51" s="6">
        <v>49900</v>
      </c>
      <c r="I51" s="6">
        <v>38000</v>
      </c>
      <c r="J51" s="6">
        <v>59700</v>
      </c>
      <c r="K51" s="122">
        <v>19900</v>
      </c>
      <c r="L51" s="122">
        <v>20200</v>
      </c>
      <c r="M51" s="114">
        <v>20500</v>
      </c>
      <c r="N51" s="118">
        <v>21600</v>
      </c>
      <c r="O51" s="114">
        <v>23400</v>
      </c>
      <c r="P51" s="115">
        <v>24200</v>
      </c>
      <c r="Q51" s="116">
        <v>25200</v>
      </c>
      <c r="R51" s="117">
        <v>29600</v>
      </c>
      <c r="S51" s="117">
        <v>32300</v>
      </c>
      <c r="T51" s="114">
        <v>63100</v>
      </c>
      <c r="U51" s="114">
        <v>68300</v>
      </c>
      <c r="V51" s="114">
        <v>75700</v>
      </c>
      <c r="W51" s="114">
        <v>79900</v>
      </c>
      <c r="X51" s="114">
        <v>84800</v>
      </c>
      <c r="Y51" s="114">
        <v>89900</v>
      </c>
      <c r="Z51" s="114">
        <v>100000</v>
      </c>
      <c r="AA51" s="113">
        <v>138500</v>
      </c>
      <c r="AB51" s="119">
        <v>146000</v>
      </c>
      <c r="AC51" s="119">
        <v>164100</v>
      </c>
      <c r="AD51" s="119">
        <v>167500</v>
      </c>
      <c r="AE51" s="39"/>
      <c r="AF51" s="39"/>
      <c r="AG51" s="39"/>
      <c r="AH51" s="6"/>
      <c r="AI51" s="6"/>
      <c r="AJ51" s="6"/>
      <c r="AK51" s="5"/>
      <c r="AL51" s="5"/>
      <c r="AM51" s="5"/>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row>
    <row r="52" spans="2:189" ht="15" hidden="1" customHeight="1" x14ac:dyDescent="0.25">
      <c r="B52" s="6" t="s">
        <v>351</v>
      </c>
      <c r="C52" s="6"/>
      <c r="D52" s="6">
        <f t="shared" si="9"/>
        <v>43800</v>
      </c>
      <c r="E52" s="6"/>
      <c r="F52" s="6">
        <f t="shared" si="10"/>
        <v>43800</v>
      </c>
      <c r="G52" s="6">
        <v>43800</v>
      </c>
      <c r="H52" s="6">
        <v>51400</v>
      </c>
      <c r="I52" s="6">
        <v>39100</v>
      </c>
      <c r="J52" s="6">
        <v>61500</v>
      </c>
      <c r="K52" s="123">
        <v>20500</v>
      </c>
      <c r="L52" s="123">
        <v>20800</v>
      </c>
      <c r="M52" s="114">
        <v>21100</v>
      </c>
      <c r="N52" s="118">
        <v>22200</v>
      </c>
      <c r="O52" s="118">
        <v>24100</v>
      </c>
      <c r="P52" s="124">
        <v>24900</v>
      </c>
      <c r="Q52" s="116">
        <v>26000</v>
      </c>
      <c r="R52" s="125">
        <v>30500</v>
      </c>
      <c r="S52" s="126">
        <v>33300</v>
      </c>
      <c r="T52" s="114">
        <v>65000</v>
      </c>
      <c r="U52" s="114">
        <v>70300</v>
      </c>
      <c r="V52" s="114">
        <v>78000</v>
      </c>
      <c r="W52" s="114">
        <v>82300</v>
      </c>
      <c r="X52" s="114">
        <v>87300</v>
      </c>
      <c r="Y52" s="114">
        <v>92600</v>
      </c>
      <c r="Z52" s="114">
        <v>103000</v>
      </c>
      <c r="AA52" s="113">
        <v>142700</v>
      </c>
      <c r="AB52" s="119">
        <v>150400</v>
      </c>
      <c r="AC52" s="119">
        <v>169000</v>
      </c>
      <c r="AD52" s="119">
        <v>172500</v>
      </c>
      <c r="AE52" s="39"/>
      <c r="AF52" s="39"/>
      <c r="AG52" s="39"/>
      <c r="AH52" s="6"/>
      <c r="AI52" s="6"/>
      <c r="AJ52" s="6"/>
      <c r="AK52" s="5"/>
      <c r="AL52" s="5"/>
      <c r="AM52" s="5"/>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row>
    <row r="53" spans="2:189" ht="15" hidden="1" customHeight="1" x14ac:dyDescent="0.25">
      <c r="B53" s="6"/>
      <c r="C53" s="6"/>
      <c r="D53" s="6">
        <f t="shared" si="9"/>
        <v>45100</v>
      </c>
      <c r="E53" s="6"/>
      <c r="F53" s="6">
        <f t="shared" si="10"/>
        <v>45100</v>
      </c>
      <c r="G53" s="6">
        <v>45100</v>
      </c>
      <c r="H53" s="6">
        <v>52900</v>
      </c>
      <c r="I53" s="6">
        <v>40300</v>
      </c>
      <c r="J53" s="6">
        <v>63300</v>
      </c>
      <c r="K53" s="114">
        <v>21100</v>
      </c>
      <c r="L53" s="114">
        <v>21400</v>
      </c>
      <c r="M53" s="114">
        <v>21700</v>
      </c>
      <c r="N53" s="118">
        <v>22900</v>
      </c>
      <c r="O53" s="114">
        <v>24800</v>
      </c>
      <c r="P53" s="115">
        <v>25600</v>
      </c>
      <c r="Q53" s="116">
        <v>26800</v>
      </c>
      <c r="R53" s="117">
        <v>31400</v>
      </c>
      <c r="S53" s="125">
        <v>34300</v>
      </c>
      <c r="T53" s="114">
        <v>67000</v>
      </c>
      <c r="U53" s="114">
        <v>72400</v>
      </c>
      <c r="V53" s="114">
        <v>80300</v>
      </c>
      <c r="W53" s="114">
        <v>84800</v>
      </c>
      <c r="X53" s="114">
        <v>89900</v>
      </c>
      <c r="Y53" s="114">
        <v>95400</v>
      </c>
      <c r="Z53" s="114">
        <v>106100</v>
      </c>
      <c r="AA53" s="113">
        <v>147000</v>
      </c>
      <c r="AB53" s="119">
        <v>154900</v>
      </c>
      <c r="AC53" s="119">
        <v>174100</v>
      </c>
      <c r="AD53" s="113">
        <v>177700</v>
      </c>
      <c r="AE53" s="39"/>
      <c r="AF53" s="39"/>
      <c r="AG53" s="39"/>
      <c r="AH53" s="6"/>
      <c r="AI53" s="6"/>
      <c r="AJ53" s="6"/>
      <c r="AK53" s="5"/>
      <c r="AL53" s="5"/>
      <c r="AM53" s="5"/>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row>
    <row r="54" spans="2:189" ht="15.75" hidden="1" customHeight="1" x14ac:dyDescent="0.25">
      <c r="B54" s="6"/>
      <c r="C54" s="6"/>
      <c r="D54" s="6">
        <f t="shared" si="9"/>
        <v>46500</v>
      </c>
      <c r="E54" s="6"/>
      <c r="F54" s="6">
        <f t="shared" si="10"/>
        <v>46500</v>
      </c>
      <c r="G54" s="6">
        <v>46500</v>
      </c>
      <c r="H54" s="6">
        <v>54500</v>
      </c>
      <c r="I54" s="6">
        <v>41500</v>
      </c>
      <c r="J54" s="6">
        <v>65200</v>
      </c>
      <c r="K54" s="122">
        <v>21700</v>
      </c>
      <c r="L54" s="122">
        <v>22000</v>
      </c>
      <c r="M54" s="114">
        <v>22400</v>
      </c>
      <c r="N54" s="118">
        <v>23600</v>
      </c>
      <c r="O54" s="114">
        <v>25500</v>
      </c>
      <c r="P54" s="115">
        <v>26400</v>
      </c>
      <c r="Q54" s="116">
        <v>27600</v>
      </c>
      <c r="R54" s="117">
        <v>32300</v>
      </c>
      <c r="S54" s="117">
        <v>35300</v>
      </c>
      <c r="T54" s="114">
        <v>69000</v>
      </c>
      <c r="U54" s="114">
        <v>74600</v>
      </c>
      <c r="V54" s="114">
        <v>82700</v>
      </c>
      <c r="W54" s="114">
        <v>87300</v>
      </c>
      <c r="X54" s="114">
        <v>92600</v>
      </c>
      <c r="Y54" s="114">
        <v>98300</v>
      </c>
      <c r="Z54" s="114">
        <v>109300</v>
      </c>
      <c r="AA54" s="113">
        <v>151400</v>
      </c>
      <c r="AB54" s="119">
        <v>159500</v>
      </c>
      <c r="AC54" s="119">
        <v>179300</v>
      </c>
      <c r="AD54" s="113">
        <v>183000</v>
      </c>
      <c r="AE54" s="39"/>
      <c r="AF54" s="39"/>
      <c r="AG54" s="39"/>
      <c r="AH54" s="6"/>
      <c r="AI54" s="6"/>
      <c r="AJ54" s="6"/>
      <c r="AK54" s="5"/>
      <c r="AL54" s="5"/>
      <c r="AM54" s="5"/>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row>
    <row r="55" spans="2:189" hidden="1" x14ac:dyDescent="0.25">
      <c r="B55" s="6"/>
      <c r="C55" s="6"/>
      <c r="D55" s="6">
        <f t="shared" si="9"/>
        <v>47900</v>
      </c>
      <c r="E55" s="6"/>
      <c r="F55" s="6">
        <f t="shared" si="10"/>
        <v>47900</v>
      </c>
      <c r="G55" s="6">
        <v>47900</v>
      </c>
      <c r="H55" s="6">
        <v>56100</v>
      </c>
      <c r="I55" s="6">
        <v>42700</v>
      </c>
      <c r="J55" s="6">
        <v>67200</v>
      </c>
      <c r="K55" s="123">
        <v>22400</v>
      </c>
      <c r="L55" s="123">
        <v>22700</v>
      </c>
      <c r="M55" s="114">
        <v>23100</v>
      </c>
      <c r="N55" s="118">
        <v>24300</v>
      </c>
      <c r="O55" s="114">
        <v>26300</v>
      </c>
      <c r="P55" s="115">
        <v>27200</v>
      </c>
      <c r="Q55" s="116">
        <v>28200</v>
      </c>
      <c r="R55" s="117">
        <v>33300</v>
      </c>
      <c r="S55" s="117">
        <v>36400</v>
      </c>
      <c r="T55" s="113">
        <v>71100</v>
      </c>
      <c r="U55" s="113">
        <v>76800</v>
      </c>
      <c r="V55" s="114">
        <v>85200</v>
      </c>
      <c r="W55" s="114">
        <v>89900</v>
      </c>
      <c r="X55" s="114">
        <v>95400</v>
      </c>
      <c r="Y55" s="114">
        <v>101200</v>
      </c>
      <c r="Z55" s="114">
        <v>112600</v>
      </c>
      <c r="AA55" s="113">
        <v>155900</v>
      </c>
      <c r="AB55" s="119">
        <v>164300</v>
      </c>
      <c r="AC55" s="119">
        <v>184700</v>
      </c>
      <c r="AD55" s="113">
        <v>188500</v>
      </c>
      <c r="AE55" s="39"/>
      <c r="AF55" s="39"/>
      <c r="AG55" s="39"/>
      <c r="AH55" s="6"/>
      <c r="AI55" s="6"/>
      <c r="AJ55" s="6"/>
      <c r="AK55" s="5"/>
      <c r="AL55" s="5"/>
      <c r="AM55" s="5"/>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row>
    <row r="56" spans="2:189" hidden="1" x14ac:dyDescent="0.25">
      <c r="B56" s="6"/>
      <c r="C56" s="6"/>
      <c r="D56" s="6">
        <f t="shared" si="9"/>
        <v>49300</v>
      </c>
      <c r="E56" s="6"/>
      <c r="F56" s="6">
        <f t="shared" si="10"/>
        <v>49300</v>
      </c>
      <c r="G56" s="6">
        <v>49300</v>
      </c>
      <c r="H56" s="6">
        <v>57800</v>
      </c>
      <c r="I56" s="6">
        <v>44000</v>
      </c>
      <c r="J56" s="6">
        <v>69200</v>
      </c>
      <c r="K56" s="114">
        <v>23100</v>
      </c>
      <c r="L56" s="114">
        <v>23400</v>
      </c>
      <c r="M56" s="118">
        <v>23800</v>
      </c>
      <c r="N56" s="118">
        <v>25000</v>
      </c>
      <c r="O56" s="114">
        <v>27100</v>
      </c>
      <c r="P56" s="115">
        <v>28000</v>
      </c>
      <c r="Q56" s="116">
        <v>29300</v>
      </c>
      <c r="R56" s="117">
        <v>34300</v>
      </c>
      <c r="S56" s="117">
        <v>37500</v>
      </c>
      <c r="T56" s="114">
        <v>73200</v>
      </c>
      <c r="U56" s="114">
        <v>79100</v>
      </c>
      <c r="V56" s="114">
        <v>87800</v>
      </c>
      <c r="W56" s="114">
        <v>92600</v>
      </c>
      <c r="X56" s="114">
        <v>98300</v>
      </c>
      <c r="Y56" s="119">
        <v>104200</v>
      </c>
      <c r="Z56" s="119">
        <v>116000</v>
      </c>
      <c r="AA56" s="113">
        <v>160600</v>
      </c>
      <c r="AB56" s="113">
        <v>169200</v>
      </c>
      <c r="AC56" s="113">
        <v>190200</v>
      </c>
      <c r="AD56" s="113">
        <v>194200</v>
      </c>
      <c r="AE56" s="39"/>
      <c r="AF56" s="39"/>
      <c r="AG56" s="39"/>
      <c r="AH56" s="6"/>
      <c r="AI56" s="6"/>
      <c r="AJ56" s="6"/>
      <c r="AK56" s="5"/>
      <c r="AL56" s="5"/>
      <c r="AM56" s="5"/>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row>
    <row r="57" spans="2:189" hidden="1" x14ac:dyDescent="0.25">
      <c r="B57" s="6"/>
      <c r="C57" s="6"/>
      <c r="D57" s="6">
        <f t="shared" si="9"/>
        <v>50800</v>
      </c>
      <c r="E57" s="6"/>
      <c r="F57" s="6">
        <f t="shared" si="10"/>
        <v>50800</v>
      </c>
      <c r="G57" s="6">
        <v>50800</v>
      </c>
      <c r="H57" s="6">
        <v>59500</v>
      </c>
      <c r="I57" s="6">
        <v>45300</v>
      </c>
      <c r="J57" s="6">
        <v>71300</v>
      </c>
      <c r="K57" s="113">
        <v>23800</v>
      </c>
      <c r="L57" s="113">
        <v>24100</v>
      </c>
      <c r="M57" s="118">
        <v>24500</v>
      </c>
      <c r="N57" s="118">
        <v>25800</v>
      </c>
      <c r="O57" s="114">
        <v>27900</v>
      </c>
      <c r="P57" s="115">
        <v>28800</v>
      </c>
      <c r="Q57" s="116">
        <v>30200</v>
      </c>
      <c r="R57" s="117">
        <v>35300</v>
      </c>
      <c r="S57" s="117">
        <v>38600</v>
      </c>
      <c r="T57" s="114">
        <v>75400</v>
      </c>
      <c r="U57" s="114">
        <v>81500</v>
      </c>
      <c r="V57" s="113">
        <v>90400</v>
      </c>
      <c r="W57" s="113">
        <v>95400</v>
      </c>
      <c r="X57" s="113">
        <v>101200</v>
      </c>
      <c r="Y57" s="119">
        <v>107300</v>
      </c>
      <c r="Z57" s="119">
        <v>119500</v>
      </c>
      <c r="AA57" s="113">
        <v>165400</v>
      </c>
      <c r="AB57" s="119">
        <v>174300</v>
      </c>
      <c r="AC57" s="119">
        <v>195900</v>
      </c>
      <c r="AD57" s="119">
        <v>200000</v>
      </c>
      <c r="AE57" s="39"/>
      <c r="AF57" s="39"/>
      <c r="AG57" s="39"/>
      <c r="AH57" s="6"/>
      <c r="AI57" s="6"/>
      <c r="AJ57" s="6"/>
      <c r="AK57" s="5"/>
      <c r="AL57" s="5"/>
      <c r="AM57" s="5"/>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row>
    <row r="58" spans="2:189" hidden="1" x14ac:dyDescent="0.25">
      <c r="B58" s="6"/>
      <c r="C58" s="6"/>
      <c r="D58" s="6">
        <f t="shared" si="9"/>
        <v>52300</v>
      </c>
      <c r="E58" s="6"/>
      <c r="F58" s="6">
        <f t="shared" si="10"/>
        <v>52300</v>
      </c>
      <c r="G58" s="6">
        <v>52300</v>
      </c>
      <c r="H58" s="6">
        <v>61300</v>
      </c>
      <c r="I58" s="6">
        <v>46700</v>
      </c>
      <c r="J58" s="6">
        <v>73400</v>
      </c>
      <c r="K58" s="114">
        <v>24500</v>
      </c>
      <c r="L58" s="114">
        <v>24800</v>
      </c>
      <c r="M58" s="114">
        <v>25200</v>
      </c>
      <c r="N58" s="114">
        <v>26600</v>
      </c>
      <c r="O58" s="114">
        <v>28700</v>
      </c>
      <c r="P58" s="115">
        <v>29700</v>
      </c>
      <c r="Q58" s="116">
        <v>31100</v>
      </c>
      <c r="R58" s="117">
        <v>36400</v>
      </c>
      <c r="S58" s="117">
        <v>39800</v>
      </c>
      <c r="T58" s="114">
        <v>77700</v>
      </c>
      <c r="U58" s="114">
        <v>83900</v>
      </c>
      <c r="V58" s="114">
        <v>93100</v>
      </c>
      <c r="W58" s="114">
        <v>98300</v>
      </c>
      <c r="X58" s="114">
        <v>104200</v>
      </c>
      <c r="Y58" s="119">
        <v>110500</v>
      </c>
      <c r="Z58" s="119">
        <v>123100</v>
      </c>
      <c r="AA58" s="113">
        <v>170400</v>
      </c>
      <c r="AB58" s="113">
        <v>179500</v>
      </c>
      <c r="AC58" s="113">
        <v>201800</v>
      </c>
      <c r="AD58" s="119">
        <v>206000</v>
      </c>
      <c r="AE58" s="39"/>
      <c r="AF58" s="39"/>
      <c r="AG58" s="39"/>
      <c r="AH58" s="6"/>
      <c r="AI58" s="6"/>
      <c r="AJ58" s="6"/>
      <c r="AK58" s="5"/>
      <c r="AL58" s="5"/>
      <c r="AM58" s="5"/>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row>
    <row r="59" spans="2:189" hidden="1" x14ac:dyDescent="0.25">
      <c r="B59" s="6"/>
      <c r="C59" s="6"/>
      <c r="D59" s="6">
        <f t="shared" si="9"/>
        <v>53900</v>
      </c>
      <c r="E59" s="6"/>
      <c r="F59" s="6">
        <f t="shared" si="10"/>
        <v>53900</v>
      </c>
      <c r="G59" s="6">
        <v>53900</v>
      </c>
      <c r="H59" s="6">
        <v>63100</v>
      </c>
      <c r="I59" s="6">
        <v>48100</v>
      </c>
      <c r="J59" s="6">
        <v>75600</v>
      </c>
      <c r="K59" s="114">
        <v>25200</v>
      </c>
      <c r="L59" s="114">
        <v>25500</v>
      </c>
      <c r="M59" s="118">
        <v>26000</v>
      </c>
      <c r="N59" s="113">
        <v>27400</v>
      </c>
      <c r="O59" s="114">
        <v>29600</v>
      </c>
      <c r="P59" s="115">
        <v>30600</v>
      </c>
      <c r="Q59" s="116">
        <v>32000</v>
      </c>
      <c r="R59" s="117">
        <v>37500</v>
      </c>
      <c r="S59" s="117">
        <v>41000</v>
      </c>
      <c r="T59" s="114">
        <v>80000</v>
      </c>
      <c r="U59" s="114">
        <v>86400</v>
      </c>
      <c r="V59" s="113">
        <v>95900</v>
      </c>
      <c r="W59" s="113">
        <v>101200</v>
      </c>
      <c r="X59" s="113">
        <v>107300</v>
      </c>
      <c r="Y59" s="113">
        <v>113800</v>
      </c>
      <c r="Z59" s="113">
        <v>126800</v>
      </c>
      <c r="AA59" s="113">
        <v>175500</v>
      </c>
      <c r="AB59" s="113">
        <v>184900</v>
      </c>
      <c r="AC59" s="113">
        <v>207900</v>
      </c>
      <c r="AD59" s="114">
        <v>212200</v>
      </c>
      <c r="AE59" s="39"/>
      <c r="AF59" s="39"/>
      <c r="AG59" s="39"/>
      <c r="AH59" s="6"/>
      <c r="AI59" s="6"/>
      <c r="AJ59" s="6"/>
      <c r="AK59" s="5"/>
      <c r="AL59" s="5"/>
      <c r="AM59" s="5"/>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row>
    <row r="60" spans="2:189" hidden="1" x14ac:dyDescent="0.25">
      <c r="B60" s="6"/>
      <c r="C60" s="6"/>
      <c r="D60" s="6">
        <f t="shared" si="9"/>
        <v>55500</v>
      </c>
      <c r="E60" s="6"/>
      <c r="F60" s="6">
        <f t="shared" si="10"/>
        <v>55500</v>
      </c>
      <c r="G60" s="6">
        <v>55500</v>
      </c>
      <c r="H60" s="6">
        <v>65000</v>
      </c>
      <c r="I60" s="6">
        <v>49500</v>
      </c>
      <c r="J60" s="6">
        <v>77900</v>
      </c>
      <c r="K60" s="114">
        <v>26000</v>
      </c>
      <c r="L60" s="114">
        <v>26300</v>
      </c>
      <c r="M60" s="118">
        <v>26800</v>
      </c>
      <c r="N60" s="114">
        <v>28200</v>
      </c>
      <c r="O60" s="114">
        <v>30500</v>
      </c>
      <c r="P60" s="115">
        <v>31500</v>
      </c>
      <c r="Q60" s="116">
        <v>33000</v>
      </c>
      <c r="R60" s="117">
        <v>38600</v>
      </c>
      <c r="S60" s="117">
        <v>42200</v>
      </c>
      <c r="T60" s="114">
        <v>82400</v>
      </c>
      <c r="U60" s="114">
        <v>89000</v>
      </c>
      <c r="V60" s="114">
        <v>98800</v>
      </c>
      <c r="W60" s="114">
        <v>104200</v>
      </c>
      <c r="X60" s="114">
        <v>110500</v>
      </c>
      <c r="Y60" s="119">
        <v>117200</v>
      </c>
      <c r="Z60" s="119">
        <v>130600</v>
      </c>
      <c r="AA60" s="113">
        <v>180800</v>
      </c>
      <c r="AB60" s="119">
        <v>190400</v>
      </c>
      <c r="AC60" s="119">
        <v>214100</v>
      </c>
      <c r="AD60" s="113">
        <v>218600</v>
      </c>
      <c r="AE60" s="39"/>
      <c r="AF60" s="39"/>
      <c r="AG60" s="39"/>
      <c r="AH60" s="6"/>
      <c r="AI60" s="6"/>
      <c r="AJ60" s="6"/>
      <c r="AK60" s="5"/>
      <c r="AL60" s="5"/>
      <c r="AM60" s="5"/>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row>
    <row r="61" spans="2:189" hidden="1" x14ac:dyDescent="0.25">
      <c r="B61" s="6"/>
      <c r="C61" s="6"/>
      <c r="D61" s="6">
        <f t="shared" si="9"/>
        <v>57200</v>
      </c>
      <c r="E61" s="6"/>
      <c r="F61" s="6">
        <f t="shared" si="10"/>
        <v>57200</v>
      </c>
      <c r="G61" s="6">
        <v>57200</v>
      </c>
      <c r="H61" s="6">
        <v>67000</v>
      </c>
      <c r="I61" s="6">
        <v>51000</v>
      </c>
      <c r="J61" s="6">
        <v>80200</v>
      </c>
      <c r="K61" s="114">
        <v>26800</v>
      </c>
      <c r="L61" s="114">
        <v>27100</v>
      </c>
      <c r="M61" s="114">
        <v>27600</v>
      </c>
      <c r="N61" s="114">
        <v>29000</v>
      </c>
      <c r="O61" s="114">
        <v>31400</v>
      </c>
      <c r="P61" s="115">
        <v>32400</v>
      </c>
      <c r="Q61" s="116">
        <v>34000</v>
      </c>
      <c r="R61" s="117">
        <v>39800</v>
      </c>
      <c r="S61" s="117">
        <v>43500</v>
      </c>
      <c r="T61" s="114">
        <v>84900</v>
      </c>
      <c r="U61" s="114">
        <v>91700</v>
      </c>
      <c r="V61" s="119">
        <v>101800</v>
      </c>
      <c r="W61" s="119">
        <v>107300</v>
      </c>
      <c r="X61" s="119">
        <v>113800</v>
      </c>
      <c r="Y61" s="113">
        <v>120700</v>
      </c>
      <c r="Z61" s="113">
        <v>134500</v>
      </c>
      <c r="AA61" s="113">
        <v>186200</v>
      </c>
      <c r="AB61" s="119">
        <v>196100</v>
      </c>
      <c r="AC61" s="119"/>
      <c r="AD61" s="113"/>
      <c r="AE61" s="39"/>
      <c r="AF61" s="39"/>
      <c r="AG61" s="39"/>
      <c r="AH61" s="6"/>
      <c r="AI61" s="6"/>
      <c r="AJ61" s="6"/>
      <c r="AK61" s="5"/>
      <c r="AL61" s="5"/>
      <c r="AM61" s="5"/>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row>
    <row r="62" spans="2:189" hidden="1" x14ac:dyDescent="0.25">
      <c r="B62" s="6"/>
      <c r="C62" s="6"/>
      <c r="D62" s="6">
        <f t="shared" si="9"/>
        <v>58900</v>
      </c>
      <c r="E62" s="6"/>
      <c r="F62" s="6">
        <f t="shared" si="10"/>
        <v>58900</v>
      </c>
      <c r="G62" s="6">
        <v>58900</v>
      </c>
      <c r="H62" s="6">
        <v>69000</v>
      </c>
      <c r="I62" s="6">
        <v>52500</v>
      </c>
      <c r="J62" s="6">
        <v>82600</v>
      </c>
      <c r="K62" s="114">
        <v>27600</v>
      </c>
      <c r="L62" s="114">
        <v>27900</v>
      </c>
      <c r="M62" s="113">
        <v>28400</v>
      </c>
      <c r="N62" s="114">
        <v>29900</v>
      </c>
      <c r="O62" s="114">
        <v>32300</v>
      </c>
      <c r="P62" s="115">
        <v>33400</v>
      </c>
      <c r="Q62" s="116">
        <v>35000</v>
      </c>
      <c r="R62" s="117">
        <v>41000</v>
      </c>
      <c r="S62" s="117">
        <v>44800</v>
      </c>
      <c r="T62" s="114">
        <v>87400</v>
      </c>
      <c r="U62" s="114">
        <v>94500</v>
      </c>
      <c r="V62" s="119">
        <v>104900</v>
      </c>
      <c r="W62" s="119">
        <v>110500</v>
      </c>
      <c r="X62" s="119">
        <v>117200</v>
      </c>
      <c r="Y62" s="119">
        <v>124300</v>
      </c>
      <c r="Z62" s="119">
        <v>138500</v>
      </c>
      <c r="AA62" s="113">
        <v>191800</v>
      </c>
      <c r="AB62" s="114">
        <v>202000</v>
      </c>
      <c r="AC62" s="114"/>
      <c r="AD62" s="127"/>
      <c r="AE62" s="39"/>
      <c r="AF62" s="39"/>
      <c r="AG62" s="39"/>
      <c r="AH62" s="6"/>
      <c r="AI62" s="6"/>
      <c r="AJ62" s="6"/>
      <c r="AK62" s="5"/>
      <c r="AL62" s="5"/>
      <c r="AM62" s="5"/>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row>
    <row r="63" spans="2:189" hidden="1" x14ac:dyDescent="0.25">
      <c r="B63" s="6"/>
      <c r="C63" s="6"/>
      <c r="D63" s="6">
        <f t="shared" si="9"/>
        <v>60700</v>
      </c>
      <c r="E63" s="6"/>
      <c r="F63" s="6">
        <f t="shared" si="10"/>
        <v>60700</v>
      </c>
      <c r="G63" s="6">
        <v>60700</v>
      </c>
      <c r="H63" s="6">
        <v>71100</v>
      </c>
      <c r="I63" s="6">
        <v>54100</v>
      </c>
      <c r="J63" s="6">
        <v>85100</v>
      </c>
      <c r="K63" s="114">
        <v>28400</v>
      </c>
      <c r="L63" s="114">
        <v>28700</v>
      </c>
      <c r="M63" s="114">
        <v>29300</v>
      </c>
      <c r="N63" s="114">
        <v>30800</v>
      </c>
      <c r="O63" s="114">
        <v>33300</v>
      </c>
      <c r="P63" s="115">
        <v>34400</v>
      </c>
      <c r="Q63" s="116">
        <v>36100</v>
      </c>
      <c r="R63" s="117">
        <v>42200</v>
      </c>
      <c r="S63" s="117">
        <v>46100</v>
      </c>
      <c r="T63" s="114">
        <v>90000</v>
      </c>
      <c r="U63" s="114">
        <v>97300</v>
      </c>
      <c r="V63" s="119">
        <v>108000</v>
      </c>
      <c r="W63" s="119">
        <v>113800</v>
      </c>
      <c r="X63" s="119">
        <v>120700</v>
      </c>
      <c r="Y63" s="119">
        <v>128000</v>
      </c>
      <c r="Z63" s="119">
        <v>142700</v>
      </c>
      <c r="AA63" s="113">
        <v>197600</v>
      </c>
      <c r="AB63" s="113">
        <v>208100</v>
      </c>
      <c r="AC63" s="113"/>
      <c r="AD63" s="127"/>
      <c r="AE63" s="39"/>
      <c r="AF63" s="39"/>
      <c r="AG63" s="39"/>
      <c r="AH63" s="6"/>
      <c r="AI63" s="6"/>
      <c r="AJ63" s="6"/>
      <c r="AK63" s="5"/>
      <c r="AL63" s="5"/>
      <c r="AM63" s="5"/>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row>
    <row r="64" spans="2:189" hidden="1" x14ac:dyDescent="0.25">
      <c r="B64" s="6"/>
      <c r="C64" s="6"/>
      <c r="D64" s="6">
        <f t="shared" si="9"/>
        <v>62500</v>
      </c>
      <c r="E64" s="6"/>
      <c r="F64" s="6">
        <f t="shared" si="10"/>
        <v>62500</v>
      </c>
      <c r="G64" s="6">
        <v>62500</v>
      </c>
      <c r="H64" s="6">
        <v>73200</v>
      </c>
      <c r="I64" s="6">
        <v>55700</v>
      </c>
      <c r="J64" s="6">
        <v>87700</v>
      </c>
      <c r="K64" s="114">
        <v>29300</v>
      </c>
      <c r="L64" s="114">
        <v>29600</v>
      </c>
      <c r="M64" s="114">
        <v>30200</v>
      </c>
      <c r="N64" s="114">
        <v>31700</v>
      </c>
      <c r="O64" s="114">
        <v>34300</v>
      </c>
      <c r="P64" s="115">
        <v>35400</v>
      </c>
      <c r="Q64" s="116">
        <v>37200</v>
      </c>
      <c r="R64" s="117">
        <v>43500</v>
      </c>
      <c r="S64" s="117">
        <v>47500</v>
      </c>
      <c r="T64" s="114">
        <v>92700</v>
      </c>
      <c r="U64" s="114">
        <v>100200</v>
      </c>
      <c r="V64" s="113">
        <v>111200</v>
      </c>
      <c r="W64" s="113">
        <v>117200</v>
      </c>
      <c r="X64" s="113">
        <v>124300</v>
      </c>
      <c r="Y64" s="119">
        <v>131800</v>
      </c>
      <c r="Z64" s="119">
        <v>147000</v>
      </c>
      <c r="AA64" s="118">
        <v>203500</v>
      </c>
      <c r="AB64" s="113"/>
      <c r="AC64" s="113"/>
      <c r="AD64" s="127"/>
      <c r="AE64" s="39"/>
      <c r="AF64" s="39"/>
      <c r="AG64" s="39"/>
      <c r="AH64" s="6"/>
      <c r="AI64" s="6"/>
      <c r="AJ64" s="6"/>
      <c r="AK64" s="5"/>
      <c r="AL64" s="5"/>
      <c r="AM64" s="5"/>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row>
    <row r="65" spans="2:189" hidden="1" x14ac:dyDescent="0.25">
      <c r="B65" s="6"/>
      <c r="C65" s="6"/>
      <c r="D65" s="6">
        <f t="shared" si="9"/>
        <v>64400</v>
      </c>
      <c r="E65" s="6"/>
      <c r="F65" s="6">
        <f t="shared" si="10"/>
        <v>64400</v>
      </c>
      <c r="G65" s="6">
        <v>64400</v>
      </c>
      <c r="H65" s="6">
        <v>75400</v>
      </c>
      <c r="I65" s="6">
        <v>57400</v>
      </c>
      <c r="J65" s="6">
        <v>90300</v>
      </c>
      <c r="K65" s="114">
        <v>30200</v>
      </c>
      <c r="L65" s="114">
        <v>30500</v>
      </c>
      <c r="M65" s="114">
        <v>31100</v>
      </c>
      <c r="N65" s="114">
        <v>32700</v>
      </c>
      <c r="O65" s="114">
        <v>35300</v>
      </c>
      <c r="P65" s="115">
        <v>36500</v>
      </c>
      <c r="Q65" s="116">
        <v>38300</v>
      </c>
      <c r="R65" s="117">
        <v>44800</v>
      </c>
      <c r="S65" s="117">
        <v>48900</v>
      </c>
      <c r="T65" s="114">
        <v>95500</v>
      </c>
      <c r="U65" s="114">
        <v>103200</v>
      </c>
      <c r="V65" s="113">
        <v>114500</v>
      </c>
      <c r="W65" s="113">
        <v>120700</v>
      </c>
      <c r="X65" s="113">
        <v>128000</v>
      </c>
      <c r="Y65" s="113">
        <v>135800</v>
      </c>
      <c r="Z65" s="113">
        <v>151400</v>
      </c>
      <c r="AA65" s="118"/>
      <c r="AB65" s="127"/>
      <c r="AC65" s="127"/>
      <c r="AD65" s="127"/>
      <c r="AE65" s="39"/>
      <c r="AF65" s="39"/>
      <c r="AG65" s="39"/>
      <c r="AH65" s="6"/>
      <c r="AI65" s="6"/>
      <c r="AJ65" s="6"/>
      <c r="AK65" s="5"/>
      <c r="AL65" s="5"/>
      <c r="AM65" s="5"/>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row>
    <row r="66" spans="2:189" hidden="1" x14ac:dyDescent="0.25">
      <c r="B66" s="6"/>
      <c r="C66" s="6"/>
      <c r="D66" s="6">
        <f t="shared" si="9"/>
        <v>66300</v>
      </c>
      <c r="E66" s="6"/>
      <c r="F66" s="6">
        <f t="shared" si="10"/>
        <v>66300</v>
      </c>
      <c r="G66" s="6">
        <v>66300</v>
      </c>
      <c r="H66" s="6">
        <v>77700</v>
      </c>
      <c r="I66" s="6">
        <v>59100</v>
      </c>
      <c r="J66" s="6">
        <v>93000</v>
      </c>
      <c r="K66" s="118">
        <v>31100</v>
      </c>
      <c r="L66" s="118">
        <v>31400</v>
      </c>
      <c r="M66" s="114">
        <v>32000</v>
      </c>
      <c r="N66" s="114">
        <v>33700</v>
      </c>
      <c r="O66" s="114">
        <v>36400</v>
      </c>
      <c r="P66" s="115">
        <v>37600</v>
      </c>
      <c r="Q66" s="116">
        <v>39400</v>
      </c>
      <c r="R66" s="117">
        <v>46100</v>
      </c>
      <c r="S66" s="117">
        <v>50400</v>
      </c>
      <c r="T66" s="114">
        <v>98400</v>
      </c>
      <c r="U66" s="114">
        <v>106300</v>
      </c>
      <c r="V66" s="113">
        <v>117900</v>
      </c>
      <c r="W66" s="113">
        <v>124300</v>
      </c>
      <c r="X66" s="113">
        <v>131800</v>
      </c>
      <c r="Y66" s="119">
        <v>139900</v>
      </c>
      <c r="Z66" s="119">
        <v>155900</v>
      </c>
      <c r="AA66" s="113"/>
      <c r="AB66" s="127"/>
      <c r="AC66" s="127"/>
      <c r="AD66" s="127"/>
      <c r="AE66" s="39"/>
      <c r="AF66" s="39"/>
      <c r="AG66" s="39"/>
      <c r="AH66" s="6"/>
      <c r="AI66" s="6"/>
      <c r="AJ66" s="6"/>
      <c r="AK66" s="5"/>
      <c r="AL66" s="5"/>
      <c r="AM66" s="5"/>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row>
    <row r="67" spans="2:189" hidden="1" x14ac:dyDescent="0.25">
      <c r="B67" s="6"/>
      <c r="C67" s="6"/>
      <c r="D67" s="6">
        <f t="shared" si="9"/>
        <v>68300</v>
      </c>
      <c r="E67" s="6"/>
      <c r="F67" s="6">
        <f t="shared" si="10"/>
        <v>68300</v>
      </c>
      <c r="G67" s="114">
        <v>68300</v>
      </c>
      <c r="H67" s="120">
        <v>80000</v>
      </c>
      <c r="I67" s="113">
        <v>60900</v>
      </c>
      <c r="J67" s="114">
        <v>95800</v>
      </c>
      <c r="K67" s="118">
        <v>32000</v>
      </c>
      <c r="L67" s="118">
        <v>32300</v>
      </c>
      <c r="M67" s="114">
        <v>33000</v>
      </c>
      <c r="N67" s="114">
        <v>34700</v>
      </c>
      <c r="O67" s="113">
        <v>37500</v>
      </c>
      <c r="P67" s="120">
        <v>38700</v>
      </c>
      <c r="Q67" s="116">
        <v>40600</v>
      </c>
      <c r="R67" s="121">
        <v>47500</v>
      </c>
      <c r="S67" s="121">
        <v>51900</v>
      </c>
      <c r="T67" s="119">
        <v>101400</v>
      </c>
      <c r="U67" s="119">
        <v>109500</v>
      </c>
      <c r="V67" s="119">
        <v>121400</v>
      </c>
      <c r="W67" s="119">
        <v>128000</v>
      </c>
      <c r="X67" s="119">
        <v>135800</v>
      </c>
      <c r="Y67" s="119">
        <v>144100</v>
      </c>
      <c r="Z67" s="119">
        <v>160600</v>
      </c>
      <c r="AA67" s="127"/>
      <c r="AB67" s="127"/>
      <c r="AC67" s="127"/>
      <c r="AD67" s="127"/>
      <c r="AE67" s="39"/>
      <c r="AF67" s="39"/>
      <c r="AG67" s="39"/>
      <c r="AH67" s="6"/>
      <c r="AI67" s="6"/>
      <c r="AJ67" s="6"/>
      <c r="AK67" s="5"/>
      <c r="AL67" s="5"/>
      <c r="AM67" s="5"/>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row>
    <row r="68" spans="2:189" hidden="1" x14ac:dyDescent="0.25">
      <c r="B68" s="6"/>
      <c r="C68" s="6"/>
      <c r="D68" s="6">
        <f t="shared" si="9"/>
        <v>70300</v>
      </c>
      <c r="E68" s="6"/>
      <c r="F68" s="6">
        <f t="shared" si="10"/>
        <v>70300</v>
      </c>
      <c r="G68" s="114">
        <v>70300</v>
      </c>
      <c r="H68" s="115">
        <v>82400</v>
      </c>
      <c r="I68" s="114">
        <v>62700</v>
      </c>
      <c r="J68" s="114">
        <v>98700</v>
      </c>
      <c r="K68" s="114">
        <v>33000</v>
      </c>
      <c r="L68" s="114">
        <v>33300</v>
      </c>
      <c r="M68" s="114">
        <v>34000</v>
      </c>
      <c r="N68" s="114">
        <v>35700</v>
      </c>
      <c r="O68" s="114">
        <v>38600</v>
      </c>
      <c r="P68" s="115">
        <v>39900</v>
      </c>
      <c r="Q68" s="116">
        <v>41800</v>
      </c>
      <c r="R68" s="117">
        <v>48900</v>
      </c>
      <c r="S68" s="117">
        <v>53500</v>
      </c>
      <c r="T68" s="119">
        <v>104400</v>
      </c>
      <c r="U68" s="119">
        <v>112800</v>
      </c>
      <c r="V68" s="119">
        <v>125000</v>
      </c>
      <c r="W68" s="119">
        <v>131800</v>
      </c>
      <c r="X68" s="119">
        <v>139900</v>
      </c>
      <c r="Y68" s="119">
        <v>148400</v>
      </c>
      <c r="Z68" s="119">
        <v>165400</v>
      </c>
      <c r="AA68" s="127"/>
      <c r="AB68" s="127"/>
      <c r="AC68" s="127"/>
      <c r="AD68" s="127"/>
      <c r="AE68" s="39"/>
      <c r="AF68" s="39"/>
      <c r="AG68" s="39"/>
      <c r="AH68" s="6"/>
      <c r="AI68" s="6"/>
      <c r="AJ68" s="6"/>
      <c r="AK68" s="5"/>
      <c r="AL68" s="5"/>
      <c r="AM68" s="5"/>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row>
    <row r="69" spans="2:189" hidden="1" x14ac:dyDescent="0.25">
      <c r="B69" s="6"/>
      <c r="C69" s="6"/>
      <c r="D69" s="6">
        <f t="shared" si="9"/>
        <v>72400</v>
      </c>
      <c r="E69" s="6"/>
      <c r="F69" s="6">
        <f t="shared" si="10"/>
        <v>72400</v>
      </c>
      <c r="G69" s="113">
        <v>72400</v>
      </c>
      <c r="H69" s="120">
        <v>84900</v>
      </c>
      <c r="I69" s="114">
        <v>64600</v>
      </c>
      <c r="J69" s="119">
        <v>101700</v>
      </c>
      <c r="K69" s="114">
        <v>34000</v>
      </c>
      <c r="L69" s="114">
        <v>34300</v>
      </c>
      <c r="M69" s="114">
        <v>35000</v>
      </c>
      <c r="N69" s="113">
        <v>36800</v>
      </c>
      <c r="O69" s="114">
        <v>39800</v>
      </c>
      <c r="P69" s="115">
        <v>41100</v>
      </c>
      <c r="Q69" s="116">
        <v>43300</v>
      </c>
      <c r="R69" s="117">
        <v>50400</v>
      </c>
      <c r="S69" s="117">
        <v>55100</v>
      </c>
      <c r="T69" s="119">
        <v>107500</v>
      </c>
      <c r="U69" s="119">
        <v>116200</v>
      </c>
      <c r="V69" s="113">
        <v>128800</v>
      </c>
      <c r="W69" s="113">
        <v>135800</v>
      </c>
      <c r="X69" s="113">
        <v>144100</v>
      </c>
      <c r="Y69" s="113">
        <v>152900</v>
      </c>
      <c r="Z69" s="113">
        <v>170400</v>
      </c>
      <c r="AA69" s="39"/>
      <c r="AB69" s="39"/>
      <c r="AC69" s="39"/>
      <c r="AD69" s="39"/>
      <c r="AE69" s="39"/>
      <c r="AF69" s="39"/>
      <c r="AG69" s="39"/>
      <c r="AH69" s="6"/>
      <c r="AI69" s="6"/>
      <c r="AJ69" s="6"/>
      <c r="AK69" s="5"/>
      <c r="AL69" s="5"/>
      <c r="AM69" s="5"/>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row>
    <row r="70" spans="2:189" hidden="1" x14ac:dyDescent="0.25">
      <c r="B70" s="6"/>
      <c r="C70" s="6"/>
      <c r="D70" s="6">
        <f t="shared" si="9"/>
        <v>74600</v>
      </c>
      <c r="E70" s="6"/>
      <c r="F70" s="6">
        <f t="shared" si="10"/>
        <v>74600</v>
      </c>
      <c r="G70" s="114">
        <v>74600</v>
      </c>
      <c r="H70" s="120">
        <v>87400</v>
      </c>
      <c r="I70" s="114">
        <v>66500</v>
      </c>
      <c r="J70" s="119">
        <v>104800</v>
      </c>
      <c r="K70" s="114">
        <v>35000</v>
      </c>
      <c r="L70" s="114">
        <v>35300</v>
      </c>
      <c r="M70" s="114">
        <v>36100</v>
      </c>
      <c r="N70" s="114">
        <v>37900</v>
      </c>
      <c r="O70" s="118">
        <v>41000</v>
      </c>
      <c r="P70" s="124">
        <v>42300</v>
      </c>
      <c r="Q70" s="116">
        <v>44400</v>
      </c>
      <c r="R70" s="125">
        <v>51900</v>
      </c>
      <c r="S70" s="125">
        <v>56800</v>
      </c>
      <c r="T70" s="113">
        <v>110700</v>
      </c>
      <c r="U70" s="113">
        <v>119700</v>
      </c>
      <c r="V70" s="119">
        <v>132700</v>
      </c>
      <c r="W70" s="119">
        <v>139900</v>
      </c>
      <c r="X70" s="119">
        <v>148400</v>
      </c>
      <c r="Y70" s="113">
        <v>157500</v>
      </c>
      <c r="Z70" s="113">
        <v>175500</v>
      </c>
      <c r="AA70" s="39"/>
      <c r="AB70" s="39"/>
      <c r="AC70" s="39"/>
      <c r="AD70" s="39"/>
      <c r="AE70" s="39"/>
      <c r="AF70" s="39"/>
      <c r="AG70" s="39"/>
      <c r="AH70" s="6"/>
      <c r="AI70" s="6"/>
      <c r="AJ70" s="6"/>
      <c r="AK70" s="5"/>
      <c r="AL70" s="5"/>
      <c r="AM70" s="5"/>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row>
    <row r="71" spans="2:189" hidden="1" x14ac:dyDescent="0.25">
      <c r="B71" s="6"/>
      <c r="C71" s="6"/>
      <c r="D71" s="6">
        <f t="shared" si="9"/>
        <v>76800</v>
      </c>
      <c r="E71" s="6"/>
      <c r="F71" s="6">
        <f t="shared" si="10"/>
        <v>76800</v>
      </c>
      <c r="G71" s="114">
        <v>76800</v>
      </c>
      <c r="H71" s="115">
        <v>90000</v>
      </c>
      <c r="I71" s="113">
        <v>68500</v>
      </c>
      <c r="J71" s="119">
        <v>107900</v>
      </c>
      <c r="K71" s="114">
        <v>36100</v>
      </c>
      <c r="L71" s="114">
        <v>36400</v>
      </c>
      <c r="M71" s="114">
        <v>37200</v>
      </c>
      <c r="N71" s="114">
        <v>39000</v>
      </c>
      <c r="O71" s="118">
        <v>42200</v>
      </c>
      <c r="P71" s="124">
        <v>43600</v>
      </c>
      <c r="Q71" s="116">
        <v>45700</v>
      </c>
      <c r="R71" s="125">
        <v>53500</v>
      </c>
      <c r="S71" s="125">
        <v>58500</v>
      </c>
      <c r="T71" s="113">
        <v>114000</v>
      </c>
      <c r="U71" s="113">
        <v>123300</v>
      </c>
      <c r="V71" s="113">
        <v>136700</v>
      </c>
      <c r="W71" s="113">
        <v>144100</v>
      </c>
      <c r="X71" s="113">
        <v>152900</v>
      </c>
      <c r="Y71" s="119">
        <v>162200</v>
      </c>
      <c r="Z71" s="119">
        <v>180800</v>
      </c>
      <c r="AA71" s="39"/>
      <c r="AB71" s="39"/>
      <c r="AC71" s="39"/>
      <c r="AD71" s="39"/>
      <c r="AE71" s="39"/>
      <c r="AF71" s="39"/>
      <c r="AG71" s="39"/>
      <c r="AH71" s="6"/>
      <c r="AI71" s="6"/>
      <c r="AJ71" s="6"/>
      <c r="AK71" s="5"/>
      <c r="AL71" s="5"/>
      <c r="AM71" s="5"/>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row>
    <row r="72" spans="2:189" hidden="1" x14ac:dyDescent="0.25">
      <c r="B72" s="6"/>
      <c r="C72" s="6"/>
      <c r="D72" s="6">
        <f t="shared" si="9"/>
        <v>79100</v>
      </c>
      <c r="E72" s="6"/>
      <c r="F72" s="6">
        <f t="shared" si="10"/>
        <v>79100</v>
      </c>
      <c r="G72" s="113">
        <v>79100</v>
      </c>
      <c r="H72" s="115">
        <v>92700</v>
      </c>
      <c r="I72" s="114">
        <v>70600</v>
      </c>
      <c r="J72" s="113">
        <v>111100</v>
      </c>
      <c r="K72" s="118">
        <v>37200</v>
      </c>
      <c r="L72" s="118">
        <v>37500</v>
      </c>
      <c r="M72" s="113">
        <v>38300</v>
      </c>
      <c r="N72" s="114">
        <v>40200</v>
      </c>
      <c r="O72" s="118">
        <v>43500</v>
      </c>
      <c r="P72" s="124">
        <v>44900</v>
      </c>
      <c r="Q72" s="116">
        <v>47100</v>
      </c>
      <c r="R72" s="125">
        <v>55100</v>
      </c>
      <c r="S72" s="125">
        <v>60300</v>
      </c>
      <c r="T72" s="113">
        <v>117400</v>
      </c>
      <c r="U72" s="113">
        <v>127000</v>
      </c>
      <c r="V72" s="119">
        <v>140800</v>
      </c>
      <c r="W72" s="119">
        <v>148400</v>
      </c>
      <c r="X72" s="119">
        <v>157500</v>
      </c>
      <c r="Y72" s="119">
        <v>167100</v>
      </c>
      <c r="Z72" s="119">
        <v>186200</v>
      </c>
      <c r="AA72" s="39"/>
      <c r="AB72" s="39"/>
      <c r="AC72" s="39"/>
      <c r="AD72" s="39"/>
      <c r="AE72" s="39"/>
      <c r="AF72" s="39"/>
      <c r="AG72" s="39"/>
      <c r="AH72" s="6"/>
      <c r="AI72" s="6"/>
      <c r="AJ72" s="6"/>
      <c r="AK72" s="5"/>
      <c r="AL72" s="5"/>
      <c r="AM72" s="5"/>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row>
    <row r="73" spans="2:189" hidden="1" x14ac:dyDescent="0.25">
      <c r="B73" s="6"/>
      <c r="C73" s="6"/>
      <c r="D73" s="6">
        <f t="shared" si="9"/>
        <v>81500</v>
      </c>
      <c r="E73" s="6"/>
      <c r="F73" s="6">
        <f t="shared" si="10"/>
        <v>81500</v>
      </c>
      <c r="G73" s="113">
        <v>81500</v>
      </c>
      <c r="H73" s="120">
        <v>95500</v>
      </c>
      <c r="I73" s="114">
        <v>72700</v>
      </c>
      <c r="J73" s="113">
        <v>114400</v>
      </c>
      <c r="K73" s="118">
        <v>38300</v>
      </c>
      <c r="L73" s="118">
        <v>38600</v>
      </c>
      <c r="M73" s="114">
        <v>39400</v>
      </c>
      <c r="N73" s="114">
        <v>41400</v>
      </c>
      <c r="O73" s="113">
        <v>44800</v>
      </c>
      <c r="P73" s="120">
        <v>46200</v>
      </c>
      <c r="Q73" s="116">
        <v>48500</v>
      </c>
      <c r="R73" s="121">
        <v>56800</v>
      </c>
      <c r="S73" s="121">
        <v>62100</v>
      </c>
      <c r="T73" s="119">
        <v>120900</v>
      </c>
      <c r="U73" s="119">
        <v>130800</v>
      </c>
      <c r="V73" s="119">
        <v>145000</v>
      </c>
      <c r="W73" s="119">
        <v>152900</v>
      </c>
      <c r="X73" s="119">
        <v>162200</v>
      </c>
      <c r="Y73" s="113">
        <v>172100</v>
      </c>
      <c r="Z73" s="113">
        <v>191800</v>
      </c>
      <c r="AA73" s="39"/>
      <c r="AB73" s="39"/>
      <c r="AC73" s="39"/>
      <c r="AD73" s="39"/>
      <c r="AE73" s="39"/>
      <c r="AF73" s="39"/>
      <c r="AG73" s="39"/>
      <c r="AH73" s="6"/>
      <c r="AI73" s="6"/>
      <c r="AJ73" s="6"/>
      <c r="AK73" s="5"/>
      <c r="AL73" s="5"/>
      <c r="AM73" s="5"/>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row>
    <row r="74" spans="2:189" hidden="1" x14ac:dyDescent="0.25">
      <c r="B74" s="6"/>
      <c r="C74" s="6"/>
      <c r="D74" s="6">
        <f t="shared" si="9"/>
        <v>83900</v>
      </c>
      <c r="E74" s="6"/>
      <c r="F74" s="6">
        <f t="shared" si="10"/>
        <v>83900</v>
      </c>
      <c r="G74" s="114">
        <v>83900</v>
      </c>
      <c r="H74" s="120">
        <v>98400</v>
      </c>
      <c r="I74" s="114">
        <v>74900</v>
      </c>
      <c r="J74" s="113">
        <v>117800</v>
      </c>
      <c r="K74" s="118">
        <v>39400</v>
      </c>
      <c r="L74" s="118">
        <v>39800</v>
      </c>
      <c r="M74" s="114">
        <v>40600</v>
      </c>
      <c r="N74" s="114">
        <v>42600</v>
      </c>
      <c r="O74" s="118">
        <v>46100</v>
      </c>
      <c r="P74" s="124">
        <v>47600</v>
      </c>
      <c r="Q74" s="116">
        <v>50000</v>
      </c>
      <c r="R74" s="125">
        <v>58500</v>
      </c>
      <c r="S74" s="125">
        <v>64000</v>
      </c>
      <c r="T74" s="119">
        <v>124500</v>
      </c>
      <c r="U74" s="119">
        <v>134700</v>
      </c>
      <c r="V74" s="119">
        <v>149400</v>
      </c>
      <c r="W74" s="119">
        <v>157500</v>
      </c>
      <c r="X74" s="119">
        <v>167100</v>
      </c>
      <c r="Y74" s="113">
        <v>177300</v>
      </c>
      <c r="Z74" s="113">
        <v>197600</v>
      </c>
      <c r="AA74" s="39"/>
      <c r="AB74" s="39"/>
      <c r="AC74" s="39"/>
      <c r="AD74" s="39"/>
      <c r="AE74" s="39"/>
      <c r="AF74" s="39"/>
      <c r="AG74" s="39"/>
      <c r="AH74" s="6"/>
      <c r="AI74" s="6"/>
      <c r="AJ74" s="6"/>
      <c r="AK74" s="5"/>
      <c r="AL74" s="5"/>
      <c r="AM74" s="5"/>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row>
    <row r="75" spans="2:189" hidden="1" x14ac:dyDescent="0.25">
      <c r="B75" s="6"/>
      <c r="C75" s="6"/>
      <c r="D75" s="6">
        <f t="shared" si="9"/>
        <v>86400</v>
      </c>
      <c r="E75" s="6"/>
      <c r="F75" s="6">
        <f t="shared" si="10"/>
        <v>86400</v>
      </c>
      <c r="G75" s="113">
        <v>86400</v>
      </c>
      <c r="H75" s="120">
        <v>101400</v>
      </c>
      <c r="I75" s="114">
        <v>77100</v>
      </c>
      <c r="J75" s="119">
        <v>121300</v>
      </c>
      <c r="K75" s="114">
        <v>40600</v>
      </c>
      <c r="L75" s="114">
        <v>41000</v>
      </c>
      <c r="M75" s="114">
        <v>41800</v>
      </c>
      <c r="N75" s="114">
        <v>43900</v>
      </c>
      <c r="O75" s="118">
        <v>47500</v>
      </c>
      <c r="P75" s="124">
        <v>49000</v>
      </c>
      <c r="Q75" s="116">
        <v>51500</v>
      </c>
      <c r="R75" s="125">
        <v>60300</v>
      </c>
      <c r="S75" s="125">
        <v>65900</v>
      </c>
      <c r="T75" s="119">
        <v>128200</v>
      </c>
      <c r="U75" s="119">
        <v>138700</v>
      </c>
      <c r="V75" s="113">
        <v>153900</v>
      </c>
      <c r="W75" s="113">
        <v>162200</v>
      </c>
      <c r="X75" s="113">
        <v>172100</v>
      </c>
      <c r="Y75" s="113">
        <v>182600</v>
      </c>
      <c r="Z75" s="113">
        <v>203500</v>
      </c>
      <c r="AA75" s="39"/>
      <c r="AB75" s="39"/>
      <c r="AC75" s="39"/>
      <c r="AD75" s="39"/>
      <c r="AE75" s="39"/>
      <c r="AF75" s="39"/>
      <c r="AG75" s="39"/>
      <c r="AH75" s="6"/>
      <c r="AI75" s="6"/>
      <c r="AJ75" s="6"/>
      <c r="AK75" s="5"/>
      <c r="AL75" s="5"/>
      <c r="AM75" s="5"/>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row>
    <row r="76" spans="2:189" hidden="1" x14ac:dyDescent="0.25">
      <c r="B76" s="6"/>
      <c r="C76" s="6"/>
      <c r="D76" s="6">
        <f t="shared" si="9"/>
        <v>89000</v>
      </c>
      <c r="E76" s="6"/>
      <c r="F76" s="6">
        <f t="shared" si="10"/>
        <v>89000</v>
      </c>
      <c r="G76" s="113">
        <v>89000</v>
      </c>
      <c r="H76" s="120">
        <v>104400</v>
      </c>
      <c r="I76" s="114">
        <v>79400</v>
      </c>
      <c r="J76" s="119">
        <v>124900</v>
      </c>
      <c r="K76" s="114">
        <v>41800</v>
      </c>
      <c r="L76" s="114">
        <v>42200</v>
      </c>
      <c r="M76" s="114">
        <v>43100</v>
      </c>
      <c r="N76" s="113">
        <v>45200</v>
      </c>
      <c r="O76" s="114">
        <v>48900</v>
      </c>
      <c r="P76" s="115">
        <v>50500</v>
      </c>
      <c r="Q76" s="116">
        <v>53000</v>
      </c>
      <c r="R76" s="117">
        <v>62100</v>
      </c>
      <c r="S76" s="117">
        <v>67900</v>
      </c>
      <c r="T76" s="113">
        <v>132000</v>
      </c>
      <c r="U76" s="113">
        <v>142900</v>
      </c>
      <c r="V76" s="119">
        <v>158500</v>
      </c>
      <c r="W76" s="119">
        <v>167100</v>
      </c>
      <c r="X76" s="119">
        <v>177300</v>
      </c>
      <c r="Y76" s="113">
        <v>188100</v>
      </c>
      <c r="Z76" s="113"/>
      <c r="AA76" s="39"/>
      <c r="AB76" s="39"/>
      <c r="AC76" s="39"/>
      <c r="AD76" s="39"/>
      <c r="AE76" s="39"/>
      <c r="AF76" s="39"/>
      <c r="AG76" s="39"/>
      <c r="AH76" s="6"/>
      <c r="AI76" s="6"/>
      <c r="AJ76" s="6"/>
      <c r="AK76" s="5"/>
      <c r="AL76" s="5"/>
      <c r="AM76" s="5"/>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row>
    <row r="77" spans="2:189" hidden="1" x14ac:dyDescent="0.25">
      <c r="B77" s="6"/>
      <c r="C77" s="6"/>
      <c r="D77" s="6">
        <f t="shared" si="9"/>
        <v>91700</v>
      </c>
      <c r="E77" s="6"/>
      <c r="F77" s="6">
        <f t="shared" si="10"/>
        <v>91700</v>
      </c>
      <c r="G77" s="113">
        <v>91700</v>
      </c>
      <c r="H77" s="120">
        <v>107500</v>
      </c>
      <c r="I77" s="113">
        <v>81800</v>
      </c>
      <c r="J77" s="119">
        <v>128600</v>
      </c>
      <c r="K77" s="114">
        <v>43100</v>
      </c>
      <c r="L77" s="114">
        <v>43500</v>
      </c>
      <c r="M77" s="114">
        <v>44400</v>
      </c>
      <c r="N77" s="114">
        <v>46600</v>
      </c>
      <c r="O77" s="113">
        <v>50400</v>
      </c>
      <c r="P77" s="120">
        <v>52000</v>
      </c>
      <c r="Q77" s="116">
        <v>54600</v>
      </c>
      <c r="R77" s="121">
        <v>64000</v>
      </c>
      <c r="S77" s="121">
        <v>69900</v>
      </c>
      <c r="T77" s="119">
        <v>136000</v>
      </c>
      <c r="U77" s="119">
        <v>147200</v>
      </c>
      <c r="V77" s="119">
        <v>163300</v>
      </c>
      <c r="W77" s="119">
        <v>172100</v>
      </c>
      <c r="X77" s="119">
        <v>182600</v>
      </c>
      <c r="Y77" s="113">
        <v>193700</v>
      </c>
      <c r="Z77" s="113"/>
      <c r="AA77" s="39"/>
      <c r="AB77" s="39"/>
      <c r="AC77" s="39"/>
      <c r="AD77" s="39"/>
      <c r="AE77" s="39"/>
      <c r="AF77" s="39"/>
      <c r="AG77" s="39"/>
      <c r="AH77" s="6"/>
      <c r="AI77" s="6"/>
      <c r="AJ77" s="6"/>
      <c r="AK77" s="5"/>
      <c r="AL77" s="5"/>
      <c r="AM77" s="5"/>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row>
    <row r="78" spans="2:189" hidden="1" x14ac:dyDescent="0.25">
      <c r="B78" s="6"/>
      <c r="C78" s="6"/>
      <c r="D78" s="6">
        <f t="shared" si="9"/>
        <v>94500</v>
      </c>
      <c r="E78" s="6"/>
      <c r="F78" s="6">
        <f t="shared" si="10"/>
        <v>94500</v>
      </c>
      <c r="G78" s="113">
        <v>94500</v>
      </c>
      <c r="H78" s="120">
        <v>110700</v>
      </c>
      <c r="I78" s="114">
        <v>84300</v>
      </c>
      <c r="J78" s="113">
        <v>132500</v>
      </c>
      <c r="K78" s="114">
        <v>44400</v>
      </c>
      <c r="L78" s="114">
        <v>44800</v>
      </c>
      <c r="M78" s="118">
        <v>45700</v>
      </c>
      <c r="N78" s="114">
        <v>48000</v>
      </c>
      <c r="O78" s="114">
        <v>51900</v>
      </c>
      <c r="P78" s="115">
        <v>53600</v>
      </c>
      <c r="Q78" s="116">
        <v>56200</v>
      </c>
      <c r="R78" s="117">
        <v>65900</v>
      </c>
      <c r="S78" s="117">
        <v>72000</v>
      </c>
      <c r="T78" s="119">
        <v>140100</v>
      </c>
      <c r="U78" s="119">
        <v>151600</v>
      </c>
      <c r="V78" s="119">
        <v>168200</v>
      </c>
      <c r="W78" s="119">
        <v>177300</v>
      </c>
      <c r="X78" s="119">
        <v>188100</v>
      </c>
      <c r="Y78" s="119">
        <v>199500</v>
      </c>
      <c r="Z78" s="119"/>
      <c r="AA78" s="39"/>
      <c r="AB78" s="39"/>
      <c r="AC78" s="39"/>
      <c r="AD78" s="39"/>
      <c r="AE78" s="39"/>
      <c r="AF78" s="39"/>
      <c r="AG78" s="39"/>
      <c r="AH78" s="6"/>
      <c r="AI78" s="6"/>
      <c r="AJ78" s="6"/>
      <c r="AK78" s="5"/>
      <c r="AL78" s="5"/>
      <c r="AM78" s="5"/>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row>
    <row r="79" spans="2:189" hidden="1" x14ac:dyDescent="0.25">
      <c r="B79" s="6"/>
      <c r="C79" s="6"/>
      <c r="D79" s="6">
        <f t="shared" si="9"/>
        <v>97300</v>
      </c>
      <c r="E79" s="6"/>
      <c r="F79" s="6">
        <f t="shared" si="10"/>
        <v>97300</v>
      </c>
      <c r="G79" s="113">
        <v>97300</v>
      </c>
      <c r="H79" s="120">
        <v>114000</v>
      </c>
      <c r="I79" s="114">
        <v>86800</v>
      </c>
      <c r="J79" s="113">
        <v>136500</v>
      </c>
      <c r="K79" s="114">
        <v>45700</v>
      </c>
      <c r="L79" s="114">
        <v>46100</v>
      </c>
      <c r="M79" s="113">
        <v>47100</v>
      </c>
      <c r="N79" s="114">
        <v>49400</v>
      </c>
      <c r="O79" s="114">
        <v>53500</v>
      </c>
      <c r="P79" s="115">
        <v>55200</v>
      </c>
      <c r="Q79" s="116">
        <v>57900</v>
      </c>
      <c r="R79" s="117">
        <v>67900</v>
      </c>
      <c r="S79" s="117">
        <v>74200</v>
      </c>
      <c r="T79" s="119">
        <v>144300</v>
      </c>
      <c r="U79" s="119">
        <v>156100</v>
      </c>
      <c r="V79" s="119">
        <v>173200</v>
      </c>
      <c r="W79" s="119">
        <v>182600</v>
      </c>
      <c r="X79" s="119">
        <v>193700</v>
      </c>
      <c r="Y79" s="114"/>
      <c r="Z79" s="114"/>
      <c r="AA79" s="39"/>
      <c r="AB79" s="39"/>
      <c r="AC79" s="39"/>
      <c r="AD79" s="39"/>
      <c r="AE79" s="39"/>
      <c r="AF79" s="39"/>
      <c r="AG79" s="39"/>
      <c r="AH79" s="6"/>
      <c r="AI79" s="6"/>
      <c r="AJ79" s="6"/>
      <c r="AK79" s="5"/>
      <c r="AL79" s="5"/>
      <c r="AM79" s="5"/>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row>
    <row r="80" spans="2:189" hidden="1" x14ac:dyDescent="0.25">
      <c r="B80" s="6"/>
      <c r="C80" s="6"/>
      <c r="D80" s="6">
        <f t="shared" si="9"/>
        <v>100200</v>
      </c>
      <c r="E80" s="6"/>
      <c r="F80" s="6">
        <f t="shared" si="10"/>
        <v>100200</v>
      </c>
      <c r="G80" s="113">
        <v>100200</v>
      </c>
      <c r="H80" s="120">
        <v>117400</v>
      </c>
      <c r="I80" s="113">
        <v>89400</v>
      </c>
      <c r="J80" s="119">
        <v>140600</v>
      </c>
      <c r="K80" s="114">
        <v>47100</v>
      </c>
      <c r="L80" s="114">
        <v>47500</v>
      </c>
      <c r="M80" s="118">
        <v>48500</v>
      </c>
      <c r="N80" s="114">
        <v>50900</v>
      </c>
      <c r="O80" s="114">
        <v>55100</v>
      </c>
      <c r="P80" s="115">
        <v>56900</v>
      </c>
      <c r="Q80" s="116">
        <v>59600</v>
      </c>
      <c r="R80" s="117">
        <v>69900</v>
      </c>
      <c r="S80" s="117">
        <v>76400</v>
      </c>
      <c r="T80" s="119">
        <v>148600</v>
      </c>
      <c r="U80" s="119">
        <v>160800</v>
      </c>
      <c r="V80" s="113">
        <v>178400</v>
      </c>
      <c r="W80" s="113">
        <v>188100</v>
      </c>
      <c r="X80" s="113">
        <v>199500</v>
      </c>
      <c r="Y80" s="114"/>
      <c r="Z80" s="114"/>
      <c r="AA80" s="39"/>
      <c r="AB80" s="39"/>
      <c r="AC80" s="39"/>
      <c r="AD80" s="39"/>
      <c r="AE80" s="39"/>
      <c r="AF80" s="39"/>
      <c r="AG80" s="39"/>
      <c r="AH80" s="6"/>
      <c r="AI80" s="6"/>
      <c r="AJ80" s="6"/>
      <c r="AK80" s="5"/>
      <c r="AL80" s="5"/>
      <c r="AM80" s="5"/>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row>
    <row r="81" spans="2:189" hidden="1" x14ac:dyDescent="0.25">
      <c r="B81" s="6"/>
      <c r="C81" s="6"/>
      <c r="D81" s="6">
        <f t="shared" si="9"/>
        <v>103200</v>
      </c>
      <c r="E81" s="6"/>
      <c r="F81" s="6">
        <f t="shared" si="10"/>
        <v>103200</v>
      </c>
      <c r="G81" s="113">
        <v>103200</v>
      </c>
      <c r="H81" s="120">
        <v>120900</v>
      </c>
      <c r="I81" s="113">
        <v>92100</v>
      </c>
      <c r="J81" s="119">
        <v>144800</v>
      </c>
      <c r="K81" s="114">
        <v>48500</v>
      </c>
      <c r="L81" s="114">
        <v>48900</v>
      </c>
      <c r="M81" s="118">
        <v>50000</v>
      </c>
      <c r="N81" s="114">
        <v>52400</v>
      </c>
      <c r="O81" s="114">
        <v>56800</v>
      </c>
      <c r="P81" s="115">
        <v>58600</v>
      </c>
      <c r="Q81" s="116">
        <v>61400</v>
      </c>
      <c r="R81" s="117">
        <v>72000</v>
      </c>
      <c r="S81" s="117">
        <v>78700</v>
      </c>
      <c r="T81" s="119">
        <v>153100</v>
      </c>
      <c r="U81" s="119">
        <v>165600</v>
      </c>
      <c r="V81" s="119">
        <v>183800</v>
      </c>
      <c r="W81" s="119">
        <v>193700</v>
      </c>
      <c r="X81" s="119"/>
      <c r="Y81" s="127"/>
      <c r="Z81" s="127"/>
      <c r="AA81" s="39"/>
      <c r="AB81" s="39"/>
      <c r="AC81" s="39"/>
      <c r="AD81" s="39"/>
      <c r="AE81" s="39"/>
      <c r="AF81" s="39"/>
      <c r="AG81" s="39"/>
      <c r="AH81" s="6"/>
      <c r="AI81" s="6"/>
      <c r="AJ81" s="6"/>
      <c r="AK81" s="5"/>
      <c r="AL81" s="5"/>
      <c r="AM81" s="5"/>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row>
    <row r="82" spans="2:189" hidden="1" x14ac:dyDescent="0.25">
      <c r="B82" s="6"/>
      <c r="C82" s="6"/>
      <c r="D82" s="6">
        <f t="shared" si="9"/>
        <v>106300</v>
      </c>
      <c r="E82" s="6"/>
      <c r="F82" s="6">
        <f t="shared" si="10"/>
        <v>106300</v>
      </c>
      <c r="G82" s="113">
        <v>106300</v>
      </c>
      <c r="H82" s="124">
        <v>124500</v>
      </c>
      <c r="I82" s="114">
        <v>94900</v>
      </c>
      <c r="J82" s="119">
        <v>149100</v>
      </c>
      <c r="K82" s="114">
        <v>50000</v>
      </c>
      <c r="L82" s="114">
        <v>50400</v>
      </c>
      <c r="M82" s="118">
        <v>51500</v>
      </c>
      <c r="N82" s="113">
        <v>54000</v>
      </c>
      <c r="O82" s="114">
        <v>58500</v>
      </c>
      <c r="P82" s="115">
        <v>60400</v>
      </c>
      <c r="Q82" s="116">
        <v>63200</v>
      </c>
      <c r="R82" s="117">
        <v>74200</v>
      </c>
      <c r="S82" s="117">
        <v>81100</v>
      </c>
      <c r="T82" s="119">
        <v>157700</v>
      </c>
      <c r="U82" s="119">
        <v>170600</v>
      </c>
      <c r="V82" s="113">
        <v>189300</v>
      </c>
      <c r="W82" s="113">
        <v>199500</v>
      </c>
      <c r="X82" s="113"/>
      <c r="Y82" s="127"/>
      <c r="Z82" s="127"/>
      <c r="AA82" s="39"/>
      <c r="AB82" s="39"/>
      <c r="AC82" s="39"/>
      <c r="AD82" s="39"/>
      <c r="AE82" s="39"/>
      <c r="AF82" s="39"/>
      <c r="AG82" s="39"/>
      <c r="AH82" s="6"/>
      <c r="AI82" s="6"/>
      <c r="AJ82" s="6"/>
      <c r="AK82" s="5"/>
      <c r="AL82" s="5"/>
      <c r="AM82" s="5"/>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row>
    <row r="83" spans="2:189" hidden="1" x14ac:dyDescent="0.25">
      <c r="B83" s="6"/>
      <c r="C83" s="6"/>
      <c r="D83" s="6">
        <f t="shared" si="9"/>
        <v>109500</v>
      </c>
      <c r="E83" s="6"/>
      <c r="F83" s="6">
        <f t="shared" si="10"/>
        <v>109500</v>
      </c>
      <c r="G83" s="113">
        <v>109500</v>
      </c>
      <c r="H83" s="120">
        <v>128200</v>
      </c>
      <c r="I83" s="113">
        <v>97700</v>
      </c>
      <c r="J83" s="113">
        <v>153600</v>
      </c>
      <c r="K83" s="114">
        <v>51500</v>
      </c>
      <c r="L83" s="114">
        <v>51900</v>
      </c>
      <c r="M83" s="118">
        <v>53000</v>
      </c>
      <c r="N83" s="123">
        <v>55600</v>
      </c>
      <c r="O83" s="114">
        <v>60300</v>
      </c>
      <c r="P83" s="115">
        <v>62200</v>
      </c>
      <c r="Q83" s="116">
        <v>65100</v>
      </c>
      <c r="R83" s="117">
        <v>76400</v>
      </c>
      <c r="S83" s="117">
        <v>83500</v>
      </c>
      <c r="T83" s="119">
        <v>162400</v>
      </c>
      <c r="U83" s="119">
        <v>175700</v>
      </c>
      <c r="V83" s="119">
        <v>195000</v>
      </c>
      <c r="W83" s="119"/>
      <c r="X83" s="119"/>
      <c r="Y83" s="127"/>
      <c r="Z83" s="127"/>
      <c r="AA83" s="39"/>
      <c r="AB83" s="39"/>
      <c r="AC83" s="39"/>
      <c r="AD83" s="39"/>
      <c r="AE83" s="39"/>
      <c r="AF83" s="39"/>
      <c r="AG83" s="39"/>
      <c r="AH83" s="6"/>
      <c r="AI83" s="6"/>
      <c r="AJ83" s="6"/>
      <c r="AK83" s="5"/>
      <c r="AL83" s="5"/>
      <c r="AM83" s="5"/>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row>
    <row r="84" spans="2:189" hidden="1" x14ac:dyDescent="0.25">
      <c r="B84" s="39"/>
      <c r="C84" s="39"/>
      <c r="D84" s="6">
        <f t="shared" si="9"/>
        <v>112800</v>
      </c>
      <c r="E84" s="39"/>
      <c r="F84" s="6">
        <f>IF($F$44=4200,G84,IF($F$44=4800,H84,IF($F$44="5400A",J84,IF($F$44=3600,I84,IF($F$44=1700,K84,IF($F$44=1750,L84,IF($F$44=1900,M84,IF($F$44=2000,N84,IF($F$44="2400A",O84,IF($F$44="2400B",P84,IF($F$44="2400C",Q84,IF($F$44="2800A",R84,IF($F$44="2800B",S84,IF($F$44="5400B",T84,IF($F$44=6000,U84,IF($F$44=6600,V84,IF($F$44=6800,W84,IF($F$44=7200,X84,IF($F$44=7600,Y84,IF($F$44=8200,Z84,IF($F$44=8700,AA84,IF($F$44=8900,IF($F$44=9500,AC84,IF($F$44=10000,AD84,""))))))))))))))))))))))))</f>
        <v>112800</v>
      </c>
      <c r="G84" s="118">
        <v>112800</v>
      </c>
      <c r="H84" s="120">
        <v>132000</v>
      </c>
      <c r="I84" s="113">
        <v>100600</v>
      </c>
      <c r="J84" s="113">
        <v>158200</v>
      </c>
      <c r="K84" s="114">
        <v>53000</v>
      </c>
      <c r="L84" s="114">
        <v>53500</v>
      </c>
      <c r="M84" s="118">
        <v>54600</v>
      </c>
      <c r="N84" s="123">
        <v>57300</v>
      </c>
      <c r="O84" s="114">
        <v>62100</v>
      </c>
      <c r="P84" s="115">
        <v>64100</v>
      </c>
      <c r="Q84" s="116">
        <v>67100</v>
      </c>
      <c r="R84" s="117">
        <v>78700</v>
      </c>
      <c r="S84" s="117">
        <v>86000</v>
      </c>
      <c r="T84" s="119">
        <v>167300</v>
      </c>
      <c r="U84" s="119">
        <v>181000</v>
      </c>
      <c r="V84" s="114"/>
      <c r="W84" s="114"/>
      <c r="X84" s="114"/>
      <c r="Y84" s="127"/>
      <c r="Z84" s="127"/>
      <c r="AA84" s="39"/>
      <c r="AB84" s="39"/>
      <c r="AC84" s="39"/>
      <c r="AD84" s="39"/>
      <c r="AE84" s="39"/>
      <c r="AF84" s="39"/>
      <c r="AG84" s="39"/>
      <c r="AH84" s="6"/>
      <c r="AI84" s="6"/>
      <c r="AJ84" s="6"/>
      <c r="AK84" s="5"/>
      <c r="AL84" s="5"/>
      <c r="AM84" s="5"/>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row>
    <row r="85" spans="2:189" hidden="1" x14ac:dyDescent="0.25">
      <c r="B85" s="39"/>
      <c r="C85" s="39"/>
      <c r="D85" s="6">
        <f t="shared" si="9"/>
        <v>116200</v>
      </c>
      <c r="E85" s="39"/>
      <c r="F85" s="6">
        <f t="shared" si="10"/>
        <v>116200</v>
      </c>
      <c r="G85" s="113">
        <v>116200</v>
      </c>
      <c r="H85" s="120">
        <v>136000</v>
      </c>
      <c r="I85" s="113">
        <v>103600</v>
      </c>
      <c r="J85" s="119">
        <v>162900</v>
      </c>
      <c r="K85" s="114">
        <v>54600</v>
      </c>
      <c r="L85" s="114">
        <v>55100</v>
      </c>
      <c r="M85" s="114">
        <v>56200</v>
      </c>
      <c r="N85" s="123">
        <v>59000</v>
      </c>
      <c r="O85" s="114">
        <v>64000</v>
      </c>
      <c r="P85" s="115">
        <v>66000</v>
      </c>
      <c r="Q85" s="116">
        <v>69100</v>
      </c>
      <c r="R85" s="117">
        <v>81100</v>
      </c>
      <c r="S85" s="117">
        <v>88600</v>
      </c>
      <c r="T85" s="119">
        <v>172300</v>
      </c>
      <c r="U85" s="119">
        <v>186400</v>
      </c>
      <c r="V85" s="114"/>
      <c r="W85" s="114"/>
      <c r="X85" s="114"/>
      <c r="Y85" s="127"/>
      <c r="Z85" s="127"/>
      <c r="AA85" s="39"/>
      <c r="AB85" s="39"/>
      <c r="AC85" s="39"/>
      <c r="AD85" s="39"/>
      <c r="AE85" s="39"/>
      <c r="AF85" s="39"/>
      <c r="AG85" s="39"/>
      <c r="AH85" s="6"/>
      <c r="AI85" s="6"/>
      <c r="AJ85" s="6"/>
      <c r="AK85" s="5"/>
      <c r="AL85" s="5"/>
      <c r="AM85" s="5"/>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row>
    <row r="86" spans="2:189" s="3" customFormat="1" hidden="1" x14ac:dyDescent="0.25">
      <c r="B86" s="30"/>
      <c r="C86" s="31"/>
      <c r="D86" s="32"/>
      <c r="E86" s="33"/>
      <c r="F86" s="34"/>
      <c r="G86" s="32"/>
      <c r="H86" s="32"/>
      <c r="I86" s="32"/>
      <c r="J86" s="32"/>
      <c r="K86" s="32"/>
      <c r="L86" s="32"/>
      <c r="M86" s="32"/>
      <c r="N86" s="32"/>
      <c r="O86" s="38">
        <f t="shared" ref="O86:O147" si="11">SUM(F86:N86)</f>
        <v>0</v>
      </c>
      <c r="P86" s="34"/>
      <c r="Q86" s="34"/>
      <c r="R86" s="34"/>
      <c r="S86" s="34"/>
      <c r="T86" s="34"/>
      <c r="U86" s="34"/>
      <c r="V86" s="34"/>
      <c r="W86" s="34"/>
      <c r="X86" s="34"/>
      <c r="Y86" s="34"/>
      <c r="Z86" s="34"/>
      <c r="AA86" s="38">
        <f t="shared" si="7"/>
        <v>0</v>
      </c>
      <c r="AB86" s="38">
        <f t="shared" si="8"/>
        <v>0</v>
      </c>
      <c r="AC86" s="23"/>
      <c r="AD86" s="23"/>
      <c r="AE86" s="23" t="e">
        <f>IF(#REF!=#REF!,1,0)</f>
        <v>#REF!</v>
      </c>
      <c r="AF86" s="24"/>
      <c r="AG86" s="24"/>
      <c r="AH86" s="24"/>
      <c r="AI86" s="24"/>
      <c r="AJ86" s="27"/>
      <c r="AK86" s="27"/>
      <c r="AL86" s="27"/>
      <c r="AM86" s="27"/>
      <c r="AN86" s="27"/>
      <c r="AO86" s="27"/>
      <c r="AP86" s="27"/>
      <c r="AQ86" s="27"/>
      <c r="AR86" s="27"/>
      <c r="AS86" s="27"/>
      <c r="AT86" s="27"/>
    </row>
    <row r="87" spans="2:189" s="3" customFormat="1" hidden="1" x14ac:dyDescent="0.25">
      <c r="B87" s="30"/>
      <c r="C87" s="31"/>
      <c r="D87" s="32"/>
      <c r="E87" s="33"/>
      <c r="F87" s="34"/>
      <c r="G87" s="34"/>
      <c r="H87" s="34"/>
      <c r="I87" s="34"/>
      <c r="J87" s="34"/>
      <c r="K87" s="34"/>
      <c r="L87" s="34"/>
      <c r="M87" s="34"/>
      <c r="N87" s="34"/>
      <c r="O87" s="38">
        <f t="shared" si="11"/>
        <v>0</v>
      </c>
      <c r="P87" s="34"/>
      <c r="Q87" s="34"/>
      <c r="R87" s="34"/>
      <c r="S87" s="34"/>
      <c r="T87" s="34"/>
      <c r="U87" s="34"/>
      <c r="V87" s="34"/>
      <c r="W87" s="34"/>
      <c r="X87" s="34"/>
      <c r="Y87" s="34"/>
      <c r="Z87" s="34"/>
      <c r="AA87" s="38">
        <f t="shared" si="7"/>
        <v>0</v>
      </c>
      <c r="AB87" s="38">
        <f t="shared" si="8"/>
        <v>0</v>
      </c>
      <c r="AC87" s="23"/>
      <c r="AD87" s="23"/>
      <c r="AE87" s="23" t="e">
        <f>IF(#REF!=#REF!,1,0)</f>
        <v>#REF!</v>
      </c>
      <c r="AF87" s="24"/>
      <c r="AG87" s="24"/>
      <c r="AH87" s="24"/>
      <c r="AI87" s="24"/>
      <c r="AJ87" s="27"/>
      <c r="AK87" s="27"/>
      <c r="AL87" s="27"/>
      <c r="AM87" s="27"/>
      <c r="AN87" s="27"/>
      <c r="AO87" s="27"/>
      <c r="AP87" s="27"/>
      <c r="AQ87" s="27"/>
      <c r="AR87" s="27"/>
      <c r="AS87" s="27"/>
      <c r="AT87" s="27"/>
    </row>
    <row r="88" spans="2:189" s="3" customFormat="1" x14ac:dyDescent="0.25">
      <c r="B88" s="30"/>
      <c r="C88" s="31"/>
      <c r="D88" s="32"/>
      <c r="E88" s="33"/>
      <c r="F88" s="34"/>
      <c r="G88" s="34"/>
      <c r="H88" s="34"/>
      <c r="I88" s="34"/>
      <c r="J88" s="34"/>
      <c r="K88" s="34"/>
      <c r="L88" s="34"/>
      <c r="M88" s="34"/>
      <c r="N88" s="34"/>
      <c r="O88" s="38">
        <f t="shared" si="11"/>
        <v>0</v>
      </c>
      <c r="P88" s="34"/>
      <c r="Q88" s="34"/>
      <c r="R88" s="34"/>
      <c r="S88" s="34"/>
      <c r="T88" s="34"/>
      <c r="U88" s="34"/>
      <c r="V88" s="34"/>
      <c r="W88" s="34"/>
      <c r="X88" s="34"/>
      <c r="Y88" s="34"/>
      <c r="Z88" s="34"/>
      <c r="AA88" s="38">
        <f t="shared" si="7"/>
        <v>0</v>
      </c>
      <c r="AB88" s="38">
        <f t="shared" si="8"/>
        <v>0</v>
      </c>
      <c r="AC88" s="23"/>
      <c r="AD88" s="23"/>
      <c r="AE88" s="23" t="e">
        <f>IF(#REF!=#REF!,1,0)</f>
        <v>#REF!</v>
      </c>
      <c r="AF88" s="24"/>
      <c r="AG88" s="24"/>
      <c r="AH88" s="24"/>
      <c r="AI88" s="24"/>
      <c r="AJ88" s="27"/>
      <c r="AK88" s="27"/>
      <c r="AL88" s="27"/>
      <c r="AM88" s="27"/>
      <c r="AN88" s="27"/>
      <c r="AO88" s="27"/>
      <c r="AP88" s="27"/>
      <c r="AQ88" s="27"/>
      <c r="AR88" s="27"/>
      <c r="AS88" s="27"/>
      <c r="AT88" s="27"/>
    </row>
    <row r="89" spans="2:189" s="3" customFormat="1" x14ac:dyDescent="0.25">
      <c r="B89" s="30"/>
      <c r="C89" s="31"/>
      <c r="D89" s="32"/>
      <c r="E89" s="33"/>
      <c r="F89" s="34"/>
      <c r="G89" s="34"/>
      <c r="H89" s="34"/>
      <c r="I89" s="34"/>
      <c r="J89" s="34"/>
      <c r="K89" s="34"/>
      <c r="L89" s="34"/>
      <c r="M89" s="34"/>
      <c r="N89" s="34"/>
      <c r="O89" s="38">
        <f t="shared" si="11"/>
        <v>0</v>
      </c>
      <c r="P89" s="34"/>
      <c r="Q89" s="34"/>
      <c r="R89" s="34"/>
      <c r="S89" s="34"/>
      <c r="T89" s="34"/>
      <c r="U89" s="34"/>
      <c r="V89" s="34"/>
      <c r="W89" s="34"/>
      <c r="X89" s="34"/>
      <c r="Y89" s="34"/>
      <c r="Z89" s="34"/>
      <c r="AA89" s="38">
        <f t="shared" si="7"/>
        <v>0</v>
      </c>
      <c r="AB89" s="38">
        <f t="shared" si="8"/>
        <v>0</v>
      </c>
      <c r="AC89" s="23"/>
      <c r="AD89" s="23"/>
      <c r="AE89" s="23" t="e">
        <f>IF(#REF!=#REF!,1,0)</f>
        <v>#REF!</v>
      </c>
      <c r="AF89" s="24"/>
      <c r="AG89" s="24"/>
      <c r="AH89" s="24"/>
      <c r="AI89" s="24"/>
      <c r="AJ89" s="27"/>
      <c r="AK89" s="27"/>
      <c r="AL89" s="27"/>
      <c r="AM89" s="27"/>
      <c r="AN89" s="27"/>
      <c r="AO89" s="27"/>
      <c r="AP89" s="27"/>
      <c r="AQ89" s="27"/>
      <c r="AR89" s="27"/>
      <c r="AS89" s="27"/>
      <c r="AT89" s="27"/>
    </row>
    <row r="90" spans="2:189" s="3" customFormat="1" x14ac:dyDescent="0.25">
      <c r="B90" s="30"/>
      <c r="C90" s="31"/>
      <c r="D90" s="32"/>
      <c r="E90" s="33"/>
      <c r="F90" s="34"/>
      <c r="G90" s="34"/>
      <c r="H90" s="34"/>
      <c r="I90" s="34"/>
      <c r="J90" s="34"/>
      <c r="K90" s="34"/>
      <c r="L90" s="34"/>
      <c r="M90" s="34"/>
      <c r="N90" s="34"/>
      <c r="O90" s="38">
        <f t="shared" si="11"/>
        <v>0</v>
      </c>
      <c r="P90" s="34"/>
      <c r="Q90" s="34"/>
      <c r="R90" s="34"/>
      <c r="S90" s="34"/>
      <c r="T90" s="34"/>
      <c r="U90" s="34"/>
      <c r="V90" s="34"/>
      <c r="W90" s="34"/>
      <c r="X90" s="34"/>
      <c r="Y90" s="34"/>
      <c r="Z90" s="34"/>
      <c r="AA90" s="38">
        <f t="shared" si="7"/>
        <v>0</v>
      </c>
      <c r="AB90" s="38">
        <f t="shared" si="8"/>
        <v>0</v>
      </c>
      <c r="AC90" s="23"/>
      <c r="AD90" s="23"/>
      <c r="AE90" s="23" t="e">
        <f>IF(#REF!=#REF!,1,0)</f>
        <v>#REF!</v>
      </c>
      <c r="AF90" s="24"/>
      <c r="AG90" s="24"/>
      <c r="AH90" s="24"/>
      <c r="AI90" s="24"/>
      <c r="AJ90" s="27"/>
      <c r="AK90" s="27"/>
      <c r="AL90" s="27"/>
      <c r="AM90" s="27"/>
      <c r="AN90" s="27"/>
      <c r="AO90" s="27"/>
      <c r="AP90" s="27"/>
      <c r="AQ90" s="27"/>
      <c r="AR90" s="27"/>
      <c r="AS90" s="27"/>
      <c r="AT90" s="27"/>
    </row>
    <row r="91" spans="2:189" s="3" customFormat="1" x14ac:dyDescent="0.25">
      <c r="B91" s="30"/>
      <c r="C91" s="31"/>
      <c r="D91" s="32"/>
      <c r="E91" s="33"/>
      <c r="F91" s="34"/>
      <c r="G91" s="34"/>
      <c r="H91" s="34"/>
      <c r="I91" s="34"/>
      <c r="J91" s="34"/>
      <c r="K91" s="34"/>
      <c r="L91" s="34"/>
      <c r="M91" s="34"/>
      <c r="N91" s="34"/>
      <c r="O91" s="38">
        <f t="shared" si="11"/>
        <v>0</v>
      </c>
      <c r="P91" s="34"/>
      <c r="Q91" s="34"/>
      <c r="R91" s="34"/>
      <c r="S91" s="34"/>
      <c r="T91" s="34"/>
      <c r="U91" s="34"/>
      <c r="V91" s="34"/>
      <c r="W91" s="34"/>
      <c r="X91" s="34"/>
      <c r="Y91" s="34"/>
      <c r="Z91" s="34"/>
      <c r="AA91" s="38">
        <f t="shared" ref="AA91:AA154" si="12">SUM(P91:Z91)</f>
        <v>0</v>
      </c>
      <c r="AB91" s="38">
        <f t="shared" ref="AB91:AB154" si="13">O91-AA91</f>
        <v>0</v>
      </c>
      <c r="AC91" s="23"/>
      <c r="AD91" s="23"/>
      <c r="AE91" s="23" t="e">
        <f>IF(#REF!=#REF!,1,0)</f>
        <v>#REF!</v>
      </c>
      <c r="AF91" s="24"/>
      <c r="AG91" s="24"/>
      <c r="AH91" s="24"/>
      <c r="AI91" s="24"/>
      <c r="AJ91" s="27"/>
      <c r="AK91" s="27"/>
      <c r="AL91" s="27"/>
      <c r="AM91" s="27"/>
      <c r="AN91" s="27"/>
      <c r="AO91" s="27"/>
      <c r="AP91" s="27"/>
      <c r="AQ91" s="27"/>
      <c r="AR91" s="27"/>
      <c r="AS91" s="27"/>
      <c r="AT91" s="27"/>
    </row>
    <row r="92" spans="2:189" s="3" customFormat="1" x14ac:dyDescent="0.25">
      <c r="B92" s="30"/>
      <c r="C92" s="31"/>
      <c r="D92" s="32"/>
      <c r="E92" s="33"/>
      <c r="F92" s="34"/>
      <c r="G92" s="34"/>
      <c r="H92" s="34"/>
      <c r="I92" s="34"/>
      <c r="J92" s="34"/>
      <c r="K92" s="34"/>
      <c r="L92" s="34"/>
      <c r="M92" s="34"/>
      <c r="N92" s="34"/>
      <c r="O92" s="38">
        <f t="shared" si="11"/>
        <v>0</v>
      </c>
      <c r="P92" s="34"/>
      <c r="Q92" s="34"/>
      <c r="R92" s="34"/>
      <c r="S92" s="34"/>
      <c r="T92" s="34"/>
      <c r="U92" s="34"/>
      <c r="V92" s="34"/>
      <c r="W92" s="34"/>
      <c r="X92" s="34"/>
      <c r="Y92" s="34"/>
      <c r="Z92" s="34"/>
      <c r="AA92" s="38">
        <f t="shared" si="12"/>
        <v>0</v>
      </c>
      <c r="AB92" s="38">
        <f t="shared" si="13"/>
        <v>0</v>
      </c>
      <c r="AC92" s="23"/>
      <c r="AD92" s="23"/>
      <c r="AE92" s="23" t="e">
        <f>IF(#REF!=#REF!,1,0)</f>
        <v>#REF!</v>
      </c>
      <c r="AF92" s="24"/>
      <c r="AG92" s="24"/>
      <c r="AH92" s="24"/>
      <c r="AI92" s="24"/>
      <c r="AJ92" s="27"/>
      <c r="AK92" s="27"/>
      <c r="AL92" s="27"/>
      <c r="AM92" s="27"/>
      <c r="AN92" s="27"/>
      <c r="AO92" s="27"/>
      <c r="AP92" s="27"/>
      <c r="AQ92" s="27"/>
      <c r="AR92" s="27"/>
      <c r="AS92" s="27"/>
      <c r="AT92" s="27"/>
    </row>
    <row r="93" spans="2:189" s="3" customFormat="1" x14ac:dyDescent="0.25">
      <c r="B93" s="30"/>
      <c r="C93" s="31"/>
      <c r="D93" s="32"/>
      <c r="E93" s="33"/>
      <c r="F93" s="34"/>
      <c r="G93" s="34"/>
      <c r="H93" s="34"/>
      <c r="I93" s="34"/>
      <c r="J93" s="34"/>
      <c r="K93" s="34"/>
      <c r="L93" s="34"/>
      <c r="M93" s="34"/>
      <c r="N93" s="34"/>
      <c r="O93" s="38">
        <f t="shared" si="11"/>
        <v>0</v>
      </c>
      <c r="P93" s="34"/>
      <c r="Q93" s="34"/>
      <c r="R93" s="34"/>
      <c r="S93" s="34"/>
      <c r="T93" s="34"/>
      <c r="U93" s="34"/>
      <c r="V93" s="34"/>
      <c r="W93" s="34"/>
      <c r="X93" s="34"/>
      <c r="Y93" s="34"/>
      <c r="Z93" s="34"/>
      <c r="AA93" s="38">
        <f t="shared" si="12"/>
        <v>0</v>
      </c>
      <c r="AB93" s="38">
        <f t="shared" si="13"/>
        <v>0</v>
      </c>
      <c r="AC93" s="23"/>
      <c r="AD93" s="23"/>
      <c r="AE93" s="23" t="e">
        <f>IF(#REF!=#REF!,1,0)</f>
        <v>#REF!</v>
      </c>
      <c r="AF93" s="24"/>
      <c r="AG93" s="24"/>
      <c r="AH93" s="24"/>
      <c r="AI93" s="24"/>
      <c r="AJ93" s="27"/>
      <c r="AK93" s="27"/>
      <c r="AL93" s="27"/>
      <c r="AM93" s="27"/>
      <c r="AN93" s="27"/>
      <c r="AO93" s="27"/>
      <c r="AP93" s="27"/>
      <c r="AQ93" s="27"/>
      <c r="AR93" s="27"/>
      <c r="AS93" s="27"/>
      <c r="AT93" s="27"/>
    </row>
    <row r="94" spans="2:189" s="3" customFormat="1" x14ac:dyDescent="0.25">
      <c r="B94" s="30"/>
      <c r="C94" s="31"/>
      <c r="D94" s="32"/>
      <c r="E94" s="33"/>
      <c r="F94" s="34"/>
      <c r="G94" s="34"/>
      <c r="H94" s="34"/>
      <c r="I94" s="34"/>
      <c r="J94" s="34"/>
      <c r="K94" s="34"/>
      <c r="L94" s="34"/>
      <c r="M94" s="34"/>
      <c r="N94" s="34"/>
      <c r="O94" s="38">
        <f t="shared" si="11"/>
        <v>0</v>
      </c>
      <c r="P94" s="34"/>
      <c r="Q94" s="34"/>
      <c r="R94" s="34"/>
      <c r="S94" s="34"/>
      <c r="T94" s="34"/>
      <c r="U94" s="34"/>
      <c r="V94" s="34"/>
      <c r="W94" s="34"/>
      <c r="X94" s="34"/>
      <c r="Y94" s="34"/>
      <c r="Z94" s="34"/>
      <c r="AA94" s="38">
        <f t="shared" si="12"/>
        <v>0</v>
      </c>
      <c r="AB94" s="38">
        <f t="shared" si="13"/>
        <v>0</v>
      </c>
      <c r="AC94" s="23"/>
      <c r="AD94" s="23"/>
      <c r="AE94" s="23" t="e">
        <f>IF(#REF!=#REF!,1,0)</f>
        <v>#REF!</v>
      </c>
      <c r="AF94" s="24"/>
      <c r="AG94" s="24"/>
      <c r="AH94" s="24"/>
      <c r="AI94" s="24"/>
      <c r="AJ94" s="27"/>
      <c r="AK94" s="27"/>
      <c r="AL94" s="27"/>
      <c r="AM94" s="27"/>
      <c r="AN94" s="27"/>
      <c r="AO94" s="27"/>
      <c r="AP94" s="27"/>
      <c r="AQ94" s="27"/>
      <c r="AR94" s="27"/>
      <c r="AS94" s="27"/>
      <c r="AT94" s="27"/>
    </row>
    <row r="95" spans="2:189" s="3" customFormat="1" x14ac:dyDescent="0.25">
      <c r="B95" s="30"/>
      <c r="C95" s="31"/>
      <c r="D95" s="32"/>
      <c r="E95" s="33"/>
      <c r="F95" s="34"/>
      <c r="G95" s="34"/>
      <c r="H95" s="34"/>
      <c r="I95" s="34"/>
      <c r="J95" s="34"/>
      <c r="K95" s="34"/>
      <c r="L95" s="34"/>
      <c r="M95" s="34"/>
      <c r="N95" s="34"/>
      <c r="O95" s="38">
        <f t="shared" si="11"/>
        <v>0</v>
      </c>
      <c r="P95" s="34"/>
      <c r="Q95" s="34"/>
      <c r="R95" s="34"/>
      <c r="S95" s="34"/>
      <c r="T95" s="34"/>
      <c r="U95" s="34"/>
      <c r="V95" s="34"/>
      <c r="W95" s="34"/>
      <c r="X95" s="34"/>
      <c r="Y95" s="34"/>
      <c r="Z95" s="34"/>
      <c r="AA95" s="38">
        <f t="shared" si="12"/>
        <v>0</v>
      </c>
      <c r="AB95" s="38">
        <f t="shared" si="13"/>
        <v>0</v>
      </c>
      <c r="AC95" s="23"/>
      <c r="AD95" s="23"/>
      <c r="AE95" s="23" t="e">
        <f>IF(#REF!=#REF!,1,0)</f>
        <v>#REF!</v>
      </c>
      <c r="AF95" s="24"/>
      <c r="AG95" s="24"/>
      <c r="AH95" s="24"/>
      <c r="AI95" s="24"/>
      <c r="AJ95" s="27"/>
      <c r="AK95" s="27"/>
      <c r="AL95" s="27"/>
      <c r="AM95" s="27"/>
      <c r="AN95" s="27"/>
      <c r="AO95" s="27"/>
      <c r="AP95" s="27"/>
      <c r="AQ95" s="27"/>
      <c r="AR95" s="27"/>
      <c r="AS95" s="27"/>
      <c r="AT95" s="27"/>
    </row>
    <row r="96" spans="2:189" s="3" customFormat="1" x14ac:dyDescent="0.25">
      <c r="B96" s="30"/>
      <c r="C96" s="31"/>
      <c r="D96" s="32"/>
      <c r="E96" s="33"/>
      <c r="F96" s="34"/>
      <c r="G96" s="34"/>
      <c r="H96" s="34"/>
      <c r="I96" s="34"/>
      <c r="J96" s="34"/>
      <c r="K96" s="34"/>
      <c r="L96" s="34"/>
      <c r="M96" s="34"/>
      <c r="N96" s="34"/>
      <c r="O96" s="38">
        <f t="shared" si="11"/>
        <v>0</v>
      </c>
      <c r="P96" s="34"/>
      <c r="Q96" s="34"/>
      <c r="R96" s="34"/>
      <c r="S96" s="34"/>
      <c r="T96" s="34"/>
      <c r="U96" s="34"/>
      <c r="V96" s="34"/>
      <c r="W96" s="34"/>
      <c r="X96" s="34"/>
      <c r="Y96" s="34"/>
      <c r="Z96" s="34"/>
      <c r="AA96" s="38">
        <f t="shared" si="12"/>
        <v>0</v>
      </c>
      <c r="AB96" s="38">
        <f t="shared" si="13"/>
        <v>0</v>
      </c>
      <c r="AC96" s="23"/>
      <c r="AD96" s="23"/>
      <c r="AE96" s="23" t="e">
        <f>IF(#REF!=#REF!,1,0)</f>
        <v>#REF!</v>
      </c>
      <c r="AF96" s="24"/>
      <c r="AG96" s="24"/>
      <c r="AH96" s="24"/>
      <c r="AI96" s="24"/>
      <c r="AJ96" s="27"/>
      <c r="AK96" s="27"/>
      <c r="AL96" s="27"/>
      <c r="AM96" s="27"/>
      <c r="AN96" s="27"/>
      <c r="AO96" s="27"/>
      <c r="AP96" s="27"/>
      <c r="AQ96" s="27"/>
      <c r="AR96" s="27"/>
      <c r="AS96" s="27"/>
      <c r="AT96" s="27"/>
    </row>
    <row r="97" spans="2:46" s="3" customFormat="1" x14ac:dyDescent="0.25">
      <c r="B97" s="30"/>
      <c r="C97" s="31"/>
      <c r="D97" s="32"/>
      <c r="E97" s="33"/>
      <c r="F97" s="34"/>
      <c r="G97" s="34"/>
      <c r="H97" s="34"/>
      <c r="I97" s="34"/>
      <c r="J97" s="34"/>
      <c r="K97" s="34"/>
      <c r="L97" s="34"/>
      <c r="M97" s="34"/>
      <c r="N97" s="34"/>
      <c r="O97" s="38">
        <f t="shared" si="11"/>
        <v>0</v>
      </c>
      <c r="P97" s="34"/>
      <c r="Q97" s="34"/>
      <c r="R97" s="34"/>
      <c r="S97" s="34"/>
      <c r="T97" s="34"/>
      <c r="U97" s="34"/>
      <c r="V97" s="34"/>
      <c r="W97" s="34"/>
      <c r="X97" s="34"/>
      <c r="Y97" s="34"/>
      <c r="Z97" s="34"/>
      <c r="AA97" s="38">
        <f t="shared" si="12"/>
        <v>0</v>
      </c>
      <c r="AB97" s="38">
        <f t="shared" si="13"/>
        <v>0</v>
      </c>
      <c r="AC97" s="23"/>
      <c r="AD97" s="23"/>
      <c r="AE97" s="23" t="e">
        <f>IF(#REF!=#REF!,1,0)</f>
        <v>#REF!</v>
      </c>
      <c r="AF97" s="24"/>
      <c r="AG97" s="24"/>
      <c r="AH97" s="24"/>
      <c r="AI97" s="24"/>
      <c r="AJ97" s="27"/>
      <c r="AK97" s="27"/>
      <c r="AL97" s="27"/>
      <c r="AM97" s="27"/>
      <c r="AN97" s="27"/>
      <c r="AO97" s="27"/>
      <c r="AP97" s="27"/>
      <c r="AQ97" s="27"/>
      <c r="AR97" s="27"/>
      <c r="AS97" s="27"/>
      <c r="AT97" s="27"/>
    </row>
    <row r="98" spans="2:46" s="3" customFormat="1" x14ac:dyDescent="0.25">
      <c r="B98" s="30"/>
      <c r="C98" s="31"/>
      <c r="D98" s="32"/>
      <c r="E98" s="33"/>
      <c r="F98" s="34"/>
      <c r="G98" s="34"/>
      <c r="H98" s="34"/>
      <c r="I98" s="34"/>
      <c r="J98" s="34"/>
      <c r="K98" s="34"/>
      <c r="L98" s="34"/>
      <c r="M98" s="34"/>
      <c r="N98" s="34"/>
      <c r="O98" s="38">
        <f t="shared" si="11"/>
        <v>0</v>
      </c>
      <c r="P98" s="34"/>
      <c r="Q98" s="34"/>
      <c r="R98" s="34"/>
      <c r="S98" s="34"/>
      <c r="T98" s="34"/>
      <c r="U98" s="34"/>
      <c r="V98" s="34"/>
      <c r="W98" s="34"/>
      <c r="X98" s="34"/>
      <c r="Y98" s="34"/>
      <c r="Z98" s="34"/>
      <c r="AA98" s="38">
        <f t="shared" si="12"/>
        <v>0</v>
      </c>
      <c r="AB98" s="38">
        <f t="shared" si="13"/>
        <v>0</v>
      </c>
      <c r="AC98" s="23"/>
      <c r="AD98" s="23"/>
      <c r="AE98" s="23" t="e">
        <f>IF(#REF!=#REF!,1,0)</f>
        <v>#REF!</v>
      </c>
      <c r="AF98" s="24"/>
      <c r="AG98" s="24"/>
      <c r="AH98" s="24"/>
      <c r="AI98" s="24"/>
      <c r="AJ98" s="27"/>
      <c r="AK98" s="27"/>
      <c r="AL98" s="27"/>
      <c r="AM98" s="27"/>
      <c r="AN98" s="27"/>
      <c r="AO98" s="27"/>
      <c r="AP98" s="27"/>
      <c r="AQ98" s="27"/>
      <c r="AR98" s="27"/>
      <c r="AS98" s="27"/>
      <c r="AT98" s="27"/>
    </row>
    <row r="99" spans="2:46" s="3" customFormat="1" x14ac:dyDescent="0.25">
      <c r="B99" s="30"/>
      <c r="C99" s="31"/>
      <c r="D99" s="32"/>
      <c r="E99" s="33"/>
      <c r="F99" s="34"/>
      <c r="G99" s="34"/>
      <c r="H99" s="34"/>
      <c r="I99" s="34"/>
      <c r="J99" s="34"/>
      <c r="K99" s="34"/>
      <c r="L99" s="34"/>
      <c r="M99" s="34"/>
      <c r="N99" s="34"/>
      <c r="O99" s="38">
        <f t="shared" si="11"/>
        <v>0</v>
      </c>
      <c r="P99" s="34"/>
      <c r="Q99" s="34"/>
      <c r="R99" s="34"/>
      <c r="S99" s="34"/>
      <c r="T99" s="34"/>
      <c r="U99" s="34"/>
      <c r="V99" s="34"/>
      <c r="W99" s="34"/>
      <c r="X99" s="34"/>
      <c r="Y99" s="34"/>
      <c r="Z99" s="34"/>
      <c r="AA99" s="38">
        <f t="shared" si="12"/>
        <v>0</v>
      </c>
      <c r="AB99" s="38">
        <f t="shared" si="13"/>
        <v>0</v>
      </c>
      <c r="AC99" s="23"/>
      <c r="AD99" s="23"/>
      <c r="AE99" s="23" t="e">
        <f>IF(#REF!=#REF!,1,0)</f>
        <v>#REF!</v>
      </c>
      <c r="AF99" s="24"/>
      <c r="AG99" s="24"/>
      <c r="AH99" s="24"/>
      <c r="AI99" s="24"/>
      <c r="AJ99" s="27"/>
      <c r="AK99" s="27"/>
      <c r="AL99" s="27"/>
      <c r="AM99" s="27"/>
      <c r="AN99" s="27"/>
      <c r="AO99" s="27"/>
      <c r="AP99" s="27"/>
      <c r="AQ99" s="27"/>
      <c r="AR99" s="27"/>
      <c r="AS99" s="27"/>
      <c r="AT99" s="27"/>
    </row>
    <row r="100" spans="2:46" s="3" customFormat="1" x14ac:dyDescent="0.25">
      <c r="B100" s="30"/>
      <c r="C100" s="31"/>
      <c r="D100" s="32"/>
      <c r="E100" s="33"/>
      <c r="F100" s="34"/>
      <c r="G100" s="34"/>
      <c r="H100" s="34"/>
      <c r="I100" s="34"/>
      <c r="J100" s="34"/>
      <c r="K100" s="34"/>
      <c r="L100" s="34"/>
      <c r="M100" s="34"/>
      <c r="N100" s="34"/>
      <c r="O100" s="38">
        <f t="shared" si="11"/>
        <v>0</v>
      </c>
      <c r="P100" s="34"/>
      <c r="Q100" s="34"/>
      <c r="R100" s="34"/>
      <c r="S100" s="34"/>
      <c r="T100" s="34"/>
      <c r="U100" s="34"/>
      <c r="V100" s="34"/>
      <c r="W100" s="34"/>
      <c r="X100" s="34"/>
      <c r="Y100" s="34"/>
      <c r="Z100" s="34"/>
      <c r="AA100" s="38">
        <f t="shared" si="12"/>
        <v>0</v>
      </c>
      <c r="AB100" s="38">
        <f t="shared" si="13"/>
        <v>0</v>
      </c>
      <c r="AC100" s="23"/>
      <c r="AD100" s="23"/>
      <c r="AE100" s="23" t="e">
        <f>IF(#REF!=#REF!,1,0)</f>
        <v>#REF!</v>
      </c>
      <c r="AF100" s="24"/>
      <c r="AG100" s="24"/>
      <c r="AH100" s="24"/>
      <c r="AI100" s="24"/>
      <c r="AJ100" s="27"/>
      <c r="AK100" s="27"/>
      <c r="AL100" s="27"/>
      <c r="AM100" s="27"/>
      <c r="AN100" s="27"/>
      <c r="AO100" s="27"/>
      <c r="AP100" s="27"/>
      <c r="AQ100" s="27"/>
      <c r="AR100" s="27"/>
      <c r="AS100" s="27"/>
      <c r="AT100" s="27"/>
    </row>
    <row r="101" spans="2:46" s="3" customFormat="1" x14ac:dyDescent="0.25">
      <c r="B101" s="30"/>
      <c r="C101" s="31"/>
      <c r="D101" s="32"/>
      <c r="E101" s="33"/>
      <c r="F101" s="34"/>
      <c r="G101" s="34"/>
      <c r="H101" s="34"/>
      <c r="I101" s="34"/>
      <c r="J101" s="34"/>
      <c r="K101" s="34"/>
      <c r="L101" s="34"/>
      <c r="M101" s="34"/>
      <c r="N101" s="34"/>
      <c r="O101" s="38">
        <f t="shared" si="11"/>
        <v>0</v>
      </c>
      <c r="P101" s="34"/>
      <c r="Q101" s="34"/>
      <c r="R101" s="34"/>
      <c r="S101" s="34"/>
      <c r="T101" s="34"/>
      <c r="U101" s="34"/>
      <c r="V101" s="34"/>
      <c r="W101" s="34"/>
      <c r="X101" s="34"/>
      <c r="Y101" s="34"/>
      <c r="Z101" s="34"/>
      <c r="AA101" s="38">
        <f t="shared" si="12"/>
        <v>0</v>
      </c>
      <c r="AB101" s="38">
        <f t="shared" si="13"/>
        <v>0</v>
      </c>
      <c r="AC101" s="23"/>
      <c r="AD101" s="23"/>
      <c r="AE101" s="23" t="e">
        <f>IF(#REF!=#REF!,1,0)</f>
        <v>#REF!</v>
      </c>
      <c r="AF101" s="24"/>
      <c r="AG101" s="24"/>
      <c r="AH101" s="24"/>
      <c r="AI101" s="24"/>
      <c r="AJ101" s="27"/>
      <c r="AK101" s="27"/>
      <c r="AL101" s="27"/>
      <c r="AM101" s="27"/>
      <c r="AN101" s="27"/>
      <c r="AO101" s="27"/>
      <c r="AP101" s="27"/>
      <c r="AQ101" s="27"/>
      <c r="AR101" s="27"/>
      <c r="AS101" s="27"/>
      <c r="AT101" s="27"/>
    </row>
    <row r="102" spans="2:46" s="3" customFormat="1" x14ac:dyDescent="0.25">
      <c r="B102" s="30"/>
      <c r="C102" s="31"/>
      <c r="D102" s="32"/>
      <c r="E102" s="33"/>
      <c r="F102" s="34"/>
      <c r="G102" s="34"/>
      <c r="H102" s="34"/>
      <c r="I102" s="34"/>
      <c r="J102" s="34"/>
      <c r="K102" s="34"/>
      <c r="L102" s="34"/>
      <c r="M102" s="34"/>
      <c r="N102" s="34"/>
      <c r="O102" s="38">
        <f t="shared" si="11"/>
        <v>0</v>
      </c>
      <c r="P102" s="34"/>
      <c r="Q102" s="34"/>
      <c r="R102" s="34"/>
      <c r="S102" s="34"/>
      <c r="T102" s="34"/>
      <c r="U102" s="34"/>
      <c r="V102" s="34"/>
      <c r="W102" s="34"/>
      <c r="X102" s="34"/>
      <c r="Y102" s="34"/>
      <c r="Z102" s="34"/>
      <c r="AA102" s="38">
        <f t="shared" si="12"/>
        <v>0</v>
      </c>
      <c r="AB102" s="38">
        <f t="shared" si="13"/>
        <v>0</v>
      </c>
      <c r="AC102" s="23"/>
      <c r="AD102" s="23"/>
      <c r="AE102" s="23" t="e">
        <f>IF(#REF!=#REF!,1,0)</f>
        <v>#REF!</v>
      </c>
      <c r="AF102" s="24"/>
      <c r="AG102" s="24"/>
      <c r="AH102" s="24"/>
      <c r="AI102" s="24"/>
      <c r="AJ102" s="27"/>
      <c r="AK102" s="27"/>
      <c r="AL102" s="27"/>
      <c r="AM102" s="27"/>
      <c r="AN102" s="27"/>
      <c r="AO102" s="27"/>
      <c r="AP102" s="27"/>
      <c r="AQ102" s="27"/>
      <c r="AR102" s="27"/>
      <c r="AS102" s="27"/>
      <c r="AT102" s="27"/>
    </row>
    <row r="103" spans="2:46" s="3" customFormat="1" x14ac:dyDescent="0.25">
      <c r="B103" s="30"/>
      <c r="C103" s="31"/>
      <c r="D103" s="32"/>
      <c r="E103" s="33"/>
      <c r="F103" s="34"/>
      <c r="G103" s="34"/>
      <c r="H103" s="34"/>
      <c r="I103" s="34"/>
      <c r="J103" s="34"/>
      <c r="K103" s="34"/>
      <c r="L103" s="34"/>
      <c r="M103" s="34"/>
      <c r="N103" s="34"/>
      <c r="O103" s="38">
        <f t="shared" si="11"/>
        <v>0</v>
      </c>
      <c r="P103" s="34"/>
      <c r="Q103" s="34"/>
      <c r="R103" s="34"/>
      <c r="S103" s="34"/>
      <c r="T103" s="34"/>
      <c r="U103" s="34"/>
      <c r="V103" s="34"/>
      <c r="W103" s="34"/>
      <c r="X103" s="34"/>
      <c r="Y103" s="34"/>
      <c r="Z103" s="34"/>
      <c r="AA103" s="38">
        <f t="shared" si="12"/>
        <v>0</v>
      </c>
      <c r="AB103" s="38">
        <f t="shared" si="13"/>
        <v>0</v>
      </c>
      <c r="AC103" s="23"/>
      <c r="AD103" s="23"/>
      <c r="AE103" s="23" t="e">
        <f>IF(#REF!=#REF!,1,0)</f>
        <v>#REF!</v>
      </c>
      <c r="AF103" s="24"/>
      <c r="AG103" s="24"/>
      <c r="AH103" s="24"/>
      <c r="AI103" s="24"/>
      <c r="AJ103" s="27"/>
      <c r="AK103" s="27"/>
      <c r="AL103" s="27"/>
      <c r="AM103" s="27"/>
      <c r="AN103" s="27"/>
      <c r="AO103" s="27"/>
      <c r="AP103" s="27"/>
      <c r="AQ103" s="27"/>
      <c r="AR103" s="27"/>
      <c r="AS103" s="27"/>
      <c r="AT103" s="27"/>
    </row>
    <row r="104" spans="2:46" s="3" customFormat="1" x14ac:dyDescent="0.25">
      <c r="B104" s="30"/>
      <c r="C104" s="31"/>
      <c r="D104" s="32"/>
      <c r="E104" s="33"/>
      <c r="F104" s="34"/>
      <c r="G104" s="34"/>
      <c r="H104" s="34"/>
      <c r="I104" s="34"/>
      <c r="J104" s="34"/>
      <c r="K104" s="34"/>
      <c r="L104" s="34"/>
      <c r="M104" s="34"/>
      <c r="N104" s="34"/>
      <c r="O104" s="38">
        <f t="shared" si="11"/>
        <v>0</v>
      </c>
      <c r="P104" s="34"/>
      <c r="Q104" s="34"/>
      <c r="R104" s="34"/>
      <c r="S104" s="34"/>
      <c r="T104" s="34"/>
      <c r="U104" s="34"/>
      <c r="V104" s="34"/>
      <c r="W104" s="34"/>
      <c r="X104" s="34"/>
      <c r="Y104" s="34"/>
      <c r="Z104" s="34"/>
      <c r="AA104" s="38">
        <f t="shared" si="12"/>
        <v>0</v>
      </c>
      <c r="AB104" s="38">
        <f t="shared" si="13"/>
        <v>0</v>
      </c>
      <c r="AC104" s="23"/>
      <c r="AD104" s="23"/>
      <c r="AE104" s="23" t="e">
        <f>IF(#REF!=#REF!,1,0)</f>
        <v>#REF!</v>
      </c>
      <c r="AF104" s="24"/>
      <c r="AG104" s="24"/>
      <c r="AH104" s="24"/>
      <c r="AI104" s="24"/>
      <c r="AJ104" s="27"/>
      <c r="AK104" s="27"/>
      <c r="AL104" s="27"/>
      <c r="AM104" s="27"/>
      <c r="AN104" s="27"/>
      <c r="AO104" s="27"/>
      <c r="AP104" s="27"/>
      <c r="AQ104" s="27"/>
      <c r="AR104" s="27"/>
      <c r="AS104" s="27"/>
      <c r="AT104" s="27"/>
    </row>
    <row r="105" spans="2:46" s="3" customFormat="1" x14ac:dyDescent="0.25">
      <c r="B105" s="30"/>
      <c r="C105" s="31"/>
      <c r="D105" s="32"/>
      <c r="E105" s="33"/>
      <c r="F105" s="34"/>
      <c r="G105" s="34"/>
      <c r="H105" s="34"/>
      <c r="I105" s="34"/>
      <c r="J105" s="34"/>
      <c r="K105" s="34"/>
      <c r="L105" s="34"/>
      <c r="M105" s="34"/>
      <c r="N105" s="34"/>
      <c r="O105" s="38">
        <f t="shared" si="11"/>
        <v>0</v>
      </c>
      <c r="P105" s="34"/>
      <c r="Q105" s="34"/>
      <c r="R105" s="34"/>
      <c r="S105" s="34"/>
      <c r="T105" s="34"/>
      <c r="U105" s="34"/>
      <c r="V105" s="34"/>
      <c r="W105" s="34"/>
      <c r="X105" s="34"/>
      <c r="Y105" s="34"/>
      <c r="Z105" s="34"/>
      <c r="AA105" s="38">
        <f t="shared" si="12"/>
        <v>0</v>
      </c>
      <c r="AB105" s="38">
        <f t="shared" si="13"/>
        <v>0</v>
      </c>
      <c r="AC105" s="23"/>
      <c r="AD105" s="23"/>
      <c r="AE105" s="23" t="e">
        <f>IF(#REF!=#REF!,1,0)</f>
        <v>#REF!</v>
      </c>
      <c r="AF105" s="24"/>
      <c r="AG105" s="24"/>
      <c r="AH105" s="24"/>
      <c r="AI105" s="24"/>
      <c r="AJ105" s="27"/>
      <c r="AK105" s="27"/>
      <c r="AL105" s="27"/>
      <c r="AM105" s="27"/>
      <c r="AN105" s="27"/>
      <c r="AO105" s="27"/>
      <c r="AP105" s="27"/>
      <c r="AQ105" s="27"/>
      <c r="AR105" s="27"/>
      <c r="AS105" s="27"/>
      <c r="AT105" s="27"/>
    </row>
    <row r="106" spans="2:46" s="3" customFormat="1" x14ac:dyDescent="0.25">
      <c r="B106" s="30"/>
      <c r="C106" s="31"/>
      <c r="D106" s="32"/>
      <c r="E106" s="33"/>
      <c r="F106" s="34"/>
      <c r="G106" s="34"/>
      <c r="H106" s="34"/>
      <c r="I106" s="34"/>
      <c r="J106" s="34"/>
      <c r="K106" s="34"/>
      <c r="L106" s="34"/>
      <c r="M106" s="34"/>
      <c r="N106" s="34"/>
      <c r="O106" s="38">
        <f t="shared" si="11"/>
        <v>0</v>
      </c>
      <c r="P106" s="34"/>
      <c r="Q106" s="34"/>
      <c r="R106" s="34"/>
      <c r="S106" s="34"/>
      <c r="T106" s="34"/>
      <c r="U106" s="34"/>
      <c r="V106" s="34"/>
      <c r="W106" s="34"/>
      <c r="X106" s="34"/>
      <c r="Y106" s="34"/>
      <c r="Z106" s="34"/>
      <c r="AA106" s="38">
        <f t="shared" si="12"/>
        <v>0</v>
      </c>
      <c r="AB106" s="38">
        <f t="shared" si="13"/>
        <v>0</v>
      </c>
      <c r="AC106" s="23"/>
      <c r="AD106" s="23"/>
      <c r="AE106" s="23" t="e">
        <f>IF(#REF!=#REF!,1,0)</f>
        <v>#REF!</v>
      </c>
      <c r="AF106" s="24"/>
      <c r="AG106" s="24"/>
      <c r="AH106" s="24"/>
      <c r="AI106" s="24"/>
      <c r="AJ106" s="27"/>
      <c r="AK106" s="27"/>
      <c r="AL106" s="27"/>
      <c r="AM106" s="27"/>
      <c r="AN106" s="27"/>
      <c r="AO106" s="27"/>
      <c r="AP106" s="27"/>
      <c r="AQ106" s="27"/>
      <c r="AR106" s="27"/>
      <c r="AS106" s="27"/>
      <c r="AT106" s="27"/>
    </row>
    <row r="107" spans="2:46" s="3" customFormat="1" x14ac:dyDescent="0.25">
      <c r="B107" s="30"/>
      <c r="C107" s="31"/>
      <c r="D107" s="32"/>
      <c r="E107" s="33"/>
      <c r="F107" s="34"/>
      <c r="G107" s="34"/>
      <c r="H107" s="34"/>
      <c r="I107" s="34"/>
      <c r="J107" s="34"/>
      <c r="K107" s="34"/>
      <c r="L107" s="34"/>
      <c r="M107" s="34"/>
      <c r="N107" s="34"/>
      <c r="O107" s="38">
        <f t="shared" si="11"/>
        <v>0</v>
      </c>
      <c r="P107" s="34"/>
      <c r="Q107" s="34"/>
      <c r="R107" s="34"/>
      <c r="S107" s="34"/>
      <c r="T107" s="34"/>
      <c r="U107" s="34"/>
      <c r="V107" s="34"/>
      <c r="W107" s="34"/>
      <c r="X107" s="34"/>
      <c r="Y107" s="34"/>
      <c r="Z107" s="34"/>
      <c r="AA107" s="38">
        <f t="shared" si="12"/>
        <v>0</v>
      </c>
      <c r="AB107" s="38">
        <f t="shared" si="13"/>
        <v>0</v>
      </c>
      <c r="AC107" s="23"/>
      <c r="AD107" s="23"/>
      <c r="AE107" s="23" t="e">
        <f>IF(#REF!=#REF!,1,0)</f>
        <v>#REF!</v>
      </c>
      <c r="AF107" s="24"/>
      <c r="AG107" s="24"/>
      <c r="AH107" s="24"/>
      <c r="AI107" s="24"/>
      <c r="AJ107" s="27"/>
      <c r="AK107" s="27"/>
      <c r="AL107" s="27"/>
      <c r="AM107" s="27"/>
      <c r="AN107" s="27"/>
      <c r="AO107" s="27"/>
      <c r="AP107" s="27"/>
      <c r="AQ107" s="27"/>
      <c r="AR107" s="27"/>
      <c r="AS107" s="27"/>
      <c r="AT107" s="27"/>
    </row>
    <row r="108" spans="2:46" s="3" customFormat="1" x14ac:dyDescent="0.25">
      <c r="B108" s="30"/>
      <c r="C108" s="31"/>
      <c r="D108" s="32"/>
      <c r="E108" s="33"/>
      <c r="F108" s="34"/>
      <c r="G108" s="34"/>
      <c r="H108" s="34"/>
      <c r="I108" s="34"/>
      <c r="J108" s="34"/>
      <c r="K108" s="34"/>
      <c r="L108" s="34"/>
      <c r="M108" s="34"/>
      <c r="N108" s="34"/>
      <c r="O108" s="38">
        <f t="shared" si="11"/>
        <v>0</v>
      </c>
      <c r="P108" s="34"/>
      <c r="Q108" s="34"/>
      <c r="R108" s="34"/>
      <c r="S108" s="34"/>
      <c r="T108" s="34"/>
      <c r="U108" s="34"/>
      <c r="V108" s="34"/>
      <c r="W108" s="34"/>
      <c r="X108" s="34"/>
      <c r="Y108" s="34"/>
      <c r="Z108" s="34"/>
      <c r="AA108" s="38">
        <f t="shared" si="12"/>
        <v>0</v>
      </c>
      <c r="AB108" s="38">
        <f t="shared" si="13"/>
        <v>0</v>
      </c>
      <c r="AC108" s="23"/>
      <c r="AD108" s="23"/>
      <c r="AE108" s="23" t="e">
        <f>IF(#REF!=#REF!,1,0)</f>
        <v>#REF!</v>
      </c>
      <c r="AF108" s="24"/>
      <c r="AG108" s="24"/>
      <c r="AH108" s="24"/>
      <c r="AI108" s="24"/>
      <c r="AJ108" s="27"/>
      <c r="AK108" s="27"/>
      <c r="AL108" s="27"/>
      <c r="AM108" s="27"/>
      <c r="AN108" s="27"/>
      <c r="AO108" s="27"/>
      <c r="AP108" s="27"/>
      <c r="AQ108" s="27"/>
      <c r="AR108" s="27"/>
      <c r="AS108" s="27"/>
      <c r="AT108" s="27"/>
    </row>
    <row r="109" spans="2:46" s="3" customFormat="1" x14ac:dyDescent="0.25">
      <c r="B109" s="30"/>
      <c r="C109" s="31"/>
      <c r="D109" s="32"/>
      <c r="E109" s="33"/>
      <c r="F109" s="34"/>
      <c r="G109" s="34"/>
      <c r="H109" s="34"/>
      <c r="I109" s="34"/>
      <c r="J109" s="34"/>
      <c r="K109" s="34"/>
      <c r="L109" s="34"/>
      <c r="M109" s="34"/>
      <c r="N109" s="34"/>
      <c r="O109" s="38">
        <f t="shared" si="11"/>
        <v>0</v>
      </c>
      <c r="P109" s="34"/>
      <c r="Q109" s="34"/>
      <c r="R109" s="34"/>
      <c r="S109" s="34"/>
      <c r="T109" s="34"/>
      <c r="U109" s="34"/>
      <c r="V109" s="34"/>
      <c r="W109" s="34"/>
      <c r="X109" s="34"/>
      <c r="Y109" s="34"/>
      <c r="Z109" s="34"/>
      <c r="AA109" s="38">
        <f t="shared" si="12"/>
        <v>0</v>
      </c>
      <c r="AB109" s="38">
        <f t="shared" si="13"/>
        <v>0</v>
      </c>
      <c r="AC109" s="23"/>
      <c r="AD109" s="23"/>
      <c r="AE109" s="23" t="e">
        <f>IF(#REF!=#REF!,1,0)</f>
        <v>#REF!</v>
      </c>
      <c r="AF109" s="24"/>
      <c r="AG109" s="24"/>
      <c r="AH109" s="24"/>
      <c r="AI109" s="24"/>
      <c r="AJ109" s="27"/>
      <c r="AK109" s="27"/>
      <c r="AL109" s="27"/>
      <c r="AM109" s="27"/>
      <c r="AN109" s="27"/>
      <c r="AO109" s="27"/>
      <c r="AP109" s="27"/>
      <c r="AQ109" s="27"/>
      <c r="AR109" s="27"/>
      <c r="AS109" s="27"/>
      <c r="AT109" s="27"/>
    </row>
    <row r="110" spans="2:46" s="3" customFormat="1" x14ac:dyDescent="0.25">
      <c r="B110" s="30"/>
      <c r="C110" s="31"/>
      <c r="D110" s="32"/>
      <c r="E110" s="33"/>
      <c r="F110" s="34"/>
      <c r="G110" s="34"/>
      <c r="H110" s="34"/>
      <c r="I110" s="34"/>
      <c r="J110" s="34"/>
      <c r="K110" s="34"/>
      <c r="L110" s="34"/>
      <c r="M110" s="34"/>
      <c r="N110" s="34"/>
      <c r="O110" s="38">
        <f t="shared" si="11"/>
        <v>0</v>
      </c>
      <c r="P110" s="34"/>
      <c r="Q110" s="34"/>
      <c r="R110" s="34"/>
      <c r="S110" s="34"/>
      <c r="T110" s="34"/>
      <c r="U110" s="34"/>
      <c r="V110" s="34"/>
      <c r="W110" s="34"/>
      <c r="X110" s="34"/>
      <c r="Y110" s="34"/>
      <c r="Z110" s="34"/>
      <c r="AA110" s="38">
        <f t="shared" si="12"/>
        <v>0</v>
      </c>
      <c r="AB110" s="38">
        <f t="shared" si="13"/>
        <v>0</v>
      </c>
      <c r="AC110" s="23"/>
      <c r="AD110" s="23"/>
      <c r="AE110" s="23" t="e">
        <f>IF(#REF!=#REF!,1,0)</f>
        <v>#REF!</v>
      </c>
      <c r="AF110" s="24"/>
      <c r="AG110" s="24"/>
      <c r="AH110" s="24"/>
      <c r="AI110" s="24"/>
      <c r="AJ110" s="27"/>
      <c r="AK110" s="27"/>
      <c r="AL110" s="27"/>
      <c r="AM110" s="27"/>
      <c r="AN110" s="27"/>
      <c r="AO110" s="27"/>
      <c r="AP110" s="27"/>
      <c r="AQ110" s="27"/>
      <c r="AR110" s="27"/>
      <c r="AS110" s="27"/>
      <c r="AT110" s="27"/>
    </row>
    <row r="111" spans="2:46" s="3" customFormat="1" x14ac:dyDescent="0.25">
      <c r="B111" s="30"/>
      <c r="C111" s="31"/>
      <c r="D111" s="32"/>
      <c r="E111" s="33"/>
      <c r="F111" s="34"/>
      <c r="G111" s="34"/>
      <c r="H111" s="34"/>
      <c r="I111" s="34"/>
      <c r="J111" s="34"/>
      <c r="K111" s="34"/>
      <c r="L111" s="34"/>
      <c r="M111" s="34"/>
      <c r="N111" s="34"/>
      <c r="O111" s="38">
        <f t="shared" si="11"/>
        <v>0</v>
      </c>
      <c r="P111" s="34"/>
      <c r="Q111" s="34"/>
      <c r="R111" s="34"/>
      <c r="S111" s="34"/>
      <c r="T111" s="34"/>
      <c r="U111" s="34"/>
      <c r="V111" s="34"/>
      <c r="W111" s="34"/>
      <c r="X111" s="34"/>
      <c r="Y111" s="34"/>
      <c r="Z111" s="34"/>
      <c r="AA111" s="38">
        <f t="shared" si="12"/>
        <v>0</v>
      </c>
      <c r="AB111" s="38">
        <f t="shared" si="13"/>
        <v>0</v>
      </c>
      <c r="AC111" s="23"/>
      <c r="AD111" s="23"/>
      <c r="AE111" s="23" t="e">
        <f>IF(#REF!=#REF!,1,0)</f>
        <v>#REF!</v>
      </c>
      <c r="AF111" s="24"/>
      <c r="AG111" s="24"/>
      <c r="AH111" s="24"/>
      <c r="AI111" s="24"/>
      <c r="AJ111" s="27"/>
      <c r="AK111" s="27"/>
      <c r="AL111" s="27"/>
      <c r="AM111" s="27"/>
      <c r="AN111" s="27"/>
      <c r="AO111" s="27"/>
      <c r="AP111" s="27"/>
      <c r="AQ111" s="27"/>
      <c r="AR111" s="27"/>
      <c r="AS111" s="27"/>
      <c r="AT111" s="27"/>
    </row>
    <row r="112" spans="2:46" s="3" customFormat="1" x14ac:dyDescent="0.25">
      <c r="B112" s="30"/>
      <c r="C112" s="31"/>
      <c r="D112" s="32"/>
      <c r="E112" s="33"/>
      <c r="F112" s="34"/>
      <c r="G112" s="34"/>
      <c r="H112" s="34"/>
      <c r="I112" s="34"/>
      <c r="J112" s="34"/>
      <c r="K112" s="34"/>
      <c r="L112" s="34"/>
      <c r="M112" s="34"/>
      <c r="N112" s="34"/>
      <c r="O112" s="38">
        <f t="shared" si="11"/>
        <v>0</v>
      </c>
      <c r="P112" s="34"/>
      <c r="Q112" s="34"/>
      <c r="R112" s="34"/>
      <c r="S112" s="34"/>
      <c r="T112" s="34"/>
      <c r="U112" s="34"/>
      <c r="V112" s="34"/>
      <c r="W112" s="34"/>
      <c r="X112" s="34"/>
      <c r="Y112" s="34"/>
      <c r="Z112" s="34"/>
      <c r="AA112" s="38">
        <f t="shared" si="12"/>
        <v>0</v>
      </c>
      <c r="AB112" s="38">
        <f t="shared" si="13"/>
        <v>0</v>
      </c>
      <c r="AC112" s="23"/>
      <c r="AD112" s="23"/>
      <c r="AE112" s="23" t="e">
        <f>IF(#REF!=#REF!,1,0)</f>
        <v>#REF!</v>
      </c>
      <c r="AF112" s="24"/>
      <c r="AG112" s="24"/>
      <c r="AH112" s="24"/>
      <c r="AI112" s="24"/>
      <c r="AJ112" s="27"/>
      <c r="AK112" s="27"/>
      <c r="AL112" s="27"/>
      <c r="AM112" s="27"/>
      <c r="AN112" s="27"/>
      <c r="AO112" s="27"/>
      <c r="AP112" s="27"/>
      <c r="AQ112" s="27"/>
      <c r="AR112" s="27"/>
      <c r="AS112" s="27"/>
      <c r="AT112" s="27"/>
    </row>
    <row r="113" spans="2:46" s="3" customFormat="1" x14ac:dyDescent="0.25">
      <c r="B113" s="30"/>
      <c r="C113" s="31"/>
      <c r="D113" s="32"/>
      <c r="E113" s="33"/>
      <c r="F113" s="34"/>
      <c r="G113" s="34"/>
      <c r="H113" s="34"/>
      <c r="I113" s="34"/>
      <c r="J113" s="34"/>
      <c r="K113" s="34"/>
      <c r="L113" s="34"/>
      <c r="M113" s="34"/>
      <c r="N113" s="34"/>
      <c r="O113" s="38">
        <f t="shared" si="11"/>
        <v>0</v>
      </c>
      <c r="P113" s="34"/>
      <c r="Q113" s="34"/>
      <c r="R113" s="34"/>
      <c r="S113" s="34"/>
      <c r="T113" s="34"/>
      <c r="U113" s="34"/>
      <c r="V113" s="34"/>
      <c r="W113" s="34"/>
      <c r="X113" s="34"/>
      <c r="Y113" s="34"/>
      <c r="Z113" s="34"/>
      <c r="AA113" s="38">
        <f t="shared" si="12"/>
        <v>0</v>
      </c>
      <c r="AB113" s="38">
        <f t="shared" si="13"/>
        <v>0</v>
      </c>
      <c r="AC113" s="23"/>
      <c r="AD113" s="23"/>
      <c r="AE113" s="23" t="e">
        <f>IF(#REF!=#REF!,1,0)</f>
        <v>#REF!</v>
      </c>
      <c r="AF113" s="24"/>
      <c r="AG113" s="24"/>
      <c r="AH113" s="24"/>
      <c r="AI113" s="24"/>
      <c r="AJ113" s="27"/>
      <c r="AK113" s="27"/>
      <c r="AL113" s="27"/>
      <c r="AM113" s="27"/>
      <c r="AN113" s="27"/>
      <c r="AO113" s="27"/>
      <c r="AP113" s="27"/>
      <c r="AQ113" s="27"/>
      <c r="AR113" s="27"/>
      <c r="AS113" s="27"/>
      <c r="AT113" s="27"/>
    </row>
    <row r="114" spans="2:46" s="3" customFormat="1" x14ac:dyDescent="0.25">
      <c r="B114" s="30"/>
      <c r="C114" s="31"/>
      <c r="D114" s="32"/>
      <c r="E114" s="33"/>
      <c r="F114" s="34"/>
      <c r="G114" s="34"/>
      <c r="H114" s="34"/>
      <c r="I114" s="34"/>
      <c r="J114" s="34"/>
      <c r="K114" s="34"/>
      <c r="L114" s="34"/>
      <c r="M114" s="34"/>
      <c r="N114" s="34"/>
      <c r="O114" s="38">
        <f t="shared" si="11"/>
        <v>0</v>
      </c>
      <c r="P114" s="34"/>
      <c r="Q114" s="34"/>
      <c r="R114" s="34"/>
      <c r="S114" s="34"/>
      <c r="T114" s="34"/>
      <c r="U114" s="34"/>
      <c r="V114" s="34"/>
      <c r="W114" s="34"/>
      <c r="X114" s="34"/>
      <c r="Y114" s="34"/>
      <c r="Z114" s="34"/>
      <c r="AA114" s="38">
        <f t="shared" si="12"/>
        <v>0</v>
      </c>
      <c r="AB114" s="38">
        <f t="shared" si="13"/>
        <v>0</v>
      </c>
      <c r="AC114" s="23"/>
      <c r="AD114" s="23"/>
      <c r="AE114" s="23" t="e">
        <f>IF(#REF!=#REF!,1,0)</f>
        <v>#REF!</v>
      </c>
      <c r="AF114" s="24"/>
      <c r="AG114" s="24"/>
      <c r="AH114" s="24"/>
      <c r="AI114" s="24"/>
      <c r="AJ114" s="27"/>
      <c r="AK114" s="27"/>
      <c r="AL114" s="27"/>
      <c r="AM114" s="27"/>
      <c r="AN114" s="27"/>
      <c r="AO114" s="27"/>
      <c r="AP114" s="27"/>
      <c r="AQ114" s="27"/>
      <c r="AR114" s="27"/>
      <c r="AS114" s="27"/>
      <c r="AT114" s="27"/>
    </row>
    <row r="115" spans="2:46" s="3" customFormat="1" x14ac:dyDescent="0.25">
      <c r="B115" s="30"/>
      <c r="C115" s="31"/>
      <c r="D115" s="32"/>
      <c r="E115" s="33"/>
      <c r="F115" s="34"/>
      <c r="G115" s="34"/>
      <c r="H115" s="34"/>
      <c r="I115" s="34"/>
      <c r="J115" s="34"/>
      <c r="K115" s="34"/>
      <c r="L115" s="34"/>
      <c r="M115" s="34"/>
      <c r="N115" s="34"/>
      <c r="O115" s="38">
        <f t="shared" si="11"/>
        <v>0</v>
      </c>
      <c r="P115" s="34"/>
      <c r="Q115" s="34"/>
      <c r="R115" s="34"/>
      <c r="S115" s="34"/>
      <c r="T115" s="34"/>
      <c r="U115" s="34"/>
      <c r="V115" s="34"/>
      <c r="W115" s="34"/>
      <c r="X115" s="34"/>
      <c r="Y115" s="34"/>
      <c r="Z115" s="34"/>
      <c r="AA115" s="38">
        <f t="shared" si="12"/>
        <v>0</v>
      </c>
      <c r="AB115" s="38">
        <f t="shared" si="13"/>
        <v>0</v>
      </c>
      <c r="AC115" s="23"/>
      <c r="AD115" s="23"/>
      <c r="AE115" s="23" t="e">
        <f>IF(#REF!=#REF!,1,0)</f>
        <v>#REF!</v>
      </c>
      <c r="AF115" s="24"/>
      <c r="AG115" s="24"/>
      <c r="AH115" s="24"/>
      <c r="AI115" s="24"/>
      <c r="AJ115" s="27"/>
      <c r="AK115" s="27"/>
      <c r="AL115" s="27"/>
      <c r="AM115" s="27"/>
      <c r="AN115" s="27"/>
      <c r="AO115" s="27"/>
      <c r="AP115" s="27"/>
      <c r="AQ115" s="27"/>
      <c r="AR115" s="27"/>
      <c r="AS115" s="27"/>
      <c r="AT115" s="27"/>
    </row>
    <row r="116" spans="2:46" s="3" customFormat="1" x14ac:dyDescent="0.25">
      <c r="B116" s="30"/>
      <c r="C116" s="31"/>
      <c r="D116" s="32"/>
      <c r="E116" s="33"/>
      <c r="F116" s="34"/>
      <c r="G116" s="34"/>
      <c r="H116" s="34"/>
      <c r="I116" s="34"/>
      <c r="J116" s="34"/>
      <c r="K116" s="34"/>
      <c r="L116" s="34"/>
      <c r="M116" s="34"/>
      <c r="N116" s="34"/>
      <c r="O116" s="38">
        <f t="shared" si="11"/>
        <v>0</v>
      </c>
      <c r="P116" s="34"/>
      <c r="Q116" s="34"/>
      <c r="R116" s="34"/>
      <c r="S116" s="34"/>
      <c r="T116" s="34"/>
      <c r="U116" s="34"/>
      <c r="V116" s="34"/>
      <c r="W116" s="34"/>
      <c r="X116" s="34"/>
      <c r="Y116" s="34"/>
      <c r="Z116" s="34"/>
      <c r="AA116" s="38">
        <f t="shared" si="12"/>
        <v>0</v>
      </c>
      <c r="AB116" s="38">
        <f t="shared" si="13"/>
        <v>0</v>
      </c>
      <c r="AC116" s="23"/>
      <c r="AD116" s="23"/>
      <c r="AE116" s="23" t="e">
        <f>IF(#REF!=#REF!,1,0)</f>
        <v>#REF!</v>
      </c>
      <c r="AF116" s="24"/>
      <c r="AG116" s="24"/>
      <c r="AH116" s="24"/>
      <c r="AI116" s="24"/>
      <c r="AJ116" s="27"/>
      <c r="AK116" s="27"/>
      <c r="AL116" s="27"/>
      <c r="AM116" s="27"/>
      <c r="AN116" s="27"/>
      <c r="AO116" s="27"/>
      <c r="AP116" s="27"/>
      <c r="AQ116" s="27"/>
      <c r="AR116" s="27"/>
      <c r="AS116" s="27"/>
      <c r="AT116" s="27"/>
    </row>
    <row r="117" spans="2:46" s="3" customFormat="1" x14ac:dyDescent="0.25">
      <c r="B117" s="30"/>
      <c r="C117" s="31"/>
      <c r="D117" s="32"/>
      <c r="E117" s="33"/>
      <c r="F117" s="34"/>
      <c r="G117" s="34"/>
      <c r="H117" s="34"/>
      <c r="I117" s="34"/>
      <c r="J117" s="34"/>
      <c r="K117" s="34"/>
      <c r="L117" s="34"/>
      <c r="M117" s="34"/>
      <c r="N117" s="34"/>
      <c r="O117" s="38">
        <f t="shared" si="11"/>
        <v>0</v>
      </c>
      <c r="P117" s="34"/>
      <c r="Q117" s="34"/>
      <c r="R117" s="34"/>
      <c r="S117" s="34"/>
      <c r="T117" s="34"/>
      <c r="U117" s="34"/>
      <c r="V117" s="34"/>
      <c r="W117" s="34"/>
      <c r="X117" s="34"/>
      <c r="Y117" s="34"/>
      <c r="Z117" s="34"/>
      <c r="AA117" s="38">
        <f t="shared" si="12"/>
        <v>0</v>
      </c>
      <c r="AB117" s="38">
        <f t="shared" si="13"/>
        <v>0</v>
      </c>
      <c r="AC117" s="23"/>
      <c r="AD117" s="23"/>
      <c r="AE117" s="23" t="e">
        <f>IF(#REF!=#REF!,1,0)</f>
        <v>#REF!</v>
      </c>
      <c r="AF117" s="24"/>
      <c r="AG117" s="24"/>
      <c r="AH117" s="24"/>
      <c r="AI117" s="24"/>
      <c r="AJ117" s="27"/>
      <c r="AK117" s="27"/>
      <c r="AL117" s="27"/>
      <c r="AM117" s="27"/>
      <c r="AN117" s="27"/>
      <c r="AO117" s="27"/>
      <c r="AP117" s="27"/>
      <c r="AQ117" s="27"/>
      <c r="AR117" s="27"/>
      <c r="AS117" s="27"/>
      <c r="AT117" s="27"/>
    </row>
    <row r="118" spans="2:46" s="3" customFormat="1" x14ac:dyDescent="0.25">
      <c r="B118" s="30"/>
      <c r="C118" s="31"/>
      <c r="D118" s="32"/>
      <c r="E118" s="33"/>
      <c r="F118" s="34"/>
      <c r="G118" s="34"/>
      <c r="H118" s="34"/>
      <c r="I118" s="34"/>
      <c r="J118" s="34"/>
      <c r="K118" s="34"/>
      <c r="L118" s="34"/>
      <c r="M118" s="34"/>
      <c r="N118" s="34"/>
      <c r="O118" s="38">
        <f t="shared" si="11"/>
        <v>0</v>
      </c>
      <c r="P118" s="34"/>
      <c r="Q118" s="34"/>
      <c r="R118" s="34"/>
      <c r="S118" s="34"/>
      <c r="T118" s="34"/>
      <c r="U118" s="34"/>
      <c r="V118" s="34"/>
      <c r="W118" s="34"/>
      <c r="X118" s="34"/>
      <c r="Y118" s="34"/>
      <c r="Z118" s="34"/>
      <c r="AA118" s="38">
        <f t="shared" si="12"/>
        <v>0</v>
      </c>
      <c r="AB118" s="38">
        <f t="shared" si="13"/>
        <v>0</v>
      </c>
      <c r="AC118" s="23"/>
      <c r="AD118" s="23"/>
      <c r="AE118" s="23" t="e">
        <f>IF(#REF!=#REF!,1,0)</f>
        <v>#REF!</v>
      </c>
      <c r="AF118" s="24"/>
      <c r="AG118" s="24"/>
      <c r="AH118" s="24"/>
      <c r="AI118" s="24"/>
      <c r="AJ118" s="27"/>
      <c r="AK118" s="27"/>
      <c r="AL118" s="27"/>
      <c r="AM118" s="27"/>
      <c r="AN118" s="27"/>
      <c r="AO118" s="27"/>
      <c r="AP118" s="27"/>
      <c r="AQ118" s="27"/>
      <c r="AR118" s="27"/>
      <c r="AS118" s="27"/>
      <c r="AT118" s="27"/>
    </row>
    <row r="119" spans="2:46" s="3" customFormat="1" x14ac:dyDescent="0.25">
      <c r="B119" s="30"/>
      <c r="C119" s="31"/>
      <c r="D119" s="32"/>
      <c r="E119" s="33"/>
      <c r="F119" s="34"/>
      <c r="G119" s="34"/>
      <c r="H119" s="34"/>
      <c r="I119" s="34"/>
      <c r="J119" s="34"/>
      <c r="K119" s="34"/>
      <c r="L119" s="34"/>
      <c r="M119" s="34"/>
      <c r="N119" s="34"/>
      <c r="O119" s="38">
        <f t="shared" si="11"/>
        <v>0</v>
      </c>
      <c r="P119" s="34"/>
      <c r="Q119" s="34"/>
      <c r="R119" s="34"/>
      <c r="S119" s="34"/>
      <c r="T119" s="34"/>
      <c r="U119" s="34"/>
      <c r="V119" s="34"/>
      <c r="W119" s="34"/>
      <c r="X119" s="34"/>
      <c r="Y119" s="34"/>
      <c r="Z119" s="34"/>
      <c r="AA119" s="38">
        <f t="shared" si="12"/>
        <v>0</v>
      </c>
      <c r="AB119" s="38">
        <f t="shared" si="13"/>
        <v>0</v>
      </c>
      <c r="AC119" s="23"/>
      <c r="AD119" s="23"/>
      <c r="AE119" s="23" t="e">
        <f>IF(#REF!=#REF!,1,0)</f>
        <v>#REF!</v>
      </c>
      <c r="AF119" s="24"/>
      <c r="AG119" s="24"/>
      <c r="AH119" s="24"/>
      <c r="AI119" s="24"/>
      <c r="AJ119" s="27"/>
      <c r="AK119" s="27"/>
      <c r="AL119" s="27"/>
      <c r="AM119" s="27"/>
      <c r="AN119" s="27"/>
      <c r="AO119" s="27"/>
      <c r="AP119" s="27"/>
      <c r="AQ119" s="27"/>
      <c r="AR119" s="27"/>
      <c r="AS119" s="27"/>
      <c r="AT119" s="27"/>
    </row>
    <row r="120" spans="2:46" s="3" customFormat="1" x14ac:dyDescent="0.25">
      <c r="B120" s="30"/>
      <c r="C120" s="31"/>
      <c r="D120" s="32"/>
      <c r="E120" s="33"/>
      <c r="F120" s="34"/>
      <c r="G120" s="34"/>
      <c r="H120" s="34"/>
      <c r="I120" s="34"/>
      <c r="J120" s="34"/>
      <c r="K120" s="34"/>
      <c r="L120" s="34"/>
      <c r="M120" s="34"/>
      <c r="N120" s="34"/>
      <c r="O120" s="38">
        <f t="shared" si="11"/>
        <v>0</v>
      </c>
      <c r="P120" s="34"/>
      <c r="Q120" s="34"/>
      <c r="R120" s="34"/>
      <c r="S120" s="34"/>
      <c r="T120" s="34"/>
      <c r="U120" s="34"/>
      <c r="V120" s="34"/>
      <c r="W120" s="34"/>
      <c r="X120" s="34"/>
      <c r="Y120" s="34"/>
      <c r="Z120" s="34"/>
      <c r="AA120" s="38">
        <f t="shared" si="12"/>
        <v>0</v>
      </c>
      <c r="AB120" s="38">
        <f t="shared" si="13"/>
        <v>0</v>
      </c>
      <c r="AC120" s="23"/>
      <c r="AD120" s="23"/>
      <c r="AE120" s="23" t="e">
        <f>IF(#REF!=#REF!,1,0)</f>
        <v>#REF!</v>
      </c>
      <c r="AF120" s="24"/>
      <c r="AG120" s="24"/>
      <c r="AH120" s="24"/>
      <c r="AI120" s="24"/>
      <c r="AJ120" s="27"/>
      <c r="AK120" s="27"/>
      <c r="AL120" s="27"/>
      <c r="AM120" s="27"/>
      <c r="AN120" s="27"/>
      <c r="AO120" s="27"/>
      <c r="AP120" s="27"/>
      <c r="AQ120" s="27"/>
      <c r="AR120" s="27"/>
      <c r="AS120" s="27"/>
      <c r="AT120" s="27"/>
    </row>
    <row r="121" spans="2:46" s="3" customFormat="1" x14ac:dyDescent="0.25">
      <c r="B121" s="30"/>
      <c r="C121" s="31"/>
      <c r="D121" s="32"/>
      <c r="E121" s="33"/>
      <c r="F121" s="34"/>
      <c r="G121" s="34"/>
      <c r="H121" s="34"/>
      <c r="I121" s="34"/>
      <c r="J121" s="34"/>
      <c r="K121" s="34"/>
      <c r="L121" s="34"/>
      <c r="M121" s="34"/>
      <c r="N121" s="34"/>
      <c r="O121" s="38">
        <f t="shared" si="11"/>
        <v>0</v>
      </c>
      <c r="P121" s="34"/>
      <c r="Q121" s="34"/>
      <c r="R121" s="34"/>
      <c r="S121" s="34"/>
      <c r="T121" s="34"/>
      <c r="U121" s="34"/>
      <c r="V121" s="34"/>
      <c r="W121" s="34"/>
      <c r="X121" s="34"/>
      <c r="Y121" s="34"/>
      <c r="Z121" s="34"/>
      <c r="AA121" s="38">
        <f t="shared" si="12"/>
        <v>0</v>
      </c>
      <c r="AB121" s="38">
        <f t="shared" si="13"/>
        <v>0</v>
      </c>
      <c r="AC121" s="23"/>
      <c r="AD121" s="23"/>
      <c r="AE121" s="23" t="e">
        <f>IF(#REF!=#REF!,1,0)</f>
        <v>#REF!</v>
      </c>
      <c r="AF121" s="24"/>
      <c r="AG121" s="24"/>
      <c r="AH121" s="24"/>
      <c r="AI121" s="24"/>
      <c r="AJ121" s="27"/>
      <c r="AK121" s="27"/>
      <c r="AL121" s="27"/>
      <c r="AM121" s="27"/>
      <c r="AN121" s="27"/>
      <c r="AO121" s="27"/>
      <c r="AP121" s="27"/>
      <c r="AQ121" s="27"/>
      <c r="AR121" s="27"/>
      <c r="AS121" s="27"/>
      <c r="AT121" s="27"/>
    </row>
    <row r="122" spans="2:46" s="3" customFormat="1" x14ac:dyDescent="0.25">
      <c r="B122" s="30"/>
      <c r="C122" s="31"/>
      <c r="D122" s="32"/>
      <c r="E122" s="33"/>
      <c r="F122" s="34"/>
      <c r="G122" s="34"/>
      <c r="H122" s="34"/>
      <c r="I122" s="34"/>
      <c r="J122" s="34"/>
      <c r="K122" s="34"/>
      <c r="L122" s="34"/>
      <c r="M122" s="34"/>
      <c r="N122" s="34"/>
      <c r="O122" s="38">
        <f t="shared" si="11"/>
        <v>0</v>
      </c>
      <c r="P122" s="34"/>
      <c r="Q122" s="34"/>
      <c r="R122" s="34"/>
      <c r="S122" s="34"/>
      <c r="T122" s="34"/>
      <c r="U122" s="34"/>
      <c r="V122" s="34"/>
      <c r="W122" s="34"/>
      <c r="X122" s="34"/>
      <c r="Y122" s="34"/>
      <c r="Z122" s="34"/>
      <c r="AA122" s="38">
        <f t="shared" si="12"/>
        <v>0</v>
      </c>
      <c r="AB122" s="38">
        <f t="shared" si="13"/>
        <v>0</v>
      </c>
      <c r="AC122" s="23"/>
      <c r="AD122" s="23"/>
      <c r="AE122" s="23" t="e">
        <f>IF(#REF!=#REF!,1,0)</f>
        <v>#REF!</v>
      </c>
      <c r="AF122" s="24"/>
      <c r="AG122" s="24"/>
      <c r="AH122" s="24"/>
      <c r="AI122" s="24"/>
      <c r="AJ122" s="27"/>
      <c r="AK122" s="27"/>
      <c r="AL122" s="27"/>
      <c r="AM122" s="27"/>
      <c r="AN122" s="27"/>
      <c r="AO122" s="27"/>
      <c r="AP122" s="27"/>
      <c r="AQ122" s="27"/>
      <c r="AR122" s="27"/>
      <c r="AS122" s="27"/>
      <c r="AT122" s="27"/>
    </row>
    <row r="123" spans="2:46" s="3" customFormat="1" x14ac:dyDescent="0.25">
      <c r="B123" s="30"/>
      <c r="C123" s="31"/>
      <c r="D123" s="32"/>
      <c r="E123" s="33"/>
      <c r="F123" s="34"/>
      <c r="G123" s="34"/>
      <c r="H123" s="34"/>
      <c r="I123" s="34"/>
      <c r="J123" s="34"/>
      <c r="K123" s="34"/>
      <c r="L123" s="34"/>
      <c r="M123" s="34"/>
      <c r="N123" s="34"/>
      <c r="O123" s="38">
        <f t="shared" si="11"/>
        <v>0</v>
      </c>
      <c r="P123" s="34"/>
      <c r="Q123" s="34"/>
      <c r="R123" s="34"/>
      <c r="S123" s="34"/>
      <c r="T123" s="34"/>
      <c r="U123" s="34"/>
      <c r="V123" s="34"/>
      <c r="W123" s="34"/>
      <c r="X123" s="34"/>
      <c r="Y123" s="34"/>
      <c r="Z123" s="34"/>
      <c r="AA123" s="38">
        <f t="shared" si="12"/>
        <v>0</v>
      </c>
      <c r="AB123" s="38">
        <f t="shared" si="13"/>
        <v>0</v>
      </c>
      <c r="AC123" s="23"/>
      <c r="AD123" s="23"/>
      <c r="AE123" s="23" t="e">
        <f>IF(#REF!=#REF!,1,0)</f>
        <v>#REF!</v>
      </c>
      <c r="AF123" s="24"/>
      <c r="AG123" s="24"/>
      <c r="AH123" s="24"/>
      <c r="AI123" s="24"/>
      <c r="AJ123" s="27"/>
      <c r="AK123" s="27"/>
      <c r="AL123" s="27"/>
      <c r="AM123" s="27"/>
      <c r="AN123" s="27"/>
      <c r="AO123" s="27"/>
      <c r="AP123" s="27"/>
      <c r="AQ123" s="27"/>
      <c r="AR123" s="27"/>
      <c r="AS123" s="27"/>
      <c r="AT123" s="27"/>
    </row>
    <row r="124" spans="2:46" s="3" customFormat="1" x14ac:dyDescent="0.25">
      <c r="B124" s="30"/>
      <c r="C124" s="31"/>
      <c r="D124" s="32"/>
      <c r="E124" s="33"/>
      <c r="F124" s="34"/>
      <c r="G124" s="34"/>
      <c r="H124" s="34"/>
      <c r="I124" s="34"/>
      <c r="J124" s="34"/>
      <c r="K124" s="34"/>
      <c r="L124" s="34"/>
      <c r="M124" s="34"/>
      <c r="N124" s="34"/>
      <c r="O124" s="38">
        <f t="shared" si="11"/>
        <v>0</v>
      </c>
      <c r="P124" s="34"/>
      <c r="Q124" s="34"/>
      <c r="R124" s="34"/>
      <c r="S124" s="34"/>
      <c r="T124" s="34"/>
      <c r="U124" s="34"/>
      <c r="V124" s="34"/>
      <c r="W124" s="34"/>
      <c r="X124" s="34"/>
      <c r="Y124" s="34"/>
      <c r="Z124" s="34"/>
      <c r="AA124" s="38">
        <f t="shared" si="12"/>
        <v>0</v>
      </c>
      <c r="AB124" s="38">
        <f t="shared" si="13"/>
        <v>0</v>
      </c>
      <c r="AC124" s="23"/>
      <c r="AD124" s="23"/>
      <c r="AE124" s="23" t="e">
        <f>IF(#REF!=#REF!,1,0)</f>
        <v>#REF!</v>
      </c>
      <c r="AF124" s="24"/>
      <c r="AG124" s="24"/>
      <c r="AH124" s="24"/>
      <c r="AI124" s="24"/>
      <c r="AJ124" s="27"/>
      <c r="AK124" s="27"/>
      <c r="AL124" s="27"/>
      <c r="AM124" s="27"/>
      <c r="AN124" s="27"/>
      <c r="AO124" s="27"/>
      <c r="AP124" s="27"/>
      <c r="AQ124" s="27"/>
      <c r="AR124" s="27"/>
      <c r="AS124" s="27"/>
      <c r="AT124" s="27"/>
    </row>
    <row r="125" spans="2:46" s="3" customFormat="1" x14ac:dyDescent="0.25">
      <c r="B125" s="30"/>
      <c r="C125" s="31"/>
      <c r="D125" s="32"/>
      <c r="E125" s="33"/>
      <c r="F125" s="34"/>
      <c r="G125" s="34"/>
      <c r="H125" s="34"/>
      <c r="I125" s="34"/>
      <c r="J125" s="34"/>
      <c r="K125" s="34"/>
      <c r="L125" s="34"/>
      <c r="M125" s="34"/>
      <c r="N125" s="34"/>
      <c r="O125" s="38">
        <f t="shared" si="11"/>
        <v>0</v>
      </c>
      <c r="P125" s="34"/>
      <c r="Q125" s="34"/>
      <c r="R125" s="34"/>
      <c r="S125" s="34"/>
      <c r="T125" s="34"/>
      <c r="U125" s="34"/>
      <c r="V125" s="34"/>
      <c r="W125" s="34"/>
      <c r="X125" s="34"/>
      <c r="Y125" s="34"/>
      <c r="Z125" s="34"/>
      <c r="AA125" s="38">
        <f t="shared" si="12"/>
        <v>0</v>
      </c>
      <c r="AB125" s="38">
        <f t="shared" si="13"/>
        <v>0</v>
      </c>
      <c r="AC125" s="23"/>
      <c r="AD125" s="23"/>
      <c r="AE125" s="23" t="e">
        <f>IF(#REF!=#REF!,1,0)</f>
        <v>#REF!</v>
      </c>
      <c r="AF125" s="24"/>
      <c r="AG125" s="24"/>
      <c r="AH125" s="24"/>
      <c r="AI125" s="24"/>
      <c r="AJ125" s="27"/>
      <c r="AK125" s="27"/>
      <c r="AL125" s="27"/>
      <c r="AM125" s="27"/>
      <c r="AN125" s="27"/>
      <c r="AO125" s="27"/>
      <c r="AP125" s="27"/>
      <c r="AQ125" s="27"/>
      <c r="AR125" s="27"/>
      <c r="AS125" s="27"/>
      <c r="AT125" s="27"/>
    </row>
    <row r="126" spans="2:46" s="3" customFormat="1" x14ac:dyDescent="0.25">
      <c r="B126" s="30"/>
      <c r="C126" s="31"/>
      <c r="D126" s="32"/>
      <c r="E126" s="33"/>
      <c r="F126" s="34"/>
      <c r="G126" s="34"/>
      <c r="H126" s="34"/>
      <c r="I126" s="34"/>
      <c r="J126" s="34"/>
      <c r="K126" s="34"/>
      <c r="L126" s="34"/>
      <c r="M126" s="34"/>
      <c r="N126" s="34"/>
      <c r="O126" s="38">
        <f t="shared" si="11"/>
        <v>0</v>
      </c>
      <c r="P126" s="34"/>
      <c r="Q126" s="34"/>
      <c r="R126" s="34"/>
      <c r="S126" s="34"/>
      <c r="T126" s="34"/>
      <c r="U126" s="34"/>
      <c r="V126" s="34"/>
      <c r="W126" s="34"/>
      <c r="X126" s="34"/>
      <c r="Y126" s="34"/>
      <c r="Z126" s="34"/>
      <c r="AA126" s="38">
        <f t="shared" si="12"/>
        <v>0</v>
      </c>
      <c r="AB126" s="38">
        <f t="shared" si="13"/>
        <v>0</v>
      </c>
      <c r="AC126" s="23"/>
      <c r="AD126" s="23"/>
      <c r="AE126" s="23" t="e">
        <f>IF(#REF!=#REF!,1,0)</f>
        <v>#REF!</v>
      </c>
      <c r="AF126" s="24"/>
      <c r="AG126" s="24"/>
      <c r="AH126" s="24"/>
      <c r="AI126" s="24"/>
      <c r="AJ126" s="27"/>
      <c r="AK126" s="27"/>
      <c r="AL126" s="27"/>
      <c r="AM126" s="27"/>
      <c r="AN126" s="27"/>
      <c r="AO126" s="27"/>
      <c r="AP126" s="27"/>
      <c r="AQ126" s="27"/>
      <c r="AR126" s="27"/>
      <c r="AS126" s="27"/>
      <c r="AT126" s="27"/>
    </row>
    <row r="127" spans="2:46" s="3" customFormat="1" x14ac:dyDescent="0.25">
      <c r="B127" s="30"/>
      <c r="C127" s="31"/>
      <c r="D127" s="32"/>
      <c r="E127" s="33"/>
      <c r="F127" s="34"/>
      <c r="G127" s="34"/>
      <c r="H127" s="34"/>
      <c r="I127" s="34"/>
      <c r="J127" s="34"/>
      <c r="K127" s="34"/>
      <c r="L127" s="34"/>
      <c r="M127" s="34"/>
      <c r="N127" s="34"/>
      <c r="O127" s="38">
        <f t="shared" si="11"/>
        <v>0</v>
      </c>
      <c r="P127" s="34"/>
      <c r="Q127" s="34"/>
      <c r="R127" s="34"/>
      <c r="S127" s="34"/>
      <c r="T127" s="34"/>
      <c r="U127" s="34"/>
      <c r="V127" s="34"/>
      <c r="W127" s="34"/>
      <c r="X127" s="34"/>
      <c r="Y127" s="34"/>
      <c r="Z127" s="34"/>
      <c r="AA127" s="38">
        <f t="shared" si="12"/>
        <v>0</v>
      </c>
      <c r="AB127" s="38">
        <f t="shared" si="13"/>
        <v>0</v>
      </c>
      <c r="AC127" s="23"/>
      <c r="AD127" s="23"/>
      <c r="AE127" s="23" t="e">
        <f>IF(#REF!=#REF!,1,0)</f>
        <v>#REF!</v>
      </c>
      <c r="AF127" s="24"/>
      <c r="AG127" s="24"/>
      <c r="AH127" s="24"/>
      <c r="AI127" s="24"/>
      <c r="AJ127" s="27"/>
      <c r="AK127" s="27"/>
      <c r="AL127" s="27"/>
      <c r="AM127" s="27"/>
      <c r="AN127" s="27"/>
      <c r="AO127" s="27"/>
      <c r="AP127" s="27"/>
      <c r="AQ127" s="27"/>
      <c r="AR127" s="27"/>
      <c r="AS127" s="27"/>
      <c r="AT127" s="27"/>
    </row>
    <row r="128" spans="2:46" s="3" customFormat="1" x14ac:dyDescent="0.25">
      <c r="B128" s="30"/>
      <c r="C128" s="31"/>
      <c r="D128" s="32"/>
      <c r="E128" s="33"/>
      <c r="F128" s="34"/>
      <c r="G128" s="34"/>
      <c r="H128" s="34"/>
      <c r="I128" s="34"/>
      <c r="J128" s="34"/>
      <c r="K128" s="34"/>
      <c r="L128" s="34"/>
      <c r="M128" s="34"/>
      <c r="N128" s="34"/>
      <c r="O128" s="38">
        <f t="shared" si="11"/>
        <v>0</v>
      </c>
      <c r="P128" s="34"/>
      <c r="Q128" s="34"/>
      <c r="R128" s="34"/>
      <c r="S128" s="34"/>
      <c r="T128" s="34"/>
      <c r="U128" s="34"/>
      <c r="V128" s="34"/>
      <c r="W128" s="34"/>
      <c r="X128" s="34"/>
      <c r="Y128" s="34"/>
      <c r="Z128" s="34"/>
      <c r="AA128" s="38">
        <f t="shared" si="12"/>
        <v>0</v>
      </c>
      <c r="AB128" s="38">
        <f t="shared" si="13"/>
        <v>0</v>
      </c>
      <c r="AC128" s="23"/>
      <c r="AD128" s="23"/>
      <c r="AE128" s="23" t="e">
        <f>IF(#REF!=#REF!,1,0)</f>
        <v>#REF!</v>
      </c>
      <c r="AF128" s="24"/>
      <c r="AG128" s="24"/>
      <c r="AH128" s="24"/>
      <c r="AI128" s="24"/>
      <c r="AJ128" s="27"/>
      <c r="AK128" s="27"/>
      <c r="AL128" s="27"/>
      <c r="AM128" s="27"/>
      <c r="AN128" s="27"/>
      <c r="AO128" s="27"/>
      <c r="AP128" s="27"/>
      <c r="AQ128" s="27"/>
      <c r="AR128" s="27"/>
      <c r="AS128" s="27"/>
      <c r="AT128" s="27"/>
    </row>
    <row r="129" spans="2:46" s="3" customFormat="1" x14ac:dyDescent="0.25">
      <c r="B129" s="30"/>
      <c r="C129" s="31"/>
      <c r="D129" s="32"/>
      <c r="E129" s="33"/>
      <c r="F129" s="34"/>
      <c r="G129" s="34"/>
      <c r="H129" s="34"/>
      <c r="I129" s="34"/>
      <c r="J129" s="34"/>
      <c r="K129" s="34"/>
      <c r="L129" s="34"/>
      <c r="M129" s="34"/>
      <c r="N129" s="34"/>
      <c r="O129" s="38">
        <f t="shared" si="11"/>
        <v>0</v>
      </c>
      <c r="P129" s="34"/>
      <c r="Q129" s="34"/>
      <c r="R129" s="34"/>
      <c r="S129" s="34"/>
      <c r="T129" s="34"/>
      <c r="U129" s="34"/>
      <c r="V129" s="34"/>
      <c r="W129" s="34"/>
      <c r="X129" s="34"/>
      <c r="Y129" s="34"/>
      <c r="Z129" s="34"/>
      <c r="AA129" s="38">
        <f t="shared" si="12"/>
        <v>0</v>
      </c>
      <c r="AB129" s="38">
        <f t="shared" si="13"/>
        <v>0</v>
      </c>
      <c r="AC129" s="23"/>
      <c r="AD129" s="23"/>
      <c r="AE129" s="23" t="e">
        <f>IF(#REF!=#REF!,1,0)</f>
        <v>#REF!</v>
      </c>
      <c r="AF129" s="24"/>
      <c r="AG129" s="24"/>
      <c r="AH129" s="24"/>
      <c r="AI129" s="24"/>
      <c r="AJ129" s="27"/>
      <c r="AK129" s="27"/>
      <c r="AL129" s="27"/>
      <c r="AM129" s="27"/>
      <c r="AN129" s="27"/>
      <c r="AO129" s="27"/>
      <c r="AP129" s="27"/>
      <c r="AQ129" s="27"/>
      <c r="AR129" s="27"/>
      <c r="AS129" s="27"/>
      <c r="AT129" s="27"/>
    </row>
    <row r="130" spans="2:46" s="3" customFormat="1" x14ac:dyDescent="0.25">
      <c r="B130" s="30"/>
      <c r="C130" s="31"/>
      <c r="D130" s="32"/>
      <c r="E130" s="33"/>
      <c r="F130" s="34"/>
      <c r="G130" s="34"/>
      <c r="H130" s="34"/>
      <c r="I130" s="34"/>
      <c r="J130" s="34"/>
      <c r="K130" s="34"/>
      <c r="L130" s="34"/>
      <c r="M130" s="34"/>
      <c r="N130" s="34"/>
      <c r="O130" s="38">
        <f t="shared" si="11"/>
        <v>0</v>
      </c>
      <c r="P130" s="34"/>
      <c r="Q130" s="34"/>
      <c r="R130" s="34"/>
      <c r="S130" s="34"/>
      <c r="T130" s="34"/>
      <c r="U130" s="34"/>
      <c r="V130" s="34"/>
      <c r="W130" s="34"/>
      <c r="X130" s="34"/>
      <c r="Y130" s="34"/>
      <c r="Z130" s="34"/>
      <c r="AA130" s="38">
        <f t="shared" si="12"/>
        <v>0</v>
      </c>
      <c r="AB130" s="38">
        <f t="shared" si="13"/>
        <v>0</v>
      </c>
      <c r="AC130" s="23"/>
      <c r="AD130" s="23"/>
      <c r="AE130" s="23" t="e">
        <f>IF(#REF!=#REF!,1,0)</f>
        <v>#REF!</v>
      </c>
      <c r="AF130" s="24"/>
      <c r="AG130" s="24"/>
      <c r="AH130" s="24"/>
      <c r="AI130" s="24"/>
      <c r="AJ130" s="27"/>
      <c r="AK130" s="27"/>
      <c r="AL130" s="27"/>
      <c r="AM130" s="27"/>
      <c r="AN130" s="27"/>
      <c r="AO130" s="27"/>
      <c r="AP130" s="27"/>
      <c r="AQ130" s="27"/>
      <c r="AR130" s="27"/>
      <c r="AS130" s="27"/>
      <c r="AT130" s="27"/>
    </row>
    <row r="131" spans="2:46" s="3" customFormat="1" x14ac:dyDescent="0.25">
      <c r="B131" s="30"/>
      <c r="C131" s="31"/>
      <c r="D131" s="32"/>
      <c r="E131" s="33"/>
      <c r="F131" s="34"/>
      <c r="G131" s="34"/>
      <c r="H131" s="34"/>
      <c r="I131" s="34"/>
      <c r="J131" s="34"/>
      <c r="K131" s="34"/>
      <c r="L131" s="34"/>
      <c r="M131" s="34"/>
      <c r="N131" s="34"/>
      <c r="O131" s="38">
        <f t="shared" si="11"/>
        <v>0</v>
      </c>
      <c r="P131" s="34"/>
      <c r="Q131" s="34"/>
      <c r="R131" s="34"/>
      <c r="S131" s="34"/>
      <c r="T131" s="34"/>
      <c r="U131" s="34"/>
      <c r="V131" s="34"/>
      <c r="W131" s="34"/>
      <c r="X131" s="34"/>
      <c r="Y131" s="34"/>
      <c r="Z131" s="34"/>
      <c r="AA131" s="38">
        <f t="shared" si="12"/>
        <v>0</v>
      </c>
      <c r="AB131" s="38">
        <f t="shared" si="13"/>
        <v>0</v>
      </c>
      <c r="AC131" s="23"/>
      <c r="AD131" s="23"/>
      <c r="AE131" s="23" t="e">
        <f>IF(#REF!=#REF!,1,0)</f>
        <v>#REF!</v>
      </c>
      <c r="AF131" s="24"/>
      <c r="AG131" s="24"/>
      <c r="AH131" s="24"/>
      <c r="AI131" s="24"/>
      <c r="AJ131" s="27"/>
      <c r="AK131" s="27"/>
      <c r="AL131" s="27"/>
      <c r="AM131" s="27"/>
      <c r="AN131" s="27"/>
      <c r="AO131" s="27"/>
      <c r="AP131" s="27"/>
      <c r="AQ131" s="27"/>
      <c r="AR131" s="27"/>
      <c r="AS131" s="27"/>
      <c r="AT131" s="27"/>
    </row>
    <row r="132" spans="2:46" s="3" customFormat="1" x14ac:dyDescent="0.25">
      <c r="B132" s="30"/>
      <c r="C132" s="31"/>
      <c r="D132" s="32"/>
      <c r="E132" s="33"/>
      <c r="F132" s="34"/>
      <c r="G132" s="34"/>
      <c r="H132" s="34"/>
      <c r="I132" s="34"/>
      <c r="J132" s="34"/>
      <c r="K132" s="34"/>
      <c r="L132" s="34"/>
      <c r="M132" s="34"/>
      <c r="N132" s="34"/>
      <c r="O132" s="38">
        <f t="shared" si="11"/>
        <v>0</v>
      </c>
      <c r="P132" s="34"/>
      <c r="Q132" s="34"/>
      <c r="R132" s="34"/>
      <c r="S132" s="34"/>
      <c r="T132" s="34"/>
      <c r="U132" s="34"/>
      <c r="V132" s="34"/>
      <c r="W132" s="34"/>
      <c r="X132" s="34"/>
      <c r="Y132" s="34"/>
      <c r="Z132" s="34"/>
      <c r="AA132" s="38">
        <f t="shared" si="12"/>
        <v>0</v>
      </c>
      <c r="AB132" s="38">
        <f t="shared" si="13"/>
        <v>0</v>
      </c>
      <c r="AC132" s="23"/>
      <c r="AD132" s="23"/>
      <c r="AE132" s="23" t="e">
        <f>IF(#REF!=#REF!,1,0)</f>
        <v>#REF!</v>
      </c>
      <c r="AF132" s="24"/>
      <c r="AG132" s="24"/>
      <c r="AH132" s="24"/>
      <c r="AI132" s="24"/>
      <c r="AJ132" s="27"/>
      <c r="AK132" s="27"/>
      <c r="AL132" s="27"/>
      <c r="AM132" s="27"/>
      <c r="AN132" s="27"/>
      <c r="AO132" s="27"/>
      <c r="AP132" s="27"/>
      <c r="AQ132" s="27"/>
      <c r="AR132" s="27"/>
      <c r="AS132" s="27"/>
      <c r="AT132" s="27"/>
    </row>
    <row r="133" spans="2:46" s="3" customFormat="1" x14ac:dyDescent="0.25">
      <c r="B133" s="30"/>
      <c r="C133" s="31"/>
      <c r="D133" s="32"/>
      <c r="E133" s="33"/>
      <c r="F133" s="34"/>
      <c r="G133" s="34"/>
      <c r="H133" s="34"/>
      <c r="I133" s="34"/>
      <c r="J133" s="34"/>
      <c r="K133" s="34"/>
      <c r="L133" s="34"/>
      <c r="M133" s="34"/>
      <c r="N133" s="34"/>
      <c r="O133" s="38">
        <f t="shared" si="11"/>
        <v>0</v>
      </c>
      <c r="P133" s="34"/>
      <c r="Q133" s="34"/>
      <c r="R133" s="34"/>
      <c r="S133" s="34"/>
      <c r="T133" s="34"/>
      <c r="U133" s="34"/>
      <c r="V133" s="34"/>
      <c r="W133" s="34"/>
      <c r="X133" s="34"/>
      <c r="Y133" s="34"/>
      <c r="Z133" s="34"/>
      <c r="AA133" s="38">
        <f t="shared" si="12"/>
        <v>0</v>
      </c>
      <c r="AB133" s="38">
        <f t="shared" si="13"/>
        <v>0</v>
      </c>
      <c r="AC133" s="23"/>
      <c r="AD133" s="23"/>
      <c r="AE133" s="23" t="e">
        <f>IF(#REF!=#REF!,1,0)</f>
        <v>#REF!</v>
      </c>
      <c r="AF133" s="24"/>
      <c r="AG133" s="24"/>
      <c r="AH133" s="24"/>
      <c r="AI133" s="24"/>
      <c r="AJ133" s="27"/>
      <c r="AK133" s="27"/>
      <c r="AL133" s="27"/>
      <c r="AM133" s="27"/>
      <c r="AN133" s="27"/>
      <c r="AO133" s="27"/>
      <c r="AP133" s="27"/>
      <c r="AQ133" s="27"/>
      <c r="AR133" s="27"/>
      <c r="AS133" s="27"/>
      <c r="AT133" s="27"/>
    </row>
    <row r="134" spans="2:46" s="3" customFormat="1" x14ac:dyDescent="0.25">
      <c r="B134" s="30"/>
      <c r="C134" s="31"/>
      <c r="D134" s="32"/>
      <c r="E134" s="33"/>
      <c r="F134" s="34"/>
      <c r="G134" s="34"/>
      <c r="H134" s="34"/>
      <c r="I134" s="34"/>
      <c r="J134" s="34"/>
      <c r="K134" s="34"/>
      <c r="L134" s="34"/>
      <c r="M134" s="34"/>
      <c r="N134" s="34"/>
      <c r="O134" s="38">
        <f t="shared" si="11"/>
        <v>0</v>
      </c>
      <c r="P134" s="34"/>
      <c r="Q134" s="34"/>
      <c r="R134" s="34"/>
      <c r="S134" s="34"/>
      <c r="T134" s="34"/>
      <c r="U134" s="34"/>
      <c r="V134" s="34"/>
      <c r="W134" s="34"/>
      <c r="X134" s="34"/>
      <c r="Y134" s="34"/>
      <c r="Z134" s="34"/>
      <c r="AA134" s="38">
        <f t="shared" si="12"/>
        <v>0</v>
      </c>
      <c r="AB134" s="38">
        <f t="shared" si="13"/>
        <v>0</v>
      </c>
      <c r="AC134" s="23"/>
      <c r="AD134" s="23"/>
      <c r="AE134" s="23" t="e">
        <f>IF(#REF!=#REF!,1,0)</f>
        <v>#REF!</v>
      </c>
      <c r="AF134" s="24"/>
      <c r="AG134" s="24"/>
      <c r="AH134" s="24"/>
      <c r="AI134" s="24"/>
      <c r="AJ134" s="27"/>
      <c r="AK134" s="27"/>
      <c r="AL134" s="27"/>
      <c r="AM134" s="27"/>
      <c r="AN134" s="27"/>
      <c r="AO134" s="27"/>
      <c r="AP134" s="27"/>
      <c r="AQ134" s="27"/>
      <c r="AR134" s="27"/>
      <c r="AS134" s="27"/>
      <c r="AT134" s="27"/>
    </row>
    <row r="135" spans="2:46" s="3" customFormat="1" x14ac:dyDescent="0.25">
      <c r="B135" s="30"/>
      <c r="C135" s="31"/>
      <c r="D135" s="32"/>
      <c r="E135" s="33"/>
      <c r="F135" s="34"/>
      <c r="G135" s="34"/>
      <c r="H135" s="34"/>
      <c r="I135" s="34"/>
      <c r="J135" s="34"/>
      <c r="K135" s="34"/>
      <c r="L135" s="34"/>
      <c r="M135" s="34"/>
      <c r="N135" s="34"/>
      <c r="O135" s="38">
        <f t="shared" si="11"/>
        <v>0</v>
      </c>
      <c r="P135" s="34"/>
      <c r="Q135" s="34"/>
      <c r="R135" s="34"/>
      <c r="S135" s="34"/>
      <c r="T135" s="34"/>
      <c r="U135" s="34"/>
      <c r="V135" s="34"/>
      <c r="W135" s="34"/>
      <c r="X135" s="34"/>
      <c r="Y135" s="34"/>
      <c r="Z135" s="34"/>
      <c r="AA135" s="38">
        <f t="shared" si="12"/>
        <v>0</v>
      </c>
      <c r="AB135" s="38">
        <f t="shared" si="13"/>
        <v>0</v>
      </c>
      <c r="AC135" s="23"/>
      <c r="AD135" s="23"/>
      <c r="AE135" s="23" t="e">
        <f>IF(#REF!=#REF!,1,0)</f>
        <v>#REF!</v>
      </c>
      <c r="AF135" s="24"/>
      <c r="AG135" s="24"/>
      <c r="AH135" s="24"/>
      <c r="AI135" s="24"/>
      <c r="AJ135" s="27"/>
      <c r="AK135" s="27"/>
      <c r="AL135" s="27"/>
      <c r="AM135" s="27"/>
      <c r="AN135" s="27"/>
      <c r="AO135" s="27"/>
      <c r="AP135" s="27"/>
      <c r="AQ135" s="27"/>
      <c r="AR135" s="27"/>
      <c r="AS135" s="27"/>
      <c r="AT135" s="27"/>
    </row>
    <row r="136" spans="2:46" s="3" customFormat="1" x14ac:dyDescent="0.25">
      <c r="B136" s="30"/>
      <c r="C136" s="31"/>
      <c r="D136" s="32"/>
      <c r="E136" s="33"/>
      <c r="F136" s="34"/>
      <c r="G136" s="34"/>
      <c r="H136" s="34"/>
      <c r="I136" s="34"/>
      <c r="J136" s="34"/>
      <c r="K136" s="34"/>
      <c r="L136" s="34"/>
      <c r="M136" s="34"/>
      <c r="N136" s="34"/>
      <c r="O136" s="38">
        <f t="shared" si="11"/>
        <v>0</v>
      </c>
      <c r="P136" s="34"/>
      <c r="Q136" s="34"/>
      <c r="R136" s="34"/>
      <c r="S136" s="34"/>
      <c r="T136" s="34"/>
      <c r="U136" s="34"/>
      <c r="V136" s="34"/>
      <c r="W136" s="34"/>
      <c r="X136" s="34"/>
      <c r="Y136" s="34"/>
      <c r="Z136" s="34"/>
      <c r="AA136" s="38">
        <f t="shared" si="12"/>
        <v>0</v>
      </c>
      <c r="AB136" s="38">
        <f t="shared" si="13"/>
        <v>0</v>
      </c>
      <c r="AC136" s="23"/>
      <c r="AD136" s="23"/>
      <c r="AE136" s="23" t="e">
        <f>IF(#REF!=#REF!,1,0)</f>
        <v>#REF!</v>
      </c>
      <c r="AF136" s="24"/>
      <c r="AG136" s="24"/>
      <c r="AH136" s="24"/>
      <c r="AI136" s="24"/>
      <c r="AJ136" s="27"/>
      <c r="AK136" s="27"/>
      <c r="AL136" s="27"/>
      <c r="AM136" s="27"/>
      <c r="AN136" s="27"/>
      <c r="AO136" s="27"/>
      <c r="AP136" s="27"/>
      <c r="AQ136" s="27"/>
      <c r="AR136" s="27"/>
      <c r="AS136" s="27"/>
      <c r="AT136" s="27"/>
    </row>
    <row r="137" spans="2:46" s="3" customFormat="1" x14ac:dyDescent="0.25">
      <c r="B137" s="30"/>
      <c r="C137" s="31"/>
      <c r="D137" s="32"/>
      <c r="E137" s="33"/>
      <c r="F137" s="34"/>
      <c r="G137" s="34"/>
      <c r="H137" s="34"/>
      <c r="I137" s="34"/>
      <c r="J137" s="34"/>
      <c r="K137" s="34"/>
      <c r="L137" s="34"/>
      <c r="M137" s="34"/>
      <c r="N137" s="34"/>
      <c r="O137" s="38">
        <f t="shared" si="11"/>
        <v>0</v>
      </c>
      <c r="P137" s="34"/>
      <c r="Q137" s="34"/>
      <c r="R137" s="34"/>
      <c r="S137" s="34"/>
      <c r="T137" s="34"/>
      <c r="U137" s="34"/>
      <c r="V137" s="34"/>
      <c r="W137" s="34"/>
      <c r="X137" s="34"/>
      <c r="Y137" s="34"/>
      <c r="Z137" s="34"/>
      <c r="AA137" s="38">
        <f t="shared" si="12"/>
        <v>0</v>
      </c>
      <c r="AB137" s="38">
        <f t="shared" si="13"/>
        <v>0</v>
      </c>
      <c r="AC137" s="23"/>
      <c r="AD137" s="23"/>
      <c r="AE137" s="23" t="e">
        <f>IF(#REF!=#REF!,1,0)</f>
        <v>#REF!</v>
      </c>
      <c r="AF137" s="24"/>
      <c r="AG137" s="24"/>
      <c r="AH137" s="24"/>
      <c r="AI137" s="24"/>
      <c r="AJ137" s="27"/>
      <c r="AK137" s="27"/>
      <c r="AL137" s="27"/>
      <c r="AM137" s="27"/>
      <c r="AN137" s="27"/>
      <c r="AO137" s="27"/>
      <c r="AP137" s="27"/>
      <c r="AQ137" s="27"/>
      <c r="AR137" s="27"/>
      <c r="AS137" s="27"/>
      <c r="AT137" s="27"/>
    </row>
    <row r="138" spans="2:46" s="3" customFormat="1" x14ac:dyDescent="0.25">
      <c r="B138" s="30"/>
      <c r="C138" s="31"/>
      <c r="D138" s="32"/>
      <c r="E138" s="33"/>
      <c r="F138" s="34"/>
      <c r="G138" s="34"/>
      <c r="H138" s="34"/>
      <c r="I138" s="34"/>
      <c r="J138" s="34"/>
      <c r="K138" s="34"/>
      <c r="L138" s="34"/>
      <c r="M138" s="34"/>
      <c r="N138" s="34"/>
      <c r="O138" s="38">
        <f t="shared" si="11"/>
        <v>0</v>
      </c>
      <c r="P138" s="34"/>
      <c r="Q138" s="34"/>
      <c r="R138" s="34"/>
      <c r="S138" s="34"/>
      <c r="T138" s="34"/>
      <c r="U138" s="34"/>
      <c r="V138" s="34"/>
      <c r="W138" s="34"/>
      <c r="X138" s="34"/>
      <c r="Y138" s="34"/>
      <c r="Z138" s="34"/>
      <c r="AA138" s="38">
        <f t="shared" si="12"/>
        <v>0</v>
      </c>
      <c r="AB138" s="38">
        <f t="shared" si="13"/>
        <v>0</v>
      </c>
      <c r="AC138" s="23"/>
      <c r="AD138" s="23"/>
      <c r="AE138" s="23" t="e">
        <f>IF(#REF!=#REF!,1,0)</f>
        <v>#REF!</v>
      </c>
      <c r="AF138" s="24"/>
      <c r="AG138" s="24"/>
      <c r="AH138" s="24"/>
      <c r="AI138" s="24"/>
      <c r="AJ138" s="27"/>
      <c r="AK138" s="27"/>
      <c r="AL138" s="27"/>
      <c r="AM138" s="27"/>
      <c r="AN138" s="27"/>
      <c r="AO138" s="27"/>
      <c r="AP138" s="27"/>
      <c r="AQ138" s="27"/>
      <c r="AR138" s="27"/>
      <c r="AS138" s="27"/>
      <c r="AT138" s="27"/>
    </row>
    <row r="139" spans="2:46" s="3" customFormat="1" x14ac:dyDescent="0.25">
      <c r="B139" s="30"/>
      <c r="C139" s="31"/>
      <c r="D139" s="32"/>
      <c r="E139" s="33"/>
      <c r="F139" s="34"/>
      <c r="G139" s="34"/>
      <c r="H139" s="34"/>
      <c r="I139" s="34"/>
      <c r="J139" s="34"/>
      <c r="K139" s="34"/>
      <c r="L139" s="34"/>
      <c r="M139" s="34"/>
      <c r="N139" s="34"/>
      <c r="O139" s="38">
        <f t="shared" si="11"/>
        <v>0</v>
      </c>
      <c r="P139" s="34"/>
      <c r="Q139" s="34"/>
      <c r="R139" s="34"/>
      <c r="S139" s="34"/>
      <c r="T139" s="34"/>
      <c r="U139" s="34"/>
      <c r="V139" s="34"/>
      <c r="W139" s="34"/>
      <c r="X139" s="34"/>
      <c r="Y139" s="34"/>
      <c r="Z139" s="34"/>
      <c r="AA139" s="38">
        <f t="shared" si="12"/>
        <v>0</v>
      </c>
      <c r="AB139" s="38">
        <f t="shared" si="13"/>
        <v>0</v>
      </c>
      <c r="AC139" s="23"/>
      <c r="AD139" s="23"/>
      <c r="AE139" s="23" t="e">
        <f>IF(#REF!=#REF!,1,0)</f>
        <v>#REF!</v>
      </c>
      <c r="AF139" s="24"/>
      <c r="AG139" s="24"/>
      <c r="AH139" s="24"/>
      <c r="AI139" s="24"/>
      <c r="AJ139" s="27"/>
      <c r="AK139" s="27"/>
      <c r="AL139" s="27"/>
      <c r="AM139" s="27"/>
      <c r="AN139" s="27"/>
      <c r="AO139" s="27"/>
      <c r="AP139" s="27"/>
      <c r="AQ139" s="27"/>
      <c r="AR139" s="27"/>
      <c r="AS139" s="27"/>
      <c r="AT139" s="27"/>
    </row>
    <row r="140" spans="2:46" s="3" customFormat="1" x14ac:dyDescent="0.25">
      <c r="B140" s="30"/>
      <c r="C140" s="31"/>
      <c r="D140" s="32"/>
      <c r="E140" s="33"/>
      <c r="F140" s="34"/>
      <c r="G140" s="34"/>
      <c r="H140" s="34"/>
      <c r="I140" s="34"/>
      <c r="J140" s="34"/>
      <c r="K140" s="34"/>
      <c r="L140" s="34"/>
      <c r="M140" s="34"/>
      <c r="N140" s="34"/>
      <c r="O140" s="38">
        <f t="shared" si="11"/>
        <v>0</v>
      </c>
      <c r="P140" s="34"/>
      <c r="Q140" s="34"/>
      <c r="R140" s="34"/>
      <c r="S140" s="34"/>
      <c r="T140" s="34"/>
      <c r="U140" s="34"/>
      <c r="V140" s="34"/>
      <c r="W140" s="34"/>
      <c r="X140" s="34"/>
      <c r="Y140" s="34"/>
      <c r="Z140" s="34"/>
      <c r="AA140" s="38">
        <f t="shared" si="12"/>
        <v>0</v>
      </c>
      <c r="AB140" s="38">
        <f t="shared" si="13"/>
        <v>0</v>
      </c>
      <c r="AC140" s="23"/>
      <c r="AD140" s="23"/>
      <c r="AE140" s="23" t="e">
        <f>IF(#REF!=#REF!,1,0)</f>
        <v>#REF!</v>
      </c>
      <c r="AF140" s="24"/>
      <c r="AG140" s="24"/>
      <c r="AH140" s="24"/>
      <c r="AI140" s="24"/>
      <c r="AJ140" s="27"/>
      <c r="AK140" s="27"/>
      <c r="AL140" s="27"/>
      <c r="AM140" s="27"/>
      <c r="AN140" s="27"/>
      <c r="AO140" s="27"/>
      <c r="AP140" s="27"/>
      <c r="AQ140" s="27"/>
      <c r="AR140" s="27"/>
      <c r="AS140" s="27"/>
      <c r="AT140" s="27"/>
    </row>
    <row r="141" spans="2:46" s="3" customFormat="1" x14ac:dyDescent="0.25">
      <c r="B141" s="30"/>
      <c r="C141" s="31"/>
      <c r="D141" s="32"/>
      <c r="E141" s="33"/>
      <c r="F141" s="34"/>
      <c r="G141" s="34"/>
      <c r="H141" s="34"/>
      <c r="I141" s="34"/>
      <c r="J141" s="34"/>
      <c r="K141" s="34"/>
      <c r="L141" s="34"/>
      <c r="M141" s="34"/>
      <c r="N141" s="34"/>
      <c r="O141" s="38">
        <f t="shared" si="11"/>
        <v>0</v>
      </c>
      <c r="P141" s="34"/>
      <c r="Q141" s="34"/>
      <c r="R141" s="34"/>
      <c r="S141" s="34"/>
      <c r="T141" s="34"/>
      <c r="U141" s="34"/>
      <c r="V141" s="34"/>
      <c r="W141" s="34"/>
      <c r="X141" s="34"/>
      <c r="Y141" s="34"/>
      <c r="Z141" s="34"/>
      <c r="AA141" s="38">
        <f t="shared" si="12"/>
        <v>0</v>
      </c>
      <c r="AB141" s="38">
        <f t="shared" si="13"/>
        <v>0</v>
      </c>
      <c r="AC141" s="23"/>
      <c r="AD141" s="23"/>
      <c r="AE141" s="23" t="e">
        <f>IF(#REF!=#REF!,1,0)</f>
        <v>#REF!</v>
      </c>
      <c r="AF141" s="24"/>
      <c r="AG141" s="24"/>
      <c r="AH141" s="24"/>
      <c r="AI141" s="24"/>
      <c r="AJ141" s="27"/>
      <c r="AK141" s="27"/>
      <c r="AL141" s="27"/>
      <c r="AM141" s="27"/>
      <c r="AN141" s="27"/>
      <c r="AO141" s="27"/>
      <c r="AP141" s="27"/>
      <c r="AQ141" s="27"/>
      <c r="AR141" s="27"/>
      <c r="AS141" s="27"/>
      <c r="AT141" s="27"/>
    </row>
    <row r="142" spans="2:46" s="3" customFormat="1" x14ac:dyDescent="0.25">
      <c r="B142" s="30"/>
      <c r="C142" s="31"/>
      <c r="D142" s="32"/>
      <c r="E142" s="33"/>
      <c r="F142" s="34"/>
      <c r="G142" s="34"/>
      <c r="H142" s="34"/>
      <c r="I142" s="34"/>
      <c r="J142" s="34"/>
      <c r="K142" s="34"/>
      <c r="L142" s="34"/>
      <c r="M142" s="34"/>
      <c r="N142" s="34"/>
      <c r="O142" s="38">
        <f t="shared" si="11"/>
        <v>0</v>
      </c>
      <c r="P142" s="34"/>
      <c r="Q142" s="34"/>
      <c r="R142" s="34"/>
      <c r="S142" s="34"/>
      <c r="T142" s="34"/>
      <c r="U142" s="34"/>
      <c r="V142" s="34"/>
      <c r="W142" s="34"/>
      <c r="X142" s="34"/>
      <c r="Y142" s="34"/>
      <c r="Z142" s="34"/>
      <c r="AA142" s="38">
        <f t="shared" si="12"/>
        <v>0</v>
      </c>
      <c r="AB142" s="38">
        <f t="shared" si="13"/>
        <v>0</v>
      </c>
      <c r="AC142" s="23"/>
      <c r="AD142" s="23"/>
      <c r="AE142" s="23" t="e">
        <f>IF(#REF!=#REF!,1,0)</f>
        <v>#REF!</v>
      </c>
      <c r="AF142" s="24"/>
      <c r="AG142" s="24"/>
      <c r="AH142" s="24"/>
      <c r="AI142" s="24"/>
      <c r="AJ142" s="27"/>
      <c r="AK142" s="27"/>
      <c r="AL142" s="27"/>
      <c r="AM142" s="27"/>
      <c r="AN142" s="27"/>
      <c r="AO142" s="27"/>
      <c r="AP142" s="27"/>
      <c r="AQ142" s="27"/>
      <c r="AR142" s="27"/>
      <c r="AS142" s="27"/>
      <c r="AT142" s="27"/>
    </row>
    <row r="143" spans="2:46" s="3" customFormat="1" x14ac:dyDescent="0.25">
      <c r="B143" s="30"/>
      <c r="C143" s="31"/>
      <c r="D143" s="32"/>
      <c r="E143" s="33"/>
      <c r="F143" s="34"/>
      <c r="G143" s="34"/>
      <c r="H143" s="34"/>
      <c r="I143" s="34"/>
      <c r="J143" s="34"/>
      <c r="K143" s="34"/>
      <c r="L143" s="34"/>
      <c r="M143" s="34"/>
      <c r="N143" s="34"/>
      <c r="O143" s="38">
        <f t="shared" si="11"/>
        <v>0</v>
      </c>
      <c r="P143" s="34"/>
      <c r="Q143" s="34"/>
      <c r="R143" s="34"/>
      <c r="S143" s="34"/>
      <c r="T143" s="34"/>
      <c r="U143" s="34"/>
      <c r="V143" s="34"/>
      <c r="W143" s="34"/>
      <c r="X143" s="34"/>
      <c r="Y143" s="34"/>
      <c r="Z143" s="34"/>
      <c r="AA143" s="38">
        <f t="shared" si="12"/>
        <v>0</v>
      </c>
      <c r="AB143" s="38">
        <f t="shared" si="13"/>
        <v>0</v>
      </c>
      <c r="AC143" s="23"/>
      <c r="AD143" s="23"/>
      <c r="AE143" s="23" t="e">
        <f>IF(#REF!=#REF!,1,0)</f>
        <v>#REF!</v>
      </c>
      <c r="AF143" s="24"/>
      <c r="AG143" s="24"/>
      <c r="AH143" s="24"/>
      <c r="AI143" s="24"/>
      <c r="AJ143" s="27"/>
      <c r="AK143" s="27"/>
      <c r="AL143" s="27"/>
      <c r="AM143" s="27"/>
      <c r="AN143" s="27"/>
      <c r="AO143" s="27"/>
      <c r="AP143" s="27"/>
      <c r="AQ143" s="27"/>
      <c r="AR143" s="27"/>
      <c r="AS143" s="27"/>
      <c r="AT143" s="27"/>
    </row>
    <row r="144" spans="2:46" s="3" customFormat="1" x14ac:dyDescent="0.25">
      <c r="B144" s="30"/>
      <c r="C144" s="31"/>
      <c r="D144" s="32"/>
      <c r="E144" s="33"/>
      <c r="F144" s="34"/>
      <c r="G144" s="34"/>
      <c r="H144" s="34"/>
      <c r="I144" s="34"/>
      <c r="J144" s="34"/>
      <c r="K144" s="34"/>
      <c r="L144" s="34"/>
      <c r="M144" s="34"/>
      <c r="N144" s="34"/>
      <c r="O144" s="38">
        <f t="shared" si="11"/>
        <v>0</v>
      </c>
      <c r="P144" s="34"/>
      <c r="Q144" s="34"/>
      <c r="R144" s="34"/>
      <c r="S144" s="34"/>
      <c r="T144" s="34"/>
      <c r="U144" s="34"/>
      <c r="V144" s="34"/>
      <c r="W144" s="34"/>
      <c r="X144" s="34"/>
      <c r="Y144" s="34"/>
      <c r="Z144" s="34"/>
      <c r="AA144" s="38">
        <f t="shared" si="12"/>
        <v>0</v>
      </c>
      <c r="AB144" s="38">
        <f t="shared" si="13"/>
        <v>0</v>
      </c>
      <c r="AC144" s="23"/>
      <c r="AD144" s="23"/>
      <c r="AE144" s="23" t="e">
        <f>IF(#REF!=#REF!,1,0)</f>
        <v>#REF!</v>
      </c>
      <c r="AF144" s="24"/>
      <c r="AG144" s="24"/>
      <c r="AH144" s="24"/>
      <c r="AI144" s="24"/>
      <c r="AJ144" s="27"/>
      <c r="AK144" s="27"/>
      <c r="AL144" s="27"/>
      <c r="AM144" s="27"/>
      <c r="AN144" s="27"/>
      <c r="AO144" s="27"/>
      <c r="AP144" s="27"/>
      <c r="AQ144" s="27"/>
      <c r="AR144" s="27"/>
      <c r="AS144" s="27"/>
      <c r="AT144" s="27"/>
    </row>
    <row r="145" spans="2:46" s="3" customFormat="1" x14ac:dyDescent="0.25">
      <c r="B145" s="30"/>
      <c r="C145" s="31"/>
      <c r="D145" s="32"/>
      <c r="E145" s="33"/>
      <c r="F145" s="34"/>
      <c r="G145" s="34"/>
      <c r="H145" s="34"/>
      <c r="I145" s="34"/>
      <c r="J145" s="34"/>
      <c r="K145" s="34"/>
      <c r="L145" s="34"/>
      <c r="M145" s="34"/>
      <c r="N145" s="34"/>
      <c r="O145" s="38">
        <f t="shared" si="11"/>
        <v>0</v>
      </c>
      <c r="P145" s="34"/>
      <c r="Q145" s="34"/>
      <c r="R145" s="34"/>
      <c r="S145" s="34"/>
      <c r="T145" s="34"/>
      <c r="U145" s="34"/>
      <c r="V145" s="34"/>
      <c r="W145" s="34"/>
      <c r="X145" s="34"/>
      <c r="Y145" s="34"/>
      <c r="Z145" s="34"/>
      <c r="AA145" s="38">
        <f t="shared" si="12"/>
        <v>0</v>
      </c>
      <c r="AB145" s="38">
        <f t="shared" si="13"/>
        <v>0</v>
      </c>
      <c r="AC145" s="23"/>
      <c r="AD145" s="23"/>
      <c r="AE145" s="23" t="e">
        <f>IF(#REF!=#REF!,1,0)</f>
        <v>#REF!</v>
      </c>
      <c r="AF145" s="24"/>
      <c r="AG145" s="24"/>
      <c r="AH145" s="24"/>
      <c r="AI145" s="24"/>
      <c r="AJ145" s="27"/>
      <c r="AK145" s="27"/>
      <c r="AL145" s="27"/>
      <c r="AM145" s="27"/>
      <c r="AN145" s="27"/>
      <c r="AO145" s="27"/>
      <c r="AP145" s="27"/>
      <c r="AQ145" s="27"/>
      <c r="AR145" s="27"/>
      <c r="AS145" s="27"/>
      <c r="AT145" s="27"/>
    </row>
    <row r="146" spans="2:46" s="3" customFormat="1" x14ac:dyDescent="0.25">
      <c r="B146" s="30"/>
      <c r="C146" s="31"/>
      <c r="D146" s="32"/>
      <c r="E146" s="33"/>
      <c r="F146" s="34"/>
      <c r="G146" s="34"/>
      <c r="H146" s="34"/>
      <c r="I146" s="34"/>
      <c r="J146" s="34"/>
      <c r="K146" s="34"/>
      <c r="L146" s="34"/>
      <c r="M146" s="34"/>
      <c r="N146" s="34"/>
      <c r="O146" s="38">
        <f t="shared" si="11"/>
        <v>0</v>
      </c>
      <c r="P146" s="34"/>
      <c r="Q146" s="34"/>
      <c r="R146" s="34"/>
      <c r="S146" s="34"/>
      <c r="T146" s="34"/>
      <c r="U146" s="34"/>
      <c r="V146" s="34"/>
      <c r="W146" s="34"/>
      <c r="X146" s="34"/>
      <c r="Y146" s="34"/>
      <c r="Z146" s="34"/>
      <c r="AA146" s="38">
        <f t="shared" si="12"/>
        <v>0</v>
      </c>
      <c r="AB146" s="38">
        <f t="shared" si="13"/>
        <v>0</v>
      </c>
      <c r="AC146" s="23"/>
      <c r="AD146" s="23"/>
      <c r="AE146" s="23" t="e">
        <f>IF(#REF!=#REF!,1,0)</f>
        <v>#REF!</v>
      </c>
      <c r="AF146" s="24"/>
      <c r="AG146" s="24"/>
      <c r="AH146" s="24"/>
      <c r="AI146" s="24"/>
      <c r="AJ146" s="27"/>
      <c r="AK146" s="27"/>
      <c r="AL146" s="27"/>
      <c r="AM146" s="27"/>
      <c r="AN146" s="27"/>
      <c r="AO146" s="27"/>
      <c r="AP146" s="27"/>
      <c r="AQ146" s="27"/>
      <c r="AR146" s="27"/>
      <c r="AS146" s="27"/>
      <c r="AT146" s="27"/>
    </row>
    <row r="147" spans="2:46" s="3" customFormat="1" x14ac:dyDescent="0.25">
      <c r="B147" s="30"/>
      <c r="C147" s="31"/>
      <c r="D147" s="32"/>
      <c r="E147" s="33"/>
      <c r="F147" s="34"/>
      <c r="G147" s="34"/>
      <c r="H147" s="34"/>
      <c r="I147" s="34"/>
      <c r="J147" s="34"/>
      <c r="K147" s="34"/>
      <c r="L147" s="34"/>
      <c r="M147" s="34"/>
      <c r="N147" s="34"/>
      <c r="O147" s="38">
        <f t="shared" si="11"/>
        <v>0</v>
      </c>
      <c r="P147" s="34"/>
      <c r="Q147" s="34"/>
      <c r="R147" s="34"/>
      <c r="S147" s="34"/>
      <c r="T147" s="34"/>
      <c r="U147" s="34"/>
      <c r="V147" s="34"/>
      <c r="W147" s="34"/>
      <c r="X147" s="34"/>
      <c r="Y147" s="34"/>
      <c r="Z147" s="34"/>
      <c r="AA147" s="38">
        <f t="shared" si="12"/>
        <v>0</v>
      </c>
      <c r="AB147" s="38">
        <f t="shared" si="13"/>
        <v>0</v>
      </c>
      <c r="AC147" s="23"/>
      <c r="AD147" s="23"/>
      <c r="AE147" s="23" t="e">
        <f>IF(#REF!=#REF!,1,0)</f>
        <v>#REF!</v>
      </c>
      <c r="AF147" s="24"/>
      <c r="AG147" s="24"/>
      <c r="AH147" s="24"/>
      <c r="AI147" s="24"/>
      <c r="AJ147" s="27"/>
      <c r="AK147" s="27"/>
      <c r="AL147" s="27"/>
      <c r="AM147" s="27"/>
      <c r="AN147" s="27"/>
      <c r="AO147" s="27"/>
      <c r="AP147" s="27"/>
      <c r="AQ147" s="27"/>
      <c r="AR147" s="27"/>
      <c r="AS147" s="27"/>
      <c r="AT147" s="27"/>
    </row>
    <row r="148" spans="2:46" s="3" customFormat="1" x14ac:dyDescent="0.25">
      <c r="B148" s="30"/>
      <c r="C148" s="31"/>
      <c r="D148" s="32"/>
      <c r="E148" s="33"/>
      <c r="F148" s="34"/>
      <c r="G148" s="34"/>
      <c r="H148" s="34"/>
      <c r="I148" s="34"/>
      <c r="J148" s="34"/>
      <c r="K148" s="34"/>
      <c r="L148" s="34"/>
      <c r="M148" s="34"/>
      <c r="N148" s="34"/>
      <c r="O148" s="38">
        <f t="shared" ref="O148:O211" si="14">SUM(F148:N148)</f>
        <v>0</v>
      </c>
      <c r="P148" s="34"/>
      <c r="Q148" s="34"/>
      <c r="R148" s="34"/>
      <c r="S148" s="34"/>
      <c r="T148" s="34"/>
      <c r="U148" s="34"/>
      <c r="V148" s="34"/>
      <c r="W148" s="34"/>
      <c r="X148" s="34"/>
      <c r="Y148" s="34"/>
      <c r="Z148" s="34"/>
      <c r="AA148" s="38">
        <f t="shared" si="12"/>
        <v>0</v>
      </c>
      <c r="AB148" s="38">
        <f t="shared" si="13"/>
        <v>0</v>
      </c>
      <c r="AC148" s="23"/>
      <c r="AD148" s="23"/>
      <c r="AE148" s="23" t="e">
        <f>IF(#REF!=#REF!,1,0)</f>
        <v>#REF!</v>
      </c>
      <c r="AF148" s="24"/>
      <c r="AG148" s="24"/>
      <c r="AH148" s="24"/>
      <c r="AI148" s="24"/>
      <c r="AJ148" s="27"/>
      <c r="AK148" s="27"/>
      <c r="AL148" s="27"/>
      <c r="AM148" s="27"/>
      <c r="AN148" s="27"/>
      <c r="AO148" s="27"/>
      <c r="AP148" s="27"/>
      <c r="AQ148" s="27"/>
      <c r="AR148" s="27"/>
      <c r="AS148" s="27"/>
      <c r="AT148" s="27"/>
    </row>
    <row r="149" spans="2:46" s="3" customFormat="1" x14ac:dyDescent="0.25">
      <c r="B149" s="30"/>
      <c r="C149" s="31"/>
      <c r="D149" s="32"/>
      <c r="E149" s="33"/>
      <c r="F149" s="34"/>
      <c r="G149" s="34"/>
      <c r="H149" s="34"/>
      <c r="I149" s="34"/>
      <c r="J149" s="34"/>
      <c r="K149" s="34"/>
      <c r="L149" s="34"/>
      <c r="M149" s="34"/>
      <c r="N149" s="34"/>
      <c r="O149" s="38">
        <f t="shared" si="14"/>
        <v>0</v>
      </c>
      <c r="P149" s="34"/>
      <c r="Q149" s="34"/>
      <c r="R149" s="34"/>
      <c r="S149" s="34"/>
      <c r="T149" s="34"/>
      <c r="U149" s="34"/>
      <c r="V149" s="34"/>
      <c r="W149" s="34"/>
      <c r="X149" s="34"/>
      <c r="Y149" s="34"/>
      <c r="Z149" s="34"/>
      <c r="AA149" s="38">
        <f t="shared" si="12"/>
        <v>0</v>
      </c>
      <c r="AB149" s="38">
        <f t="shared" si="13"/>
        <v>0</v>
      </c>
      <c r="AC149" s="23"/>
      <c r="AD149" s="23"/>
      <c r="AE149" s="23" t="e">
        <f>IF(#REF!=#REF!,1,0)</f>
        <v>#REF!</v>
      </c>
      <c r="AF149" s="24"/>
      <c r="AG149" s="24"/>
      <c r="AH149" s="24"/>
      <c r="AI149" s="24"/>
      <c r="AJ149" s="27"/>
      <c r="AK149" s="27"/>
      <c r="AL149" s="27"/>
      <c r="AM149" s="27"/>
      <c r="AN149" s="27"/>
      <c r="AO149" s="27"/>
      <c r="AP149" s="27"/>
      <c r="AQ149" s="27"/>
      <c r="AR149" s="27"/>
      <c r="AS149" s="27"/>
      <c r="AT149" s="27"/>
    </row>
    <row r="150" spans="2:46" s="3" customFormat="1" x14ac:dyDescent="0.25">
      <c r="B150" s="30"/>
      <c r="C150" s="31"/>
      <c r="D150" s="32"/>
      <c r="E150" s="33"/>
      <c r="F150" s="34"/>
      <c r="G150" s="34"/>
      <c r="H150" s="34"/>
      <c r="I150" s="34"/>
      <c r="J150" s="34"/>
      <c r="K150" s="34"/>
      <c r="L150" s="34"/>
      <c r="M150" s="34"/>
      <c r="N150" s="34"/>
      <c r="O150" s="38">
        <f t="shared" si="14"/>
        <v>0</v>
      </c>
      <c r="P150" s="34"/>
      <c r="Q150" s="34"/>
      <c r="R150" s="34"/>
      <c r="S150" s="34"/>
      <c r="T150" s="34"/>
      <c r="U150" s="34"/>
      <c r="V150" s="34"/>
      <c r="W150" s="34"/>
      <c r="X150" s="34"/>
      <c r="Y150" s="34"/>
      <c r="Z150" s="34"/>
      <c r="AA150" s="38">
        <f t="shared" si="12"/>
        <v>0</v>
      </c>
      <c r="AB150" s="38">
        <f t="shared" si="13"/>
        <v>0</v>
      </c>
      <c r="AC150" s="23"/>
      <c r="AD150" s="23"/>
      <c r="AE150" s="23" t="e">
        <f>IF(#REF!=#REF!,1,0)</f>
        <v>#REF!</v>
      </c>
      <c r="AF150" s="24"/>
      <c r="AG150" s="24"/>
      <c r="AH150" s="24"/>
      <c r="AI150" s="24"/>
      <c r="AJ150" s="27"/>
      <c r="AK150" s="27"/>
      <c r="AL150" s="27"/>
      <c r="AM150" s="27"/>
      <c r="AN150" s="27"/>
      <c r="AO150" s="27"/>
      <c r="AP150" s="27"/>
      <c r="AQ150" s="27"/>
      <c r="AR150" s="27"/>
      <c r="AS150" s="27"/>
      <c r="AT150" s="27"/>
    </row>
    <row r="151" spans="2:46" s="3" customFormat="1" x14ac:dyDescent="0.25">
      <c r="B151" s="30"/>
      <c r="C151" s="31"/>
      <c r="D151" s="32"/>
      <c r="E151" s="33"/>
      <c r="F151" s="34"/>
      <c r="G151" s="34"/>
      <c r="H151" s="34"/>
      <c r="I151" s="34"/>
      <c r="J151" s="34"/>
      <c r="K151" s="34"/>
      <c r="L151" s="34"/>
      <c r="M151" s="34"/>
      <c r="N151" s="34"/>
      <c r="O151" s="38">
        <f t="shared" si="14"/>
        <v>0</v>
      </c>
      <c r="P151" s="34"/>
      <c r="Q151" s="34"/>
      <c r="R151" s="34"/>
      <c r="S151" s="34"/>
      <c r="T151" s="34"/>
      <c r="U151" s="34"/>
      <c r="V151" s="34"/>
      <c r="W151" s="34"/>
      <c r="X151" s="34"/>
      <c r="Y151" s="34"/>
      <c r="Z151" s="34"/>
      <c r="AA151" s="38">
        <f t="shared" si="12"/>
        <v>0</v>
      </c>
      <c r="AB151" s="38">
        <f t="shared" si="13"/>
        <v>0</v>
      </c>
      <c r="AC151" s="23"/>
      <c r="AD151" s="23"/>
      <c r="AE151" s="23" t="e">
        <f>IF(#REF!=#REF!,1,0)</f>
        <v>#REF!</v>
      </c>
      <c r="AF151" s="24"/>
      <c r="AG151" s="24"/>
      <c r="AH151" s="24"/>
      <c r="AI151" s="24"/>
      <c r="AJ151" s="27"/>
      <c r="AK151" s="27"/>
      <c r="AL151" s="27"/>
      <c r="AM151" s="27"/>
      <c r="AN151" s="27"/>
      <c r="AO151" s="27"/>
      <c r="AP151" s="27"/>
      <c r="AQ151" s="27"/>
      <c r="AR151" s="27"/>
      <c r="AS151" s="27"/>
      <c r="AT151" s="27"/>
    </row>
    <row r="152" spans="2:46" s="3" customFormat="1" x14ac:dyDescent="0.25">
      <c r="B152" s="30"/>
      <c r="C152" s="31"/>
      <c r="D152" s="32"/>
      <c r="E152" s="33"/>
      <c r="F152" s="34"/>
      <c r="G152" s="34"/>
      <c r="H152" s="34"/>
      <c r="I152" s="34"/>
      <c r="J152" s="34"/>
      <c r="K152" s="34"/>
      <c r="L152" s="34"/>
      <c r="M152" s="34"/>
      <c r="N152" s="34"/>
      <c r="O152" s="38">
        <f t="shared" si="14"/>
        <v>0</v>
      </c>
      <c r="P152" s="34"/>
      <c r="Q152" s="34"/>
      <c r="R152" s="34"/>
      <c r="S152" s="34"/>
      <c r="T152" s="34"/>
      <c r="U152" s="34"/>
      <c r="V152" s="34"/>
      <c r="W152" s="34"/>
      <c r="X152" s="34"/>
      <c r="Y152" s="34"/>
      <c r="Z152" s="34"/>
      <c r="AA152" s="38">
        <f t="shared" si="12"/>
        <v>0</v>
      </c>
      <c r="AB152" s="38">
        <f t="shared" si="13"/>
        <v>0</v>
      </c>
      <c r="AC152" s="23"/>
      <c r="AD152" s="23"/>
      <c r="AE152" s="23" t="e">
        <f>IF(#REF!=#REF!,1,0)</f>
        <v>#REF!</v>
      </c>
      <c r="AF152" s="24"/>
      <c r="AG152" s="24"/>
      <c r="AH152" s="24"/>
      <c r="AI152" s="24"/>
      <c r="AJ152" s="27"/>
      <c r="AK152" s="27"/>
      <c r="AL152" s="27"/>
      <c r="AM152" s="27"/>
      <c r="AN152" s="27"/>
      <c r="AO152" s="27"/>
      <c r="AP152" s="27"/>
      <c r="AQ152" s="27"/>
      <c r="AR152" s="27"/>
      <c r="AS152" s="27"/>
      <c r="AT152" s="27"/>
    </row>
    <row r="153" spans="2:46" s="3" customFormat="1" x14ac:dyDescent="0.25">
      <c r="B153" s="30"/>
      <c r="C153" s="31"/>
      <c r="D153" s="32"/>
      <c r="E153" s="33"/>
      <c r="F153" s="34"/>
      <c r="G153" s="34"/>
      <c r="H153" s="34"/>
      <c r="I153" s="34"/>
      <c r="J153" s="34"/>
      <c r="K153" s="34"/>
      <c r="L153" s="34"/>
      <c r="M153" s="34"/>
      <c r="N153" s="34"/>
      <c r="O153" s="38">
        <f t="shared" si="14"/>
        <v>0</v>
      </c>
      <c r="P153" s="34"/>
      <c r="Q153" s="34"/>
      <c r="R153" s="34"/>
      <c r="S153" s="34"/>
      <c r="T153" s="34"/>
      <c r="U153" s="34"/>
      <c r="V153" s="34"/>
      <c r="W153" s="34"/>
      <c r="X153" s="34"/>
      <c r="Y153" s="34"/>
      <c r="Z153" s="34"/>
      <c r="AA153" s="38">
        <f t="shared" si="12"/>
        <v>0</v>
      </c>
      <c r="AB153" s="38">
        <f t="shared" si="13"/>
        <v>0</v>
      </c>
      <c r="AC153" s="23"/>
      <c r="AD153" s="23"/>
      <c r="AE153" s="23" t="e">
        <f>IF(#REF!=#REF!,1,0)</f>
        <v>#REF!</v>
      </c>
      <c r="AF153" s="24"/>
      <c r="AG153" s="24"/>
      <c r="AH153" s="24"/>
      <c r="AI153" s="24"/>
      <c r="AJ153" s="27"/>
      <c r="AK153" s="27"/>
      <c r="AL153" s="27"/>
      <c r="AM153" s="27"/>
      <c r="AN153" s="27"/>
      <c r="AO153" s="27"/>
      <c r="AP153" s="27"/>
      <c r="AQ153" s="27"/>
      <c r="AR153" s="27"/>
      <c r="AS153" s="27"/>
      <c r="AT153" s="27"/>
    </row>
    <row r="154" spans="2:46" s="3" customFormat="1" x14ac:dyDescent="0.25">
      <c r="B154" s="30"/>
      <c r="C154" s="31"/>
      <c r="D154" s="32"/>
      <c r="E154" s="33"/>
      <c r="F154" s="34"/>
      <c r="G154" s="34"/>
      <c r="H154" s="34"/>
      <c r="I154" s="34"/>
      <c r="J154" s="34"/>
      <c r="K154" s="34"/>
      <c r="L154" s="34"/>
      <c r="M154" s="34"/>
      <c r="N154" s="34"/>
      <c r="O154" s="38">
        <f t="shared" si="14"/>
        <v>0</v>
      </c>
      <c r="P154" s="34"/>
      <c r="Q154" s="34"/>
      <c r="R154" s="34"/>
      <c r="S154" s="34"/>
      <c r="T154" s="34"/>
      <c r="U154" s="34"/>
      <c r="V154" s="34"/>
      <c r="W154" s="34"/>
      <c r="X154" s="34"/>
      <c r="Y154" s="34"/>
      <c r="Z154" s="34"/>
      <c r="AA154" s="38">
        <f t="shared" si="12"/>
        <v>0</v>
      </c>
      <c r="AB154" s="38">
        <f t="shared" si="13"/>
        <v>0</v>
      </c>
      <c r="AC154" s="23"/>
      <c r="AD154" s="23"/>
      <c r="AE154" s="23" t="e">
        <f>IF(#REF!=#REF!,1,0)</f>
        <v>#REF!</v>
      </c>
      <c r="AF154" s="24"/>
      <c r="AG154" s="24"/>
      <c r="AH154" s="24"/>
      <c r="AI154" s="24"/>
      <c r="AJ154" s="27"/>
      <c r="AK154" s="27"/>
      <c r="AL154" s="27"/>
      <c r="AM154" s="27"/>
      <c r="AN154" s="27"/>
      <c r="AO154" s="27"/>
      <c r="AP154" s="27"/>
      <c r="AQ154" s="27"/>
      <c r="AR154" s="27"/>
      <c r="AS154" s="27"/>
      <c r="AT154" s="27"/>
    </row>
    <row r="155" spans="2:46" s="3" customFormat="1" x14ac:dyDescent="0.25">
      <c r="B155" s="30"/>
      <c r="C155" s="31"/>
      <c r="D155" s="32"/>
      <c r="E155" s="33"/>
      <c r="F155" s="34"/>
      <c r="G155" s="34"/>
      <c r="H155" s="34"/>
      <c r="I155" s="34"/>
      <c r="J155" s="34"/>
      <c r="K155" s="34"/>
      <c r="L155" s="34"/>
      <c r="M155" s="34"/>
      <c r="N155" s="34"/>
      <c r="O155" s="38">
        <f t="shared" si="14"/>
        <v>0</v>
      </c>
      <c r="P155" s="34"/>
      <c r="Q155" s="34"/>
      <c r="R155" s="34"/>
      <c r="S155" s="34"/>
      <c r="T155" s="34"/>
      <c r="U155" s="34"/>
      <c r="V155" s="34"/>
      <c r="W155" s="34"/>
      <c r="X155" s="34"/>
      <c r="Y155" s="34"/>
      <c r="Z155" s="34"/>
      <c r="AA155" s="38">
        <f t="shared" ref="AA155:AA218" si="15">SUM(P155:Z155)</f>
        <v>0</v>
      </c>
      <c r="AB155" s="38">
        <f t="shared" ref="AB155:AB218" si="16">O155-AA155</f>
        <v>0</v>
      </c>
      <c r="AC155" s="23"/>
      <c r="AD155" s="23"/>
      <c r="AE155" s="23" t="e">
        <f>IF(#REF!=#REF!,1,0)</f>
        <v>#REF!</v>
      </c>
      <c r="AF155" s="24"/>
      <c r="AG155" s="24"/>
      <c r="AH155" s="24"/>
      <c r="AI155" s="24"/>
      <c r="AJ155" s="27"/>
      <c r="AK155" s="27"/>
      <c r="AL155" s="27"/>
      <c r="AM155" s="27"/>
      <c r="AN155" s="27"/>
      <c r="AO155" s="27"/>
      <c r="AP155" s="27"/>
      <c r="AQ155" s="27"/>
      <c r="AR155" s="27"/>
      <c r="AS155" s="27"/>
      <c r="AT155" s="27"/>
    </row>
    <row r="156" spans="2:46" s="3" customFormat="1" x14ac:dyDescent="0.25">
      <c r="B156" s="30"/>
      <c r="C156" s="31"/>
      <c r="D156" s="32"/>
      <c r="E156" s="33"/>
      <c r="F156" s="34"/>
      <c r="G156" s="34"/>
      <c r="H156" s="34"/>
      <c r="I156" s="34"/>
      <c r="J156" s="34"/>
      <c r="K156" s="34"/>
      <c r="L156" s="34"/>
      <c r="M156" s="34"/>
      <c r="N156" s="34"/>
      <c r="O156" s="38">
        <f t="shared" si="14"/>
        <v>0</v>
      </c>
      <c r="P156" s="34"/>
      <c r="Q156" s="34"/>
      <c r="R156" s="34"/>
      <c r="S156" s="34"/>
      <c r="T156" s="34"/>
      <c r="U156" s="34"/>
      <c r="V156" s="34"/>
      <c r="W156" s="34"/>
      <c r="X156" s="34"/>
      <c r="Y156" s="34"/>
      <c r="Z156" s="34"/>
      <c r="AA156" s="38">
        <f t="shared" si="15"/>
        <v>0</v>
      </c>
      <c r="AB156" s="38">
        <f t="shared" si="16"/>
        <v>0</v>
      </c>
      <c r="AC156" s="23"/>
      <c r="AD156" s="23"/>
      <c r="AE156" s="23" t="e">
        <f>IF(#REF!=#REF!,1,0)</f>
        <v>#REF!</v>
      </c>
      <c r="AF156" s="24"/>
      <c r="AG156" s="24"/>
      <c r="AH156" s="24"/>
      <c r="AI156" s="24"/>
      <c r="AJ156" s="27"/>
      <c r="AK156" s="27"/>
      <c r="AL156" s="27"/>
      <c r="AM156" s="27"/>
      <c r="AN156" s="27"/>
      <c r="AO156" s="27"/>
      <c r="AP156" s="27"/>
      <c r="AQ156" s="27"/>
      <c r="AR156" s="27"/>
      <c r="AS156" s="27"/>
      <c r="AT156" s="27"/>
    </row>
    <row r="157" spans="2:46" s="3" customFormat="1" x14ac:dyDescent="0.25">
      <c r="B157" s="30"/>
      <c r="C157" s="31"/>
      <c r="D157" s="32"/>
      <c r="E157" s="33"/>
      <c r="F157" s="34"/>
      <c r="G157" s="34"/>
      <c r="H157" s="34"/>
      <c r="I157" s="34"/>
      <c r="J157" s="34"/>
      <c r="K157" s="34"/>
      <c r="L157" s="34"/>
      <c r="M157" s="34"/>
      <c r="N157" s="34"/>
      <c r="O157" s="38">
        <f t="shared" si="14"/>
        <v>0</v>
      </c>
      <c r="P157" s="34"/>
      <c r="Q157" s="34"/>
      <c r="R157" s="34"/>
      <c r="S157" s="34"/>
      <c r="T157" s="34"/>
      <c r="U157" s="34"/>
      <c r="V157" s="34"/>
      <c r="W157" s="34"/>
      <c r="X157" s="34"/>
      <c r="Y157" s="34"/>
      <c r="Z157" s="34"/>
      <c r="AA157" s="38">
        <f t="shared" si="15"/>
        <v>0</v>
      </c>
      <c r="AB157" s="38">
        <f t="shared" si="16"/>
        <v>0</v>
      </c>
      <c r="AC157" s="23"/>
      <c r="AD157" s="23"/>
      <c r="AE157" s="23" t="e">
        <f>IF(#REF!=#REF!,1,0)</f>
        <v>#REF!</v>
      </c>
      <c r="AF157" s="24"/>
      <c r="AG157" s="24"/>
      <c r="AH157" s="24"/>
      <c r="AI157" s="24"/>
      <c r="AJ157" s="27"/>
      <c r="AK157" s="27"/>
      <c r="AL157" s="27"/>
      <c r="AM157" s="27"/>
      <c r="AN157" s="27"/>
      <c r="AO157" s="27"/>
      <c r="AP157" s="27"/>
      <c r="AQ157" s="27"/>
      <c r="AR157" s="27"/>
      <c r="AS157" s="27"/>
      <c r="AT157" s="27"/>
    </row>
    <row r="158" spans="2:46" s="3" customFormat="1" x14ac:dyDescent="0.25">
      <c r="B158" s="30"/>
      <c r="C158" s="31"/>
      <c r="D158" s="32"/>
      <c r="E158" s="33"/>
      <c r="F158" s="34"/>
      <c r="G158" s="34"/>
      <c r="H158" s="34"/>
      <c r="I158" s="34"/>
      <c r="J158" s="34"/>
      <c r="K158" s="34"/>
      <c r="L158" s="34"/>
      <c r="M158" s="34"/>
      <c r="N158" s="34"/>
      <c r="O158" s="38">
        <f t="shared" si="14"/>
        <v>0</v>
      </c>
      <c r="P158" s="34"/>
      <c r="Q158" s="34"/>
      <c r="R158" s="34"/>
      <c r="S158" s="34"/>
      <c r="T158" s="34"/>
      <c r="U158" s="34"/>
      <c r="V158" s="34"/>
      <c r="W158" s="34"/>
      <c r="X158" s="34"/>
      <c r="Y158" s="34"/>
      <c r="Z158" s="34"/>
      <c r="AA158" s="38">
        <f t="shared" si="15"/>
        <v>0</v>
      </c>
      <c r="AB158" s="38">
        <f t="shared" si="16"/>
        <v>0</v>
      </c>
      <c r="AC158" s="23"/>
      <c r="AD158" s="23"/>
      <c r="AE158" s="23" t="e">
        <f>IF(#REF!=#REF!,1,0)</f>
        <v>#REF!</v>
      </c>
      <c r="AF158" s="24"/>
      <c r="AG158" s="24"/>
      <c r="AH158" s="24"/>
      <c r="AI158" s="24"/>
      <c r="AJ158" s="27"/>
      <c r="AK158" s="27"/>
      <c r="AL158" s="27"/>
      <c r="AM158" s="27"/>
      <c r="AN158" s="27"/>
      <c r="AO158" s="27"/>
      <c r="AP158" s="27"/>
      <c r="AQ158" s="27"/>
      <c r="AR158" s="27"/>
      <c r="AS158" s="27"/>
      <c r="AT158" s="27"/>
    </row>
    <row r="159" spans="2:46" s="3" customFormat="1" x14ac:dyDescent="0.25">
      <c r="B159" s="30"/>
      <c r="C159" s="31"/>
      <c r="D159" s="32"/>
      <c r="E159" s="33"/>
      <c r="F159" s="34"/>
      <c r="G159" s="34"/>
      <c r="H159" s="34"/>
      <c r="I159" s="34"/>
      <c r="J159" s="34"/>
      <c r="K159" s="34"/>
      <c r="L159" s="34"/>
      <c r="M159" s="34"/>
      <c r="N159" s="34"/>
      <c r="O159" s="38">
        <f t="shared" si="14"/>
        <v>0</v>
      </c>
      <c r="P159" s="34"/>
      <c r="Q159" s="34"/>
      <c r="R159" s="34"/>
      <c r="S159" s="34"/>
      <c r="T159" s="34"/>
      <c r="U159" s="34"/>
      <c r="V159" s="34"/>
      <c r="W159" s="34"/>
      <c r="X159" s="34"/>
      <c r="Y159" s="34"/>
      <c r="Z159" s="34"/>
      <c r="AA159" s="38">
        <f t="shared" si="15"/>
        <v>0</v>
      </c>
      <c r="AB159" s="38">
        <f t="shared" si="16"/>
        <v>0</v>
      </c>
      <c r="AC159" s="23"/>
      <c r="AD159" s="23"/>
      <c r="AE159" s="23" t="e">
        <f>IF(#REF!=#REF!,1,0)</f>
        <v>#REF!</v>
      </c>
      <c r="AF159" s="24"/>
      <c r="AG159" s="24"/>
      <c r="AH159" s="24"/>
      <c r="AI159" s="24"/>
      <c r="AJ159" s="27"/>
      <c r="AK159" s="27"/>
      <c r="AL159" s="27"/>
      <c r="AM159" s="27"/>
      <c r="AN159" s="27"/>
      <c r="AO159" s="27"/>
      <c r="AP159" s="27"/>
      <c r="AQ159" s="27"/>
      <c r="AR159" s="27"/>
      <c r="AS159" s="27"/>
      <c r="AT159" s="27"/>
    </row>
    <row r="160" spans="2:46" s="3" customFormat="1" x14ac:dyDescent="0.25">
      <c r="B160" s="30"/>
      <c r="C160" s="31"/>
      <c r="D160" s="32"/>
      <c r="E160" s="33"/>
      <c r="F160" s="34"/>
      <c r="G160" s="34"/>
      <c r="H160" s="34"/>
      <c r="I160" s="34"/>
      <c r="J160" s="34"/>
      <c r="K160" s="34"/>
      <c r="L160" s="34"/>
      <c r="M160" s="34"/>
      <c r="N160" s="34"/>
      <c r="O160" s="38">
        <f t="shared" si="14"/>
        <v>0</v>
      </c>
      <c r="P160" s="34"/>
      <c r="Q160" s="34"/>
      <c r="R160" s="34"/>
      <c r="S160" s="34"/>
      <c r="T160" s="34"/>
      <c r="U160" s="34"/>
      <c r="V160" s="34"/>
      <c r="W160" s="34"/>
      <c r="X160" s="34"/>
      <c r="Y160" s="34"/>
      <c r="Z160" s="34"/>
      <c r="AA160" s="38">
        <f t="shared" si="15"/>
        <v>0</v>
      </c>
      <c r="AB160" s="38">
        <f t="shared" si="16"/>
        <v>0</v>
      </c>
      <c r="AC160" s="23"/>
      <c r="AD160" s="23"/>
      <c r="AE160" s="23" t="e">
        <f>IF(#REF!=#REF!,1,0)</f>
        <v>#REF!</v>
      </c>
      <c r="AF160" s="24"/>
      <c r="AG160" s="24"/>
      <c r="AH160" s="24"/>
      <c r="AI160" s="24"/>
      <c r="AJ160" s="27"/>
      <c r="AK160" s="27"/>
      <c r="AL160" s="27"/>
      <c r="AM160" s="27"/>
      <c r="AN160" s="27"/>
      <c r="AO160" s="27"/>
      <c r="AP160" s="27"/>
      <c r="AQ160" s="27"/>
      <c r="AR160" s="27"/>
      <c r="AS160" s="27"/>
      <c r="AT160" s="27"/>
    </row>
    <row r="161" spans="2:46" s="3" customFormat="1" x14ac:dyDescent="0.25">
      <c r="B161" s="30"/>
      <c r="C161" s="31"/>
      <c r="D161" s="32"/>
      <c r="E161" s="33"/>
      <c r="F161" s="34"/>
      <c r="G161" s="34"/>
      <c r="H161" s="34"/>
      <c r="I161" s="34"/>
      <c r="J161" s="34"/>
      <c r="K161" s="34"/>
      <c r="L161" s="34"/>
      <c r="M161" s="34"/>
      <c r="N161" s="34"/>
      <c r="O161" s="38">
        <f t="shared" si="14"/>
        <v>0</v>
      </c>
      <c r="P161" s="34"/>
      <c r="Q161" s="34"/>
      <c r="R161" s="34"/>
      <c r="S161" s="34"/>
      <c r="T161" s="34"/>
      <c r="U161" s="34"/>
      <c r="V161" s="34"/>
      <c r="W161" s="34"/>
      <c r="X161" s="34"/>
      <c r="Y161" s="34"/>
      <c r="Z161" s="34"/>
      <c r="AA161" s="38">
        <f t="shared" si="15"/>
        <v>0</v>
      </c>
      <c r="AB161" s="38">
        <f t="shared" si="16"/>
        <v>0</v>
      </c>
      <c r="AC161" s="23"/>
      <c r="AD161" s="23"/>
      <c r="AE161" s="23" t="e">
        <f>IF(#REF!=#REF!,1,0)</f>
        <v>#REF!</v>
      </c>
      <c r="AF161" s="24"/>
      <c r="AG161" s="24"/>
      <c r="AH161" s="24"/>
      <c r="AI161" s="24"/>
      <c r="AJ161" s="27"/>
      <c r="AK161" s="27"/>
      <c r="AL161" s="27"/>
      <c r="AM161" s="27"/>
      <c r="AN161" s="27"/>
      <c r="AO161" s="27"/>
      <c r="AP161" s="27"/>
      <c r="AQ161" s="27"/>
      <c r="AR161" s="27"/>
      <c r="AS161" s="27"/>
      <c r="AT161" s="27"/>
    </row>
    <row r="162" spans="2:46" s="3" customFormat="1" x14ac:dyDescent="0.25">
      <c r="B162" s="30"/>
      <c r="C162" s="31"/>
      <c r="D162" s="32"/>
      <c r="E162" s="33"/>
      <c r="F162" s="34"/>
      <c r="G162" s="34"/>
      <c r="H162" s="34"/>
      <c r="I162" s="34"/>
      <c r="J162" s="34"/>
      <c r="K162" s="34"/>
      <c r="L162" s="34"/>
      <c r="M162" s="34"/>
      <c r="N162" s="34"/>
      <c r="O162" s="38">
        <f t="shared" si="14"/>
        <v>0</v>
      </c>
      <c r="P162" s="34"/>
      <c r="Q162" s="34"/>
      <c r="R162" s="34"/>
      <c r="S162" s="34"/>
      <c r="T162" s="34"/>
      <c r="U162" s="34"/>
      <c r="V162" s="34"/>
      <c r="W162" s="34"/>
      <c r="X162" s="34"/>
      <c r="Y162" s="34"/>
      <c r="Z162" s="34"/>
      <c r="AA162" s="38">
        <f t="shared" si="15"/>
        <v>0</v>
      </c>
      <c r="AB162" s="38">
        <f t="shared" si="16"/>
        <v>0</v>
      </c>
      <c r="AC162" s="23"/>
      <c r="AD162" s="23"/>
      <c r="AE162" s="23" t="e">
        <f>IF(#REF!=#REF!,1,0)</f>
        <v>#REF!</v>
      </c>
      <c r="AF162" s="24"/>
      <c r="AG162" s="24"/>
      <c r="AH162" s="24"/>
      <c r="AI162" s="24"/>
      <c r="AJ162" s="27"/>
      <c r="AK162" s="27"/>
      <c r="AL162" s="27"/>
      <c r="AM162" s="27"/>
      <c r="AN162" s="27"/>
      <c r="AO162" s="27"/>
      <c r="AP162" s="27"/>
      <c r="AQ162" s="27"/>
      <c r="AR162" s="27"/>
      <c r="AS162" s="27"/>
      <c r="AT162" s="27"/>
    </row>
    <row r="163" spans="2:46" s="3" customFormat="1" x14ac:dyDescent="0.25">
      <c r="B163" s="30"/>
      <c r="C163" s="31"/>
      <c r="D163" s="32"/>
      <c r="E163" s="33"/>
      <c r="F163" s="34"/>
      <c r="G163" s="34"/>
      <c r="H163" s="34"/>
      <c r="I163" s="34"/>
      <c r="J163" s="34"/>
      <c r="K163" s="34"/>
      <c r="L163" s="34"/>
      <c r="M163" s="34"/>
      <c r="N163" s="34"/>
      <c r="O163" s="38">
        <f t="shared" si="14"/>
        <v>0</v>
      </c>
      <c r="P163" s="34"/>
      <c r="Q163" s="34"/>
      <c r="R163" s="34"/>
      <c r="S163" s="34"/>
      <c r="T163" s="34"/>
      <c r="U163" s="34"/>
      <c r="V163" s="34"/>
      <c r="W163" s="34"/>
      <c r="X163" s="34"/>
      <c r="Y163" s="34"/>
      <c r="Z163" s="34"/>
      <c r="AA163" s="38">
        <f t="shared" si="15"/>
        <v>0</v>
      </c>
      <c r="AB163" s="38">
        <f t="shared" si="16"/>
        <v>0</v>
      </c>
      <c r="AC163" s="23"/>
      <c r="AD163" s="23"/>
      <c r="AE163" s="23" t="e">
        <f>IF(#REF!=#REF!,1,0)</f>
        <v>#REF!</v>
      </c>
      <c r="AF163" s="24"/>
      <c r="AG163" s="24"/>
      <c r="AH163" s="24"/>
      <c r="AI163" s="24"/>
      <c r="AJ163" s="27"/>
      <c r="AK163" s="27"/>
      <c r="AL163" s="27"/>
      <c r="AM163" s="27"/>
      <c r="AN163" s="27"/>
      <c r="AO163" s="27"/>
      <c r="AP163" s="27"/>
      <c r="AQ163" s="27"/>
      <c r="AR163" s="27"/>
      <c r="AS163" s="27"/>
      <c r="AT163" s="27"/>
    </row>
    <row r="164" spans="2:46" s="3" customFormat="1" x14ac:dyDescent="0.25">
      <c r="B164" s="30"/>
      <c r="C164" s="31"/>
      <c r="D164" s="32"/>
      <c r="E164" s="33"/>
      <c r="F164" s="34"/>
      <c r="G164" s="34"/>
      <c r="H164" s="34"/>
      <c r="I164" s="34"/>
      <c r="J164" s="34"/>
      <c r="K164" s="34"/>
      <c r="L164" s="34"/>
      <c r="M164" s="34"/>
      <c r="N164" s="34"/>
      <c r="O164" s="38">
        <f t="shared" si="14"/>
        <v>0</v>
      </c>
      <c r="P164" s="34"/>
      <c r="Q164" s="34"/>
      <c r="R164" s="34"/>
      <c r="S164" s="34"/>
      <c r="T164" s="34"/>
      <c r="U164" s="34"/>
      <c r="V164" s="34"/>
      <c r="W164" s="34"/>
      <c r="X164" s="34"/>
      <c r="Y164" s="34"/>
      <c r="Z164" s="34"/>
      <c r="AA164" s="38">
        <f t="shared" si="15"/>
        <v>0</v>
      </c>
      <c r="AB164" s="38">
        <f t="shared" si="16"/>
        <v>0</v>
      </c>
      <c r="AC164" s="23"/>
      <c r="AD164" s="23"/>
      <c r="AE164" s="23" t="e">
        <f>IF(#REF!=#REF!,1,0)</f>
        <v>#REF!</v>
      </c>
      <c r="AF164" s="24"/>
      <c r="AG164" s="24"/>
      <c r="AH164" s="24"/>
      <c r="AI164" s="24"/>
      <c r="AJ164" s="27"/>
      <c r="AK164" s="27"/>
      <c r="AL164" s="27"/>
      <c r="AM164" s="27"/>
      <c r="AN164" s="27"/>
      <c r="AO164" s="27"/>
      <c r="AP164" s="27"/>
      <c r="AQ164" s="27"/>
      <c r="AR164" s="27"/>
      <c r="AS164" s="27"/>
      <c r="AT164" s="27"/>
    </row>
    <row r="165" spans="2:46" s="3" customFormat="1" x14ac:dyDescent="0.25">
      <c r="B165" s="30"/>
      <c r="C165" s="31"/>
      <c r="D165" s="32"/>
      <c r="E165" s="33"/>
      <c r="F165" s="34"/>
      <c r="G165" s="34"/>
      <c r="H165" s="34"/>
      <c r="I165" s="34"/>
      <c r="J165" s="34"/>
      <c r="K165" s="34"/>
      <c r="L165" s="34"/>
      <c r="M165" s="34"/>
      <c r="N165" s="34"/>
      <c r="O165" s="38">
        <f t="shared" si="14"/>
        <v>0</v>
      </c>
      <c r="P165" s="34"/>
      <c r="Q165" s="34"/>
      <c r="R165" s="34"/>
      <c r="S165" s="34"/>
      <c r="T165" s="34"/>
      <c r="U165" s="34"/>
      <c r="V165" s="34"/>
      <c r="W165" s="34"/>
      <c r="X165" s="34"/>
      <c r="Y165" s="34"/>
      <c r="Z165" s="34"/>
      <c r="AA165" s="38">
        <f t="shared" si="15"/>
        <v>0</v>
      </c>
      <c r="AB165" s="38">
        <f t="shared" si="16"/>
        <v>0</v>
      </c>
      <c r="AC165" s="23"/>
      <c r="AD165" s="23"/>
      <c r="AE165" s="23" t="e">
        <f>IF(#REF!=#REF!,1,0)</f>
        <v>#REF!</v>
      </c>
      <c r="AF165" s="24"/>
      <c r="AG165" s="24"/>
      <c r="AH165" s="24"/>
      <c r="AI165" s="24"/>
      <c r="AJ165" s="27"/>
      <c r="AK165" s="27"/>
      <c r="AL165" s="27"/>
      <c r="AM165" s="27"/>
      <c r="AN165" s="27"/>
      <c r="AO165" s="27"/>
      <c r="AP165" s="27"/>
      <c r="AQ165" s="27"/>
      <c r="AR165" s="27"/>
      <c r="AS165" s="27"/>
      <c r="AT165" s="27"/>
    </row>
    <row r="166" spans="2:46" s="3" customFormat="1" x14ac:dyDescent="0.25">
      <c r="B166" s="30"/>
      <c r="C166" s="31"/>
      <c r="D166" s="32"/>
      <c r="E166" s="33"/>
      <c r="F166" s="34"/>
      <c r="G166" s="34"/>
      <c r="H166" s="34"/>
      <c r="I166" s="34"/>
      <c r="J166" s="34"/>
      <c r="K166" s="34"/>
      <c r="L166" s="34"/>
      <c r="M166" s="34"/>
      <c r="N166" s="34"/>
      <c r="O166" s="38">
        <f t="shared" si="14"/>
        <v>0</v>
      </c>
      <c r="P166" s="34"/>
      <c r="Q166" s="34"/>
      <c r="R166" s="34"/>
      <c r="S166" s="34"/>
      <c r="T166" s="34"/>
      <c r="U166" s="34"/>
      <c r="V166" s="34"/>
      <c r="W166" s="34"/>
      <c r="X166" s="34"/>
      <c r="Y166" s="34"/>
      <c r="Z166" s="34"/>
      <c r="AA166" s="38">
        <f t="shared" si="15"/>
        <v>0</v>
      </c>
      <c r="AB166" s="38">
        <f t="shared" si="16"/>
        <v>0</v>
      </c>
      <c r="AC166" s="23"/>
      <c r="AD166" s="23"/>
      <c r="AE166" s="23" t="e">
        <f>IF(#REF!=#REF!,1,0)</f>
        <v>#REF!</v>
      </c>
      <c r="AF166" s="24"/>
      <c r="AG166" s="24"/>
      <c r="AH166" s="24"/>
      <c r="AI166" s="24"/>
      <c r="AJ166" s="27"/>
      <c r="AK166" s="27"/>
      <c r="AL166" s="27"/>
      <c r="AM166" s="27"/>
      <c r="AN166" s="27"/>
      <c r="AO166" s="27"/>
      <c r="AP166" s="27"/>
      <c r="AQ166" s="27"/>
      <c r="AR166" s="27"/>
      <c r="AS166" s="27"/>
      <c r="AT166" s="27"/>
    </row>
    <row r="167" spans="2:46" s="3" customFormat="1" x14ac:dyDescent="0.25">
      <c r="B167" s="30"/>
      <c r="C167" s="31"/>
      <c r="D167" s="32"/>
      <c r="E167" s="33"/>
      <c r="F167" s="34"/>
      <c r="G167" s="34"/>
      <c r="H167" s="34"/>
      <c r="I167" s="34"/>
      <c r="J167" s="34"/>
      <c r="K167" s="34"/>
      <c r="L167" s="34"/>
      <c r="M167" s="34"/>
      <c r="N167" s="34"/>
      <c r="O167" s="38">
        <f t="shared" si="14"/>
        <v>0</v>
      </c>
      <c r="P167" s="34"/>
      <c r="Q167" s="34"/>
      <c r="R167" s="34"/>
      <c r="S167" s="34"/>
      <c r="T167" s="34"/>
      <c r="U167" s="34"/>
      <c r="V167" s="34"/>
      <c r="W167" s="34"/>
      <c r="X167" s="34"/>
      <c r="Y167" s="34"/>
      <c r="Z167" s="34"/>
      <c r="AA167" s="38">
        <f t="shared" si="15"/>
        <v>0</v>
      </c>
      <c r="AB167" s="38">
        <f t="shared" si="16"/>
        <v>0</v>
      </c>
      <c r="AC167" s="23"/>
      <c r="AD167" s="23"/>
      <c r="AE167" s="23" t="e">
        <f>IF(#REF!=#REF!,1,0)</f>
        <v>#REF!</v>
      </c>
      <c r="AF167" s="24"/>
      <c r="AG167" s="24"/>
      <c r="AH167" s="24"/>
      <c r="AI167" s="24"/>
      <c r="AJ167" s="27"/>
      <c r="AK167" s="27"/>
      <c r="AL167" s="27"/>
      <c r="AM167" s="27"/>
      <c r="AN167" s="27"/>
      <c r="AO167" s="27"/>
      <c r="AP167" s="27"/>
      <c r="AQ167" s="27"/>
      <c r="AR167" s="27"/>
      <c r="AS167" s="27"/>
      <c r="AT167" s="27"/>
    </row>
    <row r="168" spans="2:46" s="3" customFormat="1" x14ac:dyDescent="0.25">
      <c r="B168" s="30"/>
      <c r="C168" s="31"/>
      <c r="D168" s="32"/>
      <c r="E168" s="33"/>
      <c r="F168" s="34"/>
      <c r="G168" s="34"/>
      <c r="H168" s="34"/>
      <c r="I168" s="34"/>
      <c r="J168" s="34"/>
      <c r="K168" s="34"/>
      <c r="L168" s="34"/>
      <c r="M168" s="34"/>
      <c r="N168" s="34"/>
      <c r="O168" s="38">
        <f t="shared" si="14"/>
        <v>0</v>
      </c>
      <c r="P168" s="34"/>
      <c r="Q168" s="34"/>
      <c r="R168" s="34"/>
      <c r="S168" s="34"/>
      <c r="T168" s="34"/>
      <c r="U168" s="34"/>
      <c r="V168" s="34"/>
      <c r="W168" s="34"/>
      <c r="X168" s="34"/>
      <c r="Y168" s="34"/>
      <c r="Z168" s="34"/>
      <c r="AA168" s="38">
        <f t="shared" si="15"/>
        <v>0</v>
      </c>
      <c r="AB168" s="38">
        <f t="shared" si="16"/>
        <v>0</v>
      </c>
      <c r="AC168" s="23"/>
      <c r="AD168" s="23"/>
      <c r="AE168" s="23" t="e">
        <f>IF(#REF!=#REF!,1,0)</f>
        <v>#REF!</v>
      </c>
      <c r="AF168" s="24"/>
      <c r="AG168" s="24"/>
      <c r="AH168" s="24"/>
      <c r="AI168" s="24"/>
      <c r="AJ168" s="27"/>
      <c r="AK168" s="27"/>
      <c r="AL168" s="27"/>
      <c r="AM168" s="27"/>
      <c r="AN168" s="27"/>
      <c r="AO168" s="27"/>
      <c r="AP168" s="27"/>
      <c r="AQ168" s="27"/>
      <c r="AR168" s="27"/>
      <c r="AS168" s="27"/>
      <c r="AT168" s="27"/>
    </row>
    <row r="169" spans="2:46" s="3" customFormat="1" x14ac:dyDescent="0.25">
      <c r="B169" s="30"/>
      <c r="C169" s="31"/>
      <c r="D169" s="32"/>
      <c r="E169" s="33"/>
      <c r="F169" s="34"/>
      <c r="G169" s="34"/>
      <c r="H169" s="34"/>
      <c r="I169" s="34"/>
      <c r="J169" s="34"/>
      <c r="K169" s="34"/>
      <c r="L169" s="34"/>
      <c r="M169" s="34"/>
      <c r="N169" s="34"/>
      <c r="O169" s="38">
        <f t="shared" si="14"/>
        <v>0</v>
      </c>
      <c r="P169" s="34"/>
      <c r="Q169" s="34"/>
      <c r="R169" s="34"/>
      <c r="S169" s="34"/>
      <c r="T169" s="34"/>
      <c r="U169" s="34"/>
      <c r="V169" s="34"/>
      <c r="W169" s="34"/>
      <c r="X169" s="34"/>
      <c r="Y169" s="34"/>
      <c r="Z169" s="34"/>
      <c r="AA169" s="38">
        <f t="shared" si="15"/>
        <v>0</v>
      </c>
      <c r="AB169" s="38">
        <f t="shared" si="16"/>
        <v>0</v>
      </c>
      <c r="AC169" s="23"/>
      <c r="AD169" s="23"/>
      <c r="AE169" s="23" t="e">
        <f>IF(#REF!=#REF!,1,0)</f>
        <v>#REF!</v>
      </c>
      <c r="AF169" s="24"/>
      <c r="AG169" s="24"/>
      <c r="AH169" s="24"/>
      <c r="AI169" s="24"/>
      <c r="AJ169" s="27"/>
      <c r="AK169" s="27"/>
      <c r="AL169" s="27"/>
      <c r="AM169" s="27"/>
      <c r="AN169" s="27"/>
      <c r="AO169" s="27"/>
      <c r="AP169" s="27"/>
      <c r="AQ169" s="27"/>
      <c r="AR169" s="27"/>
      <c r="AS169" s="27"/>
      <c r="AT169" s="27"/>
    </row>
    <row r="170" spans="2:46" s="3" customFormat="1" x14ac:dyDescent="0.25">
      <c r="B170" s="30"/>
      <c r="C170" s="31"/>
      <c r="D170" s="32"/>
      <c r="E170" s="33"/>
      <c r="F170" s="34"/>
      <c r="G170" s="34"/>
      <c r="H170" s="34"/>
      <c r="I170" s="34"/>
      <c r="J170" s="34"/>
      <c r="K170" s="34"/>
      <c r="L170" s="34"/>
      <c r="M170" s="34"/>
      <c r="N170" s="34"/>
      <c r="O170" s="38">
        <f t="shared" si="14"/>
        <v>0</v>
      </c>
      <c r="P170" s="34"/>
      <c r="Q170" s="34"/>
      <c r="R170" s="34"/>
      <c r="S170" s="34"/>
      <c r="T170" s="34"/>
      <c r="U170" s="34"/>
      <c r="V170" s="34"/>
      <c r="W170" s="34"/>
      <c r="X170" s="34"/>
      <c r="Y170" s="34"/>
      <c r="Z170" s="34"/>
      <c r="AA170" s="38">
        <f t="shared" si="15"/>
        <v>0</v>
      </c>
      <c r="AB170" s="38">
        <f t="shared" si="16"/>
        <v>0</v>
      </c>
      <c r="AC170" s="23"/>
      <c r="AD170" s="23"/>
      <c r="AE170" s="23" t="e">
        <f>IF(#REF!=#REF!,1,0)</f>
        <v>#REF!</v>
      </c>
      <c r="AF170" s="24"/>
      <c r="AG170" s="24"/>
      <c r="AH170" s="24"/>
      <c r="AI170" s="24"/>
      <c r="AJ170" s="27"/>
      <c r="AK170" s="27"/>
      <c r="AL170" s="27"/>
      <c r="AM170" s="27"/>
      <c r="AN170" s="27"/>
      <c r="AO170" s="27"/>
      <c r="AP170" s="27"/>
      <c r="AQ170" s="27"/>
      <c r="AR170" s="27"/>
      <c r="AS170" s="27"/>
      <c r="AT170" s="27"/>
    </row>
    <row r="171" spans="2:46" s="3" customFormat="1" x14ac:dyDescent="0.25">
      <c r="B171" s="30"/>
      <c r="C171" s="31"/>
      <c r="D171" s="32"/>
      <c r="E171" s="33"/>
      <c r="F171" s="34"/>
      <c r="G171" s="34"/>
      <c r="H171" s="34"/>
      <c r="I171" s="34"/>
      <c r="J171" s="34"/>
      <c r="K171" s="34"/>
      <c r="L171" s="34"/>
      <c r="M171" s="34"/>
      <c r="N171" s="34"/>
      <c r="O171" s="38">
        <f t="shared" si="14"/>
        <v>0</v>
      </c>
      <c r="P171" s="34"/>
      <c r="Q171" s="34"/>
      <c r="R171" s="34"/>
      <c r="S171" s="34"/>
      <c r="T171" s="34"/>
      <c r="U171" s="34"/>
      <c r="V171" s="34"/>
      <c r="W171" s="34"/>
      <c r="X171" s="34"/>
      <c r="Y171" s="34"/>
      <c r="Z171" s="34"/>
      <c r="AA171" s="38">
        <f t="shared" si="15"/>
        <v>0</v>
      </c>
      <c r="AB171" s="38">
        <f t="shared" si="16"/>
        <v>0</v>
      </c>
      <c r="AC171" s="23"/>
      <c r="AD171" s="23"/>
      <c r="AE171" s="23" t="e">
        <f>IF(#REF!=#REF!,1,0)</f>
        <v>#REF!</v>
      </c>
      <c r="AF171" s="24"/>
      <c r="AG171" s="24"/>
      <c r="AH171" s="24"/>
      <c r="AI171" s="24"/>
      <c r="AJ171" s="27"/>
      <c r="AK171" s="27"/>
      <c r="AL171" s="27"/>
      <c r="AM171" s="27"/>
      <c r="AN171" s="27"/>
      <c r="AO171" s="27"/>
      <c r="AP171" s="27"/>
      <c r="AQ171" s="27"/>
      <c r="AR171" s="27"/>
      <c r="AS171" s="27"/>
      <c r="AT171" s="27"/>
    </row>
    <row r="172" spans="2:46" s="3" customFormat="1" x14ac:dyDescent="0.25">
      <c r="B172" s="30"/>
      <c r="C172" s="31"/>
      <c r="D172" s="32"/>
      <c r="E172" s="33"/>
      <c r="F172" s="34"/>
      <c r="G172" s="34"/>
      <c r="H172" s="34"/>
      <c r="I172" s="34"/>
      <c r="J172" s="34"/>
      <c r="K172" s="34"/>
      <c r="L172" s="34"/>
      <c r="M172" s="34"/>
      <c r="N172" s="34"/>
      <c r="O172" s="38">
        <f t="shared" si="14"/>
        <v>0</v>
      </c>
      <c r="P172" s="34"/>
      <c r="Q172" s="34"/>
      <c r="R172" s="34"/>
      <c r="S172" s="34"/>
      <c r="T172" s="34"/>
      <c r="U172" s="34"/>
      <c r="V172" s="34"/>
      <c r="W172" s="34"/>
      <c r="X172" s="34"/>
      <c r="Y172" s="34"/>
      <c r="Z172" s="34"/>
      <c r="AA172" s="38">
        <f t="shared" si="15"/>
        <v>0</v>
      </c>
      <c r="AB172" s="38">
        <f t="shared" si="16"/>
        <v>0</v>
      </c>
      <c r="AC172" s="23"/>
      <c r="AD172" s="23"/>
      <c r="AE172" s="23" t="e">
        <f>IF(#REF!=#REF!,1,0)</f>
        <v>#REF!</v>
      </c>
      <c r="AF172" s="24"/>
      <c r="AG172" s="24"/>
      <c r="AH172" s="24"/>
      <c r="AI172" s="24"/>
      <c r="AJ172" s="27"/>
      <c r="AK172" s="27"/>
      <c r="AL172" s="27"/>
      <c r="AM172" s="27"/>
      <c r="AN172" s="27"/>
      <c r="AO172" s="27"/>
      <c r="AP172" s="27"/>
      <c r="AQ172" s="27"/>
      <c r="AR172" s="27"/>
      <c r="AS172" s="27"/>
      <c r="AT172" s="27"/>
    </row>
    <row r="173" spans="2:46" s="3" customFormat="1" x14ac:dyDescent="0.25">
      <c r="B173" s="30"/>
      <c r="C173" s="31"/>
      <c r="D173" s="32"/>
      <c r="E173" s="33"/>
      <c r="F173" s="34"/>
      <c r="G173" s="34"/>
      <c r="H173" s="34"/>
      <c r="I173" s="34"/>
      <c r="J173" s="34"/>
      <c r="K173" s="34"/>
      <c r="L173" s="34"/>
      <c r="M173" s="34"/>
      <c r="N173" s="34"/>
      <c r="O173" s="38">
        <f t="shared" si="14"/>
        <v>0</v>
      </c>
      <c r="P173" s="34"/>
      <c r="Q173" s="34"/>
      <c r="R173" s="34"/>
      <c r="S173" s="34"/>
      <c r="T173" s="34"/>
      <c r="U173" s="34"/>
      <c r="V173" s="34"/>
      <c r="W173" s="34"/>
      <c r="X173" s="34"/>
      <c r="Y173" s="34"/>
      <c r="Z173" s="34"/>
      <c r="AA173" s="38">
        <f t="shared" si="15"/>
        <v>0</v>
      </c>
      <c r="AB173" s="38">
        <f t="shared" si="16"/>
        <v>0</v>
      </c>
      <c r="AC173" s="23"/>
      <c r="AD173" s="23"/>
      <c r="AE173" s="23" t="e">
        <f>IF(#REF!=#REF!,1,0)</f>
        <v>#REF!</v>
      </c>
      <c r="AF173" s="24"/>
      <c r="AG173" s="24"/>
      <c r="AH173" s="24"/>
      <c r="AI173" s="24"/>
      <c r="AJ173" s="27"/>
      <c r="AK173" s="27"/>
      <c r="AL173" s="27"/>
      <c r="AM173" s="27"/>
      <c r="AN173" s="27"/>
      <c r="AO173" s="27"/>
      <c r="AP173" s="27"/>
      <c r="AQ173" s="27"/>
      <c r="AR173" s="27"/>
      <c r="AS173" s="27"/>
      <c r="AT173" s="27"/>
    </row>
    <row r="174" spans="2:46" s="3" customFormat="1" x14ac:dyDescent="0.25">
      <c r="B174" s="30"/>
      <c r="C174" s="31"/>
      <c r="D174" s="32"/>
      <c r="E174" s="33"/>
      <c r="F174" s="34"/>
      <c r="G174" s="34"/>
      <c r="H174" s="34"/>
      <c r="I174" s="34"/>
      <c r="J174" s="34"/>
      <c r="K174" s="34"/>
      <c r="L174" s="34"/>
      <c r="M174" s="34"/>
      <c r="N174" s="34"/>
      <c r="O174" s="38">
        <f t="shared" si="14"/>
        <v>0</v>
      </c>
      <c r="P174" s="34"/>
      <c r="Q174" s="34"/>
      <c r="R174" s="34"/>
      <c r="S174" s="34"/>
      <c r="T174" s="34"/>
      <c r="U174" s="34"/>
      <c r="V174" s="34"/>
      <c r="W174" s="34"/>
      <c r="X174" s="34"/>
      <c r="Y174" s="34"/>
      <c r="Z174" s="34"/>
      <c r="AA174" s="38">
        <f t="shared" si="15"/>
        <v>0</v>
      </c>
      <c r="AB174" s="38">
        <f t="shared" si="16"/>
        <v>0</v>
      </c>
      <c r="AC174" s="23"/>
      <c r="AD174" s="23"/>
      <c r="AE174" s="23" t="e">
        <f>IF(#REF!=#REF!,1,0)</f>
        <v>#REF!</v>
      </c>
      <c r="AF174" s="24"/>
      <c r="AG174" s="24"/>
      <c r="AH174" s="24"/>
      <c r="AI174" s="24"/>
      <c r="AJ174" s="27"/>
      <c r="AK174" s="27"/>
      <c r="AL174" s="27"/>
      <c r="AM174" s="27"/>
      <c r="AN174" s="27"/>
      <c r="AO174" s="27"/>
      <c r="AP174" s="27"/>
      <c r="AQ174" s="27"/>
      <c r="AR174" s="27"/>
      <c r="AS174" s="27"/>
      <c r="AT174" s="27"/>
    </row>
    <row r="175" spans="2:46" s="3" customFormat="1" x14ac:dyDescent="0.25">
      <c r="B175" s="30"/>
      <c r="C175" s="31"/>
      <c r="D175" s="32"/>
      <c r="E175" s="33"/>
      <c r="F175" s="34"/>
      <c r="G175" s="34"/>
      <c r="H175" s="34"/>
      <c r="I175" s="34"/>
      <c r="J175" s="34"/>
      <c r="K175" s="34"/>
      <c r="L175" s="34"/>
      <c r="M175" s="34"/>
      <c r="N175" s="34"/>
      <c r="O175" s="38">
        <f t="shared" si="14"/>
        <v>0</v>
      </c>
      <c r="P175" s="34"/>
      <c r="Q175" s="34"/>
      <c r="R175" s="34"/>
      <c r="S175" s="34"/>
      <c r="T175" s="34"/>
      <c r="U175" s="34"/>
      <c r="V175" s="34"/>
      <c r="W175" s="34"/>
      <c r="X175" s="34"/>
      <c r="Y175" s="34"/>
      <c r="Z175" s="34"/>
      <c r="AA175" s="38">
        <f t="shared" si="15"/>
        <v>0</v>
      </c>
      <c r="AB175" s="38">
        <f t="shared" si="16"/>
        <v>0</v>
      </c>
      <c r="AC175" s="23"/>
      <c r="AD175" s="23"/>
      <c r="AE175" s="23" t="e">
        <f>IF(#REF!=#REF!,1,0)</f>
        <v>#REF!</v>
      </c>
      <c r="AF175" s="24"/>
      <c r="AG175" s="24"/>
      <c r="AH175" s="24"/>
      <c r="AI175" s="24"/>
      <c r="AJ175" s="27"/>
      <c r="AK175" s="27"/>
      <c r="AL175" s="27"/>
      <c r="AM175" s="27"/>
      <c r="AN175" s="27"/>
      <c r="AO175" s="27"/>
      <c r="AP175" s="27"/>
      <c r="AQ175" s="27"/>
      <c r="AR175" s="27"/>
      <c r="AS175" s="27"/>
      <c r="AT175" s="27"/>
    </row>
    <row r="176" spans="2:46" s="3" customFormat="1" x14ac:dyDescent="0.25">
      <c r="B176" s="30"/>
      <c r="C176" s="31"/>
      <c r="D176" s="32"/>
      <c r="E176" s="33"/>
      <c r="F176" s="34"/>
      <c r="G176" s="34"/>
      <c r="H176" s="34"/>
      <c r="I176" s="34"/>
      <c r="J176" s="34"/>
      <c r="K176" s="34"/>
      <c r="L176" s="34"/>
      <c r="M176" s="34"/>
      <c r="N176" s="34"/>
      <c r="O176" s="38">
        <f t="shared" si="14"/>
        <v>0</v>
      </c>
      <c r="P176" s="34"/>
      <c r="Q176" s="34"/>
      <c r="R176" s="34"/>
      <c r="S176" s="34"/>
      <c r="T176" s="34"/>
      <c r="U176" s="34"/>
      <c r="V176" s="34"/>
      <c r="W176" s="34"/>
      <c r="X176" s="34"/>
      <c r="Y176" s="34"/>
      <c r="Z176" s="34"/>
      <c r="AA176" s="38">
        <f t="shared" si="15"/>
        <v>0</v>
      </c>
      <c r="AB176" s="38">
        <f t="shared" si="16"/>
        <v>0</v>
      </c>
      <c r="AC176" s="23"/>
      <c r="AD176" s="23"/>
      <c r="AE176" s="23" t="e">
        <f>IF(#REF!=#REF!,1,0)</f>
        <v>#REF!</v>
      </c>
      <c r="AF176" s="24"/>
      <c r="AG176" s="24"/>
      <c r="AH176" s="24"/>
      <c r="AI176" s="24"/>
      <c r="AJ176" s="27"/>
      <c r="AK176" s="27"/>
      <c r="AL176" s="27"/>
      <c r="AM176" s="27"/>
      <c r="AN176" s="27"/>
      <c r="AO176" s="27"/>
      <c r="AP176" s="27"/>
      <c r="AQ176" s="27"/>
      <c r="AR176" s="27"/>
      <c r="AS176" s="27"/>
      <c r="AT176" s="27"/>
    </row>
    <row r="177" spans="2:46" s="3" customFormat="1" x14ac:dyDescent="0.25">
      <c r="B177" s="30"/>
      <c r="C177" s="31"/>
      <c r="D177" s="32"/>
      <c r="E177" s="33"/>
      <c r="F177" s="34"/>
      <c r="G177" s="34"/>
      <c r="H177" s="34"/>
      <c r="I177" s="34"/>
      <c r="J177" s="34"/>
      <c r="K177" s="34"/>
      <c r="L177" s="34"/>
      <c r="M177" s="34"/>
      <c r="N177" s="34"/>
      <c r="O177" s="38">
        <f t="shared" si="14"/>
        <v>0</v>
      </c>
      <c r="P177" s="34"/>
      <c r="Q177" s="34"/>
      <c r="R177" s="34"/>
      <c r="S177" s="34"/>
      <c r="T177" s="34"/>
      <c r="U177" s="34"/>
      <c r="V177" s="34"/>
      <c r="W177" s="34"/>
      <c r="X177" s="34"/>
      <c r="Y177" s="34"/>
      <c r="Z177" s="34"/>
      <c r="AA177" s="38">
        <f t="shared" si="15"/>
        <v>0</v>
      </c>
      <c r="AB177" s="38">
        <f t="shared" si="16"/>
        <v>0</v>
      </c>
      <c r="AC177" s="23"/>
      <c r="AD177" s="23"/>
      <c r="AE177" s="23" t="e">
        <f>IF(#REF!=#REF!,1,0)</f>
        <v>#REF!</v>
      </c>
      <c r="AF177" s="24"/>
      <c r="AG177" s="24"/>
      <c r="AH177" s="24"/>
      <c r="AI177" s="24"/>
      <c r="AJ177" s="27"/>
      <c r="AK177" s="27"/>
      <c r="AL177" s="27"/>
      <c r="AM177" s="27"/>
      <c r="AN177" s="27"/>
      <c r="AO177" s="27"/>
      <c r="AP177" s="27"/>
      <c r="AQ177" s="27"/>
      <c r="AR177" s="27"/>
      <c r="AS177" s="27"/>
      <c r="AT177" s="27"/>
    </row>
    <row r="178" spans="2:46" s="3" customFormat="1" x14ac:dyDescent="0.25">
      <c r="B178" s="30"/>
      <c r="C178" s="31"/>
      <c r="D178" s="32"/>
      <c r="E178" s="33"/>
      <c r="F178" s="34"/>
      <c r="G178" s="34"/>
      <c r="H178" s="34"/>
      <c r="I178" s="34"/>
      <c r="J178" s="34"/>
      <c r="K178" s="34"/>
      <c r="L178" s="34"/>
      <c r="M178" s="34"/>
      <c r="N178" s="34"/>
      <c r="O178" s="38">
        <f t="shared" si="14"/>
        <v>0</v>
      </c>
      <c r="P178" s="34"/>
      <c r="Q178" s="34"/>
      <c r="R178" s="34"/>
      <c r="S178" s="34"/>
      <c r="T178" s="34"/>
      <c r="U178" s="34"/>
      <c r="V178" s="34"/>
      <c r="W178" s="34"/>
      <c r="X178" s="34"/>
      <c r="Y178" s="34"/>
      <c r="Z178" s="34"/>
      <c r="AA178" s="38">
        <f t="shared" si="15"/>
        <v>0</v>
      </c>
      <c r="AB178" s="38">
        <f t="shared" si="16"/>
        <v>0</v>
      </c>
      <c r="AC178" s="23"/>
      <c r="AD178" s="23"/>
      <c r="AE178" s="23" t="e">
        <f>IF(#REF!=#REF!,1,0)</f>
        <v>#REF!</v>
      </c>
      <c r="AF178" s="24"/>
      <c r="AG178" s="24"/>
      <c r="AH178" s="24"/>
      <c r="AI178" s="24"/>
      <c r="AJ178" s="27"/>
      <c r="AK178" s="27"/>
      <c r="AL178" s="27"/>
      <c r="AM178" s="27"/>
      <c r="AN178" s="27"/>
      <c r="AO178" s="27"/>
      <c r="AP178" s="27"/>
      <c r="AQ178" s="27"/>
      <c r="AR178" s="27"/>
      <c r="AS178" s="27"/>
      <c r="AT178" s="27"/>
    </row>
    <row r="179" spans="2:46" s="3" customFormat="1" x14ac:dyDescent="0.25">
      <c r="B179" s="30"/>
      <c r="C179" s="31"/>
      <c r="D179" s="32"/>
      <c r="E179" s="33"/>
      <c r="F179" s="34"/>
      <c r="G179" s="34"/>
      <c r="H179" s="34"/>
      <c r="I179" s="34"/>
      <c r="J179" s="34"/>
      <c r="K179" s="34"/>
      <c r="L179" s="34"/>
      <c r="M179" s="34"/>
      <c r="N179" s="34"/>
      <c r="O179" s="38">
        <f t="shared" si="14"/>
        <v>0</v>
      </c>
      <c r="P179" s="34"/>
      <c r="Q179" s="34"/>
      <c r="R179" s="34"/>
      <c r="S179" s="34"/>
      <c r="T179" s="34"/>
      <c r="U179" s="34"/>
      <c r="V179" s="34"/>
      <c r="W179" s="34"/>
      <c r="X179" s="34"/>
      <c r="Y179" s="34"/>
      <c r="Z179" s="34"/>
      <c r="AA179" s="38">
        <f t="shared" si="15"/>
        <v>0</v>
      </c>
      <c r="AB179" s="38">
        <f t="shared" si="16"/>
        <v>0</v>
      </c>
      <c r="AC179" s="23"/>
      <c r="AD179" s="23"/>
      <c r="AE179" s="23" t="e">
        <f>IF(#REF!=#REF!,1,0)</f>
        <v>#REF!</v>
      </c>
      <c r="AF179" s="24"/>
      <c r="AG179" s="24"/>
      <c r="AH179" s="24"/>
      <c r="AI179" s="24"/>
      <c r="AJ179" s="27"/>
      <c r="AK179" s="27"/>
      <c r="AL179" s="27"/>
      <c r="AM179" s="27"/>
      <c r="AN179" s="27"/>
      <c r="AO179" s="27"/>
      <c r="AP179" s="27"/>
      <c r="AQ179" s="27"/>
      <c r="AR179" s="27"/>
      <c r="AS179" s="27"/>
      <c r="AT179" s="27"/>
    </row>
    <row r="180" spans="2:46" s="3" customFormat="1" x14ac:dyDescent="0.25">
      <c r="B180" s="30"/>
      <c r="C180" s="31"/>
      <c r="D180" s="32"/>
      <c r="E180" s="33"/>
      <c r="F180" s="34"/>
      <c r="G180" s="34"/>
      <c r="H180" s="34"/>
      <c r="I180" s="34"/>
      <c r="J180" s="34"/>
      <c r="K180" s="34"/>
      <c r="L180" s="34"/>
      <c r="M180" s="34"/>
      <c r="N180" s="34"/>
      <c r="O180" s="38">
        <f t="shared" si="14"/>
        <v>0</v>
      </c>
      <c r="P180" s="34"/>
      <c r="Q180" s="34"/>
      <c r="R180" s="34"/>
      <c r="S180" s="34"/>
      <c r="T180" s="34"/>
      <c r="U180" s="34"/>
      <c r="V180" s="34"/>
      <c r="W180" s="34"/>
      <c r="X180" s="34"/>
      <c r="Y180" s="34"/>
      <c r="Z180" s="34"/>
      <c r="AA180" s="38">
        <f t="shared" si="15"/>
        <v>0</v>
      </c>
      <c r="AB180" s="38">
        <f t="shared" si="16"/>
        <v>0</v>
      </c>
      <c r="AC180" s="23"/>
      <c r="AD180" s="23"/>
      <c r="AE180" s="23" t="e">
        <f>IF(#REF!=#REF!,1,0)</f>
        <v>#REF!</v>
      </c>
      <c r="AF180" s="24"/>
      <c r="AG180" s="24"/>
      <c r="AH180" s="24"/>
      <c r="AI180" s="24"/>
      <c r="AJ180" s="27"/>
      <c r="AK180" s="27"/>
      <c r="AL180" s="27"/>
      <c r="AM180" s="27"/>
      <c r="AN180" s="27"/>
      <c r="AO180" s="27"/>
      <c r="AP180" s="27"/>
      <c r="AQ180" s="27"/>
      <c r="AR180" s="27"/>
      <c r="AS180" s="27"/>
      <c r="AT180" s="27"/>
    </row>
    <row r="181" spans="2:46" s="3" customFormat="1" x14ac:dyDescent="0.25">
      <c r="B181" s="30"/>
      <c r="C181" s="31"/>
      <c r="D181" s="32"/>
      <c r="E181" s="33"/>
      <c r="F181" s="34"/>
      <c r="G181" s="34"/>
      <c r="H181" s="34"/>
      <c r="I181" s="34"/>
      <c r="J181" s="34"/>
      <c r="K181" s="34"/>
      <c r="L181" s="34"/>
      <c r="M181" s="34"/>
      <c r="N181" s="34"/>
      <c r="O181" s="38">
        <f t="shared" si="14"/>
        <v>0</v>
      </c>
      <c r="P181" s="34"/>
      <c r="Q181" s="34"/>
      <c r="R181" s="34"/>
      <c r="S181" s="34"/>
      <c r="T181" s="34"/>
      <c r="U181" s="34"/>
      <c r="V181" s="34"/>
      <c r="W181" s="34"/>
      <c r="X181" s="34"/>
      <c r="Y181" s="34"/>
      <c r="Z181" s="34"/>
      <c r="AA181" s="38">
        <f t="shared" si="15"/>
        <v>0</v>
      </c>
      <c r="AB181" s="38">
        <f t="shared" si="16"/>
        <v>0</v>
      </c>
      <c r="AC181" s="23"/>
      <c r="AD181" s="23"/>
      <c r="AE181" s="23" t="e">
        <f>IF(#REF!=#REF!,1,0)</f>
        <v>#REF!</v>
      </c>
      <c r="AF181" s="24"/>
      <c r="AG181" s="24"/>
      <c r="AH181" s="24"/>
      <c r="AI181" s="24"/>
      <c r="AJ181" s="27"/>
      <c r="AK181" s="27"/>
      <c r="AL181" s="27"/>
      <c r="AM181" s="27"/>
      <c r="AN181" s="27"/>
      <c r="AO181" s="27"/>
      <c r="AP181" s="27"/>
      <c r="AQ181" s="27"/>
      <c r="AR181" s="27"/>
      <c r="AS181" s="27"/>
      <c r="AT181" s="27"/>
    </row>
    <row r="182" spans="2:46" s="3" customFormat="1" x14ac:dyDescent="0.25">
      <c r="B182" s="30"/>
      <c r="C182" s="31"/>
      <c r="D182" s="32"/>
      <c r="E182" s="33"/>
      <c r="F182" s="34"/>
      <c r="G182" s="34"/>
      <c r="H182" s="34"/>
      <c r="I182" s="34"/>
      <c r="J182" s="34"/>
      <c r="K182" s="34"/>
      <c r="L182" s="34"/>
      <c r="M182" s="34"/>
      <c r="N182" s="34"/>
      <c r="O182" s="38">
        <f t="shared" si="14"/>
        <v>0</v>
      </c>
      <c r="P182" s="34"/>
      <c r="Q182" s="34"/>
      <c r="R182" s="34"/>
      <c r="S182" s="34"/>
      <c r="T182" s="34"/>
      <c r="U182" s="34"/>
      <c r="V182" s="34"/>
      <c r="W182" s="34"/>
      <c r="X182" s="34"/>
      <c r="Y182" s="34"/>
      <c r="Z182" s="34"/>
      <c r="AA182" s="38">
        <f t="shared" si="15"/>
        <v>0</v>
      </c>
      <c r="AB182" s="38">
        <f t="shared" si="16"/>
        <v>0</v>
      </c>
      <c r="AC182" s="23"/>
      <c r="AD182" s="23"/>
      <c r="AE182" s="23" t="e">
        <f>IF(#REF!=#REF!,1,0)</f>
        <v>#REF!</v>
      </c>
      <c r="AF182" s="24"/>
      <c r="AG182" s="24"/>
      <c r="AH182" s="24"/>
      <c r="AI182" s="24"/>
      <c r="AJ182" s="27"/>
      <c r="AK182" s="27"/>
      <c r="AL182" s="27"/>
      <c r="AM182" s="27"/>
      <c r="AN182" s="27"/>
      <c r="AO182" s="27"/>
      <c r="AP182" s="27"/>
      <c r="AQ182" s="27"/>
      <c r="AR182" s="27"/>
      <c r="AS182" s="27"/>
      <c r="AT182" s="27"/>
    </row>
    <row r="183" spans="2:46" s="3" customFormat="1" x14ac:dyDescent="0.25">
      <c r="B183" s="30"/>
      <c r="C183" s="31"/>
      <c r="D183" s="32"/>
      <c r="E183" s="33"/>
      <c r="F183" s="34"/>
      <c r="G183" s="34"/>
      <c r="H183" s="34"/>
      <c r="I183" s="34"/>
      <c r="J183" s="34"/>
      <c r="K183" s="34"/>
      <c r="L183" s="34"/>
      <c r="M183" s="34"/>
      <c r="N183" s="34"/>
      <c r="O183" s="38">
        <f t="shared" si="14"/>
        <v>0</v>
      </c>
      <c r="P183" s="34"/>
      <c r="Q183" s="34"/>
      <c r="R183" s="34"/>
      <c r="S183" s="34"/>
      <c r="T183" s="34"/>
      <c r="U183" s="34"/>
      <c r="V183" s="34"/>
      <c r="W183" s="34"/>
      <c r="X183" s="34"/>
      <c r="Y183" s="34"/>
      <c r="Z183" s="34"/>
      <c r="AA183" s="38">
        <f t="shared" si="15"/>
        <v>0</v>
      </c>
      <c r="AB183" s="38">
        <f t="shared" si="16"/>
        <v>0</v>
      </c>
      <c r="AC183" s="23"/>
      <c r="AD183" s="23"/>
      <c r="AE183" s="23" t="e">
        <f>IF(#REF!=#REF!,1,0)</f>
        <v>#REF!</v>
      </c>
      <c r="AF183" s="24"/>
      <c r="AG183" s="24"/>
      <c r="AH183" s="24"/>
      <c r="AI183" s="24"/>
      <c r="AJ183" s="27"/>
      <c r="AK183" s="27"/>
      <c r="AL183" s="27"/>
      <c r="AM183" s="27"/>
      <c r="AN183" s="27"/>
      <c r="AO183" s="27"/>
      <c r="AP183" s="27"/>
      <c r="AQ183" s="27"/>
      <c r="AR183" s="27"/>
      <c r="AS183" s="27"/>
      <c r="AT183" s="27"/>
    </row>
    <row r="184" spans="2:46" s="3" customFormat="1" x14ac:dyDescent="0.25">
      <c r="B184" s="30"/>
      <c r="C184" s="31"/>
      <c r="D184" s="32"/>
      <c r="E184" s="33"/>
      <c r="F184" s="34"/>
      <c r="G184" s="34"/>
      <c r="H184" s="34"/>
      <c r="I184" s="34"/>
      <c r="J184" s="34"/>
      <c r="K184" s="34"/>
      <c r="L184" s="34"/>
      <c r="M184" s="34"/>
      <c r="N184" s="34"/>
      <c r="O184" s="38">
        <f t="shared" si="14"/>
        <v>0</v>
      </c>
      <c r="P184" s="34"/>
      <c r="Q184" s="34"/>
      <c r="R184" s="34"/>
      <c r="S184" s="34"/>
      <c r="T184" s="34"/>
      <c r="U184" s="34"/>
      <c r="V184" s="34"/>
      <c r="W184" s="34"/>
      <c r="X184" s="34"/>
      <c r="Y184" s="34"/>
      <c r="Z184" s="34"/>
      <c r="AA184" s="38">
        <f t="shared" si="15"/>
        <v>0</v>
      </c>
      <c r="AB184" s="38">
        <f t="shared" si="16"/>
        <v>0</v>
      </c>
      <c r="AC184" s="23"/>
      <c r="AD184" s="23"/>
      <c r="AE184" s="23" t="e">
        <f>IF(#REF!=#REF!,1,0)</f>
        <v>#REF!</v>
      </c>
      <c r="AF184" s="24"/>
      <c r="AG184" s="24"/>
      <c r="AH184" s="24"/>
      <c r="AI184" s="24"/>
      <c r="AJ184" s="27"/>
      <c r="AK184" s="27"/>
      <c r="AL184" s="27"/>
      <c r="AM184" s="27"/>
      <c r="AN184" s="27"/>
      <c r="AO184" s="27"/>
      <c r="AP184" s="27"/>
      <c r="AQ184" s="27"/>
      <c r="AR184" s="27"/>
      <c r="AS184" s="27"/>
      <c r="AT184" s="27"/>
    </row>
    <row r="185" spans="2:46" s="3" customFormat="1" x14ac:dyDescent="0.25">
      <c r="B185" s="30"/>
      <c r="C185" s="31"/>
      <c r="D185" s="32"/>
      <c r="E185" s="33"/>
      <c r="F185" s="34"/>
      <c r="G185" s="34"/>
      <c r="H185" s="34"/>
      <c r="I185" s="34"/>
      <c r="J185" s="34"/>
      <c r="K185" s="34"/>
      <c r="L185" s="34"/>
      <c r="M185" s="34"/>
      <c r="N185" s="34"/>
      <c r="O185" s="38">
        <f t="shared" si="14"/>
        <v>0</v>
      </c>
      <c r="P185" s="34"/>
      <c r="Q185" s="34"/>
      <c r="R185" s="34"/>
      <c r="S185" s="34"/>
      <c r="T185" s="34"/>
      <c r="U185" s="34"/>
      <c r="V185" s="34"/>
      <c r="W185" s="34"/>
      <c r="X185" s="34"/>
      <c r="Y185" s="34"/>
      <c r="Z185" s="34"/>
      <c r="AA185" s="38">
        <f t="shared" si="15"/>
        <v>0</v>
      </c>
      <c r="AB185" s="38">
        <f t="shared" si="16"/>
        <v>0</v>
      </c>
      <c r="AC185" s="23"/>
      <c r="AD185" s="23"/>
      <c r="AE185" s="23" t="e">
        <f>IF(#REF!=#REF!,1,0)</f>
        <v>#REF!</v>
      </c>
      <c r="AF185" s="24"/>
      <c r="AG185" s="24"/>
      <c r="AH185" s="24"/>
      <c r="AI185" s="24"/>
      <c r="AJ185" s="27"/>
      <c r="AK185" s="27"/>
      <c r="AL185" s="27"/>
      <c r="AM185" s="27"/>
      <c r="AN185" s="27"/>
      <c r="AO185" s="27"/>
      <c r="AP185" s="27"/>
      <c r="AQ185" s="27"/>
      <c r="AR185" s="27"/>
      <c r="AS185" s="27"/>
      <c r="AT185" s="27"/>
    </row>
    <row r="186" spans="2:46" s="3" customFormat="1" x14ac:dyDescent="0.25">
      <c r="B186" s="30"/>
      <c r="C186" s="31"/>
      <c r="D186" s="32"/>
      <c r="E186" s="33"/>
      <c r="F186" s="34"/>
      <c r="G186" s="34"/>
      <c r="H186" s="34"/>
      <c r="I186" s="34"/>
      <c r="J186" s="34"/>
      <c r="K186" s="34"/>
      <c r="L186" s="34"/>
      <c r="M186" s="34"/>
      <c r="N186" s="34"/>
      <c r="O186" s="38">
        <f t="shared" si="14"/>
        <v>0</v>
      </c>
      <c r="P186" s="34"/>
      <c r="Q186" s="34"/>
      <c r="R186" s="34"/>
      <c r="S186" s="34"/>
      <c r="T186" s="34"/>
      <c r="U186" s="34"/>
      <c r="V186" s="34"/>
      <c r="W186" s="34"/>
      <c r="X186" s="34"/>
      <c r="Y186" s="34"/>
      <c r="Z186" s="34"/>
      <c r="AA186" s="38">
        <f t="shared" si="15"/>
        <v>0</v>
      </c>
      <c r="AB186" s="38">
        <f t="shared" si="16"/>
        <v>0</v>
      </c>
      <c r="AC186" s="23"/>
      <c r="AD186" s="23"/>
      <c r="AE186" s="23" t="e">
        <f>IF(#REF!=#REF!,1,0)</f>
        <v>#REF!</v>
      </c>
      <c r="AF186" s="24"/>
      <c r="AG186" s="24"/>
      <c r="AH186" s="24"/>
      <c r="AI186" s="24"/>
      <c r="AJ186" s="27"/>
      <c r="AK186" s="27"/>
      <c r="AL186" s="27"/>
      <c r="AM186" s="27"/>
      <c r="AN186" s="27"/>
      <c r="AO186" s="27"/>
      <c r="AP186" s="27"/>
      <c r="AQ186" s="27"/>
      <c r="AR186" s="27"/>
      <c r="AS186" s="27"/>
      <c r="AT186" s="27"/>
    </row>
    <row r="187" spans="2:46" s="3" customFormat="1" x14ac:dyDescent="0.25">
      <c r="B187" s="30"/>
      <c r="C187" s="31"/>
      <c r="D187" s="32"/>
      <c r="E187" s="33"/>
      <c r="F187" s="34"/>
      <c r="G187" s="34"/>
      <c r="H187" s="34"/>
      <c r="I187" s="34"/>
      <c r="J187" s="34"/>
      <c r="K187" s="34"/>
      <c r="L187" s="34"/>
      <c r="M187" s="34"/>
      <c r="N187" s="34"/>
      <c r="O187" s="38">
        <f t="shared" si="14"/>
        <v>0</v>
      </c>
      <c r="P187" s="34"/>
      <c r="Q187" s="34"/>
      <c r="R187" s="34"/>
      <c r="S187" s="34"/>
      <c r="T187" s="34"/>
      <c r="U187" s="34"/>
      <c r="V187" s="34"/>
      <c r="W187" s="34"/>
      <c r="X187" s="34"/>
      <c r="Y187" s="34"/>
      <c r="Z187" s="34"/>
      <c r="AA187" s="38">
        <f t="shared" si="15"/>
        <v>0</v>
      </c>
      <c r="AB187" s="38">
        <f t="shared" si="16"/>
        <v>0</v>
      </c>
      <c r="AC187" s="23"/>
      <c r="AD187" s="23"/>
      <c r="AE187" s="23" t="e">
        <f>IF(#REF!=#REF!,1,0)</f>
        <v>#REF!</v>
      </c>
      <c r="AF187" s="24"/>
      <c r="AG187" s="24"/>
      <c r="AH187" s="24"/>
      <c r="AI187" s="24"/>
      <c r="AJ187" s="27"/>
      <c r="AK187" s="27"/>
      <c r="AL187" s="27"/>
      <c r="AM187" s="27"/>
      <c r="AN187" s="27"/>
      <c r="AO187" s="27"/>
      <c r="AP187" s="27"/>
      <c r="AQ187" s="27"/>
      <c r="AR187" s="27"/>
      <c r="AS187" s="27"/>
      <c r="AT187" s="27"/>
    </row>
    <row r="188" spans="2:46" s="3" customFormat="1" x14ac:dyDescent="0.25">
      <c r="B188" s="30"/>
      <c r="C188" s="31"/>
      <c r="D188" s="32"/>
      <c r="E188" s="33"/>
      <c r="F188" s="34"/>
      <c r="G188" s="34"/>
      <c r="H188" s="34"/>
      <c r="I188" s="34"/>
      <c r="J188" s="34"/>
      <c r="K188" s="34"/>
      <c r="L188" s="34"/>
      <c r="M188" s="34"/>
      <c r="N188" s="34"/>
      <c r="O188" s="38">
        <f t="shared" si="14"/>
        <v>0</v>
      </c>
      <c r="P188" s="34"/>
      <c r="Q188" s="34"/>
      <c r="R188" s="34"/>
      <c r="S188" s="34"/>
      <c r="T188" s="34"/>
      <c r="U188" s="34"/>
      <c r="V188" s="34"/>
      <c r="W188" s="34"/>
      <c r="X188" s="34"/>
      <c r="Y188" s="34"/>
      <c r="Z188" s="34"/>
      <c r="AA188" s="38">
        <f t="shared" si="15"/>
        <v>0</v>
      </c>
      <c r="AB188" s="38">
        <f t="shared" si="16"/>
        <v>0</v>
      </c>
      <c r="AC188" s="23"/>
      <c r="AD188" s="23"/>
      <c r="AE188" s="23" t="e">
        <f>IF(#REF!=#REF!,1,0)</f>
        <v>#REF!</v>
      </c>
      <c r="AF188" s="24"/>
      <c r="AG188" s="24"/>
      <c r="AH188" s="24"/>
      <c r="AI188" s="24"/>
      <c r="AJ188" s="27"/>
      <c r="AK188" s="27"/>
      <c r="AL188" s="27"/>
      <c r="AM188" s="27"/>
      <c r="AN188" s="27"/>
      <c r="AO188" s="27"/>
      <c r="AP188" s="27"/>
      <c r="AQ188" s="27"/>
      <c r="AR188" s="27"/>
      <c r="AS188" s="27"/>
      <c r="AT188" s="27"/>
    </row>
    <row r="189" spans="2:46" s="3" customFormat="1" x14ac:dyDescent="0.25">
      <c r="B189" s="30"/>
      <c r="C189" s="31"/>
      <c r="D189" s="32"/>
      <c r="E189" s="33"/>
      <c r="F189" s="34"/>
      <c r="G189" s="34"/>
      <c r="H189" s="34"/>
      <c r="I189" s="34"/>
      <c r="J189" s="34"/>
      <c r="K189" s="34"/>
      <c r="L189" s="34"/>
      <c r="M189" s="34"/>
      <c r="N189" s="34"/>
      <c r="O189" s="38">
        <f t="shared" si="14"/>
        <v>0</v>
      </c>
      <c r="P189" s="34"/>
      <c r="Q189" s="34"/>
      <c r="R189" s="34"/>
      <c r="S189" s="34"/>
      <c r="T189" s="34"/>
      <c r="U189" s="34"/>
      <c r="V189" s="34"/>
      <c r="W189" s="34"/>
      <c r="X189" s="34"/>
      <c r="Y189" s="34"/>
      <c r="Z189" s="34"/>
      <c r="AA189" s="38">
        <f t="shared" si="15"/>
        <v>0</v>
      </c>
      <c r="AB189" s="38">
        <f t="shared" si="16"/>
        <v>0</v>
      </c>
      <c r="AC189" s="23"/>
      <c r="AD189" s="23"/>
      <c r="AE189" s="23" t="e">
        <f>IF(#REF!=#REF!,1,0)</f>
        <v>#REF!</v>
      </c>
      <c r="AF189" s="24"/>
      <c r="AG189" s="24"/>
      <c r="AH189" s="24"/>
      <c r="AI189" s="24"/>
      <c r="AJ189" s="27"/>
      <c r="AK189" s="27"/>
      <c r="AL189" s="27"/>
      <c r="AM189" s="27"/>
      <c r="AN189" s="27"/>
      <c r="AO189" s="27"/>
      <c r="AP189" s="27"/>
      <c r="AQ189" s="27"/>
      <c r="AR189" s="27"/>
      <c r="AS189" s="27"/>
      <c r="AT189" s="27"/>
    </row>
    <row r="190" spans="2:46" s="3" customFormat="1" x14ac:dyDescent="0.25">
      <c r="B190" s="30"/>
      <c r="C190" s="31"/>
      <c r="D190" s="32"/>
      <c r="E190" s="33"/>
      <c r="F190" s="34"/>
      <c r="G190" s="34"/>
      <c r="H190" s="34"/>
      <c r="I190" s="34"/>
      <c r="J190" s="34"/>
      <c r="K190" s="34"/>
      <c r="L190" s="34"/>
      <c r="M190" s="34"/>
      <c r="N190" s="34"/>
      <c r="O190" s="38">
        <f t="shared" si="14"/>
        <v>0</v>
      </c>
      <c r="P190" s="34"/>
      <c r="Q190" s="34"/>
      <c r="R190" s="34"/>
      <c r="S190" s="34"/>
      <c r="T190" s="34"/>
      <c r="U190" s="34"/>
      <c r="V190" s="34"/>
      <c r="W190" s="34"/>
      <c r="X190" s="34"/>
      <c r="Y190" s="34"/>
      <c r="Z190" s="34"/>
      <c r="AA190" s="38">
        <f t="shared" si="15"/>
        <v>0</v>
      </c>
      <c r="AB190" s="38">
        <f t="shared" si="16"/>
        <v>0</v>
      </c>
      <c r="AC190" s="23"/>
      <c r="AD190" s="23"/>
      <c r="AE190" s="23" t="e">
        <f>IF(#REF!=#REF!,1,0)</f>
        <v>#REF!</v>
      </c>
      <c r="AF190" s="24"/>
      <c r="AG190" s="24"/>
      <c r="AH190" s="24"/>
      <c r="AI190" s="24"/>
      <c r="AJ190" s="27"/>
      <c r="AK190" s="27"/>
      <c r="AL190" s="27"/>
      <c r="AM190" s="27"/>
      <c r="AN190" s="27"/>
      <c r="AO190" s="27"/>
      <c r="AP190" s="27"/>
      <c r="AQ190" s="27"/>
      <c r="AR190" s="27"/>
      <c r="AS190" s="27"/>
      <c r="AT190" s="27"/>
    </row>
    <row r="191" spans="2:46" s="3" customFormat="1" x14ac:dyDescent="0.25">
      <c r="B191" s="30"/>
      <c r="C191" s="31"/>
      <c r="D191" s="32"/>
      <c r="E191" s="33"/>
      <c r="F191" s="34"/>
      <c r="G191" s="34"/>
      <c r="H191" s="34"/>
      <c r="I191" s="34"/>
      <c r="J191" s="34"/>
      <c r="K191" s="34"/>
      <c r="L191" s="34"/>
      <c r="M191" s="34"/>
      <c r="N191" s="34"/>
      <c r="O191" s="38">
        <f t="shared" si="14"/>
        <v>0</v>
      </c>
      <c r="P191" s="34"/>
      <c r="Q191" s="34"/>
      <c r="R191" s="34"/>
      <c r="S191" s="34"/>
      <c r="T191" s="34"/>
      <c r="U191" s="34"/>
      <c r="V191" s="34"/>
      <c r="W191" s="34"/>
      <c r="X191" s="34"/>
      <c r="Y191" s="34"/>
      <c r="Z191" s="34"/>
      <c r="AA191" s="38">
        <f t="shared" si="15"/>
        <v>0</v>
      </c>
      <c r="AB191" s="38">
        <f t="shared" si="16"/>
        <v>0</v>
      </c>
      <c r="AC191" s="23"/>
      <c r="AD191" s="23"/>
      <c r="AE191" s="23" t="e">
        <f>IF(#REF!=#REF!,1,0)</f>
        <v>#REF!</v>
      </c>
      <c r="AF191" s="24"/>
      <c r="AG191" s="24"/>
      <c r="AH191" s="24"/>
      <c r="AI191" s="24"/>
      <c r="AJ191" s="27"/>
      <c r="AK191" s="27"/>
      <c r="AL191" s="27"/>
      <c r="AM191" s="27"/>
      <c r="AN191" s="27"/>
      <c r="AO191" s="27"/>
      <c r="AP191" s="27"/>
      <c r="AQ191" s="27"/>
      <c r="AR191" s="27"/>
      <c r="AS191" s="27"/>
      <c r="AT191" s="27"/>
    </row>
    <row r="192" spans="2:46" s="3" customFormat="1" x14ac:dyDescent="0.25">
      <c r="B192" s="30"/>
      <c r="C192" s="31"/>
      <c r="D192" s="32"/>
      <c r="E192" s="33"/>
      <c r="F192" s="34"/>
      <c r="G192" s="34"/>
      <c r="H192" s="34"/>
      <c r="I192" s="34"/>
      <c r="J192" s="34"/>
      <c r="K192" s="34"/>
      <c r="L192" s="34"/>
      <c r="M192" s="34"/>
      <c r="N192" s="34"/>
      <c r="O192" s="38">
        <f t="shared" si="14"/>
        <v>0</v>
      </c>
      <c r="P192" s="34"/>
      <c r="Q192" s="34"/>
      <c r="R192" s="34"/>
      <c r="S192" s="34"/>
      <c r="T192" s="34"/>
      <c r="U192" s="34"/>
      <c r="V192" s="34"/>
      <c r="W192" s="34"/>
      <c r="X192" s="34"/>
      <c r="Y192" s="34"/>
      <c r="Z192" s="34"/>
      <c r="AA192" s="38">
        <f t="shared" si="15"/>
        <v>0</v>
      </c>
      <c r="AB192" s="38">
        <f t="shared" si="16"/>
        <v>0</v>
      </c>
      <c r="AC192" s="23"/>
      <c r="AD192" s="23"/>
      <c r="AE192" s="23" t="e">
        <f>IF(#REF!=#REF!,1,0)</f>
        <v>#REF!</v>
      </c>
      <c r="AF192" s="24"/>
      <c r="AG192" s="24"/>
      <c r="AH192" s="24"/>
      <c r="AI192" s="24"/>
      <c r="AJ192" s="27"/>
      <c r="AK192" s="27"/>
      <c r="AL192" s="27"/>
      <c r="AM192" s="27"/>
      <c r="AN192" s="27"/>
      <c r="AO192" s="27"/>
      <c r="AP192" s="27"/>
      <c r="AQ192" s="27"/>
      <c r="AR192" s="27"/>
      <c r="AS192" s="27"/>
      <c r="AT192" s="27"/>
    </row>
    <row r="193" spans="2:46" s="3" customFormat="1" x14ac:dyDescent="0.25">
      <c r="B193" s="30"/>
      <c r="C193" s="31"/>
      <c r="D193" s="32"/>
      <c r="E193" s="33"/>
      <c r="F193" s="34"/>
      <c r="G193" s="34"/>
      <c r="H193" s="34"/>
      <c r="I193" s="34"/>
      <c r="J193" s="34"/>
      <c r="K193" s="34"/>
      <c r="L193" s="34"/>
      <c r="M193" s="34"/>
      <c r="N193" s="34"/>
      <c r="O193" s="38">
        <f t="shared" si="14"/>
        <v>0</v>
      </c>
      <c r="P193" s="34"/>
      <c r="Q193" s="34"/>
      <c r="R193" s="34"/>
      <c r="S193" s="34"/>
      <c r="T193" s="34"/>
      <c r="U193" s="34"/>
      <c r="V193" s="34"/>
      <c r="W193" s="34"/>
      <c r="X193" s="34"/>
      <c r="Y193" s="34"/>
      <c r="Z193" s="34"/>
      <c r="AA193" s="38">
        <f t="shared" si="15"/>
        <v>0</v>
      </c>
      <c r="AB193" s="38">
        <f t="shared" si="16"/>
        <v>0</v>
      </c>
      <c r="AC193" s="23"/>
      <c r="AD193" s="23"/>
      <c r="AE193" s="23" t="e">
        <f>IF(#REF!=#REF!,1,0)</f>
        <v>#REF!</v>
      </c>
      <c r="AF193" s="24"/>
      <c r="AG193" s="24"/>
      <c r="AH193" s="24"/>
      <c r="AI193" s="24"/>
      <c r="AJ193" s="27"/>
      <c r="AK193" s="27"/>
      <c r="AL193" s="27"/>
      <c r="AM193" s="27"/>
      <c r="AN193" s="27"/>
      <c r="AO193" s="27"/>
      <c r="AP193" s="27"/>
      <c r="AQ193" s="27"/>
      <c r="AR193" s="27"/>
      <c r="AS193" s="27"/>
      <c r="AT193" s="27"/>
    </row>
    <row r="194" spans="2:46" s="3" customFormat="1" x14ac:dyDescent="0.25">
      <c r="B194" s="30"/>
      <c r="C194" s="31"/>
      <c r="D194" s="32"/>
      <c r="E194" s="33"/>
      <c r="F194" s="34"/>
      <c r="G194" s="34"/>
      <c r="H194" s="34"/>
      <c r="I194" s="34"/>
      <c r="J194" s="34"/>
      <c r="K194" s="34"/>
      <c r="L194" s="34"/>
      <c r="M194" s="34"/>
      <c r="N194" s="34"/>
      <c r="O194" s="38">
        <f t="shared" si="14"/>
        <v>0</v>
      </c>
      <c r="P194" s="34"/>
      <c r="Q194" s="34"/>
      <c r="R194" s="34"/>
      <c r="S194" s="34"/>
      <c r="T194" s="34"/>
      <c r="U194" s="34"/>
      <c r="V194" s="34"/>
      <c r="W194" s="34"/>
      <c r="X194" s="34"/>
      <c r="Y194" s="34"/>
      <c r="Z194" s="34"/>
      <c r="AA194" s="38">
        <f t="shared" si="15"/>
        <v>0</v>
      </c>
      <c r="AB194" s="38">
        <f t="shared" si="16"/>
        <v>0</v>
      </c>
      <c r="AC194" s="23"/>
      <c r="AD194" s="23"/>
      <c r="AE194" s="23" t="e">
        <f>IF(#REF!=#REF!,1,0)</f>
        <v>#REF!</v>
      </c>
      <c r="AF194" s="24"/>
      <c r="AG194" s="24"/>
      <c r="AH194" s="24"/>
      <c r="AI194" s="24"/>
      <c r="AJ194" s="27"/>
      <c r="AK194" s="27"/>
      <c r="AL194" s="27"/>
      <c r="AM194" s="27"/>
      <c r="AN194" s="27"/>
      <c r="AO194" s="27"/>
      <c r="AP194" s="27"/>
      <c r="AQ194" s="27"/>
      <c r="AR194" s="27"/>
      <c r="AS194" s="27"/>
      <c r="AT194" s="27"/>
    </row>
    <row r="195" spans="2:46" s="3" customFormat="1" x14ac:dyDescent="0.25">
      <c r="B195" s="30"/>
      <c r="C195" s="31"/>
      <c r="D195" s="32"/>
      <c r="E195" s="33"/>
      <c r="F195" s="34"/>
      <c r="G195" s="34"/>
      <c r="H195" s="34"/>
      <c r="I195" s="34"/>
      <c r="J195" s="34"/>
      <c r="K195" s="34"/>
      <c r="L195" s="34"/>
      <c r="M195" s="34"/>
      <c r="N195" s="34"/>
      <c r="O195" s="38">
        <f t="shared" si="14"/>
        <v>0</v>
      </c>
      <c r="P195" s="34"/>
      <c r="Q195" s="34"/>
      <c r="R195" s="34"/>
      <c r="S195" s="34"/>
      <c r="T195" s="34"/>
      <c r="U195" s="34"/>
      <c r="V195" s="34"/>
      <c r="W195" s="34"/>
      <c r="X195" s="34"/>
      <c r="Y195" s="34"/>
      <c r="Z195" s="34"/>
      <c r="AA195" s="38">
        <f t="shared" si="15"/>
        <v>0</v>
      </c>
      <c r="AB195" s="38">
        <f t="shared" si="16"/>
        <v>0</v>
      </c>
      <c r="AC195" s="23"/>
      <c r="AD195" s="23"/>
      <c r="AE195" s="23" t="e">
        <f>IF(#REF!=#REF!,1,0)</f>
        <v>#REF!</v>
      </c>
      <c r="AF195" s="24"/>
      <c r="AG195" s="24"/>
      <c r="AH195" s="24"/>
      <c r="AI195" s="24"/>
      <c r="AJ195" s="27"/>
      <c r="AK195" s="27"/>
      <c r="AL195" s="27"/>
      <c r="AM195" s="27"/>
      <c r="AN195" s="27"/>
      <c r="AO195" s="27"/>
      <c r="AP195" s="27"/>
      <c r="AQ195" s="27"/>
      <c r="AR195" s="27"/>
      <c r="AS195" s="27"/>
      <c r="AT195" s="27"/>
    </row>
    <row r="196" spans="2:46" s="3" customFormat="1" x14ac:dyDescent="0.25">
      <c r="B196" s="30"/>
      <c r="C196" s="31"/>
      <c r="D196" s="32"/>
      <c r="E196" s="33"/>
      <c r="F196" s="34"/>
      <c r="G196" s="34"/>
      <c r="H196" s="34"/>
      <c r="I196" s="34"/>
      <c r="J196" s="34"/>
      <c r="K196" s="34"/>
      <c r="L196" s="34"/>
      <c r="M196" s="34"/>
      <c r="N196" s="34"/>
      <c r="O196" s="38">
        <f t="shared" si="14"/>
        <v>0</v>
      </c>
      <c r="P196" s="34"/>
      <c r="Q196" s="34"/>
      <c r="R196" s="34"/>
      <c r="S196" s="34"/>
      <c r="T196" s="34"/>
      <c r="U196" s="34"/>
      <c r="V196" s="34"/>
      <c r="W196" s="34"/>
      <c r="X196" s="34"/>
      <c r="Y196" s="34"/>
      <c r="Z196" s="34"/>
      <c r="AA196" s="38">
        <f t="shared" si="15"/>
        <v>0</v>
      </c>
      <c r="AB196" s="38">
        <f t="shared" si="16"/>
        <v>0</v>
      </c>
      <c r="AC196" s="23"/>
      <c r="AD196" s="23"/>
      <c r="AE196" s="23" t="e">
        <f>IF(#REF!=#REF!,1,0)</f>
        <v>#REF!</v>
      </c>
      <c r="AF196" s="24"/>
      <c r="AG196" s="24"/>
      <c r="AH196" s="24"/>
      <c r="AI196" s="24"/>
      <c r="AJ196" s="27"/>
      <c r="AK196" s="27"/>
      <c r="AL196" s="27"/>
      <c r="AM196" s="27"/>
      <c r="AN196" s="27"/>
      <c r="AO196" s="27"/>
      <c r="AP196" s="27"/>
      <c r="AQ196" s="27"/>
      <c r="AR196" s="27"/>
      <c r="AS196" s="27"/>
      <c r="AT196" s="27"/>
    </row>
    <row r="197" spans="2:46" s="3" customFormat="1" x14ac:dyDescent="0.25">
      <c r="B197" s="30"/>
      <c r="C197" s="31"/>
      <c r="D197" s="32"/>
      <c r="E197" s="33"/>
      <c r="F197" s="34"/>
      <c r="G197" s="34"/>
      <c r="H197" s="34"/>
      <c r="I197" s="34"/>
      <c r="J197" s="34"/>
      <c r="K197" s="34"/>
      <c r="L197" s="34"/>
      <c r="M197" s="34"/>
      <c r="N197" s="34"/>
      <c r="O197" s="38">
        <f t="shared" si="14"/>
        <v>0</v>
      </c>
      <c r="P197" s="34"/>
      <c r="Q197" s="34"/>
      <c r="R197" s="34"/>
      <c r="S197" s="34"/>
      <c r="T197" s="34"/>
      <c r="U197" s="34"/>
      <c r="V197" s="34"/>
      <c r="W197" s="34"/>
      <c r="X197" s="34"/>
      <c r="Y197" s="34"/>
      <c r="Z197" s="34"/>
      <c r="AA197" s="38">
        <f t="shared" si="15"/>
        <v>0</v>
      </c>
      <c r="AB197" s="38">
        <f t="shared" si="16"/>
        <v>0</v>
      </c>
      <c r="AC197" s="23"/>
      <c r="AD197" s="23"/>
      <c r="AE197" s="23" t="e">
        <f>IF(#REF!=#REF!,1,0)</f>
        <v>#REF!</v>
      </c>
      <c r="AF197" s="24"/>
      <c r="AG197" s="24"/>
      <c r="AH197" s="24"/>
      <c r="AI197" s="24"/>
      <c r="AJ197" s="27"/>
      <c r="AK197" s="27"/>
      <c r="AL197" s="27"/>
      <c r="AM197" s="27"/>
      <c r="AN197" s="27"/>
      <c r="AO197" s="27"/>
      <c r="AP197" s="27"/>
      <c r="AQ197" s="27"/>
      <c r="AR197" s="27"/>
      <c r="AS197" s="27"/>
      <c r="AT197" s="27"/>
    </row>
    <row r="198" spans="2:46" s="3" customFormat="1" x14ac:dyDescent="0.25">
      <c r="B198" s="30"/>
      <c r="C198" s="31"/>
      <c r="D198" s="32"/>
      <c r="E198" s="33"/>
      <c r="F198" s="34"/>
      <c r="G198" s="34"/>
      <c r="H198" s="34"/>
      <c r="I198" s="34"/>
      <c r="J198" s="34"/>
      <c r="K198" s="34"/>
      <c r="L198" s="34"/>
      <c r="M198" s="34"/>
      <c r="N198" s="34"/>
      <c r="O198" s="38">
        <f t="shared" si="14"/>
        <v>0</v>
      </c>
      <c r="P198" s="34"/>
      <c r="Q198" s="34"/>
      <c r="R198" s="34"/>
      <c r="S198" s="34"/>
      <c r="T198" s="34"/>
      <c r="U198" s="34"/>
      <c r="V198" s="34"/>
      <c r="W198" s="34"/>
      <c r="X198" s="34"/>
      <c r="Y198" s="34"/>
      <c r="Z198" s="34"/>
      <c r="AA198" s="38">
        <f t="shared" si="15"/>
        <v>0</v>
      </c>
      <c r="AB198" s="38">
        <f t="shared" si="16"/>
        <v>0</v>
      </c>
      <c r="AC198" s="23"/>
      <c r="AD198" s="23"/>
      <c r="AE198" s="23" t="e">
        <f>IF(#REF!=#REF!,1,0)</f>
        <v>#REF!</v>
      </c>
      <c r="AF198" s="24"/>
      <c r="AG198" s="24"/>
      <c r="AH198" s="24"/>
      <c r="AI198" s="24"/>
      <c r="AJ198" s="27"/>
      <c r="AK198" s="27"/>
      <c r="AL198" s="27"/>
      <c r="AM198" s="27"/>
      <c r="AN198" s="27"/>
      <c r="AO198" s="27"/>
      <c r="AP198" s="27"/>
      <c r="AQ198" s="27"/>
      <c r="AR198" s="27"/>
      <c r="AS198" s="27"/>
      <c r="AT198" s="27"/>
    </row>
    <row r="199" spans="2:46" s="3" customFormat="1" x14ac:dyDescent="0.25">
      <c r="B199" s="30"/>
      <c r="C199" s="31"/>
      <c r="D199" s="32"/>
      <c r="E199" s="33"/>
      <c r="F199" s="34"/>
      <c r="G199" s="34"/>
      <c r="H199" s="34"/>
      <c r="I199" s="34"/>
      <c r="J199" s="34"/>
      <c r="K199" s="34"/>
      <c r="L199" s="34"/>
      <c r="M199" s="34"/>
      <c r="N199" s="34"/>
      <c r="O199" s="38">
        <f t="shared" si="14"/>
        <v>0</v>
      </c>
      <c r="P199" s="34"/>
      <c r="Q199" s="34"/>
      <c r="R199" s="34"/>
      <c r="S199" s="34"/>
      <c r="T199" s="34"/>
      <c r="U199" s="34"/>
      <c r="V199" s="34"/>
      <c r="W199" s="34"/>
      <c r="X199" s="34"/>
      <c r="Y199" s="34"/>
      <c r="Z199" s="34"/>
      <c r="AA199" s="38">
        <f t="shared" si="15"/>
        <v>0</v>
      </c>
      <c r="AB199" s="38">
        <f t="shared" si="16"/>
        <v>0</v>
      </c>
      <c r="AC199" s="23"/>
      <c r="AD199" s="23"/>
      <c r="AE199" s="23" t="e">
        <f>IF(#REF!=#REF!,1,0)</f>
        <v>#REF!</v>
      </c>
      <c r="AF199" s="24"/>
      <c r="AG199" s="24"/>
      <c r="AH199" s="24"/>
      <c r="AI199" s="24"/>
      <c r="AJ199" s="27"/>
      <c r="AK199" s="27"/>
      <c r="AL199" s="27"/>
      <c r="AM199" s="27"/>
      <c r="AN199" s="27"/>
      <c r="AO199" s="27"/>
      <c r="AP199" s="27"/>
      <c r="AQ199" s="27"/>
      <c r="AR199" s="27"/>
      <c r="AS199" s="27"/>
      <c r="AT199" s="27"/>
    </row>
    <row r="200" spans="2:46" s="3" customFormat="1" x14ac:dyDescent="0.25">
      <c r="B200" s="30"/>
      <c r="C200" s="31"/>
      <c r="D200" s="32"/>
      <c r="E200" s="33"/>
      <c r="F200" s="34"/>
      <c r="G200" s="34"/>
      <c r="H200" s="34"/>
      <c r="I200" s="34"/>
      <c r="J200" s="34"/>
      <c r="K200" s="34"/>
      <c r="L200" s="34"/>
      <c r="M200" s="34"/>
      <c r="N200" s="34"/>
      <c r="O200" s="38">
        <f t="shared" si="14"/>
        <v>0</v>
      </c>
      <c r="P200" s="34"/>
      <c r="Q200" s="34"/>
      <c r="R200" s="34"/>
      <c r="S200" s="34"/>
      <c r="T200" s="34"/>
      <c r="U200" s="34"/>
      <c r="V200" s="34"/>
      <c r="W200" s="34"/>
      <c r="X200" s="34"/>
      <c r="Y200" s="34"/>
      <c r="Z200" s="34"/>
      <c r="AA200" s="38">
        <f t="shared" si="15"/>
        <v>0</v>
      </c>
      <c r="AB200" s="38">
        <f t="shared" si="16"/>
        <v>0</v>
      </c>
      <c r="AC200" s="23"/>
      <c r="AD200" s="23"/>
      <c r="AE200" s="23" t="e">
        <f>IF(#REF!=#REF!,1,0)</f>
        <v>#REF!</v>
      </c>
      <c r="AF200" s="24"/>
      <c r="AG200" s="24"/>
      <c r="AH200" s="24"/>
      <c r="AI200" s="24"/>
      <c r="AJ200" s="27"/>
      <c r="AK200" s="27"/>
      <c r="AL200" s="27"/>
      <c r="AM200" s="27"/>
      <c r="AN200" s="27"/>
      <c r="AO200" s="27"/>
      <c r="AP200" s="27"/>
      <c r="AQ200" s="27"/>
      <c r="AR200" s="27"/>
      <c r="AS200" s="27"/>
      <c r="AT200" s="27"/>
    </row>
    <row r="201" spans="2:46" s="3" customFormat="1" x14ac:dyDescent="0.25">
      <c r="B201" s="30"/>
      <c r="C201" s="31"/>
      <c r="D201" s="32"/>
      <c r="E201" s="33"/>
      <c r="F201" s="34"/>
      <c r="G201" s="34"/>
      <c r="H201" s="34"/>
      <c r="I201" s="34"/>
      <c r="J201" s="34"/>
      <c r="K201" s="34"/>
      <c r="L201" s="34"/>
      <c r="M201" s="34"/>
      <c r="N201" s="34"/>
      <c r="O201" s="38">
        <f t="shared" si="14"/>
        <v>0</v>
      </c>
      <c r="P201" s="34"/>
      <c r="Q201" s="34"/>
      <c r="R201" s="34"/>
      <c r="S201" s="34"/>
      <c r="T201" s="34"/>
      <c r="U201" s="34"/>
      <c r="V201" s="34"/>
      <c r="W201" s="34"/>
      <c r="X201" s="34"/>
      <c r="Y201" s="34"/>
      <c r="Z201" s="34"/>
      <c r="AA201" s="38">
        <f t="shared" si="15"/>
        <v>0</v>
      </c>
      <c r="AB201" s="38">
        <f t="shared" si="16"/>
        <v>0</v>
      </c>
      <c r="AC201" s="23"/>
      <c r="AD201" s="23"/>
      <c r="AE201" s="23" t="e">
        <f>IF(#REF!=#REF!,1,0)</f>
        <v>#REF!</v>
      </c>
      <c r="AF201" s="24"/>
      <c r="AG201" s="24"/>
      <c r="AH201" s="24"/>
      <c r="AI201" s="24"/>
      <c r="AJ201" s="27"/>
      <c r="AK201" s="27"/>
      <c r="AL201" s="27"/>
      <c r="AM201" s="27"/>
      <c r="AN201" s="27"/>
      <c r="AO201" s="27"/>
      <c r="AP201" s="27"/>
      <c r="AQ201" s="27"/>
      <c r="AR201" s="27"/>
      <c r="AS201" s="27"/>
      <c r="AT201" s="27"/>
    </row>
    <row r="202" spans="2:46" s="3" customFormat="1" x14ac:dyDescent="0.25">
      <c r="B202" s="30"/>
      <c r="C202" s="31"/>
      <c r="D202" s="32"/>
      <c r="E202" s="33"/>
      <c r="F202" s="34"/>
      <c r="G202" s="34"/>
      <c r="H202" s="34"/>
      <c r="I202" s="34"/>
      <c r="J202" s="34"/>
      <c r="K202" s="34"/>
      <c r="L202" s="34"/>
      <c r="M202" s="34"/>
      <c r="N202" s="34"/>
      <c r="O202" s="38">
        <f t="shared" si="14"/>
        <v>0</v>
      </c>
      <c r="P202" s="34"/>
      <c r="Q202" s="34"/>
      <c r="R202" s="34"/>
      <c r="S202" s="34"/>
      <c r="T202" s="34"/>
      <c r="U202" s="34"/>
      <c r="V202" s="34"/>
      <c r="W202" s="34"/>
      <c r="X202" s="34"/>
      <c r="Y202" s="34"/>
      <c r="Z202" s="34"/>
      <c r="AA202" s="38">
        <f t="shared" si="15"/>
        <v>0</v>
      </c>
      <c r="AB202" s="38">
        <f t="shared" si="16"/>
        <v>0</v>
      </c>
      <c r="AC202" s="23"/>
      <c r="AD202" s="23"/>
      <c r="AE202" s="23" t="e">
        <f>IF(#REF!=#REF!,1,0)</f>
        <v>#REF!</v>
      </c>
      <c r="AF202" s="24"/>
      <c r="AG202" s="24"/>
      <c r="AH202" s="24"/>
      <c r="AI202" s="24"/>
      <c r="AJ202" s="27"/>
      <c r="AK202" s="27"/>
      <c r="AL202" s="27"/>
      <c r="AM202" s="27"/>
      <c r="AN202" s="27"/>
      <c r="AO202" s="27"/>
      <c r="AP202" s="27"/>
      <c r="AQ202" s="27"/>
      <c r="AR202" s="27"/>
      <c r="AS202" s="27"/>
      <c r="AT202" s="27"/>
    </row>
    <row r="203" spans="2:46" s="3" customFormat="1" x14ac:dyDescent="0.25">
      <c r="B203" s="30"/>
      <c r="C203" s="31"/>
      <c r="D203" s="32"/>
      <c r="E203" s="33"/>
      <c r="F203" s="34"/>
      <c r="G203" s="34"/>
      <c r="H203" s="34"/>
      <c r="I203" s="34"/>
      <c r="J203" s="34"/>
      <c r="K203" s="34"/>
      <c r="L203" s="34"/>
      <c r="M203" s="34"/>
      <c r="N203" s="34"/>
      <c r="O203" s="38">
        <f t="shared" si="14"/>
        <v>0</v>
      </c>
      <c r="P203" s="34"/>
      <c r="Q203" s="34"/>
      <c r="R203" s="34"/>
      <c r="S203" s="34"/>
      <c r="T203" s="34"/>
      <c r="U203" s="34"/>
      <c r="V203" s="34"/>
      <c r="W203" s="34"/>
      <c r="X203" s="34"/>
      <c r="Y203" s="34"/>
      <c r="Z203" s="34"/>
      <c r="AA203" s="38">
        <f t="shared" si="15"/>
        <v>0</v>
      </c>
      <c r="AB203" s="38">
        <f t="shared" si="16"/>
        <v>0</v>
      </c>
      <c r="AC203" s="23"/>
      <c r="AD203" s="23"/>
      <c r="AE203" s="23" t="e">
        <f>IF(#REF!=#REF!,1,0)</f>
        <v>#REF!</v>
      </c>
      <c r="AF203" s="24"/>
      <c r="AG203" s="24"/>
      <c r="AH203" s="24"/>
      <c r="AI203" s="24"/>
      <c r="AJ203" s="27"/>
      <c r="AK203" s="27"/>
      <c r="AL203" s="27"/>
      <c r="AM203" s="27"/>
      <c r="AN203" s="27"/>
      <c r="AO203" s="27"/>
      <c r="AP203" s="27"/>
      <c r="AQ203" s="27"/>
      <c r="AR203" s="27"/>
      <c r="AS203" s="27"/>
      <c r="AT203" s="27"/>
    </row>
    <row r="204" spans="2:46" s="3" customFormat="1" x14ac:dyDescent="0.25">
      <c r="B204" s="30"/>
      <c r="C204" s="31"/>
      <c r="D204" s="32"/>
      <c r="E204" s="33"/>
      <c r="F204" s="34"/>
      <c r="G204" s="34"/>
      <c r="H204" s="34"/>
      <c r="I204" s="34"/>
      <c r="J204" s="34"/>
      <c r="K204" s="34"/>
      <c r="L204" s="34"/>
      <c r="M204" s="34"/>
      <c r="N204" s="34"/>
      <c r="O204" s="38">
        <f t="shared" si="14"/>
        <v>0</v>
      </c>
      <c r="P204" s="34"/>
      <c r="Q204" s="34"/>
      <c r="R204" s="34"/>
      <c r="S204" s="34"/>
      <c r="T204" s="34"/>
      <c r="U204" s="34"/>
      <c r="V204" s="34"/>
      <c r="W204" s="34"/>
      <c r="X204" s="34"/>
      <c r="Y204" s="34"/>
      <c r="Z204" s="34"/>
      <c r="AA204" s="38">
        <f t="shared" si="15"/>
        <v>0</v>
      </c>
      <c r="AB204" s="38">
        <f t="shared" si="16"/>
        <v>0</v>
      </c>
      <c r="AC204" s="23"/>
      <c r="AD204" s="23"/>
      <c r="AE204" s="23" t="e">
        <f>IF(#REF!=#REF!,1,0)</f>
        <v>#REF!</v>
      </c>
      <c r="AF204" s="24"/>
      <c r="AG204" s="24"/>
      <c r="AH204" s="24"/>
      <c r="AI204" s="24"/>
      <c r="AJ204" s="27"/>
      <c r="AK204" s="27"/>
      <c r="AL204" s="27"/>
      <c r="AM204" s="27"/>
      <c r="AN204" s="27"/>
      <c r="AO204" s="27"/>
      <c r="AP204" s="27"/>
      <c r="AQ204" s="27"/>
      <c r="AR204" s="27"/>
      <c r="AS204" s="27"/>
      <c r="AT204" s="27"/>
    </row>
    <row r="205" spans="2:46" s="3" customFormat="1" x14ac:dyDescent="0.25">
      <c r="B205" s="30"/>
      <c r="C205" s="31"/>
      <c r="D205" s="32"/>
      <c r="E205" s="33"/>
      <c r="F205" s="34"/>
      <c r="G205" s="34"/>
      <c r="H205" s="34"/>
      <c r="I205" s="34"/>
      <c r="J205" s="34"/>
      <c r="K205" s="34"/>
      <c r="L205" s="34"/>
      <c r="M205" s="34"/>
      <c r="N205" s="34"/>
      <c r="O205" s="38">
        <f t="shared" si="14"/>
        <v>0</v>
      </c>
      <c r="P205" s="34"/>
      <c r="Q205" s="34"/>
      <c r="R205" s="34"/>
      <c r="S205" s="34"/>
      <c r="T205" s="34"/>
      <c r="U205" s="34"/>
      <c r="V205" s="34"/>
      <c r="W205" s="34"/>
      <c r="X205" s="34"/>
      <c r="Y205" s="34"/>
      <c r="Z205" s="34"/>
      <c r="AA205" s="38">
        <f t="shared" si="15"/>
        <v>0</v>
      </c>
      <c r="AB205" s="38">
        <f t="shared" si="16"/>
        <v>0</v>
      </c>
      <c r="AC205" s="23"/>
      <c r="AD205" s="23"/>
      <c r="AE205" s="23" t="e">
        <f>IF(#REF!=#REF!,1,0)</f>
        <v>#REF!</v>
      </c>
      <c r="AF205" s="24"/>
      <c r="AG205" s="24"/>
      <c r="AH205" s="24"/>
      <c r="AI205" s="24"/>
      <c r="AJ205" s="27"/>
      <c r="AK205" s="27"/>
      <c r="AL205" s="27"/>
      <c r="AM205" s="27"/>
      <c r="AN205" s="27"/>
      <c r="AO205" s="27"/>
      <c r="AP205" s="27"/>
      <c r="AQ205" s="27"/>
      <c r="AR205" s="27"/>
      <c r="AS205" s="27"/>
      <c r="AT205" s="27"/>
    </row>
    <row r="206" spans="2:46" s="3" customFormat="1" x14ac:dyDescent="0.25">
      <c r="B206" s="30"/>
      <c r="C206" s="31"/>
      <c r="D206" s="32"/>
      <c r="E206" s="33"/>
      <c r="F206" s="34"/>
      <c r="G206" s="34"/>
      <c r="H206" s="34"/>
      <c r="I206" s="34"/>
      <c r="J206" s="34"/>
      <c r="K206" s="34"/>
      <c r="L206" s="34"/>
      <c r="M206" s="34"/>
      <c r="N206" s="34"/>
      <c r="O206" s="38">
        <f t="shared" si="14"/>
        <v>0</v>
      </c>
      <c r="P206" s="34"/>
      <c r="Q206" s="34"/>
      <c r="R206" s="34"/>
      <c r="S206" s="34"/>
      <c r="T206" s="34"/>
      <c r="U206" s="34"/>
      <c r="V206" s="34"/>
      <c r="W206" s="34"/>
      <c r="X206" s="34"/>
      <c r="Y206" s="34"/>
      <c r="Z206" s="34"/>
      <c r="AA206" s="38">
        <f t="shared" si="15"/>
        <v>0</v>
      </c>
      <c r="AB206" s="38">
        <f t="shared" si="16"/>
        <v>0</v>
      </c>
      <c r="AC206" s="23"/>
      <c r="AD206" s="23"/>
      <c r="AE206" s="23" t="e">
        <f>IF(#REF!=#REF!,1,0)</f>
        <v>#REF!</v>
      </c>
      <c r="AF206" s="24"/>
      <c r="AG206" s="24"/>
      <c r="AH206" s="24"/>
      <c r="AI206" s="24"/>
      <c r="AJ206" s="27"/>
      <c r="AK206" s="27"/>
      <c r="AL206" s="27"/>
      <c r="AM206" s="27"/>
      <c r="AN206" s="27"/>
      <c r="AO206" s="27"/>
      <c r="AP206" s="27"/>
      <c r="AQ206" s="27"/>
      <c r="AR206" s="27"/>
      <c r="AS206" s="27"/>
      <c r="AT206" s="27"/>
    </row>
    <row r="207" spans="2:46" s="3" customFormat="1" x14ac:dyDescent="0.25">
      <c r="B207" s="30"/>
      <c r="C207" s="31"/>
      <c r="D207" s="32"/>
      <c r="E207" s="33"/>
      <c r="F207" s="34"/>
      <c r="G207" s="34"/>
      <c r="H207" s="34"/>
      <c r="I207" s="34"/>
      <c r="J207" s="34"/>
      <c r="K207" s="34"/>
      <c r="L207" s="34"/>
      <c r="M207" s="34"/>
      <c r="N207" s="34"/>
      <c r="O207" s="38">
        <f t="shared" si="14"/>
        <v>0</v>
      </c>
      <c r="P207" s="34"/>
      <c r="Q207" s="34"/>
      <c r="R207" s="34"/>
      <c r="S207" s="34"/>
      <c r="T207" s="34"/>
      <c r="U207" s="34"/>
      <c r="V207" s="34"/>
      <c r="W207" s="34"/>
      <c r="X207" s="34"/>
      <c r="Y207" s="34"/>
      <c r="Z207" s="34"/>
      <c r="AA207" s="38">
        <f t="shared" si="15"/>
        <v>0</v>
      </c>
      <c r="AB207" s="38">
        <f t="shared" si="16"/>
        <v>0</v>
      </c>
      <c r="AC207" s="23"/>
      <c r="AD207" s="23"/>
      <c r="AE207" s="23" t="e">
        <f>IF(#REF!=#REF!,1,0)</f>
        <v>#REF!</v>
      </c>
      <c r="AF207" s="24"/>
      <c r="AG207" s="24"/>
      <c r="AH207" s="24"/>
      <c r="AI207" s="24"/>
      <c r="AJ207" s="27"/>
      <c r="AK207" s="27"/>
      <c r="AL207" s="27"/>
      <c r="AM207" s="27"/>
      <c r="AN207" s="27"/>
      <c r="AO207" s="27"/>
      <c r="AP207" s="27"/>
      <c r="AQ207" s="27"/>
      <c r="AR207" s="27"/>
      <c r="AS207" s="27"/>
      <c r="AT207" s="27"/>
    </row>
    <row r="208" spans="2:46" s="3" customFormat="1" x14ac:dyDescent="0.25">
      <c r="B208" s="30"/>
      <c r="C208" s="31"/>
      <c r="D208" s="32"/>
      <c r="E208" s="33"/>
      <c r="F208" s="34"/>
      <c r="G208" s="34"/>
      <c r="H208" s="34"/>
      <c r="I208" s="34"/>
      <c r="J208" s="34"/>
      <c r="K208" s="34"/>
      <c r="L208" s="34"/>
      <c r="M208" s="34"/>
      <c r="N208" s="34"/>
      <c r="O208" s="38">
        <f t="shared" si="14"/>
        <v>0</v>
      </c>
      <c r="P208" s="34"/>
      <c r="Q208" s="34"/>
      <c r="R208" s="34"/>
      <c r="S208" s="34"/>
      <c r="T208" s="34"/>
      <c r="U208" s="34"/>
      <c r="V208" s="34"/>
      <c r="W208" s="34"/>
      <c r="X208" s="34"/>
      <c r="Y208" s="34"/>
      <c r="Z208" s="34"/>
      <c r="AA208" s="38">
        <f t="shared" si="15"/>
        <v>0</v>
      </c>
      <c r="AB208" s="38">
        <f t="shared" si="16"/>
        <v>0</v>
      </c>
      <c r="AC208" s="23"/>
      <c r="AD208" s="23"/>
      <c r="AE208" s="23" t="e">
        <f>IF(#REF!=#REF!,1,0)</f>
        <v>#REF!</v>
      </c>
      <c r="AF208" s="24"/>
      <c r="AG208" s="24"/>
      <c r="AH208" s="24"/>
      <c r="AI208" s="24"/>
      <c r="AJ208" s="27"/>
      <c r="AK208" s="27"/>
      <c r="AL208" s="27"/>
      <c r="AM208" s="27"/>
      <c r="AN208" s="27"/>
      <c r="AO208" s="27"/>
      <c r="AP208" s="27"/>
      <c r="AQ208" s="27"/>
      <c r="AR208" s="27"/>
      <c r="AS208" s="27"/>
      <c r="AT208" s="27"/>
    </row>
    <row r="209" spans="2:46" s="3" customFormat="1" x14ac:dyDescent="0.25">
      <c r="B209" s="30"/>
      <c r="C209" s="31"/>
      <c r="D209" s="32"/>
      <c r="E209" s="33"/>
      <c r="F209" s="34"/>
      <c r="G209" s="34"/>
      <c r="H209" s="34"/>
      <c r="I209" s="34"/>
      <c r="J209" s="34"/>
      <c r="K209" s="34"/>
      <c r="L209" s="34"/>
      <c r="M209" s="34"/>
      <c r="N209" s="34"/>
      <c r="O209" s="38">
        <f t="shared" si="14"/>
        <v>0</v>
      </c>
      <c r="P209" s="34"/>
      <c r="Q209" s="34"/>
      <c r="R209" s="34"/>
      <c r="S209" s="34"/>
      <c r="T209" s="34"/>
      <c r="U209" s="34"/>
      <c r="V209" s="34"/>
      <c r="W209" s="34"/>
      <c r="X209" s="34"/>
      <c r="Y209" s="34"/>
      <c r="Z209" s="34"/>
      <c r="AA209" s="38">
        <f t="shared" si="15"/>
        <v>0</v>
      </c>
      <c r="AB209" s="38">
        <f t="shared" si="16"/>
        <v>0</v>
      </c>
      <c r="AC209" s="23"/>
      <c r="AD209" s="23"/>
      <c r="AE209" s="23" t="e">
        <f>IF(#REF!=#REF!,1,0)</f>
        <v>#REF!</v>
      </c>
      <c r="AF209" s="24"/>
      <c r="AG209" s="24"/>
      <c r="AH209" s="24"/>
      <c r="AI209" s="24"/>
      <c r="AJ209" s="27"/>
      <c r="AK209" s="27"/>
      <c r="AL209" s="27"/>
      <c r="AM209" s="27"/>
      <c r="AN209" s="27"/>
      <c r="AO209" s="27"/>
      <c r="AP209" s="27"/>
      <c r="AQ209" s="27"/>
      <c r="AR209" s="27"/>
      <c r="AS209" s="27"/>
      <c r="AT209" s="27"/>
    </row>
    <row r="210" spans="2:46" s="3" customFormat="1" x14ac:dyDescent="0.25">
      <c r="B210" s="30"/>
      <c r="C210" s="31"/>
      <c r="D210" s="32"/>
      <c r="E210" s="33"/>
      <c r="F210" s="34"/>
      <c r="G210" s="34"/>
      <c r="H210" s="34"/>
      <c r="I210" s="34"/>
      <c r="J210" s="34"/>
      <c r="K210" s="34"/>
      <c r="L210" s="34"/>
      <c r="M210" s="34"/>
      <c r="N210" s="34"/>
      <c r="O210" s="38">
        <f t="shared" si="14"/>
        <v>0</v>
      </c>
      <c r="P210" s="34"/>
      <c r="Q210" s="34"/>
      <c r="R210" s="34"/>
      <c r="S210" s="34"/>
      <c r="T210" s="34"/>
      <c r="U210" s="34"/>
      <c r="V210" s="34"/>
      <c r="W210" s="34"/>
      <c r="X210" s="34"/>
      <c r="Y210" s="34"/>
      <c r="Z210" s="34"/>
      <c r="AA210" s="38">
        <f t="shared" si="15"/>
        <v>0</v>
      </c>
      <c r="AB210" s="38">
        <f t="shared" si="16"/>
        <v>0</v>
      </c>
      <c r="AC210" s="23"/>
      <c r="AD210" s="23"/>
      <c r="AE210" s="23" t="e">
        <f>IF(#REF!=#REF!,1,0)</f>
        <v>#REF!</v>
      </c>
      <c r="AF210" s="24"/>
      <c r="AG210" s="24"/>
      <c r="AH210" s="24"/>
      <c r="AI210" s="24"/>
      <c r="AJ210" s="27"/>
      <c r="AK210" s="27"/>
      <c r="AL210" s="27"/>
      <c r="AM210" s="27"/>
      <c r="AN210" s="27"/>
      <c r="AO210" s="27"/>
      <c r="AP210" s="27"/>
      <c r="AQ210" s="27"/>
      <c r="AR210" s="27"/>
      <c r="AS210" s="27"/>
      <c r="AT210" s="27"/>
    </row>
    <row r="211" spans="2:46" s="3" customFormat="1" x14ac:dyDescent="0.25">
      <c r="B211" s="30"/>
      <c r="C211" s="31"/>
      <c r="D211" s="32"/>
      <c r="E211" s="33"/>
      <c r="F211" s="34"/>
      <c r="G211" s="34"/>
      <c r="H211" s="34"/>
      <c r="I211" s="34"/>
      <c r="J211" s="34"/>
      <c r="K211" s="34"/>
      <c r="L211" s="34"/>
      <c r="M211" s="34"/>
      <c r="N211" s="34"/>
      <c r="O211" s="38">
        <f t="shared" si="14"/>
        <v>0</v>
      </c>
      <c r="P211" s="34"/>
      <c r="Q211" s="34"/>
      <c r="R211" s="34"/>
      <c r="S211" s="34"/>
      <c r="T211" s="34"/>
      <c r="U211" s="34"/>
      <c r="V211" s="34"/>
      <c r="W211" s="34"/>
      <c r="X211" s="34"/>
      <c r="Y211" s="34"/>
      <c r="Z211" s="34"/>
      <c r="AA211" s="38">
        <f t="shared" si="15"/>
        <v>0</v>
      </c>
      <c r="AB211" s="38">
        <f t="shared" si="16"/>
        <v>0</v>
      </c>
      <c r="AC211" s="23"/>
      <c r="AD211" s="23"/>
      <c r="AE211" s="23" t="e">
        <f>IF(#REF!=#REF!,1,0)</f>
        <v>#REF!</v>
      </c>
      <c r="AF211" s="24"/>
      <c r="AG211" s="24"/>
      <c r="AH211" s="24"/>
      <c r="AI211" s="24"/>
      <c r="AJ211" s="27"/>
      <c r="AK211" s="27"/>
      <c r="AL211" s="27"/>
      <c r="AM211" s="27"/>
      <c r="AN211" s="27"/>
      <c r="AO211" s="27"/>
      <c r="AP211" s="27"/>
      <c r="AQ211" s="27"/>
      <c r="AR211" s="27"/>
      <c r="AS211" s="27"/>
      <c r="AT211" s="27"/>
    </row>
    <row r="212" spans="2:46" s="3" customFormat="1" x14ac:dyDescent="0.25">
      <c r="B212" s="30"/>
      <c r="C212" s="31"/>
      <c r="D212" s="32"/>
      <c r="E212" s="33"/>
      <c r="F212" s="34"/>
      <c r="G212" s="34"/>
      <c r="H212" s="34"/>
      <c r="I212" s="34"/>
      <c r="J212" s="34"/>
      <c r="K212" s="34"/>
      <c r="L212" s="34"/>
      <c r="M212" s="34"/>
      <c r="N212" s="34"/>
      <c r="O212" s="38">
        <f t="shared" ref="O212:O275" si="17">SUM(F212:N212)</f>
        <v>0</v>
      </c>
      <c r="P212" s="34"/>
      <c r="Q212" s="34"/>
      <c r="R212" s="34"/>
      <c r="S212" s="34"/>
      <c r="T212" s="34"/>
      <c r="U212" s="34"/>
      <c r="V212" s="34"/>
      <c r="W212" s="34"/>
      <c r="X212" s="34"/>
      <c r="Y212" s="34"/>
      <c r="Z212" s="34"/>
      <c r="AA212" s="38">
        <f t="shared" si="15"/>
        <v>0</v>
      </c>
      <c r="AB212" s="38">
        <f t="shared" si="16"/>
        <v>0</v>
      </c>
      <c r="AC212" s="23"/>
      <c r="AD212" s="23"/>
      <c r="AE212" s="23" t="e">
        <f>IF(#REF!=#REF!,1,0)</f>
        <v>#REF!</v>
      </c>
      <c r="AF212" s="24"/>
      <c r="AG212" s="24"/>
      <c r="AH212" s="24"/>
      <c r="AI212" s="24"/>
      <c r="AJ212" s="27"/>
      <c r="AK212" s="27"/>
      <c r="AL212" s="27"/>
      <c r="AM212" s="27"/>
      <c r="AN212" s="27"/>
      <c r="AO212" s="27"/>
      <c r="AP212" s="27"/>
      <c r="AQ212" s="27"/>
      <c r="AR212" s="27"/>
      <c r="AS212" s="27"/>
      <c r="AT212" s="27"/>
    </row>
    <row r="213" spans="2:46" s="3" customFormat="1" x14ac:dyDescent="0.25">
      <c r="B213" s="30"/>
      <c r="C213" s="31"/>
      <c r="D213" s="32"/>
      <c r="E213" s="33"/>
      <c r="F213" s="34"/>
      <c r="G213" s="34"/>
      <c r="H213" s="34"/>
      <c r="I213" s="34"/>
      <c r="J213" s="34"/>
      <c r="K213" s="34"/>
      <c r="L213" s="34"/>
      <c r="M213" s="34"/>
      <c r="N213" s="34"/>
      <c r="O213" s="38">
        <f t="shared" si="17"/>
        <v>0</v>
      </c>
      <c r="P213" s="34"/>
      <c r="Q213" s="34"/>
      <c r="R213" s="34"/>
      <c r="S213" s="34"/>
      <c r="T213" s="34"/>
      <c r="U213" s="34"/>
      <c r="V213" s="34"/>
      <c r="W213" s="34"/>
      <c r="X213" s="34"/>
      <c r="Y213" s="34"/>
      <c r="Z213" s="34"/>
      <c r="AA213" s="38">
        <f t="shared" si="15"/>
        <v>0</v>
      </c>
      <c r="AB213" s="38">
        <f t="shared" si="16"/>
        <v>0</v>
      </c>
      <c r="AC213" s="23"/>
      <c r="AD213" s="23"/>
      <c r="AE213" s="23" t="e">
        <f>IF(#REF!=#REF!,1,0)</f>
        <v>#REF!</v>
      </c>
      <c r="AF213" s="24"/>
      <c r="AG213" s="24"/>
      <c r="AH213" s="24"/>
      <c r="AI213" s="24"/>
      <c r="AJ213" s="27"/>
      <c r="AK213" s="27"/>
      <c r="AL213" s="27"/>
      <c r="AM213" s="27"/>
      <c r="AN213" s="27"/>
      <c r="AO213" s="27"/>
      <c r="AP213" s="27"/>
      <c r="AQ213" s="27"/>
      <c r="AR213" s="27"/>
      <c r="AS213" s="27"/>
      <c r="AT213" s="27"/>
    </row>
    <row r="214" spans="2:46" s="3" customFormat="1" x14ac:dyDescent="0.25">
      <c r="B214" s="30"/>
      <c r="C214" s="31"/>
      <c r="D214" s="32"/>
      <c r="E214" s="33"/>
      <c r="F214" s="34"/>
      <c r="G214" s="34"/>
      <c r="H214" s="34"/>
      <c r="I214" s="34"/>
      <c r="J214" s="34"/>
      <c r="K214" s="34"/>
      <c r="L214" s="34"/>
      <c r="M214" s="34"/>
      <c r="N214" s="34"/>
      <c r="O214" s="38">
        <f t="shared" si="17"/>
        <v>0</v>
      </c>
      <c r="P214" s="34"/>
      <c r="Q214" s="34"/>
      <c r="R214" s="34"/>
      <c r="S214" s="34"/>
      <c r="T214" s="34"/>
      <c r="U214" s="34"/>
      <c r="V214" s="34"/>
      <c r="W214" s="34"/>
      <c r="X214" s="34"/>
      <c r="Y214" s="34"/>
      <c r="Z214" s="34"/>
      <c r="AA214" s="38">
        <f t="shared" si="15"/>
        <v>0</v>
      </c>
      <c r="AB214" s="38">
        <f t="shared" si="16"/>
        <v>0</v>
      </c>
      <c r="AC214" s="23"/>
      <c r="AD214" s="23"/>
      <c r="AE214" s="23" t="e">
        <f>IF(#REF!=#REF!,1,0)</f>
        <v>#REF!</v>
      </c>
      <c r="AF214" s="24"/>
      <c r="AG214" s="24"/>
      <c r="AH214" s="24"/>
      <c r="AI214" s="24"/>
      <c r="AJ214" s="27"/>
      <c r="AK214" s="27"/>
      <c r="AL214" s="27"/>
      <c r="AM214" s="27"/>
      <c r="AN214" s="27"/>
      <c r="AO214" s="27"/>
      <c r="AP214" s="27"/>
      <c r="AQ214" s="27"/>
      <c r="AR214" s="27"/>
      <c r="AS214" s="27"/>
      <c r="AT214" s="27"/>
    </row>
    <row r="215" spans="2:46" s="3" customFormat="1" x14ac:dyDescent="0.25">
      <c r="B215" s="30"/>
      <c r="C215" s="31"/>
      <c r="D215" s="32"/>
      <c r="E215" s="33"/>
      <c r="F215" s="34"/>
      <c r="G215" s="34"/>
      <c r="H215" s="34"/>
      <c r="I215" s="34"/>
      <c r="J215" s="34"/>
      <c r="K215" s="34"/>
      <c r="L215" s="34"/>
      <c r="M215" s="34"/>
      <c r="N215" s="34"/>
      <c r="O215" s="38">
        <f t="shared" si="17"/>
        <v>0</v>
      </c>
      <c r="P215" s="34"/>
      <c r="Q215" s="34"/>
      <c r="R215" s="34"/>
      <c r="S215" s="34"/>
      <c r="T215" s="34"/>
      <c r="U215" s="34"/>
      <c r="V215" s="34"/>
      <c r="W215" s="34"/>
      <c r="X215" s="34"/>
      <c r="Y215" s="34"/>
      <c r="Z215" s="34"/>
      <c r="AA215" s="38">
        <f t="shared" si="15"/>
        <v>0</v>
      </c>
      <c r="AB215" s="38">
        <f t="shared" si="16"/>
        <v>0</v>
      </c>
      <c r="AC215" s="23"/>
      <c r="AD215" s="23"/>
      <c r="AE215" s="23" t="e">
        <f>IF(#REF!=#REF!,1,0)</f>
        <v>#REF!</v>
      </c>
      <c r="AF215" s="24"/>
      <c r="AG215" s="24"/>
      <c r="AH215" s="24"/>
      <c r="AI215" s="24"/>
      <c r="AJ215" s="27"/>
      <c r="AK215" s="27"/>
      <c r="AL215" s="27"/>
      <c r="AM215" s="27"/>
      <c r="AN215" s="27"/>
      <c r="AO215" s="27"/>
      <c r="AP215" s="27"/>
      <c r="AQ215" s="27"/>
      <c r="AR215" s="27"/>
      <c r="AS215" s="27"/>
      <c r="AT215" s="27"/>
    </row>
    <row r="216" spans="2:46" s="3" customFormat="1" x14ac:dyDescent="0.25">
      <c r="B216" s="30"/>
      <c r="C216" s="31"/>
      <c r="D216" s="32"/>
      <c r="E216" s="33"/>
      <c r="F216" s="34"/>
      <c r="G216" s="34"/>
      <c r="H216" s="34"/>
      <c r="I216" s="34"/>
      <c r="J216" s="34"/>
      <c r="K216" s="34"/>
      <c r="L216" s="34"/>
      <c r="M216" s="34"/>
      <c r="N216" s="34"/>
      <c r="O216" s="38">
        <f t="shared" si="17"/>
        <v>0</v>
      </c>
      <c r="P216" s="34"/>
      <c r="Q216" s="34"/>
      <c r="R216" s="34"/>
      <c r="S216" s="34"/>
      <c r="T216" s="34"/>
      <c r="U216" s="34"/>
      <c r="V216" s="34"/>
      <c r="W216" s="34"/>
      <c r="X216" s="34"/>
      <c r="Y216" s="34"/>
      <c r="Z216" s="34"/>
      <c r="AA216" s="38">
        <f t="shared" si="15"/>
        <v>0</v>
      </c>
      <c r="AB216" s="38">
        <f t="shared" si="16"/>
        <v>0</v>
      </c>
      <c r="AC216" s="23"/>
      <c r="AD216" s="23"/>
      <c r="AE216" s="23" t="e">
        <f>IF(#REF!=#REF!,1,0)</f>
        <v>#REF!</v>
      </c>
      <c r="AF216" s="24"/>
      <c r="AG216" s="24"/>
      <c r="AH216" s="24"/>
      <c r="AI216" s="24"/>
      <c r="AJ216" s="27"/>
      <c r="AK216" s="27"/>
      <c r="AL216" s="27"/>
      <c r="AM216" s="27"/>
      <c r="AN216" s="27"/>
      <c r="AO216" s="27"/>
      <c r="AP216" s="27"/>
      <c r="AQ216" s="27"/>
      <c r="AR216" s="27"/>
      <c r="AS216" s="27"/>
      <c r="AT216" s="27"/>
    </row>
    <row r="217" spans="2:46" s="3" customFormat="1" x14ac:dyDescent="0.25">
      <c r="B217" s="30"/>
      <c r="C217" s="31"/>
      <c r="D217" s="32"/>
      <c r="E217" s="33"/>
      <c r="F217" s="34"/>
      <c r="G217" s="34"/>
      <c r="H217" s="34"/>
      <c r="I217" s="34"/>
      <c r="J217" s="34"/>
      <c r="K217" s="34"/>
      <c r="L217" s="34"/>
      <c r="M217" s="34"/>
      <c r="N217" s="34"/>
      <c r="O217" s="38">
        <f t="shared" si="17"/>
        <v>0</v>
      </c>
      <c r="P217" s="34"/>
      <c r="Q217" s="34"/>
      <c r="R217" s="34"/>
      <c r="S217" s="34"/>
      <c r="T217" s="34"/>
      <c r="U217" s="34"/>
      <c r="V217" s="34"/>
      <c r="W217" s="34"/>
      <c r="X217" s="34"/>
      <c r="Y217" s="34"/>
      <c r="Z217" s="34"/>
      <c r="AA217" s="38">
        <f t="shared" si="15"/>
        <v>0</v>
      </c>
      <c r="AB217" s="38">
        <f t="shared" si="16"/>
        <v>0</v>
      </c>
      <c r="AC217" s="23"/>
      <c r="AD217" s="23"/>
      <c r="AE217" s="23" t="e">
        <f>IF(#REF!=#REF!,1,0)</f>
        <v>#REF!</v>
      </c>
      <c r="AF217" s="24"/>
      <c r="AG217" s="24"/>
      <c r="AH217" s="24"/>
      <c r="AI217" s="24"/>
      <c r="AJ217" s="27"/>
      <c r="AK217" s="27"/>
      <c r="AL217" s="27"/>
      <c r="AM217" s="27"/>
      <c r="AN217" s="27"/>
      <c r="AO217" s="27"/>
      <c r="AP217" s="27"/>
      <c r="AQ217" s="27"/>
      <c r="AR217" s="27"/>
      <c r="AS217" s="27"/>
      <c r="AT217" s="27"/>
    </row>
    <row r="218" spans="2:46" s="3" customFormat="1" x14ac:dyDescent="0.25">
      <c r="B218" s="30"/>
      <c r="C218" s="31"/>
      <c r="D218" s="32"/>
      <c r="E218" s="33"/>
      <c r="F218" s="34"/>
      <c r="G218" s="34"/>
      <c r="H218" s="34"/>
      <c r="I218" s="34"/>
      <c r="J218" s="34"/>
      <c r="K218" s="34"/>
      <c r="L218" s="34"/>
      <c r="M218" s="34"/>
      <c r="N218" s="34"/>
      <c r="O218" s="38">
        <f t="shared" si="17"/>
        <v>0</v>
      </c>
      <c r="P218" s="34"/>
      <c r="Q218" s="34"/>
      <c r="R218" s="34"/>
      <c r="S218" s="34"/>
      <c r="T218" s="34"/>
      <c r="U218" s="34"/>
      <c r="V218" s="34"/>
      <c r="W218" s="34"/>
      <c r="X218" s="34"/>
      <c r="Y218" s="34"/>
      <c r="Z218" s="34"/>
      <c r="AA218" s="38">
        <f t="shared" si="15"/>
        <v>0</v>
      </c>
      <c r="AB218" s="38">
        <f t="shared" si="16"/>
        <v>0</v>
      </c>
      <c r="AC218" s="23"/>
      <c r="AD218" s="23"/>
      <c r="AE218" s="23" t="e">
        <f>IF(#REF!=#REF!,1,0)</f>
        <v>#REF!</v>
      </c>
      <c r="AF218" s="24"/>
      <c r="AG218" s="24"/>
      <c r="AH218" s="24"/>
      <c r="AI218" s="24"/>
      <c r="AJ218" s="27"/>
      <c r="AK218" s="27"/>
      <c r="AL218" s="27"/>
      <c r="AM218" s="27"/>
      <c r="AN218" s="27"/>
      <c r="AO218" s="27"/>
      <c r="AP218" s="27"/>
      <c r="AQ218" s="27"/>
      <c r="AR218" s="27"/>
      <c r="AS218" s="27"/>
      <c r="AT218" s="27"/>
    </row>
    <row r="219" spans="2:46" s="3" customFormat="1" x14ac:dyDescent="0.25">
      <c r="B219" s="30"/>
      <c r="C219" s="31"/>
      <c r="D219" s="32"/>
      <c r="E219" s="33"/>
      <c r="F219" s="34"/>
      <c r="G219" s="34"/>
      <c r="H219" s="34"/>
      <c r="I219" s="34"/>
      <c r="J219" s="34"/>
      <c r="K219" s="34"/>
      <c r="L219" s="34"/>
      <c r="M219" s="34"/>
      <c r="N219" s="34"/>
      <c r="O219" s="38">
        <f t="shared" si="17"/>
        <v>0</v>
      </c>
      <c r="P219" s="34"/>
      <c r="Q219" s="34"/>
      <c r="R219" s="34"/>
      <c r="S219" s="34"/>
      <c r="T219" s="34"/>
      <c r="U219" s="34"/>
      <c r="V219" s="34"/>
      <c r="W219" s="34"/>
      <c r="X219" s="34"/>
      <c r="Y219" s="34"/>
      <c r="Z219" s="34"/>
      <c r="AA219" s="38">
        <f t="shared" ref="AA219:AA282" si="18">SUM(P219:Z219)</f>
        <v>0</v>
      </c>
      <c r="AB219" s="38">
        <f t="shared" ref="AB219:AB282" si="19">O219-AA219</f>
        <v>0</v>
      </c>
      <c r="AC219" s="23"/>
      <c r="AD219" s="23"/>
      <c r="AE219" s="23" t="e">
        <f>IF(#REF!=#REF!,1,0)</f>
        <v>#REF!</v>
      </c>
      <c r="AF219" s="24"/>
      <c r="AG219" s="24"/>
      <c r="AH219" s="24"/>
      <c r="AI219" s="24"/>
      <c r="AJ219" s="27"/>
      <c r="AK219" s="27"/>
      <c r="AL219" s="27"/>
      <c r="AM219" s="27"/>
      <c r="AN219" s="27"/>
      <c r="AO219" s="27"/>
      <c r="AP219" s="27"/>
      <c r="AQ219" s="27"/>
      <c r="AR219" s="27"/>
      <c r="AS219" s="27"/>
      <c r="AT219" s="27"/>
    </row>
    <row r="220" spans="2:46" s="3" customFormat="1" x14ac:dyDescent="0.25">
      <c r="B220" s="30"/>
      <c r="C220" s="31"/>
      <c r="D220" s="32"/>
      <c r="E220" s="33"/>
      <c r="F220" s="34"/>
      <c r="G220" s="34"/>
      <c r="H220" s="34"/>
      <c r="I220" s="34"/>
      <c r="J220" s="34"/>
      <c r="K220" s="34"/>
      <c r="L220" s="34"/>
      <c r="M220" s="34"/>
      <c r="N220" s="34"/>
      <c r="O220" s="38">
        <f t="shared" si="17"/>
        <v>0</v>
      </c>
      <c r="P220" s="34"/>
      <c r="Q220" s="34"/>
      <c r="R220" s="34"/>
      <c r="S220" s="34"/>
      <c r="T220" s="34"/>
      <c r="U220" s="34"/>
      <c r="V220" s="34"/>
      <c r="W220" s="34"/>
      <c r="X220" s="34"/>
      <c r="Y220" s="34"/>
      <c r="Z220" s="34"/>
      <c r="AA220" s="38">
        <f t="shared" si="18"/>
        <v>0</v>
      </c>
      <c r="AB220" s="38">
        <f t="shared" si="19"/>
        <v>0</v>
      </c>
      <c r="AC220" s="23"/>
      <c r="AD220" s="23"/>
      <c r="AE220" s="23" t="e">
        <f>IF(#REF!=#REF!,1,0)</f>
        <v>#REF!</v>
      </c>
      <c r="AF220" s="24"/>
      <c r="AG220" s="24"/>
      <c r="AH220" s="24"/>
      <c r="AI220" s="24"/>
      <c r="AJ220" s="27"/>
      <c r="AK220" s="27"/>
      <c r="AL220" s="27"/>
      <c r="AM220" s="27"/>
      <c r="AN220" s="27"/>
      <c r="AO220" s="27"/>
      <c r="AP220" s="27"/>
      <c r="AQ220" s="27"/>
      <c r="AR220" s="27"/>
      <c r="AS220" s="27"/>
      <c r="AT220" s="27"/>
    </row>
    <row r="221" spans="2:46" s="3" customFormat="1" x14ac:dyDescent="0.25">
      <c r="B221" s="30"/>
      <c r="C221" s="31"/>
      <c r="D221" s="32"/>
      <c r="E221" s="33"/>
      <c r="F221" s="34"/>
      <c r="G221" s="34"/>
      <c r="H221" s="34"/>
      <c r="I221" s="34"/>
      <c r="J221" s="34"/>
      <c r="K221" s="34"/>
      <c r="L221" s="34"/>
      <c r="M221" s="34"/>
      <c r="N221" s="34"/>
      <c r="O221" s="38">
        <f t="shared" si="17"/>
        <v>0</v>
      </c>
      <c r="P221" s="34"/>
      <c r="Q221" s="34"/>
      <c r="R221" s="34"/>
      <c r="S221" s="34"/>
      <c r="T221" s="34"/>
      <c r="U221" s="34"/>
      <c r="V221" s="34"/>
      <c r="W221" s="34"/>
      <c r="X221" s="34"/>
      <c r="Y221" s="34"/>
      <c r="Z221" s="34"/>
      <c r="AA221" s="38">
        <f t="shared" si="18"/>
        <v>0</v>
      </c>
      <c r="AB221" s="38">
        <f t="shared" si="19"/>
        <v>0</v>
      </c>
      <c r="AC221" s="23"/>
      <c r="AD221" s="23"/>
      <c r="AE221" s="23" t="e">
        <f>IF(#REF!=#REF!,1,0)</f>
        <v>#REF!</v>
      </c>
      <c r="AF221" s="24"/>
      <c r="AG221" s="24"/>
      <c r="AH221" s="24"/>
      <c r="AI221" s="24"/>
      <c r="AJ221" s="27"/>
      <c r="AK221" s="27"/>
      <c r="AL221" s="27"/>
      <c r="AM221" s="27"/>
      <c r="AN221" s="27"/>
      <c r="AO221" s="27"/>
      <c r="AP221" s="27"/>
      <c r="AQ221" s="27"/>
      <c r="AR221" s="27"/>
      <c r="AS221" s="27"/>
      <c r="AT221" s="27"/>
    </row>
    <row r="222" spans="2:46" s="3" customFormat="1" x14ac:dyDescent="0.25">
      <c r="B222" s="30"/>
      <c r="C222" s="31"/>
      <c r="D222" s="32"/>
      <c r="E222" s="33"/>
      <c r="F222" s="34"/>
      <c r="G222" s="34"/>
      <c r="H222" s="34"/>
      <c r="I222" s="34"/>
      <c r="J222" s="34"/>
      <c r="K222" s="34"/>
      <c r="L222" s="34"/>
      <c r="M222" s="34"/>
      <c r="N222" s="34"/>
      <c r="O222" s="38">
        <f t="shared" si="17"/>
        <v>0</v>
      </c>
      <c r="P222" s="34"/>
      <c r="Q222" s="34"/>
      <c r="R222" s="34"/>
      <c r="S222" s="34"/>
      <c r="T222" s="34"/>
      <c r="U222" s="34"/>
      <c r="V222" s="34"/>
      <c r="W222" s="34"/>
      <c r="X222" s="34"/>
      <c r="Y222" s="34"/>
      <c r="Z222" s="34"/>
      <c r="AA222" s="38">
        <f t="shared" si="18"/>
        <v>0</v>
      </c>
      <c r="AB222" s="38">
        <f t="shared" si="19"/>
        <v>0</v>
      </c>
      <c r="AC222" s="23"/>
      <c r="AD222" s="23"/>
      <c r="AE222" s="23" t="e">
        <f>IF(#REF!=#REF!,1,0)</f>
        <v>#REF!</v>
      </c>
      <c r="AF222" s="24"/>
      <c r="AG222" s="24"/>
      <c r="AH222" s="24"/>
      <c r="AI222" s="24"/>
      <c r="AJ222" s="27"/>
      <c r="AK222" s="27"/>
      <c r="AL222" s="27"/>
      <c r="AM222" s="27"/>
      <c r="AN222" s="27"/>
      <c r="AO222" s="27"/>
      <c r="AP222" s="27"/>
      <c r="AQ222" s="27"/>
      <c r="AR222" s="27"/>
      <c r="AS222" s="27"/>
      <c r="AT222" s="27"/>
    </row>
    <row r="223" spans="2:46" s="3" customFormat="1" x14ac:dyDescent="0.25">
      <c r="B223" s="30"/>
      <c r="C223" s="31"/>
      <c r="D223" s="32"/>
      <c r="E223" s="33"/>
      <c r="F223" s="34"/>
      <c r="G223" s="34"/>
      <c r="H223" s="34"/>
      <c r="I223" s="34"/>
      <c r="J223" s="34"/>
      <c r="K223" s="34"/>
      <c r="L223" s="34"/>
      <c r="M223" s="34"/>
      <c r="N223" s="34"/>
      <c r="O223" s="38">
        <f t="shared" si="17"/>
        <v>0</v>
      </c>
      <c r="P223" s="34"/>
      <c r="Q223" s="34"/>
      <c r="R223" s="34"/>
      <c r="S223" s="34"/>
      <c r="T223" s="34"/>
      <c r="U223" s="34"/>
      <c r="V223" s="34"/>
      <c r="W223" s="34"/>
      <c r="X223" s="34"/>
      <c r="Y223" s="34"/>
      <c r="Z223" s="34"/>
      <c r="AA223" s="38">
        <f t="shared" si="18"/>
        <v>0</v>
      </c>
      <c r="AB223" s="38">
        <f t="shared" si="19"/>
        <v>0</v>
      </c>
      <c r="AC223" s="23"/>
      <c r="AD223" s="23"/>
      <c r="AE223" s="23" t="e">
        <f>IF(#REF!=#REF!,1,0)</f>
        <v>#REF!</v>
      </c>
      <c r="AF223" s="24"/>
      <c r="AG223" s="24"/>
      <c r="AH223" s="24"/>
      <c r="AI223" s="24"/>
      <c r="AJ223" s="27"/>
      <c r="AK223" s="27"/>
      <c r="AL223" s="27"/>
      <c r="AM223" s="27"/>
      <c r="AN223" s="27"/>
      <c r="AO223" s="27"/>
      <c r="AP223" s="27"/>
      <c r="AQ223" s="27"/>
      <c r="AR223" s="27"/>
      <c r="AS223" s="27"/>
      <c r="AT223" s="27"/>
    </row>
    <row r="224" spans="2:46" s="3" customFormat="1" x14ac:dyDescent="0.25">
      <c r="B224" s="30"/>
      <c r="C224" s="31"/>
      <c r="D224" s="32"/>
      <c r="E224" s="33"/>
      <c r="F224" s="34"/>
      <c r="G224" s="34"/>
      <c r="H224" s="34"/>
      <c r="I224" s="34"/>
      <c r="J224" s="34"/>
      <c r="K224" s="34"/>
      <c r="L224" s="34"/>
      <c r="M224" s="34"/>
      <c r="N224" s="34"/>
      <c r="O224" s="38">
        <f t="shared" si="17"/>
        <v>0</v>
      </c>
      <c r="P224" s="34"/>
      <c r="Q224" s="34"/>
      <c r="R224" s="34"/>
      <c r="S224" s="34"/>
      <c r="T224" s="34"/>
      <c r="U224" s="34"/>
      <c r="V224" s="34"/>
      <c r="W224" s="34"/>
      <c r="X224" s="34"/>
      <c r="Y224" s="34"/>
      <c r="Z224" s="34"/>
      <c r="AA224" s="38">
        <f t="shared" si="18"/>
        <v>0</v>
      </c>
      <c r="AB224" s="38">
        <f t="shared" si="19"/>
        <v>0</v>
      </c>
      <c r="AC224" s="23"/>
      <c r="AD224" s="23"/>
      <c r="AE224" s="23" t="e">
        <f>IF(#REF!=#REF!,1,0)</f>
        <v>#REF!</v>
      </c>
      <c r="AF224" s="24"/>
      <c r="AG224" s="24"/>
      <c r="AH224" s="24"/>
      <c r="AI224" s="24"/>
      <c r="AJ224" s="27"/>
      <c r="AK224" s="27"/>
      <c r="AL224" s="27"/>
      <c r="AM224" s="27"/>
      <c r="AN224" s="27"/>
      <c r="AO224" s="27"/>
      <c r="AP224" s="27"/>
      <c r="AQ224" s="27"/>
      <c r="AR224" s="27"/>
      <c r="AS224" s="27"/>
      <c r="AT224" s="27"/>
    </row>
    <row r="225" spans="2:46" s="3" customFormat="1" x14ac:dyDescent="0.25">
      <c r="B225" s="30"/>
      <c r="C225" s="31"/>
      <c r="D225" s="32"/>
      <c r="E225" s="33"/>
      <c r="F225" s="34"/>
      <c r="G225" s="34"/>
      <c r="H225" s="34"/>
      <c r="I225" s="34"/>
      <c r="J225" s="34"/>
      <c r="K225" s="34"/>
      <c r="L225" s="34"/>
      <c r="M225" s="34"/>
      <c r="N225" s="34"/>
      <c r="O225" s="38">
        <f t="shared" si="17"/>
        <v>0</v>
      </c>
      <c r="P225" s="34"/>
      <c r="Q225" s="34"/>
      <c r="R225" s="34"/>
      <c r="S225" s="34"/>
      <c r="T225" s="34"/>
      <c r="U225" s="34"/>
      <c r="V225" s="34"/>
      <c r="W225" s="34"/>
      <c r="X225" s="34"/>
      <c r="Y225" s="34"/>
      <c r="Z225" s="34"/>
      <c r="AA225" s="38">
        <f t="shared" si="18"/>
        <v>0</v>
      </c>
      <c r="AB225" s="38">
        <f t="shared" si="19"/>
        <v>0</v>
      </c>
      <c r="AC225" s="23"/>
      <c r="AD225" s="23"/>
      <c r="AE225" s="23" t="e">
        <f>IF(#REF!=#REF!,1,0)</f>
        <v>#REF!</v>
      </c>
      <c r="AF225" s="24"/>
      <c r="AG225" s="24"/>
      <c r="AH225" s="24"/>
      <c r="AI225" s="24"/>
      <c r="AJ225" s="27"/>
      <c r="AK225" s="27"/>
      <c r="AL225" s="27"/>
      <c r="AM225" s="27"/>
      <c r="AN225" s="27"/>
      <c r="AO225" s="27"/>
      <c r="AP225" s="27"/>
      <c r="AQ225" s="27"/>
      <c r="AR225" s="27"/>
      <c r="AS225" s="27"/>
      <c r="AT225" s="27"/>
    </row>
    <row r="226" spans="2:46" s="3" customFormat="1" x14ac:dyDescent="0.25">
      <c r="B226" s="30"/>
      <c r="C226" s="31"/>
      <c r="D226" s="32"/>
      <c r="E226" s="33"/>
      <c r="F226" s="34"/>
      <c r="G226" s="34"/>
      <c r="H226" s="34"/>
      <c r="I226" s="34"/>
      <c r="J226" s="34"/>
      <c r="K226" s="34"/>
      <c r="L226" s="34"/>
      <c r="M226" s="34"/>
      <c r="N226" s="34"/>
      <c r="O226" s="38">
        <f t="shared" si="17"/>
        <v>0</v>
      </c>
      <c r="P226" s="34"/>
      <c r="Q226" s="34"/>
      <c r="R226" s="34"/>
      <c r="S226" s="34"/>
      <c r="T226" s="34"/>
      <c r="U226" s="34"/>
      <c r="V226" s="34"/>
      <c r="W226" s="34"/>
      <c r="X226" s="34"/>
      <c r="Y226" s="34"/>
      <c r="Z226" s="34"/>
      <c r="AA226" s="38">
        <f t="shared" si="18"/>
        <v>0</v>
      </c>
      <c r="AB226" s="38">
        <f t="shared" si="19"/>
        <v>0</v>
      </c>
      <c r="AC226" s="23"/>
      <c r="AD226" s="23"/>
      <c r="AE226" s="23" t="e">
        <f>IF(#REF!=#REF!,1,0)</f>
        <v>#REF!</v>
      </c>
      <c r="AF226" s="24"/>
      <c r="AG226" s="24"/>
      <c r="AH226" s="24"/>
      <c r="AI226" s="24"/>
      <c r="AJ226" s="27"/>
      <c r="AK226" s="27"/>
      <c r="AL226" s="27"/>
      <c r="AM226" s="27"/>
      <c r="AN226" s="27"/>
      <c r="AO226" s="27"/>
      <c r="AP226" s="27"/>
      <c r="AQ226" s="27"/>
      <c r="AR226" s="27"/>
      <c r="AS226" s="27"/>
      <c r="AT226" s="27"/>
    </row>
    <row r="227" spans="2:46" s="3" customFormat="1" x14ac:dyDescent="0.25">
      <c r="B227" s="30"/>
      <c r="C227" s="31"/>
      <c r="D227" s="32"/>
      <c r="E227" s="33"/>
      <c r="F227" s="34"/>
      <c r="G227" s="34"/>
      <c r="H227" s="34"/>
      <c r="I227" s="34"/>
      <c r="J227" s="34"/>
      <c r="K227" s="34"/>
      <c r="L227" s="34"/>
      <c r="M227" s="34"/>
      <c r="N227" s="34"/>
      <c r="O227" s="38">
        <f t="shared" si="17"/>
        <v>0</v>
      </c>
      <c r="P227" s="34"/>
      <c r="Q227" s="34"/>
      <c r="R227" s="34"/>
      <c r="S227" s="34"/>
      <c r="T227" s="34"/>
      <c r="U227" s="34"/>
      <c r="V227" s="34"/>
      <c r="W227" s="34"/>
      <c r="X227" s="34"/>
      <c r="Y227" s="34"/>
      <c r="Z227" s="34"/>
      <c r="AA227" s="38">
        <f t="shared" si="18"/>
        <v>0</v>
      </c>
      <c r="AB227" s="38">
        <f t="shared" si="19"/>
        <v>0</v>
      </c>
      <c r="AC227" s="23"/>
      <c r="AD227" s="23"/>
      <c r="AE227" s="23" t="e">
        <f>IF(#REF!=#REF!,1,0)</f>
        <v>#REF!</v>
      </c>
      <c r="AF227" s="24"/>
      <c r="AG227" s="24"/>
      <c r="AH227" s="24"/>
      <c r="AI227" s="24"/>
      <c r="AJ227" s="27"/>
      <c r="AK227" s="27"/>
      <c r="AL227" s="27"/>
      <c r="AM227" s="27"/>
      <c r="AN227" s="27"/>
      <c r="AO227" s="27"/>
      <c r="AP227" s="27"/>
      <c r="AQ227" s="27"/>
      <c r="AR227" s="27"/>
      <c r="AS227" s="27"/>
      <c r="AT227" s="27"/>
    </row>
    <row r="228" spans="2:46" s="3" customFormat="1" x14ac:dyDescent="0.25">
      <c r="B228" s="30"/>
      <c r="C228" s="31"/>
      <c r="D228" s="32"/>
      <c r="E228" s="33"/>
      <c r="F228" s="34"/>
      <c r="G228" s="34"/>
      <c r="H228" s="34"/>
      <c r="I228" s="34"/>
      <c r="J228" s="34"/>
      <c r="K228" s="34"/>
      <c r="L228" s="34"/>
      <c r="M228" s="34"/>
      <c r="N228" s="34"/>
      <c r="O228" s="38">
        <f t="shared" si="17"/>
        <v>0</v>
      </c>
      <c r="P228" s="34"/>
      <c r="Q228" s="34"/>
      <c r="R228" s="34"/>
      <c r="S228" s="34"/>
      <c r="T228" s="34"/>
      <c r="U228" s="34"/>
      <c r="V228" s="34"/>
      <c r="W228" s="34"/>
      <c r="X228" s="34"/>
      <c r="Y228" s="34"/>
      <c r="Z228" s="34"/>
      <c r="AA228" s="38">
        <f t="shared" si="18"/>
        <v>0</v>
      </c>
      <c r="AB228" s="38">
        <f t="shared" si="19"/>
        <v>0</v>
      </c>
      <c r="AC228" s="23"/>
      <c r="AD228" s="23"/>
      <c r="AE228" s="23" t="e">
        <f>IF(#REF!=#REF!,1,0)</f>
        <v>#REF!</v>
      </c>
      <c r="AF228" s="24"/>
      <c r="AG228" s="24"/>
      <c r="AH228" s="24"/>
      <c r="AI228" s="24"/>
      <c r="AJ228" s="27"/>
      <c r="AK228" s="27"/>
      <c r="AL228" s="27"/>
      <c r="AM228" s="27"/>
      <c r="AN228" s="27"/>
      <c r="AO228" s="27"/>
      <c r="AP228" s="27"/>
      <c r="AQ228" s="27"/>
      <c r="AR228" s="27"/>
      <c r="AS228" s="27"/>
      <c r="AT228" s="27"/>
    </row>
    <row r="229" spans="2:46" s="3" customFormat="1" x14ac:dyDescent="0.25">
      <c r="B229" s="30"/>
      <c r="C229" s="31"/>
      <c r="D229" s="32"/>
      <c r="E229" s="33"/>
      <c r="F229" s="34"/>
      <c r="G229" s="34"/>
      <c r="H229" s="34"/>
      <c r="I229" s="34"/>
      <c r="J229" s="34"/>
      <c r="K229" s="34"/>
      <c r="L229" s="34"/>
      <c r="M229" s="34"/>
      <c r="N229" s="34"/>
      <c r="O229" s="38">
        <f t="shared" si="17"/>
        <v>0</v>
      </c>
      <c r="P229" s="34"/>
      <c r="Q229" s="34"/>
      <c r="R229" s="34"/>
      <c r="S229" s="34"/>
      <c r="T229" s="34"/>
      <c r="U229" s="34"/>
      <c r="V229" s="34"/>
      <c r="W229" s="34"/>
      <c r="X229" s="34"/>
      <c r="Y229" s="34"/>
      <c r="Z229" s="34"/>
      <c r="AA229" s="38">
        <f t="shared" si="18"/>
        <v>0</v>
      </c>
      <c r="AB229" s="38">
        <f t="shared" si="19"/>
        <v>0</v>
      </c>
      <c r="AC229" s="23"/>
      <c r="AD229" s="23"/>
      <c r="AE229" s="23" t="e">
        <f>IF(#REF!=#REF!,1,0)</f>
        <v>#REF!</v>
      </c>
      <c r="AF229" s="24"/>
      <c r="AG229" s="24"/>
      <c r="AH229" s="24"/>
      <c r="AI229" s="24"/>
      <c r="AJ229" s="27"/>
      <c r="AK229" s="27"/>
      <c r="AL229" s="27"/>
      <c r="AM229" s="27"/>
      <c r="AN229" s="27"/>
      <c r="AO229" s="27"/>
      <c r="AP229" s="27"/>
      <c r="AQ229" s="27"/>
      <c r="AR229" s="27"/>
      <c r="AS229" s="27"/>
      <c r="AT229" s="27"/>
    </row>
    <row r="230" spans="2:46" s="3" customFormat="1" x14ac:dyDescent="0.25">
      <c r="B230" s="30"/>
      <c r="C230" s="31"/>
      <c r="D230" s="32"/>
      <c r="E230" s="33"/>
      <c r="F230" s="34"/>
      <c r="G230" s="34"/>
      <c r="H230" s="34"/>
      <c r="I230" s="34"/>
      <c r="J230" s="34"/>
      <c r="K230" s="34"/>
      <c r="L230" s="34"/>
      <c r="M230" s="34"/>
      <c r="N230" s="34"/>
      <c r="O230" s="38">
        <f t="shared" si="17"/>
        <v>0</v>
      </c>
      <c r="P230" s="34"/>
      <c r="Q230" s="34"/>
      <c r="R230" s="34"/>
      <c r="S230" s="34"/>
      <c r="T230" s="34"/>
      <c r="U230" s="34"/>
      <c r="V230" s="34"/>
      <c r="W230" s="34"/>
      <c r="X230" s="34"/>
      <c r="Y230" s="34"/>
      <c r="Z230" s="34"/>
      <c r="AA230" s="38">
        <f t="shared" si="18"/>
        <v>0</v>
      </c>
      <c r="AB230" s="38">
        <f t="shared" si="19"/>
        <v>0</v>
      </c>
      <c r="AC230" s="23"/>
      <c r="AD230" s="23"/>
      <c r="AE230" s="23" t="e">
        <f>IF(#REF!=#REF!,1,0)</f>
        <v>#REF!</v>
      </c>
      <c r="AF230" s="24"/>
      <c r="AG230" s="24"/>
      <c r="AH230" s="24"/>
      <c r="AI230" s="24"/>
      <c r="AJ230" s="27"/>
      <c r="AK230" s="27"/>
      <c r="AL230" s="27"/>
      <c r="AM230" s="27"/>
      <c r="AN230" s="27"/>
      <c r="AO230" s="27"/>
      <c r="AP230" s="27"/>
      <c r="AQ230" s="27"/>
      <c r="AR230" s="27"/>
      <c r="AS230" s="27"/>
      <c r="AT230" s="27"/>
    </row>
    <row r="231" spans="2:46" s="3" customFormat="1" x14ac:dyDescent="0.25">
      <c r="B231" s="30"/>
      <c r="C231" s="31"/>
      <c r="D231" s="32"/>
      <c r="E231" s="33"/>
      <c r="F231" s="34"/>
      <c r="G231" s="34"/>
      <c r="H231" s="34"/>
      <c r="I231" s="34"/>
      <c r="J231" s="34"/>
      <c r="K231" s="34"/>
      <c r="L231" s="34"/>
      <c r="M231" s="34"/>
      <c r="N231" s="34"/>
      <c r="O231" s="38">
        <f t="shared" si="17"/>
        <v>0</v>
      </c>
      <c r="P231" s="34"/>
      <c r="Q231" s="34"/>
      <c r="R231" s="34"/>
      <c r="S231" s="34"/>
      <c r="T231" s="34"/>
      <c r="U231" s="34"/>
      <c r="V231" s="34"/>
      <c r="W231" s="34"/>
      <c r="X231" s="34"/>
      <c r="Y231" s="34"/>
      <c r="Z231" s="34"/>
      <c r="AA231" s="38">
        <f t="shared" si="18"/>
        <v>0</v>
      </c>
      <c r="AB231" s="38">
        <f t="shared" si="19"/>
        <v>0</v>
      </c>
      <c r="AC231" s="23"/>
      <c r="AD231" s="23"/>
      <c r="AE231" s="23" t="e">
        <f>IF(#REF!=#REF!,1,0)</f>
        <v>#REF!</v>
      </c>
      <c r="AF231" s="24"/>
      <c r="AG231" s="24"/>
      <c r="AH231" s="24"/>
      <c r="AI231" s="24"/>
      <c r="AJ231" s="27"/>
      <c r="AK231" s="27"/>
      <c r="AL231" s="27"/>
      <c r="AM231" s="27"/>
      <c r="AN231" s="27"/>
      <c r="AO231" s="27"/>
      <c r="AP231" s="27"/>
      <c r="AQ231" s="27"/>
      <c r="AR231" s="27"/>
      <c r="AS231" s="27"/>
      <c r="AT231" s="27"/>
    </row>
    <row r="232" spans="2:46" s="3" customFormat="1" x14ac:dyDescent="0.25">
      <c r="B232" s="30"/>
      <c r="C232" s="31"/>
      <c r="D232" s="32"/>
      <c r="E232" s="33"/>
      <c r="F232" s="34"/>
      <c r="G232" s="34"/>
      <c r="H232" s="34"/>
      <c r="I232" s="34"/>
      <c r="J232" s="34"/>
      <c r="K232" s="34"/>
      <c r="L232" s="34"/>
      <c r="M232" s="34"/>
      <c r="N232" s="34"/>
      <c r="O232" s="38">
        <f t="shared" si="17"/>
        <v>0</v>
      </c>
      <c r="P232" s="34"/>
      <c r="Q232" s="34"/>
      <c r="R232" s="34"/>
      <c r="S232" s="34"/>
      <c r="T232" s="34"/>
      <c r="U232" s="34"/>
      <c r="V232" s="34"/>
      <c r="W232" s="34"/>
      <c r="X232" s="34"/>
      <c r="Y232" s="34"/>
      <c r="Z232" s="34"/>
      <c r="AA232" s="38">
        <f t="shared" si="18"/>
        <v>0</v>
      </c>
      <c r="AB232" s="38">
        <f t="shared" si="19"/>
        <v>0</v>
      </c>
      <c r="AC232" s="23"/>
      <c r="AD232" s="23"/>
      <c r="AE232" s="23" t="e">
        <f>IF(#REF!=#REF!,1,0)</f>
        <v>#REF!</v>
      </c>
      <c r="AF232" s="24"/>
      <c r="AG232" s="24"/>
      <c r="AH232" s="24"/>
      <c r="AI232" s="24"/>
      <c r="AJ232" s="27"/>
      <c r="AK232" s="27"/>
      <c r="AL232" s="27"/>
      <c r="AM232" s="27"/>
      <c r="AN232" s="27"/>
      <c r="AO232" s="27"/>
      <c r="AP232" s="27"/>
      <c r="AQ232" s="27"/>
      <c r="AR232" s="27"/>
      <c r="AS232" s="27"/>
      <c r="AT232" s="27"/>
    </row>
    <row r="233" spans="2:46" s="3" customFormat="1" x14ac:dyDescent="0.25">
      <c r="B233" s="30"/>
      <c r="C233" s="31"/>
      <c r="D233" s="32"/>
      <c r="E233" s="33"/>
      <c r="F233" s="34"/>
      <c r="G233" s="34"/>
      <c r="H233" s="34"/>
      <c r="I233" s="34"/>
      <c r="J233" s="34"/>
      <c r="K233" s="34"/>
      <c r="L233" s="34"/>
      <c r="M233" s="34"/>
      <c r="N233" s="34"/>
      <c r="O233" s="38">
        <f t="shared" si="17"/>
        <v>0</v>
      </c>
      <c r="P233" s="34"/>
      <c r="Q233" s="34"/>
      <c r="R233" s="34"/>
      <c r="S233" s="34"/>
      <c r="T233" s="34"/>
      <c r="U233" s="34"/>
      <c r="V233" s="34"/>
      <c r="W233" s="34"/>
      <c r="X233" s="34"/>
      <c r="Y233" s="34"/>
      <c r="Z233" s="34"/>
      <c r="AA233" s="38">
        <f t="shared" si="18"/>
        <v>0</v>
      </c>
      <c r="AB233" s="38">
        <f t="shared" si="19"/>
        <v>0</v>
      </c>
      <c r="AC233" s="23"/>
      <c r="AD233" s="23"/>
      <c r="AE233" s="23" t="e">
        <f>IF(#REF!=#REF!,1,0)</f>
        <v>#REF!</v>
      </c>
      <c r="AF233" s="24"/>
      <c r="AG233" s="24"/>
      <c r="AH233" s="24"/>
      <c r="AI233" s="24"/>
      <c r="AJ233" s="27"/>
      <c r="AK233" s="27"/>
      <c r="AL233" s="27"/>
      <c r="AM233" s="27"/>
      <c r="AN233" s="27"/>
      <c r="AO233" s="27"/>
      <c r="AP233" s="27"/>
      <c r="AQ233" s="27"/>
      <c r="AR233" s="27"/>
      <c r="AS233" s="27"/>
      <c r="AT233" s="27"/>
    </row>
    <row r="234" spans="2:46" s="3" customFormat="1" x14ac:dyDescent="0.25">
      <c r="B234" s="30"/>
      <c r="C234" s="31"/>
      <c r="D234" s="32"/>
      <c r="E234" s="33"/>
      <c r="F234" s="34"/>
      <c r="G234" s="34"/>
      <c r="H234" s="34"/>
      <c r="I234" s="34"/>
      <c r="J234" s="34"/>
      <c r="K234" s="34"/>
      <c r="L234" s="34"/>
      <c r="M234" s="34"/>
      <c r="N234" s="34"/>
      <c r="O234" s="38">
        <f t="shared" si="17"/>
        <v>0</v>
      </c>
      <c r="P234" s="34"/>
      <c r="Q234" s="34"/>
      <c r="R234" s="34"/>
      <c r="S234" s="34"/>
      <c r="T234" s="34"/>
      <c r="U234" s="34"/>
      <c r="V234" s="34"/>
      <c r="W234" s="34"/>
      <c r="X234" s="34"/>
      <c r="Y234" s="34"/>
      <c r="Z234" s="34"/>
      <c r="AA234" s="38">
        <f t="shared" si="18"/>
        <v>0</v>
      </c>
      <c r="AB234" s="38">
        <f t="shared" si="19"/>
        <v>0</v>
      </c>
      <c r="AC234" s="23"/>
      <c r="AD234" s="23"/>
      <c r="AE234" s="23" t="e">
        <f>IF(#REF!=#REF!,1,0)</f>
        <v>#REF!</v>
      </c>
      <c r="AF234" s="24"/>
      <c r="AG234" s="24"/>
      <c r="AH234" s="24"/>
      <c r="AI234" s="24"/>
      <c r="AJ234" s="27"/>
      <c r="AK234" s="27"/>
      <c r="AL234" s="27"/>
      <c r="AM234" s="27"/>
      <c r="AN234" s="27"/>
      <c r="AO234" s="27"/>
      <c r="AP234" s="27"/>
      <c r="AQ234" s="27"/>
      <c r="AR234" s="27"/>
      <c r="AS234" s="27"/>
      <c r="AT234" s="27"/>
    </row>
    <row r="235" spans="2:46" s="3" customFormat="1" x14ac:dyDescent="0.25">
      <c r="B235" s="30"/>
      <c r="C235" s="31"/>
      <c r="D235" s="32"/>
      <c r="E235" s="33"/>
      <c r="F235" s="34"/>
      <c r="G235" s="34"/>
      <c r="H235" s="34"/>
      <c r="I235" s="34"/>
      <c r="J235" s="34"/>
      <c r="K235" s="34"/>
      <c r="L235" s="34"/>
      <c r="M235" s="34"/>
      <c r="N235" s="34"/>
      <c r="O235" s="38">
        <f t="shared" si="17"/>
        <v>0</v>
      </c>
      <c r="P235" s="34"/>
      <c r="Q235" s="34"/>
      <c r="R235" s="34"/>
      <c r="S235" s="34"/>
      <c r="T235" s="34"/>
      <c r="U235" s="34"/>
      <c r="V235" s="34"/>
      <c r="W235" s="34"/>
      <c r="X235" s="34"/>
      <c r="Y235" s="34"/>
      <c r="Z235" s="34"/>
      <c r="AA235" s="38">
        <f t="shared" si="18"/>
        <v>0</v>
      </c>
      <c r="AB235" s="38">
        <f t="shared" si="19"/>
        <v>0</v>
      </c>
      <c r="AC235" s="23"/>
      <c r="AD235" s="23"/>
      <c r="AE235" s="23" t="e">
        <f>IF(#REF!=#REF!,1,0)</f>
        <v>#REF!</v>
      </c>
      <c r="AF235" s="24"/>
      <c r="AG235" s="24"/>
      <c r="AH235" s="24"/>
      <c r="AI235" s="24"/>
      <c r="AJ235" s="27"/>
      <c r="AK235" s="27"/>
      <c r="AL235" s="27"/>
      <c r="AM235" s="27"/>
      <c r="AN235" s="27"/>
      <c r="AO235" s="27"/>
      <c r="AP235" s="27"/>
      <c r="AQ235" s="27"/>
      <c r="AR235" s="27"/>
      <c r="AS235" s="27"/>
      <c r="AT235" s="27"/>
    </row>
    <row r="236" spans="2:46" s="3" customFormat="1" x14ac:dyDescent="0.25">
      <c r="B236" s="30"/>
      <c r="C236" s="31"/>
      <c r="D236" s="32"/>
      <c r="E236" s="33"/>
      <c r="F236" s="34"/>
      <c r="G236" s="34"/>
      <c r="H236" s="34"/>
      <c r="I236" s="34"/>
      <c r="J236" s="34"/>
      <c r="K236" s="34"/>
      <c r="L236" s="34"/>
      <c r="M236" s="34"/>
      <c r="N236" s="34"/>
      <c r="O236" s="38">
        <f t="shared" si="17"/>
        <v>0</v>
      </c>
      <c r="P236" s="34"/>
      <c r="Q236" s="34"/>
      <c r="R236" s="34"/>
      <c r="S236" s="34"/>
      <c r="T236" s="34"/>
      <c r="U236" s="34"/>
      <c r="V236" s="34"/>
      <c r="W236" s="34"/>
      <c r="X236" s="34"/>
      <c r="Y236" s="34"/>
      <c r="Z236" s="34"/>
      <c r="AA236" s="38">
        <f t="shared" si="18"/>
        <v>0</v>
      </c>
      <c r="AB236" s="38">
        <f t="shared" si="19"/>
        <v>0</v>
      </c>
      <c r="AC236" s="23"/>
      <c r="AD236" s="23"/>
      <c r="AE236" s="23" t="e">
        <f>IF(#REF!=#REF!,1,0)</f>
        <v>#REF!</v>
      </c>
      <c r="AF236" s="24"/>
      <c r="AG236" s="24"/>
      <c r="AH236" s="24"/>
      <c r="AI236" s="24"/>
      <c r="AJ236" s="27"/>
      <c r="AK236" s="27"/>
      <c r="AL236" s="27"/>
      <c r="AM236" s="27"/>
      <c r="AN236" s="27"/>
      <c r="AO236" s="27"/>
      <c r="AP236" s="27"/>
      <c r="AQ236" s="27"/>
      <c r="AR236" s="27"/>
      <c r="AS236" s="27"/>
      <c r="AT236" s="27"/>
    </row>
    <row r="237" spans="2:46" s="3" customFormat="1" x14ac:dyDescent="0.25">
      <c r="B237" s="30"/>
      <c r="C237" s="31"/>
      <c r="D237" s="32"/>
      <c r="E237" s="33"/>
      <c r="F237" s="34"/>
      <c r="G237" s="34"/>
      <c r="H237" s="34"/>
      <c r="I237" s="34"/>
      <c r="J237" s="34"/>
      <c r="K237" s="34"/>
      <c r="L237" s="34"/>
      <c r="M237" s="34"/>
      <c r="N237" s="34"/>
      <c r="O237" s="38">
        <f t="shared" si="17"/>
        <v>0</v>
      </c>
      <c r="P237" s="34"/>
      <c r="Q237" s="34"/>
      <c r="R237" s="34"/>
      <c r="S237" s="34"/>
      <c r="T237" s="34"/>
      <c r="U237" s="34"/>
      <c r="V237" s="34"/>
      <c r="W237" s="34"/>
      <c r="X237" s="34"/>
      <c r="Y237" s="34"/>
      <c r="Z237" s="34"/>
      <c r="AA237" s="38">
        <f t="shared" si="18"/>
        <v>0</v>
      </c>
      <c r="AB237" s="38">
        <f t="shared" si="19"/>
        <v>0</v>
      </c>
      <c r="AC237" s="23"/>
      <c r="AD237" s="23"/>
      <c r="AE237" s="23" t="e">
        <f>IF(#REF!=#REF!,1,0)</f>
        <v>#REF!</v>
      </c>
      <c r="AF237" s="24"/>
      <c r="AG237" s="24"/>
      <c r="AH237" s="24"/>
      <c r="AI237" s="24"/>
      <c r="AJ237" s="27"/>
      <c r="AK237" s="27"/>
      <c r="AL237" s="27"/>
      <c r="AM237" s="27"/>
      <c r="AN237" s="27"/>
      <c r="AO237" s="27"/>
      <c r="AP237" s="27"/>
      <c r="AQ237" s="27"/>
      <c r="AR237" s="27"/>
      <c r="AS237" s="27"/>
      <c r="AT237" s="27"/>
    </row>
    <row r="238" spans="2:46" s="3" customFormat="1" x14ac:dyDescent="0.25">
      <c r="B238" s="30"/>
      <c r="C238" s="31"/>
      <c r="D238" s="32"/>
      <c r="E238" s="33"/>
      <c r="F238" s="34"/>
      <c r="G238" s="34"/>
      <c r="H238" s="34"/>
      <c r="I238" s="34"/>
      <c r="J238" s="34"/>
      <c r="K238" s="34"/>
      <c r="L238" s="34"/>
      <c r="M238" s="34"/>
      <c r="N238" s="34"/>
      <c r="O238" s="38">
        <f t="shared" si="17"/>
        <v>0</v>
      </c>
      <c r="P238" s="34"/>
      <c r="Q238" s="34"/>
      <c r="R238" s="34"/>
      <c r="S238" s="34"/>
      <c r="T238" s="34"/>
      <c r="U238" s="34"/>
      <c r="V238" s="34"/>
      <c r="W238" s="34"/>
      <c r="X238" s="34"/>
      <c r="Y238" s="34"/>
      <c r="Z238" s="34"/>
      <c r="AA238" s="38">
        <f t="shared" si="18"/>
        <v>0</v>
      </c>
      <c r="AB238" s="38">
        <f t="shared" si="19"/>
        <v>0</v>
      </c>
      <c r="AC238" s="23"/>
      <c r="AD238" s="23"/>
      <c r="AE238" s="23" t="e">
        <f>IF(#REF!=#REF!,1,0)</f>
        <v>#REF!</v>
      </c>
      <c r="AF238" s="24"/>
      <c r="AG238" s="24"/>
      <c r="AH238" s="24"/>
      <c r="AI238" s="24"/>
      <c r="AJ238" s="27"/>
      <c r="AK238" s="27"/>
      <c r="AL238" s="27"/>
      <c r="AM238" s="27"/>
      <c r="AN238" s="27"/>
      <c r="AO238" s="27"/>
      <c r="AP238" s="27"/>
      <c r="AQ238" s="27"/>
      <c r="AR238" s="27"/>
      <c r="AS238" s="27"/>
      <c r="AT238" s="27"/>
    </row>
    <row r="239" spans="2:46" s="3" customFormat="1" x14ac:dyDescent="0.25">
      <c r="B239" s="30"/>
      <c r="C239" s="31"/>
      <c r="D239" s="32"/>
      <c r="E239" s="33"/>
      <c r="F239" s="34"/>
      <c r="G239" s="34"/>
      <c r="H239" s="34"/>
      <c r="I239" s="34"/>
      <c r="J239" s="34"/>
      <c r="K239" s="34"/>
      <c r="L239" s="34"/>
      <c r="M239" s="34"/>
      <c r="N239" s="34"/>
      <c r="O239" s="38">
        <f t="shared" si="17"/>
        <v>0</v>
      </c>
      <c r="P239" s="34"/>
      <c r="Q239" s="34"/>
      <c r="R239" s="34"/>
      <c r="S239" s="34"/>
      <c r="T239" s="34"/>
      <c r="U239" s="34"/>
      <c r="V239" s="34"/>
      <c r="W239" s="34"/>
      <c r="X239" s="34"/>
      <c r="Y239" s="34"/>
      <c r="Z239" s="34"/>
      <c r="AA239" s="38">
        <f t="shared" si="18"/>
        <v>0</v>
      </c>
      <c r="AB239" s="38">
        <f t="shared" si="19"/>
        <v>0</v>
      </c>
      <c r="AC239" s="23"/>
      <c r="AD239" s="23"/>
      <c r="AE239" s="23" t="e">
        <f>IF(#REF!=#REF!,1,0)</f>
        <v>#REF!</v>
      </c>
      <c r="AF239" s="24"/>
      <c r="AG239" s="24"/>
      <c r="AH239" s="24"/>
      <c r="AI239" s="24"/>
      <c r="AJ239" s="27"/>
      <c r="AK239" s="27"/>
      <c r="AL239" s="27"/>
      <c r="AM239" s="27"/>
      <c r="AN239" s="27"/>
      <c r="AO239" s="27"/>
      <c r="AP239" s="27"/>
      <c r="AQ239" s="27"/>
      <c r="AR239" s="27"/>
      <c r="AS239" s="27"/>
      <c r="AT239" s="27"/>
    </row>
    <row r="240" spans="2:46" s="3" customFormat="1" x14ac:dyDescent="0.25">
      <c r="B240" s="30"/>
      <c r="C240" s="31"/>
      <c r="D240" s="32"/>
      <c r="E240" s="33"/>
      <c r="F240" s="34"/>
      <c r="G240" s="34"/>
      <c r="H240" s="34"/>
      <c r="I240" s="34"/>
      <c r="J240" s="34"/>
      <c r="K240" s="34"/>
      <c r="L240" s="34"/>
      <c r="M240" s="34"/>
      <c r="N240" s="34"/>
      <c r="O240" s="38">
        <f t="shared" si="17"/>
        <v>0</v>
      </c>
      <c r="P240" s="34"/>
      <c r="Q240" s="34"/>
      <c r="R240" s="34"/>
      <c r="S240" s="34"/>
      <c r="T240" s="34"/>
      <c r="U240" s="34"/>
      <c r="V240" s="34"/>
      <c r="W240" s="34"/>
      <c r="X240" s="34"/>
      <c r="Y240" s="34"/>
      <c r="Z240" s="34"/>
      <c r="AA240" s="38">
        <f t="shared" si="18"/>
        <v>0</v>
      </c>
      <c r="AB240" s="38">
        <f t="shared" si="19"/>
        <v>0</v>
      </c>
      <c r="AC240" s="23"/>
      <c r="AD240" s="23"/>
      <c r="AE240" s="23" t="e">
        <f>IF(#REF!=#REF!,1,0)</f>
        <v>#REF!</v>
      </c>
      <c r="AF240" s="24"/>
      <c r="AG240" s="24"/>
      <c r="AH240" s="24"/>
      <c r="AI240" s="24"/>
      <c r="AJ240" s="27"/>
      <c r="AK240" s="27"/>
      <c r="AL240" s="27"/>
      <c r="AM240" s="27"/>
      <c r="AN240" s="27"/>
      <c r="AO240" s="27"/>
      <c r="AP240" s="27"/>
      <c r="AQ240" s="27"/>
      <c r="AR240" s="27"/>
      <c r="AS240" s="27"/>
      <c r="AT240" s="27"/>
    </row>
    <row r="241" spans="2:46" s="3" customFormat="1" x14ac:dyDescent="0.25">
      <c r="B241" s="30"/>
      <c r="C241" s="31"/>
      <c r="D241" s="32"/>
      <c r="E241" s="33"/>
      <c r="F241" s="34"/>
      <c r="G241" s="34"/>
      <c r="H241" s="34"/>
      <c r="I241" s="34"/>
      <c r="J241" s="34"/>
      <c r="K241" s="34"/>
      <c r="L241" s="34"/>
      <c r="M241" s="34"/>
      <c r="N241" s="34"/>
      <c r="O241" s="38">
        <f t="shared" si="17"/>
        <v>0</v>
      </c>
      <c r="P241" s="34"/>
      <c r="Q241" s="34"/>
      <c r="R241" s="34"/>
      <c r="S241" s="34"/>
      <c r="T241" s="34"/>
      <c r="U241" s="34"/>
      <c r="V241" s="34"/>
      <c r="W241" s="34"/>
      <c r="X241" s="34"/>
      <c r="Y241" s="34"/>
      <c r="Z241" s="34"/>
      <c r="AA241" s="38">
        <f t="shared" si="18"/>
        <v>0</v>
      </c>
      <c r="AB241" s="38">
        <f t="shared" si="19"/>
        <v>0</v>
      </c>
      <c r="AC241" s="23"/>
      <c r="AD241" s="23"/>
      <c r="AE241" s="23" t="e">
        <f>IF(#REF!=#REF!,1,0)</f>
        <v>#REF!</v>
      </c>
      <c r="AF241" s="24"/>
      <c r="AG241" s="24"/>
      <c r="AH241" s="24"/>
      <c r="AI241" s="24"/>
      <c r="AJ241" s="27"/>
      <c r="AK241" s="27"/>
      <c r="AL241" s="27"/>
      <c r="AM241" s="27"/>
      <c r="AN241" s="27"/>
      <c r="AO241" s="27"/>
      <c r="AP241" s="27"/>
      <c r="AQ241" s="27"/>
      <c r="AR241" s="27"/>
      <c r="AS241" s="27"/>
      <c r="AT241" s="27"/>
    </row>
    <row r="242" spans="2:46" s="3" customFormat="1" x14ac:dyDescent="0.25">
      <c r="B242" s="30"/>
      <c r="C242" s="31"/>
      <c r="D242" s="32"/>
      <c r="E242" s="33"/>
      <c r="F242" s="34"/>
      <c r="G242" s="34"/>
      <c r="H242" s="34"/>
      <c r="I242" s="34"/>
      <c r="J242" s="34"/>
      <c r="K242" s="34"/>
      <c r="L242" s="34"/>
      <c r="M242" s="34"/>
      <c r="N242" s="34"/>
      <c r="O242" s="38">
        <f t="shared" si="17"/>
        <v>0</v>
      </c>
      <c r="P242" s="34"/>
      <c r="Q242" s="34"/>
      <c r="R242" s="34"/>
      <c r="S242" s="34"/>
      <c r="T242" s="34"/>
      <c r="U242" s="34"/>
      <c r="V242" s="34"/>
      <c r="W242" s="34"/>
      <c r="X242" s="34"/>
      <c r="Y242" s="34"/>
      <c r="Z242" s="34"/>
      <c r="AA242" s="38">
        <f t="shared" si="18"/>
        <v>0</v>
      </c>
      <c r="AB242" s="38">
        <f t="shared" si="19"/>
        <v>0</v>
      </c>
      <c r="AC242" s="23"/>
      <c r="AD242" s="23"/>
      <c r="AE242" s="23" t="e">
        <f>IF(#REF!=#REF!,1,0)</f>
        <v>#REF!</v>
      </c>
      <c r="AF242" s="24"/>
      <c r="AG242" s="24"/>
      <c r="AH242" s="24"/>
      <c r="AI242" s="24"/>
      <c r="AJ242" s="27"/>
      <c r="AK242" s="27"/>
      <c r="AL242" s="27"/>
      <c r="AM242" s="27"/>
      <c r="AN242" s="27"/>
      <c r="AO242" s="27"/>
      <c r="AP242" s="27"/>
      <c r="AQ242" s="27"/>
      <c r="AR242" s="27"/>
      <c r="AS242" s="27"/>
      <c r="AT242" s="27"/>
    </row>
    <row r="243" spans="2:46" s="3" customFormat="1" x14ac:dyDescent="0.25">
      <c r="B243" s="30"/>
      <c r="C243" s="31"/>
      <c r="D243" s="32"/>
      <c r="E243" s="33"/>
      <c r="F243" s="34"/>
      <c r="G243" s="34"/>
      <c r="H243" s="34"/>
      <c r="I243" s="34"/>
      <c r="J243" s="34"/>
      <c r="K243" s="34"/>
      <c r="L243" s="34"/>
      <c r="M243" s="34"/>
      <c r="N243" s="34"/>
      <c r="O243" s="38">
        <f t="shared" si="17"/>
        <v>0</v>
      </c>
      <c r="P243" s="34"/>
      <c r="Q243" s="34"/>
      <c r="R243" s="34"/>
      <c r="S243" s="34"/>
      <c r="T243" s="34"/>
      <c r="U243" s="34"/>
      <c r="V243" s="34"/>
      <c r="W243" s="34"/>
      <c r="X243" s="34"/>
      <c r="Y243" s="34"/>
      <c r="Z243" s="34"/>
      <c r="AA243" s="38">
        <f t="shared" si="18"/>
        <v>0</v>
      </c>
      <c r="AB243" s="38">
        <f t="shared" si="19"/>
        <v>0</v>
      </c>
      <c r="AC243" s="23"/>
      <c r="AD243" s="23"/>
      <c r="AE243" s="23" t="e">
        <f>IF(#REF!=#REF!,1,0)</f>
        <v>#REF!</v>
      </c>
      <c r="AF243" s="24"/>
      <c r="AG243" s="24"/>
      <c r="AH243" s="24"/>
      <c r="AI243" s="24"/>
      <c r="AJ243" s="27"/>
      <c r="AK243" s="27"/>
      <c r="AL243" s="27"/>
      <c r="AM243" s="27"/>
      <c r="AN243" s="27"/>
      <c r="AO243" s="27"/>
      <c r="AP243" s="27"/>
      <c r="AQ243" s="27"/>
      <c r="AR243" s="27"/>
      <c r="AS243" s="27"/>
      <c r="AT243" s="27"/>
    </row>
    <row r="244" spans="2:46" s="3" customFormat="1" x14ac:dyDescent="0.25">
      <c r="B244" s="30"/>
      <c r="C244" s="31"/>
      <c r="D244" s="32"/>
      <c r="E244" s="33"/>
      <c r="F244" s="34"/>
      <c r="G244" s="34"/>
      <c r="H244" s="34"/>
      <c r="I244" s="34"/>
      <c r="J244" s="34"/>
      <c r="K244" s="34"/>
      <c r="L244" s="34"/>
      <c r="M244" s="34"/>
      <c r="N244" s="34"/>
      <c r="O244" s="38">
        <f t="shared" si="17"/>
        <v>0</v>
      </c>
      <c r="P244" s="34"/>
      <c r="Q244" s="34"/>
      <c r="R244" s="34"/>
      <c r="S244" s="34"/>
      <c r="T244" s="34"/>
      <c r="U244" s="34"/>
      <c r="V244" s="34"/>
      <c r="W244" s="34"/>
      <c r="X244" s="34"/>
      <c r="Y244" s="34"/>
      <c r="Z244" s="34"/>
      <c r="AA244" s="38">
        <f t="shared" si="18"/>
        <v>0</v>
      </c>
      <c r="AB244" s="38">
        <f t="shared" si="19"/>
        <v>0</v>
      </c>
      <c r="AC244" s="23"/>
      <c r="AD244" s="23"/>
      <c r="AE244" s="23" t="e">
        <f>IF(#REF!=#REF!,1,0)</f>
        <v>#REF!</v>
      </c>
      <c r="AF244" s="24"/>
      <c r="AG244" s="24"/>
      <c r="AH244" s="24"/>
      <c r="AI244" s="24"/>
      <c r="AJ244" s="27"/>
      <c r="AK244" s="27"/>
      <c r="AL244" s="27"/>
      <c r="AM244" s="27"/>
      <c r="AN244" s="27"/>
      <c r="AO244" s="27"/>
      <c r="AP244" s="27"/>
      <c r="AQ244" s="27"/>
      <c r="AR244" s="27"/>
      <c r="AS244" s="27"/>
      <c r="AT244" s="27"/>
    </row>
    <row r="245" spans="2:46" s="3" customFormat="1" x14ac:dyDescent="0.25">
      <c r="B245" s="30"/>
      <c r="C245" s="31"/>
      <c r="D245" s="32"/>
      <c r="E245" s="33"/>
      <c r="F245" s="34"/>
      <c r="G245" s="34"/>
      <c r="H245" s="34"/>
      <c r="I245" s="34"/>
      <c r="J245" s="34"/>
      <c r="K245" s="34"/>
      <c r="L245" s="34"/>
      <c r="M245" s="34"/>
      <c r="N245" s="34"/>
      <c r="O245" s="38">
        <f t="shared" si="17"/>
        <v>0</v>
      </c>
      <c r="P245" s="34"/>
      <c r="Q245" s="34"/>
      <c r="R245" s="34"/>
      <c r="S245" s="34"/>
      <c r="T245" s="34"/>
      <c r="U245" s="34"/>
      <c r="V245" s="34"/>
      <c r="W245" s="34"/>
      <c r="X245" s="34"/>
      <c r="Y245" s="34"/>
      <c r="Z245" s="34"/>
      <c r="AA245" s="38">
        <f t="shared" si="18"/>
        <v>0</v>
      </c>
      <c r="AB245" s="38">
        <f t="shared" si="19"/>
        <v>0</v>
      </c>
      <c r="AC245" s="23"/>
      <c r="AD245" s="23"/>
      <c r="AE245" s="23" t="e">
        <f>IF(#REF!=#REF!,1,0)</f>
        <v>#REF!</v>
      </c>
      <c r="AF245" s="24"/>
      <c r="AG245" s="24"/>
      <c r="AH245" s="24"/>
      <c r="AI245" s="24"/>
      <c r="AJ245" s="27"/>
      <c r="AK245" s="27"/>
      <c r="AL245" s="27"/>
      <c r="AM245" s="27"/>
      <c r="AN245" s="27"/>
      <c r="AO245" s="27"/>
      <c r="AP245" s="27"/>
      <c r="AQ245" s="27"/>
      <c r="AR245" s="27"/>
      <c r="AS245" s="27"/>
      <c r="AT245" s="27"/>
    </row>
    <row r="246" spans="2:46" s="3" customFormat="1" x14ac:dyDescent="0.25">
      <c r="B246" s="30"/>
      <c r="C246" s="31"/>
      <c r="D246" s="32"/>
      <c r="E246" s="33"/>
      <c r="F246" s="34"/>
      <c r="G246" s="34"/>
      <c r="H246" s="34"/>
      <c r="I246" s="34"/>
      <c r="J246" s="34"/>
      <c r="K246" s="34"/>
      <c r="L246" s="34"/>
      <c r="M246" s="34"/>
      <c r="N246" s="34"/>
      <c r="O246" s="38">
        <f t="shared" si="17"/>
        <v>0</v>
      </c>
      <c r="P246" s="34"/>
      <c r="Q246" s="34"/>
      <c r="R246" s="34"/>
      <c r="S246" s="34"/>
      <c r="T246" s="34"/>
      <c r="U246" s="34"/>
      <c r="V246" s="34"/>
      <c r="W246" s="34"/>
      <c r="X246" s="34"/>
      <c r="Y246" s="34"/>
      <c r="Z246" s="34"/>
      <c r="AA246" s="38">
        <f t="shared" si="18"/>
        <v>0</v>
      </c>
      <c r="AB246" s="38">
        <f t="shared" si="19"/>
        <v>0</v>
      </c>
      <c r="AC246" s="23"/>
      <c r="AD246" s="23"/>
      <c r="AE246" s="23" t="e">
        <f>IF(#REF!=#REF!,1,0)</f>
        <v>#REF!</v>
      </c>
      <c r="AF246" s="24"/>
      <c r="AG246" s="24"/>
      <c r="AH246" s="24"/>
      <c r="AI246" s="24"/>
      <c r="AJ246" s="27"/>
      <c r="AK246" s="27"/>
      <c r="AL246" s="27"/>
      <c r="AM246" s="27"/>
      <c r="AN246" s="27"/>
      <c r="AO246" s="27"/>
      <c r="AP246" s="27"/>
      <c r="AQ246" s="27"/>
      <c r="AR246" s="27"/>
      <c r="AS246" s="27"/>
      <c r="AT246" s="27"/>
    </row>
    <row r="247" spans="2:46" s="3" customFormat="1" x14ac:dyDescent="0.25">
      <c r="B247" s="30"/>
      <c r="C247" s="31"/>
      <c r="D247" s="32"/>
      <c r="E247" s="33"/>
      <c r="F247" s="34"/>
      <c r="G247" s="34"/>
      <c r="H247" s="34"/>
      <c r="I247" s="34"/>
      <c r="J247" s="34"/>
      <c r="K247" s="34"/>
      <c r="L247" s="34"/>
      <c r="M247" s="34"/>
      <c r="N247" s="34"/>
      <c r="O247" s="38">
        <f t="shared" si="17"/>
        <v>0</v>
      </c>
      <c r="P247" s="34"/>
      <c r="Q247" s="34"/>
      <c r="R247" s="34"/>
      <c r="S247" s="34"/>
      <c r="T247" s="34"/>
      <c r="U247" s="34"/>
      <c r="V247" s="34"/>
      <c r="W247" s="34"/>
      <c r="X247" s="34"/>
      <c r="Y247" s="34"/>
      <c r="Z247" s="34"/>
      <c r="AA247" s="38">
        <f t="shared" si="18"/>
        <v>0</v>
      </c>
      <c r="AB247" s="38">
        <f t="shared" si="19"/>
        <v>0</v>
      </c>
      <c r="AC247" s="23"/>
      <c r="AD247" s="23"/>
      <c r="AE247" s="23" t="e">
        <f>IF(#REF!=#REF!,1,0)</f>
        <v>#REF!</v>
      </c>
      <c r="AF247" s="24"/>
      <c r="AG247" s="24"/>
      <c r="AH247" s="24"/>
      <c r="AI247" s="24"/>
      <c r="AJ247" s="27"/>
      <c r="AK247" s="27"/>
      <c r="AL247" s="27"/>
      <c r="AM247" s="27"/>
      <c r="AN247" s="27"/>
      <c r="AO247" s="27"/>
      <c r="AP247" s="27"/>
      <c r="AQ247" s="27"/>
      <c r="AR247" s="27"/>
      <c r="AS247" s="27"/>
      <c r="AT247" s="27"/>
    </row>
    <row r="248" spans="2:46" s="3" customFormat="1" x14ac:dyDescent="0.25">
      <c r="B248" s="30"/>
      <c r="C248" s="31"/>
      <c r="D248" s="32"/>
      <c r="E248" s="33"/>
      <c r="F248" s="34"/>
      <c r="G248" s="34"/>
      <c r="H248" s="34"/>
      <c r="I248" s="34"/>
      <c r="J248" s="34"/>
      <c r="K248" s="34"/>
      <c r="L248" s="34"/>
      <c r="M248" s="34"/>
      <c r="N248" s="34"/>
      <c r="O248" s="38">
        <f t="shared" si="17"/>
        <v>0</v>
      </c>
      <c r="P248" s="34"/>
      <c r="Q248" s="34"/>
      <c r="R248" s="34"/>
      <c r="S248" s="34"/>
      <c r="T248" s="34"/>
      <c r="U248" s="34"/>
      <c r="V248" s="34"/>
      <c r="W248" s="34"/>
      <c r="X248" s="34"/>
      <c r="Y248" s="34"/>
      <c r="Z248" s="34"/>
      <c r="AA248" s="38">
        <f t="shared" si="18"/>
        <v>0</v>
      </c>
      <c r="AB248" s="38">
        <f t="shared" si="19"/>
        <v>0</v>
      </c>
      <c r="AC248" s="23"/>
      <c r="AD248" s="23"/>
      <c r="AE248" s="23" t="e">
        <f>IF(#REF!=#REF!,1,0)</f>
        <v>#REF!</v>
      </c>
      <c r="AF248" s="24"/>
      <c r="AG248" s="24"/>
      <c r="AH248" s="24"/>
      <c r="AI248" s="24"/>
      <c r="AJ248" s="27"/>
      <c r="AK248" s="27"/>
      <c r="AL248" s="27"/>
      <c r="AM248" s="27"/>
      <c r="AN248" s="27"/>
      <c r="AO248" s="27"/>
      <c r="AP248" s="27"/>
      <c r="AQ248" s="27"/>
      <c r="AR248" s="27"/>
      <c r="AS248" s="27"/>
      <c r="AT248" s="27"/>
    </row>
    <row r="249" spans="2:46" s="3" customFormat="1" x14ac:dyDescent="0.25">
      <c r="B249" s="30"/>
      <c r="C249" s="31"/>
      <c r="D249" s="32"/>
      <c r="E249" s="33"/>
      <c r="F249" s="34"/>
      <c r="G249" s="34"/>
      <c r="H249" s="34"/>
      <c r="I249" s="34"/>
      <c r="J249" s="34"/>
      <c r="K249" s="34"/>
      <c r="L249" s="34"/>
      <c r="M249" s="34"/>
      <c r="N249" s="34"/>
      <c r="O249" s="38">
        <f t="shared" si="17"/>
        <v>0</v>
      </c>
      <c r="P249" s="34"/>
      <c r="Q249" s="34"/>
      <c r="R249" s="34"/>
      <c r="S249" s="34"/>
      <c r="T249" s="34"/>
      <c r="U249" s="34"/>
      <c r="V249" s="34"/>
      <c r="W249" s="34"/>
      <c r="X249" s="34"/>
      <c r="Y249" s="34"/>
      <c r="Z249" s="34"/>
      <c r="AA249" s="38">
        <f t="shared" si="18"/>
        <v>0</v>
      </c>
      <c r="AB249" s="38">
        <f t="shared" si="19"/>
        <v>0</v>
      </c>
      <c r="AC249" s="23"/>
      <c r="AD249" s="23"/>
      <c r="AE249" s="23" t="e">
        <f>IF(#REF!=#REF!,1,0)</f>
        <v>#REF!</v>
      </c>
      <c r="AF249" s="24"/>
      <c r="AG249" s="24"/>
      <c r="AH249" s="24"/>
      <c r="AI249" s="24"/>
      <c r="AJ249" s="27"/>
      <c r="AK249" s="27"/>
      <c r="AL249" s="27"/>
      <c r="AM249" s="27"/>
      <c r="AN249" s="27"/>
      <c r="AO249" s="27"/>
      <c r="AP249" s="27"/>
      <c r="AQ249" s="27"/>
      <c r="AR249" s="27"/>
      <c r="AS249" s="27"/>
      <c r="AT249" s="27"/>
    </row>
    <row r="250" spans="2:46" s="3" customFormat="1" x14ac:dyDescent="0.25">
      <c r="B250" s="30"/>
      <c r="C250" s="31"/>
      <c r="D250" s="32"/>
      <c r="E250" s="33"/>
      <c r="F250" s="34"/>
      <c r="G250" s="34"/>
      <c r="H250" s="34"/>
      <c r="I250" s="34"/>
      <c r="J250" s="34"/>
      <c r="K250" s="34"/>
      <c r="L250" s="34"/>
      <c r="M250" s="34"/>
      <c r="N250" s="34"/>
      <c r="O250" s="38">
        <f t="shared" si="17"/>
        <v>0</v>
      </c>
      <c r="P250" s="34"/>
      <c r="Q250" s="34"/>
      <c r="R250" s="34"/>
      <c r="S250" s="34"/>
      <c r="T250" s="34"/>
      <c r="U250" s="34"/>
      <c r="V250" s="34"/>
      <c r="W250" s="34"/>
      <c r="X250" s="34"/>
      <c r="Y250" s="34"/>
      <c r="Z250" s="34"/>
      <c r="AA250" s="38">
        <f t="shared" si="18"/>
        <v>0</v>
      </c>
      <c r="AB250" s="38">
        <f t="shared" si="19"/>
        <v>0</v>
      </c>
      <c r="AC250" s="23"/>
      <c r="AD250" s="23"/>
      <c r="AE250" s="23" t="e">
        <f>IF(#REF!=#REF!,1,0)</f>
        <v>#REF!</v>
      </c>
      <c r="AF250" s="24"/>
      <c r="AG250" s="24"/>
      <c r="AH250" s="24"/>
      <c r="AI250" s="24"/>
      <c r="AJ250" s="27"/>
      <c r="AK250" s="27"/>
      <c r="AL250" s="27"/>
      <c r="AM250" s="27"/>
      <c r="AN250" s="27"/>
      <c r="AO250" s="27"/>
      <c r="AP250" s="27"/>
      <c r="AQ250" s="27"/>
      <c r="AR250" s="27"/>
      <c r="AS250" s="27"/>
      <c r="AT250" s="27"/>
    </row>
    <row r="251" spans="2:46" s="3" customFormat="1" x14ac:dyDescent="0.25">
      <c r="B251" s="30"/>
      <c r="C251" s="31"/>
      <c r="D251" s="32"/>
      <c r="E251" s="33"/>
      <c r="F251" s="34"/>
      <c r="G251" s="34"/>
      <c r="H251" s="34"/>
      <c r="I251" s="34"/>
      <c r="J251" s="34"/>
      <c r="K251" s="34"/>
      <c r="L251" s="34"/>
      <c r="M251" s="34"/>
      <c r="N251" s="34"/>
      <c r="O251" s="38">
        <f t="shared" si="17"/>
        <v>0</v>
      </c>
      <c r="P251" s="34"/>
      <c r="Q251" s="34"/>
      <c r="R251" s="34"/>
      <c r="S251" s="34"/>
      <c r="T251" s="34"/>
      <c r="U251" s="34"/>
      <c r="V251" s="34"/>
      <c r="W251" s="34"/>
      <c r="X251" s="34"/>
      <c r="Y251" s="34"/>
      <c r="Z251" s="34"/>
      <c r="AA251" s="38">
        <f t="shared" si="18"/>
        <v>0</v>
      </c>
      <c r="AB251" s="38">
        <f t="shared" si="19"/>
        <v>0</v>
      </c>
      <c r="AC251" s="23"/>
      <c r="AD251" s="23"/>
      <c r="AE251" s="23" t="e">
        <f>IF(#REF!=#REF!,1,0)</f>
        <v>#REF!</v>
      </c>
      <c r="AF251" s="24"/>
      <c r="AG251" s="24"/>
      <c r="AH251" s="24"/>
      <c r="AI251" s="24"/>
      <c r="AJ251" s="27"/>
      <c r="AK251" s="27"/>
      <c r="AL251" s="27"/>
      <c r="AM251" s="27"/>
      <c r="AN251" s="27"/>
      <c r="AO251" s="27"/>
      <c r="AP251" s="27"/>
      <c r="AQ251" s="27"/>
      <c r="AR251" s="27"/>
      <c r="AS251" s="27"/>
      <c r="AT251" s="27"/>
    </row>
    <row r="252" spans="2:46" s="3" customFormat="1" x14ac:dyDescent="0.25">
      <c r="B252" s="30"/>
      <c r="C252" s="31"/>
      <c r="D252" s="32"/>
      <c r="E252" s="33"/>
      <c r="F252" s="34"/>
      <c r="G252" s="34"/>
      <c r="H252" s="34"/>
      <c r="I252" s="34"/>
      <c r="J252" s="34"/>
      <c r="K252" s="34"/>
      <c r="L252" s="34"/>
      <c r="M252" s="34"/>
      <c r="N252" s="34"/>
      <c r="O252" s="38">
        <f t="shared" si="17"/>
        <v>0</v>
      </c>
      <c r="P252" s="34"/>
      <c r="Q252" s="34"/>
      <c r="R252" s="34"/>
      <c r="S252" s="34"/>
      <c r="T252" s="34"/>
      <c r="U252" s="34"/>
      <c r="V252" s="34"/>
      <c r="W252" s="34"/>
      <c r="X252" s="34"/>
      <c r="Y252" s="34"/>
      <c r="Z252" s="34"/>
      <c r="AA252" s="38">
        <f t="shared" si="18"/>
        <v>0</v>
      </c>
      <c r="AB252" s="38">
        <f t="shared" si="19"/>
        <v>0</v>
      </c>
      <c r="AC252" s="23"/>
      <c r="AD252" s="23"/>
      <c r="AE252" s="23" t="e">
        <f>IF(#REF!=#REF!,1,0)</f>
        <v>#REF!</v>
      </c>
      <c r="AF252" s="24"/>
      <c r="AG252" s="24"/>
      <c r="AH252" s="24"/>
      <c r="AI252" s="24"/>
      <c r="AJ252" s="27"/>
      <c r="AK252" s="27"/>
      <c r="AL252" s="27"/>
      <c r="AM252" s="27"/>
      <c r="AN252" s="27"/>
      <c r="AO252" s="27"/>
      <c r="AP252" s="27"/>
      <c r="AQ252" s="27"/>
      <c r="AR252" s="27"/>
      <c r="AS252" s="27"/>
      <c r="AT252" s="27"/>
    </row>
    <row r="253" spans="2:46" s="3" customFormat="1" x14ac:dyDescent="0.25">
      <c r="B253" s="30"/>
      <c r="C253" s="31"/>
      <c r="D253" s="32"/>
      <c r="E253" s="33"/>
      <c r="F253" s="34"/>
      <c r="G253" s="34"/>
      <c r="H253" s="34"/>
      <c r="I253" s="34"/>
      <c r="J253" s="34"/>
      <c r="K253" s="34"/>
      <c r="L253" s="34"/>
      <c r="M253" s="34"/>
      <c r="N253" s="34"/>
      <c r="O253" s="38">
        <f t="shared" si="17"/>
        <v>0</v>
      </c>
      <c r="P253" s="34"/>
      <c r="Q253" s="34"/>
      <c r="R253" s="34"/>
      <c r="S253" s="34"/>
      <c r="T253" s="34"/>
      <c r="U253" s="34"/>
      <c r="V253" s="34"/>
      <c r="W253" s="34"/>
      <c r="X253" s="34"/>
      <c r="Y253" s="34"/>
      <c r="Z253" s="34"/>
      <c r="AA253" s="38">
        <f t="shared" si="18"/>
        <v>0</v>
      </c>
      <c r="AB253" s="38">
        <f t="shared" si="19"/>
        <v>0</v>
      </c>
      <c r="AC253" s="23"/>
      <c r="AD253" s="23"/>
      <c r="AE253" s="23" t="e">
        <f>IF(#REF!=#REF!,1,0)</f>
        <v>#REF!</v>
      </c>
      <c r="AF253" s="24"/>
      <c r="AG253" s="24"/>
      <c r="AH253" s="24"/>
      <c r="AI253" s="24"/>
      <c r="AJ253" s="27"/>
      <c r="AK253" s="27"/>
      <c r="AL253" s="27"/>
      <c r="AM253" s="27"/>
      <c r="AN253" s="27"/>
      <c r="AO253" s="27"/>
      <c r="AP253" s="27"/>
      <c r="AQ253" s="27"/>
      <c r="AR253" s="27"/>
      <c r="AS253" s="27"/>
      <c r="AT253" s="27"/>
    </row>
    <row r="254" spans="2:46" s="3" customFormat="1" x14ac:dyDescent="0.25">
      <c r="B254" s="30"/>
      <c r="C254" s="31"/>
      <c r="D254" s="32"/>
      <c r="E254" s="33"/>
      <c r="F254" s="34"/>
      <c r="G254" s="34"/>
      <c r="H254" s="34"/>
      <c r="I254" s="34"/>
      <c r="J254" s="34"/>
      <c r="K254" s="34"/>
      <c r="L254" s="34"/>
      <c r="M254" s="34"/>
      <c r="N254" s="34"/>
      <c r="O254" s="38">
        <f t="shared" si="17"/>
        <v>0</v>
      </c>
      <c r="P254" s="34"/>
      <c r="Q254" s="34"/>
      <c r="R254" s="34"/>
      <c r="S254" s="34"/>
      <c r="T254" s="34"/>
      <c r="U254" s="34"/>
      <c r="V254" s="34"/>
      <c r="W254" s="34"/>
      <c r="X254" s="34"/>
      <c r="Y254" s="34"/>
      <c r="Z254" s="34"/>
      <c r="AA254" s="38">
        <f t="shared" si="18"/>
        <v>0</v>
      </c>
      <c r="AB254" s="38">
        <f t="shared" si="19"/>
        <v>0</v>
      </c>
      <c r="AC254" s="23"/>
      <c r="AD254" s="23"/>
      <c r="AE254" s="23" t="e">
        <f>IF(#REF!=#REF!,1,0)</f>
        <v>#REF!</v>
      </c>
      <c r="AF254" s="24"/>
      <c r="AG254" s="24"/>
      <c r="AH254" s="24"/>
      <c r="AI254" s="24"/>
      <c r="AJ254" s="27"/>
      <c r="AK254" s="27"/>
      <c r="AL254" s="27"/>
      <c r="AM254" s="27"/>
      <c r="AN254" s="27"/>
      <c r="AO254" s="27"/>
      <c r="AP254" s="27"/>
      <c r="AQ254" s="27"/>
      <c r="AR254" s="27"/>
      <c r="AS254" s="27"/>
      <c r="AT254" s="27"/>
    </row>
    <row r="255" spans="2:46" s="3" customFormat="1" x14ac:dyDescent="0.25">
      <c r="B255" s="30"/>
      <c r="C255" s="31"/>
      <c r="D255" s="32"/>
      <c r="E255" s="33"/>
      <c r="F255" s="34"/>
      <c r="G255" s="34"/>
      <c r="H255" s="34"/>
      <c r="I255" s="34"/>
      <c r="J255" s="34"/>
      <c r="K255" s="34"/>
      <c r="L255" s="34"/>
      <c r="M255" s="34"/>
      <c r="N255" s="34"/>
      <c r="O255" s="38">
        <f t="shared" si="17"/>
        <v>0</v>
      </c>
      <c r="P255" s="34"/>
      <c r="Q255" s="34"/>
      <c r="R255" s="34"/>
      <c r="S255" s="34"/>
      <c r="T255" s="34"/>
      <c r="U255" s="34"/>
      <c r="V255" s="34"/>
      <c r="W255" s="34"/>
      <c r="X255" s="34"/>
      <c r="Y255" s="34"/>
      <c r="Z255" s="34"/>
      <c r="AA255" s="38">
        <f t="shared" si="18"/>
        <v>0</v>
      </c>
      <c r="AB255" s="38">
        <f t="shared" si="19"/>
        <v>0</v>
      </c>
      <c r="AC255" s="23"/>
      <c r="AD255" s="23"/>
      <c r="AE255" s="23" t="e">
        <f>IF(#REF!=#REF!,1,0)</f>
        <v>#REF!</v>
      </c>
      <c r="AF255" s="24"/>
      <c r="AG255" s="24"/>
      <c r="AH255" s="24"/>
      <c r="AI255" s="24"/>
      <c r="AJ255" s="27"/>
      <c r="AK255" s="27"/>
      <c r="AL255" s="27"/>
      <c r="AM255" s="27"/>
      <c r="AN255" s="27"/>
      <c r="AO255" s="27"/>
      <c r="AP255" s="27"/>
      <c r="AQ255" s="27"/>
      <c r="AR255" s="27"/>
      <c r="AS255" s="27"/>
      <c r="AT255" s="27"/>
    </row>
    <row r="256" spans="2:46" s="3" customFormat="1" x14ac:dyDescent="0.25">
      <c r="B256" s="30"/>
      <c r="C256" s="31"/>
      <c r="D256" s="32"/>
      <c r="E256" s="33"/>
      <c r="F256" s="34"/>
      <c r="G256" s="34"/>
      <c r="H256" s="34"/>
      <c r="I256" s="34"/>
      <c r="J256" s="34"/>
      <c r="K256" s="34"/>
      <c r="L256" s="34"/>
      <c r="M256" s="34"/>
      <c r="N256" s="34"/>
      <c r="O256" s="38">
        <f t="shared" si="17"/>
        <v>0</v>
      </c>
      <c r="P256" s="34"/>
      <c r="Q256" s="34"/>
      <c r="R256" s="34"/>
      <c r="S256" s="34"/>
      <c r="T256" s="34"/>
      <c r="U256" s="34"/>
      <c r="V256" s="34"/>
      <c r="W256" s="34"/>
      <c r="X256" s="34"/>
      <c r="Y256" s="34"/>
      <c r="Z256" s="34"/>
      <c r="AA256" s="38">
        <f t="shared" si="18"/>
        <v>0</v>
      </c>
      <c r="AB256" s="38">
        <f t="shared" si="19"/>
        <v>0</v>
      </c>
      <c r="AC256" s="23"/>
      <c r="AD256" s="23"/>
      <c r="AE256" s="23" t="e">
        <f>IF(#REF!=#REF!,1,0)</f>
        <v>#REF!</v>
      </c>
      <c r="AF256" s="24"/>
      <c r="AG256" s="24"/>
      <c r="AH256" s="24"/>
      <c r="AI256" s="24"/>
      <c r="AJ256" s="27"/>
      <c r="AK256" s="27"/>
      <c r="AL256" s="27"/>
      <c r="AM256" s="27"/>
      <c r="AN256" s="27"/>
      <c r="AO256" s="27"/>
      <c r="AP256" s="27"/>
      <c r="AQ256" s="27"/>
      <c r="AR256" s="27"/>
      <c r="AS256" s="27"/>
      <c r="AT256" s="27"/>
    </row>
    <row r="257" spans="2:46" s="3" customFormat="1" x14ac:dyDescent="0.25">
      <c r="B257" s="30"/>
      <c r="C257" s="31"/>
      <c r="D257" s="32"/>
      <c r="E257" s="33"/>
      <c r="F257" s="34"/>
      <c r="G257" s="34"/>
      <c r="H257" s="34"/>
      <c r="I257" s="34"/>
      <c r="J257" s="34"/>
      <c r="K257" s="34"/>
      <c r="L257" s="34"/>
      <c r="M257" s="34"/>
      <c r="N257" s="34"/>
      <c r="O257" s="38">
        <f t="shared" si="17"/>
        <v>0</v>
      </c>
      <c r="P257" s="34"/>
      <c r="Q257" s="34"/>
      <c r="R257" s="34"/>
      <c r="S257" s="34"/>
      <c r="T257" s="34"/>
      <c r="U257" s="34"/>
      <c r="V257" s="34"/>
      <c r="W257" s="34"/>
      <c r="X257" s="34"/>
      <c r="Y257" s="34"/>
      <c r="Z257" s="34"/>
      <c r="AA257" s="38">
        <f t="shared" si="18"/>
        <v>0</v>
      </c>
      <c r="AB257" s="38">
        <f t="shared" si="19"/>
        <v>0</v>
      </c>
      <c r="AC257" s="23"/>
      <c r="AD257" s="23"/>
      <c r="AE257" s="23" t="e">
        <f>IF(#REF!=#REF!,1,0)</f>
        <v>#REF!</v>
      </c>
      <c r="AF257" s="24"/>
      <c r="AG257" s="24"/>
      <c r="AH257" s="24"/>
      <c r="AI257" s="24"/>
      <c r="AJ257" s="27"/>
      <c r="AK257" s="27"/>
      <c r="AL257" s="27"/>
      <c r="AM257" s="27"/>
      <c r="AN257" s="27"/>
      <c r="AO257" s="27"/>
      <c r="AP257" s="27"/>
      <c r="AQ257" s="27"/>
      <c r="AR257" s="27"/>
      <c r="AS257" s="27"/>
      <c r="AT257" s="27"/>
    </row>
    <row r="258" spans="2:46" s="3" customFormat="1" x14ac:dyDescent="0.25">
      <c r="B258" s="30"/>
      <c r="C258" s="31"/>
      <c r="D258" s="32"/>
      <c r="E258" s="33"/>
      <c r="F258" s="34"/>
      <c r="G258" s="34"/>
      <c r="H258" s="34"/>
      <c r="I258" s="34"/>
      <c r="J258" s="34"/>
      <c r="K258" s="34"/>
      <c r="L258" s="34"/>
      <c r="M258" s="34"/>
      <c r="N258" s="34"/>
      <c r="O258" s="38">
        <f t="shared" si="17"/>
        <v>0</v>
      </c>
      <c r="P258" s="34"/>
      <c r="Q258" s="34"/>
      <c r="R258" s="34"/>
      <c r="S258" s="34"/>
      <c r="T258" s="34"/>
      <c r="U258" s="34"/>
      <c r="V258" s="34"/>
      <c r="W258" s="34"/>
      <c r="X258" s="34"/>
      <c r="Y258" s="34"/>
      <c r="Z258" s="34"/>
      <c r="AA258" s="38">
        <f t="shared" si="18"/>
        <v>0</v>
      </c>
      <c r="AB258" s="38">
        <f t="shared" si="19"/>
        <v>0</v>
      </c>
      <c r="AC258" s="23"/>
      <c r="AD258" s="23"/>
      <c r="AE258" s="23" t="e">
        <f>IF(#REF!=#REF!,1,0)</f>
        <v>#REF!</v>
      </c>
      <c r="AF258" s="24"/>
      <c r="AG258" s="24"/>
      <c r="AH258" s="24"/>
      <c r="AI258" s="24"/>
      <c r="AJ258" s="27"/>
      <c r="AK258" s="27"/>
      <c r="AL258" s="27"/>
      <c r="AM258" s="27"/>
      <c r="AN258" s="27"/>
      <c r="AO258" s="27"/>
      <c r="AP258" s="27"/>
      <c r="AQ258" s="27"/>
      <c r="AR258" s="27"/>
      <c r="AS258" s="27"/>
      <c r="AT258" s="27"/>
    </row>
    <row r="259" spans="2:46" s="3" customFormat="1" x14ac:dyDescent="0.25">
      <c r="B259" s="30"/>
      <c r="C259" s="31"/>
      <c r="D259" s="32"/>
      <c r="E259" s="33"/>
      <c r="F259" s="34"/>
      <c r="G259" s="34"/>
      <c r="H259" s="34"/>
      <c r="I259" s="34"/>
      <c r="J259" s="34"/>
      <c r="K259" s="34"/>
      <c r="L259" s="34"/>
      <c r="M259" s="34"/>
      <c r="N259" s="34"/>
      <c r="O259" s="38">
        <f t="shared" si="17"/>
        <v>0</v>
      </c>
      <c r="P259" s="34"/>
      <c r="Q259" s="34"/>
      <c r="R259" s="34"/>
      <c r="S259" s="34"/>
      <c r="T259" s="34"/>
      <c r="U259" s="34"/>
      <c r="V259" s="34"/>
      <c r="W259" s="34"/>
      <c r="X259" s="34"/>
      <c r="Y259" s="34"/>
      <c r="Z259" s="34"/>
      <c r="AA259" s="38">
        <f t="shared" si="18"/>
        <v>0</v>
      </c>
      <c r="AB259" s="38">
        <f t="shared" si="19"/>
        <v>0</v>
      </c>
      <c r="AC259" s="23"/>
      <c r="AD259" s="23"/>
      <c r="AE259" s="23" t="e">
        <f>IF(#REF!=#REF!,1,0)</f>
        <v>#REF!</v>
      </c>
      <c r="AF259" s="24"/>
      <c r="AG259" s="24"/>
      <c r="AH259" s="24"/>
      <c r="AI259" s="24"/>
      <c r="AJ259" s="27"/>
      <c r="AK259" s="27"/>
      <c r="AL259" s="27"/>
      <c r="AM259" s="27"/>
      <c r="AN259" s="27"/>
      <c r="AO259" s="27"/>
      <c r="AP259" s="27"/>
      <c r="AQ259" s="27"/>
      <c r="AR259" s="27"/>
      <c r="AS259" s="27"/>
      <c r="AT259" s="27"/>
    </row>
    <row r="260" spans="2:46" s="3" customFormat="1" x14ac:dyDescent="0.25">
      <c r="B260" s="30"/>
      <c r="C260" s="31"/>
      <c r="D260" s="32"/>
      <c r="E260" s="33"/>
      <c r="F260" s="34"/>
      <c r="G260" s="34"/>
      <c r="H260" s="34"/>
      <c r="I260" s="34"/>
      <c r="J260" s="34"/>
      <c r="K260" s="34"/>
      <c r="L260" s="34"/>
      <c r="M260" s="34"/>
      <c r="N260" s="34"/>
      <c r="O260" s="38">
        <f t="shared" si="17"/>
        <v>0</v>
      </c>
      <c r="P260" s="34"/>
      <c r="Q260" s="34"/>
      <c r="R260" s="34"/>
      <c r="S260" s="34"/>
      <c r="T260" s="34"/>
      <c r="U260" s="34"/>
      <c r="V260" s="34"/>
      <c r="W260" s="34"/>
      <c r="X260" s="34"/>
      <c r="Y260" s="34"/>
      <c r="Z260" s="34"/>
      <c r="AA260" s="38">
        <f t="shared" si="18"/>
        <v>0</v>
      </c>
      <c r="AB260" s="38">
        <f t="shared" si="19"/>
        <v>0</v>
      </c>
      <c r="AC260" s="23"/>
      <c r="AD260" s="23"/>
      <c r="AE260" s="23" t="e">
        <f>IF(#REF!=#REF!,1,0)</f>
        <v>#REF!</v>
      </c>
      <c r="AF260" s="24"/>
      <c r="AG260" s="24"/>
      <c r="AH260" s="24"/>
      <c r="AI260" s="24"/>
      <c r="AJ260" s="27"/>
      <c r="AK260" s="27"/>
      <c r="AL260" s="27"/>
      <c r="AM260" s="27"/>
      <c r="AN260" s="27"/>
      <c r="AO260" s="27"/>
      <c r="AP260" s="27"/>
      <c r="AQ260" s="27"/>
      <c r="AR260" s="27"/>
      <c r="AS260" s="27"/>
      <c r="AT260" s="27"/>
    </row>
    <row r="261" spans="2:46" s="3" customFormat="1" x14ac:dyDescent="0.25">
      <c r="B261" s="30"/>
      <c r="C261" s="31"/>
      <c r="D261" s="32"/>
      <c r="E261" s="33"/>
      <c r="F261" s="34"/>
      <c r="G261" s="34"/>
      <c r="H261" s="34"/>
      <c r="I261" s="34"/>
      <c r="J261" s="34"/>
      <c r="K261" s="34"/>
      <c r="L261" s="34"/>
      <c r="M261" s="34"/>
      <c r="N261" s="34"/>
      <c r="O261" s="38">
        <f t="shared" si="17"/>
        <v>0</v>
      </c>
      <c r="P261" s="34"/>
      <c r="Q261" s="34"/>
      <c r="R261" s="34"/>
      <c r="S261" s="34"/>
      <c r="T261" s="34"/>
      <c r="U261" s="34"/>
      <c r="V261" s="34"/>
      <c r="W261" s="34"/>
      <c r="X261" s="34"/>
      <c r="Y261" s="34"/>
      <c r="Z261" s="34"/>
      <c r="AA261" s="38">
        <f t="shared" si="18"/>
        <v>0</v>
      </c>
      <c r="AB261" s="38">
        <f t="shared" si="19"/>
        <v>0</v>
      </c>
      <c r="AC261" s="23"/>
      <c r="AD261" s="23"/>
      <c r="AE261" s="23" t="e">
        <f>IF(#REF!=#REF!,1,0)</f>
        <v>#REF!</v>
      </c>
      <c r="AF261" s="24"/>
      <c r="AG261" s="24"/>
      <c r="AH261" s="24"/>
      <c r="AI261" s="24"/>
      <c r="AJ261" s="27"/>
      <c r="AK261" s="27"/>
      <c r="AL261" s="27"/>
      <c r="AM261" s="27"/>
      <c r="AN261" s="27"/>
      <c r="AO261" s="27"/>
      <c r="AP261" s="27"/>
      <c r="AQ261" s="27"/>
      <c r="AR261" s="27"/>
      <c r="AS261" s="27"/>
      <c r="AT261" s="27"/>
    </row>
    <row r="262" spans="2:46" s="3" customFormat="1" x14ac:dyDescent="0.25">
      <c r="B262" s="30"/>
      <c r="C262" s="31"/>
      <c r="D262" s="32"/>
      <c r="E262" s="33"/>
      <c r="F262" s="34"/>
      <c r="G262" s="34"/>
      <c r="H262" s="34"/>
      <c r="I262" s="34"/>
      <c r="J262" s="34"/>
      <c r="K262" s="34"/>
      <c r="L262" s="34"/>
      <c r="M262" s="34"/>
      <c r="N262" s="34"/>
      <c r="O262" s="38">
        <f t="shared" si="17"/>
        <v>0</v>
      </c>
      <c r="P262" s="34"/>
      <c r="Q262" s="34"/>
      <c r="R262" s="34"/>
      <c r="S262" s="34"/>
      <c r="T262" s="34"/>
      <c r="U262" s="34"/>
      <c r="V262" s="34"/>
      <c r="W262" s="34"/>
      <c r="X262" s="34"/>
      <c r="Y262" s="34"/>
      <c r="Z262" s="34"/>
      <c r="AA262" s="38">
        <f t="shared" si="18"/>
        <v>0</v>
      </c>
      <c r="AB262" s="38">
        <f t="shared" si="19"/>
        <v>0</v>
      </c>
      <c r="AC262" s="23"/>
      <c r="AD262" s="23"/>
      <c r="AE262" s="23" t="e">
        <f>IF(#REF!=#REF!,1,0)</f>
        <v>#REF!</v>
      </c>
      <c r="AF262" s="24"/>
      <c r="AG262" s="24"/>
      <c r="AH262" s="24"/>
      <c r="AI262" s="24"/>
      <c r="AJ262" s="27"/>
      <c r="AK262" s="27"/>
      <c r="AL262" s="27"/>
      <c r="AM262" s="27"/>
      <c r="AN262" s="27"/>
      <c r="AO262" s="27"/>
      <c r="AP262" s="27"/>
      <c r="AQ262" s="27"/>
      <c r="AR262" s="27"/>
      <c r="AS262" s="27"/>
      <c r="AT262" s="27"/>
    </row>
    <row r="263" spans="2:46" s="3" customFormat="1" x14ac:dyDescent="0.25">
      <c r="B263" s="30"/>
      <c r="C263" s="31"/>
      <c r="D263" s="32"/>
      <c r="E263" s="33"/>
      <c r="F263" s="34"/>
      <c r="G263" s="34"/>
      <c r="H263" s="34"/>
      <c r="I263" s="34"/>
      <c r="J263" s="34"/>
      <c r="K263" s="34"/>
      <c r="L263" s="34"/>
      <c r="M263" s="34"/>
      <c r="N263" s="34"/>
      <c r="O263" s="38">
        <f t="shared" si="17"/>
        <v>0</v>
      </c>
      <c r="P263" s="34"/>
      <c r="Q263" s="34"/>
      <c r="R263" s="34"/>
      <c r="S263" s="34"/>
      <c r="T263" s="34"/>
      <c r="U263" s="34"/>
      <c r="V263" s="34"/>
      <c r="W263" s="34"/>
      <c r="X263" s="34"/>
      <c r="Y263" s="34"/>
      <c r="Z263" s="34"/>
      <c r="AA263" s="38">
        <f t="shared" si="18"/>
        <v>0</v>
      </c>
      <c r="AB263" s="38">
        <f t="shared" si="19"/>
        <v>0</v>
      </c>
      <c r="AC263" s="23"/>
      <c r="AD263" s="23"/>
      <c r="AE263" s="23" t="e">
        <f>IF(#REF!=#REF!,1,0)</f>
        <v>#REF!</v>
      </c>
      <c r="AF263" s="24"/>
      <c r="AG263" s="24"/>
      <c r="AH263" s="24"/>
      <c r="AI263" s="24"/>
      <c r="AJ263" s="27"/>
      <c r="AK263" s="27"/>
      <c r="AL263" s="27"/>
      <c r="AM263" s="27"/>
      <c r="AN263" s="27"/>
      <c r="AO263" s="27"/>
      <c r="AP263" s="27"/>
      <c r="AQ263" s="27"/>
      <c r="AR263" s="27"/>
      <c r="AS263" s="27"/>
      <c r="AT263" s="27"/>
    </row>
    <row r="264" spans="2:46" s="3" customFormat="1" x14ac:dyDescent="0.25">
      <c r="B264" s="30"/>
      <c r="C264" s="31"/>
      <c r="D264" s="32"/>
      <c r="E264" s="33"/>
      <c r="F264" s="34"/>
      <c r="G264" s="34"/>
      <c r="H264" s="34"/>
      <c r="I264" s="34"/>
      <c r="J264" s="34"/>
      <c r="K264" s="34"/>
      <c r="L264" s="34"/>
      <c r="M264" s="34"/>
      <c r="N264" s="34"/>
      <c r="O264" s="38">
        <f t="shared" si="17"/>
        <v>0</v>
      </c>
      <c r="P264" s="34"/>
      <c r="Q264" s="34"/>
      <c r="R264" s="34"/>
      <c r="S264" s="34"/>
      <c r="T264" s="34"/>
      <c r="U264" s="34"/>
      <c r="V264" s="34"/>
      <c r="W264" s="34"/>
      <c r="X264" s="34"/>
      <c r="Y264" s="34"/>
      <c r="Z264" s="34"/>
      <c r="AA264" s="38">
        <f t="shared" si="18"/>
        <v>0</v>
      </c>
      <c r="AB264" s="38">
        <f t="shared" si="19"/>
        <v>0</v>
      </c>
      <c r="AC264" s="23"/>
      <c r="AD264" s="23"/>
      <c r="AE264" s="23" t="e">
        <f>IF(#REF!=#REF!,1,0)</f>
        <v>#REF!</v>
      </c>
      <c r="AF264" s="24"/>
      <c r="AG264" s="24"/>
      <c r="AH264" s="24"/>
      <c r="AI264" s="24"/>
      <c r="AJ264" s="27"/>
      <c r="AK264" s="27"/>
      <c r="AL264" s="27"/>
      <c r="AM264" s="27"/>
      <c r="AN264" s="27"/>
      <c r="AO264" s="27"/>
      <c r="AP264" s="27"/>
      <c r="AQ264" s="27"/>
      <c r="AR264" s="27"/>
      <c r="AS264" s="27"/>
      <c r="AT264" s="27"/>
    </row>
    <row r="265" spans="2:46" s="3" customFormat="1" x14ac:dyDescent="0.25">
      <c r="B265" s="30"/>
      <c r="C265" s="31"/>
      <c r="D265" s="32"/>
      <c r="E265" s="33"/>
      <c r="F265" s="34"/>
      <c r="G265" s="34"/>
      <c r="H265" s="34"/>
      <c r="I265" s="34"/>
      <c r="J265" s="34"/>
      <c r="K265" s="34"/>
      <c r="L265" s="34"/>
      <c r="M265" s="34"/>
      <c r="N265" s="34"/>
      <c r="O265" s="38">
        <f t="shared" si="17"/>
        <v>0</v>
      </c>
      <c r="P265" s="34"/>
      <c r="Q265" s="34"/>
      <c r="R265" s="34"/>
      <c r="S265" s="34"/>
      <c r="T265" s="34"/>
      <c r="U265" s="34"/>
      <c r="V265" s="34"/>
      <c r="W265" s="34"/>
      <c r="X265" s="34"/>
      <c r="Y265" s="34"/>
      <c r="Z265" s="34"/>
      <c r="AA265" s="38">
        <f t="shared" si="18"/>
        <v>0</v>
      </c>
      <c r="AB265" s="38">
        <f t="shared" si="19"/>
        <v>0</v>
      </c>
      <c r="AC265" s="23"/>
      <c r="AD265" s="23"/>
      <c r="AE265" s="23" t="e">
        <f>IF(#REF!=#REF!,1,0)</f>
        <v>#REF!</v>
      </c>
      <c r="AF265" s="24"/>
      <c r="AG265" s="24"/>
      <c r="AH265" s="24"/>
      <c r="AI265" s="24"/>
      <c r="AJ265" s="27"/>
      <c r="AK265" s="27"/>
      <c r="AL265" s="27"/>
      <c r="AM265" s="27"/>
      <c r="AN265" s="27"/>
      <c r="AO265" s="27"/>
      <c r="AP265" s="27"/>
      <c r="AQ265" s="27"/>
      <c r="AR265" s="27"/>
      <c r="AS265" s="27"/>
      <c r="AT265" s="27"/>
    </row>
    <row r="266" spans="2:46" s="3" customFormat="1" x14ac:dyDescent="0.25">
      <c r="B266" s="30"/>
      <c r="C266" s="31"/>
      <c r="D266" s="32"/>
      <c r="E266" s="33"/>
      <c r="F266" s="34"/>
      <c r="G266" s="34"/>
      <c r="H266" s="34"/>
      <c r="I266" s="34"/>
      <c r="J266" s="34"/>
      <c r="K266" s="34"/>
      <c r="L266" s="34"/>
      <c r="M266" s="34"/>
      <c r="N266" s="34"/>
      <c r="O266" s="38">
        <f t="shared" si="17"/>
        <v>0</v>
      </c>
      <c r="P266" s="34"/>
      <c r="Q266" s="34"/>
      <c r="R266" s="34"/>
      <c r="S266" s="34"/>
      <c r="T266" s="34"/>
      <c r="U266" s="34"/>
      <c r="V266" s="34"/>
      <c r="W266" s="34"/>
      <c r="X266" s="34"/>
      <c r="Y266" s="34"/>
      <c r="Z266" s="34"/>
      <c r="AA266" s="38">
        <f t="shared" si="18"/>
        <v>0</v>
      </c>
      <c r="AB266" s="38">
        <f t="shared" si="19"/>
        <v>0</v>
      </c>
      <c r="AC266" s="23"/>
      <c r="AD266" s="23"/>
      <c r="AE266" s="23" t="e">
        <f>IF(#REF!=#REF!,1,0)</f>
        <v>#REF!</v>
      </c>
      <c r="AF266" s="24"/>
      <c r="AG266" s="24"/>
      <c r="AH266" s="24"/>
      <c r="AI266" s="24"/>
      <c r="AJ266" s="27"/>
      <c r="AK266" s="27"/>
      <c r="AL266" s="27"/>
      <c r="AM266" s="27"/>
      <c r="AN266" s="27"/>
      <c r="AO266" s="27"/>
      <c r="AP266" s="27"/>
      <c r="AQ266" s="27"/>
      <c r="AR266" s="27"/>
      <c r="AS266" s="27"/>
      <c r="AT266" s="27"/>
    </row>
    <row r="267" spans="2:46" s="3" customFormat="1" x14ac:dyDescent="0.25">
      <c r="B267" s="30"/>
      <c r="C267" s="31"/>
      <c r="D267" s="32"/>
      <c r="E267" s="33"/>
      <c r="F267" s="34"/>
      <c r="G267" s="34"/>
      <c r="H267" s="34"/>
      <c r="I267" s="34"/>
      <c r="J267" s="34"/>
      <c r="K267" s="34"/>
      <c r="L267" s="34"/>
      <c r="M267" s="34"/>
      <c r="N267" s="34"/>
      <c r="O267" s="38">
        <f t="shared" si="17"/>
        <v>0</v>
      </c>
      <c r="P267" s="34"/>
      <c r="Q267" s="34"/>
      <c r="R267" s="34"/>
      <c r="S267" s="34"/>
      <c r="T267" s="34"/>
      <c r="U267" s="34"/>
      <c r="V267" s="34"/>
      <c r="W267" s="34"/>
      <c r="X267" s="34"/>
      <c r="Y267" s="34"/>
      <c r="Z267" s="34"/>
      <c r="AA267" s="38">
        <f t="shared" si="18"/>
        <v>0</v>
      </c>
      <c r="AB267" s="38">
        <f t="shared" si="19"/>
        <v>0</v>
      </c>
      <c r="AC267" s="23"/>
      <c r="AD267" s="23"/>
      <c r="AE267" s="23" t="e">
        <f>IF(#REF!=#REF!,1,0)</f>
        <v>#REF!</v>
      </c>
      <c r="AF267" s="24"/>
      <c r="AG267" s="24"/>
      <c r="AH267" s="24"/>
      <c r="AI267" s="24"/>
      <c r="AJ267" s="27"/>
      <c r="AK267" s="27"/>
      <c r="AL267" s="27"/>
      <c r="AM267" s="27"/>
      <c r="AN267" s="27"/>
      <c r="AO267" s="27"/>
      <c r="AP267" s="27"/>
      <c r="AQ267" s="27"/>
      <c r="AR267" s="27"/>
      <c r="AS267" s="27"/>
      <c r="AT267" s="27"/>
    </row>
    <row r="268" spans="2:46" s="3" customFormat="1" x14ac:dyDescent="0.25">
      <c r="B268" s="30"/>
      <c r="C268" s="31"/>
      <c r="D268" s="32"/>
      <c r="E268" s="33"/>
      <c r="F268" s="34"/>
      <c r="G268" s="34"/>
      <c r="H268" s="34"/>
      <c r="I268" s="34"/>
      <c r="J268" s="34"/>
      <c r="K268" s="34"/>
      <c r="L268" s="34"/>
      <c r="M268" s="34"/>
      <c r="N268" s="34"/>
      <c r="O268" s="38">
        <f t="shared" si="17"/>
        <v>0</v>
      </c>
      <c r="P268" s="34"/>
      <c r="Q268" s="34"/>
      <c r="R268" s="34"/>
      <c r="S268" s="34"/>
      <c r="T268" s="34"/>
      <c r="U268" s="34"/>
      <c r="V268" s="34"/>
      <c r="W268" s="34"/>
      <c r="X268" s="34"/>
      <c r="Y268" s="34"/>
      <c r="Z268" s="34"/>
      <c r="AA268" s="38">
        <f t="shared" si="18"/>
        <v>0</v>
      </c>
      <c r="AB268" s="38">
        <f t="shared" si="19"/>
        <v>0</v>
      </c>
      <c r="AC268" s="23"/>
      <c r="AD268" s="23"/>
      <c r="AE268" s="23" t="e">
        <f>IF(#REF!=#REF!,1,0)</f>
        <v>#REF!</v>
      </c>
      <c r="AF268" s="24"/>
      <c r="AG268" s="24"/>
      <c r="AH268" s="24"/>
      <c r="AI268" s="24"/>
      <c r="AJ268" s="27"/>
      <c r="AK268" s="27"/>
      <c r="AL268" s="27"/>
      <c r="AM268" s="27"/>
      <c r="AN268" s="27"/>
      <c r="AO268" s="27"/>
      <c r="AP268" s="27"/>
      <c r="AQ268" s="27"/>
      <c r="AR268" s="27"/>
      <c r="AS268" s="27"/>
      <c r="AT268" s="27"/>
    </row>
    <row r="269" spans="2:46" s="3" customFormat="1" x14ac:dyDescent="0.25">
      <c r="B269" s="30"/>
      <c r="C269" s="31"/>
      <c r="D269" s="32"/>
      <c r="E269" s="33"/>
      <c r="F269" s="34"/>
      <c r="G269" s="34"/>
      <c r="H269" s="34"/>
      <c r="I269" s="34"/>
      <c r="J269" s="34"/>
      <c r="K269" s="34"/>
      <c r="L269" s="34"/>
      <c r="M269" s="34"/>
      <c r="N269" s="34"/>
      <c r="O269" s="38">
        <f t="shared" si="17"/>
        <v>0</v>
      </c>
      <c r="P269" s="34"/>
      <c r="Q269" s="34"/>
      <c r="R269" s="34"/>
      <c r="S269" s="34"/>
      <c r="T269" s="34"/>
      <c r="U269" s="34"/>
      <c r="V269" s="34"/>
      <c r="W269" s="34"/>
      <c r="X269" s="34"/>
      <c r="Y269" s="34"/>
      <c r="Z269" s="34"/>
      <c r="AA269" s="38">
        <f t="shared" si="18"/>
        <v>0</v>
      </c>
      <c r="AB269" s="38">
        <f t="shared" si="19"/>
        <v>0</v>
      </c>
      <c r="AC269" s="23"/>
      <c r="AD269" s="23"/>
      <c r="AE269" s="23" t="e">
        <f>IF(#REF!=#REF!,1,0)</f>
        <v>#REF!</v>
      </c>
      <c r="AF269" s="24"/>
      <c r="AG269" s="24"/>
      <c r="AH269" s="24"/>
      <c r="AI269" s="24"/>
      <c r="AJ269" s="27"/>
      <c r="AK269" s="27"/>
      <c r="AL269" s="27"/>
      <c r="AM269" s="27"/>
      <c r="AN269" s="27"/>
      <c r="AO269" s="27"/>
      <c r="AP269" s="27"/>
      <c r="AQ269" s="27"/>
      <c r="AR269" s="27"/>
      <c r="AS269" s="27"/>
      <c r="AT269" s="27"/>
    </row>
    <row r="270" spans="2:46" s="3" customFormat="1" x14ac:dyDescent="0.25">
      <c r="B270" s="30"/>
      <c r="C270" s="31"/>
      <c r="D270" s="32"/>
      <c r="E270" s="33"/>
      <c r="F270" s="34"/>
      <c r="G270" s="34"/>
      <c r="H270" s="34"/>
      <c r="I270" s="34"/>
      <c r="J270" s="34"/>
      <c r="K270" s="34"/>
      <c r="L270" s="34"/>
      <c r="M270" s="34"/>
      <c r="N270" s="34"/>
      <c r="O270" s="38">
        <f t="shared" si="17"/>
        <v>0</v>
      </c>
      <c r="P270" s="34"/>
      <c r="Q270" s="34"/>
      <c r="R270" s="34"/>
      <c r="S270" s="34"/>
      <c r="T270" s="34"/>
      <c r="U270" s="34"/>
      <c r="V270" s="34"/>
      <c r="W270" s="34"/>
      <c r="X270" s="34"/>
      <c r="Y270" s="34"/>
      <c r="Z270" s="34"/>
      <c r="AA270" s="38">
        <f t="shared" si="18"/>
        <v>0</v>
      </c>
      <c r="AB270" s="38">
        <f t="shared" si="19"/>
        <v>0</v>
      </c>
      <c r="AC270" s="23"/>
      <c r="AD270" s="23"/>
      <c r="AE270" s="23" t="e">
        <f>IF(#REF!=#REF!,1,0)</f>
        <v>#REF!</v>
      </c>
      <c r="AF270" s="24"/>
      <c r="AG270" s="24"/>
      <c r="AH270" s="24"/>
      <c r="AI270" s="24"/>
      <c r="AJ270" s="27"/>
      <c r="AK270" s="27"/>
      <c r="AL270" s="27"/>
      <c r="AM270" s="27"/>
      <c r="AN270" s="27"/>
      <c r="AO270" s="27"/>
      <c r="AP270" s="27"/>
      <c r="AQ270" s="27"/>
      <c r="AR270" s="27"/>
      <c r="AS270" s="27"/>
      <c r="AT270" s="27"/>
    </row>
    <row r="271" spans="2:46" s="3" customFormat="1" x14ac:dyDescent="0.25">
      <c r="B271" s="30"/>
      <c r="C271" s="31"/>
      <c r="D271" s="32"/>
      <c r="E271" s="33"/>
      <c r="F271" s="34"/>
      <c r="G271" s="34"/>
      <c r="H271" s="34"/>
      <c r="I271" s="34"/>
      <c r="J271" s="34"/>
      <c r="K271" s="34"/>
      <c r="L271" s="34"/>
      <c r="M271" s="34"/>
      <c r="N271" s="34"/>
      <c r="O271" s="38">
        <f t="shared" si="17"/>
        <v>0</v>
      </c>
      <c r="P271" s="34"/>
      <c r="Q271" s="34"/>
      <c r="R271" s="34"/>
      <c r="S271" s="34"/>
      <c r="T271" s="34"/>
      <c r="U271" s="34"/>
      <c r="V271" s="34"/>
      <c r="W271" s="34"/>
      <c r="X271" s="34"/>
      <c r="Y271" s="34"/>
      <c r="Z271" s="34"/>
      <c r="AA271" s="38">
        <f t="shared" si="18"/>
        <v>0</v>
      </c>
      <c r="AB271" s="38">
        <f t="shared" si="19"/>
        <v>0</v>
      </c>
      <c r="AC271" s="23"/>
      <c r="AD271" s="23"/>
      <c r="AE271" s="23" t="e">
        <f>IF(#REF!=#REF!,1,0)</f>
        <v>#REF!</v>
      </c>
      <c r="AF271" s="24"/>
      <c r="AG271" s="24"/>
      <c r="AH271" s="24"/>
      <c r="AI271" s="24"/>
      <c r="AJ271" s="27"/>
      <c r="AK271" s="27"/>
      <c r="AL271" s="27"/>
      <c r="AM271" s="27"/>
      <c r="AN271" s="27"/>
      <c r="AO271" s="27"/>
      <c r="AP271" s="27"/>
      <c r="AQ271" s="27"/>
      <c r="AR271" s="27"/>
      <c r="AS271" s="27"/>
      <c r="AT271" s="27"/>
    </row>
    <row r="272" spans="2:46" s="3" customFormat="1" x14ac:dyDescent="0.25">
      <c r="B272" s="30"/>
      <c r="C272" s="31"/>
      <c r="D272" s="32"/>
      <c r="E272" s="33"/>
      <c r="F272" s="34"/>
      <c r="G272" s="34"/>
      <c r="H272" s="34"/>
      <c r="I272" s="34"/>
      <c r="J272" s="34"/>
      <c r="K272" s="34"/>
      <c r="L272" s="34"/>
      <c r="M272" s="34"/>
      <c r="N272" s="34"/>
      <c r="O272" s="38">
        <f t="shared" si="17"/>
        <v>0</v>
      </c>
      <c r="P272" s="34"/>
      <c r="Q272" s="34"/>
      <c r="R272" s="34"/>
      <c r="S272" s="34"/>
      <c r="T272" s="34"/>
      <c r="U272" s="34"/>
      <c r="V272" s="34"/>
      <c r="W272" s="34"/>
      <c r="X272" s="34"/>
      <c r="Y272" s="34"/>
      <c r="Z272" s="34"/>
      <c r="AA272" s="38">
        <f t="shared" si="18"/>
        <v>0</v>
      </c>
      <c r="AB272" s="38">
        <f t="shared" si="19"/>
        <v>0</v>
      </c>
      <c r="AC272" s="23"/>
      <c r="AD272" s="23"/>
      <c r="AE272" s="23" t="e">
        <f>IF(#REF!=#REF!,1,0)</f>
        <v>#REF!</v>
      </c>
      <c r="AF272" s="24"/>
      <c r="AG272" s="24"/>
      <c r="AH272" s="24"/>
      <c r="AI272" s="24"/>
      <c r="AJ272" s="27"/>
      <c r="AK272" s="27"/>
      <c r="AL272" s="27"/>
      <c r="AM272" s="27"/>
      <c r="AN272" s="27"/>
      <c r="AO272" s="27"/>
      <c r="AP272" s="27"/>
      <c r="AQ272" s="27"/>
      <c r="AR272" s="27"/>
      <c r="AS272" s="27"/>
      <c r="AT272" s="27"/>
    </row>
    <row r="273" spans="2:46" s="3" customFormat="1" x14ac:dyDescent="0.25">
      <c r="B273" s="30"/>
      <c r="C273" s="31"/>
      <c r="D273" s="32"/>
      <c r="E273" s="33"/>
      <c r="F273" s="34"/>
      <c r="G273" s="34"/>
      <c r="H273" s="34"/>
      <c r="I273" s="34"/>
      <c r="J273" s="34"/>
      <c r="K273" s="34"/>
      <c r="L273" s="34"/>
      <c r="M273" s="34"/>
      <c r="N273" s="34"/>
      <c r="O273" s="38">
        <f t="shared" si="17"/>
        <v>0</v>
      </c>
      <c r="P273" s="34"/>
      <c r="Q273" s="34"/>
      <c r="R273" s="34"/>
      <c r="S273" s="34"/>
      <c r="T273" s="34"/>
      <c r="U273" s="34"/>
      <c r="V273" s="34"/>
      <c r="W273" s="34"/>
      <c r="X273" s="34"/>
      <c r="Y273" s="34"/>
      <c r="Z273" s="34"/>
      <c r="AA273" s="38">
        <f t="shared" si="18"/>
        <v>0</v>
      </c>
      <c r="AB273" s="38">
        <f t="shared" si="19"/>
        <v>0</v>
      </c>
      <c r="AC273" s="23"/>
      <c r="AD273" s="23"/>
      <c r="AE273" s="23" t="e">
        <f>IF(#REF!=#REF!,1,0)</f>
        <v>#REF!</v>
      </c>
      <c r="AF273" s="24"/>
      <c r="AG273" s="24"/>
      <c r="AH273" s="24"/>
      <c r="AI273" s="24"/>
      <c r="AJ273" s="27"/>
      <c r="AK273" s="27"/>
      <c r="AL273" s="27"/>
      <c r="AM273" s="27"/>
      <c r="AN273" s="27"/>
      <c r="AO273" s="27"/>
      <c r="AP273" s="27"/>
      <c r="AQ273" s="27"/>
      <c r="AR273" s="27"/>
      <c r="AS273" s="27"/>
      <c r="AT273" s="27"/>
    </row>
    <row r="274" spans="2:46" s="3" customFormat="1" x14ac:dyDescent="0.25">
      <c r="B274" s="30"/>
      <c r="C274" s="31"/>
      <c r="D274" s="32"/>
      <c r="E274" s="33"/>
      <c r="F274" s="34"/>
      <c r="G274" s="34"/>
      <c r="H274" s="34"/>
      <c r="I274" s="34"/>
      <c r="J274" s="34"/>
      <c r="K274" s="34"/>
      <c r="L274" s="34"/>
      <c r="M274" s="34"/>
      <c r="N274" s="34"/>
      <c r="O274" s="38">
        <f t="shared" si="17"/>
        <v>0</v>
      </c>
      <c r="P274" s="34"/>
      <c r="Q274" s="34"/>
      <c r="R274" s="34"/>
      <c r="S274" s="34"/>
      <c r="T274" s="34"/>
      <c r="U274" s="34"/>
      <c r="V274" s="34"/>
      <c r="W274" s="34"/>
      <c r="X274" s="34"/>
      <c r="Y274" s="34"/>
      <c r="Z274" s="34"/>
      <c r="AA274" s="38">
        <f t="shared" si="18"/>
        <v>0</v>
      </c>
      <c r="AB274" s="38">
        <f t="shared" si="19"/>
        <v>0</v>
      </c>
      <c r="AC274" s="23"/>
      <c r="AD274" s="23"/>
      <c r="AE274" s="23" t="e">
        <f>IF(#REF!=#REF!,1,0)</f>
        <v>#REF!</v>
      </c>
      <c r="AF274" s="24"/>
      <c r="AG274" s="24"/>
      <c r="AH274" s="24"/>
      <c r="AI274" s="24"/>
      <c r="AJ274" s="27"/>
      <c r="AK274" s="27"/>
      <c r="AL274" s="27"/>
      <c r="AM274" s="27"/>
      <c r="AN274" s="27"/>
      <c r="AO274" s="27"/>
      <c r="AP274" s="27"/>
      <c r="AQ274" s="27"/>
      <c r="AR274" s="27"/>
      <c r="AS274" s="27"/>
      <c r="AT274" s="27"/>
    </row>
    <row r="275" spans="2:46" s="3" customFormat="1" x14ac:dyDescent="0.25">
      <c r="B275" s="30"/>
      <c r="C275" s="31"/>
      <c r="D275" s="32"/>
      <c r="E275" s="33"/>
      <c r="F275" s="34"/>
      <c r="G275" s="34"/>
      <c r="H275" s="34"/>
      <c r="I275" s="34"/>
      <c r="J275" s="34"/>
      <c r="K275" s="34"/>
      <c r="L275" s="34"/>
      <c r="M275" s="34"/>
      <c r="N275" s="34"/>
      <c r="O275" s="38">
        <f t="shared" si="17"/>
        <v>0</v>
      </c>
      <c r="P275" s="34"/>
      <c r="Q275" s="34"/>
      <c r="R275" s="34"/>
      <c r="S275" s="34"/>
      <c r="T275" s="34"/>
      <c r="U275" s="34"/>
      <c r="V275" s="34"/>
      <c r="W275" s="34"/>
      <c r="X275" s="34"/>
      <c r="Y275" s="34"/>
      <c r="Z275" s="34"/>
      <c r="AA275" s="38">
        <f t="shared" si="18"/>
        <v>0</v>
      </c>
      <c r="AB275" s="38">
        <f t="shared" si="19"/>
        <v>0</v>
      </c>
      <c r="AC275" s="23"/>
      <c r="AD275" s="23"/>
      <c r="AE275" s="23" t="e">
        <f>IF(#REF!=#REF!,1,0)</f>
        <v>#REF!</v>
      </c>
      <c r="AF275" s="24"/>
      <c r="AG275" s="24"/>
      <c r="AH275" s="24"/>
      <c r="AI275" s="24"/>
      <c r="AJ275" s="27"/>
      <c r="AK275" s="27"/>
      <c r="AL275" s="27"/>
      <c r="AM275" s="27"/>
      <c r="AN275" s="27"/>
      <c r="AO275" s="27"/>
      <c r="AP275" s="27"/>
      <c r="AQ275" s="27"/>
      <c r="AR275" s="27"/>
      <c r="AS275" s="27"/>
      <c r="AT275" s="27"/>
    </row>
    <row r="276" spans="2:46" s="3" customFormat="1" x14ac:dyDescent="0.25">
      <c r="B276" s="30"/>
      <c r="C276" s="31"/>
      <c r="D276" s="32"/>
      <c r="E276" s="33"/>
      <c r="F276" s="34"/>
      <c r="G276" s="34"/>
      <c r="H276" s="34"/>
      <c r="I276" s="34"/>
      <c r="J276" s="34"/>
      <c r="K276" s="34"/>
      <c r="L276" s="34"/>
      <c r="M276" s="34"/>
      <c r="N276" s="34"/>
      <c r="O276" s="38">
        <f t="shared" ref="O276:O339" si="20">SUM(F276:N276)</f>
        <v>0</v>
      </c>
      <c r="P276" s="34"/>
      <c r="Q276" s="34"/>
      <c r="R276" s="34"/>
      <c r="S276" s="34"/>
      <c r="T276" s="34"/>
      <c r="U276" s="34"/>
      <c r="V276" s="34"/>
      <c r="W276" s="34"/>
      <c r="X276" s="34"/>
      <c r="Y276" s="34"/>
      <c r="Z276" s="34"/>
      <c r="AA276" s="38">
        <f t="shared" si="18"/>
        <v>0</v>
      </c>
      <c r="AB276" s="38">
        <f t="shared" si="19"/>
        <v>0</v>
      </c>
      <c r="AC276" s="23"/>
      <c r="AD276" s="23"/>
      <c r="AE276" s="23" t="e">
        <f>IF(#REF!=#REF!,1,0)</f>
        <v>#REF!</v>
      </c>
      <c r="AF276" s="24"/>
      <c r="AG276" s="24"/>
      <c r="AH276" s="24"/>
      <c r="AI276" s="24"/>
      <c r="AJ276" s="27"/>
      <c r="AK276" s="27"/>
      <c r="AL276" s="27"/>
      <c r="AM276" s="27"/>
      <c r="AN276" s="27"/>
      <c r="AO276" s="27"/>
      <c r="AP276" s="27"/>
      <c r="AQ276" s="27"/>
      <c r="AR276" s="27"/>
      <c r="AS276" s="27"/>
      <c r="AT276" s="27"/>
    </row>
    <row r="277" spans="2:46" s="3" customFormat="1" x14ac:dyDescent="0.25">
      <c r="B277" s="30"/>
      <c r="C277" s="31"/>
      <c r="D277" s="32"/>
      <c r="E277" s="33"/>
      <c r="F277" s="34"/>
      <c r="G277" s="34"/>
      <c r="H277" s="34"/>
      <c r="I277" s="34"/>
      <c r="J277" s="34"/>
      <c r="K277" s="34"/>
      <c r="L277" s="34"/>
      <c r="M277" s="34"/>
      <c r="N277" s="34"/>
      <c r="O277" s="38">
        <f t="shared" si="20"/>
        <v>0</v>
      </c>
      <c r="P277" s="34"/>
      <c r="Q277" s="34"/>
      <c r="R277" s="34"/>
      <c r="S277" s="34"/>
      <c r="T277" s="34"/>
      <c r="U277" s="34"/>
      <c r="V277" s="34"/>
      <c r="W277" s="34"/>
      <c r="X277" s="34"/>
      <c r="Y277" s="34"/>
      <c r="Z277" s="34"/>
      <c r="AA277" s="38">
        <f t="shared" si="18"/>
        <v>0</v>
      </c>
      <c r="AB277" s="38">
        <f t="shared" si="19"/>
        <v>0</v>
      </c>
      <c r="AC277" s="23"/>
      <c r="AD277" s="23"/>
      <c r="AE277" s="23" t="e">
        <f>IF(#REF!=#REF!,1,0)</f>
        <v>#REF!</v>
      </c>
      <c r="AF277" s="24"/>
      <c r="AG277" s="24"/>
      <c r="AH277" s="24"/>
      <c r="AI277" s="24"/>
      <c r="AJ277" s="27"/>
      <c r="AK277" s="27"/>
      <c r="AL277" s="27"/>
      <c r="AM277" s="27"/>
      <c r="AN277" s="27"/>
      <c r="AO277" s="27"/>
      <c r="AP277" s="27"/>
      <c r="AQ277" s="27"/>
      <c r="AR277" s="27"/>
      <c r="AS277" s="27"/>
      <c r="AT277" s="27"/>
    </row>
    <row r="278" spans="2:46" s="3" customFormat="1" x14ac:dyDescent="0.25">
      <c r="B278" s="30"/>
      <c r="C278" s="31"/>
      <c r="D278" s="32"/>
      <c r="E278" s="33"/>
      <c r="F278" s="34"/>
      <c r="G278" s="34"/>
      <c r="H278" s="34"/>
      <c r="I278" s="34"/>
      <c r="J278" s="34"/>
      <c r="K278" s="34"/>
      <c r="L278" s="34"/>
      <c r="M278" s="34"/>
      <c r="N278" s="34"/>
      <c r="O278" s="38">
        <f t="shared" si="20"/>
        <v>0</v>
      </c>
      <c r="P278" s="34"/>
      <c r="Q278" s="34"/>
      <c r="R278" s="34"/>
      <c r="S278" s="34"/>
      <c r="T278" s="34"/>
      <c r="U278" s="34"/>
      <c r="V278" s="34"/>
      <c r="W278" s="34"/>
      <c r="X278" s="34"/>
      <c r="Y278" s="34"/>
      <c r="Z278" s="34"/>
      <c r="AA278" s="38">
        <f t="shared" si="18"/>
        <v>0</v>
      </c>
      <c r="AB278" s="38">
        <f t="shared" si="19"/>
        <v>0</v>
      </c>
      <c r="AC278" s="23"/>
      <c r="AD278" s="23"/>
      <c r="AE278" s="23" t="e">
        <f>IF(#REF!=#REF!,1,0)</f>
        <v>#REF!</v>
      </c>
      <c r="AF278" s="24"/>
      <c r="AG278" s="24"/>
      <c r="AH278" s="24"/>
      <c r="AI278" s="24"/>
      <c r="AJ278" s="27"/>
      <c r="AK278" s="27"/>
      <c r="AL278" s="27"/>
      <c r="AM278" s="27"/>
      <c r="AN278" s="27"/>
      <c r="AO278" s="27"/>
      <c r="AP278" s="27"/>
      <c r="AQ278" s="27"/>
      <c r="AR278" s="27"/>
      <c r="AS278" s="27"/>
      <c r="AT278" s="27"/>
    </row>
    <row r="279" spans="2:46" s="3" customFormat="1" x14ac:dyDescent="0.25">
      <c r="B279" s="30"/>
      <c r="C279" s="31"/>
      <c r="D279" s="32"/>
      <c r="E279" s="33"/>
      <c r="F279" s="34"/>
      <c r="G279" s="34"/>
      <c r="H279" s="34"/>
      <c r="I279" s="34"/>
      <c r="J279" s="34"/>
      <c r="K279" s="34"/>
      <c r="L279" s="34"/>
      <c r="M279" s="34"/>
      <c r="N279" s="34"/>
      <c r="O279" s="38">
        <f t="shared" si="20"/>
        <v>0</v>
      </c>
      <c r="P279" s="34"/>
      <c r="Q279" s="34"/>
      <c r="R279" s="34"/>
      <c r="S279" s="34"/>
      <c r="T279" s="34"/>
      <c r="U279" s="34"/>
      <c r="V279" s="34"/>
      <c r="W279" s="34"/>
      <c r="X279" s="34"/>
      <c r="Y279" s="34"/>
      <c r="Z279" s="34"/>
      <c r="AA279" s="38">
        <f t="shared" si="18"/>
        <v>0</v>
      </c>
      <c r="AB279" s="38">
        <f t="shared" si="19"/>
        <v>0</v>
      </c>
      <c r="AC279" s="23"/>
      <c r="AD279" s="23"/>
      <c r="AE279" s="23" t="e">
        <f>IF(#REF!=#REF!,1,0)</f>
        <v>#REF!</v>
      </c>
      <c r="AF279" s="24"/>
      <c r="AG279" s="24"/>
      <c r="AH279" s="24"/>
      <c r="AI279" s="24"/>
      <c r="AJ279" s="27"/>
      <c r="AK279" s="27"/>
      <c r="AL279" s="27"/>
      <c r="AM279" s="27"/>
      <c r="AN279" s="27"/>
      <c r="AO279" s="27"/>
      <c r="AP279" s="27"/>
      <c r="AQ279" s="27"/>
      <c r="AR279" s="27"/>
      <c r="AS279" s="27"/>
      <c r="AT279" s="27"/>
    </row>
    <row r="280" spans="2:46" s="3" customFormat="1" x14ac:dyDescent="0.25">
      <c r="B280" s="30"/>
      <c r="C280" s="31"/>
      <c r="D280" s="32"/>
      <c r="E280" s="33"/>
      <c r="F280" s="34"/>
      <c r="G280" s="34"/>
      <c r="H280" s="34"/>
      <c r="I280" s="34"/>
      <c r="J280" s="34"/>
      <c r="K280" s="34"/>
      <c r="L280" s="34"/>
      <c r="M280" s="34"/>
      <c r="N280" s="34"/>
      <c r="O280" s="38">
        <f t="shared" si="20"/>
        <v>0</v>
      </c>
      <c r="P280" s="34"/>
      <c r="Q280" s="34"/>
      <c r="R280" s="34"/>
      <c r="S280" s="34"/>
      <c r="T280" s="34"/>
      <c r="U280" s="34"/>
      <c r="V280" s="34"/>
      <c r="W280" s="34"/>
      <c r="X280" s="34"/>
      <c r="Y280" s="34"/>
      <c r="Z280" s="34"/>
      <c r="AA280" s="38">
        <f t="shared" si="18"/>
        <v>0</v>
      </c>
      <c r="AB280" s="38">
        <f t="shared" si="19"/>
        <v>0</v>
      </c>
      <c r="AC280" s="23"/>
      <c r="AD280" s="23"/>
      <c r="AE280" s="23" t="e">
        <f>IF(#REF!=#REF!,1,0)</f>
        <v>#REF!</v>
      </c>
      <c r="AF280" s="24"/>
      <c r="AG280" s="24"/>
      <c r="AH280" s="24"/>
      <c r="AI280" s="24"/>
      <c r="AJ280" s="27"/>
      <c r="AK280" s="27"/>
      <c r="AL280" s="27"/>
      <c r="AM280" s="27"/>
      <c r="AN280" s="27"/>
      <c r="AO280" s="27"/>
      <c r="AP280" s="27"/>
      <c r="AQ280" s="27"/>
      <c r="AR280" s="27"/>
      <c r="AS280" s="27"/>
      <c r="AT280" s="27"/>
    </row>
    <row r="281" spans="2:46" s="3" customFormat="1" x14ac:dyDescent="0.25">
      <c r="B281" s="30"/>
      <c r="C281" s="31"/>
      <c r="D281" s="32"/>
      <c r="E281" s="33"/>
      <c r="F281" s="34"/>
      <c r="G281" s="34"/>
      <c r="H281" s="34"/>
      <c r="I281" s="34"/>
      <c r="J281" s="34"/>
      <c r="K281" s="34"/>
      <c r="L281" s="34"/>
      <c r="M281" s="34"/>
      <c r="N281" s="34"/>
      <c r="O281" s="38">
        <f t="shared" si="20"/>
        <v>0</v>
      </c>
      <c r="P281" s="34"/>
      <c r="Q281" s="34"/>
      <c r="R281" s="34"/>
      <c r="S281" s="34"/>
      <c r="T281" s="34"/>
      <c r="U281" s="34"/>
      <c r="V281" s="34"/>
      <c r="W281" s="34"/>
      <c r="X281" s="34"/>
      <c r="Y281" s="34"/>
      <c r="Z281" s="34"/>
      <c r="AA281" s="38">
        <f t="shared" si="18"/>
        <v>0</v>
      </c>
      <c r="AB281" s="38">
        <f t="shared" si="19"/>
        <v>0</v>
      </c>
      <c r="AC281" s="23"/>
      <c r="AD281" s="23"/>
      <c r="AE281" s="23" t="e">
        <f>IF(#REF!=#REF!,1,0)</f>
        <v>#REF!</v>
      </c>
      <c r="AF281" s="24"/>
      <c r="AG281" s="24"/>
      <c r="AH281" s="24"/>
      <c r="AI281" s="24"/>
      <c r="AJ281" s="27"/>
      <c r="AK281" s="27"/>
      <c r="AL281" s="27"/>
      <c r="AM281" s="27"/>
      <c r="AN281" s="27"/>
      <c r="AO281" s="27"/>
      <c r="AP281" s="27"/>
      <c r="AQ281" s="27"/>
      <c r="AR281" s="27"/>
      <c r="AS281" s="27"/>
      <c r="AT281" s="27"/>
    </row>
    <row r="282" spans="2:46" s="3" customFormat="1" x14ac:dyDescent="0.25">
      <c r="B282" s="30"/>
      <c r="C282" s="31"/>
      <c r="D282" s="32"/>
      <c r="E282" s="33"/>
      <c r="F282" s="34"/>
      <c r="G282" s="34"/>
      <c r="H282" s="34"/>
      <c r="I282" s="34"/>
      <c r="J282" s="34"/>
      <c r="K282" s="34"/>
      <c r="L282" s="34"/>
      <c r="M282" s="34"/>
      <c r="N282" s="34"/>
      <c r="O282" s="38">
        <f t="shared" si="20"/>
        <v>0</v>
      </c>
      <c r="P282" s="34"/>
      <c r="Q282" s="34"/>
      <c r="R282" s="34"/>
      <c r="S282" s="34"/>
      <c r="T282" s="34"/>
      <c r="U282" s="34"/>
      <c r="V282" s="34"/>
      <c r="W282" s="34"/>
      <c r="X282" s="34"/>
      <c r="Y282" s="34"/>
      <c r="Z282" s="34"/>
      <c r="AA282" s="38">
        <f t="shared" si="18"/>
        <v>0</v>
      </c>
      <c r="AB282" s="38">
        <f t="shared" si="19"/>
        <v>0</v>
      </c>
      <c r="AC282" s="23"/>
      <c r="AD282" s="23"/>
      <c r="AE282" s="23" t="e">
        <f>IF(#REF!=#REF!,1,0)</f>
        <v>#REF!</v>
      </c>
      <c r="AF282" s="24"/>
      <c r="AG282" s="24"/>
      <c r="AH282" s="24"/>
      <c r="AI282" s="24"/>
      <c r="AJ282" s="27"/>
      <c r="AK282" s="27"/>
      <c r="AL282" s="27"/>
      <c r="AM282" s="27"/>
      <c r="AN282" s="27"/>
      <c r="AO282" s="27"/>
      <c r="AP282" s="27"/>
      <c r="AQ282" s="27"/>
      <c r="AR282" s="27"/>
      <c r="AS282" s="27"/>
      <c r="AT282" s="27"/>
    </row>
    <row r="283" spans="2:46" s="3" customFormat="1" x14ac:dyDescent="0.25">
      <c r="B283" s="30"/>
      <c r="C283" s="31"/>
      <c r="D283" s="32"/>
      <c r="E283" s="33"/>
      <c r="F283" s="34"/>
      <c r="G283" s="34"/>
      <c r="H283" s="34"/>
      <c r="I283" s="34"/>
      <c r="J283" s="34"/>
      <c r="K283" s="34"/>
      <c r="L283" s="34"/>
      <c r="M283" s="34"/>
      <c r="N283" s="34"/>
      <c r="O283" s="38">
        <f t="shared" si="20"/>
        <v>0</v>
      </c>
      <c r="P283" s="34"/>
      <c r="Q283" s="34"/>
      <c r="R283" s="34"/>
      <c r="S283" s="34"/>
      <c r="T283" s="34"/>
      <c r="U283" s="34"/>
      <c r="V283" s="34"/>
      <c r="W283" s="34"/>
      <c r="X283" s="34"/>
      <c r="Y283" s="34"/>
      <c r="Z283" s="34"/>
      <c r="AA283" s="38">
        <f t="shared" ref="AA283:AA346" si="21">SUM(P283:Z283)</f>
        <v>0</v>
      </c>
      <c r="AB283" s="38">
        <f t="shared" ref="AB283:AB346" si="22">O283-AA283</f>
        <v>0</v>
      </c>
      <c r="AC283" s="23"/>
      <c r="AD283" s="23"/>
      <c r="AE283" s="23" t="e">
        <f>IF(#REF!=#REF!,1,0)</f>
        <v>#REF!</v>
      </c>
      <c r="AF283" s="24"/>
      <c r="AG283" s="24"/>
      <c r="AH283" s="24"/>
      <c r="AI283" s="24"/>
      <c r="AJ283" s="27"/>
      <c r="AK283" s="27"/>
      <c r="AL283" s="27"/>
      <c r="AM283" s="27"/>
      <c r="AN283" s="27"/>
      <c r="AO283" s="27"/>
      <c r="AP283" s="27"/>
      <c r="AQ283" s="27"/>
      <c r="AR283" s="27"/>
      <c r="AS283" s="27"/>
      <c r="AT283" s="27"/>
    </row>
    <row r="284" spans="2:46" s="3" customFormat="1" x14ac:dyDescent="0.25">
      <c r="B284" s="30"/>
      <c r="C284" s="31"/>
      <c r="D284" s="32"/>
      <c r="E284" s="33"/>
      <c r="F284" s="34"/>
      <c r="G284" s="34"/>
      <c r="H284" s="34"/>
      <c r="I284" s="34"/>
      <c r="J284" s="34"/>
      <c r="K284" s="34"/>
      <c r="L284" s="34"/>
      <c r="M284" s="34"/>
      <c r="N284" s="34"/>
      <c r="O284" s="38">
        <f t="shared" si="20"/>
        <v>0</v>
      </c>
      <c r="P284" s="34"/>
      <c r="Q284" s="34"/>
      <c r="R284" s="34"/>
      <c r="S284" s="34"/>
      <c r="T284" s="34"/>
      <c r="U284" s="34"/>
      <c r="V284" s="34"/>
      <c r="W284" s="34"/>
      <c r="X284" s="34"/>
      <c r="Y284" s="34"/>
      <c r="Z284" s="34"/>
      <c r="AA284" s="38">
        <f t="shared" si="21"/>
        <v>0</v>
      </c>
      <c r="AB284" s="38">
        <f t="shared" si="22"/>
        <v>0</v>
      </c>
      <c r="AC284" s="23"/>
      <c r="AD284" s="23"/>
      <c r="AE284" s="23" t="e">
        <f>IF(#REF!=#REF!,1,0)</f>
        <v>#REF!</v>
      </c>
      <c r="AF284" s="24"/>
      <c r="AG284" s="24"/>
      <c r="AH284" s="24"/>
      <c r="AI284" s="24"/>
      <c r="AJ284" s="27"/>
      <c r="AK284" s="27"/>
      <c r="AL284" s="27"/>
      <c r="AM284" s="27"/>
      <c r="AN284" s="27"/>
      <c r="AO284" s="27"/>
      <c r="AP284" s="27"/>
      <c r="AQ284" s="27"/>
      <c r="AR284" s="27"/>
      <c r="AS284" s="27"/>
      <c r="AT284" s="27"/>
    </row>
    <row r="285" spans="2:46" s="3" customFormat="1" x14ac:dyDescent="0.25">
      <c r="B285" s="30"/>
      <c r="C285" s="31"/>
      <c r="D285" s="32"/>
      <c r="E285" s="33"/>
      <c r="F285" s="34"/>
      <c r="G285" s="34"/>
      <c r="H285" s="34"/>
      <c r="I285" s="34"/>
      <c r="J285" s="34"/>
      <c r="K285" s="34"/>
      <c r="L285" s="34"/>
      <c r="M285" s="34"/>
      <c r="N285" s="34"/>
      <c r="O285" s="38">
        <f t="shared" si="20"/>
        <v>0</v>
      </c>
      <c r="P285" s="34"/>
      <c r="Q285" s="34"/>
      <c r="R285" s="34"/>
      <c r="S285" s="34"/>
      <c r="T285" s="34"/>
      <c r="U285" s="34"/>
      <c r="V285" s="34"/>
      <c r="W285" s="34"/>
      <c r="X285" s="34"/>
      <c r="Y285" s="34"/>
      <c r="Z285" s="34"/>
      <c r="AA285" s="38">
        <f t="shared" si="21"/>
        <v>0</v>
      </c>
      <c r="AB285" s="38">
        <f t="shared" si="22"/>
        <v>0</v>
      </c>
      <c r="AC285" s="23"/>
      <c r="AD285" s="23"/>
      <c r="AE285" s="23" t="e">
        <f>IF(#REF!=#REF!,1,0)</f>
        <v>#REF!</v>
      </c>
      <c r="AF285" s="24"/>
      <c r="AG285" s="24"/>
      <c r="AH285" s="24"/>
      <c r="AI285" s="24"/>
      <c r="AJ285" s="27"/>
      <c r="AK285" s="27"/>
      <c r="AL285" s="27"/>
      <c r="AM285" s="27"/>
      <c r="AN285" s="27"/>
      <c r="AO285" s="27"/>
      <c r="AP285" s="27"/>
      <c r="AQ285" s="27"/>
      <c r="AR285" s="27"/>
      <c r="AS285" s="27"/>
      <c r="AT285" s="27"/>
    </row>
    <row r="286" spans="2:46" s="3" customFormat="1" x14ac:dyDescent="0.25">
      <c r="B286" s="30"/>
      <c r="C286" s="31"/>
      <c r="D286" s="32"/>
      <c r="E286" s="33"/>
      <c r="F286" s="34"/>
      <c r="G286" s="34"/>
      <c r="H286" s="34"/>
      <c r="I286" s="34"/>
      <c r="J286" s="34"/>
      <c r="K286" s="34"/>
      <c r="L286" s="34"/>
      <c r="M286" s="34"/>
      <c r="N286" s="34"/>
      <c r="O286" s="38">
        <f t="shared" si="20"/>
        <v>0</v>
      </c>
      <c r="P286" s="34"/>
      <c r="Q286" s="34"/>
      <c r="R286" s="34"/>
      <c r="S286" s="34"/>
      <c r="T286" s="34"/>
      <c r="U286" s="34"/>
      <c r="V286" s="34"/>
      <c r="W286" s="34"/>
      <c r="X286" s="34"/>
      <c r="Y286" s="34"/>
      <c r="Z286" s="34"/>
      <c r="AA286" s="38">
        <f t="shared" si="21"/>
        <v>0</v>
      </c>
      <c r="AB286" s="38">
        <f t="shared" si="22"/>
        <v>0</v>
      </c>
      <c r="AC286" s="23"/>
      <c r="AD286" s="23"/>
      <c r="AE286" s="23" t="e">
        <f>IF(#REF!=#REF!,1,0)</f>
        <v>#REF!</v>
      </c>
      <c r="AF286" s="24"/>
      <c r="AG286" s="24"/>
      <c r="AH286" s="24"/>
      <c r="AI286" s="24"/>
      <c r="AJ286" s="27"/>
      <c r="AK286" s="27"/>
      <c r="AL286" s="27"/>
      <c r="AM286" s="27"/>
      <c r="AN286" s="27"/>
      <c r="AO286" s="27"/>
      <c r="AP286" s="27"/>
      <c r="AQ286" s="27"/>
      <c r="AR286" s="27"/>
      <c r="AS286" s="27"/>
      <c r="AT286" s="27"/>
    </row>
    <row r="287" spans="2:46" s="3" customFormat="1" x14ac:dyDescent="0.25">
      <c r="B287" s="30"/>
      <c r="C287" s="31"/>
      <c r="D287" s="32"/>
      <c r="E287" s="33"/>
      <c r="F287" s="34"/>
      <c r="G287" s="34"/>
      <c r="H287" s="34"/>
      <c r="I287" s="34"/>
      <c r="J287" s="34"/>
      <c r="K287" s="34"/>
      <c r="L287" s="34"/>
      <c r="M287" s="34"/>
      <c r="N287" s="34"/>
      <c r="O287" s="38">
        <f t="shared" si="20"/>
        <v>0</v>
      </c>
      <c r="P287" s="34"/>
      <c r="Q287" s="34"/>
      <c r="R287" s="34"/>
      <c r="S287" s="34"/>
      <c r="T287" s="34"/>
      <c r="U287" s="34"/>
      <c r="V287" s="34"/>
      <c r="W287" s="34"/>
      <c r="X287" s="34"/>
      <c r="Y287" s="34"/>
      <c r="Z287" s="34"/>
      <c r="AA287" s="38">
        <f t="shared" si="21"/>
        <v>0</v>
      </c>
      <c r="AB287" s="38">
        <f t="shared" si="22"/>
        <v>0</v>
      </c>
      <c r="AC287" s="23"/>
      <c r="AD287" s="23"/>
      <c r="AE287" s="23" t="e">
        <f>IF(#REF!=#REF!,1,0)</f>
        <v>#REF!</v>
      </c>
      <c r="AF287" s="24"/>
      <c r="AG287" s="24"/>
      <c r="AH287" s="24"/>
      <c r="AI287" s="24"/>
      <c r="AJ287" s="27"/>
      <c r="AK287" s="27"/>
      <c r="AL287" s="27"/>
      <c r="AM287" s="27"/>
      <c r="AN287" s="27"/>
      <c r="AO287" s="27"/>
      <c r="AP287" s="27"/>
      <c r="AQ287" s="27"/>
      <c r="AR287" s="27"/>
      <c r="AS287" s="27"/>
      <c r="AT287" s="27"/>
    </row>
    <row r="288" spans="2:46" s="3" customFormat="1" x14ac:dyDescent="0.25">
      <c r="B288" s="30"/>
      <c r="C288" s="31"/>
      <c r="D288" s="32"/>
      <c r="E288" s="33"/>
      <c r="F288" s="34"/>
      <c r="G288" s="34"/>
      <c r="H288" s="34"/>
      <c r="I288" s="34"/>
      <c r="J288" s="34"/>
      <c r="K288" s="34"/>
      <c r="L288" s="34"/>
      <c r="M288" s="34"/>
      <c r="N288" s="34"/>
      <c r="O288" s="38">
        <f t="shared" si="20"/>
        <v>0</v>
      </c>
      <c r="P288" s="34"/>
      <c r="Q288" s="34"/>
      <c r="R288" s="34"/>
      <c r="S288" s="34"/>
      <c r="T288" s="34"/>
      <c r="U288" s="34"/>
      <c r="V288" s="34"/>
      <c r="W288" s="34"/>
      <c r="X288" s="34"/>
      <c r="Y288" s="34"/>
      <c r="Z288" s="34"/>
      <c r="AA288" s="38">
        <f t="shared" si="21"/>
        <v>0</v>
      </c>
      <c r="AB288" s="38">
        <f t="shared" si="22"/>
        <v>0</v>
      </c>
      <c r="AC288" s="23"/>
      <c r="AD288" s="23"/>
      <c r="AE288" s="23" t="e">
        <f>IF(#REF!=#REF!,1,0)</f>
        <v>#REF!</v>
      </c>
      <c r="AF288" s="24"/>
      <c r="AG288" s="24"/>
      <c r="AH288" s="24"/>
      <c r="AI288" s="24"/>
      <c r="AJ288" s="27"/>
      <c r="AK288" s="27"/>
      <c r="AL288" s="27"/>
      <c r="AM288" s="27"/>
      <c r="AN288" s="27"/>
      <c r="AO288" s="27"/>
      <c r="AP288" s="27"/>
      <c r="AQ288" s="27"/>
      <c r="AR288" s="27"/>
      <c r="AS288" s="27"/>
      <c r="AT288" s="27"/>
    </row>
    <row r="289" spans="2:46" s="3" customFormat="1" x14ac:dyDescent="0.25">
      <c r="B289" s="30"/>
      <c r="C289" s="31"/>
      <c r="D289" s="32"/>
      <c r="E289" s="33"/>
      <c r="F289" s="34"/>
      <c r="G289" s="34"/>
      <c r="H289" s="34"/>
      <c r="I289" s="34"/>
      <c r="J289" s="34"/>
      <c r="K289" s="34"/>
      <c r="L289" s="34"/>
      <c r="M289" s="34"/>
      <c r="N289" s="34"/>
      <c r="O289" s="38">
        <f t="shared" si="20"/>
        <v>0</v>
      </c>
      <c r="P289" s="34"/>
      <c r="Q289" s="34"/>
      <c r="R289" s="34"/>
      <c r="S289" s="34"/>
      <c r="T289" s="34"/>
      <c r="U289" s="34"/>
      <c r="V289" s="34"/>
      <c r="W289" s="34"/>
      <c r="X289" s="34"/>
      <c r="Y289" s="34"/>
      <c r="Z289" s="34"/>
      <c r="AA289" s="38">
        <f t="shared" si="21"/>
        <v>0</v>
      </c>
      <c r="AB289" s="38">
        <f t="shared" si="22"/>
        <v>0</v>
      </c>
      <c r="AC289" s="23"/>
      <c r="AD289" s="23"/>
      <c r="AE289" s="23" t="e">
        <f>IF(#REF!=#REF!,1,0)</f>
        <v>#REF!</v>
      </c>
      <c r="AF289" s="24"/>
      <c r="AG289" s="24"/>
      <c r="AH289" s="24"/>
      <c r="AI289" s="24"/>
      <c r="AJ289" s="27"/>
      <c r="AK289" s="27"/>
      <c r="AL289" s="27"/>
      <c r="AM289" s="27"/>
      <c r="AN289" s="27"/>
      <c r="AO289" s="27"/>
      <c r="AP289" s="27"/>
      <c r="AQ289" s="27"/>
      <c r="AR289" s="27"/>
      <c r="AS289" s="27"/>
      <c r="AT289" s="27"/>
    </row>
    <row r="290" spans="2:46" s="3" customFormat="1" x14ac:dyDescent="0.25">
      <c r="B290" s="30"/>
      <c r="C290" s="31"/>
      <c r="D290" s="32"/>
      <c r="E290" s="33"/>
      <c r="F290" s="34"/>
      <c r="G290" s="34"/>
      <c r="H290" s="34"/>
      <c r="I290" s="34"/>
      <c r="J290" s="34"/>
      <c r="K290" s="34"/>
      <c r="L290" s="34"/>
      <c r="M290" s="34"/>
      <c r="N290" s="34"/>
      <c r="O290" s="38">
        <f t="shared" si="20"/>
        <v>0</v>
      </c>
      <c r="P290" s="34"/>
      <c r="Q290" s="34"/>
      <c r="R290" s="34"/>
      <c r="S290" s="34"/>
      <c r="T290" s="34"/>
      <c r="U290" s="34"/>
      <c r="V290" s="34"/>
      <c r="W290" s="34"/>
      <c r="X290" s="34"/>
      <c r="Y290" s="34"/>
      <c r="Z290" s="34"/>
      <c r="AA290" s="38">
        <f t="shared" si="21"/>
        <v>0</v>
      </c>
      <c r="AB290" s="38">
        <f t="shared" si="22"/>
        <v>0</v>
      </c>
      <c r="AC290" s="23"/>
      <c r="AD290" s="23"/>
      <c r="AE290" s="23" t="e">
        <f>IF(#REF!=#REF!,1,0)</f>
        <v>#REF!</v>
      </c>
      <c r="AF290" s="24"/>
      <c r="AG290" s="24"/>
      <c r="AH290" s="24"/>
      <c r="AI290" s="24"/>
      <c r="AJ290" s="27"/>
      <c r="AK290" s="27"/>
      <c r="AL290" s="27"/>
      <c r="AM290" s="27"/>
      <c r="AN290" s="27"/>
      <c r="AO290" s="27"/>
      <c r="AP290" s="27"/>
      <c r="AQ290" s="27"/>
      <c r="AR290" s="27"/>
      <c r="AS290" s="27"/>
      <c r="AT290" s="27"/>
    </row>
    <row r="291" spans="2:46" s="3" customFormat="1" x14ac:dyDescent="0.25">
      <c r="B291" s="30"/>
      <c r="C291" s="31"/>
      <c r="D291" s="32"/>
      <c r="E291" s="33"/>
      <c r="F291" s="34"/>
      <c r="G291" s="34"/>
      <c r="H291" s="34"/>
      <c r="I291" s="34"/>
      <c r="J291" s="34"/>
      <c r="K291" s="34"/>
      <c r="L291" s="34"/>
      <c r="M291" s="34"/>
      <c r="N291" s="34"/>
      <c r="O291" s="38">
        <f t="shared" si="20"/>
        <v>0</v>
      </c>
      <c r="P291" s="34"/>
      <c r="Q291" s="34"/>
      <c r="R291" s="34"/>
      <c r="S291" s="34"/>
      <c r="T291" s="34"/>
      <c r="U291" s="34"/>
      <c r="V291" s="34"/>
      <c r="W291" s="34"/>
      <c r="X291" s="34"/>
      <c r="Y291" s="34"/>
      <c r="Z291" s="34"/>
      <c r="AA291" s="38">
        <f t="shared" si="21"/>
        <v>0</v>
      </c>
      <c r="AB291" s="38">
        <f t="shared" si="22"/>
        <v>0</v>
      </c>
      <c r="AC291" s="23"/>
      <c r="AD291" s="23"/>
      <c r="AE291" s="23" t="e">
        <f>IF(#REF!=#REF!,1,0)</f>
        <v>#REF!</v>
      </c>
      <c r="AF291" s="24"/>
      <c r="AG291" s="24"/>
      <c r="AH291" s="24"/>
      <c r="AI291" s="24"/>
      <c r="AJ291" s="27"/>
      <c r="AK291" s="27"/>
      <c r="AL291" s="27"/>
      <c r="AM291" s="27"/>
      <c r="AN291" s="27"/>
      <c r="AO291" s="27"/>
      <c r="AP291" s="27"/>
      <c r="AQ291" s="27"/>
      <c r="AR291" s="27"/>
      <c r="AS291" s="27"/>
      <c r="AT291" s="27"/>
    </row>
    <row r="292" spans="2:46" s="3" customFormat="1" x14ac:dyDescent="0.25">
      <c r="B292" s="30"/>
      <c r="C292" s="31"/>
      <c r="D292" s="32"/>
      <c r="E292" s="33"/>
      <c r="F292" s="34"/>
      <c r="G292" s="34"/>
      <c r="H292" s="34"/>
      <c r="I292" s="34"/>
      <c r="J292" s="34"/>
      <c r="K292" s="34"/>
      <c r="L292" s="34"/>
      <c r="M292" s="34"/>
      <c r="N292" s="34"/>
      <c r="O292" s="38">
        <f t="shared" si="20"/>
        <v>0</v>
      </c>
      <c r="P292" s="34"/>
      <c r="Q292" s="34"/>
      <c r="R292" s="34"/>
      <c r="S292" s="34"/>
      <c r="T292" s="34"/>
      <c r="U292" s="34"/>
      <c r="V292" s="34"/>
      <c r="W292" s="34"/>
      <c r="X292" s="34"/>
      <c r="Y292" s="34"/>
      <c r="Z292" s="34"/>
      <c r="AA292" s="38">
        <f t="shared" si="21"/>
        <v>0</v>
      </c>
      <c r="AB292" s="38">
        <f t="shared" si="22"/>
        <v>0</v>
      </c>
      <c r="AC292" s="23"/>
      <c r="AD292" s="23"/>
      <c r="AE292" s="23" t="e">
        <f>IF(#REF!=#REF!,1,0)</f>
        <v>#REF!</v>
      </c>
      <c r="AF292" s="24"/>
      <c r="AG292" s="24"/>
      <c r="AH292" s="24"/>
      <c r="AI292" s="24"/>
      <c r="AJ292" s="27"/>
      <c r="AK292" s="27"/>
      <c r="AL292" s="27"/>
      <c r="AM292" s="27"/>
      <c r="AN292" s="27"/>
      <c r="AO292" s="27"/>
      <c r="AP292" s="27"/>
      <c r="AQ292" s="27"/>
      <c r="AR292" s="27"/>
      <c r="AS292" s="27"/>
      <c r="AT292" s="27"/>
    </row>
    <row r="293" spans="2:46" s="3" customFormat="1" x14ac:dyDescent="0.25">
      <c r="B293" s="30"/>
      <c r="C293" s="31"/>
      <c r="D293" s="32"/>
      <c r="E293" s="33"/>
      <c r="F293" s="34"/>
      <c r="G293" s="34"/>
      <c r="H293" s="34"/>
      <c r="I293" s="34"/>
      <c r="J293" s="34"/>
      <c r="K293" s="34"/>
      <c r="L293" s="34"/>
      <c r="M293" s="34"/>
      <c r="N293" s="34"/>
      <c r="O293" s="38">
        <f t="shared" si="20"/>
        <v>0</v>
      </c>
      <c r="P293" s="34"/>
      <c r="Q293" s="34"/>
      <c r="R293" s="34"/>
      <c r="S293" s="34"/>
      <c r="T293" s="34"/>
      <c r="U293" s="34"/>
      <c r="V293" s="34"/>
      <c r="W293" s="34"/>
      <c r="X293" s="34"/>
      <c r="Y293" s="34"/>
      <c r="Z293" s="34"/>
      <c r="AA293" s="38">
        <f t="shared" si="21"/>
        <v>0</v>
      </c>
      <c r="AB293" s="38">
        <f t="shared" si="22"/>
        <v>0</v>
      </c>
      <c r="AC293" s="23"/>
      <c r="AD293" s="23"/>
      <c r="AE293" s="23" t="e">
        <f>IF(#REF!=#REF!,1,0)</f>
        <v>#REF!</v>
      </c>
      <c r="AF293" s="24"/>
      <c r="AG293" s="24"/>
      <c r="AH293" s="24"/>
      <c r="AI293" s="24"/>
      <c r="AJ293" s="27"/>
      <c r="AK293" s="27"/>
      <c r="AL293" s="27"/>
      <c r="AM293" s="27"/>
      <c r="AN293" s="27"/>
      <c r="AO293" s="27"/>
      <c r="AP293" s="27"/>
      <c r="AQ293" s="27"/>
      <c r="AR293" s="27"/>
      <c r="AS293" s="27"/>
      <c r="AT293" s="27"/>
    </row>
    <row r="294" spans="2:46" s="3" customFormat="1" x14ac:dyDescent="0.25">
      <c r="B294" s="30"/>
      <c r="C294" s="31"/>
      <c r="D294" s="32"/>
      <c r="E294" s="33"/>
      <c r="F294" s="34"/>
      <c r="G294" s="34"/>
      <c r="H294" s="34"/>
      <c r="I294" s="34"/>
      <c r="J294" s="34"/>
      <c r="K294" s="34"/>
      <c r="L294" s="34"/>
      <c r="M294" s="34"/>
      <c r="N294" s="34"/>
      <c r="O294" s="38">
        <f t="shared" si="20"/>
        <v>0</v>
      </c>
      <c r="P294" s="34"/>
      <c r="Q294" s="34"/>
      <c r="R294" s="34"/>
      <c r="S294" s="34"/>
      <c r="T294" s="34"/>
      <c r="U294" s="34"/>
      <c r="V294" s="34"/>
      <c r="W294" s="34"/>
      <c r="X294" s="34"/>
      <c r="Y294" s="34"/>
      <c r="Z294" s="34"/>
      <c r="AA294" s="38">
        <f t="shared" si="21"/>
        <v>0</v>
      </c>
      <c r="AB294" s="38">
        <f t="shared" si="22"/>
        <v>0</v>
      </c>
      <c r="AC294" s="23"/>
      <c r="AD294" s="23"/>
      <c r="AE294" s="23" t="e">
        <f>IF(#REF!=#REF!,1,0)</f>
        <v>#REF!</v>
      </c>
      <c r="AF294" s="24"/>
      <c r="AG294" s="24"/>
      <c r="AH294" s="24"/>
      <c r="AI294" s="24"/>
      <c r="AJ294" s="27"/>
      <c r="AK294" s="27"/>
      <c r="AL294" s="27"/>
      <c r="AM294" s="27"/>
      <c r="AN294" s="27"/>
      <c r="AO294" s="27"/>
      <c r="AP294" s="27"/>
      <c r="AQ294" s="27"/>
      <c r="AR294" s="27"/>
      <c r="AS294" s="27"/>
      <c r="AT294" s="27"/>
    </row>
    <row r="295" spans="2:46" s="3" customFormat="1" x14ac:dyDescent="0.25">
      <c r="B295" s="30"/>
      <c r="C295" s="31"/>
      <c r="D295" s="32"/>
      <c r="E295" s="33"/>
      <c r="F295" s="34"/>
      <c r="G295" s="34"/>
      <c r="H295" s="34"/>
      <c r="I295" s="34"/>
      <c r="J295" s="34"/>
      <c r="K295" s="34"/>
      <c r="L295" s="34"/>
      <c r="M295" s="34"/>
      <c r="N295" s="34"/>
      <c r="O295" s="38">
        <f t="shared" si="20"/>
        <v>0</v>
      </c>
      <c r="P295" s="34"/>
      <c r="Q295" s="34"/>
      <c r="R295" s="34"/>
      <c r="S295" s="34"/>
      <c r="T295" s="34"/>
      <c r="U295" s="34"/>
      <c r="V295" s="34"/>
      <c r="W295" s="34"/>
      <c r="X295" s="34"/>
      <c r="Y295" s="34"/>
      <c r="Z295" s="34"/>
      <c r="AA295" s="38">
        <f t="shared" si="21"/>
        <v>0</v>
      </c>
      <c r="AB295" s="38">
        <f t="shared" si="22"/>
        <v>0</v>
      </c>
      <c r="AC295" s="23"/>
      <c r="AD295" s="23"/>
      <c r="AE295" s="23" t="e">
        <f>IF(#REF!=#REF!,1,0)</f>
        <v>#REF!</v>
      </c>
      <c r="AF295" s="24"/>
      <c r="AG295" s="24"/>
      <c r="AH295" s="24"/>
      <c r="AI295" s="24"/>
      <c r="AJ295" s="27"/>
      <c r="AK295" s="27"/>
      <c r="AL295" s="27"/>
      <c r="AM295" s="27"/>
      <c r="AN295" s="27"/>
      <c r="AO295" s="27"/>
      <c r="AP295" s="27"/>
      <c r="AQ295" s="27"/>
      <c r="AR295" s="27"/>
      <c r="AS295" s="27"/>
      <c r="AT295" s="27"/>
    </row>
    <row r="296" spans="2:46" s="3" customFormat="1" x14ac:dyDescent="0.25">
      <c r="B296" s="30"/>
      <c r="C296" s="31"/>
      <c r="D296" s="32"/>
      <c r="E296" s="33"/>
      <c r="F296" s="34"/>
      <c r="G296" s="34"/>
      <c r="H296" s="34"/>
      <c r="I296" s="34"/>
      <c r="J296" s="34"/>
      <c r="K296" s="34"/>
      <c r="L296" s="34"/>
      <c r="M296" s="34"/>
      <c r="N296" s="34"/>
      <c r="O296" s="38">
        <f t="shared" si="20"/>
        <v>0</v>
      </c>
      <c r="P296" s="34"/>
      <c r="Q296" s="34"/>
      <c r="R296" s="34"/>
      <c r="S296" s="34"/>
      <c r="T296" s="34"/>
      <c r="U296" s="34"/>
      <c r="V296" s="34"/>
      <c r="W296" s="34"/>
      <c r="X296" s="34"/>
      <c r="Y296" s="34"/>
      <c r="Z296" s="34"/>
      <c r="AA296" s="38">
        <f t="shared" si="21"/>
        <v>0</v>
      </c>
      <c r="AB296" s="38">
        <f t="shared" si="22"/>
        <v>0</v>
      </c>
      <c r="AC296" s="23"/>
      <c r="AD296" s="23"/>
      <c r="AE296" s="23" t="e">
        <f>IF(#REF!=#REF!,1,0)</f>
        <v>#REF!</v>
      </c>
      <c r="AF296" s="24"/>
      <c r="AG296" s="24"/>
      <c r="AH296" s="24"/>
      <c r="AI296" s="24"/>
      <c r="AJ296" s="27"/>
      <c r="AK296" s="27"/>
      <c r="AL296" s="27"/>
      <c r="AM296" s="27"/>
      <c r="AN296" s="27"/>
      <c r="AO296" s="27"/>
      <c r="AP296" s="27"/>
      <c r="AQ296" s="27"/>
      <c r="AR296" s="27"/>
      <c r="AS296" s="27"/>
      <c r="AT296" s="27"/>
    </row>
    <row r="297" spans="2:46" s="3" customFormat="1" x14ac:dyDescent="0.25">
      <c r="B297" s="30"/>
      <c r="C297" s="31"/>
      <c r="D297" s="32"/>
      <c r="E297" s="33"/>
      <c r="F297" s="34"/>
      <c r="G297" s="34"/>
      <c r="H297" s="34"/>
      <c r="I297" s="34"/>
      <c r="J297" s="34"/>
      <c r="K297" s="34"/>
      <c r="L297" s="34"/>
      <c r="M297" s="34"/>
      <c r="N297" s="34"/>
      <c r="O297" s="38">
        <f t="shared" si="20"/>
        <v>0</v>
      </c>
      <c r="P297" s="34"/>
      <c r="Q297" s="34"/>
      <c r="R297" s="34"/>
      <c r="S297" s="34"/>
      <c r="T297" s="34"/>
      <c r="U297" s="34"/>
      <c r="V297" s="34"/>
      <c r="W297" s="34"/>
      <c r="X297" s="34"/>
      <c r="Y297" s="34"/>
      <c r="Z297" s="34"/>
      <c r="AA297" s="38">
        <f t="shared" si="21"/>
        <v>0</v>
      </c>
      <c r="AB297" s="38">
        <f t="shared" si="22"/>
        <v>0</v>
      </c>
      <c r="AC297" s="23"/>
      <c r="AD297" s="23"/>
      <c r="AE297" s="23" t="e">
        <f>IF(#REF!=#REF!,1,0)</f>
        <v>#REF!</v>
      </c>
      <c r="AF297" s="24"/>
      <c r="AG297" s="24"/>
      <c r="AH297" s="24"/>
      <c r="AI297" s="24"/>
      <c r="AJ297" s="27"/>
      <c r="AK297" s="27"/>
      <c r="AL297" s="27"/>
      <c r="AM297" s="27"/>
      <c r="AN297" s="27"/>
      <c r="AO297" s="27"/>
      <c r="AP297" s="27"/>
      <c r="AQ297" s="27"/>
      <c r="AR297" s="27"/>
      <c r="AS297" s="27"/>
      <c r="AT297" s="27"/>
    </row>
    <row r="298" spans="2:46" s="3" customFormat="1" x14ac:dyDescent="0.25">
      <c r="B298" s="30"/>
      <c r="C298" s="31"/>
      <c r="D298" s="32"/>
      <c r="E298" s="33"/>
      <c r="F298" s="34"/>
      <c r="G298" s="34"/>
      <c r="H298" s="34"/>
      <c r="I298" s="34"/>
      <c r="J298" s="34"/>
      <c r="K298" s="34"/>
      <c r="L298" s="34"/>
      <c r="M298" s="34"/>
      <c r="N298" s="34"/>
      <c r="O298" s="38">
        <f t="shared" si="20"/>
        <v>0</v>
      </c>
      <c r="P298" s="34"/>
      <c r="Q298" s="34"/>
      <c r="R298" s="34"/>
      <c r="S298" s="34"/>
      <c r="T298" s="34"/>
      <c r="U298" s="34"/>
      <c r="V298" s="34"/>
      <c r="W298" s="34"/>
      <c r="X298" s="34"/>
      <c r="Y298" s="34"/>
      <c r="Z298" s="34"/>
      <c r="AA298" s="38">
        <f t="shared" si="21"/>
        <v>0</v>
      </c>
      <c r="AB298" s="38">
        <f t="shared" si="22"/>
        <v>0</v>
      </c>
      <c r="AC298" s="23"/>
      <c r="AD298" s="23"/>
      <c r="AE298" s="23" t="e">
        <f>IF(#REF!=#REF!,1,0)</f>
        <v>#REF!</v>
      </c>
      <c r="AF298" s="24"/>
      <c r="AG298" s="24"/>
      <c r="AH298" s="24"/>
      <c r="AI298" s="24"/>
      <c r="AJ298" s="27"/>
      <c r="AK298" s="27"/>
      <c r="AL298" s="27"/>
      <c r="AM298" s="27"/>
      <c r="AN298" s="27"/>
      <c r="AO298" s="27"/>
      <c r="AP298" s="27"/>
      <c r="AQ298" s="27"/>
      <c r="AR298" s="27"/>
      <c r="AS298" s="27"/>
      <c r="AT298" s="27"/>
    </row>
    <row r="299" spans="2:46" s="3" customFormat="1" x14ac:dyDescent="0.25">
      <c r="B299" s="30"/>
      <c r="C299" s="31"/>
      <c r="D299" s="32"/>
      <c r="E299" s="33"/>
      <c r="F299" s="34"/>
      <c r="G299" s="34"/>
      <c r="H299" s="34"/>
      <c r="I299" s="34"/>
      <c r="J299" s="34"/>
      <c r="K299" s="34"/>
      <c r="L299" s="34"/>
      <c r="M299" s="34"/>
      <c r="N299" s="34"/>
      <c r="O299" s="38">
        <f t="shared" si="20"/>
        <v>0</v>
      </c>
      <c r="P299" s="34"/>
      <c r="Q299" s="34"/>
      <c r="R299" s="34"/>
      <c r="S299" s="34"/>
      <c r="T299" s="34"/>
      <c r="U299" s="34"/>
      <c r="V299" s="34"/>
      <c r="W299" s="34"/>
      <c r="X299" s="34"/>
      <c r="Y299" s="34"/>
      <c r="Z299" s="34"/>
      <c r="AA299" s="38">
        <f t="shared" si="21"/>
        <v>0</v>
      </c>
      <c r="AB299" s="38">
        <f t="shared" si="22"/>
        <v>0</v>
      </c>
      <c r="AC299" s="23"/>
      <c r="AD299" s="23"/>
      <c r="AE299" s="23" t="e">
        <f>IF(#REF!=#REF!,1,0)</f>
        <v>#REF!</v>
      </c>
      <c r="AF299" s="24"/>
      <c r="AG299" s="24"/>
      <c r="AH299" s="24"/>
      <c r="AI299" s="24"/>
      <c r="AJ299" s="27"/>
      <c r="AK299" s="27"/>
      <c r="AL299" s="27"/>
      <c r="AM299" s="27"/>
      <c r="AN299" s="27"/>
      <c r="AO299" s="27"/>
      <c r="AP299" s="27"/>
      <c r="AQ299" s="27"/>
      <c r="AR299" s="27"/>
      <c r="AS299" s="27"/>
      <c r="AT299" s="27"/>
    </row>
    <row r="300" spans="2:46" s="3" customFormat="1" x14ac:dyDescent="0.25">
      <c r="B300" s="30"/>
      <c r="C300" s="31"/>
      <c r="D300" s="32"/>
      <c r="E300" s="33"/>
      <c r="F300" s="34"/>
      <c r="G300" s="34"/>
      <c r="H300" s="34"/>
      <c r="I300" s="34"/>
      <c r="J300" s="34"/>
      <c r="K300" s="34"/>
      <c r="L300" s="34"/>
      <c r="M300" s="34"/>
      <c r="N300" s="34"/>
      <c r="O300" s="38">
        <f t="shared" si="20"/>
        <v>0</v>
      </c>
      <c r="P300" s="34"/>
      <c r="Q300" s="34"/>
      <c r="R300" s="34"/>
      <c r="S300" s="34"/>
      <c r="T300" s="34"/>
      <c r="U300" s="34"/>
      <c r="V300" s="34"/>
      <c r="W300" s="34"/>
      <c r="X300" s="34"/>
      <c r="Y300" s="34"/>
      <c r="Z300" s="34"/>
      <c r="AA300" s="38">
        <f t="shared" si="21"/>
        <v>0</v>
      </c>
      <c r="AB300" s="38">
        <f t="shared" si="22"/>
        <v>0</v>
      </c>
      <c r="AC300" s="23"/>
      <c r="AD300" s="23"/>
      <c r="AE300" s="23" t="e">
        <f>IF(#REF!=#REF!,1,0)</f>
        <v>#REF!</v>
      </c>
      <c r="AF300" s="24"/>
      <c r="AG300" s="24"/>
      <c r="AH300" s="24"/>
      <c r="AI300" s="24"/>
      <c r="AJ300" s="27"/>
      <c r="AK300" s="27"/>
      <c r="AL300" s="27"/>
      <c r="AM300" s="27"/>
      <c r="AN300" s="27"/>
      <c r="AO300" s="27"/>
      <c r="AP300" s="27"/>
      <c r="AQ300" s="27"/>
      <c r="AR300" s="27"/>
      <c r="AS300" s="27"/>
      <c r="AT300" s="27"/>
    </row>
    <row r="301" spans="2:46" s="3" customFormat="1" x14ac:dyDescent="0.25">
      <c r="B301" s="30"/>
      <c r="C301" s="31"/>
      <c r="D301" s="32"/>
      <c r="E301" s="33"/>
      <c r="F301" s="34"/>
      <c r="G301" s="34"/>
      <c r="H301" s="34"/>
      <c r="I301" s="34"/>
      <c r="J301" s="34"/>
      <c r="K301" s="34"/>
      <c r="L301" s="34"/>
      <c r="M301" s="34"/>
      <c r="N301" s="34"/>
      <c r="O301" s="38">
        <f t="shared" si="20"/>
        <v>0</v>
      </c>
      <c r="P301" s="34"/>
      <c r="Q301" s="34"/>
      <c r="R301" s="34"/>
      <c r="S301" s="34"/>
      <c r="T301" s="34"/>
      <c r="U301" s="34"/>
      <c r="V301" s="34"/>
      <c r="W301" s="34"/>
      <c r="X301" s="34"/>
      <c r="Y301" s="34"/>
      <c r="Z301" s="34"/>
      <c r="AA301" s="38">
        <f t="shared" si="21"/>
        <v>0</v>
      </c>
      <c r="AB301" s="38">
        <f t="shared" si="22"/>
        <v>0</v>
      </c>
      <c r="AC301" s="23"/>
      <c r="AD301" s="23"/>
      <c r="AE301" s="23" t="e">
        <f>IF(#REF!=#REF!,1,0)</f>
        <v>#REF!</v>
      </c>
      <c r="AF301" s="24"/>
      <c r="AG301" s="24"/>
      <c r="AH301" s="24"/>
      <c r="AI301" s="24"/>
      <c r="AJ301" s="27"/>
      <c r="AK301" s="27"/>
      <c r="AL301" s="27"/>
      <c r="AM301" s="27"/>
      <c r="AN301" s="27"/>
      <c r="AO301" s="27"/>
      <c r="AP301" s="27"/>
      <c r="AQ301" s="27"/>
      <c r="AR301" s="27"/>
      <c r="AS301" s="27"/>
      <c r="AT301" s="27"/>
    </row>
    <row r="302" spans="2:46" s="3" customFormat="1" x14ac:dyDescent="0.25">
      <c r="B302" s="30"/>
      <c r="C302" s="31"/>
      <c r="D302" s="32"/>
      <c r="E302" s="33"/>
      <c r="F302" s="34"/>
      <c r="G302" s="34"/>
      <c r="H302" s="34"/>
      <c r="I302" s="34"/>
      <c r="J302" s="34"/>
      <c r="K302" s="34"/>
      <c r="L302" s="34"/>
      <c r="M302" s="34"/>
      <c r="N302" s="34"/>
      <c r="O302" s="38">
        <f t="shared" si="20"/>
        <v>0</v>
      </c>
      <c r="P302" s="34"/>
      <c r="Q302" s="34"/>
      <c r="R302" s="34"/>
      <c r="S302" s="34"/>
      <c r="T302" s="34"/>
      <c r="U302" s="34"/>
      <c r="V302" s="34"/>
      <c r="W302" s="34"/>
      <c r="X302" s="34"/>
      <c r="Y302" s="34"/>
      <c r="Z302" s="34"/>
      <c r="AA302" s="38">
        <f t="shared" si="21"/>
        <v>0</v>
      </c>
      <c r="AB302" s="38">
        <f t="shared" si="22"/>
        <v>0</v>
      </c>
      <c r="AC302" s="23"/>
      <c r="AD302" s="23"/>
      <c r="AE302" s="23" t="e">
        <f>IF(#REF!=#REF!,1,0)</f>
        <v>#REF!</v>
      </c>
      <c r="AF302" s="24"/>
      <c r="AG302" s="24"/>
      <c r="AH302" s="24"/>
      <c r="AI302" s="24"/>
      <c r="AJ302" s="27"/>
      <c r="AK302" s="27"/>
      <c r="AL302" s="27"/>
      <c r="AM302" s="27"/>
      <c r="AN302" s="27"/>
      <c r="AO302" s="27"/>
      <c r="AP302" s="27"/>
      <c r="AQ302" s="27"/>
      <c r="AR302" s="27"/>
      <c r="AS302" s="27"/>
      <c r="AT302" s="27"/>
    </row>
    <row r="303" spans="2:46" s="3" customFormat="1" x14ac:dyDescent="0.25">
      <c r="B303" s="30"/>
      <c r="C303" s="31"/>
      <c r="D303" s="32"/>
      <c r="E303" s="33"/>
      <c r="F303" s="34"/>
      <c r="G303" s="34"/>
      <c r="H303" s="34"/>
      <c r="I303" s="34"/>
      <c r="J303" s="34"/>
      <c r="K303" s="34"/>
      <c r="L303" s="34"/>
      <c r="M303" s="34"/>
      <c r="N303" s="34"/>
      <c r="O303" s="38">
        <f t="shared" si="20"/>
        <v>0</v>
      </c>
      <c r="P303" s="34"/>
      <c r="Q303" s="34"/>
      <c r="R303" s="34"/>
      <c r="S303" s="34"/>
      <c r="T303" s="34"/>
      <c r="U303" s="34"/>
      <c r="V303" s="34"/>
      <c r="W303" s="34"/>
      <c r="X303" s="34"/>
      <c r="Y303" s="34"/>
      <c r="Z303" s="34"/>
      <c r="AA303" s="38">
        <f t="shared" si="21"/>
        <v>0</v>
      </c>
      <c r="AB303" s="38">
        <f t="shared" si="22"/>
        <v>0</v>
      </c>
      <c r="AC303" s="23"/>
      <c r="AD303" s="23"/>
      <c r="AE303" s="23" t="e">
        <f>IF(#REF!=#REF!,1,0)</f>
        <v>#REF!</v>
      </c>
      <c r="AF303" s="24"/>
      <c r="AG303" s="24"/>
      <c r="AH303" s="24"/>
      <c r="AI303" s="24"/>
      <c r="AJ303" s="27"/>
      <c r="AK303" s="27"/>
      <c r="AL303" s="27"/>
      <c r="AM303" s="27"/>
      <c r="AN303" s="27"/>
      <c r="AO303" s="27"/>
      <c r="AP303" s="27"/>
      <c r="AQ303" s="27"/>
      <c r="AR303" s="27"/>
      <c r="AS303" s="27"/>
      <c r="AT303" s="27"/>
    </row>
    <row r="304" spans="2:46" s="3" customFormat="1" x14ac:dyDescent="0.25">
      <c r="B304" s="30"/>
      <c r="C304" s="31"/>
      <c r="D304" s="32"/>
      <c r="E304" s="33"/>
      <c r="F304" s="34"/>
      <c r="G304" s="34"/>
      <c r="H304" s="34"/>
      <c r="I304" s="34"/>
      <c r="J304" s="34"/>
      <c r="K304" s="34"/>
      <c r="L304" s="34"/>
      <c r="M304" s="34"/>
      <c r="N304" s="34"/>
      <c r="O304" s="38">
        <f t="shared" si="20"/>
        <v>0</v>
      </c>
      <c r="P304" s="34"/>
      <c r="Q304" s="34"/>
      <c r="R304" s="34"/>
      <c r="S304" s="34"/>
      <c r="T304" s="34"/>
      <c r="U304" s="34"/>
      <c r="V304" s="34"/>
      <c r="W304" s="34"/>
      <c r="X304" s="34"/>
      <c r="Y304" s="34"/>
      <c r="Z304" s="34"/>
      <c r="AA304" s="38">
        <f t="shared" si="21"/>
        <v>0</v>
      </c>
      <c r="AB304" s="38">
        <f t="shared" si="22"/>
        <v>0</v>
      </c>
      <c r="AC304" s="23"/>
      <c r="AD304" s="23"/>
      <c r="AE304" s="23" t="e">
        <f>IF(#REF!=#REF!,1,0)</f>
        <v>#REF!</v>
      </c>
      <c r="AF304" s="24"/>
      <c r="AG304" s="24"/>
      <c r="AH304" s="24"/>
      <c r="AI304" s="24"/>
      <c r="AJ304" s="27"/>
      <c r="AK304" s="27"/>
      <c r="AL304" s="27"/>
      <c r="AM304" s="27"/>
      <c r="AN304" s="27"/>
      <c r="AO304" s="27"/>
      <c r="AP304" s="27"/>
      <c r="AQ304" s="27"/>
      <c r="AR304" s="27"/>
      <c r="AS304" s="27"/>
      <c r="AT304" s="27"/>
    </row>
    <row r="305" spans="2:46" s="3" customFormat="1" x14ac:dyDescent="0.25">
      <c r="B305" s="30"/>
      <c r="C305" s="31"/>
      <c r="D305" s="32"/>
      <c r="E305" s="33"/>
      <c r="F305" s="34"/>
      <c r="G305" s="34"/>
      <c r="H305" s="34"/>
      <c r="I305" s="34"/>
      <c r="J305" s="34"/>
      <c r="K305" s="34"/>
      <c r="L305" s="34"/>
      <c r="M305" s="34"/>
      <c r="N305" s="34"/>
      <c r="O305" s="38">
        <f t="shared" si="20"/>
        <v>0</v>
      </c>
      <c r="P305" s="34"/>
      <c r="Q305" s="34"/>
      <c r="R305" s="34"/>
      <c r="S305" s="34"/>
      <c r="T305" s="34"/>
      <c r="U305" s="34"/>
      <c r="V305" s="34"/>
      <c r="W305" s="34"/>
      <c r="X305" s="34"/>
      <c r="Y305" s="34"/>
      <c r="Z305" s="34"/>
      <c r="AA305" s="38">
        <f t="shared" si="21"/>
        <v>0</v>
      </c>
      <c r="AB305" s="38">
        <f t="shared" si="22"/>
        <v>0</v>
      </c>
      <c r="AC305" s="23"/>
      <c r="AD305" s="23"/>
      <c r="AE305" s="23" t="e">
        <f>IF(#REF!=#REF!,1,0)</f>
        <v>#REF!</v>
      </c>
      <c r="AF305" s="24"/>
      <c r="AG305" s="24"/>
      <c r="AH305" s="24"/>
      <c r="AI305" s="24"/>
      <c r="AJ305" s="27"/>
      <c r="AK305" s="27"/>
      <c r="AL305" s="27"/>
      <c r="AM305" s="27"/>
      <c r="AN305" s="27"/>
      <c r="AO305" s="27"/>
      <c r="AP305" s="27"/>
      <c r="AQ305" s="27"/>
      <c r="AR305" s="27"/>
      <c r="AS305" s="27"/>
      <c r="AT305" s="27"/>
    </row>
    <row r="306" spans="2:46" s="3" customFormat="1" x14ac:dyDescent="0.25">
      <c r="B306" s="30"/>
      <c r="C306" s="31"/>
      <c r="D306" s="32"/>
      <c r="E306" s="33"/>
      <c r="F306" s="34"/>
      <c r="G306" s="34"/>
      <c r="H306" s="34"/>
      <c r="I306" s="34"/>
      <c r="J306" s="34"/>
      <c r="K306" s="34"/>
      <c r="L306" s="34"/>
      <c r="M306" s="34"/>
      <c r="N306" s="34"/>
      <c r="O306" s="38">
        <f t="shared" si="20"/>
        <v>0</v>
      </c>
      <c r="P306" s="34"/>
      <c r="Q306" s="34"/>
      <c r="R306" s="34"/>
      <c r="S306" s="34"/>
      <c r="T306" s="34"/>
      <c r="U306" s="34"/>
      <c r="V306" s="34"/>
      <c r="W306" s="34"/>
      <c r="X306" s="34"/>
      <c r="Y306" s="34"/>
      <c r="Z306" s="34"/>
      <c r="AA306" s="38">
        <f t="shared" si="21"/>
        <v>0</v>
      </c>
      <c r="AB306" s="38">
        <f t="shared" si="22"/>
        <v>0</v>
      </c>
      <c r="AC306" s="23"/>
      <c r="AD306" s="23"/>
      <c r="AE306" s="23" t="e">
        <f>IF(#REF!=#REF!,1,0)</f>
        <v>#REF!</v>
      </c>
      <c r="AF306" s="24"/>
      <c r="AG306" s="24"/>
      <c r="AH306" s="24"/>
      <c r="AI306" s="24"/>
      <c r="AJ306" s="27"/>
      <c r="AK306" s="27"/>
      <c r="AL306" s="27"/>
      <c r="AM306" s="27"/>
      <c r="AN306" s="27"/>
      <c r="AO306" s="27"/>
      <c r="AP306" s="27"/>
      <c r="AQ306" s="27"/>
      <c r="AR306" s="27"/>
      <c r="AS306" s="27"/>
      <c r="AT306" s="27"/>
    </row>
    <row r="307" spans="2:46" s="3" customFormat="1" x14ac:dyDescent="0.25">
      <c r="B307" s="30"/>
      <c r="C307" s="31"/>
      <c r="D307" s="32"/>
      <c r="E307" s="33"/>
      <c r="F307" s="34"/>
      <c r="G307" s="34"/>
      <c r="H307" s="34"/>
      <c r="I307" s="34"/>
      <c r="J307" s="34"/>
      <c r="K307" s="34"/>
      <c r="L307" s="34"/>
      <c r="M307" s="34"/>
      <c r="N307" s="34"/>
      <c r="O307" s="38">
        <f t="shared" si="20"/>
        <v>0</v>
      </c>
      <c r="P307" s="34"/>
      <c r="Q307" s="34"/>
      <c r="R307" s="34"/>
      <c r="S307" s="34"/>
      <c r="T307" s="34"/>
      <c r="U307" s="34"/>
      <c r="V307" s="34"/>
      <c r="W307" s="34"/>
      <c r="X307" s="34"/>
      <c r="Y307" s="34"/>
      <c r="Z307" s="34"/>
      <c r="AA307" s="38">
        <f t="shared" si="21"/>
        <v>0</v>
      </c>
      <c r="AB307" s="38">
        <f t="shared" si="22"/>
        <v>0</v>
      </c>
      <c r="AC307" s="23"/>
      <c r="AD307" s="23"/>
      <c r="AE307" s="23" t="e">
        <f>IF(#REF!=#REF!,1,0)</f>
        <v>#REF!</v>
      </c>
      <c r="AF307" s="24"/>
      <c r="AG307" s="24"/>
      <c r="AH307" s="24"/>
      <c r="AI307" s="24"/>
      <c r="AJ307" s="27"/>
      <c r="AK307" s="27"/>
      <c r="AL307" s="27"/>
      <c r="AM307" s="27"/>
      <c r="AN307" s="27"/>
      <c r="AO307" s="27"/>
      <c r="AP307" s="27"/>
      <c r="AQ307" s="27"/>
      <c r="AR307" s="27"/>
      <c r="AS307" s="27"/>
      <c r="AT307" s="27"/>
    </row>
    <row r="308" spans="2:46" s="3" customFormat="1" x14ac:dyDescent="0.25">
      <c r="B308" s="30"/>
      <c r="C308" s="31"/>
      <c r="D308" s="32"/>
      <c r="E308" s="33"/>
      <c r="F308" s="34"/>
      <c r="G308" s="34"/>
      <c r="H308" s="34"/>
      <c r="I308" s="34"/>
      <c r="J308" s="34"/>
      <c r="K308" s="34"/>
      <c r="L308" s="34"/>
      <c r="M308" s="34"/>
      <c r="N308" s="34"/>
      <c r="O308" s="38">
        <f t="shared" si="20"/>
        <v>0</v>
      </c>
      <c r="P308" s="34"/>
      <c r="Q308" s="34"/>
      <c r="R308" s="34"/>
      <c r="S308" s="34"/>
      <c r="T308" s="34"/>
      <c r="U308" s="34"/>
      <c r="V308" s="34"/>
      <c r="W308" s="34"/>
      <c r="X308" s="34"/>
      <c r="Y308" s="34"/>
      <c r="Z308" s="34"/>
      <c r="AA308" s="38">
        <f t="shared" si="21"/>
        <v>0</v>
      </c>
      <c r="AB308" s="38">
        <f t="shared" si="22"/>
        <v>0</v>
      </c>
      <c r="AC308" s="23"/>
      <c r="AD308" s="23"/>
      <c r="AE308" s="23" t="e">
        <f>IF(#REF!=#REF!,1,0)</f>
        <v>#REF!</v>
      </c>
      <c r="AF308" s="24"/>
      <c r="AG308" s="24"/>
      <c r="AH308" s="24"/>
      <c r="AI308" s="24"/>
      <c r="AJ308" s="27"/>
      <c r="AK308" s="27"/>
      <c r="AL308" s="27"/>
      <c r="AM308" s="27"/>
      <c r="AN308" s="27"/>
      <c r="AO308" s="27"/>
      <c r="AP308" s="27"/>
      <c r="AQ308" s="27"/>
      <c r="AR308" s="27"/>
      <c r="AS308" s="27"/>
      <c r="AT308" s="27"/>
    </row>
    <row r="309" spans="2:46" s="3" customFormat="1" x14ac:dyDescent="0.25">
      <c r="B309" s="30"/>
      <c r="C309" s="31"/>
      <c r="D309" s="32"/>
      <c r="E309" s="33"/>
      <c r="F309" s="34"/>
      <c r="G309" s="34"/>
      <c r="H309" s="34"/>
      <c r="I309" s="34"/>
      <c r="J309" s="34"/>
      <c r="K309" s="34"/>
      <c r="L309" s="34"/>
      <c r="M309" s="34"/>
      <c r="N309" s="34"/>
      <c r="O309" s="38">
        <f t="shared" si="20"/>
        <v>0</v>
      </c>
      <c r="P309" s="34"/>
      <c r="Q309" s="34"/>
      <c r="R309" s="34"/>
      <c r="S309" s="34"/>
      <c r="T309" s="34"/>
      <c r="U309" s="34"/>
      <c r="V309" s="34"/>
      <c r="W309" s="34"/>
      <c r="X309" s="34"/>
      <c r="Y309" s="34"/>
      <c r="Z309" s="34"/>
      <c r="AA309" s="38">
        <f t="shared" si="21"/>
        <v>0</v>
      </c>
      <c r="AB309" s="38">
        <f t="shared" si="22"/>
        <v>0</v>
      </c>
      <c r="AC309" s="23"/>
      <c r="AD309" s="23"/>
      <c r="AE309" s="23" t="e">
        <f>IF(#REF!=#REF!,1,0)</f>
        <v>#REF!</v>
      </c>
      <c r="AF309" s="24"/>
      <c r="AG309" s="24"/>
      <c r="AH309" s="24"/>
      <c r="AI309" s="24"/>
      <c r="AJ309" s="27"/>
      <c r="AK309" s="27"/>
      <c r="AL309" s="27"/>
      <c r="AM309" s="27"/>
      <c r="AN309" s="27"/>
      <c r="AO309" s="27"/>
      <c r="AP309" s="27"/>
      <c r="AQ309" s="27"/>
      <c r="AR309" s="27"/>
      <c r="AS309" s="27"/>
      <c r="AT309" s="27"/>
    </row>
    <row r="310" spans="2:46" s="3" customFormat="1" x14ac:dyDescent="0.25">
      <c r="B310" s="30"/>
      <c r="C310" s="31"/>
      <c r="D310" s="32"/>
      <c r="E310" s="33"/>
      <c r="F310" s="34"/>
      <c r="G310" s="34"/>
      <c r="H310" s="34"/>
      <c r="I310" s="34"/>
      <c r="J310" s="34"/>
      <c r="K310" s="34"/>
      <c r="L310" s="34"/>
      <c r="M310" s="34"/>
      <c r="N310" s="34"/>
      <c r="O310" s="38">
        <f t="shared" si="20"/>
        <v>0</v>
      </c>
      <c r="P310" s="34"/>
      <c r="Q310" s="34"/>
      <c r="R310" s="34"/>
      <c r="S310" s="34"/>
      <c r="T310" s="34"/>
      <c r="U310" s="34"/>
      <c r="V310" s="34"/>
      <c r="W310" s="34"/>
      <c r="X310" s="34"/>
      <c r="Y310" s="34"/>
      <c r="Z310" s="34"/>
      <c r="AA310" s="38">
        <f t="shared" si="21"/>
        <v>0</v>
      </c>
      <c r="AB310" s="38">
        <f t="shared" si="22"/>
        <v>0</v>
      </c>
      <c r="AC310" s="23"/>
      <c r="AD310" s="23"/>
      <c r="AE310" s="23" t="e">
        <f>IF(#REF!=#REF!,1,0)</f>
        <v>#REF!</v>
      </c>
      <c r="AF310" s="24"/>
      <c r="AG310" s="24"/>
      <c r="AH310" s="24"/>
      <c r="AI310" s="24"/>
      <c r="AJ310" s="27"/>
      <c r="AK310" s="27"/>
      <c r="AL310" s="27"/>
      <c r="AM310" s="27"/>
      <c r="AN310" s="27"/>
      <c r="AO310" s="27"/>
      <c r="AP310" s="27"/>
      <c r="AQ310" s="27"/>
      <c r="AR310" s="27"/>
      <c r="AS310" s="27"/>
      <c r="AT310" s="27"/>
    </row>
    <row r="311" spans="2:46" s="3" customFormat="1" x14ac:dyDescent="0.25">
      <c r="B311" s="30"/>
      <c r="C311" s="31"/>
      <c r="D311" s="32"/>
      <c r="E311" s="33"/>
      <c r="F311" s="34"/>
      <c r="G311" s="34"/>
      <c r="H311" s="34"/>
      <c r="I311" s="34"/>
      <c r="J311" s="34"/>
      <c r="K311" s="34"/>
      <c r="L311" s="34"/>
      <c r="M311" s="34"/>
      <c r="N311" s="34"/>
      <c r="O311" s="38">
        <f t="shared" si="20"/>
        <v>0</v>
      </c>
      <c r="P311" s="34"/>
      <c r="Q311" s="34"/>
      <c r="R311" s="34"/>
      <c r="S311" s="34"/>
      <c r="T311" s="34"/>
      <c r="U311" s="34"/>
      <c r="V311" s="34"/>
      <c r="W311" s="34"/>
      <c r="X311" s="34"/>
      <c r="Y311" s="34"/>
      <c r="Z311" s="34"/>
      <c r="AA311" s="38">
        <f t="shared" si="21"/>
        <v>0</v>
      </c>
      <c r="AB311" s="38">
        <f t="shared" si="22"/>
        <v>0</v>
      </c>
      <c r="AC311" s="23"/>
      <c r="AD311" s="23"/>
      <c r="AE311" s="23" t="e">
        <f>IF(#REF!=#REF!,1,0)</f>
        <v>#REF!</v>
      </c>
      <c r="AF311" s="24"/>
      <c r="AG311" s="24"/>
      <c r="AH311" s="24"/>
      <c r="AI311" s="24"/>
      <c r="AJ311" s="27"/>
      <c r="AK311" s="27"/>
      <c r="AL311" s="27"/>
      <c r="AM311" s="27"/>
      <c r="AN311" s="27"/>
      <c r="AO311" s="27"/>
      <c r="AP311" s="27"/>
      <c r="AQ311" s="27"/>
      <c r="AR311" s="27"/>
      <c r="AS311" s="27"/>
      <c r="AT311" s="27"/>
    </row>
    <row r="312" spans="2:46" s="3" customFormat="1" x14ac:dyDescent="0.25">
      <c r="B312" s="30"/>
      <c r="C312" s="31"/>
      <c r="D312" s="32"/>
      <c r="E312" s="33"/>
      <c r="F312" s="34"/>
      <c r="G312" s="34"/>
      <c r="H312" s="34"/>
      <c r="I312" s="34"/>
      <c r="J312" s="34"/>
      <c r="K312" s="34"/>
      <c r="L312" s="34"/>
      <c r="M312" s="34"/>
      <c r="N312" s="34"/>
      <c r="O312" s="38">
        <f t="shared" si="20"/>
        <v>0</v>
      </c>
      <c r="P312" s="34"/>
      <c r="Q312" s="34"/>
      <c r="R312" s="34"/>
      <c r="S312" s="34"/>
      <c r="T312" s="34"/>
      <c r="U312" s="34"/>
      <c r="V312" s="34"/>
      <c r="W312" s="34"/>
      <c r="X312" s="34"/>
      <c r="Y312" s="34"/>
      <c r="Z312" s="34"/>
      <c r="AA312" s="38">
        <f t="shared" si="21"/>
        <v>0</v>
      </c>
      <c r="AB312" s="38">
        <f t="shared" si="22"/>
        <v>0</v>
      </c>
      <c r="AC312" s="23"/>
      <c r="AD312" s="23"/>
      <c r="AE312" s="23" t="e">
        <f>IF(#REF!=#REF!,1,0)</f>
        <v>#REF!</v>
      </c>
      <c r="AF312" s="24"/>
      <c r="AG312" s="24"/>
      <c r="AH312" s="24"/>
      <c r="AI312" s="24"/>
      <c r="AJ312" s="27"/>
      <c r="AK312" s="27"/>
      <c r="AL312" s="27"/>
      <c r="AM312" s="27"/>
      <c r="AN312" s="27"/>
      <c r="AO312" s="27"/>
      <c r="AP312" s="27"/>
      <c r="AQ312" s="27"/>
      <c r="AR312" s="27"/>
      <c r="AS312" s="27"/>
      <c r="AT312" s="27"/>
    </row>
    <row r="313" spans="2:46" s="3" customFormat="1" x14ac:dyDescent="0.25">
      <c r="B313" s="30"/>
      <c r="C313" s="31"/>
      <c r="D313" s="32"/>
      <c r="E313" s="33"/>
      <c r="F313" s="34"/>
      <c r="G313" s="34"/>
      <c r="H313" s="34"/>
      <c r="I313" s="34"/>
      <c r="J313" s="34"/>
      <c r="K313" s="34"/>
      <c r="L313" s="34"/>
      <c r="M313" s="34"/>
      <c r="N313" s="34"/>
      <c r="O313" s="38">
        <f t="shared" si="20"/>
        <v>0</v>
      </c>
      <c r="P313" s="34"/>
      <c r="Q313" s="34"/>
      <c r="R313" s="34"/>
      <c r="S313" s="34"/>
      <c r="T313" s="34"/>
      <c r="U313" s="34"/>
      <c r="V313" s="34"/>
      <c r="W313" s="34"/>
      <c r="X313" s="34"/>
      <c r="Y313" s="34"/>
      <c r="Z313" s="34"/>
      <c r="AA313" s="38">
        <f t="shared" si="21"/>
        <v>0</v>
      </c>
      <c r="AB313" s="38">
        <f t="shared" si="22"/>
        <v>0</v>
      </c>
      <c r="AC313" s="23"/>
      <c r="AD313" s="23"/>
      <c r="AE313" s="23" t="e">
        <f>IF(#REF!=#REF!,1,0)</f>
        <v>#REF!</v>
      </c>
      <c r="AF313" s="24"/>
      <c r="AG313" s="24"/>
      <c r="AH313" s="24"/>
      <c r="AI313" s="24"/>
      <c r="AJ313" s="27"/>
      <c r="AK313" s="27"/>
      <c r="AL313" s="27"/>
      <c r="AM313" s="27"/>
      <c r="AN313" s="27"/>
      <c r="AO313" s="27"/>
      <c r="AP313" s="27"/>
      <c r="AQ313" s="27"/>
      <c r="AR313" s="27"/>
      <c r="AS313" s="27"/>
      <c r="AT313" s="27"/>
    </row>
    <row r="314" spans="2:46" s="3" customFormat="1" x14ac:dyDescent="0.25">
      <c r="B314" s="30"/>
      <c r="C314" s="31"/>
      <c r="D314" s="32"/>
      <c r="E314" s="33"/>
      <c r="F314" s="34"/>
      <c r="G314" s="34"/>
      <c r="H314" s="34"/>
      <c r="I314" s="34"/>
      <c r="J314" s="34"/>
      <c r="K314" s="34"/>
      <c r="L314" s="34"/>
      <c r="M314" s="34"/>
      <c r="N314" s="34"/>
      <c r="O314" s="38">
        <f t="shared" si="20"/>
        <v>0</v>
      </c>
      <c r="P314" s="34"/>
      <c r="Q314" s="34"/>
      <c r="R314" s="34"/>
      <c r="S314" s="34"/>
      <c r="T314" s="34"/>
      <c r="U314" s="34"/>
      <c r="V314" s="34"/>
      <c r="W314" s="34"/>
      <c r="X314" s="34"/>
      <c r="Y314" s="34"/>
      <c r="Z314" s="34"/>
      <c r="AA314" s="38">
        <f t="shared" si="21"/>
        <v>0</v>
      </c>
      <c r="AB314" s="38">
        <f t="shared" si="22"/>
        <v>0</v>
      </c>
      <c r="AC314" s="23"/>
      <c r="AD314" s="23"/>
      <c r="AE314" s="23" t="e">
        <f>IF(#REF!=#REF!,1,0)</f>
        <v>#REF!</v>
      </c>
      <c r="AF314" s="24"/>
      <c r="AG314" s="24"/>
      <c r="AH314" s="24"/>
      <c r="AI314" s="24"/>
      <c r="AJ314" s="27"/>
      <c r="AK314" s="27"/>
      <c r="AL314" s="27"/>
      <c r="AM314" s="27"/>
      <c r="AN314" s="27"/>
      <c r="AO314" s="27"/>
      <c r="AP314" s="27"/>
      <c r="AQ314" s="27"/>
      <c r="AR314" s="27"/>
      <c r="AS314" s="27"/>
      <c r="AT314" s="27"/>
    </row>
    <row r="315" spans="2:46" s="3" customFormat="1" x14ac:dyDescent="0.25">
      <c r="B315" s="30"/>
      <c r="C315" s="31"/>
      <c r="D315" s="32"/>
      <c r="E315" s="33"/>
      <c r="F315" s="34"/>
      <c r="G315" s="34"/>
      <c r="H315" s="34"/>
      <c r="I315" s="34"/>
      <c r="J315" s="34"/>
      <c r="K315" s="34"/>
      <c r="L315" s="34"/>
      <c r="M315" s="34"/>
      <c r="N315" s="34"/>
      <c r="O315" s="38">
        <f t="shared" si="20"/>
        <v>0</v>
      </c>
      <c r="P315" s="34"/>
      <c r="Q315" s="34"/>
      <c r="R315" s="34"/>
      <c r="S315" s="34"/>
      <c r="T315" s="34"/>
      <c r="U315" s="34"/>
      <c r="V315" s="34"/>
      <c r="W315" s="34"/>
      <c r="X315" s="34"/>
      <c r="Y315" s="34"/>
      <c r="Z315" s="34"/>
      <c r="AA315" s="38">
        <f t="shared" si="21"/>
        <v>0</v>
      </c>
      <c r="AB315" s="38">
        <f t="shared" si="22"/>
        <v>0</v>
      </c>
      <c r="AC315" s="23"/>
      <c r="AD315" s="23"/>
      <c r="AE315" s="23" t="e">
        <f>IF(#REF!=#REF!,1,0)</f>
        <v>#REF!</v>
      </c>
      <c r="AF315" s="24"/>
      <c r="AG315" s="24"/>
      <c r="AH315" s="24"/>
      <c r="AI315" s="24"/>
      <c r="AJ315" s="27"/>
      <c r="AK315" s="27"/>
      <c r="AL315" s="27"/>
      <c r="AM315" s="27"/>
      <c r="AN315" s="27"/>
      <c r="AO315" s="27"/>
      <c r="AP315" s="27"/>
      <c r="AQ315" s="27"/>
      <c r="AR315" s="27"/>
      <c r="AS315" s="27"/>
      <c r="AT315" s="27"/>
    </row>
    <row r="316" spans="2:46" s="3" customFormat="1" x14ac:dyDescent="0.25">
      <c r="B316" s="30"/>
      <c r="C316" s="31"/>
      <c r="D316" s="32"/>
      <c r="E316" s="33"/>
      <c r="F316" s="34"/>
      <c r="G316" s="34"/>
      <c r="H316" s="34"/>
      <c r="I316" s="34"/>
      <c r="J316" s="34"/>
      <c r="K316" s="34"/>
      <c r="L316" s="34"/>
      <c r="M316" s="34"/>
      <c r="N316" s="34"/>
      <c r="O316" s="38">
        <f t="shared" si="20"/>
        <v>0</v>
      </c>
      <c r="P316" s="34"/>
      <c r="Q316" s="34"/>
      <c r="R316" s="34"/>
      <c r="S316" s="34"/>
      <c r="T316" s="34"/>
      <c r="U316" s="34"/>
      <c r="V316" s="34"/>
      <c r="W316" s="34"/>
      <c r="X316" s="34"/>
      <c r="Y316" s="34"/>
      <c r="Z316" s="34"/>
      <c r="AA316" s="38">
        <f t="shared" si="21"/>
        <v>0</v>
      </c>
      <c r="AB316" s="38">
        <f t="shared" si="22"/>
        <v>0</v>
      </c>
      <c r="AC316" s="23"/>
      <c r="AD316" s="23"/>
      <c r="AE316" s="23" t="e">
        <f>IF(#REF!=#REF!,1,0)</f>
        <v>#REF!</v>
      </c>
      <c r="AF316" s="24"/>
      <c r="AG316" s="24"/>
      <c r="AH316" s="24"/>
      <c r="AI316" s="24"/>
      <c r="AJ316" s="27"/>
      <c r="AK316" s="27"/>
      <c r="AL316" s="27"/>
      <c r="AM316" s="27"/>
      <c r="AN316" s="27"/>
      <c r="AO316" s="27"/>
      <c r="AP316" s="27"/>
      <c r="AQ316" s="27"/>
      <c r="AR316" s="27"/>
      <c r="AS316" s="27"/>
      <c r="AT316" s="27"/>
    </row>
    <row r="317" spans="2:46" s="3" customFormat="1" x14ac:dyDescent="0.25">
      <c r="B317" s="30"/>
      <c r="C317" s="31"/>
      <c r="D317" s="32"/>
      <c r="E317" s="33"/>
      <c r="F317" s="34"/>
      <c r="G317" s="34"/>
      <c r="H317" s="34"/>
      <c r="I317" s="34"/>
      <c r="J317" s="34"/>
      <c r="K317" s="34"/>
      <c r="L317" s="34"/>
      <c r="M317" s="34"/>
      <c r="N317" s="34"/>
      <c r="O317" s="38">
        <f t="shared" si="20"/>
        <v>0</v>
      </c>
      <c r="P317" s="34"/>
      <c r="Q317" s="34"/>
      <c r="R317" s="34"/>
      <c r="S317" s="34"/>
      <c r="T317" s="34"/>
      <c r="U317" s="34"/>
      <c r="V317" s="34"/>
      <c r="W317" s="34"/>
      <c r="X317" s="34"/>
      <c r="Y317" s="34"/>
      <c r="Z317" s="34"/>
      <c r="AA317" s="38">
        <f t="shared" si="21"/>
        <v>0</v>
      </c>
      <c r="AB317" s="38">
        <f t="shared" si="22"/>
        <v>0</v>
      </c>
      <c r="AC317" s="23"/>
      <c r="AD317" s="23"/>
      <c r="AE317" s="23" t="e">
        <f>IF(#REF!=#REF!,1,0)</f>
        <v>#REF!</v>
      </c>
      <c r="AF317" s="24"/>
      <c r="AG317" s="24"/>
      <c r="AH317" s="24"/>
      <c r="AI317" s="24"/>
      <c r="AJ317" s="27"/>
      <c r="AK317" s="27"/>
      <c r="AL317" s="27"/>
      <c r="AM317" s="27"/>
      <c r="AN317" s="27"/>
      <c r="AO317" s="27"/>
      <c r="AP317" s="27"/>
      <c r="AQ317" s="27"/>
      <c r="AR317" s="27"/>
      <c r="AS317" s="27"/>
      <c r="AT317" s="27"/>
    </row>
    <row r="318" spans="2:46" s="3" customFormat="1" x14ac:dyDescent="0.25">
      <c r="B318" s="30"/>
      <c r="C318" s="31"/>
      <c r="D318" s="32"/>
      <c r="E318" s="33"/>
      <c r="F318" s="34"/>
      <c r="G318" s="34"/>
      <c r="H318" s="34"/>
      <c r="I318" s="34"/>
      <c r="J318" s="34"/>
      <c r="K318" s="34"/>
      <c r="L318" s="34"/>
      <c r="M318" s="34"/>
      <c r="N318" s="34"/>
      <c r="O318" s="38">
        <f t="shared" si="20"/>
        <v>0</v>
      </c>
      <c r="P318" s="34"/>
      <c r="Q318" s="34"/>
      <c r="R318" s="34"/>
      <c r="S318" s="34"/>
      <c r="T318" s="34"/>
      <c r="U318" s="34"/>
      <c r="V318" s="34"/>
      <c r="W318" s="34"/>
      <c r="X318" s="34"/>
      <c r="Y318" s="34"/>
      <c r="Z318" s="34"/>
      <c r="AA318" s="38">
        <f t="shared" si="21"/>
        <v>0</v>
      </c>
      <c r="AB318" s="38">
        <f t="shared" si="22"/>
        <v>0</v>
      </c>
      <c r="AC318" s="23"/>
      <c r="AD318" s="23"/>
      <c r="AE318" s="23" t="e">
        <f>IF(#REF!=#REF!,1,0)</f>
        <v>#REF!</v>
      </c>
      <c r="AF318" s="24"/>
      <c r="AG318" s="24"/>
      <c r="AH318" s="24"/>
      <c r="AI318" s="24"/>
      <c r="AJ318" s="27"/>
      <c r="AK318" s="27"/>
      <c r="AL318" s="27"/>
      <c r="AM318" s="27"/>
      <c r="AN318" s="27"/>
      <c r="AO318" s="27"/>
      <c r="AP318" s="27"/>
      <c r="AQ318" s="27"/>
      <c r="AR318" s="27"/>
      <c r="AS318" s="27"/>
      <c r="AT318" s="27"/>
    </row>
    <row r="319" spans="2:46" s="3" customFormat="1" x14ac:dyDescent="0.25">
      <c r="B319" s="30"/>
      <c r="C319" s="31"/>
      <c r="D319" s="32"/>
      <c r="E319" s="33"/>
      <c r="F319" s="34"/>
      <c r="G319" s="34"/>
      <c r="H319" s="34"/>
      <c r="I319" s="34"/>
      <c r="J319" s="34"/>
      <c r="K319" s="34"/>
      <c r="L319" s="34"/>
      <c r="M319" s="34"/>
      <c r="N319" s="34"/>
      <c r="O319" s="38">
        <f t="shared" si="20"/>
        <v>0</v>
      </c>
      <c r="P319" s="34"/>
      <c r="Q319" s="34"/>
      <c r="R319" s="34"/>
      <c r="S319" s="34"/>
      <c r="T319" s="34"/>
      <c r="U319" s="34"/>
      <c r="V319" s="34"/>
      <c r="W319" s="34"/>
      <c r="X319" s="34"/>
      <c r="Y319" s="34"/>
      <c r="Z319" s="34"/>
      <c r="AA319" s="38">
        <f t="shared" si="21"/>
        <v>0</v>
      </c>
      <c r="AB319" s="38">
        <f t="shared" si="22"/>
        <v>0</v>
      </c>
      <c r="AC319" s="23"/>
      <c r="AD319" s="23"/>
      <c r="AE319" s="23" t="e">
        <f>IF(#REF!=#REF!,1,0)</f>
        <v>#REF!</v>
      </c>
      <c r="AF319" s="24"/>
      <c r="AG319" s="24"/>
      <c r="AH319" s="24"/>
      <c r="AI319" s="24"/>
      <c r="AJ319" s="27"/>
      <c r="AK319" s="27"/>
      <c r="AL319" s="27"/>
      <c r="AM319" s="27"/>
      <c r="AN319" s="27"/>
      <c r="AO319" s="27"/>
      <c r="AP319" s="27"/>
      <c r="AQ319" s="27"/>
      <c r="AR319" s="27"/>
      <c r="AS319" s="27"/>
      <c r="AT319" s="27"/>
    </row>
    <row r="320" spans="2:46" s="3" customFormat="1" x14ac:dyDescent="0.25">
      <c r="B320" s="30"/>
      <c r="C320" s="31"/>
      <c r="D320" s="32"/>
      <c r="E320" s="33"/>
      <c r="F320" s="34"/>
      <c r="G320" s="34"/>
      <c r="H320" s="34"/>
      <c r="I320" s="34"/>
      <c r="J320" s="34"/>
      <c r="K320" s="34"/>
      <c r="L320" s="34"/>
      <c r="M320" s="34"/>
      <c r="N320" s="34"/>
      <c r="O320" s="38">
        <f t="shared" si="20"/>
        <v>0</v>
      </c>
      <c r="P320" s="34"/>
      <c r="Q320" s="34"/>
      <c r="R320" s="34"/>
      <c r="S320" s="34"/>
      <c r="T320" s="34"/>
      <c r="U320" s="34"/>
      <c r="V320" s="34"/>
      <c r="W320" s="34"/>
      <c r="X320" s="34"/>
      <c r="Y320" s="34"/>
      <c r="Z320" s="34"/>
      <c r="AA320" s="38">
        <f t="shared" si="21"/>
        <v>0</v>
      </c>
      <c r="AB320" s="38">
        <f t="shared" si="22"/>
        <v>0</v>
      </c>
      <c r="AC320" s="23"/>
      <c r="AD320" s="23"/>
      <c r="AE320" s="23" t="e">
        <f>IF(#REF!=#REF!,1,0)</f>
        <v>#REF!</v>
      </c>
      <c r="AF320" s="24"/>
      <c r="AG320" s="24"/>
      <c r="AH320" s="24"/>
      <c r="AI320" s="24"/>
      <c r="AJ320" s="27"/>
      <c r="AK320" s="27"/>
      <c r="AL320" s="27"/>
      <c r="AM320" s="27"/>
      <c r="AN320" s="27"/>
      <c r="AO320" s="27"/>
      <c r="AP320" s="27"/>
      <c r="AQ320" s="27"/>
      <c r="AR320" s="27"/>
      <c r="AS320" s="27"/>
      <c r="AT320" s="27"/>
    </row>
    <row r="321" spans="2:46" s="3" customFormat="1" x14ac:dyDescent="0.25">
      <c r="B321" s="30"/>
      <c r="C321" s="31"/>
      <c r="D321" s="32"/>
      <c r="E321" s="33"/>
      <c r="F321" s="34"/>
      <c r="G321" s="34"/>
      <c r="H321" s="34"/>
      <c r="I321" s="34"/>
      <c r="J321" s="34"/>
      <c r="K321" s="34"/>
      <c r="L321" s="34"/>
      <c r="M321" s="34"/>
      <c r="N321" s="34"/>
      <c r="O321" s="38">
        <f t="shared" si="20"/>
        <v>0</v>
      </c>
      <c r="P321" s="34"/>
      <c r="Q321" s="34"/>
      <c r="R321" s="34"/>
      <c r="S321" s="34"/>
      <c r="T321" s="34"/>
      <c r="U321" s="34"/>
      <c r="V321" s="34"/>
      <c r="W321" s="34"/>
      <c r="X321" s="34"/>
      <c r="Y321" s="34"/>
      <c r="Z321" s="34"/>
      <c r="AA321" s="38">
        <f t="shared" si="21"/>
        <v>0</v>
      </c>
      <c r="AB321" s="38">
        <f t="shared" si="22"/>
        <v>0</v>
      </c>
      <c r="AC321" s="23"/>
      <c r="AD321" s="23"/>
      <c r="AE321" s="23" t="e">
        <f>IF(#REF!=#REF!,1,0)</f>
        <v>#REF!</v>
      </c>
      <c r="AF321" s="24"/>
      <c r="AG321" s="24"/>
      <c r="AH321" s="24"/>
      <c r="AI321" s="24"/>
      <c r="AJ321" s="27"/>
      <c r="AK321" s="27"/>
      <c r="AL321" s="27"/>
      <c r="AM321" s="27"/>
      <c r="AN321" s="27"/>
      <c r="AO321" s="27"/>
      <c r="AP321" s="27"/>
      <c r="AQ321" s="27"/>
      <c r="AR321" s="27"/>
      <c r="AS321" s="27"/>
      <c r="AT321" s="27"/>
    </row>
    <row r="322" spans="2:46" s="3" customFormat="1" x14ac:dyDescent="0.25">
      <c r="B322" s="30"/>
      <c r="C322" s="31"/>
      <c r="D322" s="32"/>
      <c r="E322" s="33"/>
      <c r="F322" s="34"/>
      <c r="G322" s="34"/>
      <c r="H322" s="34"/>
      <c r="I322" s="34"/>
      <c r="J322" s="34"/>
      <c r="K322" s="34"/>
      <c r="L322" s="34"/>
      <c r="M322" s="34"/>
      <c r="N322" s="34"/>
      <c r="O322" s="38">
        <f t="shared" si="20"/>
        <v>0</v>
      </c>
      <c r="P322" s="34"/>
      <c r="Q322" s="34"/>
      <c r="R322" s="34"/>
      <c r="S322" s="34"/>
      <c r="T322" s="34"/>
      <c r="U322" s="34"/>
      <c r="V322" s="34"/>
      <c r="W322" s="34"/>
      <c r="X322" s="34"/>
      <c r="Y322" s="34"/>
      <c r="Z322" s="34"/>
      <c r="AA322" s="38">
        <f t="shared" si="21"/>
        <v>0</v>
      </c>
      <c r="AB322" s="38">
        <f t="shared" si="22"/>
        <v>0</v>
      </c>
      <c r="AC322" s="23"/>
      <c r="AD322" s="23"/>
      <c r="AE322" s="23" t="e">
        <f>IF(#REF!=#REF!,1,0)</f>
        <v>#REF!</v>
      </c>
      <c r="AF322" s="24"/>
      <c r="AG322" s="24"/>
      <c r="AH322" s="24"/>
      <c r="AI322" s="24"/>
      <c r="AJ322" s="27"/>
      <c r="AK322" s="27"/>
      <c r="AL322" s="27"/>
      <c r="AM322" s="27"/>
      <c r="AN322" s="27"/>
      <c r="AO322" s="27"/>
      <c r="AP322" s="27"/>
      <c r="AQ322" s="27"/>
      <c r="AR322" s="27"/>
      <c r="AS322" s="27"/>
      <c r="AT322" s="27"/>
    </row>
    <row r="323" spans="2:46" s="3" customFormat="1" x14ac:dyDescent="0.25">
      <c r="B323" s="30"/>
      <c r="C323" s="31"/>
      <c r="D323" s="32"/>
      <c r="E323" s="33"/>
      <c r="F323" s="34"/>
      <c r="G323" s="34"/>
      <c r="H323" s="34"/>
      <c r="I323" s="34"/>
      <c r="J323" s="34"/>
      <c r="K323" s="34"/>
      <c r="L323" s="34"/>
      <c r="M323" s="34"/>
      <c r="N323" s="34"/>
      <c r="O323" s="38">
        <f t="shared" si="20"/>
        <v>0</v>
      </c>
      <c r="P323" s="34"/>
      <c r="Q323" s="34"/>
      <c r="R323" s="34"/>
      <c r="S323" s="34"/>
      <c r="T323" s="34"/>
      <c r="U323" s="34"/>
      <c r="V323" s="34"/>
      <c r="W323" s="34"/>
      <c r="X323" s="34"/>
      <c r="Y323" s="34"/>
      <c r="Z323" s="34"/>
      <c r="AA323" s="38">
        <f t="shared" si="21"/>
        <v>0</v>
      </c>
      <c r="AB323" s="38">
        <f t="shared" si="22"/>
        <v>0</v>
      </c>
      <c r="AC323" s="23"/>
      <c r="AD323" s="23"/>
      <c r="AE323" s="23" t="e">
        <f>IF(#REF!=#REF!,1,0)</f>
        <v>#REF!</v>
      </c>
      <c r="AF323" s="24"/>
      <c r="AG323" s="24"/>
      <c r="AH323" s="24"/>
      <c r="AI323" s="24"/>
      <c r="AJ323" s="27"/>
      <c r="AK323" s="27"/>
      <c r="AL323" s="27"/>
      <c r="AM323" s="27"/>
      <c r="AN323" s="27"/>
      <c r="AO323" s="27"/>
      <c r="AP323" s="27"/>
      <c r="AQ323" s="27"/>
      <c r="AR323" s="27"/>
      <c r="AS323" s="27"/>
      <c r="AT323" s="27"/>
    </row>
    <row r="324" spans="2:46" s="3" customFormat="1" x14ac:dyDescent="0.25">
      <c r="B324" s="30"/>
      <c r="C324" s="31"/>
      <c r="D324" s="32"/>
      <c r="E324" s="33"/>
      <c r="F324" s="34"/>
      <c r="G324" s="34"/>
      <c r="H324" s="34"/>
      <c r="I324" s="34"/>
      <c r="J324" s="34"/>
      <c r="K324" s="34"/>
      <c r="L324" s="34"/>
      <c r="M324" s="34"/>
      <c r="N324" s="34"/>
      <c r="O324" s="38">
        <f t="shared" si="20"/>
        <v>0</v>
      </c>
      <c r="P324" s="34"/>
      <c r="Q324" s="34"/>
      <c r="R324" s="34"/>
      <c r="S324" s="34"/>
      <c r="T324" s="34"/>
      <c r="U324" s="34"/>
      <c r="V324" s="34"/>
      <c r="W324" s="34"/>
      <c r="X324" s="34"/>
      <c r="Y324" s="34"/>
      <c r="Z324" s="34"/>
      <c r="AA324" s="38">
        <f t="shared" si="21"/>
        <v>0</v>
      </c>
      <c r="AB324" s="38">
        <f t="shared" si="22"/>
        <v>0</v>
      </c>
      <c r="AC324" s="23"/>
      <c r="AD324" s="23"/>
      <c r="AE324" s="23" t="e">
        <f>IF(#REF!=#REF!,1,0)</f>
        <v>#REF!</v>
      </c>
      <c r="AF324" s="24"/>
      <c r="AG324" s="24"/>
      <c r="AH324" s="24"/>
      <c r="AI324" s="24"/>
      <c r="AJ324" s="27"/>
      <c r="AK324" s="27"/>
      <c r="AL324" s="27"/>
      <c r="AM324" s="27"/>
      <c r="AN324" s="27"/>
      <c r="AO324" s="27"/>
      <c r="AP324" s="27"/>
      <c r="AQ324" s="27"/>
      <c r="AR324" s="27"/>
      <c r="AS324" s="27"/>
      <c r="AT324" s="27"/>
    </row>
    <row r="325" spans="2:46" s="3" customFormat="1" x14ac:dyDescent="0.25">
      <c r="B325" s="30"/>
      <c r="C325" s="31"/>
      <c r="D325" s="32"/>
      <c r="E325" s="33"/>
      <c r="F325" s="34"/>
      <c r="G325" s="34"/>
      <c r="H325" s="34"/>
      <c r="I325" s="34"/>
      <c r="J325" s="34"/>
      <c r="K325" s="34"/>
      <c r="L325" s="34"/>
      <c r="M325" s="34"/>
      <c r="N325" s="34"/>
      <c r="O325" s="38">
        <f t="shared" si="20"/>
        <v>0</v>
      </c>
      <c r="P325" s="34"/>
      <c r="Q325" s="34"/>
      <c r="R325" s="34"/>
      <c r="S325" s="34"/>
      <c r="T325" s="34"/>
      <c r="U325" s="34"/>
      <c r="V325" s="34"/>
      <c r="W325" s="34"/>
      <c r="X325" s="34"/>
      <c r="Y325" s="34"/>
      <c r="Z325" s="34"/>
      <c r="AA325" s="38">
        <f t="shared" si="21"/>
        <v>0</v>
      </c>
      <c r="AB325" s="38">
        <f t="shared" si="22"/>
        <v>0</v>
      </c>
      <c r="AC325" s="23"/>
      <c r="AD325" s="23"/>
      <c r="AE325" s="23" t="e">
        <f>IF(#REF!=#REF!,1,0)</f>
        <v>#REF!</v>
      </c>
      <c r="AF325" s="24"/>
      <c r="AG325" s="24"/>
      <c r="AH325" s="24"/>
      <c r="AI325" s="24"/>
      <c r="AJ325" s="27"/>
      <c r="AK325" s="27"/>
      <c r="AL325" s="27"/>
      <c r="AM325" s="27"/>
      <c r="AN325" s="27"/>
      <c r="AO325" s="27"/>
      <c r="AP325" s="27"/>
      <c r="AQ325" s="27"/>
      <c r="AR325" s="27"/>
      <c r="AS325" s="27"/>
      <c r="AT325" s="27"/>
    </row>
    <row r="326" spans="2:46" s="3" customFormat="1" x14ac:dyDescent="0.25">
      <c r="B326" s="30"/>
      <c r="C326" s="31"/>
      <c r="D326" s="32"/>
      <c r="E326" s="33"/>
      <c r="F326" s="34"/>
      <c r="G326" s="34"/>
      <c r="H326" s="34"/>
      <c r="I326" s="34"/>
      <c r="J326" s="34"/>
      <c r="K326" s="34"/>
      <c r="L326" s="34"/>
      <c r="M326" s="34"/>
      <c r="N326" s="34"/>
      <c r="O326" s="38">
        <f t="shared" si="20"/>
        <v>0</v>
      </c>
      <c r="P326" s="34"/>
      <c r="Q326" s="34"/>
      <c r="R326" s="34"/>
      <c r="S326" s="34"/>
      <c r="T326" s="34"/>
      <c r="U326" s="34"/>
      <c r="V326" s="34"/>
      <c r="W326" s="34"/>
      <c r="X326" s="34"/>
      <c r="Y326" s="34"/>
      <c r="Z326" s="34"/>
      <c r="AA326" s="38">
        <f t="shared" si="21"/>
        <v>0</v>
      </c>
      <c r="AB326" s="38">
        <f t="shared" si="22"/>
        <v>0</v>
      </c>
      <c r="AC326" s="23"/>
      <c r="AD326" s="23"/>
      <c r="AE326" s="23" t="e">
        <f>IF(#REF!=#REF!,1,0)</f>
        <v>#REF!</v>
      </c>
      <c r="AF326" s="24"/>
      <c r="AG326" s="24"/>
      <c r="AH326" s="24"/>
      <c r="AI326" s="24"/>
      <c r="AJ326" s="27"/>
      <c r="AK326" s="27"/>
      <c r="AL326" s="27"/>
      <c r="AM326" s="27"/>
      <c r="AN326" s="27"/>
      <c r="AO326" s="27"/>
      <c r="AP326" s="27"/>
      <c r="AQ326" s="27"/>
      <c r="AR326" s="27"/>
      <c r="AS326" s="27"/>
      <c r="AT326" s="27"/>
    </row>
    <row r="327" spans="2:46" s="3" customFormat="1" x14ac:dyDescent="0.25">
      <c r="B327" s="30"/>
      <c r="C327" s="31"/>
      <c r="D327" s="32"/>
      <c r="E327" s="33"/>
      <c r="F327" s="34"/>
      <c r="G327" s="34"/>
      <c r="H327" s="34"/>
      <c r="I327" s="34"/>
      <c r="J327" s="34"/>
      <c r="K327" s="34"/>
      <c r="L327" s="34"/>
      <c r="M327" s="34"/>
      <c r="N327" s="34"/>
      <c r="O327" s="38">
        <f t="shared" si="20"/>
        <v>0</v>
      </c>
      <c r="P327" s="34"/>
      <c r="Q327" s="34"/>
      <c r="R327" s="34"/>
      <c r="S327" s="34"/>
      <c r="T327" s="34"/>
      <c r="U327" s="34"/>
      <c r="V327" s="34"/>
      <c r="W327" s="34"/>
      <c r="X327" s="34"/>
      <c r="Y327" s="34"/>
      <c r="Z327" s="34"/>
      <c r="AA327" s="38">
        <f t="shared" si="21"/>
        <v>0</v>
      </c>
      <c r="AB327" s="38">
        <f t="shared" si="22"/>
        <v>0</v>
      </c>
      <c r="AC327" s="23"/>
      <c r="AD327" s="23"/>
      <c r="AE327" s="23" t="e">
        <f>IF(#REF!=#REF!,1,0)</f>
        <v>#REF!</v>
      </c>
      <c r="AF327" s="24"/>
      <c r="AG327" s="24"/>
      <c r="AH327" s="24"/>
      <c r="AI327" s="24"/>
      <c r="AJ327" s="27"/>
      <c r="AK327" s="27"/>
      <c r="AL327" s="27"/>
      <c r="AM327" s="27"/>
      <c r="AN327" s="27"/>
      <c r="AO327" s="27"/>
      <c r="AP327" s="27"/>
      <c r="AQ327" s="27"/>
      <c r="AR327" s="27"/>
      <c r="AS327" s="27"/>
      <c r="AT327" s="27"/>
    </row>
    <row r="328" spans="2:46" s="3" customFormat="1" x14ac:dyDescent="0.25">
      <c r="B328" s="30"/>
      <c r="C328" s="31"/>
      <c r="D328" s="32"/>
      <c r="E328" s="33"/>
      <c r="F328" s="34"/>
      <c r="G328" s="34"/>
      <c r="H328" s="34"/>
      <c r="I328" s="34"/>
      <c r="J328" s="34"/>
      <c r="K328" s="34"/>
      <c r="L328" s="34"/>
      <c r="M328" s="34"/>
      <c r="N328" s="34"/>
      <c r="O328" s="38">
        <f t="shared" si="20"/>
        <v>0</v>
      </c>
      <c r="P328" s="34"/>
      <c r="Q328" s="34"/>
      <c r="R328" s="34"/>
      <c r="S328" s="34"/>
      <c r="T328" s="34"/>
      <c r="U328" s="34"/>
      <c r="V328" s="34"/>
      <c r="W328" s="34"/>
      <c r="X328" s="34"/>
      <c r="Y328" s="34"/>
      <c r="Z328" s="34"/>
      <c r="AA328" s="38">
        <f t="shared" si="21"/>
        <v>0</v>
      </c>
      <c r="AB328" s="38">
        <f t="shared" si="22"/>
        <v>0</v>
      </c>
      <c r="AC328" s="23"/>
      <c r="AD328" s="23"/>
      <c r="AE328" s="23" t="e">
        <f>IF(#REF!=#REF!,1,0)</f>
        <v>#REF!</v>
      </c>
      <c r="AF328" s="24"/>
      <c r="AG328" s="24"/>
      <c r="AH328" s="24"/>
      <c r="AI328" s="24"/>
      <c r="AJ328" s="27"/>
      <c r="AK328" s="27"/>
      <c r="AL328" s="27"/>
      <c r="AM328" s="27"/>
      <c r="AN328" s="27"/>
      <c r="AO328" s="27"/>
      <c r="AP328" s="27"/>
      <c r="AQ328" s="27"/>
      <c r="AR328" s="27"/>
      <c r="AS328" s="27"/>
      <c r="AT328" s="27"/>
    </row>
    <row r="329" spans="2:46" s="3" customFormat="1" x14ac:dyDescent="0.25">
      <c r="B329" s="30"/>
      <c r="C329" s="31"/>
      <c r="D329" s="32"/>
      <c r="E329" s="33"/>
      <c r="F329" s="34"/>
      <c r="G329" s="34"/>
      <c r="H329" s="34"/>
      <c r="I329" s="34"/>
      <c r="J329" s="34"/>
      <c r="K329" s="34"/>
      <c r="L329" s="34"/>
      <c r="M329" s="34"/>
      <c r="N329" s="34"/>
      <c r="O329" s="38">
        <f t="shared" si="20"/>
        <v>0</v>
      </c>
      <c r="P329" s="34"/>
      <c r="Q329" s="34"/>
      <c r="R329" s="34"/>
      <c r="S329" s="34"/>
      <c r="T329" s="34"/>
      <c r="U329" s="34"/>
      <c r="V329" s="34"/>
      <c r="W329" s="34"/>
      <c r="X329" s="34"/>
      <c r="Y329" s="34"/>
      <c r="Z329" s="34"/>
      <c r="AA329" s="38">
        <f t="shared" si="21"/>
        <v>0</v>
      </c>
      <c r="AB329" s="38">
        <f t="shared" si="22"/>
        <v>0</v>
      </c>
      <c r="AC329" s="23"/>
      <c r="AD329" s="23"/>
      <c r="AE329" s="23" t="e">
        <f>IF(#REF!=#REF!,1,0)</f>
        <v>#REF!</v>
      </c>
      <c r="AF329" s="24"/>
      <c r="AG329" s="24"/>
      <c r="AH329" s="24"/>
      <c r="AI329" s="24"/>
      <c r="AJ329" s="27"/>
      <c r="AK329" s="27"/>
      <c r="AL329" s="27"/>
      <c r="AM329" s="27"/>
      <c r="AN329" s="27"/>
      <c r="AO329" s="27"/>
      <c r="AP329" s="27"/>
      <c r="AQ329" s="27"/>
      <c r="AR329" s="27"/>
      <c r="AS329" s="27"/>
      <c r="AT329" s="27"/>
    </row>
    <row r="330" spans="2:46" s="3" customFormat="1" x14ac:dyDescent="0.25">
      <c r="B330" s="30"/>
      <c r="C330" s="31"/>
      <c r="D330" s="32"/>
      <c r="E330" s="33"/>
      <c r="F330" s="34"/>
      <c r="G330" s="34"/>
      <c r="H330" s="34"/>
      <c r="I330" s="34"/>
      <c r="J330" s="34"/>
      <c r="K330" s="34"/>
      <c r="L330" s="34"/>
      <c r="M330" s="34"/>
      <c r="N330" s="34"/>
      <c r="O330" s="38">
        <f t="shared" si="20"/>
        <v>0</v>
      </c>
      <c r="P330" s="34"/>
      <c r="Q330" s="34"/>
      <c r="R330" s="34"/>
      <c r="S330" s="34"/>
      <c r="T330" s="34"/>
      <c r="U330" s="34"/>
      <c r="V330" s="34"/>
      <c r="W330" s="34"/>
      <c r="X330" s="34"/>
      <c r="Y330" s="34"/>
      <c r="Z330" s="34"/>
      <c r="AA330" s="38">
        <f t="shared" si="21"/>
        <v>0</v>
      </c>
      <c r="AB330" s="38">
        <f t="shared" si="22"/>
        <v>0</v>
      </c>
      <c r="AC330" s="23"/>
      <c r="AD330" s="23"/>
      <c r="AE330" s="23" t="e">
        <f>IF(#REF!=#REF!,1,0)</f>
        <v>#REF!</v>
      </c>
      <c r="AF330" s="24"/>
      <c r="AG330" s="24"/>
      <c r="AH330" s="24"/>
      <c r="AI330" s="24"/>
      <c r="AJ330" s="27"/>
      <c r="AK330" s="27"/>
      <c r="AL330" s="27"/>
      <c r="AM330" s="27"/>
      <c r="AN330" s="27"/>
      <c r="AO330" s="27"/>
      <c r="AP330" s="27"/>
      <c r="AQ330" s="27"/>
      <c r="AR330" s="27"/>
      <c r="AS330" s="27"/>
      <c r="AT330" s="27"/>
    </row>
    <row r="331" spans="2:46" s="3" customFormat="1" x14ac:dyDescent="0.25">
      <c r="B331" s="30"/>
      <c r="C331" s="31"/>
      <c r="D331" s="32"/>
      <c r="E331" s="33"/>
      <c r="F331" s="34"/>
      <c r="G331" s="34"/>
      <c r="H331" s="34"/>
      <c r="I331" s="34"/>
      <c r="J331" s="34"/>
      <c r="K331" s="34"/>
      <c r="L331" s="34"/>
      <c r="M331" s="34"/>
      <c r="N331" s="34"/>
      <c r="O331" s="38">
        <f t="shared" si="20"/>
        <v>0</v>
      </c>
      <c r="P331" s="34"/>
      <c r="Q331" s="34"/>
      <c r="R331" s="34"/>
      <c r="S331" s="34"/>
      <c r="T331" s="34"/>
      <c r="U331" s="34"/>
      <c r="V331" s="34"/>
      <c r="W331" s="34"/>
      <c r="X331" s="34"/>
      <c r="Y331" s="34"/>
      <c r="Z331" s="34"/>
      <c r="AA331" s="38">
        <f t="shared" si="21"/>
        <v>0</v>
      </c>
      <c r="AB331" s="38">
        <f t="shared" si="22"/>
        <v>0</v>
      </c>
      <c r="AC331" s="23"/>
      <c r="AD331" s="23"/>
      <c r="AE331" s="23" t="e">
        <f>IF(#REF!=#REF!,1,0)</f>
        <v>#REF!</v>
      </c>
      <c r="AF331" s="24"/>
      <c r="AG331" s="24"/>
      <c r="AH331" s="24"/>
      <c r="AI331" s="24"/>
      <c r="AJ331" s="27"/>
      <c r="AK331" s="27"/>
      <c r="AL331" s="27"/>
      <c r="AM331" s="27"/>
      <c r="AN331" s="27"/>
      <c r="AO331" s="27"/>
      <c r="AP331" s="27"/>
      <c r="AQ331" s="27"/>
      <c r="AR331" s="27"/>
      <c r="AS331" s="27"/>
      <c r="AT331" s="27"/>
    </row>
    <row r="332" spans="2:46" s="3" customFormat="1" x14ac:dyDescent="0.25">
      <c r="B332" s="30"/>
      <c r="C332" s="31"/>
      <c r="D332" s="32"/>
      <c r="E332" s="33"/>
      <c r="F332" s="34"/>
      <c r="G332" s="34"/>
      <c r="H332" s="34"/>
      <c r="I332" s="34"/>
      <c r="J332" s="34"/>
      <c r="K332" s="34"/>
      <c r="L332" s="34"/>
      <c r="M332" s="34"/>
      <c r="N332" s="34"/>
      <c r="O332" s="38">
        <f t="shared" si="20"/>
        <v>0</v>
      </c>
      <c r="P332" s="34"/>
      <c r="Q332" s="34"/>
      <c r="R332" s="34"/>
      <c r="S332" s="34"/>
      <c r="T332" s="34"/>
      <c r="U332" s="34"/>
      <c r="V332" s="34"/>
      <c r="W332" s="34"/>
      <c r="X332" s="34"/>
      <c r="Y332" s="34"/>
      <c r="Z332" s="34"/>
      <c r="AA332" s="38">
        <f t="shared" si="21"/>
        <v>0</v>
      </c>
      <c r="AB332" s="38">
        <f t="shared" si="22"/>
        <v>0</v>
      </c>
      <c r="AC332" s="23"/>
      <c r="AD332" s="23"/>
      <c r="AE332" s="23" t="e">
        <f>IF(#REF!=#REF!,1,0)</f>
        <v>#REF!</v>
      </c>
      <c r="AF332" s="24"/>
      <c r="AG332" s="24"/>
      <c r="AH332" s="24"/>
      <c r="AI332" s="24"/>
      <c r="AJ332" s="27"/>
      <c r="AK332" s="27"/>
      <c r="AL332" s="27"/>
      <c r="AM332" s="27"/>
      <c r="AN332" s="27"/>
      <c r="AO332" s="27"/>
      <c r="AP332" s="27"/>
      <c r="AQ332" s="27"/>
      <c r="AR332" s="27"/>
      <c r="AS332" s="27"/>
      <c r="AT332" s="27"/>
    </row>
    <row r="333" spans="2:46" s="3" customFormat="1" x14ac:dyDescent="0.25">
      <c r="B333" s="30"/>
      <c r="C333" s="31"/>
      <c r="D333" s="32"/>
      <c r="E333" s="33"/>
      <c r="F333" s="34"/>
      <c r="G333" s="34"/>
      <c r="H333" s="34"/>
      <c r="I333" s="34"/>
      <c r="J333" s="34"/>
      <c r="K333" s="34"/>
      <c r="L333" s="34"/>
      <c r="M333" s="34"/>
      <c r="N333" s="34"/>
      <c r="O333" s="38">
        <f t="shared" si="20"/>
        <v>0</v>
      </c>
      <c r="P333" s="34"/>
      <c r="Q333" s="34"/>
      <c r="R333" s="34"/>
      <c r="S333" s="34"/>
      <c r="T333" s="34"/>
      <c r="U333" s="34"/>
      <c r="V333" s="34"/>
      <c r="W333" s="34"/>
      <c r="X333" s="34"/>
      <c r="Y333" s="34"/>
      <c r="Z333" s="34"/>
      <c r="AA333" s="38">
        <f t="shared" si="21"/>
        <v>0</v>
      </c>
      <c r="AB333" s="38">
        <f t="shared" si="22"/>
        <v>0</v>
      </c>
      <c r="AC333" s="23"/>
      <c r="AD333" s="23"/>
      <c r="AE333" s="23" t="e">
        <f>IF(#REF!=#REF!,1,0)</f>
        <v>#REF!</v>
      </c>
      <c r="AF333" s="24"/>
      <c r="AG333" s="24"/>
      <c r="AH333" s="24"/>
      <c r="AI333" s="24"/>
      <c r="AJ333" s="27"/>
      <c r="AK333" s="27"/>
      <c r="AL333" s="27"/>
      <c r="AM333" s="27"/>
      <c r="AN333" s="27"/>
      <c r="AO333" s="27"/>
      <c r="AP333" s="27"/>
      <c r="AQ333" s="27"/>
      <c r="AR333" s="27"/>
      <c r="AS333" s="27"/>
      <c r="AT333" s="27"/>
    </row>
    <row r="334" spans="2:46" s="3" customFormat="1" x14ac:dyDescent="0.25">
      <c r="B334" s="30"/>
      <c r="C334" s="31"/>
      <c r="D334" s="32"/>
      <c r="E334" s="33"/>
      <c r="F334" s="34"/>
      <c r="G334" s="34"/>
      <c r="H334" s="34"/>
      <c r="I334" s="34"/>
      <c r="J334" s="34"/>
      <c r="K334" s="34"/>
      <c r="L334" s="34"/>
      <c r="M334" s="34"/>
      <c r="N334" s="34"/>
      <c r="O334" s="38">
        <f t="shared" si="20"/>
        <v>0</v>
      </c>
      <c r="P334" s="34"/>
      <c r="Q334" s="34"/>
      <c r="R334" s="34"/>
      <c r="S334" s="34"/>
      <c r="T334" s="34"/>
      <c r="U334" s="34"/>
      <c r="V334" s="34"/>
      <c r="W334" s="34"/>
      <c r="X334" s="34"/>
      <c r="Y334" s="34"/>
      <c r="Z334" s="34"/>
      <c r="AA334" s="38">
        <f t="shared" si="21"/>
        <v>0</v>
      </c>
      <c r="AB334" s="38">
        <f t="shared" si="22"/>
        <v>0</v>
      </c>
      <c r="AC334" s="23"/>
      <c r="AD334" s="23"/>
      <c r="AE334" s="23" t="e">
        <f>IF(#REF!=#REF!,1,0)</f>
        <v>#REF!</v>
      </c>
      <c r="AF334" s="24"/>
      <c r="AG334" s="24"/>
      <c r="AH334" s="24"/>
      <c r="AI334" s="24"/>
      <c r="AJ334" s="27"/>
      <c r="AK334" s="27"/>
      <c r="AL334" s="27"/>
      <c r="AM334" s="27"/>
      <c r="AN334" s="27"/>
      <c r="AO334" s="27"/>
      <c r="AP334" s="27"/>
      <c r="AQ334" s="27"/>
      <c r="AR334" s="27"/>
      <c r="AS334" s="27"/>
      <c r="AT334" s="27"/>
    </row>
    <row r="335" spans="2:46" s="3" customFormat="1" x14ac:dyDescent="0.25">
      <c r="B335" s="30"/>
      <c r="C335" s="31"/>
      <c r="D335" s="32"/>
      <c r="E335" s="33"/>
      <c r="F335" s="34"/>
      <c r="G335" s="34"/>
      <c r="H335" s="34"/>
      <c r="I335" s="34"/>
      <c r="J335" s="34"/>
      <c r="K335" s="34"/>
      <c r="L335" s="34"/>
      <c r="M335" s="34"/>
      <c r="N335" s="34"/>
      <c r="O335" s="38">
        <f t="shared" si="20"/>
        <v>0</v>
      </c>
      <c r="P335" s="34"/>
      <c r="Q335" s="34"/>
      <c r="R335" s="34"/>
      <c r="S335" s="34"/>
      <c r="T335" s="34"/>
      <c r="U335" s="34"/>
      <c r="V335" s="34"/>
      <c r="W335" s="34"/>
      <c r="X335" s="34"/>
      <c r="Y335" s="34"/>
      <c r="Z335" s="34"/>
      <c r="AA335" s="38">
        <f t="shared" si="21"/>
        <v>0</v>
      </c>
      <c r="AB335" s="38">
        <f t="shared" si="22"/>
        <v>0</v>
      </c>
      <c r="AC335" s="23"/>
      <c r="AD335" s="23"/>
      <c r="AE335" s="23" t="e">
        <f>IF(#REF!=#REF!,1,0)</f>
        <v>#REF!</v>
      </c>
      <c r="AF335" s="24"/>
      <c r="AG335" s="24"/>
      <c r="AH335" s="24"/>
      <c r="AI335" s="24"/>
      <c r="AJ335" s="27"/>
      <c r="AK335" s="27"/>
      <c r="AL335" s="27"/>
      <c r="AM335" s="27"/>
      <c r="AN335" s="27"/>
      <c r="AO335" s="27"/>
      <c r="AP335" s="27"/>
      <c r="AQ335" s="27"/>
      <c r="AR335" s="27"/>
      <c r="AS335" s="27"/>
      <c r="AT335" s="27"/>
    </row>
    <row r="336" spans="2:46" s="3" customFormat="1" x14ac:dyDescent="0.25">
      <c r="B336" s="30"/>
      <c r="C336" s="31"/>
      <c r="D336" s="32"/>
      <c r="E336" s="33"/>
      <c r="F336" s="34"/>
      <c r="G336" s="34"/>
      <c r="H336" s="34"/>
      <c r="I336" s="34"/>
      <c r="J336" s="34"/>
      <c r="K336" s="34"/>
      <c r="L336" s="34"/>
      <c r="M336" s="34"/>
      <c r="N336" s="34"/>
      <c r="O336" s="38">
        <f t="shared" si="20"/>
        <v>0</v>
      </c>
      <c r="P336" s="34"/>
      <c r="Q336" s="34"/>
      <c r="R336" s="34"/>
      <c r="S336" s="34"/>
      <c r="T336" s="34"/>
      <c r="U336" s="34"/>
      <c r="V336" s="34"/>
      <c r="W336" s="34"/>
      <c r="X336" s="34"/>
      <c r="Y336" s="34"/>
      <c r="Z336" s="34"/>
      <c r="AA336" s="38">
        <f t="shared" si="21"/>
        <v>0</v>
      </c>
      <c r="AB336" s="38">
        <f t="shared" si="22"/>
        <v>0</v>
      </c>
      <c r="AC336" s="23"/>
      <c r="AD336" s="23"/>
      <c r="AE336" s="23" t="e">
        <f>IF(#REF!=#REF!,1,0)</f>
        <v>#REF!</v>
      </c>
      <c r="AF336" s="24"/>
      <c r="AG336" s="24"/>
      <c r="AH336" s="24"/>
      <c r="AI336" s="24"/>
      <c r="AJ336" s="27"/>
      <c r="AK336" s="27"/>
      <c r="AL336" s="27"/>
      <c r="AM336" s="27"/>
      <c r="AN336" s="27"/>
      <c r="AO336" s="27"/>
      <c r="AP336" s="27"/>
      <c r="AQ336" s="27"/>
      <c r="AR336" s="27"/>
      <c r="AS336" s="27"/>
      <c r="AT336" s="27"/>
    </row>
    <row r="337" spans="2:46" s="3" customFormat="1" x14ac:dyDescent="0.25">
      <c r="B337" s="30"/>
      <c r="C337" s="31"/>
      <c r="D337" s="32"/>
      <c r="E337" s="33"/>
      <c r="F337" s="34"/>
      <c r="G337" s="34"/>
      <c r="H337" s="34"/>
      <c r="I337" s="34"/>
      <c r="J337" s="34"/>
      <c r="K337" s="34"/>
      <c r="L337" s="34"/>
      <c r="M337" s="34"/>
      <c r="N337" s="34"/>
      <c r="O337" s="38">
        <f t="shared" si="20"/>
        <v>0</v>
      </c>
      <c r="P337" s="34"/>
      <c r="Q337" s="34"/>
      <c r="R337" s="34"/>
      <c r="S337" s="34"/>
      <c r="T337" s="34"/>
      <c r="U337" s="34"/>
      <c r="V337" s="34"/>
      <c r="W337" s="34"/>
      <c r="X337" s="34"/>
      <c r="Y337" s="34"/>
      <c r="Z337" s="34"/>
      <c r="AA337" s="38">
        <f t="shared" si="21"/>
        <v>0</v>
      </c>
      <c r="AB337" s="38">
        <f t="shared" si="22"/>
        <v>0</v>
      </c>
      <c r="AC337" s="23"/>
      <c r="AD337" s="23"/>
      <c r="AE337" s="23" t="e">
        <f>IF(#REF!=#REF!,1,0)</f>
        <v>#REF!</v>
      </c>
      <c r="AF337" s="24"/>
      <c r="AG337" s="24"/>
      <c r="AH337" s="24"/>
      <c r="AI337" s="24"/>
      <c r="AJ337" s="27"/>
      <c r="AK337" s="27"/>
      <c r="AL337" s="27"/>
      <c r="AM337" s="27"/>
      <c r="AN337" s="27"/>
      <c r="AO337" s="27"/>
      <c r="AP337" s="27"/>
      <c r="AQ337" s="27"/>
      <c r="AR337" s="27"/>
      <c r="AS337" s="27"/>
      <c r="AT337" s="27"/>
    </row>
    <row r="338" spans="2:46" s="3" customFormat="1" x14ac:dyDescent="0.25">
      <c r="B338" s="30"/>
      <c r="C338" s="31"/>
      <c r="D338" s="32"/>
      <c r="E338" s="33"/>
      <c r="F338" s="34"/>
      <c r="G338" s="34"/>
      <c r="H338" s="34"/>
      <c r="I338" s="34"/>
      <c r="J338" s="34"/>
      <c r="K338" s="34"/>
      <c r="L338" s="34"/>
      <c r="M338" s="34"/>
      <c r="N338" s="34"/>
      <c r="O338" s="38">
        <f t="shared" si="20"/>
        <v>0</v>
      </c>
      <c r="P338" s="34"/>
      <c r="Q338" s="34"/>
      <c r="R338" s="34"/>
      <c r="S338" s="34"/>
      <c r="T338" s="34"/>
      <c r="U338" s="34"/>
      <c r="V338" s="34"/>
      <c r="W338" s="34"/>
      <c r="X338" s="34"/>
      <c r="Y338" s="34"/>
      <c r="Z338" s="34"/>
      <c r="AA338" s="38">
        <f t="shared" si="21"/>
        <v>0</v>
      </c>
      <c r="AB338" s="38">
        <f t="shared" si="22"/>
        <v>0</v>
      </c>
      <c r="AC338" s="23"/>
      <c r="AD338" s="23"/>
      <c r="AE338" s="23" t="e">
        <f>IF(#REF!=#REF!,1,0)</f>
        <v>#REF!</v>
      </c>
      <c r="AF338" s="24"/>
      <c r="AG338" s="24"/>
      <c r="AH338" s="24"/>
      <c r="AI338" s="24"/>
      <c r="AJ338" s="27"/>
      <c r="AK338" s="27"/>
      <c r="AL338" s="27"/>
      <c r="AM338" s="27"/>
      <c r="AN338" s="27"/>
      <c r="AO338" s="27"/>
      <c r="AP338" s="27"/>
      <c r="AQ338" s="27"/>
      <c r="AR338" s="27"/>
      <c r="AS338" s="27"/>
      <c r="AT338" s="27"/>
    </row>
    <row r="339" spans="2:46" s="3" customFormat="1" x14ac:dyDescent="0.25">
      <c r="B339" s="30"/>
      <c r="C339" s="31"/>
      <c r="D339" s="32"/>
      <c r="E339" s="33"/>
      <c r="F339" s="34"/>
      <c r="G339" s="34"/>
      <c r="H339" s="34"/>
      <c r="I339" s="34"/>
      <c r="J339" s="34"/>
      <c r="K339" s="34"/>
      <c r="L339" s="34"/>
      <c r="M339" s="34"/>
      <c r="N339" s="34"/>
      <c r="O339" s="38">
        <f t="shared" si="20"/>
        <v>0</v>
      </c>
      <c r="P339" s="34"/>
      <c r="Q339" s="34"/>
      <c r="R339" s="34"/>
      <c r="S339" s="34"/>
      <c r="T339" s="34"/>
      <c r="U339" s="34"/>
      <c r="V339" s="34"/>
      <c r="W339" s="34"/>
      <c r="X339" s="34"/>
      <c r="Y339" s="34"/>
      <c r="Z339" s="34"/>
      <c r="AA339" s="38">
        <f t="shared" si="21"/>
        <v>0</v>
      </c>
      <c r="AB339" s="38">
        <f t="shared" si="22"/>
        <v>0</v>
      </c>
      <c r="AC339" s="23"/>
      <c r="AD339" s="23"/>
      <c r="AE339" s="23" t="e">
        <f>IF(#REF!=#REF!,1,0)</f>
        <v>#REF!</v>
      </c>
      <c r="AF339" s="24"/>
      <c r="AG339" s="24"/>
      <c r="AH339" s="24"/>
      <c r="AI339" s="24"/>
      <c r="AJ339" s="27"/>
      <c r="AK339" s="27"/>
      <c r="AL339" s="27"/>
      <c r="AM339" s="27"/>
      <c r="AN339" s="27"/>
      <c r="AO339" s="27"/>
      <c r="AP339" s="27"/>
      <c r="AQ339" s="27"/>
      <c r="AR339" s="27"/>
      <c r="AS339" s="27"/>
      <c r="AT339" s="27"/>
    </row>
    <row r="340" spans="2:46" s="3" customFormat="1" x14ac:dyDescent="0.25">
      <c r="B340" s="30"/>
      <c r="C340" s="31"/>
      <c r="D340" s="32"/>
      <c r="E340" s="33"/>
      <c r="F340" s="34"/>
      <c r="G340" s="34"/>
      <c r="H340" s="34"/>
      <c r="I340" s="34"/>
      <c r="J340" s="34"/>
      <c r="K340" s="34"/>
      <c r="L340" s="34"/>
      <c r="M340" s="34"/>
      <c r="N340" s="34"/>
      <c r="O340" s="38">
        <f t="shared" ref="O340:O403" si="23">SUM(F340:N340)</f>
        <v>0</v>
      </c>
      <c r="P340" s="34"/>
      <c r="Q340" s="34"/>
      <c r="R340" s="34"/>
      <c r="S340" s="34"/>
      <c r="T340" s="34"/>
      <c r="U340" s="34"/>
      <c r="V340" s="34"/>
      <c r="W340" s="34"/>
      <c r="X340" s="34"/>
      <c r="Y340" s="34"/>
      <c r="Z340" s="34"/>
      <c r="AA340" s="38">
        <f t="shared" si="21"/>
        <v>0</v>
      </c>
      <c r="AB340" s="38">
        <f t="shared" si="22"/>
        <v>0</v>
      </c>
      <c r="AC340" s="23"/>
      <c r="AD340" s="23"/>
      <c r="AE340" s="23" t="e">
        <f>IF(#REF!=#REF!,1,0)</f>
        <v>#REF!</v>
      </c>
      <c r="AF340" s="24"/>
      <c r="AG340" s="24"/>
      <c r="AH340" s="24"/>
      <c r="AI340" s="24"/>
      <c r="AJ340" s="27"/>
      <c r="AK340" s="27"/>
      <c r="AL340" s="27"/>
      <c r="AM340" s="27"/>
      <c r="AN340" s="27"/>
      <c r="AO340" s="27"/>
      <c r="AP340" s="27"/>
      <c r="AQ340" s="27"/>
      <c r="AR340" s="27"/>
      <c r="AS340" s="27"/>
      <c r="AT340" s="27"/>
    </row>
    <row r="341" spans="2:46" s="3" customFormat="1" x14ac:dyDescent="0.25">
      <c r="B341" s="30"/>
      <c r="C341" s="31"/>
      <c r="D341" s="32"/>
      <c r="E341" s="33"/>
      <c r="F341" s="34"/>
      <c r="G341" s="34"/>
      <c r="H341" s="34"/>
      <c r="I341" s="34"/>
      <c r="J341" s="34"/>
      <c r="K341" s="34"/>
      <c r="L341" s="34"/>
      <c r="M341" s="34"/>
      <c r="N341" s="34"/>
      <c r="O341" s="38">
        <f t="shared" si="23"/>
        <v>0</v>
      </c>
      <c r="P341" s="34"/>
      <c r="Q341" s="34"/>
      <c r="R341" s="34"/>
      <c r="S341" s="34"/>
      <c r="T341" s="34"/>
      <c r="U341" s="34"/>
      <c r="V341" s="34"/>
      <c r="W341" s="34"/>
      <c r="X341" s="34"/>
      <c r="Y341" s="34"/>
      <c r="Z341" s="34"/>
      <c r="AA341" s="38">
        <f t="shared" si="21"/>
        <v>0</v>
      </c>
      <c r="AB341" s="38">
        <f t="shared" si="22"/>
        <v>0</v>
      </c>
      <c r="AC341" s="23"/>
      <c r="AD341" s="23"/>
      <c r="AE341" s="23" t="e">
        <f>IF(#REF!=#REF!,1,0)</f>
        <v>#REF!</v>
      </c>
      <c r="AF341" s="24"/>
      <c r="AG341" s="24"/>
      <c r="AH341" s="24"/>
      <c r="AI341" s="24"/>
      <c r="AJ341" s="27"/>
      <c r="AK341" s="27"/>
      <c r="AL341" s="27"/>
      <c r="AM341" s="27"/>
      <c r="AN341" s="27"/>
      <c r="AO341" s="27"/>
      <c r="AP341" s="27"/>
      <c r="AQ341" s="27"/>
      <c r="AR341" s="27"/>
      <c r="AS341" s="27"/>
      <c r="AT341" s="27"/>
    </row>
    <row r="342" spans="2:46" s="3" customFormat="1" x14ac:dyDescent="0.25">
      <c r="B342" s="30"/>
      <c r="C342" s="31"/>
      <c r="D342" s="32"/>
      <c r="E342" s="33"/>
      <c r="F342" s="34"/>
      <c r="G342" s="34"/>
      <c r="H342" s="34"/>
      <c r="I342" s="34"/>
      <c r="J342" s="34"/>
      <c r="K342" s="34"/>
      <c r="L342" s="34"/>
      <c r="M342" s="34"/>
      <c r="N342" s="34"/>
      <c r="O342" s="38">
        <f t="shared" si="23"/>
        <v>0</v>
      </c>
      <c r="P342" s="34"/>
      <c r="Q342" s="34"/>
      <c r="R342" s="34"/>
      <c r="S342" s="34"/>
      <c r="T342" s="34"/>
      <c r="U342" s="34"/>
      <c r="V342" s="34"/>
      <c r="W342" s="34"/>
      <c r="X342" s="34"/>
      <c r="Y342" s="34"/>
      <c r="Z342" s="34"/>
      <c r="AA342" s="38">
        <f t="shared" si="21"/>
        <v>0</v>
      </c>
      <c r="AB342" s="38">
        <f t="shared" si="22"/>
        <v>0</v>
      </c>
      <c r="AC342" s="23"/>
      <c r="AD342" s="23"/>
      <c r="AE342" s="23" t="e">
        <f>IF(#REF!=#REF!,1,0)</f>
        <v>#REF!</v>
      </c>
      <c r="AF342" s="24"/>
      <c r="AG342" s="24"/>
      <c r="AH342" s="24"/>
      <c r="AI342" s="24"/>
      <c r="AJ342" s="27"/>
      <c r="AK342" s="27"/>
      <c r="AL342" s="27"/>
      <c r="AM342" s="27"/>
      <c r="AN342" s="27"/>
      <c r="AO342" s="27"/>
      <c r="AP342" s="27"/>
      <c r="AQ342" s="27"/>
      <c r="AR342" s="27"/>
      <c r="AS342" s="27"/>
      <c r="AT342" s="27"/>
    </row>
    <row r="343" spans="2:46" s="3" customFormat="1" x14ac:dyDescent="0.25">
      <c r="B343" s="30"/>
      <c r="C343" s="31"/>
      <c r="D343" s="32"/>
      <c r="E343" s="33"/>
      <c r="F343" s="34"/>
      <c r="G343" s="34"/>
      <c r="H343" s="34"/>
      <c r="I343" s="34"/>
      <c r="J343" s="34"/>
      <c r="K343" s="34"/>
      <c r="L343" s="34"/>
      <c r="M343" s="34"/>
      <c r="N343" s="34"/>
      <c r="O343" s="38">
        <f t="shared" si="23"/>
        <v>0</v>
      </c>
      <c r="P343" s="34"/>
      <c r="Q343" s="34"/>
      <c r="R343" s="34"/>
      <c r="S343" s="34"/>
      <c r="T343" s="34"/>
      <c r="U343" s="34"/>
      <c r="V343" s="34"/>
      <c r="W343" s="34"/>
      <c r="X343" s="34"/>
      <c r="Y343" s="34"/>
      <c r="Z343" s="34"/>
      <c r="AA343" s="38">
        <f t="shared" si="21"/>
        <v>0</v>
      </c>
      <c r="AB343" s="38">
        <f t="shared" si="22"/>
        <v>0</v>
      </c>
      <c r="AC343" s="23"/>
      <c r="AD343" s="23"/>
      <c r="AE343" s="23" t="e">
        <f>IF(#REF!=#REF!,1,0)</f>
        <v>#REF!</v>
      </c>
      <c r="AF343" s="24"/>
      <c r="AG343" s="24"/>
      <c r="AH343" s="24"/>
      <c r="AI343" s="24"/>
      <c r="AJ343" s="27"/>
      <c r="AK343" s="27"/>
      <c r="AL343" s="27"/>
      <c r="AM343" s="27"/>
      <c r="AN343" s="27"/>
      <c r="AO343" s="27"/>
      <c r="AP343" s="27"/>
      <c r="AQ343" s="27"/>
      <c r="AR343" s="27"/>
      <c r="AS343" s="27"/>
      <c r="AT343" s="27"/>
    </row>
    <row r="344" spans="2:46" s="3" customFormat="1" x14ac:dyDescent="0.25">
      <c r="B344" s="30"/>
      <c r="C344" s="31"/>
      <c r="D344" s="32"/>
      <c r="E344" s="33"/>
      <c r="F344" s="34"/>
      <c r="G344" s="34"/>
      <c r="H344" s="34"/>
      <c r="I344" s="34"/>
      <c r="J344" s="34"/>
      <c r="K344" s="34"/>
      <c r="L344" s="34"/>
      <c r="M344" s="34"/>
      <c r="N344" s="34"/>
      <c r="O344" s="38">
        <f t="shared" si="23"/>
        <v>0</v>
      </c>
      <c r="P344" s="34"/>
      <c r="Q344" s="34"/>
      <c r="R344" s="34"/>
      <c r="S344" s="34"/>
      <c r="T344" s="34"/>
      <c r="U344" s="34"/>
      <c r="V344" s="34"/>
      <c r="W344" s="34"/>
      <c r="X344" s="34"/>
      <c r="Y344" s="34"/>
      <c r="Z344" s="34"/>
      <c r="AA344" s="38">
        <f t="shared" si="21"/>
        <v>0</v>
      </c>
      <c r="AB344" s="38">
        <f t="shared" si="22"/>
        <v>0</v>
      </c>
      <c r="AC344" s="23"/>
      <c r="AD344" s="23"/>
      <c r="AE344" s="23" t="e">
        <f>IF(#REF!=#REF!,1,0)</f>
        <v>#REF!</v>
      </c>
      <c r="AF344" s="24"/>
      <c r="AG344" s="24"/>
      <c r="AH344" s="24"/>
      <c r="AI344" s="24"/>
      <c r="AJ344" s="27"/>
      <c r="AK344" s="27"/>
      <c r="AL344" s="27"/>
      <c r="AM344" s="27"/>
      <c r="AN344" s="27"/>
      <c r="AO344" s="27"/>
      <c r="AP344" s="27"/>
      <c r="AQ344" s="27"/>
      <c r="AR344" s="27"/>
      <c r="AS344" s="27"/>
      <c r="AT344" s="27"/>
    </row>
    <row r="345" spans="2:46" s="3" customFormat="1" x14ac:dyDescent="0.25">
      <c r="B345" s="30"/>
      <c r="C345" s="31"/>
      <c r="D345" s="32"/>
      <c r="E345" s="33"/>
      <c r="F345" s="34"/>
      <c r="G345" s="34"/>
      <c r="H345" s="34"/>
      <c r="I345" s="34"/>
      <c r="J345" s="34"/>
      <c r="K345" s="34"/>
      <c r="L345" s="34"/>
      <c r="M345" s="34"/>
      <c r="N345" s="34"/>
      <c r="O345" s="38">
        <f t="shared" si="23"/>
        <v>0</v>
      </c>
      <c r="P345" s="34"/>
      <c r="Q345" s="34"/>
      <c r="R345" s="34"/>
      <c r="S345" s="34"/>
      <c r="T345" s="34"/>
      <c r="U345" s="34"/>
      <c r="V345" s="34"/>
      <c r="W345" s="34"/>
      <c r="X345" s="34"/>
      <c r="Y345" s="34"/>
      <c r="Z345" s="34"/>
      <c r="AA345" s="38">
        <f t="shared" si="21"/>
        <v>0</v>
      </c>
      <c r="AB345" s="38">
        <f t="shared" si="22"/>
        <v>0</v>
      </c>
      <c r="AC345" s="23"/>
      <c r="AD345" s="23"/>
      <c r="AE345" s="23" t="e">
        <f>IF(#REF!=#REF!,1,0)</f>
        <v>#REF!</v>
      </c>
      <c r="AF345" s="24"/>
      <c r="AG345" s="24"/>
      <c r="AH345" s="24"/>
      <c r="AI345" s="24"/>
      <c r="AJ345" s="27"/>
      <c r="AK345" s="27"/>
      <c r="AL345" s="27"/>
      <c r="AM345" s="27"/>
      <c r="AN345" s="27"/>
      <c r="AO345" s="27"/>
      <c r="AP345" s="27"/>
      <c r="AQ345" s="27"/>
      <c r="AR345" s="27"/>
      <c r="AS345" s="27"/>
      <c r="AT345" s="27"/>
    </row>
    <row r="346" spans="2:46" s="3" customFormat="1" x14ac:dyDescent="0.25">
      <c r="B346" s="30"/>
      <c r="C346" s="31"/>
      <c r="D346" s="32"/>
      <c r="E346" s="33"/>
      <c r="F346" s="34"/>
      <c r="G346" s="34"/>
      <c r="H346" s="34"/>
      <c r="I346" s="34"/>
      <c r="J346" s="34"/>
      <c r="K346" s="34"/>
      <c r="L346" s="34"/>
      <c r="M346" s="34"/>
      <c r="N346" s="34"/>
      <c r="O346" s="38">
        <f t="shared" si="23"/>
        <v>0</v>
      </c>
      <c r="P346" s="34"/>
      <c r="Q346" s="34"/>
      <c r="R346" s="34"/>
      <c r="S346" s="34"/>
      <c r="T346" s="34"/>
      <c r="U346" s="34"/>
      <c r="V346" s="34"/>
      <c r="W346" s="34"/>
      <c r="X346" s="34"/>
      <c r="Y346" s="34"/>
      <c r="Z346" s="34"/>
      <c r="AA346" s="38">
        <f t="shared" si="21"/>
        <v>0</v>
      </c>
      <c r="AB346" s="38">
        <f t="shared" si="22"/>
        <v>0</v>
      </c>
      <c r="AC346" s="23"/>
      <c r="AD346" s="23"/>
      <c r="AE346" s="23" t="e">
        <f>IF(#REF!=#REF!,1,0)</f>
        <v>#REF!</v>
      </c>
      <c r="AF346" s="24"/>
      <c r="AG346" s="24"/>
      <c r="AH346" s="24"/>
      <c r="AI346" s="24"/>
      <c r="AJ346" s="27"/>
      <c r="AK346" s="27"/>
      <c r="AL346" s="27"/>
      <c r="AM346" s="27"/>
      <c r="AN346" s="27"/>
      <c r="AO346" s="27"/>
      <c r="AP346" s="27"/>
      <c r="AQ346" s="27"/>
      <c r="AR346" s="27"/>
      <c r="AS346" s="27"/>
      <c r="AT346" s="27"/>
    </row>
    <row r="347" spans="2:46" s="3" customFormat="1" x14ac:dyDescent="0.25">
      <c r="B347" s="30"/>
      <c r="C347" s="31"/>
      <c r="D347" s="32"/>
      <c r="E347" s="33"/>
      <c r="F347" s="34"/>
      <c r="G347" s="34"/>
      <c r="H347" s="34"/>
      <c r="I347" s="34"/>
      <c r="J347" s="34"/>
      <c r="K347" s="34"/>
      <c r="L347" s="34"/>
      <c r="M347" s="34"/>
      <c r="N347" s="34"/>
      <c r="O347" s="38">
        <f t="shared" si="23"/>
        <v>0</v>
      </c>
      <c r="P347" s="34"/>
      <c r="Q347" s="34"/>
      <c r="R347" s="34"/>
      <c r="S347" s="34"/>
      <c r="T347" s="34"/>
      <c r="U347" s="34"/>
      <c r="V347" s="34"/>
      <c r="W347" s="34"/>
      <c r="X347" s="34"/>
      <c r="Y347" s="34"/>
      <c r="Z347" s="34"/>
      <c r="AA347" s="38">
        <f t="shared" ref="AA347:AA410" si="24">SUM(P347:Z347)</f>
        <v>0</v>
      </c>
      <c r="AB347" s="38">
        <f t="shared" ref="AB347:AB410" si="25">O347-AA347</f>
        <v>0</v>
      </c>
      <c r="AC347" s="23"/>
      <c r="AD347" s="23"/>
      <c r="AE347" s="23" t="e">
        <f>IF(#REF!=#REF!,1,0)</f>
        <v>#REF!</v>
      </c>
      <c r="AF347" s="24"/>
      <c r="AG347" s="24"/>
      <c r="AH347" s="24"/>
      <c r="AI347" s="24"/>
      <c r="AJ347" s="27"/>
      <c r="AK347" s="27"/>
      <c r="AL347" s="27"/>
      <c r="AM347" s="27"/>
      <c r="AN347" s="27"/>
      <c r="AO347" s="27"/>
      <c r="AP347" s="27"/>
      <c r="AQ347" s="27"/>
      <c r="AR347" s="27"/>
      <c r="AS347" s="27"/>
      <c r="AT347" s="27"/>
    </row>
    <row r="348" spans="2:46" s="3" customFormat="1" x14ac:dyDescent="0.25">
      <c r="B348" s="30"/>
      <c r="C348" s="31"/>
      <c r="D348" s="32"/>
      <c r="E348" s="33"/>
      <c r="F348" s="34"/>
      <c r="G348" s="34"/>
      <c r="H348" s="34"/>
      <c r="I348" s="34"/>
      <c r="J348" s="34"/>
      <c r="K348" s="34"/>
      <c r="L348" s="34"/>
      <c r="M348" s="34"/>
      <c r="N348" s="34"/>
      <c r="O348" s="38">
        <f t="shared" si="23"/>
        <v>0</v>
      </c>
      <c r="P348" s="34"/>
      <c r="Q348" s="34"/>
      <c r="R348" s="34"/>
      <c r="S348" s="34"/>
      <c r="T348" s="34"/>
      <c r="U348" s="34"/>
      <c r="V348" s="34"/>
      <c r="W348" s="34"/>
      <c r="X348" s="34"/>
      <c r="Y348" s="34"/>
      <c r="Z348" s="34"/>
      <c r="AA348" s="38">
        <f t="shared" si="24"/>
        <v>0</v>
      </c>
      <c r="AB348" s="38">
        <f t="shared" si="25"/>
        <v>0</v>
      </c>
      <c r="AC348" s="23"/>
      <c r="AD348" s="23"/>
      <c r="AE348" s="23" t="e">
        <f>IF(#REF!=#REF!,1,0)</f>
        <v>#REF!</v>
      </c>
      <c r="AF348" s="24"/>
      <c r="AG348" s="24"/>
      <c r="AH348" s="24"/>
      <c r="AI348" s="24"/>
      <c r="AJ348" s="27"/>
      <c r="AK348" s="27"/>
      <c r="AL348" s="27"/>
      <c r="AM348" s="27"/>
      <c r="AN348" s="27"/>
      <c r="AO348" s="27"/>
      <c r="AP348" s="27"/>
      <c r="AQ348" s="27"/>
      <c r="AR348" s="27"/>
      <c r="AS348" s="27"/>
      <c r="AT348" s="27"/>
    </row>
    <row r="349" spans="2:46" s="3" customFormat="1" x14ac:dyDescent="0.25">
      <c r="B349" s="30"/>
      <c r="C349" s="31"/>
      <c r="D349" s="32"/>
      <c r="E349" s="33"/>
      <c r="F349" s="34"/>
      <c r="G349" s="34"/>
      <c r="H349" s="34"/>
      <c r="I349" s="34"/>
      <c r="J349" s="34"/>
      <c r="K349" s="34"/>
      <c r="L349" s="34"/>
      <c r="M349" s="34"/>
      <c r="N349" s="34"/>
      <c r="O349" s="38">
        <f t="shared" si="23"/>
        <v>0</v>
      </c>
      <c r="P349" s="34"/>
      <c r="Q349" s="34"/>
      <c r="R349" s="34"/>
      <c r="S349" s="34"/>
      <c r="T349" s="34"/>
      <c r="U349" s="34"/>
      <c r="V349" s="34"/>
      <c r="W349" s="34"/>
      <c r="X349" s="34"/>
      <c r="Y349" s="34"/>
      <c r="Z349" s="34"/>
      <c r="AA349" s="38">
        <f t="shared" si="24"/>
        <v>0</v>
      </c>
      <c r="AB349" s="38">
        <f t="shared" si="25"/>
        <v>0</v>
      </c>
      <c r="AC349" s="23"/>
      <c r="AD349" s="23"/>
      <c r="AE349" s="23" t="e">
        <f>IF(#REF!=#REF!,1,0)</f>
        <v>#REF!</v>
      </c>
      <c r="AF349" s="24"/>
      <c r="AG349" s="24"/>
      <c r="AH349" s="24"/>
      <c r="AI349" s="24"/>
      <c r="AJ349" s="27"/>
      <c r="AK349" s="27"/>
      <c r="AL349" s="27"/>
      <c r="AM349" s="27"/>
      <c r="AN349" s="27"/>
      <c r="AO349" s="27"/>
      <c r="AP349" s="27"/>
      <c r="AQ349" s="27"/>
      <c r="AR349" s="27"/>
      <c r="AS349" s="27"/>
      <c r="AT349" s="27"/>
    </row>
    <row r="350" spans="2:46" s="3" customFormat="1" x14ac:dyDescent="0.25">
      <c r="B350" s="30"/>
      <c r="C350" s="31"/>
      <c r="D350" s="32"/>
      <c r="E350" s="33"/>
      <c r="F350" s="34"/>
      <c r="G350" s="34"/>
      <c r="H350" s="34"/>
      <c r="I350" s="34"/>
      <c r="J350" s="34"/>
      <c r="K350" s="34"/>
      <c r="L350" s="34"/>
      <c r="M350" s="34"/>
      <c r="N350" s="34"/>
      <c r="O350" s="38">
        <f t="shared" si="23"/>
        <v>0</v>
      </c>
      <c r="P350" s="34"/>
      <c r="Q350" s="34"/>
      <c r="R350" s="34"/>
      <c r="S350" s="34"/>
      <c r="T350" s="34"/>
      <c r="U350" s="34"/>
      <c r="V350" s="34"/>
      <c r="W350" s="34"/>
      <c r="X350" s="34"/>
      <c r="Y350" s="34"/>
      <c r="Z350" s="34"/>
      <c r="AA350" s="38">
        <f t="shared" si="24"/>
        <v>0</v>
      </c>
      <c r="AB350" s="38">
        <f t="shared" si="25"/>
        <v>0</v>
      </c>
      <c r="AC350" s="23"/>
      <c r="AD350" s="23"/>
      <c r="AE350" s="23" t="e">
        <f>IF(#REF!=#REF!,1,0)</f>
        <v>#REF!</v>
      </c>
      <c r="AF350" s="24"/>
      <c r="AG350" s="24"/>
      <c r="AH350" s="24"/>
      <c r="AI350" s="24"/>
      <c r="AJ350" s="27"/>
      <c r="AK350" s="27"/>
      <c r="AL350" s="27"/>
      <c r="AM350" s="27"/>
      <c r="AN350" s="27"/>
      <c r="AO350" s="27"/>
      <c r="AP350" s="27"/>
      <c r="AQ350" s="27"/>
      <c r="AR350" s="27"/>
      <c r="AS350" s="27"/>
      <c r="AT350" s="27"/>
    </row>
    <row r="351" spans="2:46" s="3" customFormat="1" x14ac:dyDescent="0.25">
      <c r="B351" s="30"/>
      <c r="C351" s="31"/>
      <c r="D351" s="32"/>
      <c r="E351" s="33"/>
      <c r="F351" s="34"/>
      <c r="G351" s="34"/>
      <c r="H351" s="34"/>
      <c r="I351" s="34"/>
      <c r="J351" s="34"/>
      <c r="K351" s="34"/>
      <c r="L351" s="34"/>
      <c r="M351" s="34"/>
      <c r="N351" s="34"/>
      <c r="O351" s="38">
        <f t="shared" si="23"/>
        <v>0</v>
      </c>
      <c r="P351" s="34"/>
      <c r="Q351" s="34"/>
      <c r="R351" s="34"/>
      <c r="S351" s="34"/>
      <c r="T351" s="34"/>
      <c r="U351" s="34"/>
      <c r="V351" s="34"/>
      <c r="W351" s="34"/>
      <c r="X351" s="34"/>
      <c r="Y351" s="34"/>
      <c r="Z351" s="34"/>
      <c r="AA351" s="38">
        <f t="shared" si="24"/>
        <v>0</v>
      </c>
      <c r="AB351" s="38">
        <f t="shared" si="25"/>
        <v>0</v>
      </c>
      <c r="AC351" s="23"/>
      <c r="AD351" s="23"/>
      <c r="AE351" s="23" t="e">
        <f>IF(#REF!=#REF!,1,0)</f>
        <v>#REF!</v>
      </c>
      <c r="AF351" s="24"/>
      <c r="AG351" s="24"/>
      <c r="AH351" s="24"/>
      <c r="AI351" s="24"/>
      <c r="AJ351" s="27"/>
      <c r="AK351" s="27"/>
      <c r="AL351" s="27"/>
      <c r="AM351" s="27"/>
      <c r="AN351" s="27"/>
      <c r="AO351" s="27"/>
      <c r="AP351" s="27"/>
      <c r="AQ351" s="27"/>
      <c r="AR351" s="27"/>
      <c r="AS351" s="27"/>
      <c r="AT351" s="27"/>
    </row>
    <row r="352" spans="2:46" s="3" customFormat="1" x14ac:dyDescent="0.25">
      <c r="B352" s="30"/>
      <c r="C352" s="31"/>
      <c r="D352" s="32"/>
      <c r="E352" s="33"/>
      <c r="F352" s="34"/>
      <c r="G352" s="34"/>
      <c r="H352" s="34"/>
      <c r="I352" s="34"/>
      <c r="J352" s="34"/>
      <c r="K352" s="34"/>
      <c r="L352" s="34"/>
      <c r="M352" s="34"/>
      <c r="N352" s="34"/>
      <c r="O352" s="38">
        <f t="shared" si="23"/>
        <v>0</v>
      </c>
      <c r="P352" s="34"/>
      <c r="Q352" s="34"/>
      <c r="R352" s="34"/>
      <c r="S352" s="34"/>
      <c r="T352" s="34"/>
      <c r="U352" s="34"/>
      <c r="V352" s="34"/>
      <c r="W352" s="34"/>
      <c r="X352" s="34"/>
      <c r="Y352" s="34"/>
      <c r="Z352" s="34"/>
      <c r="AA352" s="38">
        <f t="shared" si="24"/>
        <v>0</v>
      </c>
      <c r="AB352" s="38">
        <f t="shared" si="25"/>
        <v>0</v>
      </c>
      <c r="AC352" s="23"/>
      <c r="AD352" s="23"/>
      <c r="AE352" s="23" t="e">
        <f>IF(#REF!=#REF!,1,0)</f>
        <v>#REF!</v>
      </c>
      <c r="AF352" s="24"/>
      <c r="AG352" s="24"/>
      <c r="AH352" s="24"/>
      <c r="AI352" s="24"/>
      <c r="AJ352" s="27"/>
      <c r="AK352" s="27"/>
      <c r="AL352" s="27"/>
      <c r="AM352" s="27"/>
      <c r="AN352" s="27"/>
      <c r="AO352" s="27"/>
      <c r="AP352" s="27"/>
      <c r="AQ352" s="27"/>
      <c r="AR352" s="27"/>
      <c r="AS352" s="27"/>
      <c r="AT352" s="27"/>
    </row>
    <row r="353" spans="2:46" s="3" customFormat="1" x14ac:dyDescent="0.25">
      <c r="B353" s="30"/>
      <c r="C353" s="31"/>
      <c r="D353" s="32"/>
      <c r="E353" s="33"/>
      <c r="F353" s="34"/>
      <c r="G353" s="34"/>
      <c r="H353" s="34"/>
      <c r="I353" s="34"/>
      <c r="J353" s="34"/>
      <c r="K353" s="34"/>
      <c r="L353" s="34"/>
      <c r="M353" s="34"/>
      <c r="N353" s="34"/>
      <c r="O353" s="38">
        <f t="shared" si="23"/>
        <v>0</v>
      </c>
      <c r="P353" s="34"/>
      <c r="Q353" s="34"/>
      <c r="R353" s="34"/>
      <c r="S353" s="34"/>
      <c r="T353" s="34"/>
      <c r="U353" s="34"/>
      <c r="V353" s="34"/>
      <c r="W353" s="34"/>
      <c r="X353" s="34"/>
      <c r="Y353" s="34"/>
      <c r="Z353" s="34"/>
      <c r="AA353" s="38">
        <f t="shared" si="24"/>
        <v>0</v>
      </c>
      <c r="AB353" s="38">
        <f t="shared" si="25"/>
        <v>0</v>
      </c>
      <c r="AC353" s="23"/>
      <c r="AD353" s="23"/>
      <c r="AE353" s="23" t="e">
        <f>IF(#REF!=#REF!,1,0)</f>
        <v>#REF!</v>
      </c>
      <c r="AF353" s="24"/>
      <c r="AG353" s="24"/>
      <c r="AH353" s="24"/>
      <c r="AI353" s="24"/>
      <c r="AJ353" s="27"/>
      <c r="AK353" s="27"/>
      <c r="AL353" s="27"/>
      <c r="AM353" s="27"/>
      <c r="AN353" s="27"/>
      <c r="AO353" s="27"/>
      <c r="AP353" s="27"/>
      <c r="AQ353" s="27"/>
      <c r="AR353" s="27"/>
      <c r="AS353" s="27"/>
      <c r="AT353" s="27"/>
    </row>
    <row r="354" spans="2:46" s="3" customFormat="1" x14ac:dyDescent="0.25">
      <c r="B354" s="30"/>
      <c r="C354" s="31"/>
      <c r="D354" s="32"/>
      <c r="E354" s="33"/>
      <c r="F354" s="34"/>
      <c r="G354" s="34"/>
      <c r="H354" s="34"/>
      <c r="I354" s="34"/>
      <c r="J354" s="34"/>
      <c r="K354" s="34"/>
      <c r="L354" s="34"/>
      <c r="M354" s="34"/>
      <c r="N354" s="34"/>
      <c r="O354" s="38">
        <f t="shared" si="23"/>
        <v>0</v>
      </c>
      <c r="P354" s="34"/>
      <c r="Q354" s="34"/>
      <c r="R354" s="34"/>
      <c r="S354" s="34"/>
      <c r="T354" s="34"/>
      <c r="U354" s="34"/>
      <c r="V354" s="34"/>
      <c r="W354" s="34"/>
      <c r="X354" s="34"/>
      <c r="Y354" s="34"/>
      <c r="Z354" s="34"/>
      <c r="AA354" s="38">
        <f t="shared" si="24"/>
        <v>0</v>
      </c>
      <c r="AB354" s="38">
        <f t="shared" si="25"/>
        <v>0</v>
      </c>
      <c r="AC354" s="23"/>
      <c r="AD354" s="23"/>
      <c r="AE354" s="23" t="e">
        <f>IF(#REF!=#REF!,1,0)</f>
        <v>#REF!</v>
      </c>
      <c r="AF354" s="24"/>
      <c r="AG354" s="24"/>
      <c r="AH354" s="24"/>
      <c r="AI354" s="24"/>
      <c r="AJ354" s="27"/>
      <c r="AK354" s="27"/>
      <c r="AL354" s="27"/>
      <c r="AM354" s="27"/>
      <c r="AN354" s="27"/>
      <c r="AO354" s="27"/>
      <c r="AP354" s="27"/>
      <c r="AQ354" s="27"/>
      <c r="AR354" s="27"/>
      <c r="AS354" s="27"/>
      <c r="AT354" s="27"/>
    </row>
    <row r="355" spans="2:46" s="3" customFormat="1" x14ac:dyDescent="0.25">
      <c r="B355" s="30"/>
      <c r="C355" s="31"/>
      <c r="D355" s="32"/>
      <c r="E355" s="33"/>
      <c r="F355" s="34"/>
      <c r="G355" s="34"/>
      <c r="H355" s="34"/>
      <c r="I355" s="34"/>
      <c r="J355" s="34"/>
      <c r="K355" s="34"/>
      <c r="L355" s="34"/>
      <c r="M355" s="34"/>
      <c r="N355" s="34"/>
      <c r="O355" s="38">
        <f t="shared" si="23"/>
        <v>0</v>
      </c>
      <c r="P355" s="34"/>
      <c r="Q355" s="34"/>
      <c r="R355" s="34"/>
      <c r="S355" s="34"/>
      <c r="T355" s="34"/>
      <c r="U355" s="34"/>
      <c r="V355" s="34"/>
      <c r="W355" s="34"/>
      <c r="X355" s="34"/>
      <c r="Y355" s="34"/>
      <c r="Z355" s="34"/>
      <c r="AA355" s="38">
        <f t="shared" si="24"/>
        <v>0</v>
      </c>
      <c r="AB355" s="38">
        <f t="shared" si="25"/>
        <v>0</v>
      </c>
      <c r="AC355" s="23"/>
      <c r="AD355" s="23"/>
      <c r="AE355" s="23" t="e">
        <f>IF(#REF!=#REF!,1,0)</f>
        <v>#REF!</v>
      </c>
      <c r="AF355" s="24"/>
      <c r="AG355" s="24"/>
      <c r="AH355" s="24"/>
      <c r="AI355" s="24"/>
      <c r="AJ355" s="27"/>
      <c r="AK355" s="27"/>
      <c r="AL355" s="27"/>
      <c r="AM355" s="27"/>
      <c r="AN355" s="27"/>
      <c r="AO355" s="27"/>
      <c r="AP355" s="27"/>
      <c r="AQ355" s="27"/>
      <c r="AR355" s="27"/>
      <c r="AS355" s="27"/>
      <c r="AT355" s="27"/>
    </row>
    <row r="356" spans="2:46" s="3" customFormat="1" x14ac:dyDescent="0.25">
      <c r="B356" s="30"/>
      <c r="C356" s="31"/>
      <c r="D356" s="32"/>
      <c r="E356" s="33"/>
      <c r="F356" s="34"/>
      <c r="G356" s="34"/>
      <c r="H356" s="34"/>
      <c r="I356" s="34"/>
      <c r="J356" s="34"/>
      <c r="K356" s="34"/>
      <c r="L356" s="34"/>
      <c r="M356" s="34"/>
      <c r="N356" s="34"/>
      <c r="O356" s="38">
        <f t="shared" si="23"/>
        <v>0</v>
      </c>
      <c r="P356" s="34"/>
      <c r="Q356" s="34"/>
      <c r="R356" s="34"/>
      <c r="S356" s="34"/>
      <c r="T356" s="34"/>
      <c r="U356" s="34"/>
      <c r="V356" s="34"/>
      <c r="W356" s="34"/>
      <c r="X356" s="34"/>
      <c r="Y356" s="34"/>
      <c r="Z356" s="34"/>
      <c r="AA356" s="38">
        <f t="shared" si="24"/>
        <v>0</v>
      </c>
      <c r="AB356" s="38">
        <f t="shared" si="25"/>
        <v>0</v>
      </c>
      <c r="AC356" s="23"/>
      <c r="AD356" s="23"/>
      <c r="AE356" s="23" t="e">
        <f>IF(#REF!=#REF!,1,0)</f>
        <v>#REF!</v>
      </c>
      <c r="AF356" s="24"/>
      <c r="AG356" s="24"/>
      <c r="AH356" s="24"/>
      <c r="AI356" s="24"/>
      <c r="AJ356" s="27"/>
      <c r="AK356" s="27"/>
      <c r="AL356" s="27"/>
      <c r="AM356" s="27"/>
      <c r="AN356" s="27"/>
      <c r="AO356" s="27"/>
      <c r="AP356" s="27"/>
      <c r="AQ356" s="27"/>
      <c r="AR356" s="27"/>
      <c r="AS356" s="27"/>
      <c r="AT356" s="27"/>
    </row>
    <row r="357" spans="2:46" s="3" customFormat="1" x14ac:dyDescent="0.25">
      <c r="B357" s="30"/>
      <c r="C357" s="31"/>
      <c r="D357" s="32"/>
      <c r="E357" s="33"/>
      <c r="F357" s="34"/>
      <c r="G357" s="34"/>
      <c r="H357" s="34"/>
      <c r="I357" s="34"/>
      <c r="J357" s="34"/>
      <c r="K357" s="34"/>
      <c r="L357" s="34"/>
      <c r="M357" s="34"/>
      <c r="N357" s="34"/>
      <c r="O357" s="38">
        <f t="shared" si="23"/>
        <v>0</v>
      </c>
      <c r="P357" s="34"/>
      <c r="Q357" s="34"/>
      <c r="R357" s="34"/>
      <c r="S357" s="34"/>
      <c r="T357" s="34"/>
      <c r="U357" s="34"/>
      <c r="V357" s="34"/>
      <c r="W357" s="34"/>
      <c r="X357" s="34"/>
      <c r="Y357" s="34"/>
      <c r="Z357" s="34"/>
      <c r="AA357" s="38">
        <f t="shared" si="24"/>
        <v>0</v>
      </c>
      <c r="AB357" s="38">
        <f t="shared" si="25"/>
        <v>0</v>
      </c>
      <c r="AC357" s="23"/>
      <c r="AD357" s="23"/>
      <c r="AE357" s="23" t="e">
        <f>IF(#REF!=#REF!,1,0)</f>
        <v>#REF!</v>
      </c>
      <c r="AF357" s="24"/>
      <c r="AG357" s="24"/>
      <c r="AH357" s="24"/>
      <c r="AI357" s="24"/>
      <c r="AJ357" s="27"/>
      <c r="AK357" s="27"/>
      <c r="AL357" s="27"/>
      <c r="AM357" s="27"/>
      <c r="AN357" s="27"/>
      <c r="AO357" s="27"/>
      <c r="AP357" s="27"/>
      <c r="AQ357" s="27"/>
      <c r="AR357" s="27"/>
      <c r="AS357" s="27"/>
      <c r="AT357" s="27"/>
    </row>
    <row r="358" spans="2:46" s="3" customFormat="1" x14ac:dyDescent="0.25">
      <c r="B358" s="30"/>
      <c r="C358" s="31"/>
      <c r="D358" s="32"/>
      <c r="E358" s="33"/>
      <c r="F358" s="34"/>
      <c r="G358" s="34"/>
      <c r="H358" s="34"/>
      <c r="I358" s="34"/>
      <c r="J358" s="34"/>
      <c r="K358" s="34"/>
      <c r="L358" s="34"/>
      <c r="M358" s="34"/>
      <c r="N358" s="34"/>
      <c r="O358" s="38">
        <f t="shared" si="23"/>
        <v>0</v>
      </c>
      <c r="P358" s="34"/>
      <c r="Q358" s="34"/>
      <c r="R358" s="34"/>
      <c r="S358" s="34"/>
      <c r="T358" s="34"/>
      <c r="U358" s="34"/>
      <c r="V358" s="34"/>
      <c r="W358" s="34"/>
      <c r="X358" s="34"/>
      <c r="Y358" s="34"/>
      <c r="Z358" s="34"/>
      <c r="AA358" s="38">
        <f t="shared" si="24"/>
        <v>0</v>
      </c>
      <c r="AB358" s="38">
        <f t="shared" si="25"/>
        <v>0</v>
      </c>
      <c r="AC358" s="23"/>
      <c r="AD358" s="23"/>
      <c r="AE358" s="23" t="e">
        <f>IF(#REF!=#REF!,1,0)</f>
        <v>#REF!</v>
      </c>
      <c r="AF358" s="24"/>
      <c r="AG358" s="24"/>
      <c r="AH358" s="24"/>
      <c r="AI358" s="24"/>
      <c r="AJ358" s="27"/>
      <c r="AK358" s="27"/>
      <c r="AL358" s="27"/>
      <c r="AM358" s="27"/>
      <c r="AN358" s="27"/>
      <c r="AO358" s="27"/>
      <c r="AP358" s="27"/>
      <c r="AQ358" s="27"/>
      <c r="AR358" s="27"/>
      <c r="AS358" s="27"/>
      <c r="AT358" s="27"/>
    </row>
    <row r="359" spans="2:46" s="3" customFormat="1" x14ac:dyDescent="0.25">
      <c r="B359" s="30"/>
      <c r="C359" s="31"/>
      <c r="D359" s="32"/>
      <c r="E359" s="33"/>
      <c r="F359" s="34"/>
      <c r="G359" s="34"/>
      <c r="H359" s="34"/>
      <c r="I359" s="34"/>
      <c r="J359" s="34"/>
      <c r="K359" s="34"/>
      <c r="L359" s="34"/>
      <c r="M359" s="34"/>
      <c r="N359" s="34"/>
      <c r="O359" s="38">
        <f t="shared" si="23"/>
        <v>0</v>
      </c>
      <c r="P359" s="34"/>
      <c r="Q359" s="34"/>
      <c r="R359" s="34"/>
      <c r="S359" s="34"/>
      <c r="T359" s="34"/>
      <c r="U359" s="34"/>
      <c r="V359" s="34"/>
      <c r="W359" s="34"/>
      <c r="X359" s="34"/>
      <c r="Y359" s="34"/>
      <c r="Z359" s="34"/>
      <c r="AA359" s="38">
        <f t="shared" si="24"/>
        <v>0</v>
      </c>
      <c r="AB359" s="38">
        <f t="shared" si="25"/>
        <v>0</v>
      </c>
      <c r="AC359" s="23"/>
      <c r="AD359" s="23"/>
      <c r="AE359" s="23" t="e">
        <f>IF(#REF!=#REF!,1,0)</f>
        <v>#REF!</v>
      </c>
      <c r="AF359" s="24"/>
      <c r="AG359" s="24"/>
      <c r="AH359" s="24"/>
      <c r="AI359" s="24"/>
      <c r="AJ359" s="27"/>
      <c r="AK359" s="27"/>
      <c r="AL359" s="27"/>
      <c r="AM359" s="27"/>
      <c r="AN359" s="27"/>
      <c r="AO359" s="27"/>
      <c r="AP359" s="27"/>
      <c r="AQ359" s="27"/>
      <c r="AR359" s="27"/>
      <c r="AS359" s="27"/>
      <c r="AT359" s="27"/>
    </row>
    <row r="360" spans="2:46" s="3" customFormat="1" x14ac:dyDescent="0.25">
      <c r="B360" s="30"/>
      <c r="C360" s="31"/>
      <c r="D360" s="32"/>
      <c r="E360" s="33"/>
      <c r="F360" s="34"/>
      <c r="G360" s="34"/>
      <c r="H360" s="34"/>
      <c r="I360" s="34"/>
      <c r="J360" s="34"/>
      <c r="K360" s="34"/>
      <c r="L360" s="34"/>
      <c r="M360" s="34"/>
      <c r="N360" s="34"/>
      <c r="O360" s="38">
        <f t="shared" si="23"/>
        <v>0</v>
      </c>
      <c r="P360" s="34"/>
      <c r="Q360" s="34"/>
      <c r="R360" s="34"/>
      <c r="S360" s="34"/>
      <c r="T360" s="34"/>
      <c r="U360" s="34"/>
      <c r="V360" s="34"/>
      <c r="W360" s="34"/>
      <c r="X360" s="34"/>
      <c r="Y360" s="34"/>
      <c r="Z360" s="34"/>
      <c r="AA360" s="38">
        <f t="shared" si="24"/>
        <v>0</v>
      </c>
      <c r="AB360" s="38">
        <f t="shared" si="25"/>
        <v>0</v>
      </c>
      <c r="AC360" s="23"/>
      <c r="AD360" s="23"/>
      <c r="AE360" s="23" t="e">
        <f>IF(#REF!=#REF!,1,0)</f>
        <v>#REF!</v>
      </c>
      <c r="AF360" s="24"/>
      <c r="AG360" s="24"/>
      <c r="AH360" s="24"/>
      <c r="AI360" s="24"/>
      <c r="AJ360" s="27"/>
      <c r="AK360" s="27"/>
      <c r="AL360" s="27"/>
      <c r="AM360" s="27"/>
      <c r="AN360" s="27"/>
      <c r="AO360" s="27"/>
      <c r="AP360" s="27"/>
      <c r="AQ360" s="27"/>
      <c r="AR360" s="27"/>
      <c r="AS360" s="27"/>
      <c r="AT360" s="27"/>
    </row>
    <row r="361" spans="2:46" s="3" customFormat="1" x14ac:dyDescent="0.25">
      <c r="B361" s="30"/>
      <c r="C361" s="31"/>
      <c r="D361" s="32"/>
      <c r="E361" s="33"/>
      <c r="F361" s="34"/>
      <c r="G361" s="34"/>
      <c r="H361" s="34"/>
      <c r="I361" s="34"/>
      <c r="J361" s="34"/>
      <c r="K361" s="34"/>
      <c r="L361" s="34"/>
      <c r="M361" s="34"/>
      <c r="N361" s="34"/>
      <c r="O361" s="38">
        <f t="shared" si="23"/>
        <v>0</v>
      </c>
      <c r="P361" s="34"/>
      <c r="Q361" s="34"/>
      <c r="R361" s="34"/>
      <c r="S361" s="34"/>
      <c r="T361" s="34"/>
      <c r="U361" s="34"/>
      <c r="V361" s="34"/>
      <c r="W361" s="34"/>
      <c r="X361" s="34"/>
      <c r="Y361" s="34"/>
      <c r="Z361" s="34"/>
      <c r="AA361" s="38">
        <f t="shared" si="24"/>
        <v>0</v>
      </c>
      <c r="AB361" s="38">
        <f t="shared" si="25"/>
        <v>0</v>
      </c>
      <c r="AC361" s="23"/>
      <c r="AD361" s="23"/>
      <c r="AE361" s="23" t="e">
        <f>IF(#REF!=#REF!,1,0)</f>
        <v>#REF!</v>
      </c>
      <c r="AF361" s="24"/>
      <c r="AG361" s="24"/>
      <c r="AH361" s="24"/>
      <c r="AI361" s="24"/>
      <c r="AJ361" s="27"/>
      <c r="AK361" s="27"/>
      <c r="AL361" s="27"/>
      <c r="AM361" s="27"/>
      <c r="AN361" s="27"/>
      <c r="AO361" s="27"/>
      <c r="AP361" s="27"/>
      <c r="AQ361" s="27"/>
      <c r="AR361" s="27"/>
      <c r="AS361" s="27"/>
      <c r="AT361" s="27"/>
    </row>
    <row r="362" spans="2:46" s="3" customFormat="1" x14ac:dyDescent="0.25">
      <c r="B362" s="30"/>
      <c r="C362" s="31"/>
      <c r="D362" s="32"/>
      <c r="E362" s="33"/>
      <c r="F362" s="34"/>
      <c r="G362" s="34"/>
      <c r="H362" s="34"/>
      <c r="I362" s="34"/>
      <c r="J362" s="34"/>
      <c r="K362" s="34"/>
      <c r="L362" s="34"/>
      <c r="M362" s="34"/>
      <c r="N362" s="34"/>
      <c r="O362" s="38">
        <f t="shared" si="23"/>
        <v>0</v>
      </c>
      <c r="P362" s="34"/>
      <c r="Q362" s="34"/>
      <c r="R362" s="34"/>
      <c r="S362" s="34"/>
      <c r="T362" s="34"/>
      <c r="U362" s="34"/>
      <c r="V362" s="34"/>
      <c r="W362" s="34"/>
      <c r="X362" s="34"/>
      <c r="Y362" s="34"/>
      <c r="Z362" s="34"/>
      <c r="AA362" s="38">
        <f t="shared" si="24"/>
        <v>0</v>
      </c>
      <c r="AB362" s="38">
        <f t="shared" si="25"/>
        <v>0</v>
      </c>
      <c r="AC362" s="23"/>
      <c r="AD362" s="23"/>
      <c r="AE362" s="23" t="e">
        <f>IF(#REF!=#REF!,1,0)</f>
        <v>#REF!</v>
      </c>
      <c r="AF362" s="24"/>
      <c r="AG362" s="24"/>
      <c r="AH362" s="24"/>
      <c r="AI362" s="24"/>
      <c r="AJ362" s="27"/>
      <c r="AK362" s="27"/>
      <c r="AL362" s="27"/>
      <c r="AM362" s="27"/>
      <c r="AN362" s="27"/>
      <c r="AO362" s="27"/>
      <c r="AP362" s="27"/>
      <c r="AQ362" s="27"/>
      <c r="AR362" s="27"/>
      <c r="AS362" s="27"/>
      <c r="AT362" s="27"/>
    </row>
    <row r="363" spans="2:46" s="3" customFormat="1" x14ac:dyDescent="0.25">
      <c r="B363" s="30"/>
      <c r="C363" s="31"/>
      <c r="D363" s="32"/>
      <c r="E363" s="33"/>
      <c r="F363" s="34"/>
      <c r="G363" s="34"/>
      <c r="H363" s="34"/>
      <c r="I363" s="34"/>
      <c r="J363" s="34"/>
      <c r="K363" s="34"/>
      <c r="L363" s="34"/>
      <c r="M363" s="34"/>
      <c r="N363" s="34"/>
      <c r="O363" s="38">
        <f t="shared" si="23"/>
        <v>0</v>
      </c>
      <c r="P363" s="34"/>
      <c r="Q363" s="34"/>
      <c r="R363" s="34"/>
      <c r="S363" s="34"/>
      <c r="T363" s="34"/>
      <c r="U363" s="34"/>
      <c r="V363" s="34"/>
      <c r="W363" s="34"/>
      <c r="X363" s="34"/>
      <c r="Y363" s="34"/>
      <c r="Z363" s="34"/>
      <c r="AA363" s="38">
        <f t="shared" si="24"/>
        <v>0</v>
      </c>
      <c r="AB363" s="38">
        <f t="shared" si="25"/>
        <v>0</v>
      </c>
      <c r="AC363" s="23"/>
      <c r="AD363" s="23"/>
      <c r="AE363" s="23" t="e">
        <f>IF(#REF!=#REF!,1,0)</f>
        <v>#REF!</v>
      </c>
      <c r="AF363" s="24"/>
      <c r="AG363" s="24"/>
      <c r="AH363" s="24"/>
      <c r="AI363" s="24"/>
      <c r="AJ363" s="27"/>
      <c r="AK363" s="27"/>
      <c r="AL363" s="27"/>
      <c r="AM363" s="27"/>
      <c r="AN363" s="27"/>
      <c r="AO363" s="27"/>
      <c r="AP363" s="27"/>
      <c r="AQ363" s="27"/>
      <c r="AR363" s="27"/>
      <c r="AS363" s="27"/>
      <c r="AT363" s="27"/>
    </row>
    <row r="364" spans="2:46" s="3" customFormat="1" x14ac:dyDescent="0.25">
      <c r="B364" s="30"/>
      <c r="C364" s="31"/>
      <c r="D364" s="32"/>
      <c r="E364" s="33"/>
      <c r="F364" s="34"/>
      <c r="G364" s="34"/>
      <c r="H364" s="34"/>
      <c r="I364" s="34"/>
      <c r="J364" s="34"/>
      <c r="K364" s="34"/>
      <c r="L364" s="34"/>
      <c r="M364" s="34"/>
      <c r="N364" s="34"/>
      <c r="O364" s="38">
        <f t="shared" si="23"/>
        <v>0</v>
      </c>
      <c r="P364" s="34"/>
      <c r="Q364" s="34"/>
      <c r="R364" s="34"/>
      <c r="S364" s="34"/>
      <c r="T364" s="34"/>
      <c r="U364" s="34"/>
      <c r="V364" s="34"/>
      <c r="W364" s="34"/>
      <c r="X364" s="34"/>
      <c r="Y364" s="34"/>
      <c r="Z364" s="34"/>
      <c r="AA364" s="38">
        <f t="shared" si="24"/>
        <v>0</v>
      </c>
      <c r="AB364" s="38">
        <f t="shared" si="25"/>
        <v>0</v>
      </c>
      <c r="AC364" s="23"/>
      <c r="AD364" s="23"/>
      <c r="AE364" s="23" t="e">
        <f>IF(#REF!=#REF!,1,0)</f>
        <v>#REF!</v>
      </c>
      <c r="AF364" s="24"/>
      <c r="AG364" s="24"/>
      <c r="AH364" s="24"/>
      <c r="AI364" s="24"/>
      <c r="AJ364" s="27"/>
      <c r="AK364" s="27"/>
      <c r="AL364" s="27"/>
      <c r="AM364" s="27"/>
      <c r="AN364" s="27"/>
      <c r="AO364" s="27"/>
      <c r="AP364" s="27"/>
      <c r="AQ364" s="27"/>
      <c r="AR364" s="27"/>
      <c r="AS364" s="27"/>
      <c r="AT364" s="27"/>
    </row>
    <row r="365" spans="2:46" s="3" customFormat="1" x14ac:dyDescent="0.25">
      <c r="B365" s="30"/>
      <c r="C365" s="31"/>
      <c r="D365" s="32"/>
      <c r="E365" s="33"/>
      <c r="F365" s="34"/>
      <c r="G365" s="34"/>
      <c r="H365" s="34"/>
      <c r="I365" s="34"/>
      <c r="J365" s="34"/>
      <c r="K365" s="34"/>
      <c r="L365" s="34"/>
      <c r="M365" s="34"/>
      <c r="N365" s="34"/>
      <c r="O365" s="38">
        <f t="shared" si="23"/>
        <v>0</v>
      </c>
      <c r="P365" s="34"/>
      <c r="Q365" s="34"/>
      <c r="R365" s="34"/>
      <c r="S365" s="34"/>
      <c r="T365" s="34"/>
      <c r="U365" s="34"/>
      <c r="V365" s="34"/>
      <c r="W365" s="34"/>
      <c r="X365" s="34"/>
      <c r="Y365" s="34"/>
      <c r="Z365" s="34"/>
      <c r="AA365" s="38">
        <f t="shared" si="24"/>
        <v>0</v>
      </c>
      <c r="AB365" s="38">
        <f t="shared" si="25"/>
        <v>0</v>
      </c>
      <c r="AC365" s="23"/>
      <c r="AD365" s="23"/>
      <c r="AE365" s="23" t="e">
        <f>IF(#REF!=#REF!,1,0)</f>
        <v>#REF!</v>
      </c>
      <c r="AF365" s="24"/>
      <c r="AG365" s="24"/>
      <c r="AH365" s="24"/>
      <c r="AI365" s="24"/>
      <c r="AJ365" s="27"/>
      <c r="AK365" s="27"/>
      <c r="AL365" s="27"/>
      <c r="AM365" s="27"/>
      <c r="AN365" s="27"/>
      <c r="AO365" s="27"/>
      <c r="AP365" s="27"/>
      <c r="AQ365" s="27"/>
      <c r="AR365" s="27"/>
      <c r="AS365" s="27"/>
      <c r="AT365" s="27"/>
    </row>
    <row r="366" spans="2:46" s="3" customFormat="1" x14ac:dyDescent="0.25">
      <c r="B366" s="30"/>
      <c r="C366" s="31"/>
      <c r="D366" s="32"/>
      <c r="E366" s="33"/>
      <c r="F366" s="34"/>
      <c r="G366" s="34"/>
      <c r="H366" s="34"/>
      <c r="I366" s="34"/>
      <c r="J366" s="34"/>
      <c r="K366" s="34"/>
      <c r="L366" s="34"/>
      <c r="M366" s="34"/>
      <c r="N366" s="34"/>
      <c r="O366" s="38">
        <f t="shared" si="23"/>
        <v>0</v>
      </c>
      <c r="P366" s="34"/>
      <c r="Q366" s="34"/>
      <c r="R366" s="34"/>
      <c r="S366" s="34"/>
      <c r="T366" s="34"/>
      <c r="U366" s="34"/>
      <c r="V366" s="34"/>
      <c r="W366" s="34"/>
      <c r="X366" s="34"/>
      <c r="Y366" s="34"/>
      <c r="Z366" s="34"/>
      <c r="AA366" s="38">
        <f t="shared" si="24"/>
        <v>0</v>
      </c>
      <c r="AB366" s="38">
        <f t="shared" si="25"/>
        <v>0</v>
      </c>
      <c r="AC366" s="23"/>
      <c r="AD366" s="23"/>
      <c r="AE366" s="23" t="e">
        <f>IF(#REF!=#REF!,1,0)</f>
        <v>#REF!</v>
      </c>
      <c r="AF366" s="24"/>
      <c r="AG366" s="24"/>
      <c r="AH366" s="24"/>
      <c r="AI366" s="24"/>
      <c r="AJ366" s="27"/>
      <c r="AK366" s="27"/>
      <c r="AL366" s="27"/>
      <c r="AM366" s="27"/>
      <c r="AN366" s="27"/>
      <c r="AO366" s="27"/>
      <c r="AP366" s="27"/>
      <c r="AQ366" s="27"/>
      <c r="AR366" s="27"/>
      <c r="AS366" s="27"/>
      <c r="AT366" s="27"/>
    </row>
    <row r="367" spans="2:46" s="3" customFormat="1" x14ac:dyDescent="0.25">
      <c r="B367" s="30"/>
      <c r="C367" s="31"/>
      <c r="D367" s="32"/>
      <c r="E367" s="33"/>
      <c r="F367" s="34"/>
      <c r="G367" s="34"/>
      <c r="H367" s="34"/>
      <c r="I367" s="34"/>
      <c r="J367" s="34"/>
      <c r="K367" s="34"/>
      <c r="L367" s="34"/>
      <c r="M367" s="34"/>
      <c r="N367" s="34"/>
      <c r="O367" s="38">
        <f t="shared" si="23"/>
        <v>0</v>
      </c>
      <c r="P367" s="34"/>
      <c r="Q367" s="34"/>
      <c r="R367" s="34"/>
      <c r="S367" s="34"/>
      <c r="T367" s="34"/>
      <c r="U367" s="34"/>
      <c r="V367" s="34"/>
      <c r="W367" s="34"/>
      <c r="X367" s="34"/>
      <c r="Y367" s="34"/>
      <c r="Z367" s="34"/>
      <c r="AA367" s="38">
        <f t="shared" si="24"/>
        <v>0</v>
      </c>
      <c r="AB367" s="38">
        <f t="shared" si="25"/>
        <v>0</v>
      </c>
      <c r="AC367" s="23"/>
      <c r="AD367" s="23"/>
      <c r="AE367" s="23" t="e">
        <f>IF(#REF!=#REF!,1,0)</f>
        <v>#REF!</v>
      </c>
      <c r="AF367" s="24"/>
      <c r="AG367" s="24"/>
      <c r="AH367" s="24"/>
      <c r="AI367" s="24"/>
      <c r="AJ367" s="27"/>
      <c r="AK367" s="27"/>
      <c r="AL367" s="27"/>
      <c r="AM367" s="27"/>
      <c r="AN367" s="27"/>
      <c r="AO367" s="27"/>
      <c r="AP367" s="27"/>
      <c r="AQ367" s="27"/>
      <c r="AR367" s="27"/>
      <c r="AS367" s="27"/>
      <c r="AT367" s="27"/>
    </row>
    <row r="368" spans="2:46" s="3" customFormat="1" x14ac:dyDescent="0.25">
      <c r="B368" s="30"/>
      <c r="C368" s="31"/>
      <c r="D368" s="32"/>
      <c r="E368" s="33"/>
      <c r="F368" s="34"/>
      <c r="G368" s="34"/>
      <c r="H368" s="34"/>
      <c r="I368" s="34"/>
      <c r="J368" s="34"/>
      <c r="K368" s="34"/>
      <c r="L368" s="34"/>
      <c r="M368" s="34"/>
      <c r="N368" s="34"/>
      <c r="O368" s="38">
        <f t="shared" si="23"/>
        <v>0</v>
      </c>
      <c r="P368" s="34"/>
      <c r="Q368" s="34"/>
      <c r="R368" s="34"/>
      <c r="S368" s="34"/>
      <c r="T368" s="34"/>
      <c r="U368" s="34"/>
      <c r="V368" s="34"/>
      <c r="W368" s="34"/>
      <c r="X368" s="34"/>
      <c r="Y368" s="34"/>
      <c r="Z368" s="34"/>
      <c r="AA368" s="38">
        <f t="shared" si="24"/>
        <v>0</v>
      </c>
      <c r="AB368" s="38">
        <f t="shared" si="25"/>
        <v>0</v>
      </c>
      <c r="AC368" s="23"/>
      <c r="AD368" s="23"/>
      <c r="AE368" s="23" t="e">
        <f>IF(#REF!=#REF!,1,0)</f>
        <v>#REF!</v>
      </c>
      <c r="AF368" s="24"/>
      <c r="AG368" s="24"/>
      <c r="AH368" s="24"/>
      <c r="AI368" s="24"/>
      <c r="AJ368" s="27"/>
      <c r="AK368" s="27"/>
      <c r="AL368" s="27"/>
      <c r="AM368" s="27"/>
      <c r="AN368" s="27"/>
      <c r="AO368" s="27"/>
      <c r="AP368" s="27"/>
      <c r="AQ368" s="27"/>
      <c r="AR368" s="27"/>
      <c r="AS368" s="27"/>
      <c r="AT368" s="27"/>
    </row>
    <row r="369" spans="2:46" s="3" customFormat="1" x14ac:dyDescent="0.25">
      <c r="B369" s="30"/>
      <c r="C369" s="31"/>
      <c r="D369" s="32"/>
      <c r="E369" s="33"/>
      <c r="F369" s="34"/>
      <c r="G369" s="34"/>
      <c r="H369" s="34"/>
      <c r="I369" s="34"/>
      <c r="J369" s="34"/>
      <c r="K369" s="34"/>
      <c r="L369" s="34"/>
      <c r="M369" s="34"/>
      <c r="N369" s="34"/>
      <c r="O369" s="38">
        <f t="shared" si="23"/>
        <v>0</v>
      </c>
      <c r="P369" s="34"/>
      <c r="Q369" s="34"/>
      <c r="R369" s="34"/>
      <c r="S369" s="34"/>
      <c r="T369" s="34"/>
      <c r="U369" s="34"/>
      <c r="V369" s="34"/>
      <c r="W369" s="34"/>
      <c r="X369" s="34"/>
      <c r="Y369" s="34"/>
      <c r="Z369" s="34"/>
      <c r="AA369" s="38">
        <f t="shared" si="24"/>
        <v>0</v>
      </c>
      <c r="AB369" s="38">
        <f t="shared" si="25"/>
        <v>0</v>
      </c>
      <c r="AC369" s="23"/>
      <c r="AD369" s="23"/>
      <c r="AE369" s="23" t="e">
        <f>IF(#REF!=#REF!,1,0)</f>
        <v>#REF!</v>
      </c>
      <c r="AF369" s="24"/>
      <c r="AG369" s="24"/>
      <c r="AH369" s="24"/>
      <c r="AI369" s="24"/>
      <c r="AJ369" s="27"/>
      <c r="AK369" s="27"/>
      <c r="AL369" s="27"/>
      <c r="AM369" s="27"/>
      <c r="AN369" s="27"/>
      <c r="AO369" s="27"/>
      <c r="AP369" s="27"/>
      <c r="AQ369" s="27"/>
      <c r="AR369" s="27"/>
      <c r="AS369" s="27"/>
      <c r="AT369" s="27"/>
    </row>
    <row r="370" spans="2:46" s="3" customFormat="1" x14ac:dyDescent="0.25">
      <c r="B370" s="30"/>
      <c r="C370" s="31"/>
      <c r="D370" s="32"/>
      <c r="E370" s="33"/>
      <c r="F370" s="34"/>
      <c r="G370" s="34"/>
      <c r="H370" s="34"/>
      <c r="I370" s="34"/>
      <c r="J370" s="34"/>
      <c r="K370" s="34"/>
      <c r="L370" s="34"/>
      <c r="M370" s="34"/>
      <c r="N370" s="34"/>
      <c r="O370" s="38">
        <f t="shared" si="23"/>
        <v>0</v>
      </c>
      <c r="P370" s="34"/>
      <c r="Q370" s="34"/>
      <c r="R370" s="34"/>
      <c r="S370" s="34"/>
      <c r="T370" s="34"/>
      <c r="U370" s="34"/>
      <c r="V370" s="34"/>
      <c r="W370" s="34"/>
      <c r="X370" s="34"/>
      <c r="Y370" s="34"/>
      <c r="Z370" s="34"/>
      <c r="AA370" s="38">
        <f t="shared" si="24"/>
        <v>0</v>
      </c>
      <c r="AB370" s="38">
        <f t="shared" si="25"/>
        <v>0</v>
      </c>
      <c r="AC370" s="23"/>
      <c r="AD370" s="23"/>
      <c r="AE370" s="23" t="e">
        <f>IF(#REF!=#REF!,1,0)</f>
        <v>#REF!</v>
      </c>
      <c r="AF370" s="24"/>
      <c r="AG370" s="24"/>
      <c r="AH370" s="24"/>
      <c r="AI370" s="24"/>
      <c r="AJ370" s="27"/>
      <c r="AK370" s="27"/>
      <c r="AL370" s="27"/>
      <c r="AM370" s="27"/>
      <c r="AN370" s="27"/>
      <c r="AO370" s="27"/>
      <c r="AP370" s="27"/>
      <c r="AQ370" s="27"/>
      <c r="AR370" s="27"/>
      <c r="AS370" s="27"/>
      <c r="AT370" s="27"/>
    </row>
    <row r="371" spans="2:46" s="3" customFormat="1" x14ac:dyDescent="0.25">
      <c r="B371" s="30"/>
      <c r="C371" s="31"/>
      <c r="D371" s="32"/>
      <c r="E371" s="33"/>
      <c r="F371" s="34"/>
      <c r="G371" s="34"/>
      <c r="H371" s="34"/>
      <c r="I371" s="34"/>
      <c r="J371" s="34"/>
      <c r="K371" s="34"/>
      <c r="L371" s="34"/>
      <c r="M371" s="34"/>
      <c r="N371" s="34"/>
      <c r="O371" s="38">
        <f t="shared" si="23"/>
        <v>0</v>
      </c>
      <c r="P371" s="34"/>
      <c r="Q371" s="34"/>
      <c r="R371" s="34"/>
      <c r="S371" s="34"/>
      <c r="T371" s="34"/>
      <c r="U371" s="34"/>
      <c r="V371" s="34"/>
      <c r="W371" s="34"/>
      <c r="X371" s="34"/>
      <c r="Y371" s="34"/>
      <c r="Z371" s="34"/>
      <c r="AA371" s="38">
        <f t="shared" si="24"/>
        <v>0</v>
      </c>
      <c r="AB371" s="38">
        <f t="shared" si="25"/>
        <v>0</v>
      </c>
      <c r="AC371" s="23"/>
      <c r="AD371" s="23"/>
      <c r="AE371" s="23" t="e">
        <f>IF(#REF!=#REF!,1,0)</f>
        <v>#REF!</v>
      </c>
      <c r="AF371" s="24"/>
      <c r="AG371" s="24"/>
      <c r="AH371" s="24"/>
      <c r="AI371" s="24"/>
      <c r="AJ371" s="27"/>
      <c r="AK371" s="27"/>
      <c r="AL371" s="27"/>
      <c r="AM371" s="27"/>
      <c r="AN371" s="27"/>
      <c r="AO371" s="27"/>
      <c r="AP371" s="27"/>
      <c r="AQ371" s="27"/>
      <c r="AR371" s="27"/>
      <c r="AS371" s="27"/>
      <c r="AT371" s="27"/>
    </row>
    <row r="372" spans="2:46" s="3" customFormat="1" x14ac:dyDescent="0.25">
      <c r="B372" s="30"/>
      <c r="C372" s="31"/>
      <c r="D372" s="32"/>
      <c r="E372" s="33"/>
      <c r="F372" s="34"/>
      <c r="G372" s="34"/>
      <c r="H372" s="34"/>
      <c r="I372" s="34"/>
      <c r="J372" s="34"/>
      <c r="K372" s="34"/>
      <c r="L372" s="34"/>
      <c r="M372" s="34"/>
      <c r="N372" s="34"/>
      <c r="O372" s="38">
        <f t="shared" si="23"/>
        <v>0</v>
      </c>
      <c r="P372" s="34"/>
      <c r="Q372" s="34"/>
      <c r="R372" s="34"/>
      <c r="S372" s="34"/>
      <c r="T372" s="34"/>
      <c r="U372" s="34"/>
      <c r="V372" s="34"/>
      <c r="W372" s="34"/>
      <c r="X372" s="34"/>
      <c r="Y372" s="34"/>
      <c r="Z372" s="34"/>
      <c r="AA372" s="38">
        <f t="shared" si="24"/>
        <v>0</v>
      </c>
      <c r="AB372" s="38">
        <f t="shared" si="25"/>
        <v>0</v>
      </c>
      <c r="AC372" s="23"/>
      <c r="AD372" s="23"/>
      <c r="AE372" s="23" t="e">
        <f>IF(#REF!=#REF!,1,0)</f>
        <v>#REF!</v>
      </c>
      <c r="AF372" s="24"/>
      <c r="AG372" s="24"/>
      <c r="AH372" s="24"/>
      <c r="AI372" s="24"/>
      <c r="AJ372" s="27"/>
      <c r="AK372" s="27"/>
      <c r="AL372" s="27"/>
      <c r="AM372" s="27"/>
      <c r="AN372" s="27"/>
      <c r="AO372" s="27"/>
      <c r="AP372" s="27"/>
      <c r="AQ372" s="27"/>
      <c r="AR372" s="27"/>
      <c r="AS372" s="27"/>
      <c r="AT372" s="27"/>
    </row>
    <row r="373" spans="2:46" s="3" customFormat="1" x14ac:dyDescent="0.25">
      <c r="B373" s="30"/>
      <c r="C373" s="31"/>
      <c r="D373" s="32"/>
      <c r="E373" s="33"/>
      <c r="F373" s="34"/>
      <c r="G373" s="34"/>
      <c r="H373" s="34"/>
      <c r="I373" s="34"/>
      <c r="J373" s="34"/>
      <c r="K373" s="34"/>
      <c r="L373" s="34"/>
      <c r="M373" s="34"/>
      <c r="N373" s="34"/>
      <c r="O373" s="38">
        <f t="shared" si="23"/>
        <v>0</v>
      </c>
      <c r="P373" s="34"/>
      <c r="Q373" s="34"/>
      <c r="R373" s="34"/>
      <c r="S373" s="34"/>
      <c r="T373" s="34"/>
      <c r="U373" s="34"/>
      <c r="V373" s="34"/>
      <c r="W373" s="34"/>
      <c r="X373" s="34"/>
      <c r="Y373" s="34"/>
      <c r="Z373" s="34"/>
      <c r="AA373" s="38">
        <f t="shared" si="24"/>
        <v>0</v>
      </c>
      <c r="AB373" s="38">
        <f t="shared" si="25"/>
        <v>0</v>
      </c>
      <c r="AC373" s="23"/>
      <c r="AD373" s="23"/>
      <c r="AE373" s="23" t="e">
        <f>IF(#REF!=#REF!,1,0)</f>
        <v>#REF!</v>
      </c>
      <c r="AF373" s="24"/>
      <c r="AG373" s="24"/>
      <c r="AH373" s="24"/>
      <c r="AI373" s="24"/>
      <c r="AJ373" s="27"/>
      <c r="AK373" s="27"/>
      <c r="AL373" s="27"/>
      <c r="AM373" s="27"/>
      <c r="AN373" s="27"/>
      <c r="AO373" s="27"/>
      <c r="AP373" s="27"/>
      <c r="AQ373" s="27"/>
      <c r="AR373" s="27"/>
      <c r="AS373" s="27"/>
      <c r="AT373" s="27"/>
    </row>
    <row r="374" spans="2:46" s="3" customFormat="1" x14ac:dyDescent="0.25">
      <c r="B374" s="30"/>
      <c r="C374" s="31"/>
      <c r="D374" s="32"/>
      <c r="E374" s="33"/>
      <c r="F374" s="34"/>
      <c r="G374" s="34"/>
      <c r="H374" s="34"/>
      <c r="I374" s="34"/>
      <c r="J374" s="34"/>
      <c r="K374" s="34"/>
      <c r="L374" s="34"/>
      <c r="M374" s="34"/>
      <c r="N374" s="34"/>
      <c r="O374" s="38">
        <f t="shared" si="23"/>
        <v>0</v>
      </c>
      <c r="P374" s="34"/>
      <c r="Q374" s="34"/>
      <c r="R374" s="34"/>
      <c r="S374" s="34"/>
      <c r="T374" s="34"/>
      <c r="U374" s="34"/>
      <c r="V374" s="34"/>
      <c r="W374" s="34"/>
      <c r="X374" s="34"/>
      <c r="Y374" s="34"/>
      <c r="Z374" s="34"/>
      <c r="AA374" s="38">
        <f t="shared" si="24"/>
        <v>0</v>
      </c>
      <c r="AB374" s="38">
        <f t="shared" si="25"/>
        <v>0</v>
      </c>
      <c r="AC374" s="23"/>
      <c r="AD374" s="23"/>
      <c r="AE374" s="23" t="e">
        <f>IF(#REF!=#REF!,1,0)</f>
        <v>#REF!</v>
      </c>
      <c r="AF374" s="24"/>
      <c r="AG374" s="24"/>
      <c r="AH374" s="24"/>
      <c r="AI374" s="24"/>
      <c r="AJ374" s="27"/>
      <c r="AK374" s="27"/>
      <c r="AL374" s="27"/>
      <c r="AM374" s="27"/>
      <c r="AN374" s="27"/>
      <c r="AO374" s="27"/>
      <c r="AP374" s="27"/>
      <c r="AQ374" s="27"/>
      <c r="AR374" s="27"/>
      <c r="AS374" s="27"/>
      <c r="AT374" s="27"/>
    </row>
    <row r="375" spans="2:46" s="3" customFormat="1" x14ac:dyDescent="0.25">
      <c r="B375" s="30"/>
      <c r="C375" s="31"/>
      <c r="D375" s="32"/>
      <c r="E375" s="33"/>
      <c r="F375" s="34"/>
      <c r="G375" s="34"/>
      <c r="H375" s="34"/>
      <c r="I375" s="34"/>
      <c r="J375" s="34"/>
      <c r="K375" s="34"/>
      <c r="L375" s="34"/>
      <c r="M375" s="34"/>
      <c r="N375" s="34"/>
      <c r="O375" s="38">
        <f t="shared" si="23"/>
        <v>0</v>
      </c>
      <c r="P375" s="34"/>
      <c r="Q375" s="34"/>
      <c r="R375" s="34"/>
      <c r="S375" s="34"/>
      <c r="T375" s="34"/>
      <c r="U375" s="34"/>
      <c r="V375" s="34"/>
      <c r="W375" s="34"/>
      <c r="X375" s="34"/>
      <c r="Y375" s="34"/>
      <c r="Z375" s="34"/>
      <c r="AA375" s="38">
        <f t="shared" si="24"/>
        <v>0</v>
      </c>
      <c r="AB375" s="38">
        <f t="shared" si="25"/>
        <v>0</v>
      </c>
      <c r="AC375" s="23"/>
      <c r="AD375" s="23"/>
      <c r="AE375" s="23" t="e">
        <f>IF(#REF!=#REF!,1,0)</f>
        <v>#REF!</v>
      </c>
      <c r="AF375" s="24"/>
      <c r="AG375" s="24"/>
      <c r="AH375" s="24"/>
      <c r="AI375" s="24"/>
      <c r="AJ375" s="27"/>
      <c r="AK375" s="27"/>
      <c r="AL375" s="27"/>
      <c r="AM375" s="27"/>
      <c r="AN375" s="27"/>
      <c r="AO375" s="27"/>
      <c r="AP375" s="27"/>
      <c r="AQ375" s="27"/>
      <c r="AR375" s="27"/>
      <c r="AS375" s="27"/>
      <c r="AT375" s="27"/>
    </row>
    <row r="376" spans="2:46" s="3" customFormat="1" x14ac:dyDescent="0.25">
      <c r="B376" s="30"/>
      <c r="C376" s="31"/>
      <c r="D376" s="32"/>
      <c r="E376" s="33"/>
      <c r="F376" s="34"/>
      <c r="G376" s="34"/>
      <c r="H376" s="34"/>
      <c r="I376" s="34"/>
      <c r="J376" s="34"/>
      <c r="K376" s="34"/>
      <c r="L376" s="34"/>
      <c r="M376" s="34"/>
      <c r="N376" s="34"/>
      <c r="O376" s="38">
        <f t="shared" si="23"/>
        <v>0</v>
      </c>
      <c r="P376" s="34"/>
      <c r="Q376" s="34"/>
      <c r="R376" s="34"/>
      <c r="S376" s="34"/>
      <c r="T376" s="34"/>
      <c r="U376" s="34"/>
      <c r="V376" s="34"/>
      <c r="W376" s="34"/>
      <c r="X376" s="34"/>
      <c r="Y376" s="34"/>
      <c r="Z376" s="34"/>
      <c r="AA376" s="38">
        <f t="shared" si="24"/>
        <v>0</v>
      </c>
      <c r="AB376" s="38">
        <f t="shared" si="25"/>
        <v>0</v>
      </c>
      <c r="AC376" s="23"/>
      <c r="AD376" s="23"/>
      <c r="AE376" s="23" t="e">
        <f>IF(#REF!=#REF!,1,0)</f>
        <v>#REF!</v>
      </c>
      <c r="AF376" s="24"/>
      <c r="AG376" s="24"/>
      <c r="AH376" s="24"/>
      <c r="AI376" s="24"/>
      <c r="AJ376" s="27"/>
      <c r="AK376" s="27"/>
      <c r="AL376" s="27"/>
      <c r="AM376" s="27"/>
      <c r="AN376" s="27"/>
      <c r="AO376" s="27"/>
      <c r="AP376" s="27"/>
      <c r="AQ376" s="27"/>
      <c r="AR376" s="27"/>
      <c r="AS376" s="27"/>
      <c r="AT376" s="27"/>
    </row>
    <row r="377" spans="2:46" s="3" customFormat="1" x14ac:dyDescent="0.25">
      <c r="B377" s="30"/>
      <c r="C377" s="31"/>
      <c r="D377" s="32"/>
      <c r="E377" s="33"/>
      <c r="F377" s="34"/>
      <c r="G377" s="34"/>
      <c r="H377" s="34"/>
      <c r="I377" s="34"/>
      <c r="J377" s="34"/>
      <c r="K377" s="34"/>
      <c r="L377" s="34"/>
      <c r="M377" s="34"/>
      <c r="N377" s="34"/>
      <c r="O377" s="38">
        <f t="shared" si="23"/>
        <v>0</v>
      </c>
      <c r="P377" s="34"/>
      <c r="Q377" s="34"/>
      <c r="R377" s="34"/>
      <c r="S377" s="34"/>
      <c r="T377" s="34"/>
      <c r="U377" s="34"/>
      <c r="V377" s="34"/>
      <c r="W377" s="34"/>
      <c r="X377" s="34"/>
      <c r="Y377" s="34"/>
      <c r="Z377" s="34"/>
      <c r="AA377" s="38">
        <f t="shared" si="24"/>
        <v>0</v>
      </c>
      <c r="AB377" s="38">
        <f t="shared" si="25"/>
        <v>0</v>
      </c>
      <c r="AC377" s="23"/>
      <c r="AD377" s="23"/>
      <c r="AE377" s="23" t="e">
        <f>IF(#REF!=#REF!,1,0)</f>
        <v>#REF!</v>
      </c>
      <c r="AF377" s="24"/>
      <c r="AG377" s="24"/>
      <c r="AH377" s="24"/>
      <c r="AI377" s="24"/>
      <c r="AJ377" s="27"/>
      <c r="AK377" s="27"/>
      <c r="AL377" s="27"/>
      <c r="AM377" s="27"/>
      <c r="AN377" s="27"/>
      <c r="AO377" s="27"/>
      <c r="AP377" s="27"/>
      <c r="AQ377" s="27"/>
      <c r="AR377" s="27"/>
      <c r="AS377" s="27"/>
      <c r="AT377" s="27"/>
    </row>
    <row r="378" spans="2:46" s="3" customFormat="1" x14ac:dyDescent="0.25">
      <c r="B378" s="30"/>
      <c r="C378" s="31"/>
      <c r="D378" s="32"/>
      <c r="E378" s="33"/>
      <c r="F378" s="34"/>
      <c r="G378" s="34"/>
      <c r="H378" s="34"/>
      <c r="I378" s="34"/>
      <c r="J378" s="34"/>
      <c r="K378" s="34"/>
      <c r="L378" s="34"/>
      <c r="M378" s="34"/>
      <c r="N378" s="34"/>
      <c r="O378" s="38">
        <f t="shared" si="23"/>
        <v>0</v>
      </c>
      <c r="P378" s="34"/>
      <c r="Q378" s="34"/>
      <c r="R378" s="34"/>
      <c r="S378" s="34"/>
      <c r="T378" s="34"/>
      <c r="U378" s="34"/>
      <c r="V378" s="34"/>
      <c r="W378" s="34"/>
      <c r="X378" s="34"/>
      <c r="Y378" s="34"/>
      <c r="Z378" s="34"/>
      <c r="AA378" s="38">
        <f t="shared" si="24"/>
        <v>0</v>
      </c>
      <c r="AB378" s="38">
        <f t="shared" si="25"/>
        <v>0</v>
      </c>
      <c r="AC378" s="23"/>
      <c r="AD378" s="23"/>
      <c r="AE378" s="23" t="e">
        <f>IF(#REF!=#REF!,1,0)</f>
        <v>#REF!</v>
      </c>
      <c r="AF378" s="24"/>
      <c r="AG378" s="24"/>
      <c r="AH378" s="24"/>
      <c r="AI378" s="24"/>
      <c r="AJ378" s="27"/>
      <c r="AK378" s="27"/>
      <c r="AL378" s="27"/>
      <c r="AM378" s="27"/>
      <c r="AN378" s="27"/>
      <c r="AO378" s="27"/>
      <c r="AP378" s="27"/>
      <c r="AQ378" s="27"/>
      <c r="AR378" s="27"/>
      <c r="AS378" s="27"/>
      <c r="AT378" s="27"/>
    </row>
    <row r="379" spans="2:46" s="3" customFormat="1" x14ac:dyDescent="0.25">
      <c r="B379" s="30"/>
      <c r="C379" s="31"/>
      <c r="D379" s="32"/>
      <c r="E379" s="33"/>
      <c r="F379" s="34"/>
      <c r="G379" s="34"/>
      <c r="H379" s="34"/>
      <c r="I379" s="34"/>
      <c r="J379" s="34"/>
      <c r="K379" s="34"/>
      <c r="L379" s="34"/>
      <c r="M379" s="34"/>
      <c r="N379" s="34"/>
      <c r="O379" s="38">
        <f t="shared" si="23"/>
        <v>0</v>
      </c>
      <c r="P379" s="34"/>
      <c r="Q379" s="34"/>
      <c r="R379" s="34"/>
      <c r="S379" s="34"/>
      <c r="T379" s="34"/>
      <c r="U379" s="34"/>
      <c r="V379" s="34"/>
      <c r="W379" s="34"/>
      <c r="X379" s="34"/>
      <c r="Y379" s="34"/>
      <c r="Z379" s="34"/>
      <c r="AA379" s="38">
        <f t="shared" si="24"/>
        <v>0</v>
      </c>
      <c r="AB379" s="38">
        <f t="shared" si="25"/>
        <v>0</v>
      </c>
      <c r="AC379" s="23"/>
      <c r="AD379" s="23"/>
      <c r="AE379" s="23" t="e">
        <f>IF(#REF!=#REF!,1,0)</f>
        <v>#REF!</v>
      </c>
      <c r="AF379" s="24"/>
      <c r="AG379" s="24"/>
      <c r="AH379" s="24"/>
      <c r="AI379" s="24"/>
      <c r="AJ379" s="27"/>
      <c r="AK379" s="27"/>
      <c r="AL379" s="27"/>
      <c r="AM379" s="27"/>
      <c r="AN379" s="27"/>
      <c r="AO379" s="27"/>
      <c r="AP379" s="27"/>
      <c r="AQ379" s="27"/>
      <c r="AR379" s="27"/>
      <c r="AS379" s="27"/>
      <c r="AT379" s="27"/>
    </row>
    <row r="380" spans="2:46" s="3" customFormat="1" x14ac:dyDescent="0.25">
      <c r="B380" s="30"/>
      <c r="C380" s="31"/>
      <c r="D380" s="32"/>
      <c r="E380" s="33"/>
      <c r="F380" s="34"/>
      <c r="G380" s="34"/>
      <c r="H380" s="34"/>
      <c r="I380" s="34"/>
      <c r="J380" s="34"/>
      <c r="K380" s="34"/>
      <c r="L380" s="34"/>
      <c r="M380" s="34"/>
      <c r="N380" s="34"/>
      <c r="O380" s="38">
        <f t="shared" si="23"/>
        <v>0</v>
      </c>
      <c r="P380" s="34"/>
      <c r="Q380" s="34"/>
      <c r="R380" s="34"/>
      <c r="S380" s="34"/>
      <c r="T380" s="34"/>
      <c r="U380" s="34"/>
      <c r="V380" s="34"/>
      <c r="W380" s="34"/>
      <c r="X380" s="34"/>
      <c r="Y380" s="34"/>
      <c r="Z380" s="34"/>
      <c r="AA380" s="38">
        <f t="shared" si="24"/>
        <v>0</v>
      </c>
      <c r="AB380" s="38">
        <f t="shared" si="25"/>
        <v>0</v>
      </c>
      <c r="AC380" s="23"/>
      <c r="AD380" s="23"/>
      <c r="AE380" s="23" t="e">
        <f>IF(#REF!=#REF!,1,0)</f>
        <v>#REF!</v>
      </c>
      <c r="AF380" s="24"/>
      <c r="AG380" s="24"/>
      <c r="AH380" s="24"/>
      <c r="AI380" s="24"/>
      <c r="AJ380" s="27"/>
      <c r="AK380" s="27"/>
      <c r="AL380" s="27"/>
      <c r="AM380" s="27"/>
      <c r="AN380" s="27"/>
      <c r="AO380" s="27"/>
      <c r="AP380" s="27"/>
      <c r="AQ380" s="27"/>
      <c r="AR380" s="27"/>
      <c r="AS380" s="27"/>
      <c r="AT380" s="27"/>
    </row>
    <row r="381" spans="2:46" s="3" customFormat="1" x14ac:dyDescent="0.25">
      <c r="B381" s="30"/>
      <c r="C381" s="31"/>
      <c r="D381" s="32"/>
      <c r="E381" s="33"/>
      <c r="F381" s="34"/>
      <c r="G381" s="34"/>
      <c r="H381" s="34"/>
      <c r="I381" s="34"/>
      <c r="J381" s="34"/>
      <c r="K381" s="34"/>
      <c r="L381" s="34"/>
      <c r="M381" s="34"/>
      <c r="N381" s="34"/>
      <c r="O381" s="38">
        <f t="shared" si="23"/>
        <v>0</v>
      </c>
      <c r="P381" s="34"/>
      <c r="Q381" s="34"/>
      <c r="R381" s="34"/>
      <c r="S381" s="34"/>
      <c r="T381" s="34"/>
      <c r="U381" s="34"/>
      <c r="V381" s="34"/>
      <c r="W381" s="34"/>
      <c r="X381" s="34"/>
      <c r="Y381" s="34"/>
      <c r="Z381" s="34"/>
      <c r="AA381" s="38">
        <f t="shared" si="24"/>
        <v>0</v>
      </c>
      <c r="AB381" s="38">
        <f t="shared" si="25"/>
        <v>0</v>
      </c>
      <c r="AC381" s="23"/>
      <c r="AD381" s="23"/>
      <c r="AE381" s="23" t="e">
        <f>IF(#REF!=#REF!,1,0)</f>
        <v>#REF!</v>
      </c>
      <c r="AF381" s="24"/>
      <c r="AG381" s="24"/>
      <c r="AH381" s="24"/>
      <c r="AI381" s="24"/>
      <c r="AJ381" s="27"/>
      <c r="AK381" s="27"/>
      <c r="AL381" s="27"/>
      <c r="AM381" s="27"/>
      <c r="AN381" s="27"/>
      <c r="AO381" s="27"/>
      <c r="AP381" s="27"/>
      <c r="AQ381" s="27"/>
      <c r="AR381" s="27"/>
      <c r="AS381" s="27"/>
      <c r="AT381" s="27"/>
    </row>
    <row r="382" spans="2:46" s="3" customFormat="1" x14ac:dyDescent="0.25">
      <c r="B382" s="30"/>
      <c r="C382" s="31"/>
      <c r="D382" s="32"/>
      <c r="E382" s="33"/>
      <c r="F382" s="34"/>
      <c r="G382" s="34"/>
      <c r="H382" s="34"/>
      <c r="I382" s="34"/>
      <c r="J382" s="34"/>
      <c r="K382" s="34"/>
      <c r="L382" s="34"/>
      <c r="M382" s="34"/>
      <c r="N382" s="34"/>
      <c r="O382" s="38">
        <f t="shared" si="23"/>
        <v>0</v>
      </c>
      <c r="P382" s="34"/>
      <c r="Q382" s="34"/>
      <c r="R382" s="34"/>
      <c r="S382" s="34"/>
      <c r="T382" s="34"/>
      <c r="U382" s="34"/>
      <c r="V382" s="34"/>
      <c r="W382" s="34"/>
      <c r="X382" s="34"/>
      <c r="Y382" s="34"/>
      <c r="Z382" s="34"/>
      <c r="AA382" s="38">
        <f t="shared" si="24"/>
        <v>0</v>
      </c>
      <c r="AB382" s="38">
        <f t="shared" si="25"/>
        <v>0</v>
      </c>
      <c r="AC382" s="23"/>
      <c r="AD382" s="23"/>
      <c r="AE382" s="23" t="e">
        <f>IF(#REF!=#REF!,1,0)</f>
        <v>#REF!</v>
      </c>
      <c r="AF382" s="24"/>
      <c r="AG382" s="24"/>
      <c r="AH382" s="24"/>
      <c r="AI382" s="24"/>
      <c r="AJ382" s="27"/>
      <c r="AK382" s="27"/>
      <c r="AL382" s="27"/>
      <c r="AM382" s="27"/>
      <c r="AN382" s="27"/>
      <c r="AO382" s="27"/>
      <c r="AP382" s="27"/>
      <c r="AQ382" s="27"/>
      <c r="AR382" s="27"/>
      <c r="AS382" s="27"/>
      <c r="AT382" s="27"/>
    </row>
    <row r="383" spans="2:46" s="3" customFormat="1" x14ac:dyDescent="0.25">
      <c r="B383" s="30"/>
      <c r="C383" s="31"/>
      <c r="D383" s="32"/>
      <c r="E383" s="33"/>
      <c r="F383" s="34"/>
      <c r="G383" s="34"/>
      <c r="H383" s="34"/>
      <c r="I383" s="34"/>
      <c r="J383" s="34"/>
      <c r="K383" s="34"/>
      <c r="L383" s="34"/>
      <c r="M383" s="34"/>
      <c r="N383" s="34"/>
      <c r="O383" s="38">
        <f t="shared" si="23"/>
        <v>0</v>
      </c>
      <c r="P383" s="34"/>
      <c r="Q383" s="34"/>
      <c r="R383" s="34"/>
      <c r="S383" s="34"/>
      <c r="T383" s="34"/>
      <c r="U383" s="34"/>
      <c r="V383" s="34"/>
      <c r="W383" s="34"/>
      <c r="X383" s="34"/>
      <c r="Y383" s="34"/>
      <c r="Z383" s="34"/>
      <c r="AA383" s="38">
        <f t="shared" si="24"/>
        <v>0</v>
      </c>
      <c r="AB383" s="38">
        <f t="shared" si="25"/>
        <v>0</v>
      </c>
      <c r="AC383" s="23"/>
      <c r="AD383" s="23"/>
      <c r="AE383" s="23" t="e">
        <f>IF(#REF!=#REF!,1,0)</f>
        <v>#REF!</v>
      </c>
      <c r="AF383" s="24"/>
      <c r="AG383" s="24"/>
      <c r="AH383" s="24"/>
      <c r="AI383" s="24"/>
      <c r="AJ383" s="27"/>
      <c r="AK383" s="27"/>
      <c r="AL383" s="27"/>
      <c r="AM383" s="27"/>
      <c r="AN383" s="27"/>
      <c r="AO383" s="27"/>
      <c r="AP383" s="27"/>
      <c r="AQ383" s="27"/>
      <c r="AR383" s="27"/>
      <c r="AS383" s="27"/>
      <c r="AT383" s="27"/>
    </row>
    <row r="384" spans="2:46" s="3" customFormat="1" x14ac:dyDescent="0.25">
      <c r="B384" s="30"/>
      <c r="C384" s="31"/>
      <c r="D384" s="32"/>
      <c r="E384" s="33"/>
      <c r="F384" s="34"/>
      <c r="G384" s="34"/>
      <c r="H384" s="34"/>
      <c r="I384" s="34"/>
      <c r="J384" s="34"/>
      <c r="K384" s="34"/>
      <c r="L384" s="34"/>
      <c r="M384" s="34"/>
      <c r="N384" s="34"/>
      <c r="O384" s="38">
        <f t="shared" si="23"/>
        <v>0</v>
      </c>
      <c r="P384" s="34"/>
      <c r="Q384" s="34"/>
      <c r="R384" s="34"/>
      <c r="S384" s="34"/>
      <c r="T384" s="34"/>
      <c r="U384" s="34"/>
      <c r="V384" s="34"/>
      <c r="W384" s="34"/>
      <c r="X384" s="34"/>
      <c r="Y384" s="34"/>
      <c r="Z384" s="34"/>
      <c r="AA384" s="38">
        <f t="shared" si="24"/>
        <v>0</v>
      </c>
      <c r="AB384" s="38">
        <f t="shared" si="25"/>
        <v>0</v>
      </c>
      <c r="AC384" s="23"/>
      <c r="AD384" s="23"/>
      <c r="AE384" s="23" t="e">
        <f>IF(#REF!=#REF!,1,0)</f>
        <v>#REF!</v>
      </c>
      <c r="AF384" s="24"/>
      <c r="AG384" s="24"/>
      <c r="AH384" s="24"/>
      <c r="AI384" s="24"/>
      <c r="AJ384" s="27"/>
      <c r="AK384" s="27"/>
      <c r="AL384" s="27"/>
      <c r="AM384" s="27"/>
      <c r="AN384" s="27"/>
      <c r="AO384" s="27"/>
      <c r="AP384" s="27"/>
      <c r="AQ384" s="27"/>
      <c r="AR384" s="27"/>
      <c r="AS384" s="27"/>
      <c r="AT384" s="27"/>
    </row>
    <row r="385" spans="2:46" s="3" customFormat="1" x14ac:dyDescent="0.25">
      <c r="B385" s="30"/>
      <c r="C385" s="31"/>
      <c r="D385" s="32"/>
      <c r="E385" s="33"/>
      <c r="F385" s="34"/>
      <c r="G385" s="34"/>
      <c r="H385" s="34"/>
      <c r="I385" s="34"/>
      <c r="J385" s="34"/>
      <c r="K385" s="34"/>
      <c r="L385" s="34"/>
      <c r="M385" s="34"/>
      <c r="N385" s="34"/>
      <c r="O385" s="38">
        <f t="shared" si="23"/>
        <v>0</v>
      </c>
      <c r="P385" s="34"/>
      <c r="Q385" s="34"/>
      <c r="R385" s="34"/>
      <c r="S385" s="34"/>
      <c r="T385" s="34"/>
      <c r="U385" s="34"/>
      <c r="V385" s="34"/>
      <c r="W385" s="34"/>
      <c r="X385" s="34"/>
      <c r="Y385" s="34"/>
      <c r="Z385" s="34"/>
      <c r="AA385" s="38">
        <f t="shared" si="24"/>
        <v>0</v>
      </c>
      <c r="AB385" s="38">
        <f t="shared" si="25"/>
        <v>0</v>
      </c>
      <c r="AC385" s="23"/>
      <c r="AD385" s="23"/>
      <c r="AE385" s="23" t="e">
        <f>IF(#REF!=#REF!,1,0)</f>
        <v>#REF!</v>
      </c>
      <c r="AF385" s="24"/>
      <c r="AG385" s="24"/>
      <c r="AH385" s="24"/>
      <c r="AI385" s="24"/>
      <c r="AJ385" s="27"/>
      <c r="AK385" s="27"/>
      <c r="AL385" s="27"/>
      <c r="AM385" s="27"/>
      <c r="AN385" s="27"/>
      <c r="AO385" s="27"/>
      <c r="AP385" s="27"/>
      <c r="AQ385" s="27"/>
      <c r="AR385" s="27"/>
      <c r="AS385" s="27"/>
      <c r="AT385" s="27"/>
    </row>
    <row r="386" spans="2:46" s="3" customFormat="1" x14ac:dyDescent="0.25">
      <c r="B386" s="30"/>
      <c r="C386" s="31"/>
      <c r="D386" s="32"/>
      <c r="E386" s="33"/>
      <c r="F386" s="34"/>
      <c r="G386" s="34"/>
      <c r="H386" s="34"/>
      <c r="I386" s="34"/>
      <c r="J386" s="34"/>
      <c r="K386" s="34"/>
      <c r="L386" s="34"/>
      <c r="M386" s="34"/>
      <c r="N386" s="34"/>
      <c r="O386" s="38">
        <f t="shared" si="23"/>
        <v>0</v>
      </c>
      <c r="P386" s="34"/>
      <c r="Q386" s="34"/>
      <c r="R386" s="34"/>
      <c r="S386" s="34"/>
      <c r="T386" s="34"/>
      <c r="U386" s="34"/>
      <c r="V386" s="34"/>
      <c r="W386" s="34"/>
      <c r="X386" s="34"/>
      <c r="Y386" s="34"/>
      <c r="Z386" s="34"/>
      <c r="AA386" s="38">
        <f t="shared" si="24"/>
        <v>0</v>
      </c>
      <c r="AB386" s="38">
        <f t="shared" si="25"/>
        <v>0</v>
      </c>
      <c r="AC386" s="23"/>
      <c r="AD386" s="23"/>
      <c r="AE386" s="23" t="e">
        <f>IF(#REF!=#REF!,1,0)</f>
        <v>#REF!</v>
      </c>
      <c r="AF386" s="24"/>
      <c r="AG386" s="24"/>
      <c r="AH386" s="24"/>
      <c r="AI386" s="24"/>
      <c r="AJ386" s="27"/>
      <c r="AK386" s="27"/>
      <c r="AL386" s="27"/>
      <c r="AM386" s="27"/>
      <c r="AN386" s="27"/>
      <c r="AO386" s="27"/>
      <c r="AP386" s="27"/>
      <c r="AQ386" s="27"/>
      <c r="AR386" s="27"/>
      <c r="AS386" s="27"/>
      <c r="AT386" s="27"/>
    </row>
    <row r="387" spans="2:46" s="3" customFormat="1" x14ac:dyDescent="0.25">
      <c r="B387" s="30"/>
      <c r="C387" s="31"/>
      <c r="D387" s="32"/>
      <c r="E387" s="33"/>
      <c r="F387" s="34"/>
      <c r="G387" s="34"/>
      <c r="H387" s="34"/>
      <c r="I387" s="34"/>
      <c r="J387" s="34"/>
      <c r="K387" s="34"/>
      <c r="L387" s="34"/>
      <c r="M387" s="34"/>
      <c r="N387" s="34"/>
      <c r="O387" s="38">
        <f t="shared" si="23"/>
        <v>0</v>
      </c>
      <c r="P387" s="34"/>
      <c r="Q387" s="34"/>
      <c r="R387" s="34"/>
      <c r="S387" s="34"/>
      <c r="T387" s="34"/>
      <c r="U387" s="34"/>
      <c r="V387" s="34"/>
      <c r="W387" s="34"/>
      <c r="X387" s="34"/>
      <c r="Y387" s="34"/>
      <c r="Z387" s="34"/>
      <c r="AA387" s="38">
        <f t="shared" si="24"/>
        <v>0</v>
      </c>
      <c r="AB387" s="38">
        <f t="shared" si="25"/>
        <v>0</v>
      </c>
      <c r="AC387" s="23"/>
      <c r="AD387" s="23"/>
      <c r="AE387" s="23" t="e">
        <f>IF(#REF!=#REF!,1,0)</f>
        <v>#REF!</v>
      </c>
      <c r="AF387" s="24"/>
      <c r="AG387" s="24"/>
      <c r="AH387" s="24"/>
      <c r="AI387" s="24"/>
      <c r="AJ387" s="27"/>
      <c r="AK387" s="27"/>
      <c r="AL387" s="27"/>
      <c r="AM387" s="27"/>
      <c r="AN387" s="27"/>
      <c r="AO387" s="27"/>
      <c r="AP387" s="27"/>
      <c r="AQ387" s="27"/>
      <c r="AR387" s="27"/>
      <c r="AS387" s="27"/>
      <c r="AT387" s="27"/>
    </row>
    <row r="388" spans="2:46" s="3" customFormat="1" x14ac:dyDescent="0.25">
      <c r="B388" s="30"/>
      <c r="C388" s="31"/>
      <c r="D388" s="32"/>
      <c r="E388" s="33"/>
      <c r="F388" s="34"/>
      <c r="G388" s="34"/>
      <c r="H388" s="34"/>
      <c r="I388" s="34"/>
      <c r="J388" s="34"/>
      <c r="K388" s="34"/>
      <c r="L388" s="34"/>
      <c r="M388" s="34"/>
      <c r="N388" s="34"/>
      <c r="O388" s="38">
        <f t="shared" si="23"/>
        <v>0</v>
      </c>
      <c r="P388" s="34"/>
      <c r="Q388" s="34"/>
      <c r="R388" s="34"/>
      <c r="S388" s="34"/>
      <c r="T388" s="34"/>
      <c r="U388" s="34"/>
      <c r="V388" s="34"/>
      <c r="W388" s="34"/>
      <c r="X388" s="34"/>
      <c r="Y388" s="34"/>
      <c r="Z388" s="34"/>
      <c r="AA388" s="38">
        <f t="shared" si="24"/>
        <v>0</v>
      </c>
      <c r="AB388" s="38">
        <f t="shared" si="25"/>
        <v>0</v>
      </c>
      <c r="AC388" s="23"/>
      <c r="AD388" s="23"/>
      <c r="AE388" s="23" t="e">
        <f>IF(#REF!=#REF!,1,0)</f>
        <v>#REF!</v>
      </c>
      <c r="AF388" s="24"/>
      <c r="AG388" s="24"/>
      <c r="AH388" s="24"/>
      <c r="AI388" s="24"/>
      <c r="AJ388" s="27"/>
      <c r="AK388" s="27"/>
      <c r="AL388" s="27"/>
      <c r="AM388" s="27"/>
      <c r="AN388" s="27"/>
      <c r="AO388" s="27"/>
      <c r="AP388" s="27"/>
      <c r="AQ388" s="27"/>
      <c r="AR388" s="27"/>
      <c r="AS388" s="27"/>
      <c r="AT388" s="27"/>
    </row>
    <row r="389" spans="2:46" s="3" customFormat="1" x14ac:dyDescent="0.25">
      <c r="B389" s="30"/>
      <c r="C389" s="31"/>
      <c r="D389" s="32"/>
      <c r="E389" s="33"/>
      <c r="F389" s="34"/>
      <c r="G389" s="34"/>
      <c r="H389" s="34"/>
      <c r="I389" s="34"/>
      <c r="J389" s="34"/>
      <c r="K389" s="34"/>
      <c r="L389" s="34"/>
      <c r="M389" s="34"/>
      <c r="N389" s="34"/>
      <c r="O389" s="38">
        <f t="shared" si="23"/>
        <v>0</v>
      </c>
      <c r="P389" s="34"/>
      <c r="Q389" s="34"/>
      <c r="R389" s="34"/>
      <c r="S389" s="34"/>
      <c r="T389" s="34"/>
      <c r="U389" s="34"/>
      <c r="V389" s="34"/>
      <c r="W389" s="34"/>
      <c r="X389" s="34"/>
      <c r="Y389" s="34"/>
      <c r="Z389" s="34"/>
      <c r="AA389" s="38">
        <f t="shared" si="24"/>
        <v>0</v>
      </c>
      <c r="AB389" s="38">
        <f t="shared" si="25"/>
        <v>0</v>
      </c>
      <c r="AC389" s="23"/>
      <c r="AD389" s="23"/>
      <c r="AE389" s="23" t="e">
        <f>IF(#REF!=#REF!,1,0)</f>
        <v>#REF!</v>
      </c>
      <c r="AF389" s="24"/>
      <c r="AG389" s="24"/>
      <c r="AH389" s="24"/>
      <c r="AI389" s="24"/>
      <c r="AJ389" s="27"/>
      <c r="AK389" s="27"/>
      <c r="AL389" s="27"/>
      <c r="AM389" s="27"/>
      <c r="AN389" s="27"/>
      <c r="AO389" s="27"/>
      <c r="AP389" s="27"/>
      <c r="AQ389" s="27"/>
      <c r="AR389" s="27"/>
      <c r="AS389" s="27"/>
      <c r="AT389" s="27"/>
    </row>
    <row r="390" spans="2:46" s="3" customFormat="1" x14ac:dyDescent="0.25">
      <c r="B390" s="30"/>
      <c r="C390" s="31"/>
      <c r="D390" s="32"/>
      <c r="E390" s="33"/>
      <c r="F390" s="34"/>
      <c r="G390" s="34"/>
      <c r="H390" s="34"/>
      <c r="I390" s="34"/>
      <c r="J390" s="34"/>
      <c r="K390" s="34"/>
      <c r="L390" s="34"/>
      <c r="M390" s="34"/>
      <c r="N390" s="34"/>
      <c r="O390" s="38">
        <f t="shared" si="23"/>
        <v>0</v>
      </c>
      <c r="P390" s="34"/>
      <c r="Q390" s="34"/>
      <c r="R390" s="34"/>
      <c r="S390" s="34"/>
      <c r="T390" s="34"/>
      <c r="U390" s="34"/>
      <c r="V390" s="34"/>
      <c r="W390" s="34"/>
      <c r="X390" s="34"/>
      <c r="Y390" s="34"/>
      <c r="Z390" s="34"/>
      <c r="AA390" s="38">
        <f t="shared" si="24"/>
        <v>0</v>
      </c>
      <c r="AB390" s="38">
        <f t="shared" si="25"/>
        <v>0</v>
      </c>
      <c r="AC390" s="23"/>
      <c r="AD390" s="23"/>
      <c r="AE390" s="23" t="e">
        <f>IF(#REF!=#REF!,1,0)</f>
        <v>#REF!</v>
      </c>
      <c r="AF390" s="24"/>
      <c r="AG390" s="24"/>
      <c r="AH390" s="24"/>
      <c r="AI390" s="24"/>
      <c r="AJ390" s="27"/>
      <c r="AK390" s="27"/>
      <c r="AL390" s="27"/>
      <c r="AM390" s="27"/>
      <c r="AN390" s="27"/>
      <c r="AO390" s="27"/>
      <c r="AP390" s="27"/>
      <c r="AQ390" s="27"/>
      <c r="AR390" s="27"/>
      <c r="AS390" s="27"/>
      <c r="AT390" s="27"/>
    </row>
    <row r="391" spans="2:46" s="3" customFormat="1" x14ac:dyDescent="0.25">
      <c r="B391" s="30"/>
      <c r="C391" s="31"/>
      <c r="D391" s="32"/>
      <c r="E391" s="33"/>
      <c r="F391" s="34"/>
      <c r="G391" s="34"/>
      <c r="H391" s="34"/>
      <c r="I391" s="34"/>
      <c r="J391" s="34"/>
      <c r="K391" s="34"/>
      <c r="L391" s="34"/>
      <c r="M391" s="34"/>
      <c r="N391" s="34"/>
      <c r="O391" s="38">
        <f t="shared" si="23"/>
        <v>0</v>
      </c>
      <c r="P391" s="34"/>
      <c r="Q391" s="34"/>
      <c r="R391" s="34"/>
      <c r="S391" s="34"/>
      <c r="T391" s="34"/>
      <c r="U391" s="34"/>
      <c r="V391" s="34"/>
      <c r="W391" s="34"/>
      <c r="X391" s="34"/>
      <c r="Y391" s="34"/>
      <c r="Z391" s="34"/>
      <c r="AA391" s="38">
        <f t="shared" si="24"/>
        <v>0</v>
      </c>
      <c r="AB391" s="38">
        <f t="shared" si="25"/>
        <v>0</v>
      </c>
      <c r="AC391" s="23"/>
      <c r="AD391" s="23"/>
      <c r="AE391" s="23" t="e">
        <f>IF(#REF!=#REF!,1,0)</f>
        <v>#REF!</v>
      </c>
      <c r="AF391" s="24"/>
      <c r="AG391" s="24"/>
      <c r="AH391" s="24"/>
      <c r="AI391" s="24"/>
      <c r="AJ391" s="27"/>
      <c r="AK391" s="27"/>
      <c r="AL391" s="27"/>
      <c r="AM391" s="27"/>
      <c r="AN391" s="27"/>
      <c r="AO391" s="27"/>
      <c r="AP391" s="27"/>
      <c r="AQ391" s="27"/>
      <c r="AR391" s="27"/>
      <c r="AS391" s="27"/>
      <c r="AT391" s="27"/>
    </row>
    <row r="392" spans="2:46" s="3" customFormat="1" x14ac:dyDescent="0.25">
      <c r="B392" s="30"/>
      <c r="C392" s="31"/>
      <c r="D392" s="32"/>
      <c r="E392" s="33"/>
      <c r="F392" s="34"/>
      <c r="G392" s="34"/>
      <c r="H392" s="34"/>
      <c r="I392" s="34"/>
      <c r="J392" s="34"/>
      <c r="K392" s="34"/>
      <c r="L392" s="34"/>
      <c r="M392" s="34"/>
      <c r="N392" s="34"/>
      <c r="O392" s="38">
        <f t="shared" si="23"/>
        <v>0</v>
      </c>
      <c r="P392" s="34"/>
      <c r="Q392" s="34"/>
      <c r="R392" s="34"/>
      <c r="S392" s="34"/>
      <c r="T392" s="34"/>
      <c r="U392" s="34"/>
      <c r="V392" s="34"/>
      <c r="W392" s="34"/>
      <c r="X392" s="34"/>
      <c r="Y392" s="34"/>
      <c r="Z392" s="34"/>
      <c r="AA392" s="38">
        <f t="shared" si="24"/>
        <v>0</v>
      </c>
      <c r="AB392" s="38">
        <f t="shared" si="25"/>
        <v>0</v>
      </c>
      <c r="AC392" s="23"/>
      <c r="AD392" s="23"/>
      <c r="AE392" s="23" t="e">
        <f>IF(#REF!=#REF!,1,0)</f>
        <v>#REF!</v>
      </c>
      <c r="AF392" s="24"/>
      <c r="AG392" s="24"/>
      <c r="AH392" s="24"/>
      <c r="AI392" s="24"/>
      <c r="AJ392" s="27"/>
      <c r="AK392" s="27"/>
      <c r="AL392" s="27"/>
      <c r="AM392" s="27"/>
      <c r="AN392" s="27"/>
      <c r="AO392" s="27"/>
      <c r="AP392" s="27"/>
      <c r="AQ392" s="27"/>
      <c r="AR392" s="27"/>
      <c r="AS392" s="27"/>
      <c r="AT392" s="27"/>
    </row>
    <row r="393" spans="2:46" s="3" customFormat="1" x14ac:dyDescent="0.25">
      <c r="B393" s="30"/>
      <c r="C393" s="31"/>
      <c r="D393" s="32"/>
      <c r="E393" s="33"/>
      <c r="F393" s="34"/>
      <c r="G393" s="34"/>
      <c r="H393" s="34"/>
      <c r="I393" s="34"/>
      <c r="J393" s="34"/>
      <c r="K393" s="34"/>
      <c r="L393" s="34"/>
      <c r="M393" s="34"/>
      <c r="N393" s="34"/>
      <c r="O393" s="38">
        <f t="shared" si="23"/>
        <v>0</v>
      </c>
      <c r="P393" s="34"/>
      <c r="Q393" s="34"/>
      <c r="R393" s="34"/>
      <c r="S393" s="34"/>
      <c r="T393" s="34"/>
      <c r="U393" s="34"/>
      <c r="V393" s="34"/>
      <c r="W393" s="34"/>
      <c r="X393" s="34"/>
      <c r="Y393" s="34"/>
      <c r="Z393" s="34"/>
      <c r="AA393" s="38">
        <f t="shared" si="24"/>
        <v>0</v>
      </c>
      <c r="AB393" s="38">
        <f t="shared" si="25"/>
        <v>0</v>
      </c>
      <c r="AC393" s="23"/>
      <c r="AD393" s="23"/>
      <c r="AE393" s="23" t="e">
        <f>IF(#REF!=#REF!,1,0)</f>
        <v>#REF!</v>
      </c>
      <c r="AF393" s="24"/>
      <c r="AG393" s="24"/>
      <c r="AH393" s="24"/>
      <c r="AI393" s="24"/>
      <c r="AJ393" s="27"/>
      <c r="AK393" s="27"/>
      <c r="AL393" s="27"/>
      <c r="AM393" s="27"/>
      <c r="AN393" s="27"/>
      <c r="AO393" s="27"/>
      <c r="AP393" s="27"/>
      <c r="AQ393" s="27"/>
      <c r="AR393" s="27"/>
      <c r="AS393" s="27"/>
      <c r="AT393" s="27"/>
    </row>
    <row r="394" spans="2:46" s="3" customFormat="1" x14ac:dyDescent="0.25">
      <c r="B394" s="30"/>
      <c r="C394" s="31"/>
      <c r="D394" s="32"/>
      <c r="E394" s="33"/>
      <c r="F394" s="34"/>
      <c r="G394" s="34"/>
      <c r="H394" s="34"/>
      <c r="I394" s="34"/>
      <c r="J394" s="34"/>
      <c r="K394" s="34"/>
      <c r="L394" s="34"/>
      <c r="M394" s="34"/>
      <c r="N394" s="34"/>
      <c r="O394" s="38">
        <f t="shared" si="23"/>
        <v>0</v>
      </c>
      <c r="P394" s="34"/>
      <c r="Q394" s="34"/>
      <c r="R394" s="34"/>
      <c r="S394" s="34"/>
      <c r="T394" s="34"/>
      <c r="U394" s="34"/>
      <c r="V394" s="34"/>
      <c r="W394" s="34"/>
      <c r="X394" s="34"/>
      <c r="Y394" s="34"/>
      <c r="Z394" s="34"/>
      <c r="AA394" s="38">
        <f t="shared" si="24"/>
        <v>0</v>
      </c>
      <c r="AB394" s="38">
        <f t="shared" si="25"/>
        <v>0</v>
      </c>
      <c r="AC394" s="23"/>
      <c r="AD394" s="23"/>
      <c r="AE394" s="23" t="e">
        <f>IF(#REF!=#REF!,1,0)</f>
        <v>#REF!</v>
      </c>
      <c r="AF394" s="24"/>
      <c r="AG394" s="24"/>
      <c r="AH394" s="24"/>
      <c r="AI394" s="24"/>
      <c r="AJ394" s="27"/>
      <c r="AK394" s="27"/>
      <c r="AL394" s="27"/>
      <c r="AM394" s="27"/>
      <c r="AN394" s="27"/>
      <c r="AO394" s="27"/>
      <c r="AP394" s="27"/>
      <c r="AQ394" s="27"/>
      <c r="AR394" s="27"/>
      <c r="AS394" s="27"/>
      <c r="AT394" s="27"/>
    </row>
    <row r="395" spans="2:46" s="3" customFormat="1" x14ac:dyDescent="0.25">
      <c r="B395" s="30"/>
      <c r="C395" s="31"/>
      <c r="D395" s="32"/>
      <c r="E395" s="33"/>
      <c r="F395" s="34"/>
      <c r="G395" s="34"/>
      <c r="H395" s="34"/>
      <c r="I395" s="34"/>
      <c r="J395" s="34"/>
      <c r="K395" s="34"/>
      <c r="L395" s="34"/>
      <c r="M395" s="34"/>
      <c r="N395" s="34"/>
      <c r="O395" s="38">
        <f t="shared" si="23"/>
        <v>0</v>
      </c>
      <c r="P395" s="34"/>
      <c r="Q395" s="34"/>
      <c r="R395" s="34"/>
      <c r="S395" s="34"/>
      <c r="T395" s="34"/>
      <c r="U395" s="34"/>
      <c r="V395" s="34"/>
      <c r="W395" s="34"/>
      <c r="X395" s="34"/>
      <c r="Y395" s="34"/>
      <c r="Z395" s="34"/>
      <c r="AA395" s="38">
        <f t="shared" si="24"/>
        <v>0</v>
      </c>
      <c r="AB395" s="38">
        <f t="shared" si="25"/>
        <v>0</v>
      </c>
      <c r="AC395" s="23"/>
      <c r="AD395" s="23"/>
      <c r="AE395" s="23" t="e">
        <f>IF(#REF!=#REF!,1,0)</f>
        <v>#REF!</v>
      </c>
      <c r="AF395" s="24"/>
      <c r="AG395" s="24"/>
      <c r="AH395" s="24"/>
      <c r="AI395" s="24"/>
      <c r="AJ395" s="27"/>
      <c r="AK395" s="27"/>
      <c r="AL395" s="27"/>
      <c r="AM395" s="27"/>
      <c r="AN395" s="27"/>
      <c r="AO395" s="27"/>
      <c r="AP395" s="27"/>
      <c r="AQ395" s="27"/>
      <c r="AR395" s="27"/>
      <c r="AS395" s="27"/>
      <c r="AT395" s="27"/>
    </row>
    <row r="396" spans="2:46" s="3" customFormat="1" x14ac:dyDescent="0.25">
      <c r="B396" s="30"/>
      <c r="C396" s="31"/>
      <c r="D396" s="32"/>
      <c r="E396" s="33"/>
      <c r="F396" s="34"/>
      <c r="G396" s="34"/>
      <c r="H396" s="34"/>
      <c r="I396" s="34"/>
      <c r="J396" s="34"/>
      <c r="K396" s="34"/>
      <c r="L396" s="34"/>
      <c r="M396" s="34"/>
      <c r="N396" s="34"/>
      <c r="O396" s="38">
        <f t="shared" si="23"/>
        <v>0</v>
      </c>
      <c r="P396" s="34"/>
      <c r="Q396" s="34"/>
      <c r="R396" s="34"/>
      <c r="S396" s="34"/>
      <c r="T396" s="34"/>
      <c r="U396" s="34"/>
      <c r="V396" s="34"/>
      <c r="W396" s="34"/>
      <c r="X396" s="34"/>
      <c r="Y396" s="34"/>
      <c r="Z396" s="34"/>
      <c r="AA396" s="38">
        <f t="shared" si="24"/>
        <v>0</v>
      </c>
      <c r="AB396" s="38">
        <f t="shared" si="25"/>
        <v>0</v>
      </c>
      <c r="AC396" s="23"/>
      <c r="AD396" s="23"/>
      <c r="AE396" s="23" t="e">
        <f>IF(#REF!=#REF!,1,0)</f>
        <v>#REF!</v>
      </c>
      <c r="AF396" s="24"/>
      <c r="AG396" s="24"/>
      <c r="AH396" s="24"/>
      <c r="AI396" s="24"/>
      <c r="AJ396" s="27"/>
      <c r="AK396" s="27"/>
      <c r="AL396" s="27"/>
      <c r="AM396" s="27"/>
      <c r="AN396" s="27"/>
      <c r="AO396" s="27"/>
      <c r="AP396" s="27"/>
      <c r="AQ396" s="27"/>
      <c r="AR396" s="27"/>
      <c r="AS396" s="27"/>
      <c r="AT396" s="27"/>
    </row>
    <row r="397" spans="2:46" s="3" customFormat="1" x14ac:dyDescent="0.25">
      <c r="B397" s="30"/>
      <c r="C397" s="31"/>
      <c r="D397" s="32"/>
      <c r="E397" s="33"/>
      <c r="F397" s="34"/>
      <c r="G397" s="34"/>
      <c r="H397" s="34"/>
      <c r="I397" s="34"/>
      <c r="J397" s="34"/>
      <c r="K397" s="34"/>
      <c r="L397" s="34"/>
      <c r="M397" s="34"/>
      <c r="N397" s="34"/>
      <c r="O397" s="38">
        <f t="shared" si="23"/>
        <v>0</v>
      </c>
      <c r="P397" s="34"/>
      <c r="Q397" s="34"/>
      <c r="R397" s="34"/>
      <c r="S397" s="34"/>
      <c r="T397" s="34"/>
      <c r="U397" s="34"/>
      <c r="V397" s="34"/>
      <c r="W397" s="34"/>
      <c r="X397" s="34"/>
      <c r="Y397" s="34"/>
      <c r="Z397" s="34"/>
      <c r="AA397" s="38">
        <f t="shared" si="24"/>
        <v>0</v>
      </c>
      <c r="AB397" s="38">
        <f t="shared" si="25"/>
        <v>0</v>
      </c>
      <c r="AC397" s="23"/>
      <c r="AD397" s="23"/>
      <c r="AE397" s="23" t="e">
        <f>IF(#REF!=#REF!,1,0)</f>
        <v>#REF!</v>
      </c>
      <c r="AF397" s="24"/>
      <c r="AG397" s="24"/>
      <c r="AH397" s="24"/>
      <c r="AI397" s="24"/>
      <c r="AJ397" s="27"/>
      <c r="AK397" s="27"/>
      <c r="AL397" s="27"/>
      <c r="AM397" s="27"/>
      <c r="AN397" s="27"/>
      <c r="AO397" s="27"/>
      <c r="AP397" s="27"/>
      <c r="AQ397" s="27"/>
      <c r="AR397" s="27"/>
      <c r="AS397" s="27"/>
      <c r="AT397" s="27"/>
    </row>
    <row r="398" spans="2:46" s="3" customFormat="1" x14ac:dyDescent="0.25">
      <c r="B398" s="30"/>
      <c r="C398" s="31"/>
      <c r="D398" s="32"/>
      <c r="E398" s="33"/>
      <c r="F398" s="34"/>
      <c r="G398" s="34"/>
      <c r="H398" s="34"/>
      <c r="I398" s="34"/>
      <c r="J398" s="34"/>
      <c r="K398" s="34"/>
      <c r="L398" s="34"/>
      <c r="M398" s="34"/>
      <c r="N398" s="34"/>
      <c r="O398" s="38">
        <f t="shared" si="23"/>
        <v>0</v>
      </c>
      <c r="P398" s="34"/>
      <c r="Q398" s="34"/>
      <c r="R398" s="34"/>
      <c r="S398" s="34"/>
      <c r="T398" s="34"/>
      <c r="U398" s="34"/>
      <c r="V398" s="34"/>
      <c r="W398" s="34"/>
      <c r="X398" s="34"/>
      <c r="Y398" s="34"/>
      <c r="Z398" s="34"/>
      <c r="AA398" s="38">
        <f t="shared" si="24"/>
        <v>0</v>
      </c>
      <c r="AB398" s="38">
        <f t="shared" si="25"/>
        <v>0</v>
      </c>
      <c r="AC398" s="23"/>
      <c r="AD398" s="23"/>
      <c r="AE398" s="23" t="e">
        <f>IF(#REF!=#REF!,1,0)</f>
        <v>#REF!</v>
      </c>
      <c r="AF398" s="24"/>
      <c r="AG398" s="24"/>
      <c r="AH398" s="24"/>
      <c r="AI398" s="24"/>
      <c r="AJ398" s="27"/>
      <c r="AK398" s="27"/>
      <c r="AL398" s="27"/>
      <c r="AM398" s="27"/>
      <c r="AN398" s="27"/>
      <c r="AO398" s="27"/>
      <c r="AP398" s="27"/>
      <c r="AQ398" s="27"/>
      <c r="AR398" s="27"/>
      <c r="AS398" s="27"/>
      <c r="AT398" s="27"/>
    </row>
    <row r="399" spans="2:46" s="3" customFormat="1" x14ac:dyDescent="0.25">
      <c r="B399" s="30"/>
      <c r="C399" s="31"/>
      <c r="D399" s="32"/>
      <c r="E399" s="33"/>
      <c r="F399" s="34"/>
      <c r="G399" s="34"/>
      <c r="H399" s="34"/>
      <c r="I399" s="34"/>
      <c r="J399" s="34"/>
      <c r="K399" s="34"/>
      <c r="L399" s="34"/>
      <c r="M399" s="34"/>
      <c r="N399" s="34"/>
      <c r="O399" s="38">
        <f t="shared" si="23"/>
        <v>0</v>
      </c>
      <c r="P399" s="34"/>
      <c r="Q399" s="34"/>
      <c r="R399" s="34"/>
      <c r="S399" s="34"/>
      <c r="T399" s="34"/>
      <c r="U399" s="34"/>
      <c r="V399" s="34"/>
      <c r="W399" s="34"/>
      <c r="X399" s="34"/>
      <c r="Y399" s="34"/>
      <c r="Z399" s="34"/>
      <c r="AA399" s="38">
        <f t="shared" si="24"/>
        <v>0</v>
      </c>
      <c r="AB399" s="38">
        <f t="shared" si="25"/>
        <v>0</v>
      </c>
      <c r="AC399" s="23"/>
      <c r="AD399" s="23"/>
      <c r="AE399" s="23" t="e">
        <f>IF(#REF!=#REF!,1,0)</f>
        <v>#REF!</v>
      </c>
      <c r="AF399" s="24"/>
      <c r="AG399" s="24"/>
      <c r="AH399" s="24"/>
      <c r="AI399" s="24"/>
      <c r="AJ399" s="27"/>
      <c r="AK399" s="27"/>
      <c r="AL399" s="27"/>
      <c r="AM399" s="27"/>
      <c r="AN399" s="27"/>
      <c r="AO399" s="27"/>
      <c r="AP399" s="27"/>
      <c r="AQ399" s="27"/>
      <c r="AR399" s="27"/>
      <c r="AS399" s="27"/>
      <c r="AT399" s="27"/>
    </row>
    <row r="400" spans="2:46" s="3" customFormat="1" x14ac:dyDescent="0.25">
      <c r="B400" s="30"/>
      <c r="C400" s="31"/>
      <c r="D400" s="32"/>
      <c r="E400" s="33"/>
      <c r="F400" s="34"/>
      <c r="G400" s="34"/>
      <c r="H400" s="34"/>
      <c r="I400" s="34"/>
      <c r="J400" s="34"/>
      <c r="K400" s="34"/>
      <c r="L400" s="34"/>
      <c r="M400" s="34"/>
      <c r="N400" s="34"/>
      <c r="O400" s="38">
        <f t="shared" si="23"/>
        <v>0</v>
      </c>
      <c r="P400" s="34"/>
      <c r="Q400" s="34"/>
      <c r="R400" s="34"/>
      <c r="S400" s="34"/>
      <c r="T400" s="34"/>
      <c r="U400" s="34"/>
      <c r="V400" s="34"/>
      <c r="W400" s="34"/>
      <c r="X400" s="34"/>
      <c r="Y400" s="34"/>
      <c r="Z400" s="34"/>
      <c r="AA400" s="38">
        <f t="shared" si="24"/>
        <v>0</v>
      </c>
      <c r="AB400" s="38">
        <f t="shared" si="25"/>
        <v>0</v>
      </c>
      <c r="AC400" s="23"/>
      <c r="AD400" s="23"/>
      <c r="AE400" s="23" t="e">
        <f>IF(#REF!=#REF!,1,0)</f>
        <v>#REF!</v>
      </c>
      <c r="AF400" s="24"/>
      <c r="AG400" s="24"/>
      <c r="AH400" s="24"/>
      <c r="AI400" s="24"/>
      <c r="AJ400" s="27"/>
      <c r="AK400" s="27"/>
      <c r="AL400" s="27"/>
      <c r="AM400" s="27"/>
      <c r="AN400" s="27"/>
      <c r="AO400" s="27"/>
      <c r="AP400" s="27"/>
      <c r="AQ400" s="27"/>
      <c r="AR400" s="27"/>
      <c r="AS400" s="27"/>
      <c r="AT400" s="27"/>
    </row>
    <row r="401" spans="2:46" s="3" customFormat="1" x14ac:dyDescent="0.25">
      <c r="B401" s="30"/>
      <c r="C401" s="31"/>
      <c r="D401" s="32"/>
      <c r="E401" s="33"/>
      <c r="F401" s="34"/>
      <c r="G401" s="34"/>
      <c r="H401" s="34"/>
      <c r="I401" s="34"/>
      <c r="J401" s="34"/>
      <c r="K401" s="34"/>
      <c r="L401" s="34"/>
      <c r="M401" s="34"/>
      <c r="N401" s="34"/>
      <c r="O401" s="38">
        <f t="shared" si="23"/>
        <v>0</v>
      </c>
      <c r="P401" s="34"/>
      <c r="Q401" s="34"/>
      <c r="R401" s="34"/>
      <c r="S401" s="34"/>
      <c r="T401" s="34"/>
      <c r="U401" s="34"/>
      <c r="V401" s="34"/>
      <c r="W401" s="34"/>
      <c r="X401" s="34"/>
      <c r="Y401" s="34"/>
      <c r="Z401" s="34"/>
      <c r="AA401" s="38">
        <f t="shared" si="24"/>
        <v>0</v>
      </c>
      <c r="AB401" s="38">
        <f t="shared" si="25"/>
        <v>0</v>
      </c>
      <c r="AC401" s="23"/>
      <c r="AD401" s="23"/>
      <c r="AE401" s="23" t="e">
        <f>IF(#REF!=#REF!,1,0)</f>
        <v>#REF!</v>
      </c>
      <c r="AF401" s="24"/>
      <c r="AG401" s="24"/>
      <c r="AH401" s="24"/>
      <c r="AI401" s="24"/>
      <c r="AJ401" s="27"/>
      <c r="AK401" s="27"/>
      <c r="AL401" s="27"/>
      <c r="AM401" s="27"/>
      <c r="AN401" s="27"/>
      <c r="AO401" s="27"/>
      <c r="AP401" s="27"/>
      <c r="AQ401" s="27"/>
      <c r="AR401" s="27"/>
      <c r="AS401" s="27"/>
      <c r="AT401" s="27"/>
    </row>
    <row r="402" spans="2:46" s="3" customFormat="1" x14ac:dyDescent="0.25">
      <c r="B402" s="30"/>
      <c r="C402" s="31"/>
      <c r="D402" s="32"/>
      <c r="E402" s="33"/>
      <c r="F402" s="34"/>
      <c r="G402" s="34"/>
      <c r="H402" s="34"/>
      <c r="I402" s="34"/>
      <c r="J402" s="34"/>
      <c r="K402" s="34"/>
      <c r="L402" s="34"/>
      <c r="M402" s="34"/>
      <c r="N402" s="34"/>
      <c r="O402" s="38">
        <f t="shared" si="23"/>
        <v>0</v>
      </c>
      <c r="P402" s="34"/>
      <c r="Q402" s="34"/>
      <c r="R402" s="34"/>
      <c r="S402" s="34"/>
      <c r="T402" s="34"/>
      <c r="U402" s="34"/>
      <c r="V402" s="34"/>
      <c r="W402" s="34"/>
      <c r="X402" s="34"/>
      <c r="Y402" s="34"/>
      <c r="Z402" s="34"/>
      <c r="AA402" s="38">
        <f t="shared" si="24"/>
        <v>0</v>
      </c>
      <c r="AB402" s="38">
        <f t="shared" si="25"/>
        <v>0</v>
      </c>
      <c r="AC402" s="23"/>
      <c r="AD402" s="23"/>
      <c r="AE402" s="23" t="e">
        <f>IF(#REF!=#REF!,1,0)</f>
        <v>#REF!</v>
      </c>
      <c r="AF402" s="24"/>
      <c r="AG402" s="24"/>
      <c r="AH402" s="24"/>
      <c r="AI402" s="24"/>
      <c r="AJ402" s="27"/>
      <c r="AK402" s="27"/>
      <c r="AL402" s="27"/>
      <c r="AM402" s="27"/>
      <c r="AN402" s="27"/>
      <c r="AO402" s="27"/>
      <c r="AP402" s="27"/>
      <c r="AQ402" s="27"/>
      <c r="AR402" s="27"/>
      <c r="AS402" s="27"/>
      <c r="AT402" s="27"/>
    </row>
    <row r="403" spans="2:46" s="3" customFormat="1" x14ac:dyDescent="0.25">
      <c r="B403" s="30"/>
      <c r="C403" s="31"/>
      <c r="D403" s="32"/>
      <c r="E403" s="33"/>
      <c r="F403" s="34"/>
      <c r="G403" s="34"/>
      <c r="H403" s="34"/>
      <c r="I403" s="34"/>
      <c r="J403" s="34"/>
      <c r="K403" s="34"/>
      <c r="L403" s="34"/>
      <c r="M403" s="34"/>
      <c r="N403" s="34"/>
      <c r="O403" s="38">
        <f t="shared" si="23"/>
        <v>0</v>
      </c>
      <c r="P403" s="34"/>
      <c r="Q403" s="34"/>
      <c r="R403" s="34"/>
      <c r="S403" s="34"/>
      <c r="T403" s="34"/>
      <c r="U403" s="34"/>
      <c r="V403" s="34"/>
      <c r="W403" s="34"/>
      <c r="X403" s="34"/>
      <c r="Y403" s="34"/>
      <c r="Z403" s="34"/>
      <c r="AA403" s="38">
        <f t="shared" si="24"/>
        <v>0</v>
      </c>
      <c r="AB403" s="38">
        <f t="shared" si="25"/>
        <v>0</v>
      </c>
      <c r="AC403" s="23"/>
      <c r="AD403" s="23"/>
      <c r="AE403" s="23" t="e">
        <f>IF(#REF!=#REF!,1,0)</f>
        <v>#REF!</v>
      </c>
      <c r="AF403" s="24"/>
      <c r="AG403" s="24"/>
      <c r="AH403" s="24"/>
      <c r="AI403" s="24"/>
      <c r="AJ403" s="27"/>
      <c r="AK403" s="27"/>
      <c r="AL403" s="27"/>
      <c r="AM403" s="27"/>
      <c r="AN403" s="27"/>
      <c r="AO403" s="27"/>
      <c r="AP403" s="27"/>
      <c r="AQ403" s="27"/>
      <c r="AR403" s="27"/>
      <c r="AS403" s="27"/>
      <c r="AT403" s="27"/>
    </row>
    <row r="404" spans="2:46" s="3" customFormat="1" x14ac:dyDescent="0.25">
      <c r="B404" s="30"/>
      <c r="C404" s="31"/>
      <c r="D404" s="32"/>
      <c r="E404" s="33"/>
      <c r="F404" s="34"/>
      <c r="G404" s="34"/>
      <c r="H404" s="34"/>
      <c r="I404" s="34"/>
      <c r="J404" s="34"/>
      <c r="K404" s="34"/>
      <c r="L404" s="34"/>
      <c r="M404" s="34"/>
      <c r="N404" s="34"/>
      <c r="O404" s="38">
        <f t="shared" ref="O404:O467" si="26">SUM(F404:N404)</f>
        <v>0</v>
      </c>
      <c r="P404" s="34"/>
      <c r="Q404" s="34"/>
      <c r="R404" s="34"/>
      <c r="S404" s="34"/>
      <c r="T404" s="34"/>
      <c r="U404" s="34"/>
      <c r="V404" s="34"/>
      <c r="W404" s="34"/>
      <c r="X404" s="34"/>
      <c r="Y404" s="34"/>
      <c r="Z404" s="34"/>
      <c r="AA404" s="38">
        <f t="shared" si="24"/>
        <v>0</v>
      </c>
      <c r="AB404" s="38">
        <f t="shared" si="25"/>
        <v>0</v>
      </c>
      <c r="AC404" s="23"/>
      <c r="AD404" s="23"/>
      <c r="AE404" s="23" t="e">
        <f>IF(#REF!=#REF!,1,0)</f>
        <v>#REF!</v>
      </c>
      <c r="AF404" s="24"/>
      <c r="AG404" s="24"/>
      <c r="AH404" s="24"/>
      <c r="AI404" s="24"/>
      <c r="AJ404" s="27"/>
      <c r="AK404" s="27"/>
      <c r="AL404" s="27"/>
      <c r="AM404" s="27"/>
      <c r="AN404" s="27"/>
      <c r="AO404" s="27"/>
      <c r="AP404" s="27"/>
      <c r="AQ404" s="27"/>
      <c r="AR404" s="27"/>
      <c r="AS404" s="27"/>
      <c r="AT404" s="27"/>
    </row>
    <row r="405" spans="2:46" s="3" customFormat="1" x14ac:dyDescent="0.25">
      <c r="B405" s="30"/>
      <c r="C405" s="31"/>
      <c r="D405" s="32"/>
      <c r="E405" s="33"/>
      <c r="F405" s="34"/>
      <c r="G405" s="34"/>
      <c r="H405" s="34"/>
      <c r="I405" s="34"/>
      <c r="J405" s="34"/>
      <c r="K405" s="34"/>
      <c r="L405" s="34"/>
      <c r="M405" s="34"/>
      <c r="N405" s="34"/>
      <c r="O405" s="38">
        <f t="shared" si="26"/>
        <v>0</v>
      </c>
      <c r="P405" s="34"/>
      <c r="Q405" s="34"/>
      <c r="R405" s="34"/>
      <c r="S405" s="34"/>
      <c r="T405" s="34"/>
      <c r="U405" s="34"/>
      <c r="V405" s="34"/>
      <c r="W405" s="34"/>
      <c r="X405" s="34"/>
      <c r="Y405" s="34"/>
      <c r="Z405" s="34"/>
      <c r="AA405" s="38">
        <f t="shared" si="24"/>
        <v>0</v>
      </c>
      <c r="AB405" s="38">
        <f t="shared" si="25"/>
        <v>0</v>
      </c>
      <c r="AC405" s="23"/>
      <c r="AD405" s="23"/>
      <c r="AE405" s="23" t="e">
        <f>IF(#REF!=#REF!,1,0)</f>
        <v>#REF!</v>
      </c>
      <c r="AF405" s="24"/>
      <c r="AG405" s="24"/>
      <c r="AH405" s="24"/>
      <c r="AI405" s="24"/>
      <c r="AJ405" s="27"/>
      <c r="AK405" s="27"/>
      <c r="AL405" s="27"/>
      <c r="AM405" s="27"/>
      <c r="AN405" s="27"/>
      <c r="AO405" s="27"/>
      <c r="AP405" s="27"/>
      <c r="AQ405" s="27"/>
      <c r="AR405" s="27"/>
      <c r="AS405" s="27"/>
      <c r="AT405" s="27"/>
    </row>
    <row r="406" spans="2:46" s="3" customFormat="1" x14ac:dyDescent="0.25">
      <c r="B406" s="30"/>
      <c r="C406" s="31"/>
      <c r="D406" s="32"/>
      <c r="E406" s="33"/>
      <c r="F406" s="34"/>
      <c r="G406" s="34"/>
      <c r="H406" s="34"/>
      <c r="I406" s="34"/>
      <c r="J406" s="34"/>
      <c r="K406" s="34"/>
      <c r="L406" s="34"/>
      <c r="M406" s="34"/>
      <c r="N406" s="34"/>
      <c r="O406" s="38">
        <f t="shared" si="26"/>
        <v>0</v>
      </c>
      <c r="P406" s="34"/>
      <c r="Q406" s="34"/>
      <c r="R406" s="34"/>
      <c r="S406" s="34"/>
      <c r="T406" s="34"/>
      <c r="U406" s="34"/>
      <c r="V406" s="34"/>
      <c r="W406" s="34"/>
      <c r="X406" s="34"/>
      <c r="Y406" s="34"/>
      <c r="Z406" s="34"/>
      <c r="AA406" s="38">
        <f t="shared" si="24"/>
        <v>0</v>
      </c>
      <c r="AB406" s="38">
        <f t="shared" si="25"/>
        <v>0</v>
      </c>
      <c r="AC406" s="23"/>
      <c r="AD406" s="23"/>
      <c r="AE406" s="23" t="e">
        <f>IF(#REF!=#REF!,1,0)</f>
        <v>#REF!</v>
      </c>
      <c r="AF406" s="24"/>
      <c r="AG406" s="24"/>
      <c r="AH406" s="24"/>
      <c r="AI406" s="24"/>
      <c r="AJ406" s="27"/>
      <c r="AK406" s="27"/>
      <c r="AL406" s="27"/>
      <c r="AM406" s="27"/>
      <c r="AN406" s="27"/>
      <c r="AO406" s="27"/>
      <c r="AP406" s="27"/>
      <c r="AQ406" s="27"/>
      <c r="AR406" s="27"/>
      <c r="AS406" s="27"/>
      <c r="AT406" s="27"/>
    </row>
    <row r="407" spans="2:46" s="3" customFormat="1" x14ac:dyDescent="0.25">
      <c r="B407" s="30"/>
      <c r="C407" s="31"/>
      <c r="D407" s="32"/>
      <c r="E407" s="33"/>
      <c r="F407" s="34"/>
      <c r="G407" s="34"/>
      <c r="H407" s="34"/>
      <c r="I407" s="34"/>
      <c r="J407" s="34"/>
      <c r="K407" s="34"/>
      <c r="L407" s="34"/>
      <c r="M407" s="34"/>
      <c r="N407" s="34"/>
      <c r="O407" s="38">
        <f t="shared" si="26"/>
        <v>0</v>
      </c>
      <c r="P407" s="34"/>
      <c r="Q407" s="34"/>
      <c r="R407" s="34"/>
      <c r="S407" s="34"/>
      <c r="T407" s="34"/>
      <c r="U407" s="34"/>
      <c r="V407" s="34"/>
      <c r="W407" s="34"/>
      <c r="X407" s="34"/>
      <c r="Y407" s="34"/>
      <c r="Z407" s="34"/>
      <c r="AA407" s="38">
        <f t="shared" si="24"/>
        <v>0</v>
      </c>
      <c r="AB407" s="38">
        <f t="shared" si="25"/>
        <v>0</v>
      </c>
      <c r="AC407" s="23"/>
      <c r="AD407" s="23"/>
      <c r="AE407" s="23" t="e">
        <f>IF(#REF!=#REF!,1,0)</f>
        <v>#REF!</v>
      </c>
      <c r="AF407" s="24"/>
      <c r="AG407" s="24"/>
      <c r="AH407" s="24"/>
      <c r="AI407" s="24"/>
      <c r="AJ407" s="27"/>
      <c r="AK407" s="27"/>
      <c r="AL407" s="27"/>
      <c r="AM407" s="27"/>
      <c r="AN407" s="27"/>
      <c r="AO407" s="27"/>
      <c r="AP407" s="27"/>
      <c r="AQ407" s="27"/>
      <c r="AR407" s="27"/>
      <c r="AS407" s="27"/>
      <c r="AT407" s="27"/>
    </row>
    <row r="408" spans="2:46" s="3" customFormat="1" x14ac:dyDescent="0.25">
      <c r="B408" s="30"/>
      <c r="C408" s="31"/>
      <c r="D408" s="32"/>
      <c r="E408" s="33"/>
      <c r="F408" s="34"/>
      <c r="G408" s="34"/>
      <c r="H408" s="34"/>
      <c r="I408" s="34"/>
      <c r="J408" s="34"/>
      <c r="K408" s="34"/>
      <c r="L408" s="34"/>
      <c r="M408" s="34"/>
      <c r="N408" s="34"/>
      <c r="O408" s="38">
        <f t="shared" si="26"/>
        <v>0</v>
      </c>
      <c r="P408" s="34"/>
      <c r="Q408" s="34"/>
      <c r="R408" s="34"/>
      <c r="S408" s="34"/>
      <c r="T408" s="34"/>
      <c r="U408" s="34"/>
      <c r="V408" s="34"/>
      <c r="W408" s="34"/>
      <c r="X408" s="34"/>
      <c r="Y408" s="34"/>
      <c r="Z408" s="34"/>
      <c r="AA408" s="38">
        <f t="shared" si="24"/>
        <v>0</v>
      </c>
      <c r="AB408" s="38">
        <f t="shared" si="25"/>
        <v>0</v>
      </c>
      <c r="AC408" s="23"/>
      <c r="AD408" s="23"/>
      <c r="AE408" s="23" t="e">
        <f>IF(#REF!=#REF!,1,0)</f>
        <v>#REF!</v>
      </c>
      <c r="AF408" s="24"/>
      <c r="AG408" s="24"/>
      <c r="AH408" s="24"/>
      <c r="AI408" s="24"/>
      <c r="AJ408" s="27"/>
      <c r="AK408" s="27"/>
      <c r="AL408" s="27"/>
      <c r="AM408" s="27"/>
      <c r="AN408" s="27"/>
      <c r="AO408" s="27"/>
      <c r="AP408" s="27"/>
      <c r="AQ408" s="27"/>
      <c r="AR408" s="27"/>
      <c r="AS408" s="27"/>
      <c r="AT408" s="27"/>
    </row>
    <row r="409" spans="2:46" s="3" customFormat="1" x14ac:dyDescent="0.25">
      <c r="B409" s="30"/>
      <c r="C409" s="31"/>
      <c r="D409" s="32"/>
      <c r="E409" s="33"/>
      <c r="F409" s="34"/>
      <c r="G409" s="34"/>
      <c r="H409" s="34"/>
      <c r="I409" s="34"/>
      <c r="J409" s="34"/>
      <c r="K409" s="34"/>
      <c r="L409" s="34"/>
      <c r="M409" s="34"/>
      <c r="N409" s="34"/>
      <c r="O409" s="38">
        <f t="shared" si="26"/>
        <v>0</v>
      </c>
      <c r="P409" s="34"/>
      <c r="Q409" s="34"/>
      <c r="R409" s="34"/>
      <c r="S409" s="34"/>
      <c r="T409" s="34"/>
      <c r="U409" s="34"/>
      <c r="V409" s="34"/>
      <c r="W409" s="34"/>
      <c r="X409" s="34"/>
      <c r="Y409" s="34"/>
      <c r="Z409" s="34"/>
      <c r="AA409" s="38">
        <f t="shared" si="24"/>
        <v>0</v>
      </c>
      <c r="AB409" s="38">
        <f t="shared" si="25"/>
        <v>0</v>
      </c>
      <c r="AC409" s="23"/>
      <c r="AD409" s="23"/>
      <c r="AE409" s="23" t="e">
        <f>IF(#REF!=#REF!,1,0)</f>
        <v>#REF!</v>
      </c>
      <c r="AF409" s="24"/>
      <c r="AG409" s="24"/>
      <c r="AH409" s="24"/>
      <c r="AI409" s="24"/>
      <c r="AJ409" s="27"/>
      <c r="AK409" s="27"/>
      <c r="AL409" s="27"/>
      <c r="AM409" s="27"/>
      <c r="AN409" s="27"/>
      <c r="AO409" s="27"/>
      <c r="AP409" s="27"/>
      <c r="AQ409" s="27"/>
      <c r="AR409" s="27"/>
      <c r="AS409" s="27"/>
      <c r="AT409" s="27"/>
    </row>
    <row r="410" spans="2:46" s="3" customFormat="1" x14ac:dyDescent="0.25">
      <c r="B410" s="30"/>
      <c r="C410" s="31"/>
      <c r="D410" s="32"/>
      <c r="E410" s="33"/>
      <c r="F410" s="34"/>
      <c r="G410" s="34"/>
      <c r="H410" s="34"/>
      <c r="I410" s="34"/>
      <c r="J410" s="34"/>
      <c r="K410" s="34"/>
      <c r="L410" s="34"/>
      <c r="M410" s="34"/>
      <c r="N410" s="34"/>
      <c r="O410" s="38">
        <f t="shared" si="26"/>
        <v>0</v>
      </c>
      <c r="P410" s="34"/>
      <c r="Q410" s="34"/>
      <c r="R410" s="34"/>
      <c r="S410" s="34"/>
      <c r="T410" s="34"/>
      <c r="U410" s="34"/>
      <c r="V410" s="34"/>
      <c r="W410" s="34"/>
      <c r="X410" s="34"/>
      <c r="Y410" s="34"/>
      <c r="Z410" s="34"/>
      <c r="AA410" s="38">
        <f t="shared" si="24"/>
        <v>0</v>
      </c>
      <c r="AB410" s="38">
        <f t="shared" si="25"/>
        <v>0</v>
      </c>
      <c r="AC410" s="23"/>
      <c r="AD410" s="23"/>
      <c r="AE410" s="23" t="e">
        <f>IF(#REF!=#REF!,1,0)</f>
        <v>#REF!</v>
      </c>
      <c r="AF410" s="24"/>
      <c r="AG410" s="24"/>
      <c r="AH410" s="24"/>
      <c r="AI410" s="24"/>
      <c r="AJ410" s="27"/>
      <c r="AK410" s="27"/>
      <c r="AL410" s="27"/>
      <c r="AM410" s="27"/>
      <c r="AN410" s="27"/>
      <c r="AO410" s="27"/>
      <c r="AP410" s="27"/>
      <c r="AQ410" s="27"/>
      <c r="AR410" s="27"/>
      <c r="AS410" s="27"/>
      <c r="AT410" s="27"/>
    </row>
    <row r="411" spans="2:46" s="3" customFormat="1" x14ac:dyDescent="0.25">
      <c r="B411" s="30"/>
      <c r="C411" s="31"/>
      <c r="D411" s="32"/>
      <c r="E411" s="33"/>
      <c r="F411" s="34"/>
      <c r="G411" s="34"/>
      <c r="H411" s="34"/>
      <c r="I411" s="34"/>
      <c r="J411" s="34"/>
      <c r="K411" s="34"/>
      <c r="L411" s="34"/>
      <c r="M411" s="34"/>
      <c r="N411" s="34"/>
      <c r="O411" s="38">
        <f t="shared" si="26"/>
        <v>0</v>
      </c>
      <c r="P411" s="34"/>
      <c r="Q411" s="34"/>
      <c r="R411" s="34"/>
      <c r="S411" s="34"/>
      <c r="T411" s="34"/>
      <c r="U411" s="34"/>
      <c r="V411" s="34"/>
      <c r="W411" s="34"/>
      <c r="X411" s="34"/>
      <c r="Y411" s="34"/>
      <c r="Z411" s="34"/>
      <c r="AA411" s="38">
        <f t="shared" ref="AA411:AA474" si="27">SUM(P411:Z411)</f>
        <v>0</v>
      </c>
      <c r="AB411" s="38">
        <f t="shared" ref="AB411:AB474" si="28">O411-AA411</f>
        <v>0</v>
      </c>
      <c r="AC411" s="23"/>
      <c r="AD411" s="23"/>
      <c r="AE411" s="23" t="e">
        <f>IF(#REF!=#REF!,1,0)</f>
        <v>#REF!</v>
      </c>
      <c r="AF411" s="24"/>
      <c r="AG411" s="24"/>
      <c r="AH411" s="24"/>
      <c r="AI411" s="24"/>
      <c r="AJ411" s="27"/>
      <c r="AK411" s="27"/>
      <c r="AL411" s="27"/>
      <c r="AM411" s="27"/>
      <c r="AN411" s="27"/>
      <c r="AO411" s="27"/>
      <c r="AP411" s="27"/>
      <c r="AQ411" s="27"/>
      <c r="AR411" s="27"/>
      <c r="AS411" s="27"/>
      <c r="AT411" s="27"/>
    </row>
    <row r="412" spans="2:46" s="3" customFormat="1" x14ac:dyDescent="0.25">
      <c r="B412" s="30"/>
      <c r="C412" s="31"/>
      <c r="D412" s="32"/>
      <c r="E412" s="33"/>
      <c r="F412" s="34"/>
      <c r="G412" s="34"/>
      <c r="H412" s="34"/>
      <c r="I412" s="34"/>
      <c r="J412" s="34"/>
      <c r="K412" s="34"/>
      <c r="L412" s="34"/>
      <c r="M412" s="34"/>
      <c r="N412" s="34"/>
      <c r="O412" s="38">
        <f t="shared" si="26"/>
        <v>0</v>
      </c>
      <c r="P412" s="34"/>
      <c r="Q412" s="34"/>
      <c r="R412" s="34"/>
      <c r="S412" s="34"/>
      <c r="T412" s="34"/>
      <c r="U412" s="34"/>
      <c r="V412" s="34"/>
      <c r="W412" s="34"/>
      <c r="X412" s="34"/>
      <c r="Y412" s="34"/>
      <c r="Z412" s="34"/>
      <c r="AA412" s="38">
        <f t="shared" si="27"/>
        <v>0</v>
      </c>
      <c r="AB412" s="38">
        <f t="shared" si="28"/>
        <v>0</v>
      </c>
      <c r="AC412" s="23"/>
      <c r="AD412" s="23"/>
      <c r="AE412" s="23" t="e">
        <f>IF(#REF!=#REF!,1,0)</f>
        <v>#REF!</v>
      </c>
      <c r="AF412" s="24"/>
      <c r="AG412" s="24"/>
      <c r="AH412" s="24"/>
      <c r="AI412" s="24"/>
      <c r="AJ412" s="27"/>
      <c r="AK412" s="27"/>
      <c r="AL412" s="27"/>
      <c r="AM412" s="27"/>
      <c r="AN412" s="27"/>
      <c r="AO412" s="27"/>
      <c r="AP412" s="27"/>
      <c r="AQ412" s="27"/>
      <c r="AR412" s="27"/>
      <c r="AS412" s="27"/>
      <c r="AT412" s="27"/>
    </row>
    <row r="413" spans="2:46" s="3" customFormat="1" x14ac:dyDescent="0.25">
      <c r="B413" s="30"/>
      <c r="C413" s="31"/>
      <c r="D413" s="32"/>
      <c r="E413" s="33"/>
      <c r="F413" s="34"/>
      <c r="G413" s="34"/>
      <c r="H413" s="34"/>
      <c r="I413" s="34"/>
      <c r="J413" s="34"/>
      <c r="K413" s="34"/>
      <c r="L413" s="34"/>
      <c r="M413" s="34"/>
      <c r="N413" s="34"/>
      <c r="O413" s="38">
        <f t="shared" si="26"/>
        <v>0</v>
      </c>
      <c r="P413" s="34"/>
      <c r="Q413" s="34"/>
      <c r="R413" s="34"/>
      <c r="S413" s="34"/>
      <c r="T413" s="34"/>
      <c r="U413" s="34"/>
      <c r="V413" s="34"/>
      <c r="W413" s="34"/>
      <c r="X413" s="34"/>
      <c r="Y413" s="34"/>
      <c r="Z413" s="34"/>
      <c r="AA413" s="38">
        <f t="shared" si="27"/>
        <v>0</v>
      </c>
      <c r="AB413" s="38">
        <f t="shared" si="28"/>
        <v>0</v>
      </c>
      <c r="AC413" s="23"/>
      <c r="AD413" s="23"/>
      <c r="AE413" s="23" t="e">
        <f>IF(#REF!=#REF!,1,0)</f>
        <v>#REF!</v>
      </c>
      <c r="AF413" s="24"/>
      <c r="AG413" s="24"/>
      <c r="AH413" s="24"/>
      <c r="AI413" s="24"/>
      <c r="AJ413" s="27"/>
      <c r="AK413" s="27"/>
      <c r="AL413" s="27"/>
      <c r="AM413" s="27"/>
      <c r="AN413" s="27"/>
      <c r="AO413" s="27"/>
      <c r="AP413" s="27"/>
      <c r="AQ413" s="27"/>
      <c r="AR413" s="27"/>
      <c r="AS413" s="27"/>
      <c r="AT413" s="27"/>
    </row>
    <row r="414" spans="2:46" s="3" customFormat="1" x14ac:dyDescent="0.25">
      <c r="B414" s="30"/>
      <c r="C414" s="31"/>
      <c r="D414" s="32"/>
      <c r="E414" s="33"/>
      <c r="F414" s="34"/>
      <c r="G414" s="34"/>
      <c r="H414" s="34"/>
      <c r="I414" s="34"/>
      <c r="J414" s="34"/>
      <c r="K414" s="34"/>
      <c r="L414" s="34"/>
      <c r="M414" s="34"/>
      <c r="N414" s="34"/>
      <c r="O414" s="38">
        <f t="shared" si="26"/>
        <v>0</v>
      </c>
      <c r="P414" s="34"/>
      <c r="Q414" s="34"/>
      <c r="R414" s="34"/>
      <c r="S414" s="34"/>
      <c r="T414" s="34"/>
      <c r="U414" s="34"/>
      <c r="V414" s="34"/>
      <c r="W414" s="34"/>
      <c r="X414" s="34"/>
      <c r="Y414" s="34"/>
      <c r="Z414" s="34"/>
      <c r="AA414" s="38">
        <f t="shared" si="27"/>
        <v>0</v>
      </c>
      <c r="AB414" s="38">
        <f t="shared" si="28"/>
        <v>0</v>
      </c>
      <c r="AC414" s="23"/>
      <c r="AD414" s="23"/>
      <c r="AE414" s="23" t="e">
        <f>IF(#REF!=#REF!,1,0)</f>
        <v>#REF!</v>
      </c>
      <c r="AF414" s="24"/>
      <c r="AG414" s="24"/>
      <c r="AH414" s="24"/>
      <c r="AI414" s="24"/>
      <c r="AJ414" s="27"/>
      <c r="AK414" s="27"/>
      <c r="AL414" s="27"/>
      <c r="AM414" s="27"/>
      <c r="AN414" s="27"/>
      <c r="AO414" s="27"/>
      <c r="AP414" s="27"/>
      <c r="AQ414" s="27"/>
      <c r="AR414" s="27"/>
      <c r="AS414" s="27"/>
      <c r="AT414" s="27"/>
    </row>
    <row r="415" spans="2:46" s="3" customFormat="1" x14ac:dyDescent="0.25">
      <c r="B415" s="30"/>
      <c r="C415" s="31"/>
      <c r="D415" s="32"/>
      <c r="E415" s="33"/>
      <c r="F415" s="34"/>
      <c r="G415" s="34"/>
      <c r="H415" s="34"/>
      <c r="I415" s="34"/>
      <c r="J415" s="34"/>
      <c r="K415" s="34"/>
      <c r="L415" s="34"/>
      <c r="M415" s="34"/>
      <c r="N415" s="34"/>
      <c r="O415" s="38">
        <f t="shared" si="26"/>
        <v>0</v>
      </c>
      <c r="P415" s="34"/>
      <c r="Q415" s="34"/>
      <c r="R415" s="34"/>
      <c r="S415" s="34"/>
      <c r="T415" s="34"/>
      <c r="U415" s="34"/>
      <c r="V415" s="34"/>
      <c r="W415" s="34"/>
      <c r="X415" s="34"/>
      <c r="Y415" s="34"/>
      <c r="Z415" s="34"/>
      <c r="AA415" s="38">
        <f t="shared" si="27"/>
        <v>0</v>
      </c>
      <c r="AB415" s="38">
        <f t="shared" si="28"/>
        <v>0</v>
      </c>
      <c r="AC415" s="23"/>
      <c r="AD415" s="23"/>
      <c r="AE415" s="23" t="e">
        <f>IF(#REF!=#REF!,1,0)</f>
        <v>#REF!</v>
      </c>
      <c r="AF415" s="24"/>
      <c r="AG415" s="24"/>
      <c r="AH415" s="24"/>
      <c r="AI415" s="24"/>
      <c r="AJ415" s="27"/>
      <c r="AK415" s="27"/>
      <c r="AL415" s="27"/>
      <c r="AM415" s="27"/>
      <c r="AN415" s="27"/>
      <c r="AO415" s="27"/>
      <c r="AP415" s="27"/>
      <c r="AQ415" s="27"/>
      <c r="AR415" s="27"/>
      <c r="AS415" s="27"/>
      <c r="AT415" s="27"/>
    </row>
    <row r="416" spans="2:46" s="3" customFormat="1" x14ac:dyDescent="0.25">
      <c r="B416" s="30"/>
      <c r="C416" s="31"/>
      <c r="D416" s="32"/>
      <c r="E416" s="33"/>
      <c r="F416" s="34"/>
      <c r="G416" s="34"/>
      <c r="H416" s="34"/>
      <c r="I416" s="34"/>
      <c r="J416" s="34"/>
      <c r="K416" s="34"/>
      <c r="L416" s="34"/>
      <c r="M416" s="34"/>
      <c r="N416" s="34"/>
      <c r="O416" s="38">
        <f t="shared" si="26"/>
        <v>0</v>
      </c>
      <c r="P416" s="34"/>
      <c r="Q416" s="34"/>
      <c r="R416" s="34"/>
      <c r="S416" s="34"/>
      <c r="T416" s="34"/>
      <c r="U416" s="34"/>
      <c r="V416" s="34"/>
      <c r="W416" s="34"/>
      <c r="X416" s="34"/>
      <c r="Y416" s="34"/>
      <c r="Z416" s="34"/>
      <c r="AA416" s="38">
        <f t="shared" si="27"/>
        <v>0</v>
      </c>
      <c r="AB416" s="38">
        <f t="shared" si="28"/>
        <v>0</v>
      </c>
      <c r="AC416" s="23"/>
      <c r="AD416" s="23"/>
      <c r="AE416" s="23" t="e">
        <f>IF(#REF!=#REF!,1,0)</f>
        <v>#REF!</v>
      </c>
      <c r="AF416" s="24"/>
      <c r="AG416" s="24"/>
      <c r="AH416" s="24"/>
      <c r="AI416" s="24"/>
      <c r="AJ416" s="27"/>
      <c r="AK416" s="27"/>
      <c r="AL416" s="27"/>
      <c r="AM416" s="27"/>
      <c r="AN416" s="27"/>
      <c r="AO416" s="27"/>
      <c r="AP416" s="27"/>
      <c r="AQ416" s="27"/>
      <c r="AR416" s="27"/>
      <c r="AS416" s="27"/>
      <c r="AT416" s="27"/>
    </row>
    <row r="417" spans="2:46" s="3" customFormat="1" x14ac:dyDescent="0.25">
      <c r="B417" s="30"/>
      <c r="C417" s="31"/>
      <c r="D417" s="32"/>
      <c r="E417" s="33"/>
      <c r="F417" s="34"/>
      <c r="G417" s="34"/>
      <c r="H417" s="34"/>
      <c r="I417" s="34"/>
      <c r="J417" s="34"/>
      <c r="K417" s="34"/>
      <c r="L417" s="34"/>
      <c r="M417" s="34"/>
      <c r="N417" s="34"/>
      <c r="O417" s="38">
        <f t="shared" si="26"/>
        <v>0</v>
      </c>
      <c r="P417" s="34"/>
      <c r="Q417" s="34"/>
      <c r="R417" s="34"/>
      <c r="S417" s="34"/>
      <c r="T417" s="34"/>
      <c r="U417" s="34"/>
      <c r="V417" s="34"/>
      <c r="W417" s="34"/>
      <c r="X417" s="34"/>
      <c r="Y417" s="34"/>
      <c r="Z417" s="34"/>
      <c r="AA417" s="38">
        <f t="shared" si="27"/>
        <v>0</v>
      </c>
      <c r="AB417" s="38">
        <f t="shared" si="28"/>
        <v>0</v>
      </c>
      <c r="AC417" s="23"/>
      <c r="AD417" s="23"/>
      <c r="AE417" s="23" t="e">
        <f>IF(#REF!=#REF!,1,0)</f>
        <v>#REF!</v>
      </c>
      <c r="AF417" s="24"/>
      <c r="AG417" s="24"/>
      <c r="AH417" s="24"/>
      <c r="AI417" s="24"/>
      <c r="AJ417" s="27"/>
      <c r="AK417" s="27"/>
      <c r="AL417" s="27"/>
      <c r="AM417" s="27"/>
      <c r="AN417" s="27"/>
      <c r="AO417" s="27"/>
      <c r="AP417" s="27"/>
      <c r="AQ417" s="27"/>
      <c r="AR417" s="27"/>
      <c r="AS417" s="27"/>
      <c r="AT417" s="27"/>
    </row>
    <row r="418" spans="2:46" s="3" customFormat="1" x14ac:dyDescent="0.25">
      <c r="B418" s="30"/>
      <c r="C418" s="31"/>
      <c r="D418" s="32"/>
      <c r="E418" s="33"/>
      <c r="F418" s="34"/>
      <c r="G418" s="34"/>
      <c r="H418" s="34"/>
      <c r="I418" s="34"/>
      <c r="J418" s="34"/>
      <c r="K418" s="34"/>
      <c r="L418" s="34"/>
      <c r="M418" s="34"/>
      <c r="N418" s="34"/>
      <c r="O418" s="38">
        <f t="shared" si="26"/>
        <v>0</v>
      </c>
      <c r="P418" s="34"/>
      <c r="Q418" s="34"/>
      <c r="R418" s="34"/>
      <c r="S418" s="34"/>
      <c r="T418" s="34"/>
      <c r="U418" s="34"/>
      <c r="V418" s="34"/>
      <c r="W418" s="34"/>
      <c r="X418" s="34"/>
      <c r="Y418" s="34"/>
      <c r="Z418" s="34"/>
      <c r="AA418" s="38">
        <f t="shared" si="27"/>
        <v>0</v>
      </c>
      <c r="AB418" s="38">
        <f t="shared" si="28"/>
        <v>0</v>
      </c>
      <c r="AC418" s="23"/>
      <c r="AD418" s="23"/>
      <c r="AE418" s="23" t="e">
        <f>IF(#REF!=#REF!,1,0)</f>
        <v>#REF!</v>
      </c>
      <c r="AF418" s="24"/>
      <c r="AG418" s="24"/>
      <c r="AH418" s="24"/>
      <c r="AI418" s="24"/>
      <c r="AJ418" s="27"/>
      <c r="AK418" s="27"/>
      <c r="AL418" s="27"/>
      <c r="AM418" s="27"/>
      <c r="AN418" s="27"/>
      <c r="AO418" s="27"/>
      <c r="AP418" s="27"/>
      <c r="AQ418" s="27"/>
      <c r="AR418" s="27"/>
      <c r="AS418" s="27"/>
      <c r="AT418" s="27"/>
    </row>
    <row r="419" spans="2:46" s="3" customFormat="1" x14ac:dyDescent="0.25">
      <c r="B419" s="30"/>
      <c r="C419" s="31"/>
      <c r="D419" s="32"/>
      <c r="E419" s="33"/>
      <c r="F419" s="34"/>
      <c r="G419" s="34"/>
      <c r="H419" s="34"/>
      <c r="I419" s="34"/>
      <c r="J419" s="34"/>
      <c r="K419" s="34"/>
      <c r="L419" s="34"/>
      <c r="M419" s="34"/>
      <c r="N419" s="34"/>
      <c r="O419" s="38">
        <f t="shared" si="26"/>
        <v>0</v>
      </c>
      <c r="P419" s="34"/>
      <c r="Q419" s="34"/>
      <c r="R419" s="34"/>
      <c r="S419" s="34"/>
      <c r="T419" s="34"/>
      <c r="U419" s="34"/>
      <c r="V419" s="34"/>
      <c r="W419" s="34"/>
      <c r="X419" s="34"/>
      <c r="Y419" s="34"/>
      <c r="Z419" s="34"/>
      <c r="AA419" s="38">
        <f t="shared" si="27"/>
        <v>0</v>
      </c>
      <c r="AB419" s="38">
        <f t="shared" si="28"/>
        <v>0</v>
      </c>
      <c r="AC419" s="23"/>
      <c r="AD419" s="23"/>
      <c r="AE419" s="23" t="e">
        <f>IF(#REF!=#REF!,1,0)</f>
        <v>#REF!</v>
      </c>
      <c r="AF419" s="24"/>
      <c r="AG419" s="24"/>
      <c r="AH419" s="24"/>
      <c r="AI419" s="24"/>
      <c r="AJ419" s="27"/>
      <c r="AK419" s="27"/>
      <c r="AL419" s="27"/>
      <c r="AM419" s="27"/>
      <c r="AN419" s="27"/>
      <c r="AO419" s="27"/>
      <c r="AP419" s="27"/>
      <c r="AQ419" s="27"/>
      <c r="AR419" s="27"/>
      <c r="AS419" s="27"/>
      <c r="AT419" s="27"/>
    </row>
    <row r="420" spans="2:46" s="3" customFormat="1" x14ac:dyDescent="0.25">
      <c r="B420" s="30"/>
      <c r="C420" s="31"/>
      <c r="D420" s="32"/>
      <c r="E420" s="33"/>
      <c r="F420" s="34"/>
      <c r="G420" s="34"/>
      <c r="H420" s="34"/>
      <c r="I420" s="34"/>
      <c r="J420" s="34"/>
      <c r="K420" s="34"/>
      <c r="L420" s="34"/>
      <c r="M420" s="34"/>
      <c r="N420" s="34"/>
      <c r="O420" s="38">
        <f t="shared" si="26"/>
        <v>0</v>
      </c>
      <c r="P420" s="34"/>
      <c r="Q420" s="34"/>
      <c r="R420" s="34"/>
      <c r="S420" s="34"/>
      <c r="T420" s="34"/>
      <c r="U420" s="34"/>
      <c r="V420" s="34"/>
      <c r="W420" s="34"/>
      <c r="X420" s="34"/>
      <c r="Y420" s="34"/>
      <c r="Z420" s="34"/>
      <c r="AA420" s="38">
        <f t="shared" si="27"/>
        <v>0</v>
      </c>
      <c r="AB420" s="38">
        <f t="shared" si="28"/>
        <v>0</v>
      </c>
      <c r="AC420" s="23"/>
      <c r="AD420" s="23"/>
      <c r="AE420" s="23" t="e">
        <f>IF(#REF!=#REF!,1,0)</f>
        <v>#REF!</v>
      </c>
      <c r="AF420" s="24"/>
      <c r="AG420" s="24"/>
      <c r="AH420" s="24"/>
      <c r="AI420" s="24"/>
      <c r="AJ420" s="27"/>
      <c r="AK420" s="27"/>
      <c r="AL420" s="27"/>
      <c r="AM420" s="27"/>
      <c r="AN420" s="27"/>
      <c r="AO420" s="27"/>
      <c r="AP420" s="27"/>
      <c r="AQ420" s="27"/>
      <c r="AR420" s="27"/>
      <c r="AS420" s="27"/>
      <c r="AT420" s="27"/>
    </row>
    <row r="421" spans="2:46" s="3" customFormat="1" x14ac:dyDescent="0.25">
      <c r="B421" s="30"/>
      <c r="C421" s="31"/>
      <c r="D421" s="32"/>
      <c r="E421" s="33"/>
      <c r="F421" s="34"/>
      <c r="G421" s="34"/>
      <c r="H421" s="34"/>
      <c r="I421" s="34"/>
      <c r="J421" s="34"/>
      <c r="K421" s="34"/>
      <c r="L421" s="34"/>
      <c r="M421" s="34"/>
      <c r="N421" s="34"/>
      <c r="O421" s="38">
        <f t="shared" si="26"/>
        <v>0</v>
      </c>
      <c r="P421" s="34"/>
      <c r="Q421" s="34"/>
      <c r="R421" s="34"/>
      <c r="S421" s="34"/>
      <c r="T421" s="34"/>
      <c r="U421" s="34"/>
      <c r="V421" s="34"/>
      <c r="W421" s="34"/>
      <c r="X421" s="34"/>
      <c r="Y421" s="34"/>
      <c r="Z421" s="34"/>
      <c r="AA421" s="38">
        <f t="shared" si="27"/>
        <v>0</v>
      </c>
      <c r="AB421" s="38">
        <f t="shared" si="28"/>
        <v>0</v>
      </c>
      <c r="AC421" s="23"/>
      <c r="AD421" s="23"/>
      <c r="AE421" s="23" t="e">
        <f>IF(#REF!=#REF!,1,0)</f>
        <v>#REF!</v>
      </c>
      <c r="AF421" s="24"/>
      <c r="AG421" s="24"/>
      <c r="AH421" s="24"/>
      <c r="AI421" s="24"/>
      <c r="AJ421" s="27"/>
      <c r="AK421" s="27"/>
      <c r="AL421" s="27"/>
      <c r="AM421" s="27"/>
      <c r="AN421" s="27"/>
      <c r="AO421" s="27"/>
      <c r="AP421" s="27"/>
      <c r="AQ421" s="27"/>
      <c r="AR421" s="27"/>
      <c r="AS421" s="27"/>
      <c r="AT421" s="27"/>
    </row>
    <row r="422" spans="2:46" s="3" customFormat="1" x14ac:dyDescent="0.25">
      <c r="B422" s="30"/>
      <c r="C422" s="31"/>
      <c r="D422" s="32"/>
      <c r="E422" s="33"/>
      <c r="F422" s="34"/>
      <c r="G422" s="34"/>
      <c r="H422" s="34"/>
      <c r="I422" s="34"/>
      <c r="J422" s="34"/>
      <c r="K422" s="34"/>
      <c r="L422" s="34"/>
      <c r="M422" s="34"/>
      <c r="N422" s="34"/>
      <c r="O422" s="38">
        <f t="shared" si="26"/>
        <v>0</v>
      </c>
      <c r="P422" s="34"/>
      <c r="Q422" s="34"/>
      <c r="R422" s="34"/>
      <c r="S422" s="34"/>
      <c r="T422" s="34"/>
      <c r="U422" s="34"/>
      <c r="V422" s="34"/>
      <c r="W422" s="34"/>
      <c r="X422" s="34"/>
      <c r="Y422" s="34"/>
      <c r="Z422" s="34"/>
      <c r="AA422" s="38">
        <f t="shared" si="27"/>
        <v>0</v>
      </c>
      <c r="AB422" s="38">
        <f t="shared" si="28"/>
        <v>0</v>
      </c>
      <c r="AC422" s="23"/>
      <c r="AD422" s="23"/>
      <c r="AE422" s="23" t="e">
        <f>IF(#REF!=#REF!,1,0)</f>
        <v>#REF!</v>
      </c>
      <c r="AF422" s="24"/>
      <c r="AG422" s="24"/>
      <c r="AH422" s="24"/>
      <c r="AI422" s="24"/>
      <c r="AJ422" s="27"/>
      <c r="AK422" s="27"/>
      <c r="AL422" s="27"/>
      <c r="AM422" s="27"/>
      <c r="AN422" s="27"/>
      <c r="AO422" s="27"/>
      <c r="AP422" s="27"/>
      <c r="AQ422" s="27"/>
      <c r="AR422" s="27"/>
      <c r="AS422" s="27"/>
      <c r="AT422" s="27"/>
    </row>
    <row r="423" spans="2:46" s="3" customFormat="1" x14ac:dyDescent="0.25">
      <c r="B423" s="30"/>
      <c r="C423" s="31"/>
      <c r="D423" s="32"/>
      <c r="E423" s="33"/>
      <c r="F423" s="34"/>
      <c r="G423" s="34"/>
      <c r="H423" s="34"/>
      <c r="I423" s="34"/>
      <c r="J423" s="34"/>
      <c r="K423" s="34"/>
      <c r="L423" s="34"/>
      <c r="M423" s="34"/>
      <c r="N423" s="34"/>
      <c r="O423" s="38">
        <f t="shared" si="26"/>
        <v>0</v>
      </c>
      <c r="P423" s="34"/>
      <c r="Q423" s="34"/>
      <c r="R423" s="34"/>
      <c r="S423" s="34"/>
      <c r="T423" s="34"/>
      <c r="U423" s="34"/>
      <c r="V423" s="34"/>
      <c r="W423" s="34"/>
      <c r="X423" s="34"/>
      <c r="Y423" s="34"/>
      <c r="Z423" s="34"/>
      <c r="AA423" s="38">
        <f t="shared" si="27"/>
        <v>0</v>
      </c>
      <c r="AB423" s="38">
        <f t="shared" si="28"/>
        <v>0</v>
      </c>
      <c r="AC423" s="23"/>
      <c r="AD423" s="23"/>
      <c r="AE423" s="23" t="e">
        <f>IF(#REF!=#REF!,1,0)</f>
        <v>#REF!</v>
      </c>
      <c r="AF423" s="24"/>
      <c r="AG423" s="24"/>
      <c r="AH423" s="24"/>
      <c r="AI423" s="24"/>
      <c r="AJ423" s="27"/>
      <c r="AK423" s="27"/>
      <c r="AL423" s="27"/>
      <c r="AM423" s="27"/>
      <c r="AN423" s="27"/>
      <c r="AO423" s="27"/>
      <c r="AP423" s="27"/>
      <c r="AQ423" s="27"/>
      <c r="AR423" s="27"/>
      <c r="AS423" s="27"/>
      <c r="AT423" s="27"/>
    </row>
    <row r="424" spans="2:46" s="3" customFormat="1" x14ac:dyDescent="0.25">
      <c r="B424" s="30"/>
      <c r="C424" s="31"/>
      <c r="D424" s="32"/>
      <c r="E424" s="33"/>
      <c r="F424" s="34"/>
      <c r="G424" s="34"/>
      <c r="H424" s="34"/>
      <c r="I424" s="34"/>
      <c r="J424" s="34"/>
      <c r="K424" s="34"/>
      <c r="L424" s="34"/>
      <c r="M424" s="34"/>
      <c r="N424" s="34"/>
      <c r="O424" s="38">
        <f t="shared" si="26"/>
        <v>0</v>
      </c>
      <c r="P424" s="34"/>
      <c r="Q424" s="34"/>
      <c r="R424" s="34"/>
      <c r="S424" s="34"/>
      <c r="T424" s="34"/>
      <c r="U424" s="34"/>
      <c r="V424" s="34"/>
      <c r="W424" s="34"/>
      <c r="X424" s="34"/>
      <c r="Y424" s="34"/>
      <c r="Z424" s="34"/>
      <c r="AA424" s="38">
        <f t="shared" si="27"/>
        <v>0</v>
      </c>
      <c r="AB424" s="38">
        <f t="shared" si="28"/>
        <v>0</v>
      </c>
      <c r="AC424" s="23"/>
      <c r="AD424" s="23"/>
      <c r="AE424" s="23" t="e">
        <f>IF(#REF!=#REF!,1,0)</f>
        <v>#REF!</v>
      </c>
      <c r="AF424" s="24"/>
      <c r="AG424" s="24"/>
      <c r="AH424" s="24"/>
      <c r="AI424" s="24"/>
      <c r="AJ424" s="27"/>
      <c r="AK424" s="27"/>
      <c r="AL424" s="27"/>
      <c r="AM424" s="27"/>
      <c r="AN424" s="27"/>
      <c r="AO424" s="27"/>
      <c r="AP424" s="27"/>
      <c r="AQ424" s="27"/>
      <c r="AR424" s="27"/>
      <c r="AS424" s="27"/>
      <c r="AT424" s="27"/>
    </row>
    <row r="425" spans="2:46" s="3" customFormat="1" x14ac:dyDescent="0.25">
      <c r="B425" s="30"/>
      <c r="C425" s="31"/>
      <c r="D425" s="32"/>
      <c r="E425" s="33"/>
      <c r="F425" s="34"/>
      <c r="G425" s="34"/>
      <c r="H425" s="34"/>
      <c r="I425" s="34"/>
      <c r="J425" s="34"/>
      <c r="K425" s="34"/>
      <c r="L425" s="34"/>
      <c r="M425" s="34"/>
      <c r="N425" s="34"/>
      <c r="O425" s="38">
        <f t="shared" si="26"/>
        <v>0</v>
      </c>
      <c r="P425" s="34"/>
      <c r="Q425" s="34"/>
      <c r="R425" s="34"/>
      <c r="S425" s="34"/>
      <c r="T425" s="34"/>
      <c r="U425" s="34"/>
      <c r="V425" s="34"/>
      <c r="W425" s="34"/>
      <c r="X425" s="34"/>
      <c r="Y425" s="34"/>
      <c r="Z425" s="34"/>
      <c r="AA425" s="38">
        <f t="shared" si="27"/>
        <v>0</v>
      </c>
      <c r="AB425" s="38">
        <f t="shared" si="28"/>
        <v>0</v>
      </c>
      <c r="AC425" s="23"/>
      <c r="AD425" s="23"/>
      <c r="AE425" s="23" t="e">
        <f>IF(#REF!=#REF!,1,0)</f>
        <v>#REF!</v>
      </c>
      <c r="AF425" s="24"/>
      <c r="AG425" s="24"/>
      <c r="AH425" s="24"/>
      <c r="AI425" s="24"/>
      <c r="AJ425" s="27"/>
      <c r="AK425" s="27"/>
      <c r="AL425" s="27"/>
      <c r="AM425" s="27"/>
      <c r="AN425" s="27"/>
      <c r="AO425" s="27"/>
      <c r="AP425" s="27"/>
      <c r="AQ425" s="27"/>
      <c r="AR425" s="27"/>
      <c r="AS425" s="27"/>
      <c r="AT425" s="27"/>
    </row>
    <row r="426" spans="2:46" s="3" customFormat="1" x14ac:dyDescent="0.25">
      <c r="B426" s="30"/>
      <c r="C426" s="31"/>
      <c r="D426" s="32"/>
      <c r="E426" s="33"/>
      <c r="F426" s="34"/>
      <c r="G426" s="34"/>
      <c r="H426" s="34"/>
      <c r="I426" s="34"/>
      <c r="J426" s="34"/>
      <c r="K426" s="34"/>
      <c r="L426" s="34"/>
      <c r="M426" s="34"/>
      <c r="N426" s="34"/>
      <c r="O426" s="38">
        <f t="shared" si="26"/>
        <v>0</v>
      </c>
      <c r="P426" s="34"/>
      <c r="Q426" s="34"/>
      <c r="R426" s="34"/>
      <c r="S426" s="34"/>
      <c r="T426" s="34"/>
      <c r="U426" s="34"/>
      <c r="V426" s="34"/>
      <c r="W426" s="34"/>
      <c r="X426" s="34"/>
      <c r="Y426" s="34"/>
      <c r="Z426" s="34"/>
      <c r="AA426" s="38">
        <f t="shared" si="27"/>
        <v>0</v>
      </c>
      <c r="AB426" s="38">
        <f t="shared" si="28"/>
        <v>0</v>
      </c>
      <c r="AC426" s="23"/>
      <c r="AD426" s="23"/>
      <c r="AE426" s="23" t="e">
        <f>IF(#REF!=#REF!,1,0)</f>
        <v>#REF!</v>
      </c>
      <c r="AF426" s="24"/>
      <c r="AG426" s="24"/>
      <c r="AH426" s="24"/>
      <c r="AI426" s="24"/>
      <c r="AJ426" s="27"/>
      <c r="AK426" s="27"/>
      <c r="AL426" s="27"/>
      <c r="AM426" s="27"/>
      <c r="AN426" s="27"/>
      <c r="AO426" s="27"/>
      <c r="AP426" s="27"/>
      <c r="AQ426" s="27"/>
      <c r="AR426" s="27"/>
      <c r="AS426" s="27"/>
      <c r="AT426" s="27"/>
    </row>
    <row r="427" spans="2:46" s="3" customFormat="1" x14ac:dyDescent="0.25">
      <c r="B427" s="30"/>
      <c r="C427" s="31"/>
      <c r="D427" s="32"/>
      <c r="E427" s="33"/>
      <c r="F427" s="34"/>
      <c r="G427" s="34"/>
      <c r="H427" s="34"/>
      <c r="I427" s="34"/>
      <c r="J427" s="34"/>
      <c r="K427" s="34"/>
      <c r="L427" s="34"/>
      <c r="M427" s="34"/>
      <c r="N427" s="34"/>
      <c r="O427" s="38">
        <f t="shared" si="26"/>
        <v>0</v>
      </c>
      <c r="P427" s="34"/>
      <c r="Q427" s="34"/>
      <c r="R427" s="34"/>
      <c r="S427" s="34"/>
      <c r="T427" s="34"/>
      <c r="U427" s="34"/>
      <c r="V427" s="34"/>
      <c r="W427" s="34"/>
      <c r="X427" s="34"/>
      <c r="Y427" s="34"/>
      <c r="Z427" s="34"/>
      <c r="AA427" s="38">
        <f t="shared" si="27"/>
        <v>0</v>
      </c>
      <c r="AB427" s="38">
        <f t="shared" si="28"/>
        <v>0</v>
      </c>
      <c r="AC427" s="23"/>
      <c r="AD427" s="23"/>
      <c r="AE427" s="23" t="e">
        <f>IF(#REF!=#REF!,1,0)</f>
        <v>#REF!</v>
      </c>
      <c r="AF427" s="24"/>
      <c r="AG427" s="24"/>
      <c r="AH427" s="24"/>
      <c r="AI427" s="24"/>
      <c r="AJ427" s="27"/>
      <c r="AK427" s="27"/>
      <c r="AL427" s="27"/>
      <c r="AM427" s="27"/>
      <c r="AN427" s="27"/>
      <c r="AO427" s="27"/>
      <c r="AP427" s="27"/>
      <c r="AQ427" s="27"/>
      <c r="AR427" s="27"/>
      <c r="AS427" s="27"/>
      <c r="AT427" s="27"/>
    </row>
    <row r="428" spans="2:46" s="3" customFormat="1" x14ac:dyDescent="0.25">
      <c r="B428" s="30"/>
      <c r="C428" s="31"/>
      <c r="D428" s="32"/>
      <c r="E428" s="33"/>
      <c r="F428" s="34"/>
      <c r="G428" s="34"/>
      <c r="H428" s="34"/>
      <c r="I428" s="34"/>
      <c r="J428" s="34"/>
      <c r="K428" s="34"/>
      <c r="L428" s="34"/>
      <c r="M428" s="34"/>
      <c r="N428" s="34"/>
      <c r="O428" s="38">
        <f t="shared" si="26"/>
        <v>0</v>
      </c>
      <c r="P428" s="34"/>
      <c r="Q428" s="34"/>
      <c r="R428" s="34"/>
      <c r="S428" s="34"/>
      <c r="T428" s="34"/>
      <c r="U428" s="34"/>
      <c r="V428" s="34"/>
      <c r="W428" s="34"/>
      <c r="X428" s="34"/>
      <c r="Y428" s="34"/>
      <c r="Z428" s="34"/>
      <c r="AA428" s="38">
        <f t="shared" si="27"/>
        <v>0</v>
      </c>
      <c r="AB428" s="38">
        <f t="shared" si="28"/>
        <v>0</v>
      </c>
      <c r="AC428" s="23"/>
      <c r="AD428" s="23"/>
      <c r="AE428" s="23" t="e">
        <f>IF(#REF!=#REF!,1,0)</f>
        <v>#REF!</v>
      </c>
      <c r="AF428" s="24"/>
      <c r="AG428" s="24"/>
      <c r="AH428" s="24"/>
      <c r="AI428" s="24"/>
      <c r="AJ428" s="27"/>
      <c r="AK428" s="27"/>
      <c r="AL428" s="27"/>
      <c r="AM428" s="27"/>
      <c r="AN428" s="27"/>
      <c r="AO428" s="27"/>
      <c r="AP428" s="27"/>
      <c r="AQ428" s="27"/>
      <c r="AR428" s="27"/>
      <c r="AS428" s="27"/>
      <c r="AT428" s="27"/>
    </row>
    <row r="429" spans="2:46" s="3" customFormat="1" x14ac:dyDescent="0.25">
      <c r="B429" s="30"/>
      <c r="C429" s="31"/>
      <c r="D429" s="32"/>
      <c r="E429" s="33"/>
      <c r="F429" s="34"/>
      <c r="G429" s="34"/>
      <c r="H429" s="34"/>
      <c r="I429" s="34"/>
      <c r="J429" s="34"/>
      <c r="K429" s="34"/>
      <c r="L429" s="34"/>
      <c r="M429" s="34"/>
      <c r="N429" s="34"/>
      <c r="O429" s="38">
        <f t="shared" si="26"/>
        <v>0</v>
      </c>
      <c r="P429" s="34"/>
      <c r="Q429" s="34"/>
      <c r="R429" s="34"/>
      <c r="S429" s="34"/>
      <c r="T429" s="34"/>
      <c r="U429" s="34"/>
      <c r="V429" s="34"/>
      <c r="W429" s="34"/>
      <c r="X429" s="34"/>
      <c r="Y429" s="34"/>
      <c r="Z429" s="34"/>
      <c r="AA429" s="38">
        <f t="shared" si="27"/>
        <v>0</v>
      </c>
      <c r="AB429" s="38">
        <f t="shared" si="28"/>
        <v>0</v>
      </c>
      <c r="AC429" s="23"/>
      <c r="AD429" s="23"/>
      <c r="AE429" s="23" t="e">
        <f>IF(#REF!=#REF!,1,0)</f>
        <v>#REF!</v>
      </c>
      <c r="AF429" s="24"/>
      <c r="AG429" s="24"/>
      <c r="AH429" s="24"/>
      <c r="AI429" s="24"/>
      <c r="AJ429" s="27"/>
      <c r="AK429" s="27"/>
      <c r="AL429" s="27"/>
      <c r="AM429" s="27"/>
      <c r="AN429" s="27"/>
      <c r="AO429" s="27"/>
      <c r="AP429" s="27"/>
      <c r="AQ429" s="27"/>
      <c r="AR429" s="27"/>
      <c r="AS429" s="27"/>
      <c r="AT429" s="27"/>
    </row>
    <row r="430" spans="2:46" s="3" customFormat="1" x14ac:dyDescent="0.25">
      <c r="B430" s="30"/>
      <c r="C430" s="31"/>
      <c r="D430" s="32"/>
      <c r="E430" s="33"/>
      <c r="F430" s="34"/>
      <c r="G430" s="34"/>
      <c r="H430" s="34"/>
      <c r="I430" s="34"/>
      <c r="J430" s="34"/>
      <c r="K430" s="34"/>
      <c r="L430" s="34"/>
      <c r="M430" s="34"/>
      <c r="N430" s="34"/>
      <c r="O430" s="38">
        <f t="shared" si="26"/>
        <v>0</v>
      </c>
      <c r="P430" s="34"/>
      <c r="Q430" s="34"/>
      <c r="R430" s="34"/>
      <c r="S430" s="34"/>
      <c r="T430" s="34"/>
      <c r="U430" s="34"/>
      <c r="V430" s="34"/>
      <c r="W430" s="34"/>
      <c r="X430" s="34"/>
      <c r="Y430" s="34"/>
      <c r="Z430" s="34"/>
      <c r="AA430" s="38">
        <f t="shared" si="27"/>
        <v>0</v>
      </c>
      <c r="AB430" s="38">
        <f t="shared" si="28"/>
        <v>0</v>
      </c>
      <c r="AC430" s="23"/>
      <c r="AD430" s="23"/>
      <c r="AE430" s="23" t="e">
        <f>IF(#REF!=#REF!,1,0)</f>
        <v>#REF!</v>
      </c>
      <c r="AF430" s="24"/>
      <c r="AG430" s="24"/>
      <c r="AH430" s="24"/>
      <c r="AI430" s="24"/>
      <c r="AJ430" s="27"/>
      <c r="AK430" s="27"/>
      <c r="AL430" s="27"/>
      <c r="AM430" s="27"/>
      <c r="AN430" s="27"/>
      <c r="AO430" s="27"/>
      <c r="AP430" s="27"/>
      <c r="AQ430" s="27"/>
      <c r="AR430" s="27"/>
      <c r="AS430" s="27"/>
      <c r="AT430" s="27"/>
    </row>
    <row r="431" spans="2:46" s="3" customFormat="1" x14ac:dyDescent="0.25">
      <c r="B431" s="30"/>
      <c r="C431" s="31"/>
      <c r="D431" s="32"/>
      <c r="E431" s="33"/>
      <c r="F431" s="34"/>
      <c r="G431" s="34"/>
      <c r="H431" s="34"/>
      <c r="I431" s="34"/>
      <c r="J431" s="34"/>
      <c r="K431" s="34"/>
      <c r="L431" s="34"/>
      <c r="M431" s="34"/>
      <c r="N431" s="34"/>
      <c r="O431" s="38">
        <f t="shared" si="26"/>
        <v>0</v>
      </c>
      <c r="P431" s="34"/>
      <c r="Q431" s="34"/>
      <c r="R431" s="34"/>
      <c r="S431" s="34"/>
      <c r="T431" s="34"/>
      <c r="U431" s="34"/>
      <c r="V431" s="34"/>
      <c r="W431" s="34"/>
      <c r="X431" s="34"/>
      <c r="Y431" s="34"/>
      <c r="Z431" s="34"/>
      <c r="AA431" s="38">
        <f t="shared" si="27"/>
        <v>0</v>
      </c>
      <c r="AB431" s="38">
        <f t="shared" si="28"/>
        <v>0</v>
      </c>
      <c r="AC431" s="23"/>
      <c r="AD431" s="23"/>
      <c r="AE431" s="23" t="e">
        <f>IF(#REF!=#REF!,1,0)</f>
        <v>#REF!</v>
      </c>
      <c r="AF431" s="24"/>
      <c r="AG431" s="24"/>
      <c r="AH431" s="24"/>
      <c r="AI431" s="24"/>
      <c r="AJ431" s="27"/>
      <c r="AK431" s="27"/>
      <c r="AL431" s="27"/>
      <c r="AM431" s="27"/>
      <c r="AN431" s="27"/>
      <c r="AO431" s="27"/>
      <c r="AP431" s="27"/>
      <c r="AQ431" s="27"/>
      <c r="AR431" s="27"/>
      <c r="AS431" s="27"/>
      <c r="AT431" s="27"/>
    </row>
    <row r="432" spans="2:46" s="3" customFormat="1" x14ac:dyDescent="0.25">
      <c r="B432" s="30"/>
      <c r="C432" s="31"/>
      <c r="D432" s="32"/>
      <c r="E432" s="33"/>
      <c r="F432" s="34"/>
      <c r="G432" s="34"/>
      <c r="H432" s="34"/>
      <c r="I432" s="34"/>
      <c r="J432" s="34"/>
      <c r="K432" s="34"/>
      <c r="L432" s="34"/>
      <c r="M432" s="34"/>
      <c r="N432" s="34"/>
      <c r="O432" s="38">
        <f t="shared" si="26"/>
        <v>0</v>
      </c>
      <c r="P432" s="34"/>
      <c r="Q432" s="34"/>
      <c r="R432" s="34"/>
      <c r="S432" s="34"/>
      <c r="T432" s="34"/>
      <c r="U432" s="34"/>
      <c r="V432" s="34"/>
      <c r="W432" s="34"/>
      <c r="X432" s="34"/>
      <c r="Y432" s="34"/>
      <c r="Z432" s="34"/>
      <c r="AA432" s="38">
        <f t="shared" si="27"/>
        <v>0</v>
      </c>
      <c r="AB432" s="38">
        <f t="shared" si="28"/>
        <v>0</v>
      </c>
      <c r="AC432" s="23"/>
      <c r="AD432" s="23"/>
      <c r="AE432" s="23" t="e">
        <f>IF(#REF!=#REF!,1,0)</f>
        <v>#REF!</v>
      </c>
      <c r="AF432" s="24"/>
      <c r="AG432" s="24"/>
      <c r="AH432" s="24"/>
      <c r="AI432" s="24"/>
      <c r="AJ432" s="27"/>
      <c r="AK432" s="27"/>
      <c r="AL432" s="27"/>
      <c r="AM432" s="27"/>
      <c r="AN432" s="27"/>
      <c r="AO432" s="27"/>
      <c r="AP432" s="27"/>
      <c r="AQ432" s="27"/>
      <c r="AR432" s="27"/>
      <c r="AS432" s="27"/>
      <c r="AT432" s="27"/>
    </row>
    <row r="433" spans="2:46" s="3" customFormat="1" x14ac:dyDescent="0.25">
      <c r="B433" s="30"/>
      <c r="C433" s="31"/>
      <c r="D433" s="32"/>
      <c r="E433" s="33"/>
      <c r="F433" s="34"/>
      <c r="G433" s="34"/>
      <c r="H433" s="34"/>
      <c r="I433" s="34"/>
      <c r="J433" s="34"/>
      <c r="K433" s="34"/>
      <c r="L433" s="34"/>
      <c r="M433" s="34"/>
      <c r="N433" s="34"/>
      <c r="O433" s="38">
        <f t="shared" si="26"/>
        <v>0</v>
      </c>
      <c r="P433" s="34"/>
      <c r="Q433" s="34"/>
      <c r="R433" s="34"/>
      <c r="S433" s="34"/>
      <c r="T433" s="34"/>
      <c r="U433" s="34"/>
      <c r="V433" s="34"/>
      <c r="W433" s="34"/>
      <c r="X433" s="34"/>
      <c r="Y433" s="34"/>
      <c r="Z433" s="34"/>
      <c r="AA433" s="38">
        <f t="shared" si="27"/>
        <v>0</v>
      </c>
      <c r="AB433" s="38">
        <f t="shared" si="28"/>
        <v>0</v>
      </c>
      <c r="AC433" s="23"/>
      <c r="AD433" s="23"/>
      <c r="AE433" s="23" t="e">
        <f>IF(#REF!=#REF!,1,0)</f>
        <v>#REF!</v>
      </c>
      <c r="AF433" s="24"/>
      <c r="AG433" s="24"/>
      <c r="AH433" s="24"/>
      <c r="AI433" s="24"/>
      <c r="AJ433" s="27"/>
      <c r="AK433" s="27"/>
      <c r="AL433" s="27"/>
      <c r="AM433" s="27"/>
      <c r="AN433" s="27"/>
      <c r="AO433" s="27"/>
      <c r="AP433" s="27"/>
      <c r="AQ433" s="27"/>
      <c r="AR433" s="27"/>
      <c r="AS433" s="27"/>
      <c r="AT433" s="27"/>
    </row>
    <row r="434" spans="2:46" s="3" customFormat="1" x14ac:dyDescent="0.25">
      <c r="B434" s="30"/>
      <c r="C434" s="31"/>
      <c r="D434" s="32"/>
      <c r="E434" s="33"/>
      <c r="F434" s="34"/>
      <c r="G434" s="34"/>
      <c r="H434" s="34"/>
      <c r="I434" s="34"/>
      <c r="J434" s="34"/>
      <c r="K434" s="34"/>
      <c r="L434" s="34"/>
      <c r="M434" s="34"/>
      <c r="N434" s="34"/>
      <c r="O434" s="38">
        <f t="shared" si="26"/>
        <v>0</v>
      </c>
      <c r="P434" s="34"/>
      <c r="Q434" s="34"/>
      <c r="R434" s="34"/>
      <c r="S434" s="34"/>
      <c r="T434" s="34"/>
      <c r="U434" s="34"/>
      <c r="V434" s="34"/>
      <c r="W434" s="34"/>
      <c r="X434" s="34"/>
      <c r="Y434" s="34"/>
      <c r="Z434" s="34"/>
      <c r="AA434" s="38">
        <f t="shared" si="27"/>
        <v>0</v>
      </c>
      <c r="AB434" s="38">
        <f t="shared" si="28"/>
        <v>0</v>
      </c>
      <c r="AC434" s="23"/>
      <c r="AD434" s="23"/>
      <c r="AE434" s="23" t="e">
        <f>IF(#REF!=#REF!,1,0)</f>
        <v>#REF!</v>
      </c>
      <c r="AF434" s="24"/>
      <c r="AG434" s="24"/>
      <c r="AH434" s="24"/>
      <c r="AI434" s="24"/>
      <c r="AJ434" s="27"/>
      <c r="AK434" s="27"/>
      <c r="AL434" s="27"/>
      <c r="AM434" s="27"/>
      <c r="AN434" s="27"/>
      <c r="AO434" s="27"/>
      <c r="AP434" s="27"/>
      <c r="AQ434" s="27"/>
      <c r="AR434" s="27"/>
      <c r="AS434" s="27"/>
      <c r="AT434" s="27"/>
    </row>
    <row r="435" spans="2:46" s="3" customFormat="1" x14ac:dyDescent="0.25">
      <c r="B435" s="30"/>
      <c r="C435" s="31"/>
      <c r="D435" s="32"/>
      <c r="E435" s="33"/>
      <c r="F435" s="34"/>
      <c r="G435" s="34"/>
      <c r="H435" s="34"/>
      <c r="I435" s="34"/>
      <c r="J435" s="34"/>
      <c r="K435" s="34"/>
      <c r="L435" s="34"/>
      <c r="M435" s="34"/>
      <c r="N435" s="34"/>
      <c r="O435" s="38">
        <f t="shared" si="26"/>
        <v>0</v>
      </c>
      <c r="P435" s="34"/>
      <c r="Q435" s="34"/>
      <c r="R435" s="34"/>
      <c r="S435" s="34"/>
      <c r="T435" s="34"/>
      <c r="U435" s="34"/>
      <c r="V435" s="34"/>
      <c r="W435" s="34"/>
      <c r="X435" s="34"/>
      <c r="Y435" s="34"/>
      <c r="Z435" s="34"/>
      <c r="AA435" s="38">
        <f t="shared" si="27"/>
        <v>0</v>
      </c>
      <c r="AB435" s="38">
        <f t="shared" si="28"/>
        <v>0</v>
      </c>
      <c r="AC435" s="23"/>
      <c r="AD435" s="23"/>
      <c r="AE435" s="23" t="e">
        <f>IF(#REF!=#REF!,1,0)</f>
        <v>#REF!</v>
      </c>
      <c r="AF435" s="24"/>
      <c r="AG435" s="24"/>
      <c r="AH435" s="24"/>
      <c r="AI435" s="24"/>
      <c r="AJ435" s="27"/>
      <c r="AK435" s="27"/>
      <c r="AL435" s="27"/>
      <c r="AM435" s="27"/>
      <c r="AN435" s="27"/>
      <c r="AO435" s="27"/>
      <c r="AP435" s="27"/>
      <c r="AQ435" s="27"/>
      <c r="AR435" s="27"/>
      <c r="AS435" s="27"/>
      <c r="AT435" s="27"/>
    </row>
    <row r="436" spans="2:46" s="3" customFormat="1" x14ac:dyDescent="0.25">
      <c r="B436" s="30"/>
      <c r="C436" s="31"/>
      <c r="D436" s="32"/>
      <c r="E436" s="33"/>
      <c r="F436" s="34"/>
      <c r="G436" s="34"/>
      <c r="H436" s="34"/>
      <c r="I436" s="34"/>
      <c r="J436" s="34"/>
      <c r="K436" s="34"/>
      <c r="L436" s="34"/>
      <c r="M436" s="34"/>
      <c r="N436" s="34"/>
      <c r="O436" s="38">
        <f t="shared" si="26"/>
        <v>0</v>
      </c>
      <c r="P436" s="34"/>
      <c r="Q436" s="34"/>
      <c r="R436" s="34"/>
      <c r="S436" s="34"/>
      <c r="T436" s="34"/>
      <c r="U436" s="34"/>
      <c r="V436" s="34"/>
      <c r="W436" s="34"/>
      <c r="X436" s="34"/>
      <c r="Y436" s="34"/>
      <c r="Z436" s="34"/>
      <c r="AA436" s="38">
        <f t="shared" si="27"/>
        <v>0</v>
      </c>
      <c r="AB436" s="38">
        <f t="shared" si="28"/>
        <v>0</v>
      </c>
      <c r="AC436" s="23"/>
      <c r="AD436" s="23"/>
      <c r="AE436" s="23" t="e">
        <f>IF(#REF!=#REF!,1,0)</f>
        <v>#REF!</v>
      </c>
      <c r="AF436" s="24"/>
      <c r="AG436" s="24"/>
      <c r="AH436" s="24"/>
      <c r="AI436" s="24"/>
      <c r="AJ436" s="27"/>
      <c r="AK436" s="27"/>
      <c r="AL436" s="27"/>
      <c r="AM436" s="27"/>
      <c r="AN436" s="27"/>
      <c r="AO436" s="27"/>
      <c r="AP436" s="27"/>
      <c r="AQ436" s="27"/>
      <c r="AR436" s="27"/>
      <c r="AS436" s="27"/>
      <c r="AT436" s="27"/>
    </row>
    <row r="437" spans="2:46" s="3" customFormat="1" x14ac:dyDescent="0.25">
      <c r="B437" s="30"/>
      <c r="C437" s="31"/>
      <c r="D437" s="32"/>
      <c r="E437" s="33"/>
      <c r="F437" s="34"/>
      <c r="G437" s="34"/>
      <c r="H437" s="34"/>
      <c r="I437" s="34"/>
      <c r="J437" s="34"/>
      <c r="K437" s="34"/>
      <c r="L437" s="34"/>
      <c r="M437" s="34"/>
      <c r="N437" s="34"/>
      <c r="O437" s="38">
        <f t="shared" si="26"/>
        <v>0</v>
      </c>
      <c r="P437" s="34"/>
      <c r="Q437" s="34"/>
      <c r="R437" s="34"/>
      <c r="S437" s="34"/>
      <c r="T437" s="34"/>
      <c r="U437" s="34"/>
      <c r="V437" s="34"/>
      <c r="W437" s="34"/>
      <c r="X437" s="34"/>
      <c r="Y437" s="34"/>
      <c r="Z437" s="34"/>
      <c r="AA437" s="38">
        <f t="shared" si="27"/>
        <v>0</v>
      </c>
      <c r="AB437" s="38">
        <f t="shared" si="28"/>
        <v>0</v>
      </c>
      <c r="AC437" s="23"/>
      <c r="AD437" s="23"/>
      <c r="AE437" s="23" t="e">
        <f>IF(#REF!=#REF!,1,0)</f>
        <v>#REF!</v>
      </c>
      <c r="AF437" s="24"/>
      <c r="AG437" s="24"/>
      <c r="AH437" s="24"/>
      <c r="AI437" s="24"/>
      <c r="AJ437" s="27"/>
      <c r="AK437" s="27"/>
      <c r="AL437" s="27"/>
      <c r="AM437" s="27"/>
      <c r="AN437" s="27"/>
      <c r="AO437" s="27"/>
      <c r="AP437" s="27"/>
      <c r="AQ437" s="27"/>
      <c r="AR437" s="27"/>
      <c r="AS437" s="27"/>
      <c r="AT437" s="27"/>
    </row>
    <row r="438" spans="2:46" s="3" customFormat="1" x14ac:dyDescent="0.25">
      <c r="B438" s="30"/>
      <c r="C438" s="31"/>
      <c r="D438" s="32"/>
      <c r="E438" s="33"/>
      <c r="F438" s="34"/>
      <c r="G438" s="34"/>
      <c r="H438" s="34"/>
      <c r="I438" s="34"/>
      <c r="J438" s="34"/>
      <c r="K438" s="34"/>
      <c r="L438" s="34"/>
      <c r="M438" s="34"/>
      <c r="N438" s="34"/>
      <c r="O438" s="38">
        <f t="shared" si="26"/>
        <v>0</v>
      </c>
      <c r="P438" s="34"/>
      <c r="Q438" s="34"/>
      <c r="R438" s="34"/>
      <c r="S438" s="34"/>
      <c r="T438" s="34"/>
      <c r="U438" s="34"/>
      <c r="V438" s="34"/>
      <c r="W438" s="34"/>
      <c r="X438" s="34"/>
      <c r="Y438" s="34"/>
      <c r="Z438" s="34"/>
      <c r="AA438" s="38">
        <f t="shared" si="27"/>
        <v>0</v>
      </c>
      <c r="AB438" s="38">
        <f t="shared" si="28"/>
        <v>0</v>
      </c>
      <c r="AC438" s="23"/>
      <c r="AD438" s="23"/>
      <c r="AE438" s="23" t="e">
        <f>IF(#REF!=#REF!,1,0)</f>
        <v>#REF!</v>
      </c>
      <c r="AF438" s="24"/>
      <c r="AG438" s="24"/>
      <c r="AH438" s="24"/>
      <c r="AI438" s="24"/>
      <c r="AJ438" s="27"/>
      <c r="AK438" s="27"/>
      <c r="AL438" s="27"/>
      <c r="AM438" s="27"/>
      <c r="AN438" s="27"/>
      <c r="AO438" s="27"/>
      <c r="AP438" s="27"/>
      <c r="AQ438" s="27"/>
      <c r="AR438" s="27"/>
      <c r="AS438" s="27"/>
      <c r="AT438" s="27"/>
    </row>
    <row r="439" spans="2:46" s="3" customFormat="1" x14ac:dyDescent="0.25">
      <c r="B439" s="30"/>
      <c r="C439" s="31"/>
      <c r="D439" s="32"/>
      <c r="E439" s="33"/>
      <c r="F439" s="34"/>
      <c r="G439" s="34"/>
      <c r="H439" s="34"/>
      <c r="I439" s="34"/>
      <c r="J439" s="34"/>
      <c r="K439" s="34"/>
      <c r="L439" s="34"/>
      <c r="M439" s="34"/>
      <c r="N439" s="34"/>
      <c r="O439" s="38">
        <f t="shared" si="26"/>
        <v>0</v>
      </c>
      <c r="P439" s="34"/>
      <c r="Q439" s="34"/>
      <c r="R439" s="34"/>
      <c r="S439" s="34"/>
      <c r="T439" s="34"/>
      <c r="U439" s="34"/>
      <c r="V439" s="34"/>
      <c r="W439" s="34"/>
      <c r="X439" s="34"/>
      <c r="Y439" s="34"/>
      <c r="Z439" s="34"/>
      <c r="AA439" s="38">
        <f t="shared" si="27"/>
        <v>0</v>
      </c>
      <c r="AB439" s="38">
        <f t="shared" si="28"/>
        <v>0</v>
      </c>
      <c r="AC439" s="23"/>
      <c r="AD439" s="23"/>
      <c r="AE439" s="23" t="e">
        <f>IF(#REF!=#REF!,1,0)</f>
        <v>#REF!</v>
      </c>
      <c r="AF439" s="24"/>
      <c r="AG439" s="24"/>
      <c r="AH439" s="24"/>
      <c r="AI439" s="24"/>
      <c r="AJ439" s="27"/>
      <c r="AK439" s="27"/>
      <c r="AL439" s="27"/>
      <c r="AM439" s="27"/>
      <c r="AN439" s="27"/>
      <c r="AO439" s="27"/>
      <c r="AP439" s="27"/>
      <c r="AQ439" s="27"/>
      <c r="AR439" s="27"/>
      <c r="AS439" s="27"/>
      <c r="AT439" s="27"/>
    </row>
    <row r="440" spans="2:46" s="3" customFormat="1" x14ac:dyDescent="0.25">
      <c r="B440" s="30"/>
      <c r="C440" s="31"/>
      <c r="D440" s="32"/>
      <c r="E440" s="33"/>
      <c r="F440" s="34"/>
      <c r="G440" s="34"/>
      <c r="H440" s="34"/>
      <c r="I440" s="34"/>
      <c r="J440" s="34"/>
      <c r="K440" s="34"/>
      <c r="L440" s="34"/>
      <c r="M440" s="34"/>
      <c r="N440" s="34"/>
      <c r="O440" s="38">
        <f t="shared" si="26"/>
        <v>0</v>
      </c>
      <c r="P440" s="34"/>
      <c r="Q440" s="34"/>
      <c r="R440" s="34"/>
      <c r="S440" s="34"/>
      <c r="T440" s="34"/>
      <c r="U440" s="34"/>
      <c r="V440" s="34"/>
      <c r="W440" s="34"/>
      <c r="X440" s="34"/>
      <c r="Y440" s="34"/>
      <c r="Z440" s="34"/>
      <c r="AA440" s="38">
        <f t="shared" si="27"/>
        <v>0</v>
      </c>
      <c r="AB440" s="38">
        <f t="shared" si="28"/>
        <v>0</v>
      </c>
      <c r="AC440" s="23"/>
      <c r="AD440" s="23"/>
      <c r="AE440" s="23" t="e">
        <f>IF(#REF!=#REF!,1,0)</f>
        <v>#REF!</v>
      </c>
      <c r="AF440" s="24"/>
      <c r="AG440" s="24"/>
      <c r="AH440" s="24"/>
      <c r="AI440" s="24"/>
      <c r="AJ440" s="27"/>
      <c r="AK440" s="27"/>
      <c r="AL440" s="27"/>
      <c r="AM440" s="27"/>
      <c r="AN440" s="27"/>
      <c r="AO440" s="27"/>
      <c r="AP440" s="27"/>
      <c r="AQ440" s="27"/>
      <c r="AR440" s="27"/>
      <c r="AS440" s="27"/>
      <c r="AT440" s="27"/>
    </row>
    <row r="441" spans="2:46" s="3" customFormat="1" x14ac:dyDescent="0.25">
      <c r="B441" s="30"/>
      <c r="C441" s="31"/>
      <c r="D441" s="32"/>
      <c r="E441" s="33"/>
      <c r="F441" s="34"/>
      <c r="G441" s="34"/>
      <c r="H441" s="34"/>
      <c r="I441" s="34"/>
      <c r="J441" s="34"/>
      <c r="K441" s="34"/>
      <c r="L441" s="34"/>
      <c r="M441" s="34"/>
      <c r="N441" s="34"/>
      <c r="O441" s="38">
        <f t="shared" si="26"/>
        <v>0</v>
      </c>
      <c r="P441" s="34"/>
      <c r="Q441" s="34"/>
      <c r="R441" s="34"/>
      <c r="S441" s="34"/>
      <c r="T441" s="34"/>
      <c r="U441" s="34"/>
      <c r="V441" s="34"/>
      <c r="W441" s="34"/>
      <c r="X441" s="34"/>
      <c r="Y441" s="34"/>
      <c r="Z441" s="34"/>
      <c r="AA441" s="38">
        <f t="shared" si="27"/>
        <v>0</v>
      </c>
      <c r="AB441" s="38">
        <f t="shared" si="28"/>
        <v>0</v>
      </c>
      <c r="AC441" s="23"/>
      <c r="AD441" s="23"/>
      <c r="AE441" s="23" t="e">
        <f>IF(#REF!=#REF!,1,0)</f>
        <v>#REF!</v>
      </c>
      <c r="AF441" s="24"/>
      <c r="AG441" s="24"/>
      <c r="AH441" s="24"/>
      <c r="AI441" s="24"/>
      <c r="AJ441" s="27"/>
      <c r="AK441" s="27"/>
      <c r="AL441" s="27"/>
      <c r="AM441" s="27"/>
      <c r="AN441" s="27"/>
      <c r="AO441" s="27"/>
      <c r="AP441" s="27"/>
      <c r="AQ441" s="27"/>
      <c r="AR441" s="27"/>
      <c r="AS441" s="27"/>
      <c r="AT441" s="27"/>
    </row>
    <row r="442" spans="2:46" s="3" customFormat="1" x14ac:dyDescent="0.25">
      <c r="B442" s="30"/>
      <c r="C442" s="31"/>
      <c r="D442" s="32"/>
      <c r="E442" s="33"/>
      <c r="F442" s="34"/>
      <c r="G442" s="34"/>
      <c r="H442" s="34"/>
      <c r="I442" s="34"/>
      <c r="J442" s="34"/>
      <c r="K442" s="34"/>
      <c r="L442" s="34"/>
      <c r="M442" s="34"/>
      <c r="N442" s="34"/>
      <c r="O442" s="38">
        <f t="shared" si="26"/>
        <v>0</v>
      </c>
      <c r="P442" s="34"/>
      <c r="Q442" s="34"/>
      <c r="R442" s="34"/>
      <c r="S442" s="34"/>
      <c r="T442" s="34"/>
      <c r="U442" s="34"/>
      <c r="V442" s="34"/>
      <c r="W442" s="34"/>
      <c r="X442" s="34"/>
      <c r="Y442" s="34"/>
      <c r="Z442" s="34"/>
      <c r="AA442" s="38">
        <f t="shared" si="27"/>
        <v>0</v>
      </c>
      <c r="AB442" s="38">
        <f t="shared" si="28"/>
        <v>0</v>
      </c>
      <c r="AC442" s="23"/>
      <c r="AD442" s="23"/>
      <c r="AE442" s="23" t="e">
        <f>IF(#REF!=#REF!,1,0)</f>
        <v>#REF!</v>
      </c>
      <c r="AF442" s="24"/>
      <c r="AG442" s="24"/>
      <c r="AH442" s="24"/>
      <c r="AI442" s="24"/>
      <c r="AJ442" s="27"/>
      <c r="AK442" s="27"/>
      <c r="AL442" s="27"/>
      <c r="AM442" s="27"/>
      <c r="AN442" s="27"/>
      <c r="AO442" s="27"/>
      <c r="AP442" s="27"/>
      <c r="AQ442" s="27"/>
      <c r="AR442" s="27"/>
      <c r="AS442" s="27"/>
      <c r="AT442" s="27"/>
    </row>
    <row r="443" spans="2:46" s="3" customFormat="1" x14ac:dyDescent="0.25">
      <c r="B443" s="30"/>
      <c r="C443" s="31"/>
      <c r="D443" s="32"/>
      <c r="E443" s="33"/>
      <c r="F443" s="34"/>
      <c r="G443" s="34"/>
      <c r="H443" s="34"/>
      <c r="I443" s="34"/>
      <c r="J443" s="34"/>
      <c r="K443" s="34"/>
      <c r="L443" s="34"/>
      <c r="M443" s="34"/>
      <c r="N443" s="34"/>
      <c r="O443" s="38">
        <f t="shared" si="26"/>
        <v>0</v>
      </c>
      <c r="P443" s="34"/>
      <c r="Q443" s="34"/>
      <c r="R443" s="34"/>
      <c r="S443" s="34"/>
      <c r="T443" s="34"/>
      <c r="U443" s="34"/>
      <c r="V443" s="34"/>
      <c r="W443" s="34"/>
      <c r="X443" s="34"/>
      <c r="Y443" s="34"/>
      <c r="Z443" s="34"/>
      <c r="AA443" s="38">
        <f t="shared" si="27"/>
        <v>0</v>
      </c>
      <c r="AB443" s="38">
        <f t="shared" si="28"/>
        <v>0</v>
      </c>
      <c r="AC443" s="23"/>
      <c r="AD443" s="23"/>
      <c r="AE443" s="23" t="e">
        <f>IF(#REF!=#REF!,1,0)</f>
        <v>#REF!</v>
      </c>
      <c r="AF443" s="24"/>
      <c r="AG443" s="24"/>
      <c r="AH443" s="24"/>
      <c r="AI443" s="24"/>
      <c r="AJ443" s="27"/>
      <c r="AK443" s="27"/>
      <c r="AL443" s="27"/>
      <c r="AM443" s="27"/>
      <c r="AN443" s="27"/>
      <c r="AO443" s="27"/>
      <c r="AP443" s="27"/>
      <c r="AQ443" s="27"/>
      <c r="AR443" s="27"/>
      <c r="AS443" s="27"/>
      <c r="AT443" s="27"/>
    </row>
    <row r="444" spans="2:46" s="3" customFormat="1" x14ac:dyDescent="0.25">
      <c r="B444" s="30"/>
      <c r="C444" s="31"/>
      <c r="D444" s="32"/>
      <c r="E444" s="33"/>
      <c r="F444" s="34"/>
      <c r="G444" s="34"/>
      <c r="H444" s="34"/>
      <c r="I444" s="34"/>
      <c r="J444" s="34"/>
      <c r="K444" s="34"/>
      <c r="L444" s="34"/>
      <c r="M444" s="34"/>
      <c r="N444" s="34"/>
      <c r="O444" s="38">
        <f t="shared" si="26"/>
        <v>0</v>
      </c>
      <c r="P444" s="34"/>
      <c r="Q444" s="34"/>
      <c r="R444" s="34"/>
      <c r="S444" s="34"/>
      <c r="T444" s="34"/>
      <c r="U444" s="34"/>
      <c r="V444" s="34"/>
      <c r="W444" s="34"/>
      <c r="X444" s="34"/>
      <c r="Y444" s="34"/>
      <c r="Z444" s="34"/>
      <c r="AA444" s="38">
        <f t="shared" si="27"/>
        <v>0</v>
      </c>
      <c r="AB444" s="38">
        <f t="shared" si="28"/>
        <v>0</v>
      </c>
      <c r="AC444" s="23"/>
      <c r="AD444" s="23"/>
      <c r="AE444" s="23" t="e">
        <f>IF(#REF!=#REF!,1,0)</f>
        <v>#REF!</v>
      </c>
      <c r="AF444" s="24"/>
      <c r="AG444" s="24"/>
      <c r="AH444" s="24"/>
      <c r="AI444" s="24"/>
      <c r="AJ444" s="27"/>
      <c r="AK444" s="27"/>
      <c r="AL444" s="27"/>
      <c r="AM444" s="27"/>
      <c r="AN444" s="27"/>
      <c r="AO444" s="27"/>
      <c r="AP444" s="27"/>
      <c r="AQ444" s="27"/>
      <c r="AR444" s="27"/>
      <c r="AS444" s="27"/>
      <c r="AT444" s="27"/>
    </row>
    <row r="445" spans="2:46" s="3" customFormat="1" x14ac:dyDescent="0.25">
      <c r="B445" s="30"/>
      <c r="C445" s="31"/>
      <c r="D445" s="32"/>
      <c r="E445" s="33"/>
      <c r="F445" s="34"/>
      <c r="G445" s="34"/>
      <c r="H445" s="34"/>
      <c r="I445" s="34"/>
      <c r="J445" s="34"/>
      <c r="K445" s="34"/>
      <c r="L445" s="34"/>
      <c r="M445" s="34"/>
      <c r="N445" s="34"/>
      <c r="O445" s="38">
        <f t="shared" si="26"/>
        <v>0</v>
      </c>
      <c r="P445" s="34"/>
      <c r="Q445" s="34"/>
      <c r="R445" s="34"/>
      <c r="S445" s="34"/>
      <c r="T445" s="34"/>
      <c r="U445" s="34"/>
      <c r="V445" s="34"/>
      <c r="W445" s="34"/>
      <c r="X445" s="34"/>
      <c r="Y445" s="34"/>
      <c r="Z445" s="34"/>
      <c r="AA445" s="38">
        <f t="shared" si="27"/>
        <v>0</v>
      </c>
      <c r="AB445" s="38">
        <f t="shared" si="28"/>
        <v>0</v>
      </c>
      <c r="AC445" s="23"/>
      <c r="AD445" s="23"/>
      <c r="AE445" s="23" t="e">
        <f>IF(#REF!=#REF!,1,0)</f>
        <v>#REF!</v>
      </c>
      <c r="AF445" s="24"/>
      <c r="AG445" s="24"/>
      <c r="AH445" s="24"/>
      <c r="AI445" s="24"/>
      <c r="AJ445" s="27"/>
      <c r="AK445" s="27"/>
      <c r="AL445" s="27"/>
      <c r="AM445" s="27"/>
      <c r="AN445" s="27"/>
      <c r="AO445" s="27"/>
      <c r="AP445" s="27"/>
      <c r="AQ445" s="27"/>
      <c r="AR445" s="27"/>
      <c r="AS445" s="27"/>
      <c r="AT445" s="27"/>
    </row>
    <row r="446" spans="2:46" s="3" customFormat="1" x14ac:dyDescent="0.25">
      <c r="B446" s="30"/>
      <c r="C446" s="31"/>
      <c r="D446" s="32"/>
      <c r="E446" s="33"/>
      <c r="F446" s="34"/>
      <c r="G446" s="34"/>
      <c r="H446" s="34"/>
      <c r="I446" s="34"/>
      <c r="J446" s="34"/>
      <c r="K446" s="34"/>
      <c r="L446" s="34"/>
      <c r="M446" s="34"/>
      <c r="N446" s="34"/>
      <c r="O446" s="38">
        <f t="shared" si="26"/>
        <v>0</v>
      </c>
      <c r="P446" s="34"/>
      <c r="Q446" s="34"/>
      <c r="R446" s="34"/>
      <c r="S446" s="34"/>
      <c r="T446" s="34"/>
      <c r="U446" s="34"/>
      <c r="V446" s="34"/>
      <c r="W446" s="34"/>
      <c r="X446" s="34"/>
      <c r="Y446" s="34"/>
      <c r="Z446" s="34"/>
      <c r="AA446" s="38">
        <f t="shared" si="27"/>
        <v>0</v>
      </c>
      <c r="AB446" s="38">
        <f t="shared" si="28"/>
        <v>0</v>
      </c>
      <c r="AC446" s="23"/>
      <c r="AD446" s="23"/>
      <c r="AE446" s="23" t="e">
        <f>IF(#REF!=#REF!,1,0)</f>
        <v>#REF!</v>
      </c>
      <c r="AF446" s="24"/>
      <c r="AG446" s="24"/>
      <c r="AH446" s="24"/>
      <c r="AI446" s="24"/>
      <c r="AJ446" s="27"/>
      <c r="AK446" s="27"/>
      <c r="AL446" s="27"/>
      <c r="AM446" s="27"/>
      <c r="AN446" s="27"/>
      <c r="AO446" s="27"/>
      <c r="AP446" s="27"/>
      <c r="AQ446" s="27"/>
      <c r="AR446" s="27"/>
      <c r="AS446" s="27"/>
      <c r="AT446" s="27"/>
    </row>
    <row r="447" spans="2:46" s="3" customFormat="1" x14ac:dyDescent="0.25">
      <c r="B447" s="30"/>
      <c r="C447" s="31"/>
      <c r="D447" s="32"/>
      <c r="E447" s="33"/>
      <c r="F447" s="34"/>
      <c r="G447" s="34"/>
      <c r="H447" s="34"/>
      <c r="I447" s="34"/>
      <c r="J447" s="34"/>
      <c r="K447" s="34"/>
      <c r="L447" s="34"/>
      <c r="M447" s="34"/>
      <c r="N447" s="34"/>
      <c r="O447" s="38">
        <f t="shared" si="26"/>
        <v>0</v>
      </c>
      <c r="P447" s="34"/>
      <c r="Q447" s="34"/>
      <c r="R447" s="34"/>
      <c r="S447" s="34"/>
      <c r="T447" s="34"/>
      <c r="U447" s="34"/>
      <c r="V447" s="34"/>
      <c r="W447" s="34"/>
      <c r="X447" s="34"/>
      <c r="Y447" s="34"/>
      <c r="Z447" s="34"/>
      <c r="AA447" s="38">
        <f t="shared" si="27"/>
        <v>0</v>
      </c>
      <c r="AB447" s="38">
        <f t="shared" si="28"/>
        <v>0</v>
      </c>
      <c r="AC447" s="23"/>
      <c r="AD447" s="23"/>
      <c r="AE447" s="23" t="e">
        <f>IF(#REF!=#REF!,1,0)</f>
        <v>#REF!</v>
      </c>
      <c r="AF447" s="24"/>
      <c r="AG447" s="24"/>
      <c r="AH447" s="24"/>
      <c r="AI447" s="24"/>
      <c r="AJ447" s="27"/>
      <c r="AK447" s="27"/>
      <c r="AL447" s="27"/>
      <c r="AM447" s="27"/>
      <c r="AN447" s="27"/>
      <c r="AO447" s="27"/>
      <c r="AP447" s="27"/>
      <c r="AQ447" s="27"/>
      <c r="AR447" s="27"/>
      <c r="AS447" s="27"/>
      <c r="AT447" s="27"/>
    </row>
    <row r="448" spans="2:46" s="3" customFormat="1" x14ac:dyDescent="0.25">
      <c r="B448" s="30"/>
      <c r="C448" s="31"/>
      <c r="D448" s="32"/>
      <c r="E448" s="33"/>
      <c r="F448" s="34"/>
      <c r="G448" s="34"/>
      <c r="H448" s="34"/>
      <c r="I448" s="34"/>
      <c r="J448" s="34"/>
      <c r="K448" s="34"/>
      <c r="L448" s="34"/>
      <c r="M448" s="34"/>
      <c r="N448" s="34"/>
      <c r="O448" s="38">
        <f t="shared" si="26"/>
        <v>0</v>
      </c>
      <c r="P448" s="34"/>
      <c r="Q448" s="34"/>
      <c r="R448" s="34"/>
      <c r="S448" s="34"/>
      <c r="T448" s="34"/>
      <c r="U448" s="34"/>
      <c r="V448" s="34"/>
      <c r="W448" s="34"/>
      <c r="X448" s="34"/>
      <c r="Y448" s="34"/>
      <c r="Z448" s="34"/>
      <c r="AA448" s="38">
        <f t="shared" si="27"/>
        <v>0</v>
      </c>
      <c r="AB448" s="38">
        <f t="shared" si="28"/>
        <v>0</v>
      </c>
      <c r="AC448" s="23"/>
      <c r="AD448" s="23"/>
      <c r="AE448" s="23" t="e">
        <f>IF(#REF!=#REF!,1,0)</f>
        <v>#REF!</v>
      </c>
      <c r="AF448" s="24"/>
      <c r="AG448" s="24"/>
      <c r="AH448" s="24"/>
      <c r="AI448" s="24"/>
      <c r="AJ448" s="27"/>
      <c r="AK448" s="27"/>
      <c r="AL448" s="27"/>
      <c r="AM448" s="27"/>
      <c r="AN448" s="27"/>
      <c r="AO448" s="27"/>
      <c r="AP448" s="27"/>
      <c r="AQ448" s="27"/>
      <c r="AR448" s="27"/>
      <c r="AS448" s="27"/>
      <c r="AT448" s="27"/>
    </row>
    <row r="449" spans="2:46" s="3" customFormat="1" x14ac:dyDescent="0.25">
      <c r="B449" s="30"/>
      <c r="C449" s="31"/>
      <c r="D449" s="32"/>
      <c r="E449" s="33"/>
      <c r="F449" s="34"/>
      <c r="G449" s="34"/>
      <c r="H449" s="34"/>
      <c r="I449" s="34"/>
      <c r="J449" s="34"/>
      <c r="K449" s="34"/>
      <c r="L449" s="34"/>
      <c r="M449" s="34"/>
      <c r="N449" s="34"/>
      <c r="O449" s="38">
        <f t="shared" si="26"/>
        <v>0</v>
      </c>
      <c r="P449" s="34"/>
      <c r="Q449" s="34"/>
      <c r="R449" s="34"/>
      <c r="S449" s="34"/>
      <c r="T449" s="34"/>
      <c r="U449" s="34"/>
      <c r="V449" s="34"/>
      <c r="W449" s="34"/>
      <c r="X449" s="34"/>
      <c r="Y449" s="34"/>
      <c r="Z449" s="34"/>
      <c r="AA449" s="38">
        <f t="shared" si="27"/>
        <v>0</v>
      </c>
      <c r="AB449" s="38">
        <f t="shared" si="28"/>
        <v>0</v>
      </c>
      <c r="AC449" s="23"/>
      <c r="AD449" s="23"/>
      <c r="AE449" s="23" t="e">
        <f>IF(#REF!=#REF!,1,0)</f>
        <v>#REF!</v>
      </c>
      <c r="AF449" s="24"/>
      <c r="AG449" s="24"/>
      <c r="AH449" s="24"/>
      <c r="AI449" s="24"/>
      <c r="AJ449" s="27"/>
      <c r="AK449" s="27"/>
      <c r="AL449" s="27"/>
      <c r="AM449" s="27"/>
      <c r="AN449" s="27"/>
      <c r="AO449" s="27"/>
      <c r="AP449" s="27"/>
      <c r="AQ449" s="27"/>
      <c r="AR449" s="27"/>
      <c r="AS449" s="27"/>
      <c r="AT449" s="27"/>
    </row>
    <row r="450" spans="2:46" s="3" customFormat="1" x14ac:dyDescent="0.25">
      <c r="B450" s="30"/>
      <c r="C450" s="31"/>
      <c r="D450" s="32"/>
      <c r="E450" s="33"/>
      <c r="F450" s="34"/>
      <c r="G450" s="34"/>
      <c r="H450" s="34"/>
      <c r="I450" s="34"/>
      <c r="J450" s="34"/>
      <c r="K450" s="34"/>
      <c r="L450" s="34"/>
      <c r="M450" s="34"/>
      <c r="N450" s="34"/>
      <c r="O450" s="38">
        <f t="shared" si="26"/>
        <v>0</v>
      </c>
      <c r="P450" s="34"/>
      <c r="Q450" s="34"/>
      <c r="R450" s="34"/>
      <c r="S450" s="34"/>
      <c r="T450" s="34"/>
      <c r="U450" s="34"/>
      <c r="V450" s="34"/>
      <c r="W450" s="34"/>
      <c r="X450" s="34"/>
      <c r="Y450" s="34"/>
      <c r="Z450" s="34"/>
      <c r="AA450" s="38">
        <f t="shared" si="27"/>
        <v>0</v>
      </c>
      <c r="AB450" s="38">
        <f t="shared" si="28"/>
        <v>0</v>
      </c>
      <c r="AC450" s="23"/>
      <c r="AD450" s="23"/>
      <c r="AE450" s="23" t="e">
        <f>IF(#REF!=#REF!,1,0)</f>
        <v>#REF!</v>
      </c>
      <c r="AF450" s="24"/>
      <c r="AG450" s="24"/>
      <c r="AH450" s="24"/>
      <c r="AI450" s="24"/>
      <c r="AJ450" s="27"/>
      <c r="AK450" s="27"/>
      <c r="AL450" s="27"/>
      <c r="AM450" s="27"/>
      <c r="AN450" s="27"/>
      <c r="AO450" s="27"/>
      <c r="AP450" s="27"/>
      <c r="AQ450" s="27"/>
      <c r="AR450" s="27"/>
      <c r="AS450" s="27"/>
      <c r="AT450" s="27"/>
    </row>
    <row r="451" spans="2:46" s="3" customFormat="1" x14ac:dyDescent="0.25">
      <c r="B451" s="30"/>
      <c r="C451" s="31"/>
      <c r="D451" s="32"/>
      <c r="E451" s="33"/>
      <c r="F451" s="34"/>
      <c r="G451" s="34"/>
      <c r="H451" s="34"/>
      <c r="I451" s="34"/>
      <c r="J451" s="34"/>
      <c r="K451" s="34"/>
      <c r="L451" s="34"/>
      <c r="M451" s="34"/>
      <c r="N451" s="34"/>
      <c r="O451" s="38">
        <f t="shared" si="26"/>
        <v>0</v>
      </c>
      <c r="P451" s="34"/>
      <c r="Q451" s="34"/>
      <c r="R451" s="34"/>
      <c r="S451" s="34"/>
      <c r="T451" s="34"/>
      <c r="U451" s="34"/>
      <c r="V451" s="34"/>
      <c r="W451" s="34"/>
      <c r="X451" s="34"/>
      <c r="Y451" s="34"/>
      <c r="Z451" s="34"/>
      <c r="AA451" s="38">
        <f t="shared" si="27"/>
        <v>0</v>
      </c>
      <c r="AB451" s="38">
        <f t="shared" si="28"/>
        <v>0</v>
      </c>
      <c r="AC451" s="23"/>
      <c r="AD451" s="23"/>
      <c r="AE451" s="23" t="e">
        <f>IF(#REF!=#REF!,1,0)</f>
        <v>#REF!</v>
      </c>
      <c r="AF451" s="24"/>
      <c r="AG451" s="24"/>
      <c r="AH451" s="24"/>
      <c r="AI451" s="24"/>
      <c r="AJ451" s="27"/>
      <c r="AK451" s="27"/>
      <c r="AL451" s="27"/>
      <c r="AM451" s="27"/>
      <c r="AN451" s="27"/>
      <c r="AO451" s="27"/>
      <c r="AP451" s="27"/>
      <c r="AQ451" s="27"/>
      <c r="AR451" s="27"/>
      <c r="AS451" s="27"/>
      <c r="AT451" s="27"/>
    </row>
    <row r="452" spans="2:46" s="3" customFormat="1" x14ac:dyDescent="0.25">
      <c r="B452" s="30"/>
      <c r="C452" s="31"/>
      <c r="D452" s="32"/>
      <c r="E452" s="33"/>
      <c r="F452" s="34"/>
      <c r="G452" s="34"/>
      <c r="H452" s="34"/>
      <c r="I452" s="34"/>
      <c r="J452" s="34"/>
      <c r="K452" s="34"/>
      <c r="L452" s="34"/>
      <c r="M452" s="34"/>
      <c r="N452" s="34"/>
      <c r="O452" s="38">
        <f t="shared" si="26"/>
        <v>0</v>
      </c>
      <c r="P452" s="34"/>
      <c r="Q452" s="34"/>
      <c r="R452" s="34"/>
      <c r="S452" s="34"/>
      <c r="T452" s="34"/>
      <c r="U452" s="34"/>
      <c r="V452" s="34"/>
      <c r="W452" s="34"/>
      <c r="X452" s="34"/>
      <c r="Y452" s="34"/>
      <c r="Z452" s="34"/>
      <c r="AA452" s="38">
        <f t="shared" si="27"/>
        <v>0</v>
      </c>
      <c r="AB452" s="38">
        <f t="shared" si="28"/>
        <v>0</v>
      </c>
      <c r="AC452" s="23"/>
      <c r="AD452" s="23"/>
      <c r="AE452" s="23" t="e">
        <f>IF(#REF!=#REF!,1,0)</f>
        <v>#REF!</v>
      </c>
      <c r="AF452" s="24"/>
      <c r="AG452" s="24"/>
      <c r="AH452" s="24"/>
      <c r="AI452" s="24"/>
      <c r="AJ452" s="27"/>
      <c r="AK452" s="27"/>
      <c r="AL452" s="27"/>
      <c r="AM452" s="27"/>
      <c r="AN452" s="27"/>
      <c r="AO452" s="27"/>
      <c r="AP452" s="27"/>
      <c r="AQ452" s="27"/>
      <c r="AR452" s="27"/>
      <c r="AS452" s="27"/>
      <c r="AT452" s="27"/>
    </row>
    <row r="453" spans="2:46" s="3" customFormat="1" x14ac:dyDescent="0.25">
      <c r="B453" s="30"/>
      <c r="C453" s="31"/>
      <c r="D453" s="32"/>
      <c r="E453" s="33"/>
      <c r="F453" s="34"/>
      <c r="G453" s="34"/>
      <c r="H453" s="34"/>
      <c r="I453" s="34"/>
      <c r="J453" s="34"/>
      <c r="K453" s="34"/>
      <c r="L453" s="34"/>
      <c r="M453" s="34"/>
      <c r="N453" s="34"/>
      <c r="O453" s="38">
        <f t="shared" si="26"/>
        <v>0</v>
      </c>
      <c r="P453" s="34"/>
      <c r="Q453" s="34"/>
      <c r="R453" s="34"/>
      <c r="S453" s="34"/>
      <c r="T453" s="34"/>
      <c r="U453" s="34"/>
      <c r="V453" s="34"/>
      <c r="W453" s="34"/>
      <c r="X453" s="34"/>
      <c r="Y453" s="34"/>
      <c r="Z453" s="34"/>
      <c r="AA453" s="38">
        <f t="shared" si="27"/>
        <v>0</v>
      </c>
      <c r="AB453" s="38">
        <f t="shared" si="28"/>
        <v>0</v>
      </c>
      <c r="AC453" s="23"/>
      <c r="AD453" s="23"/>
      <c r="AE453" s="23" t="e">
        <f>IF(#REF!=#REF!,1,0)</f>
        <v>#REF!</v>
      </c>
      <c r="AF453" s="24"/>
      <c r="AG453" s="24"/>
      <c r="AH453" s="24"/>
      <c r="AI453" s="24"/>
      <c r="AJ453" s="27"/>
      <c r="AK453" s="27"/>
      <c r="AL453" s="27"/>
      <c r="AM453" s="27"/>
      <c r="AN453" s="27"/>
      <c r="AO453" s="27"/>
      <c r="AP453" s="27"/>
      <c r="AQ453" s="27"/>
      <c r="AR453" s="27"/>
      <c r="AS453" s="27"/>
      <c r="AT453" s="27"/>
    </row>
    <row r="454" spans="2:46" s="3" customFormat="1" x14ac:dyDescent="0.25">
      <c r="B454" s="30"/>
      <c r="C454" s="31"/>
      <c r="D454" s="32"/>
      <c r="E454" s="33"/>
      <c r="F454" s="34"/>
      <c r="G454" s="34"/>
      <c r="H454" s="34"/>
      <c r="I454" s="34"/>
      <c r="J454" s="34"/>
      <c r="K454" s="34"/>
      <c r="L454" s="34"/>
      <c r="M454" s="34"/>
      <c r="N454" s="34"/>
      <c r="O454" s="38">
        <f t="shared" si="26"/>
        <v>0</v>
      </c>
      <c r="P454" s="34"/>
      <c r="Q454" s="34"/>
      <c r="R454" s="34"/>
      <c r="S454" s="34"/>
      <c r="T454" s="34"/>
      <c r="U454" s="34"/>
      <c r="V454" s="34"/>
      <c r="W454" s="34"/>
      <c r="X454" s="34"/>
      <c r="Y454" s="34"/>
      <c r="Z454" s="34"/>
      <c r="AA454" s="38">
        <f t="shared" si="27"/>
        <v>0</v>
      </c>
      <c r="AB454" s="38">
        <f t="shared" si="28"/>
        <v>0</v>
      </c>
      <c r="AC454" s="23"/>
      <c r="AD454" s="23"/>
      <c r="AE454" s="23" t="e">
        <f>IF(#REF!=#REF!,1,0)</f>
        <v>#REF!</v>
      </c>
      <c r="AF454" s="24"/>
      <c r="AG454" s="24"/>
      <c r="AH454" s="24"/>
      <c r="AI454" s="24"/>
      <c r="AJ454" s="27"/>
      <c r="AK454" s="27"/>
      <c r="AL454" s="27"/>
      <c r="AM454" s="27"/>
      <c r="AN454" s="27"/>
      <c r="AO454" s="27"/>
      <c r="AP454" s="27"/>
      <c r="AQ454" s="27"/>
      <c r="AR454" s="27"/>
      <c r="AS454" s="27"/>
      <c r="AT454" s="27"/>
    </row>
    <row r="455" spans="2:46" s="3" customFormat="1" x14ac:dyDescent="0.25">
      <c r="B455" s="30"/>
      <c r="C455" s="31"/>
      <c r="D455" s="32"/>
      <c r="E455" s="33"/>
      <c r="F455" s="34"/>
      <c r="G455" s="34"/>
      <c r="H455" s="34"/>
      <c r="I455" s="34"/>
      <c r="J455" s="34"/>
      <c r="K455" s="34"/>
      <c r="L455" s="34"/>
      <c r="M455" s="34"/>
      <c r="N455" s="34"/>
      <c r="O455" s="38">
        <f t="shared" si="26"/>
        <v>0</v>
      </c>
      <c r="P455" s="34"/>
      <c r="Q455" s="34"/>
      <c r="R455" s="34"/>
      <c r="S455" s="34"/>
      <c r="T455" s="34"/>
      <c r="U455" s="34"/>
      <c r="V455" s="34"/>
      <c r="W455" s="34"/>
      <c r="X455" s="34"/>
      <c r="Y455" s="34"/>
      <c r="Z455" s="34"/>
      <c r="AA455" s="38">
        <f t="shared" si="27"/>
        <v>0</v>
      </c>
      <c r="AB455" s="38">
        <f t="shared" si="28"/>
        <v>0</v>
      </c>
      <c r="AC455" s="23"/>
      <c r="AD455" s="23"/>
      <c r="AE455" s="23" t="e">
        <f>IF(#REF!=#REF!,1,0)</f>
        <v>#REF!</v>
      </c>
      <c r="AF455" s="24"/>
      <c r="AG455" s="24"/>
      <c r="AH455" s="24"/>
      <c r="AI455" s="24"/>
      <c r="AJ455" s="27"/>
      <c r="AK455" s="27"/>
      <c r="AL455" s="27"/>
      <c r="AM455" s="27"/>
      <c r="AN455" s="27"/>
      <c r="AO455" s="27"/>
      <c r="AP455" s="27"/>
      <c r="AQ455" s="27"/>
      <c r="AR455" s="27"/>
      <c r="AS455" s="27"/>
      <c r="AT455" s="27"/>
    </row>
    <row r="456" spans="2:46" s="3" customFormat="1" x14ac:dyDescent="0.25">
      <c r="B456" s="30"/>
      <c r="C456" s="31"/>
      <c r="D456" s="32"/>
      <c r="E456" s="33"/>
      <c r="F456" s="34"/>
      <c r="G456" s="34"/>
      <c r="H456" s="34"/>
      <c r="I456" s="34"/>
      <c r="J456" s="34"/>
      <c r="K456" s="34"/>
      <c r="L456" s="34"/>
      <c r="M456" s="34"/>
      <c r="N456" s="34"/>
      <c r="O456" s="38">
        <f t="shared" si="26"/>
        <v>0</v>
      </c>
      <c r="P456" s="34"/>
      <c r="Q456" s="34"/>
      <c r="R456" s="34"/>
      <c r="S456" s="34"/>
      <c r="T456" s="34"/>
      <c r="U456" s="34"/>
      <c r="V456" s="34"/>
      <c r="W456" s="34"/>
      <c r="X456" s="34"/>
      <c r="Y456" s="34"/>
      <c r="Z456" s="34"/>
      <c r="AA456" s="38">
        <f t="shared" si="27"/>
        <v>0</v>
      </c>
      <c r="AB456" s="38">
        <f t="shared" si="28"/>
        <v>0</v>
      </c>
      <c r="AC456" s="23"/>
      <c r="AD456" s="23"/>
      <c r="AE456" s="23" t="e">
        <f>IF(#REF!=#REF!,1,0)</f>
        <v>#REF!</v>
      </c>
      <c r="AF456" s="24"/>
      <c r="AG456" s="24"/>
      <c r="AH456" s="24"/>
      <c r="AI456" s="24"/>
      <c r="AJ456" s="27"/>
      <c r="AK456" s="27"/>
      <c r="AL456" s="27"/>
      <c r="AM456" s="27"/>
      <c r="AN456" s="27"/>
      <c r="AO456" s="27"/>
      <c r="AP456" s="27"/>
      <c r="AQ456" s="27"/>
      <c r="AR456" s="27"/>
      <c r="AS456" s="27"/>
      <c r="AT456" s="27"/>
    </row>
    <row r="457" spans="2:46" s="3" customFormat="1" x14ac:dyDescent="0.25">
      <c r="B457" s="30"/>
      <c r="C457" s="31"/>
      <c r="D457" s="32"/>
      <c r="E457" s="33"/>
      <c r="F457" s="34"/>
      <c r="G457" s="34"/>
      <c r="H457" s="34"/>
      <c r="I457" s="34"/>
      <c r="J457" s="34"/>
      <c r="K457" s="34"/>
      <c r="L457" s="34"/>
      <c r="M457" s="34"/>
      <c r="N457" s="34"/>
      <c r="O457" s="38">
        <f t="shared" si="26"/>
        <v>0</v>
      </c>
      <c r="P457" s="34"/>
      <c r="Q457" s="34"/>
      <c r="R457" s="34"/>
      <c r="S457" s="34"/>
      <c r="T457" s="34"/>
      <c r="U457" s="34"/>
      <c r="V457" s="34"/>
      <c r="W457" s="34"/>
      <c r="X457" s="34"/>
      <c r="Y457" s="34"/>
      <c r="Z457" s="34"/>
      <c r="AA457" s="38">
        <f t="shared" si="27"/>
        <v>0</v>
      </c>
      <c r="AB457" s="38">
        <f t="shared" si="28"/>
        <v>0</v>
      </c>
      <c r="AC457" s="23"/>
      <c r="AD457" s="23"/>
      <c r="AE457" s="23" t="e">
        <f>IF(#REF!=#REF!,1,0)</f>
        <v>#REF!</v>
      </c>
      <c r="AF457" s="24"/>
      <c r="AG457" s="24"/>
      <c r="AH457" s="24"/>
      <c r="AI457" s="24"/>
      <c r="AJ457" s="27"/>
      <c r="AK457" s="27"/>
      <c r="AL457" s="27"/>
      <c r="AM457" s="27"/>
      <c r="AN457" s="27"/>
      <c r="AO457" s="27"/>
      <c r="AP457" s="27"/>
      <c r="AQ457" s="27"/>
      <c r="AR457" s="27"/>
      <c r="AS457" s="27"/>
      <c r="AT457" s="27"/>
    </row>
    <row r="458" spans="2:46" s="3" customFormat="1" x14ac:dyDescent="0.25">
      <c r="B458" s="30"/>
      <c r="C458" s="31"/>
      <c r="D458" s="32"/>
      <c r="E458" s="33"/>
      <c r="F458" s="34"/>
      <c r="G458" s="34"/>
      <c r="H458" s="34"/>
      <c r="I458" s="34"/>
      <c r="J458" s="34"/>
      <c r="K458" s="34"/>
      <c r="L458" s="34"/>
      <c r="M458" s="34"/>
      <c r="N458" s="34"/>
      <c r="O458" s="38">
        <f t="shared" si="26"/>
        <v>0</v>
      </c>
      <c r="P458" s="34"/>
      <c r="Q458" s="34"/>
      <c r="R458" s="34"/>
      <c r="S458" s="34"/>
      <c r="T458" s="34"/>
      <c r="U458" s="34"/>
      <c r="V458" s="34"/>
      <c r="W458" s="34"/>
      <c r="X458" s="34"/>
      <c r="Y458" s="34"/>
      <c r="Z458" s="34"/>
      <c r="AA458" s="38">
        <f t="shared" si="27"/>
        <v>0</v>
      </c>
      <c r="AB458" s="38">
        <f t="shared" si="28"/>
        <v>0</v>
      </c>
      <c r="AC458" s="23"/>
      <c r="AD458" s="23"/>
      <c r="AE458" s="23" t="e">
        <f>IF(#REF!=#REF!,1,0)</f>
        <v>#REF!</v>
      </c>
      <c r="AF458" s="24"/>
      <c r="AG458" s="24"/>
      <c r="AH458" s="24"/>
      <c r="AI458" s="24"/>
      <c r="AJ458" s="27"/>
      <c r="AK458" s="27"/>
      <c r="AL458" s="27"/>
      <c r="AM458" s="27"/>
      <c r="AN458" s="27"/>
      <c r="AO458" s="27"/>
      <c r="AP458" s="27"/>
      <c r="AQ458" s="27"/>
      <c r="AR458" s="27"/>
      <c r="AS458" s="27"/>
      <c r="AT458" s="27"/>
    </row>
    <row r="459" spans="2:46" s="3" customFormat="1" x14ac:dyDescent="0.25">
      <c r="B459" s="30"/>
      <c r="C459" s="31"/>
      <c r="D459" s="32"/>
      <c r="E459" s="33"/>
      <c r="F459" s="34"/>
      <c r="G459" s="34"/>
      <c r="H459" s="34"/>
      <c r="I459" s="34"/>
      <c r="J459" s="34"/>
      <c r="K459" s="34"/>
      <c r="L459" s="34"/>
      <c r="M459" s="34"/>
      <c r="N459" s="34"/>
      <c r="O459" s="38">
        <f t="shared" si="26"/>
        <v>0</v>
      </c>
      <c r="P459" s="34"/>
      <c r="Q459" s="34"/>
      <c r="R459" s="34"/>
      <c r="S459" s="34"/>
      <c r="T459" s="34"/>
      <c r="U459" s="34"/>
      <c r="V459" s="34"/>
      <c r="W459" s="34"/>
      <c r="X459" s="34"/>
      <c r="Y459" s="34"/>
      <c r="Z459" s="34"/>
      <c r="AA459" s="38">
        <f t="shared" si="27"/>
        <v>0</v>
      </c>
      <c r="AB459" s="38">
        <f t="shared" si="28"/>
        <v>0</v>
      </c>
      <c r="AC459" s="23"/>
      <c r="AD459" s="23"/>
      <c r="AE459" s="23" t="e">
        <f>IF(#REF!=#REF!,1,0)</f>
        <v>#REF!</v>
      </c>
      <c r="AF459" s="24"/>
      <c r="AG459" s="24"/>
      <c r="AH459" s="24"/>
      <c r="AI459" s="24"/>
      <c r="AJ459" s="27"/>
      <c r="AK459" s="27"/>
      <c r="AL459" s="27"/>
      <c r="AM459" s="27"/>
      <c r="AN459" s="27"/>
      <c r="AO459" s="27"/>
      <c r="AP459" s="27"/>
      <c r="AQ459" s="27"/>
      <c r="AR459" s="27"/>
      <c r="AS459" s="27"/>
      <c r="AT459" s="27"/>
    </row>
    <row r="460" spans="2:46" s="3" customFormat="1" x14ac:dyDescent="0.25">
      <c r="B460" s="30"/>
      <c r="C460" s="31"/>
      <c r="D460" s="32"/>
      <c r="E460" s="33"/>
      <c r="F460" s="34"/>
      <c r="G460" s="34"/>
      <c r="H460" s="34"/>
      <c r="I460" s="34"/>
      <c r="J460" s="34"/>
      <c r="K460" s="34"/>
      <c r="L460" s="34"/>
      <c r="M460" s="34"/>
      <c r="N460" s="34"/>
      <c r="O460" s="38">
        <f t="shared" si="26"/>
        <v>0</v>
      </c>
      <c r="P460" s="34"/>
      <c r="Q460" s="34"/>
      <c r="R460" s="34"/>
      <c r="S460" s="34"/>
      <c r="T460" s="34"/>
      <c r="U460" s="34"/>
      <c r="V460" s="34"/>
      <c r="W460" s="34"/>
      <c r="X460" s="34"/>
      <c r="Y460" s="34"/>
      <c r="Z460" s="34"/>
      <c r="AA460" s="38">
        <f t="shared" si="27"/>
        <v>0</v>
      </c>
      <c r="AB460" s="38">
        <f t="shared" si="28"/>
        <v>0</v>
      </c>
      <c r="AC460" s="23"/>
      <c r="AD460" s="23"/>
      <c r="AE460" s="23" t="e">
        <f>IF(#REF!=#REF!,1,0)</f>
        <v>#REF!</v>
      </c>
      <c r="AF460" s="24"/>
      <c r="AG460" s="24"/>
      <c r="AH460" s="24"/>
      <c r="AI460" s="24"/>
      <c r="AJ460" s="27"/>
      <c r="AK460" s="27"/>
      <c r="AL460" s="27"/>
      <c r="AM460" s="27"/>
      <c r="AN460" s="27"/>
      <c r="AO460" s="27"/>
      <c r="AP460" s="27"/>
      <c r="AQ460" s="27"/>
      <c r="AR460" s="27"/>
      <c r="AS460" s="27"/>
      <c r="AT460" s="27"/>
    </row>
    <row r="461" spans="2:46" s="3" customFormat="1" x14ac:dyDescent="0.25">
      <c r="B461" s="30"/>
      <c r="C461" s="31"/>
      <c r="D461" s="32"/>
      <c r="E461" s="33"/>
      <c r="F461" s="34"/>
      <c r="G461" s="34"/>
      <c r="H461" s="34"/>
      <c r="I461" s="34"/>
      <c r="J461" s="34"/>
      <c r="K461" s="34"/>
      <c r="L461" s="34"/>
      <c r="M461" s="34"/>
      <c r="N461" s="34"/>
      <c r="O461" s="38">
        <f t="shared" si="26"/>
        <v>0</v>
      </c>
      <c r="P461" s="34"/>
      <c r="Q461" s="34"/>
      <c r="R461" s="34"/>
      <c r="S461" s="34"/>
      <c r="T461" s="34"/>
      <c r="U461" s="34"/>
      <c r="V461" s="34"/>
      <c r="W461" s="34"/>
      <c r="X461" s="34"/>
      <c r="Y461" s="34"/>
      <c r="Z461" s="34"/>
      <c r="AA461" s="38">
        <f t="shared" si="27"/>
        <v>0</v>
      </c>
      <c r="AB461" s="38">
        <f t="shared" si="28"/>
        <v>0</v>
      </c>
      <c r="AC461" s="23"/>
      <c r="AD461" s="23"/>
      <c r="AE461" s="23" t="e">
        <f>IF(#REF!=#REF!,1,0)</f>
        <v>#REF!</v>
      </c>
      <c r="AF461" s="24"/>
      <c r="AG461" s="24"/>
      <c r="AH461" s="24"/>
      <c r="AI461" s="24"/>
      <c r="AJ461" s="27"/>
      <c r="AK461" s="27"/>
      <c r="AL461" s="27"/>
      <c r="AM461" s="27"/>
      <c r="AN461" s="27"/>
      <c r="AO461" s="27"/>
      <c r="AP461" s="27"/>
      <c r="AQ461" s="27"/>
      <c r="AR461" s="27"/>
      <c r="AS461" s="27"/>
      <c r="AT461" s="27"/>
    </row>
    <row r="462" spans="2:46" s="3" customFormat="1" x14ac:dyDescent="0.25">
      <c r="B462" s="30"/>
      <c r="C462" s="31"/>
      <c r="D462" s="32"/>
      <c r="E462" s="33"/>
      <c r="F462" s="34"/>
      <c r="G462" s="34"/>
      <c r="H462" s="34"/>
      <c r="I462" s="34"/>
      <c r="J462" s="34"/>
      <c r="K462" s="34"/>
      <c r="L462" s="34"/>
      <c r="M462" s="34"/>
      <c r="N462" s="34"/>
      <c r="O462" s="38">
        <f t="shared" si="26"/>
        <v>0</v>
      </c>
      <c r="P462" s="34"/>
      <c r="Q462" s="34"/>
      <c r="R462" s="34"/>
      <c r="S462" s="34"/>
      <c r="T462" s="34"/>
      <c r="U462" s="34"/>
      <c r="V462" s="34"/>
      <c r="W462" s="34"/>
      <c r="X462" s="34"/>
      <c r="Y462" s="34"/>
      <c r="Z462" s="34"/>
      <c r="AA462" s="38">
        <f t="shared" si="27"/>
        <v>0</v>
      </c>
      <c r="AB462" s="38">
        <f t="shared" si="28"/>
        <v>0</v>
      </c>
      <c r="AC462" s="23"/>
      <c r="AD462" s="23"/>
      <c r="AE462" s="23" t="e">
        <f>IF(#REF!=#REF!,1,0)</f>
        <v>#REF!</v>
      </c>
      <c r="AF462" s="24"/>
      <c r="AG462" s="24"/>
      <c r="AH462" s="24"/>
      <c r="AI462" s="24"/>
      <c r="AJ462" s="27"/>
      <c r="AK462" s="27"/>
      <c r="AL462" s="27"/>
      <c r="AM462" s="27"/>
      <c r="AN462" s="27"/>
      <c r="AO462" s="27"/>
      <c r="AP462" s="27"/>
      <c r="AQ462" s="27"/>
      <c r="AR462" s="27"/>
      <c r="AS462" s="27"/>
      <c r="AT462" s="27"/>
    </row>
    <row r="463" spans="2:46" s="3" customFormat="1" x14ac:dyDescent="0.25">
      <c r="B463" s="30"/>
      <c r="C463" s="31"/>
      <c r="D463" s="32"/>
      <c r="E463" s="33"/>
      <c r="F463" s="34"/>
      <c r="G463" s="34"/>
      <c r="H463" s="34"/>
      <c r="I463" s="34"/>
      <c r="J463" s="34"/>
      <c r="K463" s="34"/>
      <c r="L463" s="34"/>
      <c r="M463" s="34"/>
      <c r="N463" s="34"/>
      <c r="O463" s="38">
        <f t="shared" si="26"/>
        <v>0</v>
      </c>
      <c r="P463" s="34"/>
      <c r="Q463" s="34"/>
      <c r="R463" s="34"/>
      <c r="S463" s="34"/>
      <c r="T463" s="34"/>
      <c r="U463" s="34"/>
      <c r="V463" s="34"/>
      <c r="W463" s="34"/>
      <c r="X463" s="34"/>
      <c r="Y463" s="34"/>
      <c r="Z463" s="34"/>
      <c r="AA463" s="38">
        <f t="shared" si="27"/>
        <v>0</v>
      </c>
      <c r="AB463" s="38">
        <f t="shared" si="28"/>
        <v>0</v>
      </c>
      <c r="AC463" s="23"/>
      <c r="AD463" s="23"/>
      <c r="AE463" s="23" t="e">
        <f>IF(#REF!=#REF!,1,0)</f>
        <v>#REF!</v>
      </c>
      <c r="AF463" s="24"/>
      <c r="AG463" s="24"/>
      <c r="AH463" s="24"/>
      <c r="AI463" s="24"/>
      <c r="AJ463" s="27"/>
      <c r="AK463" s="27"/>
      <c r="AL463" s="27"/>
      <c r="AM463" s="27"/>
      <c r="AN463" s="27"/>
      <c r="AO463" s="27"/>
      <c r="AP463" s="27"/>
      <c r="AQ463" s="27"/>
      <c r="AR463" s="27"/>
      <c r="AS463" s="27"/>
      <c r="AT463" s="27"/>
    </row>
    <row r="464" spans="2:46" s="3" customFormat="1" x14ac:dyDescent="0.25">
      <c r="B464" s="30"/>
      <c r="C464" s="31"/>
      <c r="D464" s="32"/>
      <c r="E464" s="33"/>
      <c r="F464" s="34"/>
      <c r="G464" s="34"/>
      <c r="H464" s="34"/>
      <c r="I464" s="34"/>
      <c r="J464" s="34"/>
      <c r="K464" s="34"/>
      <c r="L464" s="34"/>
      <c r="M464" s="34"/>
      <c r="N464" s="34"/>
      <c r="O464" s="38">
        <f t="shared" si="26"/>
        <v>0</v>
      </c>
      <c r="P464" s="34"/>
      <c r="Q464" s="34"/>
      <c r="R464" s="34"/>
      <c r="S464" s="34"/>
      <c r="T464" s="34"/>
      <c r="U464" s="34"/>
      <c r="V464" s="34"/>
      <c r="W464" s="34"/>
      <c r="X464" s="34"/>
      <c r="Y464" s="34"/>
      <c r="Z464" s="34"/>
      <c r="AA464" s="38">
        <f t="shared" si="27"/>
        <v>0</v>
      </c>
      <c r="AB464" s="38">
        <f t="shared" si="28"/>
        <v>0</v>
      </c>
      <c r="AC464" s="23"/>
      <c r="AD464" s="23"/>
      <c r="AE464" s="23" t="e">
        <f>IF(#REF!=#REF!,1,0)</f>
        <v>#REF!</v>
      </c>
      <c r="AF464" s="24"/>
      <c r="AG464" s="24"/>
      <c r="AH464" s="24"/>
      <c r="AI464" s="24"/>
      <c r="AJ464" s="27"/>
      <c r="AK464" s="27"/>
      <c r="AL464" s="27"/>
      <c r="AM464" s="27"/>
      <c r="AN464" s="27"/>
      <c r="AO464" s="27"/>
      <c r="AP464" s="27"/>
      <c r="AQ464" s="27"/>
      <c r="AR464" s="27"/>
      <c r="AS464" s="27"/>
      <c r="AT464" s="27"/>
    </row>
    <row r="465" spans="2:46" s="3" customFormat="1" x14ac:dyDescent="0.25">
      <c r="B465" s="30"/>
      <c r="C465" s="31"/>
      <c r="D465" s="32"/>
      <c r="E465" s="33"/>
      <c r="F465" s="34"/>
      <c r="G465" s="34"/>
      <c r="H465" s="34"/>
      <c r="I465" s="34"/>
      <c r="J465" s="34"/>
      <c r="K465" s="34"/>
      <c r="L465" s="34"/>
      <c r="M465" s="34"/>
      <c r="N465" s="34"/>
      <c r="O465" s="38">
        <f t="shared" si="26"/>
        <v>0</v>
      </c>
      <c r="P465" s="34"/>
      <c r="Q465" s="34"/>
      <c r="R465" s="34"/>
      <c r="S465" s="34"/>
      <c r="T465" s="34"/>
      <c r="U465" s="34"/>
      <c r="V465" s="34"/>
      <c r="W465" s="34"/>
      <c r="X465" s="34"/>
      <c r="Y465" s="34"/>
      <c r="Z465" s="34"/>
      <c r="AA465" s="38">
        <f t="shared" si="27"/>
        <v>0</v>
      </c>
      <c r="AB465" s="38">
        <f t="shared" si="28"/>
        <v>0</v>
      </c>
      <c r="AC465" s="23"/>
      <c r="AD465" s="23"/>
      <c r="AE465" s="23" t="e">
        <f>IF(#REF!=#REF!,1,0)</f>
        <v>#REF!</v>
      </c>
      <c r="AF465" s="24"/>
      <c r="AG465" s="24"/>
      <c r="AH465" s="24"/>
      <c r="AI465" s="24"/>
      <c r="AJ465" s="27"/>
      <c r="AK465" s="27"/>
      <c r="AL465" s="27"/>
      <c r="AM465" s="27"/>
      <c r="AN465" s="27"/>
      <c r="AO465" s="27"/>
      <c r="AP465" s="27"/>
      <c r="AQ465" s="27"/>
      <c r="AR465" s="27"/>
      <c r="AS465" s="27"/>
      <c r="AT465" s="27"/>
    </row>
    <row r="466" spans="2:46" s="3" customFormat="1" x14ac:dyDescent="0.25">
      <c r="B466" s="30"/>
      <c r="C466" s="31"/>
      <c r="D466" s="32"/>
      <c r="E466" s="33"/>
      <c r="F466" s="34"/>
      <c r="G466" s="34"/>
      <c r="H466" s="34"/>
      <c r="I466" s="34"/>
      <c r="J466" s="34"/>
      <c r="K466" s="34"/>
      <c r="L466" s="34"/>
      <c r="M466" s="34"/>
      <c r="N466" s="34"/>
      <c r="O466" s="38">
        <f t="shared" si="26"/>
        <v>0</v>
      </c>
      <c r="P466" s="34"/>
      <c r="Q466" s="34"/>
      <c r="R466" s="34"/>
      <c r="S466" s="34"/>
      <c r="T466" s="34"/>
      <c r="U466" s="34"/>
      <c r="V466" s="34"/>
      <c r="W466" s="34"/>
      <c r="X466" s="34"/>
      <c r="Y466" s="34"/>
      <c r="Z466" s="34"/>
      <c r="AA466" s="38">
        <f t="shared" si="27"/>
        <v>0</v>
      </c>
      <c r="AB466" s="38">
        <f t="shared" si="28"/>
        <v>0</v>
      </c>
      <c r="AC466" s="23"/>
      <c r="AD466" s="23"/>
      <c r="AE466" s="23" t="e">
        <f>IF(#REF!=#REF!,1,0)</f>
        <v>#REF!</v>
      </c>
      <c r="AF466" s="24"/>
      <c r="AG466" s="24"/>
      <c r="AH466" s="24"/>
      <c r="AI466" s="24"/>
      <c r="AJ466" s="27"/>
      <c r="AK466" s="27"/>
      <c r="AL466" s="27"/>
      <c r="AM466" s="27"/>
      <c r="AN466" s="27"/>
      <c r="AO466" s="27"/>
      <c r="AP466" s="27"/>
      <c r="AQ466" s="27"/>
      <c r="AR466" s="27"/>
      <c r="AS466" s="27"/>
      <c r="AT466" s="27"/>
    </row>
    <row r="467" spans="2:46" s="3" customFormat="1" x14ac:dyDescent="0.25">
      <c r="B467" s="30"/>
      <c r="C467" s="31"/>
      <c r="D467" s="32"/>
      <c r="E467" s="33"/>
      <c r="F467" s="34"/>
      <c r="G467" s="34"/>
      <c r="H467" s="34"/>
      <c r="I467" s="34"/>
      <c r="J467" s="34"/>
      <c r="K467" s="34"/>
      <c r="L467" s="34"/>
      <c r="M467" s="34"/>
      <c r="N467" s="34"/>
      <c r="O467" s="38">
        <f t="shared" si="26"/>
        <v>0</v>
      </c>
      <c r="P467" s="34"/>
      <c r="Q467" s="34"/>
      <c r="R467" s="34"/>
      <c r="S467" s="34"/>
      <c r="T467" s="34"/>
      <c r="U467" s="34"/>
      <c r="V467" s="34"/>
      <c r="W467" s="34"/>
      <c r="X467" s="34"/>
      <c r="Y467" s="34"/>
      <c r="Z467" s="34"/>
      <c r="AA467" s="38">
        <f t="shared" si="27"/>
        <v>0</v>
      </c>
      <c r="AB467" s="38">
        <f t="shared" si="28"/>
        <v>0</v>
      </c>
      <c r="AC467" s="23"/>
      <c r="AD467" s="23"/>
      <c r="AE467" s="23" t="e">
        <f>IF(#REF!=#REF!,1,0)</f>
        <v>#REF!</v>
      </c>
      <c r="AF467" s="24"/>
      <c r="AG467" s="24"/>
      <c r="AH467" s="24"/>
      <c r="AI467" s="24"/>
      <c r="AJ467" s="27"/>
      <c r="AK467" s="27"/>
      <c r="AL467" s="27"/>
      <c r="AM467" s="27"/>
      <c r="AN467" s="27"/>
      <c r="AO467" s="27"/>
      <c r="AP467" s="27"/>
      <c r="AQ467" s="27"/>
      <c r="AR467" s="27"/>
      <c r="AS467" s="27"/>
      <c r="AT467" s="27"/>
    </row>
    <row r="468" spans="2:46" s="3" customFormat="1" x14ac:dyDescent="0.25">
      <c r="B468" s="30"/>
      <c r="C468" s="31"/>
      <c r="D468" s="32"/>
      <c r="E468" s="33"/>
      <c r="F468" s="34"/>
      <c r="G468" s="34"/>
      <c r="H468" s="34"/>
      <c r="I468" s="34"/>
      <c r="J468" s="34"/>
      <c r="K468" s="34"/>
      <c r="L468" s="34"/>
      <c r="M468" s="34"/>
      <c r="N468" s="34"/>
      <c r="O468" s="38">
        <f t="shared" ref="O468:O531" si="29">SUM(F468:N468)</f>
        <v>0</v>
      </c>
      <c r="P468" s="34"/>
      <c r="Q468" s="34"/>
      <c r="R468" s="34"/>
      <c r="S468" s="34"/>
      <c r="T468" s="34"/>
      <c r="U468" s="34"/>
      <c r="V468" s="34"/>
      <c r="W468" s="34"/>
      <c r="X468" s="34"/>
      <c r="Y468" s="34"/>
      <c r="Z468" s="34"/>
      <c r="AA468" s="38">
        <f t="shared" si="27"/>
        <v>0</v>
      </c>
      <c r="AB468" s="38">
        <f t="shared" si="28"/>
        <v>0</v>
      </c>
      <c r="AC468" s="23"/>
      <c r="AD468" s="23"/>
      <c r="AE468" s="23" t="e">
        <f>IF(#REF!=#REF!,1,0)</f>
        <v>#REF!</v>
      </c>
      <c r="AF468" s="24"/>
      <c r="AG468" s="24"/>
      <c r="AH468" s="24"/>
      <c r="AI468" s="24"/>
      <c r="AJ468" s="27"/>
      <c r="AK468" s="27"/>
      <c r="AL468" s="27"/>
      <c r="AM468" s="27"/>
      <c r="AN468" s="27"/>
      <c r="AO468" s="27"/>
      <c r="AP468" s="27"/>
      <c r="AQ468" s="27"/>
      <c r="AR468" s="27"/>
      <c r="AS468" s="27"/>
      <c r="AT468" s="27"/>
    </row>
    <row r="469" spans="2:46" s="3" customFormat="1" x14ac:dyDescent="0.25">
      <c r="B469" s="30"/>
      <c r="C469" s="31"/>
      <c r="D469" s="32"/>
      <c r="E469" s="33"/>
      <c r="F469" s="34"/>
      <c r="G469" s="34"/>
      <c r="H469" s="34"/>
      <c r="I469" s="34"/>
      <c r="J469" s="34"/>
      <c r="K469" s="34"/>
      <c r="L469" s="34"/>
      <c r="M469" s="34"/>
      <c r="N469" s="34"/>
      <c r="O469" s="38">
        <f t="shared" si="29"/>
        <v>0</v>
      </c>
      <c r="P469" s="34"/>
      <c r="Q469" s="34"/>
      <c r="R469" s="34"/>
      <c r="S469" s="34"/>
      <c r="T469" s="34"/>
      <c r="U469" s="34"/>
      <c r="V469" s="34"/>
      <c r="W469" s="34"/>
      <c r="X469" s="34"/>
      <c r="Y469" s="34"/>
      <c r="Z469" s="34"/>
      <c r="AA469" s="38">
        <f t="shared" si="27"/>
        <v>0</v>
      </c>
      <c r="AB469" s="38">
        <f t="shared" si="28"/>
        <v>0</v>
      </c>
      <c r="AC469" s="23"/>
      <c r="AD469" s="23"/>
      <c r="AE469" s="23" t="e">
        <f>IF(#REF!=#REF!,1,0)</f>
        <v>#REF!</v>
      </c>
      <c r="AF469" s="24"/>
      <c r="AG469" s="24"/>
      <c r="AH469" s="24"/>
      <c r="AI469" s="24"/>
      <c r="AJ469" s="27"/>
      <c r="AK469" s="27"/>
      <c r="AL469" s="27"/>
      <c r="AM469" s="27"/>
      <c r="AN469" s="27"/>
      <c r="AO469" s="27"/>
      <c r="AP469" s="27"/>
      <c r="AQ469" s="27"/>
      <c r="AR469" s="27"/>
      <c r="AS469" s="27"/>
      <c r="AT469" s="27"/>
    </row>
    <row r="470" spans="2:46" s="3" customFormat="1" x14ac:dyDescent="0.25">
      <c r="B470" s="30"/>
      <c r="C470" s="31"/>
      <c r="D470" s="32"/>
      <c r="E470" s="33"/>
      <c r="F470" s="34"/>
      <c r="G470" s="34"/>
      <c r="H470" s="34"/>
      <c r="I470" s="34"/>
      <c r="J470" s="34"/>
      <c r="K470" s="34"/>
      <c r="L470" s="34"/>
      <c r="M470" s="34"/>
      <c r="N470" s="34"/>
      <c r="O470" s="38">
        <f t="shared" si="29"/>
        <v>0</v>
      </c>
      <c r="P470" s="34"/>
      <c r="Q470" s="34"/>
      <c r="R470" s="34"/>
      <c r="S470" s="34"/>
      <c r="T470" s="34"/>
      <c r="U470" s="34"/>
      <c r="V470" s="34"/>
      <c r="W470" s="34"/>
      <c r="X470" s="34"/>
      <c r="Y470" s="34"/>
      <c r="Z470" s="34"/>
      <c r="AA470" s="38">
        <f t="shared" si="27"/>
        <v>0</v>
      </c>
      <c r="AB470" s="38">
        <f t="shared" si="28"/>
        <v>0</v>
      </c>
      <c r="AC470" s="23"/>
      <c r="AD470" s="23"/>
      <c r="AE470" s="23" t="e">
        <f>IF(#REF!=#REF!,1,0)</f>
        <v>#REF!</v>
      </c>
      <c r="AF470" s="24"/>
      <c r="AG470" s="24"/>
      <c r="AH470" s="24"/>
      <c r="AI470" s="24"/>
      <c r="AJ470" s="27"/>
      <c r="AK470" s="27"/>
      <c r="AL470" s="27"/>
      <c r="AM470" s="27"/>
      <c r="AN470" s="27"/>
      <c r="AO470" s="27"/>
      <c r="AP470" s="27"/>
      <c r="AQ470" s="27"/>
      <c r="AR470" s="27"/>
      <c r="AS470" s="27"/>
      <c r="AT470" s="27"/>
    </row>
    <row r="471" spans="2:46" s="3" customFormat="1" x14ac:dyDescent="0.25">
      <c r="B471" s="30"/>
      <c r="C471" s="31"/>
      <c r="D471" s="32"/>
      <c r="E471" s="33"/>
      <c r="F471" s="34"/>
      <c r="G471" s="34"/>
      <c r="H471" s="34"/>
      <c r="I471" s="34"/>
      <c r="J471" s="34"/>
      <c r="K471" s="34"/>
      <c r="L471" s="34"/>
      <c r="M471" s="34"/>
      <c r="N471" s="34"/>
      <c r="O471" s="38">
        <f t="shared" si="29"/>
        <v>0</v>
      </c>
      <c r="P471" s="34"/>
      <c r="Q471" s="34"/>
      <c r="R471" s="34"/>
      <c r="S471" s="34"/>
      <c r="T471" s="34"/>
      <c r="U471" s="34"/>
      <c r="V471" s="34"/>
      <c r="W471" s="34"/>
      <c r="X471" s="34"/>
      <c r="Y471" s="34"/>
      <c r="Z471" s="34"/>
      <c r="AA471" s="38">
        <f t="shared" si="27"/>
        <v>0</v>
      </c>
      <c r="AB471" s="38">
        <f t="shared" si="28"/>
        <v>0</v>
      </c>
      <c r="AC471" s="23"/>
      <c r="AD471" s="23"/>
      <c r="AE471" s="23" t="e">
        <f>IF(#REF!=#REF!,1,0)</f>
        <v>#REF!</v>
      </c>
      <c r="AF471" s="24"/>
      <c r="AG471" s="24"/>
      <c r="AH471" s="24"/>
      <c r="AI471" s="24"/>
      <c r="AJ471" s="27"/>
      <c r="AK471" s="27"/>
      <c r="AL471" s="27"/>
      <c r="AM471" s="27"/>
      <c r="AN471" s="27"/>
      <c r="AO471" s="27"/>
      <c r="AP471" s="27"/>
      <c r="AQ471" s="27"/>
      <c r="AR471" s="27"/>
      <c r="AS471" s="27"/>
      <c r="AT471" s="27"/>
    </row>
    <row r="472" spans="2:46" s="3" customFormat="1" x14ac:dyDescent="0.25">
      <c r="B472" s="30"/>
      <c r="C472" s="31"/>
      <c r="D472" s="32"/>
      <c r="E472" s="33"/>
      <c r="F472" s="34"/>
      <c r="G472" s="34"/>
      <c r="H472" s="34"/>
      <c r="I472" s="34"/>
      <c r="J472" s="34"/>
      <c r="K472" s="34"/>
      <c r="L472" s="34"/>
      <c r="M472" s="34"/>
      <c r="N472" s="34"/>
      <c r="O472" s="38">
        <f t="shared" si="29"/>
        <v>0</v>
      </c>
      <c r="P472" s="34"/>
      <c r="Q472" s="34"/>
      <c r="R472" s="34"/>
      <c r="S472" s="34"/>
      <c r="T472" s="34"/>
      <c r="U472" s="34"/>
      <c r="V472" s="34"/>
      <c r="W472" s="34"/>
      <c r="X472" s="34"/>
      <c r="Y472" s="34"/>
      <c r="Z472" s="34"/>
      <c r="AA472" s="38">
        <f t="shared" si="27"/>
        <v>0</v>
      </c>
      <c r="AB472" s="38">
        <f t="shared" si="28"/>
        <v>0</v>
      </c>
      <c r="AC472" s="23"/>
      <c r="AD472" s="23"/>
      <c r="AE472" s="23" t="e">
        <f>IF(#REF!=#REF!,1,0)</f>
        <v>#REF!</v>
      </c>
      <c r="AF472" s="24"/>
      <c r="AG472" s="24"/>
      <c r="AH472" s="24"/>
      <c r="AI472" s="24"/>
      <c r="AJ472" s="27"/>
      <c r="AK472" s="27"/>
      <c r="AL472" s="27"/>
      <c r="AM472" s="27"/>
      <c r="AN472" s="27"/>
      <c r="AO472" s="27"/>
      <c r="AP472" s="27"/>
      <c r="AQ472" s="27"/>
      <c r="AR472" s="27"/>
      <c r="AS472" s="27"/>
      <c r="AT472" s="27"/>
    </row>
    <row r="473" spans="2:46" s="3" customFormat="1" x14ac:dyDescent="0.25">
      <c r="B473" s="30"/>
      <c r="C473" s="31"/>
      <c r="D473" s="32"/>
      <c r="E473" s="33"/>
      <c r="F473" s="34"/>
      <c r="G473" s="34"/>
      <c r="H473" s="34"/>
      <c r="I473" s="34"/>
      <c r="J473" s="34"/>
      <c r="K473" s="34"/>
      <c r="L473" s="34"/>
      <c r="M473" s="34"/>
      <c r="N473" s="34"/>
      <c r="O473" s="38">
        <f t="shared" si="29"/>
        <v>0</v>
      </c>
      <c r="P473" s="34"/>
      <c r="Q473" s="34"/>
      <c r="R473" s="34"/>
      <c r="S473" s="34"/>
      <c r="T473" s="34"/>
      <c r="U473" s="34"/>
      <c r="V473" s="34"/>
      <c r="W473" s="34"/>
      <c r="X473" s="34"/>
      <c r="Y473" s="34"/>
      <c r="Z473" s="34"/>
      <c r="AA473" s="38">
        <f t="shared" si="27"/>
        <v>0</v>
      </c>
      <c r="AB473" s="38">
        <f t="shared" si="28"/>
        <v>0</v>
      </c>
      <c r="AC473" s="23"/>
      <c r="AD473" s="23"/>
      <c r="AE473" s="23" t="e">
        <f>IF(#REF!=#REF!,1,0)</f>
        <v>#REF!</v>
      </c>
      <c r="AF473" s="24"/>
      <c r="AG473" s="24"/>
      <c r="AH473" s="24"/>
      <c r="AI473" s="24"/>
      <c r="AJ473" s="27"/>
      <c r="AK473" s="27"/>
      <c r="AL473" s="27"/>
      <c r="AM473" s="27"/>
      <c r="AN473" s="27"/>
      <c r="AO473" s="27"/>
      <c r="AP473" s="27"/>
      <c r="AQ473" s="27"/>
      <c r="AR473" s="27"/>
      <c r="AS473" s="27"/>
      <c r="AT473" s="27"/>
    </row>
    <row r="474" spans="2:46" s="3" customFormat="1" x14ac:dyDescent="0.25">
      <c r="B474" s="30"/>
      <c r="C474" s="31"/>
      <c r="D474" s="32"/>
      <c r="E474" s="33"/>
      <c r="F474" s="34"/>
      <c r="G474" s="34"/>
      <c r="H474" s="34"/>
      <c r="I474" s="34"/>
      <c r="J474" s="34"/>
      <c r="K474" s="34"/>
      <c r="L474" s="34"/>
      <c r="M474" s="34"/>
      <c r="N474" s="34"/>
      <c r="O474" s="38">
        <f t="shared" si="29"/>
        <v>0</v>
      </c>
      <c r="P474" s="34"/>
      <c r="Q474" s="34"/>
      <c r="R474" s="34"/>
      <c r="S474" s="34"/>
      <c r="T474" s="34"/>
      <c r="U474" s="34"/>
      <c r="V474" s="34"/>
      <c r="W474" s="34"/>
      <c r="X474" s="34"/>
      <c r="Y474" s="34"/>
      <c r="Z474" s="34"/>
      <c r="AA474" s="38">
        <f t="shared" si="27"/>
        <v>0</v>
      </c>
      <c r="AB474" s="38">
        <f t="shared" si="28"/>
        <v>0</v>
      </c>
      <c r="AC474" s="23"/>
      <c r="AD474" s="23"/>
      <c r="AE474" s="23" t="e">
        <f>IF(#REF!=#REF!,1,0)</f>
        <v>#REF!</v>
      </c>
      <c r="AF474" s="24"/>
      <c r="AG474" s="24"/>
      <c r="AH474" s="24"/>
      <c r="AI474" s="24"/>
      <c r="AJ474" s="27"/>
      <c r="AK474" s="27"/>
      <c r="AL474" s="27"/>
      <c r="AM474" s="27"/>
      <c r="AN474" s="27"/>
      <c r="AO474" s="27"/>
      <c r="AP474" s="27"/>
      <c r="AQ474" s="27"/>
      <c r="AR474" s="27"/>
      <c r="AS474" s="27"/>
      <c r="AT474" s="27"/>
    </row>
    <row r="475" spans="2:46" s="3" customFormat="1" x14ac:dyDescent="0.25">
      <c r="B475" s="30"/>
      <c r="C475" s="31"/>
      <c r="D475" s="32"/>
      <c r="E475" s="33"/>
      <c r="F475" s="34"/>
      <c r="G475" s="34"/>
      <c r="H475" s="34"/>
      <c r="I475" s="34"/>
      <c r="J475" s="34"/>
      <c r="K475" s="34"/>
      <c r="L475" s="34"/>
      <c r="M475" s="34"/>
      <c r="N475" s="34"/>
      <c r="O475" s="38">
        <f t="shared" si="29"/>
        <v>0</v>
      </c>
      <c r="P475" s="34"/>
      <c r="Q475" s="34"/>
      <c r="R475" s="34"/>
      <c r="S475" s="34"/>
      <c r="T475" s="34"/>
      <c r="U475" s="34"/>
      <c r="V475" s="34"/>
      <c r="W475" s="34"/>
      <c r="X475" s="34"/>
      <c r="Y475" s="34"/>
      <c r="Z475" s="34"/>
      <c r="AA475" s="38">
        <f t="shared" ref="AA475:AA538" si="30">SUM(P475:Z475)</f>
        <v>0</v>
      </c>
      <c r="AB475" s="38">
        <f t="shared" ref="AB475:AB538" si="31">O475-AA475</f>
        <v>0</v>
      </c>
      <c r="AC475" s="23"/>
      <c r="AD475" s="23"/>
      <c r="AE475" s="23" t="e">
        <f>IF(#REF!=#REF!,1,0)</f>
        <v>#REF!</v>
      </c>
      <c r="AF475" s="24"/>
      <c r="AG475" s="24"/>
      <c r="AH475" s="24"/>
      <c r="AI475" s="24"/>
      <c r="AJ475" s="27"/>
      <c r="AK475" s="27"/>
      <c r="AL475" s="27"/>
      <c r="AM475" s="27"/>
      <c r="AN475" s="27"/>
      <c r="AO475" s="27"/>
      <c r="AP475" s="27"/>
      <c r="AQ475" s="27"/>
      <c r="AR475" s="27"/>
      <c r="AS475" s="27"/>
      <c r="AT475" s="27"/>
    </row>
    <row r="476" spans="2:46" s="3" customFormat="1" x14ac:dyDescent="0.25">
      <c r="B476" s="30"/>
      <c r="C476" s="31"/>
      <c r="D476" s="32"/>
      <c r="E476" s="33"/>
      <c r="F476" s="34"/>
      <c r="G476" s="34"/>
      <c r="H476" s="34"/>
      <c r="I476" s="34"/>
      <c r="J476" s="34"/>
      <c r="K476" s="34"/>
      <c r="L476" s="34"/>
      <c r="M476" s="34"/>
      <c r="N476" s="34"/>
      <c r="O476" s="38">
        <f t="shared" si="29"/>
        <v>0</v>
      </c>
      <c r="P476" s="34"/>
      <c r="Q476" s="34"/>
      <c r="R476" s="34"/>
      <c r="S476" s="34"/>
      <c r="T476" s="34"/>
      <c r="U476" s="34"/>
      <c r="V476" s="34"/>
      <c r="W476" s="34"/>
      <c r="X476" s="34"/>
      <c r="Y476" s="34"/>
      <c r="Z476" s="34"/>
      <c r="AA476" s="38">
        <f t="shared" si="30"/>
        <v>0</v>
      </c>
      <c r="AB476" s="38">
        <f t="shared" si="31"/>
        <v>0</v>
      </c>
      <c r="AC476" s="23"/>
      <c r="AD476" s="23"/>
      <c r="AE476" s="23" t="e">
        <f>IF(#REF!=#REF!,1,0)</f>
        <v>#REF!</v>
      </c>
      <c r="AF476" s="24"/>
      <c r="AG476" s="24"/>
      <c r="AH476" s="24"/>
      <c r="AI476" s="24"/>
      <c r="AJ476" s="27"/>
      <c r="AK476" s="27"/>
      <c r="AL476" s="27"/>
      <c r="AM476" s="27"/>
      <c r="AN476" s="27"/>
      <c r="AO476" s="27"/>
      <c r="AP476" s="27"/>
      <c r="AQ476" s="27"/>
      <c r="AR476" s="27"/>
      <c r="AS476" s="27"/>
      <c r="AT476" s="27"/>
    </row>
    <row r="477" spans="2:46" s="3" customFormat="1" x14ac:dyDescent="0.25">
      <c r="B477" s="30"/>
      <c r="C477" s="31"/>
      <c r="D477" s="32"/>
      <c r="E477" s="33"/>
      <c r="F477" s="34"/>
      <c r="G477" s="34"/>
      <c r="H477" s="34"/>
      <c r="I477" s="34"/>
      <c r="J477" s="34"/>
      <c r="K477" s="34"/>
      <c r="L477" s="34"/>
      <c r="M477" s="34"/>
      <c r="N477" s="34"/>
      <c r="O477" s="38">
        <f t="shared" si="29"/>
        <v>0</v>
      </c>
      <c r="P477" s="34"/>
      <c r="Q477" s="34"/>
      <c r="R477" s="34"/>
      <c r="S477" s="34"/>
      <c r="T477" s="34"/>
      <c r="U477" s="34"/>
      <c r="V477" s="34"/>
      <c r="W477" s="34"/>
      <c r="X477" s="34"/>
      <c r="Y477" s="34"/>
      <c r="Z477" s="34"/>
      <c r="AA477" s="38">
        <f t="shared" si="30"/>
        <v>0</v>
      </c>
      <c r="AB477" s="38">
        <f t="shared" si="31"/>
        <v>0</v>
      </c>
      <c r="AC477" s="23"/>
      <c r="AD477" s="23"/>
      <c r="AE477" s="23" t="e">
        <f>IF(#REF!=#REF!,1,0)</f>
        <v>#REF!</v>
      </c>
      <c r="AF477" s="24"/>
      <c r="AG477" s="24"/>
      <c r="AH477" s="24"/>
      <c r="AI477" s="24"/>
      <c r="AJ477" s="27"/>
      <c r="AK477" s="27"/>
      <c r="AL477" s="27"/>
      <c r="AM477" s="27"/>
      <c r="AN477" s="27"/>
      <c r="AO477" s="27"/>
      <c r="AP477" s="27"/>
      <c r="AQ477" s="27"/>
      <c r="AR477" s="27"/>
      <c r="AS477" s="27"/>
      <c r="AT477" s="27"/>
    </row>
    <row r="478" spans="2:46" s="3" customFormat="1" x14ac:dyDescent="0.25">
      <c r="B478" s="30"/>
      <c r="C478" s="31"/>
      <c r="D478" s="32"/>
      <c r="E478" s="33"/>
      <c r="F478" s="34"/>
      <c r="G478" s="34"/>
      <c r="H478" s="34"/>
      <c r="I478" s="34"/>
      <c r="J478" s="34"/>
      <c r="K478" s="34"/>
      <c r="L478" s="34"/>
      <c r="M478" s="34"/>
      <c r="N478" s="34"/>
      <c r="O478" s="38">
        <f t="shared" si="29"/>
        <v>0</v>
      </c>
      <c r="P478" s="34"/>
      <c r="Q478" s="34"/>
      <c r="R478" s="34"/>
      <c r="S478" s="34"/>
      <c r="T478" s="34"/>
      <c r="U478" s="34"/>
      <c r="V478" s="34"/>
      <c r="W478" s="34"/>
      <c r="X478" s="34"/>
      <c r="Y478" s="34"/>
      <c r="Z478" s="34"/>
      <c r="AA478" s="38">
        <f t="shared" si="30"/>
        <v>0</v>
      </c>
      <c r="AB478" s="38">
        <f t="shared" si="31"/>
        <v>0</v>
      </c>
      <c r="AC478" s="23"/>
      <c r="AD478" s="23"/>
      <c r="AE478" s="23" t="e">
        <f>IF(#REF!=#REF!,1,0)</f>
        <v>#REF!</v>
      </c>
      <c r="AF478" s="24"/>
      <c r="AG478" s="24"/>
      <c r="AH478" s="24"/>
      <c r="AI478" s="24"/>
      <c r="AJ478" s="27"/>
      <c r="AK478" s="27"/>
      <c r="AL478" s="27"/>
      <c r="AM478" s="27"/>
      <c r="AN478" s="27"/>
      <c r="AO478" s="27"/>
      <c r="AP478" s="27"/>
      <c r="AQ478" s="27"/>
      <c r="AR478" s="27"/>
      <c r="AS478" s="27"/>
      <c r="AT478" s="27"/>
    </row>
    <row r="479" spans="2:46" s="3" customFormat="1" x14ac:dyDescent="0.25">
      <c r="B479" s="30"/>
      <c r="C479" s="31"/>
      <c r="D479" s="32"/>
      <c r="E479" s="33"/>
      <c r="F479" s="34"/>
      <c r="G479" s="34"/>
      <c r="H479" s="34"/>
      <c r="I479" s="34"/>
      <c r="J479" s="34"/>
      <c r="K479" s="34"/>
      <c r="L479" s="34"/>
      <c r="M479" s="34"/>
      <c r="N479" s="34"/>
      <c r="O479" s="38">
        <f t="shared" si="29"/>
        <v>0</v>
      </c>
      <c r="P479" s="34"/>
      <c r="Q479" s="34"/>
      <c r="R479" s="34"/>
      <c r="S479" s="34"/>
      <c r="T479" s="34"/>
      <c r="U479" s="34"/>
      <c r="V479" s="34"/>
      <c r="W479" s="34"/>
      <c r="X479" s="34"/>
      <c r="Y479" s="34"/>
      <c r="Z479" s="34"/>
      <c r="AA479" s="38">
        <f t="shared" si="30"/>
        <v>0</v>
      </c>
      <c r="AB479" s="38">
        <f t="shared" si="31"/>
        <v>0</v>
      </c>
      <c r="AC479" s="23"/>
      <c r="AD479" s="23"/>
      <c r="AE479" s="23" t="e">
        <f>IF(#REF!=#REF!,1,0)</f>
        <v>#REF!</v>
      </c>
      <c r="AF479" s="24"/>
      <c r="AG479" s="24"/>
      <c r="AH479" s="24"/>
      <c r="AI479" s="24"/>
      <c r="AJ479" s="27"/>
      <c r="AK479" s="27"/>
      <c r="AL479" s="27"/>
      <c r="AM479" s="27"/>
      <c r="AN479" s="27"/>
      <c r="AO479" s="27"/>
      <c r="AP479" s="27"/>
      <c r="AQ479" s="27"/>
      <c r="AR479" s="27"/>
      <c r="AS479" s="27"/>
      <c r="AT479" s="27"/>
    </row>
    <row r="480" spans="2:46" s="3" customFormat="1" x14ac:dyDescent="0.25">
      <c r="B480" s="30"/>
      <c r="C480" s="31"/>
      <c r="D480" s="32"/>
      <c r="E480" s="33"/>
      <c r="F480" s="34"/>
      <c r="G480" s="34"/>
      <c r="H480" s="34"/>
      <c r="I480" s="34"/>
      <c r="J480" s="34"/>
      <c r="K480" s="34"/>
      <c r="L480" s="34"/>
      <c r="M480" s="34"/>
      <c r="N480" s="34"/>
      <c r="O480" s="38">
        <f t="shared" si="29"/>
        <v>0</v>
      </c>
      <c r="P480" s="34"/>
      <c r="Q480" s="34"/>
      <c r="R480" s="34"/>
      <c r="S480" s="34"/>
      <c r="T480" s="34"/>
      <c r="U480" s="34"/>
      <c r="V480" s="34"/>
      <c r="W480" s="34"/>
      <c r="X480" s="34"/>
      <c r="Y480" s="34"/>
      <c r="Z480" s="34"/>
      <c r="AA480" s="38">
        <f t="shared" si="30"/>
        <v>0</v>
      </c>
      <c r="AB480" s="38">
        <f t="shared" si="31"/>
        <v>0</v>
      </c>
      <c r="AC480" s="23"/>
      <c r="AD480" s="23"/>
      <c r="AE480" s="23" t="e">
        <f>IF(#REF!=#REF!,1,0)</f>
        <v>#REF!</v>
      </c>
      <c r="AF480" s="24"/>
      <c r="AG480" s="24"/>
      <c r="AH480" s="24"/>
      <c r="AI480" s="24"/>
      <c r="AJ480" s="27"/>
      <c r="AK480" s="27"/>
      <c r="AL480" s="27"/>
      <c r="AM480" s="27"/>
      <c r="AN480" s="27"/>
      <c r="AO480" s="27"/>
      <c r="AP480" s="27"/>
      <c r="AQ480" s="27"/>
      <c r="AR480" s="27"/>
      <c r="AS480" s="27"/>
      <c r="AT480" s="27"/>
    </row>
    <row r="481" spans="2:46" s="3" customFormat="1" x14ac:dyDescent="0.25">
      <c r="B481" s="30"/>
      <c r="C481" s="31"/>
      <c r="D481" s="32"/>
      <c r="E481" s="33"/>
      <c r="F481" s="34"/>
      <c r="G481" s="34"/>
      <c r="H481" s="34"/>
      <c r="I481" s="34"/>
      <c r="J481" s="34"/>
      <c r="K481" s="34"/>
      <c r="L481" s="34"/>
      <c r="M481" s="34"/>
      <c r="N481" s="34"/>
      <c r="O481" s="38">
        <f t="shared" si="29"/>
        <v>0</v>
      </c>
      <c r="P481" s="34"/>
      <c r="Q481" s="34"/>
      <c r="R481" s="34"/>
      <c r="S481" s="34"/>
      <c r="T481" s="34"/>
      <c r="U481" s="34"/>
      <c r="V481" s="34"/>
      <c r="W481" s="34"/>
      <c r="X481" s="34"/>
      <c r="Y481" s="34"/>
      <c r="Z481" s="34"/>
      <c r="AA481" s="38">
        <f t="shared" si="30"/>
        <v>0</v>
      </c>
      <c r="AB481" s="38">
        <f t="shared" si="31"/>
        <v>0</v>
      </c>
      <c r="AC481" s="23"/>
      <c r="AD481" s="23"/>
      <c r="AE481" s="23" t="e">
        <f>IF(#REF!=#REF!,1,0)</f>
        <v>#REF!</v>
      </c>
      <c r="AF481" s="24"/>
      <c r="AG481" s="24"/>
      <c r="AH481" s="24"/>
      <c r="AI481" s="24"/>
      <c r="AJ481" s="27"/>
      <c r="AK481" s="27"/>
      <c r="AL481" s="27"/>
      <c r="AM481" s="27"/>
      <c r="AN481" s="27"/>
      <c r="AO481" s="27"/>
      <c r="AP481" s="27"/>
      <c r="AQ481" s="27"/>
      <c r="AR481" s="27"/>
      <c r="AS481" s="27"/>
      <c r="AT481" s="27"/>
    </row>
    <row r="482" spans="2:46" s="3" customFormat="1" x14ac:dyDescent="0.25">
      <c r="B482" s="30"/>
      <c r="C482" s="31"/>
      <c r="D482" s="32"/>
      <c r="E482" s="33"/>
      <c r="F482" s="34"/>
      <c r="G482" s="34"/>
      <c r="H482" s="34"/>
      <c r="I482" s="34"/>
      <c r="J482" s="34"/>
      <c r="K482" s="34"/>
      <c r="L482" s="34"/>
      <c r="M482" s="34"/>
      <c r="N482" s="34"/>
      <c r="O482" s="38">
        <f t="shared" si="29"/>
        <v>0</v>
      </c>
      <c r="P482" s="34"/>
      <c r="Q482" s="34"/>
      <c r="R482" s="34"/>
      <c r="S482" s="34"/>
      <c r="T482" s="34"/>
      <c r="U482" s="34"/>
      <c r="V482" s="34"/>
      <c r="W482" s="34"/>
      <c r="X482" s="34"/>
      <c r="Y482" s="34"/>
      <c r="Z482" s="34"/>
      <c r="AA482" s="38">
        <f t="shared" si="30"/>
        <v>0</v>
      </c>
      <c r="AB482" s="38">
        <f t="shared" si="31"/>
        <v>0</v>
      </c>
      <c r="AC482" s="23"/>
      <c r="AD482" s="23"/>
      <c r="AE482" s="23" t="e">
        <f>IF(#REF!=#REF!,1,0)</f>
        <v>#REF!</v>
      </c>
      <c r="AF482" s="24"/>
      <c r="AG482" s="24"/>
      <c r="AH482" s="24"/>
      <c r="AI482" s="24"/>
      <c r="AJ482" s="27"/>
      <c r="AK482" s="27"/>
      <c r="AL482" s="27"/>
      <c r="AM482" s="27"/>
      <c r="AN482" s="27"/>
      <c r="AO482" s="27"/>
      <c r="AP482" s="27"/>
      <c r="AQ482" s="27"/>
      <c r="AR482" s="27"/>
      <c r="AS482" s="27"/>
      <c r="AT482" s="27"/>
    </row>
    <row r="483" spans="2:46" s="3" customFormat="1" x14ac:dyDescent="0.25">
      <c r="B483" s="30"/>
      <c r="C483" s="31"/>
      <c r="D483" s="32"/>
      <c r="E483" s="33"/>
      <c r="F483" s="34"/>
      <c r="G483" s="34"/>
      <c r="H483" s="34"/>
      <c r="I483" s="34"/>
      <c r="J483" s="34"/>
      <c r="K483" s="34"/>
      <c r="L483" s="34"/>
      <c r="M483" s="34"/>
      <c r="N483" s="34"/>
      <c r="O483" s="38">
        <f t="shared" si="29"/>
        <v>0</v>
      </c>
      <c r="P483" s="34"/>
      <c r="Q483" s="34"/>
      <c r="R483" s="34"/>
      <c r="S483" s="34"/>
      <c r="T483" s="34"/>
      <c r="U483" s="34"/>
      <c r="V483" s="34"/>
      <c r="W483" s="34"/>
      <c r="X483" s="34"/>
      <c r="Y483" s="34"/>
      <c r="Z483" s="34"/>
      <c r="AA483" s="38">
        <f t="shared" si="30"/>
        <v>0</v>
      </c>
      <c r="AB483" s="38">
        <f t="shared" si="31"/>
        <v>0</v>
      </c>
      <c r="AC483" s="23"/>
      <c r="AD483" s="23"/>
      <c r="AE483" s="23" t="e">
        <f>IF(#REF!=#REF!,1,0)</f>
        <v>#REF!</v>
      </c>
      <c r="AF483" s="24"/>
      <c r="AG483" s="24"/>
      <c r="AH483" s="24"/>
      <c r="AI483" s="24"/>
      <c r="AJ483" s="27"/>
      <c r="AK483" s="27"/>
      <c r="AL483" s="27"/>
      <c r="AM483" s="27"/>
      <c r="AN483" s="27"/>
      <c r="AO483" s="27"/>
      <c r="AP483" s="27"/>
      <c r="AQ483" s="27"/>
      <c r="AR483" s="27"/>
      <c r="AS483" s="27"/>
      <c r="AT483" s="27"/>
    </row>
    <row r="484" spans="2:46" s="3" customFormat="1" x14ac:dyDescent="0.25">
      <c r="B484" s="30"/>
      <c r="C484" s="31"/>
      <c r="D484" s="32"/>
      <c r="E484" s="33"/>
      <c r="F484" s="34"/>
      <c r="G484" s="34"/>
      <c r="H484" s="34"/>
      <c r="I484" s="34"/>
      <c r="J484" s="34"/>
      <c r="K484" s="34"/>
      <c r="L484" s="34"/>
      <c r="M484" s="34"/>
      <c r="N484" s="34"/>
      <c r="O484" s="38">
        <f t="shared" si="29"/>
        <v>0</v>
      </c>
      <c r="P484" s="34"/>
      <c r="Q484" s="34"/>
      <c r="R484" s="34"/>
      <c r="S484" s="34"/>
      <c r="T484" s="34"/>
      <c r="U484" s="34"/>
      <c r="V484" s="34"/>
      <c r="W484" s="34"/>
      <c r="X484" s="34"/>
      <c r="Y484" s="34"/>
      <c r="Z484" s="34"/>
      <c r="AA484" s="38">
        <f t="shared" si="30"/>
        <v>0</v>
      </c>
      <c r="AB484" s="38">
        <f t="shared" si="31"/>
        <v>0</v>
      </c>
      <c r="AC484" s="23"/>
      <c r="AD484" s="23"/>
      <c r="AE484" s="23" t="e">
        <f>IF(#REF!=#REF!,1,0)</f>
        <v>#REF!</v>
      </c>
      <c r="AF484" s="24"/>
      <c r="AG484" s="24"/>
      <c r="AH484" s="24"/>
      <c r="AI484" s="24"/>
      <c r="AJ484" s="27"/>
      <c r="AK484" s="27"/>
      <c r="AL484" s="27"/>
      <c r="AM484" s="27"/>
      <c r="AN484" s="27"/>
      <c r="AO484" s="27"/>
      <c r="AP484" s="27"/>
      <c r="AQ484" s="27"/>
      <c r="AR484" s="27"/>
      <c r="AS484" s="27"/>
      <c r="AT484" s="27"/>
    </row>
    <row r="485" spans="2:46" s="3" customFormat="1" x14ac:dyDescent="0.25">
      <c r="B485" s="30"/>
      <c r="C485" s="31"/>
      <c r="D485" s="32"/>
      <c r="E485" s="33"/>
      <c r="F485" s="34"/>
      <c r="G485" s="34"/>
      <c r="H485" s="34"/>
      <c r="I485" s="34"/>
      <c r="J485" s="34"/>
      <c r="K485" s="34"/>
      <c r="L485" s="34"/>
      <c r="M485" s="34"/>
      <c r="N485" s="34"/>
      <c r="O485" s="38">
        <f t="shared" si="29"/>
        <v>0</v>
      </c>
      <c r="P485" s="34"/>
      <c r="Q485" s="34"/>
      <c r="R485" s="34"/>
      <c r="S485" s="34"/>
      <c r="T485" s="34"/>
      <c r="U485" s="34"/>
      <c r="V485" s="34"/>
      <c r="W485" s="34"/>
      <c r="X485" s="34"/>
      <c r="Y485" s="34"/>
      <c r="Z485" s="34"/>
      <c r="AA485" s="38">
        <f t="shared" si="30"/>
        <v>0</v>
      </c>
      <c r="AB485" s="38">
        <f t="shared" si="31"/>
        <v>0</v>
      </c>
      <c r="AC485" s="23"/>
      <c r="AD485" s="23"/>
      <c r="AE485" s="23" t="e">
        <f>IF(#REF!=#REF!,1,0)</f>
        <v>#REF!</v>
      </c>
      <c r="AF485" s="24"/>
      <c r="AG485" s="24"/>
      <c r="AH485" s="24"/>
      <c r="AI485" s="24"/>
      <c r="AJ485" s="27"/>
      <c r="AK485" s="27"/>
      <c r="AL485" s="27"/>
      <c r="AM485" s="27"/>
      <c r="AN485" s="27"/>
      <c r="AO485" s="27"/>
      <c r="AP485" s="27"/>
      <c r="AQ485" s="27"/>
      <c r="AR485" s="27"/>
      <c r="AS485" s="27"/>
      <c r="AT485" s="27"/>
    </row>
    <row r="486" spans="2:46" s="3" customFormat="1" x14ac:dyDescent="0.25">
      <c r="B486" s="30"/>
      <c r="C486" s="31"/>
      <c r="D486" s="32"/>
      <c r="E486" s="33"/>
      <c r="F486" s="34"/>
      <c r="G486" s="34"/>
      <c r="H486" s="34"/>
      <c r="I486" s="34"/>
      <c r="J486" s="34"/>
      <c r="K486" s="34"/>
      <c r="L486" s="34"/>
      <c r="M486" s="34"/>
      <c r="N486" s="34"/>
      <c r="O486" s="38">
        <f t="shared" si="29"/>
        <v>0</v>
      </c>
      <c r="P486" s="34"/>
      <c r="Q486" s="34"/>
      <c r="R486" s="34"/>
      <c r="S486" s="34"/>
      <c r="T486" s="34"/>
      <c r="U486" s="34"/>
      <c r="V486" s="34"/>
      <c r="W486" s="34"/>
      <c r="X486" s="34"/>
      <c r="Y486" s="34"/>
      <c r="Z486" s="34"/>
      <c r="AA486" s="38">
        <f t="shared" si="30"/>
        <v>0</v>
      </c>
      <c r="AB486" s="38">
        <f t="shared" si="31"/>
        <v>0</v>
      </c>
      <c r="AC486" s="23"/>
      <c r="AD486" s="23"/>
      <c r="AE486" s="23" t="e">
        <f>IF(#REF!=#REF!,1,0)</f>
        <v>#REF!</v>
      </c>
      <c r="AF486" s="24"/>
      <c r="AG486" s="24"/>
      <c r="AH486" s="24"/>
      <c r="AI486" s="24"/>
      <c r="AJ486" s="27"/>
      <c r="AK486" s="27"/>
      <c r="AL486" s="27"/>
      <c r="AM486" s="27"/>
      <c r="AN486" s="27"/>
      <c r="AO486" s="27"/>
      <c r="AP486" s="27"/>
      <c r="AQ486" s="27"/>
      <c r="AR486" s="27"/>
      <c r="AS486" s="27"/>
      <c r="AT486" s="27"/>
    </row>
    <row r="487" spans="2:46" s="3" customFormat="1" x14ac:dyDescent="0.25">
      <c r="B487" s="30"/>
      <c r="C487" s="31"/>
      <c r="D487" s="32"/>
      <c r="E487" s="33"/>
      <c r="F487" s="34"/>
      <c r="G487" s="34"/>
      <c r="H487" s="34"/>
      <c r="I487" s="34"/>
      <c r="J487" s="34"/>
      <c r="K487" s="34"/>
      <c r="L487" s="34"/>
      <c r="M487" s="34"/>
      <c r="N487" s="34"/>
      <c r="O487" s="38">
        <f t="shared" si="29"/>
        <v>0</v>
      </c>
      <c r="P487" s="34"/>
      <c r="Q487" s="34"/>
      <c r="R487" s="34"/>
      <c r="S487" s="34"/>
      <c r="T487" s="34"/>
      <c r="U487" s="34"/>
      <c r="V487" s="34"/>
      <c r="W487" s="34"/>
      <c r="X487" s="34"/>
      <c r="Y487" s="34"/>
      <c r="Z487" s="34"/>
      <c r="AA487" s="38">
        <f t="shared" si="30"/>
        <v>0</v>
      </c>
      <c r="AB487" s="38">
        <f t="shared" si="31"/>
        <v>0</v>
      </c>
      <c r="AC487" s="23"/>
      <c r="AD487" s="23"/>
      <c r="AE487" s="23" t="e">
        <f>IF(#REF!=#REF!,1,0)</f>
        <v>#REF!</v>
      </c>
      <c r="AF487" s="24"/>
      <c r="AG487" s="24"/>
      <c r="AH487" s="24"/>
      <c r="AI487" s="24"/>
      <c r="AJ487" s="27"/>
      <c r="AK487" s="27"/>
      <c r="AL487" s="27"/>
      <c r="AM487" s="27"/>
      <c r="AN487" s="27"/>
      <c r="AO487" s="27"/>
      <c r="AP487" s="27"/>
      <c r="AQ487" s="27"/>
      <c r="AR487" s="27"/>
      <c r="AS487" s="27"/>
      <c r="AT487" s="27"/>
    </row>
    <row r="488" spans="2:46" s="3" customFormat="1" x14ac:dyDescent="0.25">
      <c r="B488" s="30"/>
      <c r="C488" s="31"/>
      <c r="D488" s="32"/>
      <c r="E488" s="33"/>
      <c r="F488" s="34"/>
      <c r="G488" s="34"/>
      <c r="H488" s="34"/>
      <c r="I488" s="34"/>
      <c r="J488" s="34"/>
      <c r="K488" s="34"/>
      <c r="L488" s="34"/>
      <c r="M488" s="34"/>
      <c r="N488" s="34"/>
      <c r="O488" s="38">
        <f t="shared" si="29"/>
        <v>0</v>
      </c>
      <c r="P488" s="34"/>
      <c r="Q488" s="34"/>
      <c r="R488" s="34"/>
      <c r="S488" s="34"/>
      <c r="T488" s="34"/>
      <c r="U488" s="34"/>
      <c r="V488" s="34"/>
      <c r="W488" s="34"/>
      <c r="X488" s="34"/>
      <c r="Y488" s="34"/>
      <c r="Z488" s="34"/>
      <c r="AA488" s="38">
        <f t="shared" si="30"/>
        <v>0</v>
      </c>
      <c r="AB488" s="38">
        <f t="shared" si="31"/>
        <v>0</v>
      </c>
      <c r="AC488" s="23"/>
      <c r="AD488" s="23"/>
      <c r="AE488" s="23" t="e">
        <f>IF(#REF!=#REF!,1,0)</f>
        <v>#REF!</v>
      </c>
      <c r="AF488" s="24"/>
      <c r="AG488" s="24"/>
      <c r="AH488" s="24"/>
      <c r="AI488" s="24"/>
      <c r="AJ488" s="27"/>
      <c r="AK488" s="27"/>
      <c r="AL488" s="27"/>
      <c r="AM488" s="27"/>
      <c r="AN488" s="27"/>
      <c r="AO488" s="27"/>
      <c r="AP488" s="27"/>
      <c r="AQ488" s="27"/>
      <c r="AR488" s="27"/>
      <c r="AS488" s="27"/>
      <c r="AT488" s="27"/>
    </row>
    <row r="489" spans="2:46" s="3" customFormat="1" x14ac:dyDescent="0.25">
      <c r="B489" s="30"/>
      <c r="C489" s="31"/>
      <c r="D489" s="32"/>
      <c r="E489" s="33"/>
      <c r="F489" s="34"/>
      <c r="G489" s="34"/>
      <c r="H489" s="34"/>
      <c r="I489" s="34"/>
      <c r="J489" s="34"/>
      <c r="K489" s="34"/>
      <c r="L489" s="34"/>
      <c r="M489" s="34"/>
      <c r="N489" s="34"/>
      <c r="O489" s="38">
        <f t="shared" si="29"/>
        <v>0</v>
      </c>
      <c r="P489" s="34"/>
      <c r="Q489" s="34"/>
      <c r="R489" s="34"/>
      <c r="S489" s="34"/>
      <c r="T489" s="34"/>
      <c r="U489" s="34"/>
      <c r="V489" s="34"/>
      <c r="W489" s="34"/>
      <c r="X489" s="34"/>
      <c r="Y489" s="34"/>
      <c r="Z489" s="34"/>
      <c r="AA489" s="38">
        <f t="shared" si="30"/>
        <v>0</v>
      </c>
      <c r="AB489" s="38">
        <f t="shared" si="31"/>
        <v>0</v>
      </c>
      <c r="AC489" s="23"/>
      <c r="AD489" s="23"/>
      <c r="AE489" s="23" t="e">
        <f>IF(#REF!=#REF!,1,0)</f>
        <v>#REF!</v>
      </c>
      <c r="AF489" s="24"/>
      <c r="AG489" s="24"/>
      <c r="AH489" s="24"/>
      <c r="AI489" s="24"/>
      <c r="AJ489" s="27"/>
      <c r="AK489" s="27"/>
      <c r="AL489" s="27"/>
      <c r="AM489" s="27"/>
      <c r="AN489" s="27"/>
      <c r="AO489" s="27"/>
      <c r="AP489" s="27"/>
      <c r="AQ489" s="27"/>
      <c r="AR489" s="27"/>
      <c r="AS489" s="27"/>
      <c r="AT489" s="27"/>
    </row>
    <row r="490" spans="2:46" s="3" customFormat="1" x14ac:dyDescent="0.25">
      <c r="B490" s="30"/>
      <c r="C490" s="31"/>
      <c r="D490" s="32"/>
      <c r="E490" s="33"/>
      <c r="F490" s="34"/>
      <c r="G490" s="34"/>
      <c r="H490" s="34"/>
      <c r="I490" s="34"/>
      <c r="J490" s="34"/>
      <c r="K490" s="34"/>
      <c r="L490" s="34"/>
      <c r="M490" s="34"/>
      <c r="N490" s="34"/>
      <c r="O490" s="38">
        <f t="shared" si="29"/>
        <v>0</v>
      </c>
      <c r="P490" s="34"/>
      <c r="Q490" s="34"/>
      <c r="R490" s="34"/>
      <c r="S490" s="34"/>
      <c r="T490" s="34"/>
      <c r="U490" s="34"/>
      <c r="V490" s="34"/>
      <c r="W490" s="34"/>
      <c r="X490" s="34"/>
      <c r="Y490" s="34"/>
      <c r="Z490" s="34"/>
      <c r="AA490" s="38">
        <f t="shared" si="30"/>
        <v>0</v>
      </c>
      <c r="AB490" s="38">
        <f t="shared" si="31"/>
        <v>0</v>
      </c>
      <c r="AC490" s="23"/>
      <c r="AD490" s="23"/>
      <c r="AE490" s="23" t="e">
        <f>IF(#REF!=#REF!,1,0)</f>
        <v>#REF!</v>
      </c>
      <c r="AF490" s="24"/>
      <c r="AG490" s="24"/>
      <c r="AH490" s="24"/>
      <c r="AI490" s="24"/>
      <c r="AJ490" s="27"/>
      <c r="AK490" s="27"/>
      <c r="AL490" s="27"/>
      <c r="AM490" s="27"/>
      <c r="AN490" s="27"/>
      <c r="AO490" s="27"/>
      <c r="AP490" s="27"/>
      <c r="AQ490" s="27"/>
      <c r="AR490" s="27"/>
      <c r="AS490" s="27"/>
      <c r="AT490" s="27"/>
    </row>
    <row r="491" spans="2:46" s="3" customFormat="1" x14ac:dyDescent="0.25">
      <c r="B491" s="30"/>
      <c r="C491" s="31"/>
      <c r="D491" s="32"/>
      <c r="E491" s="33"/>
      <c r="F491" s="34"/>
      <c r="G491" s="34"/>
      <c r="H491" s="34"/>
      <c r="I491" s="34"/>
      <c r="J491" s="34"/>
      <c r="K491" s="34"/>
      <c r="L491" s="34"/>
      <c r="M491" s="34"/>
      <c r="N491" s="34"/>
      <c r="O491" s="38">
        <f t="shared" si="29"/>
        <v>0</v>
      </c>
      <c r="P491" s="34"/>
      <c r="Q491" s="34"/>
      <c r="R491" s="34"/>
      <c r="S491" s="34"/>
      <c r="T491" s="34"/>
      <c r="U491" s="34"/>
      <c r="V491" s="34"/>
      <c r="W491" s="34"/>
      <c r="X491" s="34"/>
      <c r="Y491" s="34"/>
      <c r="Z491" s="34"/>
      <c r="AA491" s="38">
        <f t="shared" si="30"/>
        <v>0</v>
      </c>
      <c r="AB491" s="38">
        <f t="shared" si="31"/>
        <v>0</v>
      </c>
      <c r="AC491" s="23"/>
      <c r="AD491" s="23"/>
      <c r="AE491" s="23" t="e">
        <f>IF(#REF!=#REF!,1,0)</f>
        <v>#REF!</v>
      </c>
      <c r="AF491" s="24"/>
      <c r="AG491" s="24"/>
      <c r="AH491" s="24"/>
      <c r="AI491" s="24"/>
      <c r="AJ491" s="27"/>
      <c r="AK491" s="27"/>
      <c r="AL491" s="27"/>
      <c r="AM491" s="27"/>
      <c r="AN491" s="27"/>
      <c r="AO491" s="27"/>
      <c r="AP491" s="27"/>
      <c r="AQ491" s="27"/>
      <c r="AR491" s="27"/>
      <c r="AS491" s="27"/>
      <c r="AT491" s="27"/>
    </row>
    <row r="492" spans="2:46" s="3" customFormat="1" x14ac:dyDescent="0.25">
      <c r="B492" s="30"/>
      <c r="C492" s="31"/>
      <c r="D492" s="32"/>
      <c r="E492" s="33"/>
      <c r="F492" s="34"/>
      <c r="G492" s="34"/>
      <c r="H492" s="34"/>
      <c r="I492" s="34"/>
      <c r="J492" s="34"/>
      <c r="K492" s="34"/>
      <c r="L492" s="34"/>
      <c r="M492" s="34"/>
      <c r="N492" s="34"/>
      <c r="O492" s="38">
        <f t="shared" si="29"/>
        <v>0</v>
      </c>
      <c r="P492" s="34"/>
      <c r="Q492" s="34"/>
      <c r="R492" s="34"/>
      <c r="S492" s="34"/>
      <c r="T492" s="34"/>
      <c r="U492" s="34"/>
      <c r="V492" s="34"/>
      <c r="W492" s="34"/>
      <c r="X492" s="34"/>
      <c r="Y492" s="34"/>
      <c r="Z492" s="34"/>
      <c r="AA492" s="38">
        <f t="shared" si="30"/>
        <v>0</v>
      </c>
      <c r="AB492" s="38">
        <f t="shared" si="31"/>
        <v>0</v>
      </c>
      <c r="AC492" s="23"/>
      <c r="AD492" s="23"/>
      <c r="AE492" s="23" t="e">
        <f>IF(#REF!=#REF!,1,0)</f>
        <v>#REF!</v>
      </c>
      <c r="AF492" s="24"/>
      <c r="AG492" s="24"/>
      <c r="AH492" s="24"/>
      <c r="AI492" s="24"/>
      <c r="AJ492" s="27"/>
      <c r="AK492" s="27"/>
      <c r="AL492" s="27"/>
      <c r="AM492" s="27"/>
      <c r="AN492" s="27"/>
      <c r="AO492" s="27"/>
      <c r="AP492" s="27"/>
      <c r="AQ492" s="27"/>
      <c r="AR492" s="27"/>
      <c r="AS492" s="27"/>
      <c r="AT492" s="27"/>
    </row>
    <row r="493" spans="2:46" s="3" customFormat="1" x14ac:dyDescent="0.25">
      <c r="B493" s="30"/>
      <c r="C493" s="31"/>
      <c r="D493" s="32"/>
      <c r="E493" s="33"/>
      <c r="F493" s="34"/>
      <c r="G493" s="34"/>
      <c r="H493" s="34"/>
      <c r="I493" s="34"/>
      <c r="J493" s="34"/>
      <c r="K493" s="34"/>
      <c r="L493" s="34"/>
      <c r="M493" s="34"/>
      <c r="N493" s="34"/>
      <c r="O493" s="38">
        <f t="shared" si="29"/>
        <v>0</v>
      </c>
      <c r="P493" s="34"/>
      <c r="Q493" s="34"/>
      <c r="R493" s="34"/>
      <c r="S493" s="34"/>
      <c r="T493" s="34"/>
      <c r="U493" s="34"/>
      <c r="V493" s="34"/>
      <c r="W493" s="34"/>
      <c r="X493" s="34"/>
      <c r="Y493" s="34"/>
      <c r="Z493" s="34"/>
      <c r="AA493" s="38">
        <f t="shared" si="30"/>
        <v>0</v>
      </c>
      <c r="AB493" s="38">
        <f t="shared" si="31"/>
        <v>0</v>
      </c>
      <c r="AC493" s="23"/>
      <c r="AD493" s="23"/>
      <c r="AE493" s="23" t="e">
        <f>IF(#REF!=#REF!,1,0)</f>
        <v>#REF!</v>
      </c>
      <c r="AF493" s="24"/>
      <c r="AG493" s="24"/>
      <c r="AH493" s="24"/>
      <c r="AI493" s="24"/>
      <c r="AJ493" s="27"/>
      <c r="AK493" s="27"/>
      <c r="AL493" s="27"/>
      <c r="AM493" s="27"/>
      <c r="AN493" s="27"/>
      <c r="AO493" s="27"/>
      <c r="AP493" s="27"/>
      <c r="AQ493" s="27"/>
      <c r="AR493" s="27"/>
      <c r="AS493" s="27"/>
      <c r="AT493" s="27"/>
    </row>
    <row r="494" spans="2:46" s="3" customFormat="1" x14ac:dyDescent="0.25">
      <c r="B494" s="30"/>
      <c r="C494" s="31"/>
      <c r="D494" s="32"/>
      <c r="E494" s="33"/>
      <c r="F494" s="34"/>
      <c r="G494" s="34"/>
      <c r="H494" s="34"/>
      <c r="I494" s="34"/>
      <c r="J494" s="34"/>
      <c r="K494" s="34"/>
      <c r="L494" s="34"/>
      <c r="M494" s="34"/>
      <c r="N494" s="34"/>
      <c r="O494" s="38">
        <f t="shared" si="29"/>
        <v>0</v>
      </c>
      <c r="P494" s="34"/>
      <c r="Q494" s="34"/>
      <c r="R494" s="34"/>
      <c r="S494" s="34"/>
      <c r="T494" s="34"/>
      <c r="U494" s="34"/>
      <c r="V494" s="34"/>
      <c r="W494" s="34"/>
      <c r="X494" s="34"/>
      <c r="Y494" s="34"/>
      <c r="Z494" s="34"/>
      <c r="AA494" s="38">
        <f t="shared" si="30"/>
        <v>0</v>
      </c>
      <c r="AB494" s="38">
        <f t="shared" si="31"/>
        <v>0</v>
      </c>
      <c r="AC494" s="23"/>
      <c r="AD494" s="23"/>
      <c r="AE494" s="23" t="e">
        <f>IF(#REF!=#REF!,1,0)</f>
        <v>#REF!</v>
      </c>
      <c r="AF494" s="24"/>
      <c r="AG494" s="24"/>
      <c r="AH494" s="24"/>
      <c r="AI494" s="24"/>
      <c r="AJ494" s="27"/>
      <c r="AK494" s="27"/>
      <c r="AL494" s="27"/>
      <c r="AM494" s="27"/>
      <c r="AN494" s="27"/>
      <c r="AO494" s="27"/>
      <c r="AP494" s="27"/>
      <c r="AQ494" s="27"/>
      <c r="AR494" s="27"/>
      <c r="AS494" s="27"/>
      <c r="AT494" s="27"/>
    </row>
    <row r="495" spans="2:46" s="3" customFormat="1" x14ac:dyDescent="0.25">
      <c r="B495" s="30"/>
      <c r="C495" s="31"/>
      <c r="D495" s="32"/>
      <c r="E495" s="33"/>
      <c r="F495" s="34"/>
      <c r="G495" s="34"/>
      <c r="H495" s="34"/>
      <c r="I495" s="34"/>
      <c r="J495" s="34"/>
      <c r="K495" s="34"/>
      <c r="L495" s="34"/>
      <c r="M495" s="34"/>
      <c r="N495" s="34"/>
      <c r="O495" s="38">
        <f t="shared" si="29"/>
        <v>0</v>
      </c>
      <c r="P495" s="34"/>
      <c r="Q495" s="34"/>
      <c r="R495" s="34"/>
      <c r="S495" s="34"/>
      <c r="T495" s="34"/>
      <c r="U495" s="34"/>
      <c r="V495" s="34"/>
      <c r="W495" s="34"/>
      <c r="X495" s="34"/>
      <c r="Y495" s="34"/>
      <c r="Z495" s="34"/>
      <c r="AA495" s="38">
        <f t="shared" si="30"/>
        <v>0</v>
      </c>
      <c r="AB495" s="38">
        <f t="shared" si="31"/>
        <v>0</v>
      </c>
      <c r="AC495" s="23"/>
      <c r="AD495" s="23"/>
      <c r="AE495" s="23" t="e">
        <f>IF(#REF!=#REF!,1,0)</f>
        <v>#REF!</v>
      </c>
      <c r="AF495" s="24"/>
      <c r="AG495" s="24"/>
      <c r="AH495" s="24"/>
      <c r="AI495" s="24"/>
      <c r="AJ495" s="27"/>
      <c r="AK495" s="27"/>
      <c r="AL495" s="27"/>
      <c r="AM495" s="27"/>
      <c r="AN495" s="27"/>
      <c r="AO495" s="27"/>
      <c r="AP495" s="27"/>
      <c r="AQ495" s="27"/>
      <c r="AR495" s="27"/>
      <c r="AS495" s="27"/>
      <c r="AT495" s="27"/>
    </row>
    <row r="496" spans="2:46" s="3" customFormat="1" x14ac:dyDescent="0.25">
      <c r="B496" s="30"/>
      <c r="C496" s="31"/>
      <c r="D496" s="32"/>
      <c r="E496" s="33"/>
      <c r="F496" s="34"/>
      <c r="G496" s="34"/>
      <c r="H496" s="34"/>
      <c r="I496" s="34"/>
      <c r="J496" s="34"/>
      <c r="K496" s="34"/>
      <c r="L496" s="34"/>
      <c r="M496" s="34"/>
      <c r="N496" s="34"/>
      <c r="O496" s="38">
        <f t="shared" si="29"/>
        <v>0</v>
      </c>
      <c r="P496" s="34"/>
      <c r="Q496" s="34"/>
      <c r="R496" s="34"/>
      <c r="S496" s="34"/>
      <c r="T496" s="34"/>
      <c r="U496" s="34"/>
      <c r="V496" s="34"/>
      <c r="W496" s="34"/>
      <c r="X496" s="34"/>
      <c r="Y496" s="34"/>
      <c r="Z496" s="34"/>
      <c r="AA496" s="38">
        <f t="shared" si="30"/>
        <v>0</v>
      </c>
      <c r="AB496" s="38">
        <f t="shared" si="31"/>
        <v>0</v>
      </c>
      <c r="AC496" s="23"/>
      <c r="AD496" s="23"/>
      <c r="AE496" s="23" t="e">
        <f>IF(#REF!=#REF!,1,0)</f>
        <v>#REF!</v>
      </c>
      <c r="AF496" s="24"/>
      <c r="AG496" s="24"/>
      <c r="AH496" s="24"/>
      <c r="AI496" s="24"/>
      <c r="AJ496" s="27"/>
      <c r="AK496" s="27"/>
      <c r="AL496" s="27"/>
      <c r="AM496" s="27"/>
      <c r="AN496" s="27"/>
      <c r="AO496" s="27"/>
      <c r="AP496" s="27"/>
      <c r="AQ496" s="27"/>
      <c r="AR496" s="27"/>
      <c r="AS496" s="27"/>
      <c r="AT496" s="27"/>
    </row>
    <row r="497" spans="2:46" s="3" customFormat="1" x14ac:dyDescent="0.25">
      <c r="B497" s="30"/>
      <c r="C497" s="31"/>
      <c r="D497" s="32"/>
      <c r="E497" s="33"/>
      <c r="F497" s="34"/>
      <c r="G497" s="34"/>
      <c r="H497" s="34"/>
      <c r="I497" s="34"/>
      <c r="J497" s="34"/>
      <c r="K497" s="34"/>
      <c r="L497" s="34"/>
      <c r="M497" s="34"/>
      <c r="N497" s="34"/>
      <c r="O497" s="38">
        <f t="shared" si="29"/>
        <v>0</v>
      </c>
      <c r="P497" s="34"/>
      <c r="Q497" s="34"/>
      <c r="R497" s="34"/>
      <c r="S497" s="34"/>
      <c r="T497" s="34"/>
      <c r="U497" s="34"/>
      <c r="V497" s="34"/>
      <c r="W497" s="34"/>
      <c r="X497" s="34"/>
      <c r="Y497" s="34"/>
      <c r="Z497" s="34"/>
      <c r="AA497" s="38">
        <f t="shared" si="30"/>
        <v>0</v>
      </c>
      <c r="AB497" s="38">
        <f t="shared" si="31"/>
        <v>0</v>
      </c>
      <c r="AC497" s="23"/>
      <c r="AD497" s="23"/>
      <c r="AE497" s="23" t="e">
        <f>IF(#REF!=#REF!,1,0)</f>
        <v>#REF!</v>
      </c>
      <c r="AF497" s="24"/>
      <c r="AG497" s="24"/>
      <c r="AH497" s="24"/>
      <c r="AI497" s="24"/>
      <c r="AJ497" s="27"/>
      <c r="AK497" s="27"/>
      <c r="AL497" s="27"/>
      <c r="AM497" s="27"/>
      <c r="AN497" s="27"/>
      <c r="AO497" s="27"/>
      <c r="AP497" s="27"/>
      <c r="AQ497" s="27"/>
      <c r="AR497" s="27"/>
      <c r="AS497" s="27"/>
      <c r="AT497" s="27"/>
    </row>
    <row r="498" spans="2:46" s="3" customFormat="1" x14ac:dyDescent="0.25">
      <c r="B498" s="30"/>
      <c r="C498" s="31"/>
      <c r="D498" s="32"/>
      <c r="E498" s="33"/>
      <c r="F498" s="34"/>
      <c r="G498" s="34"/>
      <c r="H498" s="34"/>
      <c r="I498" s="34"/>
      <c r="J498" s="34"/>
      <c r="K498" s="34"/>
      <c r="L498" s="34"/>
      <c r="M498" s="34"/>
      <c r="N498" s="34"/>
      <c r="O498" s="38">
        <f t="shared" si="29"/>
        <v>0</v>
      </c>
      <c r="P498" s="34"/>
      <c r="Q498" s="34"/>
      <c r="R498" s="34"/>
      <c r="S498" s="34"/>
      <c r="T498" s="34"/>
      <c r="U498" s="34"/>
      <c r="V498" s="34"/>
      <c r="W498" s="34"/>
      <c r="X498" s="34"/>
      <c r="Y498" s="34"/>
      <c r="Z498" s="34"/>
      <c r="AA498" s="38">
        <f t="shared" si="30"/>
        <v>0</v>
      </c>
      <c r="AB498" s="38">
        <f t="shared" si="31"/>
        <v>0</v>
      </c>
      <c r="AC498" s="23"/>
      <c r="AD498" s="23"/>
      <c r="AE498" s="23" t="e">
        <f>IF(#REF!=#REF!,1,0)</f>
        <v>#REF!</v>
      </c>
      <c r="AF498" s="24"/>
      <c r="AG498" s="24"/>
      <c r="AH498" s="24"/>
      <c r="AI498" s="24"/>
      <c r="AJ498" s="27"/>
      <c r="AK498" s="27"/>
      <c r="AL498" s="27"/>
      <c r="AM498" s="27"/>
      <c r="AN498" s="27"/>
      <c r="AO498" s="27"/>
      <c r="AP498" s="27"/>
      <c r="AQ498" s="27"/>
      <c r="AR498" s="27"/>
      <c r="AS498" s="27"/>
      <c r="AT498" s="27"/>
    </row>
    <row r="499" spans="2:46" s="3" customFormat="1" x14ac:dyDescent="0.25">
      <c r="B499" s="30"/>
      <c r="C499" s="31"/>
      <c r="D499" s="32"/>
      <c r="E499" s="33"/>
      <c r="F499" s="34"/>
      <c r="G499" s="34"/>
      <c r="H499" s="34"/>
      <c r="I499" s="34"/>
      <c r="J499" s="34"/>
      <c r="K499" s="34"/>
      <c r="L499" s="34"/>
      <c r="M499" s="34"/>
      <c r="N499" s="34"/>
      <c r="O499" s="38">
        <f t="shared" si="29"/>
        <v>0</v>
      </c>
      <c r="P499" s="34"/>
      <c r="Q499" s="34"/>
      <c r="R499" s="34"/>
      <c r="S499" s="34"/>
      <c r="T499" s="34"/>
      <c r="U499" s="34"/>
      <c r="V499" s="34"/>
      <c r="W499" s="34"/>
      <c r="X499" s="34"/>
      <c r="Y499" s="34"/>
      <c r="Z499" s="34"/>
      <c r="AA499" s="38">
        <f t="shared" si="30"/>
        <v>0</v>
      </c>
      <c r="AB499" s="38">
        <f t="shared" si="31"/>
        <v>0</v>
      </c>
      <c r="AC499" s="23"/>
      <c r="AD499" s="23"/>
      <c r="AE499" s="23" t="e">
        <f>IF(#REF!=#REF!,1,0)</f>
        <v>#REF!</v>
      </c>
      <c r="AF499" s="24"/>
      <c r="AG499" s="24"/>
      <c r="AH499" s="24"/>
      <c r="AI499" s="24"/>
      <c r="AJ499" s="27"/>
      <c r="AK499" s="27"/>
      <c r="AL499" s="27"/>
      <c r="AM499" s="27"/>
      <c r="AN499" s="27"/>
      <c r="AO499" s="27"/>
      <c r="AP499" s="27"/>
      <c r="AQ499" s="27"/>
      <c r="AR499" s="27"/>
      <c r="AS499" s="27"/>
      <c r="AT499" s="27"/>
    </row>
    <row r="500" spans="2:46" s="3" customFormat="1" x14ac:dyDescent="0.25">
      <c r="B500" s="30"/>
      <c r="C500" s="31"/>
      <c r="D500" s="32"/>
      <c r="E500" s="33"/>
      <c r="F500" s="34"/>
      <c r="G500" s="34"/>
      <c r="H500" s="34"/>
      <c r="I500" s="34"/>
      <c r="J500" s="34"/>
      <c r="K500" s="34"/>
      <c r="L500" s="34"/>
      <c r="M500" s="34"/>
      <c r="N500" s="34"/>
      <c r="O500" s="38">
        <f t="shared" si="29"/>
        <v>0</v>
      </c>
      <c r="P500" s="34"/>
      <c r="Q500" s="34"/>
      <c r="R500" s="34"/>
      <c r="S500" s="34"/>
      <c r="T500" s="34"/>
      <c r="U500" s="34"/>
      <c r="V500" s="34"/>
      <c r="W500" s="34"/>
      <c r="X500" s="34"/>
      <c r="Y500" s="34"/>
      <c r="Z500" s="34"/>
      <c r="AA500" s="38">
        <f t="shared" si="30"/>
        <v>0</v>
      </c>
      <c r="AB500" s="38">
        <f t="shared" si="31"/>
        <v>0</v>
      </c>
      <c r="AC500" s="23"/>
      <c r="AD500" s="23"/>
      <c r="AE500" s="23" t="e">
        <f>IF(#REF!=#REF!,1,0)</f>
        <v>#REF!</v>
      </c>
      <c r="AF500" s="24"/>
      <c r="AG500" s="24"/>
      <c r="AH500" s="24"/>
      <c r="AI500" s="24"/>
      <c r="AJ500" s="27"/>
      <c r="AK500" s="27"/>
      <c r="AL500" s="27"/>
      <c r="AM500" s="27"/>
      <c r="AN500" s="27"/>
      <c r="AO500" s="27"/>
      <c r="AP500" s="27"/>
      <c r="AQ500" s="27"/>
      <c r="AR500" s="27"/>
      <c r="AS500" s="27"/>
      <c r="AT500" s="27"/>
    </row>
    <row r="501" spans="2:46" s="3" customFormat="1" x14ac:dyDescent="0.25">
      <c r="B501" s="30"/>
      <c r="C501" s="31"/>
      <c r="D501" s="32"/>
      <c r="E501" s="33"/>
      <c r="F501" s="34"/>
      <c r="G501" s="34"/>
      <c r="H501" s="34"/>
      <c r="I501" s="34"/>
      <c r="J501" s="34"/>
      <c r="K501" s="34"/>
      <c r="L501" s="34"/>
      <c r="M501" s="34"/>
      <c r="N501" s="34"/>
      <c r="O501" s="38">
        <f t="shared" si="29"/>
        <v>0</v>
      </c>
      <c r="P501" s="34"/>
      <c r="Q501" s="34"/>
      <c r="R501" s="34"/>
      <c r="S501" s="34"/>
      <c r="T501" s="34"/>
      <c r="U501" s="34"/>
      <c r="V501" s="34"/>
      <c r="W501" s="34"/>
      <c r="X501" s="34"/>
      <c r="Y501" s="34"/>
      <c r="Z501" s="34"/>
      <c r="AA501" s="38">
        <f t="shared" si="30"/>
        <v>0</v>
      </c>
      <c r="AB501" s="38">
        <f t="shared" si="31"/>
        <v>0</v>
      </c>
      <c r="AC501" s="23"/>
      <c r="AD501" s="23"/>
      <c r="AE501" s="23" t="e">
        <f>IF(#REF!=#REF!,1,0)</f>
        <v>#REF!</v>
      </c>
      <c r="AF501" s="24"/>
      <c r="AG501" s="24"/>
      <c r="AH501" s="24"/>
      <c r="AI501" s="24"/>
      <c r="AJ501" s="27"/>
      <c r="AK501" s="27"/>
      <c r="AL501" s="27"/>
      <c r="AM501" s="27"/>
      <c r="AN501" s="27"/>
      <c r="AO501" s="27"/>
      <c r="AP501" s="27"/>
      <c r="AQ501" s="27"/>
      <c r="AR501" s="27"/>
      <c r="AS501" s="27"/>
      <c r="AT501" s="27"/>
    </row>
    <row r="502" spans="2:46" s="3" customFormat="1" x14ac:dyDescent="0.25">
      <c r="B502" s="30"/>
      <c r="C502" s="31"/>
      <c r="D502" s="32"/>
      <c r="E502" s="33"/>
      <c r="F502" s="34"/>
      <c r="G502" s="34"/>
      <c r="H502" s="34"/>
      <c r="I502" s="34"/>
      <c r="J502" s="34"/>
      <c r="K502" s="34"/>
      <c r="L502" s="34"/>
      <c r="M502" s="34"/>
      <c r="N502" s="34"/>
      <c r="O502" s="38">
        <f t="shared" si="29"/>
        <v>0</v>
      </c>
      <c r="P502" s="34"/>
      <c r="Q502" s="34"/>
      <c r="R502" s="34"/>
      <c r="S502" s="34"/>
      <c r="T502" s="34"/>
      <c r="U502" s="34"/>
      <c r="V502" s="34"/>
      <c r="W502" s="34"/>
      <c r="X502" s="34"/>
      <c r="Y502" s="34"/>
      <c r="Z502" s="34"/>
      <c r="AA502" s="38">
        <f t="shared" si="30"/>
        <v>0</v>
      </c>
      <c r="AB502" s="38">
        <f t="shared" si="31"/>
        <v>0</v>
      </c>
      <c r="AC502" s="23"/>
      <c r="AD502" s="23"/>
      <c r="AE502" s="23" t="e">
        <f>IF(#REF!=#REF!,1,0)</f>
        <v>#REF!</v>
      </c>
      <c r="AF502" s="24"/>
      <c r="AG502" s="24"/>
      <c r="AH502" s="24"/>
      <c r="AI502" s="24"/>
      <c r="AJ502" s="27"/>
      <c r="AK502" s="27"/>
      <c r="AL502" s="27"/>
      <c r="AM502" s="27"/>
      <c r="AN502" s="27"/>
      <c r="AO502" s="27"/>
      <c r="AP502" s="27"/>
      <c r="AQ502" s="27"/>
      <c r="AR502" s="27"/>
      <c r="AS502" s="27"/>
      <c r="AT502" s="27"/>
    </row>
    <row r="503" spans="2:46" s="3" customFormat="1" x14ac:dyDescent="0.25">
      <c r="B503" s="4"/>
      <c r="C503" s="51"/>
      <c r="D503" s="52"/>
      <c r="E503" s="53"/>
      <c r="F503" s="2"/>
      <c r="G503" s="2"/>
      <c r="H503" s="2"/>
      <c r="I503" s="2"/>
      <c r="J503" s="2"/>
      <c r="K503" s="2"/>
      <c r="L503" s="2"/>
      <c r="M503" s="2"/>
      <c r="N503" s="2"/>
      <c r="O503" s="7">
        <f t="shared" si="29"/>
        <v>0</v>
      </c>
      <c r="P503" s="2"/>
      <c r="Q503" s="2"/>
      <c r="R503" s="2"/>
      <c r="S503" s="2"/>
      <c r="T503" s="2"/>
      <c r="U503" s="2"/>
      <c r="V503" s="2"/>
      <c r="W503" s="2"/>
      <c r="X503" s="2"/>
      <c r="Y503" s="2"/>
      <c r="Z503" s="2"/>
      <c r="AA503" s="7">
        <f t="shared" si="30"/>
        <v>0</v>
      </c>
      <c r="AB503" s="7">
        <f t="shared" si="31"/>
        <v>0</v>
      </c>
      <c r="AC503" s="9"/>
      <c r="AD503" s="9"/>
      <c r="AE503" s="9" t="e">
        <f>IF(#REF!=#REF!,1,0)</f>
        <v>#REF!</v>
      </c>
      <c r="AF503" s="8"/>
      <c r="AG503" s="8"/>
      <c r="AH503" s="8"/>
      <c r="AI503" s="8"/>
    </row>
    <row r="504" spans="2:46" s="3" customFormat="1" x14ac:dyDescent="0.25">
      <c r="B504" s="4"/>
      <c r="C504" s="51"/>
      <c r="D504" s="52"/>
      <c r="E504" s="53"/>
      <c r="F504" s="2"/>
      <c r="G504" s="2"/>
      <c r="H504" s="2"/>
      <c r="I504" s="2"/>
      <c r="J504" s="2"/>
      <c r="K504" s="2"/>
      <c r="L504" s="2"/>
      <c r="M504" s="2"/>
      <c r="N504" s="2"/>
      <c r="O504" s="7">
        <f t="shared" si="29"/>
        <v>0</v>
      </c>
      <c r="P504" s="2"/>
      <c r="Q504" s="2"/>
      <c r="R504" s="2"/>
      <c r="S504" s="2"/>
      <c r="T504" s="2"/>
      <c r="U504" s="2"/>
      <c r="V504" s="2"/>
      <c r="W504" s="2"/>
      <c r="X504" s="2"/>
      <c r="Y504" s="2"/>
      <c r="Z504" s="2"/>
      <c r="AA504" s="7">
        <f t="shared" si="30"/>
        <v>0</v>
      </c>
      <c r="AB504" s="7">
        <f t="shared" si="31"/>
        <v>0</v>
      </c>
      <c r="AC504" s="9"/>
      <c r="AD504" s="9"/>
      <c r="AE504" s="9" t="e">
        <f>IF(#REF!=#REF!,1,0)</f>
        <v>#REF!</v>
      </c>
      <c r="AF504" s="8"/>
      <c r="AG504" s="8"/>
      <c r="AH504" s="8"/>
      <c r="AI504" s="8"/>
    </row>
    <row r="505" spans="2:46" s="3" customFormat="1" x14ac:dyDescent="0.25">
      <c r="B505" s="4"/>
      <c r="C505" s="51"/>
      <c r="D505" s="52"/>
      <c r="E505" s="53"/>
      <c r="F505" s="2"/>
      <c r="G505" s="2"/>
      <c r="H505" s="2"/>
      <c r="I505" s="2"/>
      <c r="J505" s="2"/>
      <c r="K505" s="2"/>
      <c r="L505" s="2"/>
      <c r="M505" s="2"/>
      <c r="N505" s="2"/>
      <c r="O505" s="7">
        <f t="shared" si="29"/>
        <v>0</v>
      </c>
      <c r="P505" s="2"/>
      <c r="Q505" s="2"/>
      <c r="R505" s="2"/>
      <c r="S505" s="2"/>
      <c r="T505" s="2"/>
      <c r="U505" s="2"/>
      <c r="V505" s="2"/>
      <c r="W505" s="2"/>
      <c r="X505" s="2"/>
      <c r="Y505" s="2"/>
      <c r="Z505" s="2"/>
      <c r="AA505" s="7">
        <f t="shared" si="30"/>
        <v>0</v>
      </c>
      <c r="AB505" s="7">
        <f t="shared" si="31"/>
        <v>0</v>
      </c>
      <c r="AC505" s="9"/>
      <c r="AD505" s="9"/>
      <c r="AE505" s="9" t="e">
        <f>IF(#REF!=#REF!,1,0)</f>
        <v>#REF!</v>
      </c>
      <c r="AF505" s="8"/>
      <c r="AG505" s="8"/>
      <c r="AH505" s="8"/>
      <c r="AI505" s="8"/>
    </row>
    <row r="506" spans="2:46" s="3" customFormat="1" x14ac:dyDescent="0.25">
      <c r="B506" s="4"/>
      <c r="C506" s="51"/>
      <c r="D506" s="52"/>
      <c r="E506" s="53"/>
      <c r="F506" s="2"/>
      <c r="G506" s="2"/>
      <c r="H506" s="2"/>
      <c r="I506" s="2"/>
      <c r="J506" s="2"/>
      <c r="K506" s="2"/>
      <c r="L506" s="2"/>
      <c r="M506" s="2"/>
      <c r="N506" s="2"/>
      <c r="O506" s="7">
        <f t="shared" si="29"/>
        <v>0</v>
      </c>
      <c r="P506" s="2"/>
      <c r="Q506" s="2"/>
      <c r="R506" s="2"/>
      <c r="S506" s="2"/>
      <c r="T506" s="2"/>
      <c r="U506" s="2"/>
      <c r="V506" s="2"/>
      <c r="W506" s="2"/>
      <c r="X506" s="2"/>
      <c r="Y506" s="2"/>
      <c r="Z506" s="2"/>
      <c r="AA506" s="7">
        <f t="shared" si="30"/>
        <v>0</v>
      </c>
      <c r="AB506" s="7">
        <f t="shared" si="31"/>
        <v>0</v>
      </c>
      <c r="AC506" s="9"/>
      <c r="AD506" s="9"/>
      <c r="AE506" s="9" t="e">
        <f>IF(#REF!=#REF!,1,0)</f>
        <v>#REF!</v>
      </c>
      <c r="AF506" s="8"/>
      <c r="AG506" s="8"/>
      <c r="AH506" s="8"/>
      <c r="AI506" s="8"/>
    </row>
    <row r="507" spans="2:46" s="3" customFormat="1" x14ac:dyDescent="0.25">
      <c r="B507" s="4"/>
      <c r="C507" s="51"/>
      <c r="D507" s="52"/>
      <c r="E507" s="53"/>
      <c r="F507" s="2"/>
      <c r="G507" s="2"/>
      <c r="H507" s="2"/>
      <c r="I507" s="2"/>
      <c r="J507" s="2"/>
      <c r="K507" s="2"/>
      <c r="L507" s="2"/>
      <c r="M507" s="2"/>
      <c r="N507" s="2"/>
      <c r="O507" s="7">
        <f t="shared" si="29"/>
        <v>0</v>
      </c>
      <c r="P507" s="2"/>
      <c r="Q507" s="2"/>
      <c r="R507" s="2"/>
      <c r="S507" s="2"/>
      <c r="T507" s="2"/>
      <c r="U507" s="2"/>
      <c r="V507" s="2"/>
      <c r="W507" s="2"/>
      <c r="X507" s="2"/>
      <c r="Y507" s="2"/>
      <c r="Z507" s="2"/>
      <c r="AA507" s="7">
        <f t="shared" si="30"/>
        <v>0</v>
      </c>
      <c r="AB507" s="7">
        <f t="shared" si="31"/>
        <v>0</v>
      </c>
      <c r="AC507" s="9"/>
      <c r="AD507" s="9"/>
      <c r="AE507" s="9" t="e">
        <f>IF(#REF!=#REF!,1,0)</f>
        <v>#REF!</v>
      </c>
      <c r="AF507" s="8"/>
      <c r="AG507" s="8"/>
      <c r="AH507" s="8"/>
      <c r="AI507" s="8"/>
    </row>
    <row r="508" spans="2:46" s="3" customFormat="1" x14ac:dyDescent="0.25">
      <c r="B508" s="4"/>
      <c r="C508" s="51"/>
      <c r="D508" s="52"/>
      <c r="E508" s="53"/>
      <c r="F508" s="2"/>
      <c r="G508" s="2"/>
      <c r="H508" s="2"/>
      <c r="I508" s="2"/>
      <c r="J508" s="2"/>
      <c r="K508" s="2"/>
      <c r="L508" s="2"/>
      <c r="M508" s="2"/>
      <c r="N508" s="2"/>
      <c r="O508" s="7">
        <f t="shared" si="29"/>
        <v>0</v>
      </c>
      <c r="P508" s="2"/>
      <c r="Q508" s="2"/>
      <c r="R508" s="2"/>
      <c r="S508" s="2"/>
      <c r="T508" s="2"/>
      <c r="U508" s="2"/>
      <c r="V508" s="2"/>
      <c r="W508" s="2"/>
      <c r="X508" s="2"/>
      <c r="Y508" s="2"/>
      <c r="Z508" s="2"/>
      <c r="AA508" s="7">
        <f t="shared" si="30"/>
        <v>0</v>
      </c>
      <c r="AB508" s="7">
        <f t="shared" si="31"/>
        <v>0</v>
      </c>
      <c r="AC508" s="9"/>
      <c r="AD508" s="9"/>
      <c r="AE508" s="9" t="e">
        <f>IF(#REF!=#REF!,1,0)</f>
        <v>#REF!</v>
      </c>
      <c r="AF508" s="8"/>
      <c r="AG508" s="8"/>
      <c r="AH508" s="8"/>
      <c r="AI508" s="8"/>
    </row>
    <row r="509" spans="2:46" s="3" customFormat="1" x14ac:dyDescent="0.25">
      <c r="B509" s="4"/>
      <c r="C509" s="51"/>
      <c r="D509" s="52"/>
      <c r="E509" s="53"/>
      <c r="F509" s="2"/>
      <c r="G509" s="2"/>
      <c r="H509" s="2"/>
      <c r="I509" s="2"/>
      <c r="J509" s="2"/>
      <c r="K509" s="2"/>
      <c r="L509" s="2"/>
      <c r="M509" s="2"/>
      <c r="N509" s="2"/>
      <c r="O509" s="7">
        <f t="shared" si="29"/>
        <v>0</v>
      </c>
      <c r="P509" s="2"/>
      <c r="Q509" s="2"/>
      <c r="R509" s="2"/>
      <c r="S509" s="2"/>
      <c r="T509" s="2"/>
      <c r="U509" s="2"/>
      <c r="V509" s="2"/>
      <c r="W509" s="2"/>
      <c r="X509" s="2"/>
      <c r="Y509" s="2"/>
      <c r="Z509" s="2"/>
      <c r="AA509" s="7">
        <f t="shared" si="30"/>
        <v>0</v>
      </c>
      <c r="AB509" s="7">
        <f t="shared" si="31"/>
        <v>0</v>
      </c>
      <c r="AC509" s="9"/>
      <c r="AD509" s="9"/>
      <c r="AE509" s="9" t="e">
        <f>IF(#REF!=#REF!,1,0)</f>
        <v>#REF!</v>
      </c>
      <c r="AF509" s="8"/>
      <c r="AG509" s="8"/>
      <c r="AH509" s="8"/>
      <c r="AI509" s="8"/>
    </row>
    <row r="510" spans="2:46" s="3" customFormat="1" x14ac:dyDescent="0.25">
      <c r="B510" s="4"/>
      <c r="C510" s="51"/>
      <c r="D510" s="52"/>
      <c r="E510" s="53"/>
      <c r="F510" s="2"/>
      <c r="G510" s="2"/>
      <c r="H510" s="2"/>
      <c r="I510" s="2"/>
      <c r="J510" s="2"/>
      <c r="K510" s="2"/>
      <c r="L510" s="2"/>
      <c r="M510" s="2"/>
      <c r="N510" s="2"/>
      <c r="O510" s="7">
        <f t="shared" si="29"/>
        <v>0</v>
      </c>
      <c r="P510" s="2"/>
      <c r="Q510" s="2"/>
      <c r="R510" s="2"/>
      <c r="S510" s="2"/>
      <c r="T510" s="2"/>
      <c r="U510" s="2"/>
      <c r="V510" s="2"/>
      <c r="W510" s="2"/>
      <c r="X510" s="2"/>
      <c r="Y510" s="2"/>
      <c r="Z510" s="2"/>
      <c r="AA510" s="7">
        <f t="shared" si="30"/>
        <v>0</v>
      </c>
      <c r="AB510" s="7">
        <f t="shared" si="31"/>
        <v>0</v>
      </c>
      <c r="AC510" s="9"/>
      <c r="AD510" s="9"/>
      <c r="AE510" s="9" t="e">
        <f>IF(#REF!=#REF!,1,0)</f>
        <v>#REF!</v>
      </c>
      <c r="AF510" s="8"/>
      <c r="AG510" s="8"/>
      <c r="AH510" s="8"/>
      <c r="AI510" s="8"/>
    </row>
    <row r="511" spans="2:46" s="3" customFormat="1" x14ac:dyDescent="0.25">
      <c r="B511" s="4"/>
      <c r="C511" s="51"/>
      <c r="D511" s="52"/>
      <c r="E511" s="53"/>
      <c r="F511" s="2"/>
      <c r="G511" s="2"/>
      <c r="H511" s="2"/>
      <c r="I511" s="2"/>
      <c r="J511" s="2"/>
      <c r="K511" s="2"/>
      <c r="L511" s="2"/>
      <c r="M511" s="2"/>
      <c r="N511" s="2"/>
      <c r="O511" s="7">
        <f t="shared" si="29"/>
        <v>0</v>
      </c>
      <c r="P511" s="2"/>
      <c r="Q511" s="2"/>
      <c r="R511" s="2"/>
      <c r="S511" s="2"/>
      <c r="T511" s="2"/>
      <c r="U511" s="2"/>
      <c r="V511" s="2"/>
      <c r="W511" s="2"/>
      <c r="X511" s="2"/>
      <c r="Y511" s="2"/>
      <c r="Z511" s="2"/>
      <c r="AA511" s="7">
        <f t="shared" si="30"/>
        <v>0</v>
      </c>
      <c r="AB511" s="7">
        <f t="shared" si="31"/>
        <v>0</v>
      </c>
      <c r="AC511" s="9"/>
      <c r="AD511" s="9"/>
      <c r="AE511" s="9" t="e">
        <f>IF(#REF!=#REF!,1,0)</f>
        <v>#REF!</v>
      </c>
      <c r="AF511" s="8"/>
      <c r="AG511" s="8"/>
      <c r="AH511" s="8"/>
      <c r="AI511" s="8"/>
    </row>
    <row r="512" spans="2:46" s="3" customFormat="1" x14ac:dyDescent="0.25">
      <c r="B512" s="4"/>
      <c r="C512" s="51"/>
      <c r="D512" s="52"/>
      <c r="E512" s="53"/>
      <c r="F512" s="2"/>
      <c r="G512" s="2"/>
      <c r="H512" s="2"/>
      <c r="I512" s="2"/>
      <c r="J512" s="2"/>
      <c r="K512" s="2"/>
      <c r="L512" s="2"/>
      <c r="M512" s="2"/>
      <c r="N512" s="2"/>
      <c r="O512" s="7">
        <f t="shared" si="29"/>
        <v>0</v>
      </c>
      <c r="P512" s="2"/>
      <c r="Q512" s="2"/>
      <c r="R512" s="2"/>
      <c r="S512" s="2"/>
      <c r="T512" s="2"/>
      <c r="U512" s="2"/>
      <c r="V512" s="2"/>
      <c r="W512" s="2"/>
      <c r="X512" s="2"/>
      <c r="Y512" s="2"/>
      <c r="Z512" s="2"/>
      <c r="AA512" s="7">
        <f t="shared" si="30"/>
        <v>0</v>
      </c>
      <c r="AB512" s="7">
        <f t="shared" si="31"/>
        <v>0</v>
      </c>
      <c r="AC512" s="9"/>
      <c r="AD512" s="9"/>
      <c r="AE512" s="9" t="e">
        <f>IF(#REF!=#REF!,1,0)</f>
        <v>#REF!</v>
      </c>
      <c r="AF512" s="8"/>
      <c r="AG512" s="8"/>
      <c r="AH512" s="8"/>
      <c r="AI512" s="8"/>
    </row>
    <row r="513" spans="2:35" s="3" customFormat="1" x14ac:dyDescent="0.25">
      <c r="B513" s="4"/>
      <c r="C513" s="51"/>
      <c r="D513" s="52"/>
      <c r="E513" s="53"/>
      <c r="F513" s="2"/>
      <c r="G513" s="2"/>
      <c r="H513" s="2"/>
      <c r="I513" s="2"/>
      <c r="J513" s="2"/>
      <c r="K513" s="2"/>
      <c r="L513" s="2"/>
      <c r="M513" s="2"/>
      <c r="N513" s="2"/>
      <c r="O513" s="7">
        <f t="shared" si="29"/>
        <v>0</v>
      </c>
      <c r="P513" s="2"/>
      <c r="Q513" s="2"/>
      <c r="R513" s="2"/>
      <c r="S513" s="2"/>
      <c r="T513" s="2"/>
      <c r="U513" s="2"/>
      <c r="V513" s="2"/>
      <c r="W513" s="2"/>
      <c r="X513" s="2"/>
      <c r="Y513" s="2"/>
      <c r="Z513" s="2"/>
      <c r="AA513" s="7">
        <f t="shared" si="30"/>
        <v>0</v>
      </c>
      <c r="AB513" s="7">
        <f t="shared" si="31"/>
        <v>0</v>
      </c>
      <c r="AC513" s="9"/>
      <c r="AD513" s="9"/>
      <c r="AE513" s="9" t="e">
        <f>IF(#REF!=#REF!,1,0)</f>
        <v>#REF!</v>
      </c>
      <c r="AF513" s="8"/>
      <c r="AG513" s="8"/>
      <c r="AH513" s="8"/>
      <c r="AI513" s="8"/>
    </row>
    <row r="514" spans="2:35" s="3" customFormat="1" x14ac:dyDescent="0.25">
      <c r="B514" s="4"/>
      <c r="C514" s="51"/>
      <c r="D514" s="52"/>
      <c r="E514" s="53"/>
      <c r="F514" s="2"/>
      <c r="G514" s="2"/>
      <c r="H514" s="2"/>
      <c r="I514" s="2"/>
      <c r="J514" s="2"/>
      <c r="K514" s="2"/>
      <c r="L514" s="2"/>
      <c r="M514" s="2"/>
      <c r="N514" s="2"/>
      <c r="O514" s="7">
        <f t="shared" si="29"/>
        <v>0</v>
      </c>
      <c r="P514" s="2"/>
      <c r="Q514" s="2"/>
      <c r="R514" s="2"/>
      <c r="S514" s="2"/>
      <c r="T514" s="2"/>
      <c r="U514" s="2"/>
      <c r="V514" s="2"/>
      <c r="W514" s="2"/>
      <c r="X514" s="2"/>
      <c r="Y514" s="2"/>
      <c r="Z514" s="2"/>
      <c r="AA514" s="7">
        <f t="shared" si="30"/>
        <v>0</v>
      </c>
      <c r="AB514" s="7">
        <f t="shared" si="31"/>
        <v>0</v>
      </c>
      <c r="AC514" s="9"/>
      <c r="AD514" s="9"/>
      <c r="AE514" s="9" t="e">
        <f>IF(#REF!=#REF!,1,0)</f>
        <v>#REF!</v>
      </c>
      <c r="AF514" s="8"/>
      <c r="AG514" s="8"/>
      <c r="AH514" s="8"/>
      <c r="AI514" s="8"/>
    </row>
    <row r="515" spans="2:35" s="3" customFormat="1" x14ac:dyDescent="0.25">
      <c r="B515" s="4"/>
      <c r="C515" s="51"/>
      <c r="D515" s="52"/>
      <c r="E515" s="53"/>
      <c r="F515" s="2"/>
      <c r="G515" s="2"/>
      <c r="H515" s="2"/>
      <c r="I515" s="2"/>
      <c r="J515" s="2"/>
      <c r="K515" s="2"/>
      <c r="L515" s="2"/>
      <c r="M515" s="2"/>
      <c r="N515" s="2"/>
      <c r="O515" s="7">
        <f t="shared" si="29"/>
        <v>0</v>
      </c>
      <c r="P515" s="2"/>
      <c r="Q515" s="2"/>
      <c r="R515" s="2"/>
      <c r="S515" s="2"/>
      <c r="T515" s="2"/>
      <c r="U515" s="2"/>
      <c r="V515" s="2"/>
      <c r="W515" s="2"/>
      <c r="X515" s="2"/>
      <c r="Y515" s="2"/>
      <c r="Z515" s="2"/>
      <c r="AA515" s="7">
        <f t="shared" si="30"/>
        <v>0</v>
      </c>
      <c r="AB515" s="7">
        <f t="shared" si="31"/>
        <v>0</v>
      </c>
      <c r="AC515" s="9"/>
      <c r="AD515" s="9"/>
      <c r="AE515" s="9" t="e">
        <f>IF(#REF!=#REF!,1,0)</f>
        <v>#REF!</v>
      </c>
      <c r="AF515" s="8"/>
      <c r="AG515" s="8"/>
      <c r="AH515" s="8"/>
      <c r="AI515" s="8"/>
    </row>
    <row r="516" spans="2:35" s="3" customFormat="1" x14ac:dyDescent="0.25">
      <c r="B516" s="4"/>
      <c r="C516" s="51"/>
      <c r="D516" s="52"/>
      <c r="E516" s="53"/>
      <c r="F516" s="2"/>
      <c r="G516" s="2"/>
      <c r="H516" s="2"/>
      <c r="I516" s="2"/>
      <c r="J516" s="2"/>
      <c r="K516" s="2"/>
      <c r="L516" s="2"/>
      <c r="M516" s="2"/>
      <c r="N516" s="2"/>
      <c r="O516" s="7">
        <f t="shared" si="29"/>
        <v>0</v>
      </c>
      <c r="P516" s="2"/>
      <c r="Q516" s="2"/>
      <c r="R516" s="2"/>
      <c r="S516" s="2"/>
      <c r="T516" s="2"/>
      <c r="U516" s="2"/>
      <c r="V516" s="2"/>
      <c r="W516" s="2"/>
      <c r="X516" s="2"/>
      <c r="Y516" s="2"/>
      <c r="Z516" s="2"/>
      <c r="AA516" s="7">
        <f t="shared" si="30"/>
        <v>0</v>
      </c>
      <c r="AB516" s="7">
        <f t="shared" si="31"/>
        <v>0</v>
      </c>
      <c r="AC516" s="9"/>
      <c r="AD516" s="9"/>
      <c r="AE516" s="9" t="e">
        <f>IF(#REF!=#REF!,1,0)</f>
        <v>#REF!</v>
      </c>
      <c r="AF516" s="8"/>
      <c r="AG516" s="8"/>
      <c r="AH516" s="8"/>
      <c r="AI516" s="8"/>
    </row>
    <row r="517" spans="2:35" s="3" customFormat="1" x14ac:dyDescent="0.25">
      <c r="B517" s="4"/>
      <c r="C517" s="51"/>
      <c r="D517" s="52"/>
      <c r="E517" s="53"/>
      <c r="F517" s="2"/>
      <c r="G517" s="2"/>
      <c r="H517" s="2"/>
      <c r="I517" s="2"/>
      <c r="J517" s="2"/>
      <c r="K517" s="2"/>
      <c r="L517" s="2"/>
      <c r="M517" s="2"/>
      <c r="N517" s="2"/>
      <c r="O517" s="7">
        <f t="shared" si="29"/>
        <v>0</v>
      </c>
      <c r="P517" s="2"/>
      <c r="Q517" s="2"/>
      <c r="R517" s="2"/>
      <c r="S517" s="2"/>
      <c r="T517" s="2"/>
      <c r="U517" s="2"/>
      <c r="V517" s="2"/>
      <c r="W517" s="2"/>
      <c r="X517" s="2"/>
      <c r="Y517" s="2"/>
      <c r="Z517" s="2"/>
      <c r="AA517" s="7">
        <f t="shared" si="30"/>
        <v>0</v>
      </c>
      <c r="AB517" s="7">
        <f t="shared" si="31"/>
        <v>0</v>
      </c>
      <c r="AC517" s="9"/>
      <c r="AD517" s="9"/>
      <c r="AE517" s="9" t="e">
        <f>IF(#REF!=#REF!,1,0)</f>
        <v>#REF!</v>
      </c>
      <c r="AF517" s="8"/>
      <c r="AG517" s="8"/>
      <c r="AH517" s="8"/>
      <c r="AI517" s="8"/>
    </row>
    <row r="518" spans="2:35" s="3" customFormat="1" x14ac:dyDescent="0.25">
      <c r="B518" s="4"/>
      <c r="C518" s="51"/>
      <c r="D518" s="52"/>
      <c r="E518" s="53"/>
      <c r="F518" s="2"/>
      <c r="G518" s="2"/>
      <c r="H518" s="2"/>
      <c r="I518" s="2"/>
      <c r="J518" s="2"/>
      <c r="K518" s="2"/>
      <c r="L518" s="2"/>
      <c r="M518" s="2"/>
      <c r="N518" s="2"/>
      <c r="O518" s="7">
        <f t="shared" si="29"/>
        <v>0</v>
      </c>
      <c r="P518" s="2"/>
      <c r="Q518" s="2"/>
      <c r="R518" s="2"/>
      <c r="S518" s="2"/>
      <c r="T518" s="2"/>
      <c r="U518" s="2"/>
      <c r="V518" s="2"/>
      <c r="W518" s="2"/>
      <c r="X518" s="2"/>
      <c r="Y518" s="2"/>
      <c r="Z518" s="2"/>
      <c r="AA518" s="7">
        <f t="shared" si="30"/>
        <v>0</v>
      </c>
      <c r="AB518" s="7">
        <f t="shared" si="31"/>
        <v>0</v>
      </c>
      <c r="AC518" s="9"/>
      <c r="AD518" s="9"/>
      <c r="AE518" s="9" t="e">
        <f>IF(#REF!=#REF!,1,0)</f>
        <v>#REF!</v>
      </c>
      <c r="AF518" s="8"/>
      <c r="AG518" s="8"/>
      <c r="AH518" s="8"/>
      <c r="AI518" s="8"/>
    </row>
    <row r="519" spans="2:35" s="3" customFormat="1" x14ac:dyDescent="0.25">
      <c r="B519" s="4"/>
      <c r="C519" s="51"/>
      <c r="D519" s="52"/>
      <c r="E519" s="53"/>
      <c r="F519" s="2"/>
      <c r="G519" s="2"/>
      <c r="H519" s="2"/>
      <c r="I519" s="2"/>
      <c r="J519" s="2"/>
      <c r="K519" s="2"/>
      <c r="L519" s="2"/>
      <c r="M519" s="2"/>
      <c r="N519" s="2"/>
      <c r="O519" s="7">
        <f t="shared" si="29"/>
        <v>0</v>
      </c>
      <c r="P519" s="2"/>
      <c r="Q519" s="2"/>
      <c r="R519" s="2"/>
      <c r="S519" s="2"/>
      <c r="T519" s="2"/>
      <c r="U519" s="2"/>
      <c r="V519" s="2"/>
      <c r="W519" s="2"/>
      <c r="X519" s="2"/>
      <c r="Y519" s="2"/>
      <c r="Z519" s="2"/>
      <c r="AA519" s="7">
        <f t="shared" si="30"/>
        <v>0</v>
      </c>
      <c r="AB519" s="7">
        <f t="shared" si="31"/>
        <v>0</v>
      </c>
      <c r="AC519" s="9"/>
      <c r="AD519" s="9"/>
      <c r="AE519" s="9" t="e">
        <f>IF(#REF!=#REF!,1,0)</f>
        <v>#REF!</v>
      </c>
      <c r="AF519" s="8"/>
      <c r="AG519" s="8"/>
      <c r="AH519" s="8"/>
      <c r="AI519" s="8"/>
    </row>
    <row r="520" spans="2:35" s="3" customFormat="1" x14ac:dyDescent="0.25">
      <c r="B520" s="4"/>
      <c r="C520" s="51"/>
      <c r="D520" s="52"/>
      <c r="E520" s="53"/>
      <c r="F520" s="2"/>
      <c r="G520" s="2"/>
      <c r="H520" s="2"/>
      <c r="I520" s="2"/>
      <c r="J520" s="2"/>
      <c r="K520" s="2"/>
      <c r="L520" s="2"/>
      <c r="M520" s="2"/>
      <c r="N520" s="2"/>
      <c r="O520" s="7">
        <f t="shared" si="29"/>
        <v>0</v>
      </c>
      <c r="P520" s="2"/>
      <c r="Q520" s="2"/>
      <c r="R520" s="2"/>
      <c r="S520" s="2"/>
      <c r="T520" s="2"/>
      <c r="U520" s="2"/>
      <c r="V520" s="2"/>
      <c r="W520" s="2"/>
      <c r="X520" s="2"/>
      <c r="Y520" s="2"/>
      <c r="Z520" s="2"/>
      <c r="AA520" s="7">
        <f t="shared" si="30"/>
        <v>0</v>
      </c>
      <c r="AB520" s="7">
        <f t="shared" si="31"/>
        <v>0</v>
      </c>
      <c r="AC520" s="9"/>
      <c r="AD520" s="9"/>
      <c r="AE520" s="9" t="e">
        <f>IF(#REF!=#REF!,1,0)</f>
        <v>#REF!</v>
      </c>
      <c r="AF520" s="8"/>
      <c r="AG520" s="8"/>
      <c r="AH520" s="8"/>
      <c r="AI520" s="8"/>
    </row>
    <row r="521" spans="2:35" s="3" customFormat="1" x14ac:dyDescent="0.25">
      <c r="B521" s="4"/>
      <c r="C521" s="51"/>
      <c r="D521" s="52"/>
      <c r="E521" s="53"/>
      <c r="F521" s="2"/>
      <c r="G521" s="2"/>
      <c r="H521" s="2"/>
      <c r="I521" s="2"/>
      <c r="J521" s="2"/>
      <c r="K521" s="2"/>
      <c r="L521" s="2"/>
      <c r="M521" s="2"/>
      <c r="N521" s="2"/>
      <c r="O521" s="7">
        <f t="shared" si="29"/>
        <v>0</v>
      </c>
      <c r="P521" s="2"/>
      <c r="Q521" s="2"/>
      <c r="R521" s="2"/>
      <c r="S521" s="2"/>
      <c r="T521" s="2"/>
      <c r="U521" s="2"/>
      <c r="V521" s="2"/>
      <c r="W521" s="2"/>
      <c r="X521" s="2"/>
      <c r="Y521" s="2"/>
      <c r="Z521" s="2"/>
      <c r="AA521" s="7">
        <f t="shared" si="30"/>
        <v>0</v>
      </c>
      <c r="AB521" s="7">
        <f t="shared" si="31"/>
        <v>0</v>
      </c>
      <c r="AC521" s="9"/>
      <c r="AD521" s="9"/>
      <c r="AE521" s="9" t="e">
        <f>IF(#REF!=#REF!,1,0)</f>
        <v>#REF!</v>
      </c>
      <c r="AF521" s="8"/>
      <c r="AG521" s="8"/>
      <c r="AH521" s="8"/>
      <c r="AI521" s="8"/>
    </row>
    <row r="522" spans="2:35" s="3" customFormat="1" x14ac:dyDescent="0.25">
      <c r="B522" s="4"/>
      <c r="C522" s="51"/>
      <c r="D522" s="52"/>
      <c r="E522" s="53"/>
      <c r="F522" s="2"/>
      <c r="G522" s="2"/>
      <c r="H522" s="2"/>
      <c r="I522" s="2"/>
      <c r="J522" s="2"/>
      <c r="K522" s="2"/>
      <c r="L522" s="2"/>
      <c r="M522" s="2"/>
      <c r="N522" s="2"/>
      <c r="O522" s="7">
        <f t="shared" si="29"/>
        <v>0</v>
      </c>
      <c r="P522" s="2"/>
      <c r="Q522" s="2"/>
      <c r="R522" s="2"/>
      <c r="S522" s="2"/>
      <c r="T522" s="2"/>
      <c r="U522" s="2"/>
      <c r="V522" s="2"/>
      <c r="W522" s="2"/>
      <c r="X522" s="2"/>
      <c r="Y522" s="2"/>
      <c r="Z522" s="2"/>
      <c r="AA522" s="7">
        <f t="shared" si="30"/>
        <v>0</v>
      </c>
      <c r="AB522" s="7">
        <f t="shared" si="31"/>
        <v>0</v>
      </c>
      <c r="AC522" s="9"/>
      <c r="AD522" s="9"/>
      <c r="AE522" s="9" t="e">
        <f>IF(#REF!=#REF!,1,0)</f>
        <v>#REF!</v>
      </c>
      <c r="AF522" s="8"/>
      <c r="AG522" s="8"/>
      <c r="AH522" s="8"/>
      <c r="AI522" s="8"/>
    </row>
    <row r="523" spans="2:35" s="3" customFormat="1" x14ac:dyDescent="0.25">
      <c r="B523" s="4"/>
      <c r="C523" s="51"/>
      <c r="D523" s="52"/>
      <c r="E523" s="53"/>
      <c r="F523" s="2"/>
      <c r="G523" s="2"/>
      <c r="H523" s="2"/>
      <c r="I523" s="2"/>
      <c r="J523" s="2"/>
      <c r="K523" s="2"/>
      <c r="L523" s="2"/>
      <c r="M523" s="2"/>
      <c r="N523" s="2"/>
      <c r="O523" s="7">
        <f t="shared" si="29"/>
        <v>0</v>
      </c>
      <c r="P523" s="2"/>
      <c r="Q523" s="2"/>
      <c r="R523" s="2"/>
      <c r="S523" s="2"/>
      <c r="T523" s="2"/>
      <c r="U523" s="2"/>
      <c r="V523" s="2"/>
      <c r="W523" s="2"/>
      <c r="X523" s="2"/>
      <c r="Y523" s="2"/>
      <c r="Z523" s="2"/>
      <c r="AA523" s="7">
        <f t="shared" si="30"/>
        <v>0</v>
      </c>
      <c r="AB523" s="7">
        <f t="shared" si="31"/>
        <v>0</v>
      </c>
      <c r="AC523" s="9"/>
      <c r="AD523" s="9"/>
      <c r="AE523" s="9" t="e">
        <f>IF(#REF!=#REF!,1,0)</f>
        <v>#REF!</v>
      </c>
      <c r="AF523" s="8"/>
      <c r="AG523" s="8"/>
      <c r="AH523" s="8"/>
      <c r="AI523" s="8"/>
    </row>
    <row r="524" spans="2:35" s="3" customFormat="1" x14ac:dyDescent="0.25">
      <c r="B524" s="4"/>
      <c r="C524" s="51"/>
      <c r="D524" s="52"/>
      <c r="E524" s="53"/>
      <c r="F524" s="2"/>
      <c r="G524" s="2"/>
      <c r="H524" s="2"/>
      <c r="I524" s="2"/>
      <c r="J524" s="2"/>
      <c r="K524" s="2"/>
      <c r="L524" s="2"/>
      <c r="M524" s="2"/>
      <c r="N524" s="2"/>
      <c r="O524" s="7">
        <f t="shared" si="29"/>
        <v>0</v>
      </c>
      <c r="P524" s="2"/>
      <c r="Q524" s="2"/>
      <c r="R524" s="2"/>
      <c r="S524" s="2"/>
      <c r="T524" s="2"/>
      <c r="U524" s="2"/>
      <c r="V524" s="2"/>
      <c r="W524" s="2"/>
      <c r="X524" s="2"/>
      <c r="Y524" s="2"/>
      <c r="Z524" s="2"/>
      <c r="AA524" s="7">
        <f t="shared" si="30"/>
        <v>0</v>
      </c>
      <c r="AB524" s="7">
        <f t="shared" si="31"/>
        <v>0</v>
      </c>
      <c r="AC524" s="9"/>
      <c r="AD524" s="9"/>
      <c r="AE524" s="9" t="e">
        <f>IF(#REF!=#REF!,1,0)</f>
        <v>#REF!</v>
      </c>
      <c r="AF524" s="8"/>
      <c r="AG524" s="8"/>
      <c r="AH524" s="8"/>
      <c r="AI524" s="8"/>
    </row>
    <row r="525" spans="2:35" s="3" customFormat="1" x14ac:dyDescent="0.25">
      <c r="B525" s="4"/>
      <c r="C525" s="51"/>
      <c r="D525" s="52"/>
      <c r="E525" s="53"/>
      <c r="F525" s="2"/>
      <c r="G525" s="2"/>
      <c r="H525" s="2"/>
      <c r="I525" s="2"/>
      <c r="J525" s="2"/>
      <c r="K525" s="2"/>
      <c r="L525" s="2"/>
      <c r="M525" s="2"/>
      <c r="N525" s="2"/>
      <c r="O525" s="7">
        <f t="shared" si="29"/>
        <v>0</v>
      </c>
      <c r="P525" s="2"/>
      <c r="Q525" s="2"/>
      <c r="R525" s="2"/>
      <c r="S525" s="2"/>
      <c r="T525" s="2"/>
      <c r="U525" s="2"/>
      <c r="V525" s="2"/>
      <c r="W525" s="2"/>
      <c r="X525" s="2"/>
      <c r="Y525" s="2"/>
      <c r="Z525" s="2"/>
      <c r="AA525" s="7">
        <f t="shared" si="30"/>
        <v>0</v>
      </c>
      <c r="AB525" s="7">
        <f t="shared" si="31"/>
        <v>0</v>
      </c>
      <c r="AC525" s="9"/>
      <c r="AD525" s="9"/>
      <c r="AE525" s="9" t="e">
        <f>IF(#REF!=#REF!,1,0)</f>
        <v>#REF!</v>
      </c>
      <c r="AF525" s="8"/>
      <c r="AG525" s="8"/>
      <c r="AH525" s="8"/>
      <c r="AI525" s="8"/>
    </row>
    <row r="526" spans="2:35" s="3" customFormat="1" x14ac:dyDescent="0.25">
      <c r="B526" s="4"/>
      <c r="C526" s="51"/>
      <c r="D526" s="52"/>
      <c r="E526" s="53"/>
      <c r="F526" s="2"/>
      <c r="G526" s="2"/>
      <c r="H526" s="2"/>
      <c r="I526" s="2"/>
      <c r="J526" s="2"/>
      <c r="K526" s="2"/>
      <c r="L526" s="2"/>
      <c r="M526" s="2"/>
      <c r="N526" s="2"/>
      <c r="O526" s="7">
        <f t="shared" si="29"/>
        <v>0</v>
      </c>
      <c r="P526" s="2"/>
      <c r="Q526" s="2"/>
      <c r="R526" s="2"/>
      <c r="S526" s="2"/>
      <c r="T526" s="2"/>
      <c r="U526" s="2"/>
      <c r="V526" s="2"/>
      <c r="W526" s="2"/>
      <c r="X526" s="2"/>
      <c r="Y526" s="2"/>
      <c r="Z526" s="2"/>
      <c r="AA526" s="7">
        <f t="shared" si="30"/>
        <v>0</v>
      </c>
      <c r="AB526" s="7">
        <f t="shared" si="31"/>
        <v>0</v>
      </c>
      <c r="AC526" s="9"/>
      <c r="AD526" s="9"/>
      <c r="AE526" s="9" t="e">
        <f>IF(#REF!=#REF!,1,0)</f>
        <v>#REF!</v>
      </c>
      <c r="AF526" s="8"/>
      <c r="AG526" s="8"/>
      <c r="AH526" s="8"/>
      <c r="AI526" s="8"/>
    </row>
    <row r="527" spans="2:35" s="3" customFormat="1" x14ac:dyDescent="0.25">
      <c r="B527" s="4"/>
      <c r="C527" s="51"/>
      <c r="D527" s="52"/>
      <c r="E527" s="53"/>
      <c r="F527" s="2"/>
      <c r="G527" s="2"/>
      <c r="H527" s="2"/>
      <c r="I527" s="2"/>
      <c r="J527" s="2"/>
      <c r="K527" s="2"/>
      <c r="L527" s="2"/>
      <c r="M527" s="2"/>
      <c r="N527" s="2"/>
      <c r="O527" s="7">
        <f t="shared" si="29"/>
        <v>0</v>
      </c>
      <c r="P527" s="2"/>
      <c r="Q527" s="2"/>
      <c r="R527" s="2"/>
      <c r="S527" s="2"/>
      <c r="T527" s="2"/>
      <c r="U527" s="2"/>
      <c r="V527" s="2"/>
      <c r="W527" s="2"/>
      <c r="X527" s="2"/>
      <c r="Y527" s="2"/>
      <c r="Z527" s="2"/>
      <c r="AA527" s="7">
        <f t="shared" si="30"/>
        <v>0</v>
      </c>
      <c r="AB527" s="7">
        <f t="shared" si="31"/>
        <v>0</v>
      </c>
      <c r="AC527" s="9"/>
      <c r="AD527" s="9"/>
      <c r="AE527" s="9" t="e">
        <f>IF(#REF!=#REF!,1,0)</f>
        <v>#REF!</v>
      </c>
      <c r="AF527" s="8"/>
      <c r="AG527" s="8"/>
      <c r="AH527" s="8"/>
      <c r="AI527" s="8"/>
    </row>
    <row r="528" spans="2:35" s="3" customFormat="1" x14ac:dyDescent="0.25">
      <c r="B528" s="4"/>
      <c r="C528" s="51"/>
      <c r="D528" s="52"/>
      <c r="E528" s="53"/>
      <c r="F528" s="2"/>
      <c r="G528" s="2"/>
      <c r="H528" s="2"/>
      <c r="I528" s="2"/>
      <c r="J528" s="2"/>
      <c r="K528" s="2"/>
      <c r="L528" s="2"/>
      <c r="M528" s="2"/>
      <c r="N528" s="2"/>
      <c r="O528" s="7">
        <f t="shared" si="29"/>
        <v>0</v>
      </c>
      <c r="P528" s="2"/>
      <c r="Q528" s="2"/>
      <c r="R528" s="2"/>
      <c r="S528" s="2"/>
      <c r="T528" s="2"/>
      <c r="U528" s="2"/>
      <c r="V528" s="2"/>
      <c r="W528" s="2"/>
      <c r="X528" s="2"/>
      <c r="Y528" s="2"/>
      <c r="Z528" s="2"/>
      <c r="AA528" s="7">
        <f t="shared" si="30"/>
        <v>0</v>
      </c>
      <c r="AB528" s="7">
        <f t="shared" si="31"/>
        <v>0</v>
      </c>
      <c r="AC528" s="9"/>
      <c r="AD528" s="9"/>
      <c r="AE528" s="9" t="e">
        <f>IF(#REF!=#REF!,1,0)</f>
        <v>#REF!</v>
      </c>
      <c r="AF528" s="8"/>
      <c r="AG528" s="8"/>
      <c r="AH528" s="8"/>
      <c r="AI528" s="8"/>
    </row>
    <row r="529" spans="2:35" s="3" customFormat="1" x14ac:dyDescent="0.25">
      <c r="B529" s="4"/>
      <c r="C529" s="51"/>
      <c r="D529" s="52"/>
      <c r="E529" s="53"/>
      <c r="F529" s="2"/>
      <c r="G529" s="2"/>
      <c r="H529" s="2"/>
      <c r="I529" s="2"/>
      <c r="J529" s="2"/>
      <c r="K529" s="2"/>
      <c r="L529" s="2"/>
      <c r="M529" s="2"/>
      <c r="N529" s="2"/>
      <c r="O529" s="7">
        <f t="shared" si="29"/>
        <v>0</v>
      </c>
      <c r="P529" s="2"/>
      <c r="Q529" s="2"/>
      <c r="R529" s="2"/>
      <c r="S529" s="2"/>
      <c r="T529" s="2"/>
      <c r="U529" s="2"/>
      <c r="V529" s="2"/>
      <c r="W529" s="2"/>
      <c r="X529" s="2"/>
      <c r="Y529" s="2"/>
      <c r="Z529" s="2"/>
      <c r="AA529" s="7">
        <f t="shared" si="30"/>
        <v>0</v>
      </c>
      <c r="AB529" s="7">
        <f t="shared" si="31"/>
        <v>0</v>
      </c>
      <c r="AC529" s="9"/>
      <c r="AD529" s="9"/>
      <c r="AE529" s="9" t="e">
        <f>IF(#REF!=#REF!,1,0)</f>
        <v>#REF!</v>
      </c>
      <c r="AF529" s="8"/>
      <c r="AG529" s="8"/>
      <c r="AH529" s="8"/>
      <c r="AI529" s="8"/>
    </row>
    <row r="530" spans="2:35" s="3" customFormat="1" x14ac:dyDescent="0.25">
      <c r="B530" s="4"/>
      <c r="C530" s="51"/>
      <c r="D530" s="52"/>
      <c r="E530" s="53"/>
      <c r="F530" s="2"/>
      <c r="G530" s="2"/>
      <c r="H530" s="2"/>
      <c r="I530" s="2"/>
      <c r="J530" s="2"/>
      <c r="K530" s="2"/>
      <c r="L530" s="2"/>
      <c r="M530" s="2"/>
      <c r="N530" s="2"/>
      <c r="O530" s="7">
        <f t="shared" si="29"/>
        <v>0</v>
      </c>
      <c r="P530" s="2"/>
      <c r="Q530" s="2"/>
      <c r="R530" s="2"/>
      <c r="S530" s="2"/>
      <c r="T530" s="2"/>
      <c r="U530" s="2"/>
      <c r="V530" s="2"/>
      <c r="W530" s="2"/>
      <c r="X530" s="2"/>
      <c r="Y530" s="2"/>
      <c r="Z530" s="2"/>
      <c r="AA530" s="7">
        <f t="shared" si="30"/>
        <v>0</v>
      </c>
      <c r="AB530" s="7">
        <f t="shared" si="31"/>
        <v>0</v>
      </c>
      <c r="AC530" s="9"/>
      <c r="AD530" s="9"/>
      <c r="AE530" s="9" t="e">
        <f>IF(#REF!=#REF!,1,0)</f>
        <v>#REF!</v>
      </c>
      <c r="AF530" s="8"/>
      <c r="AG530" s="8"/>
      <c r="AH530" s="8"/>
      <c r="AI530" s="8"/>
    </row>
    <row r="531" spans="2:35" s="3" customFormat="1" x14ac:dyDescent="0.25">
      <c r="B531" s="4"/>
      <c r="C531" s="51"/>
      <c r="D531" s="52"/>
      <c r="E531" s="53"/>
      <c r="F531" s="2"/>
      <c r="G531" s="2"/>
      <c r="H531" s="2"/>
      <c r="I531" s="2"/>
      <c r="J531" s="2"/>
      <c r="K531" s="2"/>
      <c r="L531" s="2"/>
      <c r="M531" s="2"/>
      <c r="N531" s="2"/>
      <c r="O531" s="7">
        <f t="shared" si="29"/>
        <v>0</v>
      </c>
      <c r="P531" s="2"/>
      <c r="Q531" s="2"/>
      <c r="R531" s="2"/>
      <c r="S531" s="2"/>
      <c r="T531" s="2"/>
      <c r="U531" s="2"/>
      <c r="V531" s="2"/>
      <c r="W531" s="2"/>
      <c r="X531" s="2"/>
      <c r="Y531" s="2"/>
      <c r="Z531" s="2"/>
      <c r="AA531" s="7">
        <f t="shared" si="30"/>
        <v>0</v>
      </c>
      <c r="AB531" s="7">
        <f t="shared" si="31"/>
        <v>0</v>
      </c>
      <c r="AC531" s="9"/>
      <c r="AD531" s="9"/>
      <c r="AE531" s="9" t="e">
        <f>IF(#REF!=#REF!,1,0)</f>
        <v>#REF!</v>
      </c>
      <c r="AF531" s="8"/>
      <c r="AG531" s="8"/>
      <c r="AH531" s="8"/>
      <c r="AI531" s="8"/>
    </row>
    <row r="532" spans="2:35" s="3" customFormat="1" x14ac:dyDescent="0.25">
      <c r="B532" s="4"/>
      <c r="C532" s="51"/>
      <c r="D532" s="52"/>
      <c r="E532" s="53"/>
      <c r="F532" s="2"/>
      <c r="G532" s="2"/>
      <c r="H532" s="2"/>
      <c r="I532" s="2"/>
      <c r="J532" s="2"/>
      <c r="K532" s="2"/>
      <c r="L532" s="2"/>
      <c r="M532" s="2"/>
      <c r="N532" s="2"/>
      <c r="O532" s="7">
        <f t="shared" ref="O532:O595" si="32">SUM(F532:N532)</f>
        <v>0</v>
      </c>
      <c r="P532" s="2"/>
      <c r="Q532" s="2"/>
      <c r="R532" s="2"/>
      <c r="S532" s="2"/>
      <c r="T532" s="2"/>
      <c r="U532" s="2"/>
      <c r="V532" s="2"/>
      <c r="W532" s="2"/>
      <c r="X532" s="2"/>
      <c r="Y532" s="2"/>
      <c r="Z532" s="2"/>
      <c r="AA532" s="7">
        <f t="shared" si="30"/>
        <v>0</v>
      </c>
      <c r="AB532" s="7">
        <f t="shared" si="31"/>
        <v>0</v>
      </c>
      <c r="AC532" s="9"/>
      <c r="AD532" s="9"/>
      <c r="AE532" s="9" t="e">
        <f>IF(#REF!=#REF!,1,0)</f>
        <v>#REF!</v>
      </c>
      <c r="AF532" s="8"/>
      <c r="AG532" s="8"/>
      <c r="AH532" s="8"/>
      <c r="AI532" s="8"/>
    </row>
    <row r="533" spans="2:35" s="3" customFormat="1" x14ac:dyDescent="0.25">
      <c r="B533" s="4"/>
      <c r="C533" s="51"/>
      <c r="D533" s="52"/>
      <c r="E533" s="53"/>
      <c r="F533" s="2"/>
      <c r="G533" s="2"/>
      <c r="H533" s="2"/>
      <c r="I533" s="2"/>
      <c r="J533" s="2"/>
      <c r="K533" s="2"/>
      <c r="L533" s="2"/>
      <c r="M533" s="2"/>
      <c r="N533" s="2"/>
      <c r="O533" s="7">
        <f t="shared" si="32"/>
        <v>0</v>
      </c>
      <c r="P533" s="2"/>
      <c r="Q533" s="2"/>
      <c r="R533" s="2"/>
      <c r="S533" s="2"/>
      <c r="T533" s="2"/>
      <c r="U533" s="2"/>
      <c r="V533" s="2"/>
      <c r="W533" s="2"/>
      <c r="X533" s="2"/>
      <c r="Y533" s="2"/>
      <c r="Z533" s="2"/>
      <c r="AA533" s="7">
        <f t="shared" si="30"/>
        <v>0</v>
      </c>
      <c r="AB533" s="7">
        <f t="shared" si="31"/>
        <v>0</v>
      </c>
      <c r="AC533" s="9"/>
      <c r="AD533" s="9"/>
      <c r="AE533" s="9" t="e">
        <f>IF(#REF!=#REF!,1,0)</f>
        <v>#REF!</v>
      </c>
      <c r="AF533" s="8"/>
      <c r="AG533" s="8"/>
      <c r="AH533" s="8"/>
      <c r="AI533" s="8"/>
    </row>
    <row r="534" spans="2:35" s="3" customFormat="1" x14ac:dyDescent="0.25">
      <c r="B534" s="4"/>
      <c r="C534" s="51"/>
      <c r="D534" s="52"/>
      <c r="E534" s="53"/>
      <c r="F534" s="2"/>
      <c r="G534" s="2"/>
      <c r="H534" s="2"/>
      <c r="I534" s="2"/>
      <c r="J534" s="2"/>
      <c r="K534" s="2"/>
      <c r="L534" s="2"/>
      <c r="M534" s="2"/>
      <c r="N534" s="2"/>
      <c r="O534" s="7">
        <f t="shared" si="32"/>
        <v>0</v>
      </c>
      <c r="P534" s="2"/>
      <c r="Q534" s="2"/>
      <c r="R534" s="2"/>
      <c r="S534" s="2"/>
      <c r="T534" s="2"/>
      <c r="U534" s="2"/>
      <c r="V534" s="2"/>
      <c r="W534" s="2"/>
      <c r="X534" s="2"/>
      <c r="Y534" s="2"/>
      <c r="Z534" s="2"/>
      <c r="AA534" s="7">
        <f t="shared" si="30"/>
        <v>0</v>
      </c>
      <c r="AB534" s="7">
        <f t="shared" si="31"/>
        <v>0</v>
      </c>
      <c r="AC534" s="9"/>
      <c r="AD534" s="9"/>
      <c r="AE534" s="9" t="e">
        <f>IF(#REF!=#REF!,1,0)</f>
        <v>#REF!</v>
      </c>
      <c r="AF534" s="8"/>
      <c r="AG534" s="8"/>
      <c r="AH534" s="8"/>
      <c r="AI534" s="8"/>
    </row>
    <row r="535" spans="2:35" s="3" customFormat="1" x14ac:dyDescent="0.25">
      <c r="B535" s="4"/>
      <c r="C535" s="51"/>
      <c r="D535" s="52"/>
      <c r="E535" s="53"/>
      <c r="F535" s="2"/>
      <c r="G535" s="2"/>
      <c r="H535" s="2"/>
      <c r="I535" s="2"/>
      <c r="J535" s="2"/>
      <c r="K535" s="2"/>
      <c r="L535" s="2"/>
      <c r="M535" s="2"/>
      <c r="N535" s="2"/>
      <c r="O535" s="7">
        <f t="shared" si="32"/>
        <v>0</v>
      </c>
      <c r="P535" s="2"/>
      <c r="Q535" s="2"/>
      <c r="R535" s="2"/>
      <c r="S535" s="2"/>
      <c r="T535" s="2"/>
      <c r="U535" s="2"/>
      <c r="V535" s="2"/>
      <c r="W535" s="2"/>
      <c r="X535" s="2"/>
      <c r="Y535" s="2"/>
      <c r="Z535" s="2"/>
      <c r="AA535" s="7">
        <f t="shared" si="30"/>
        <v>0</v>
      </c>
      <c r="AB535" s="7">
        <f t="shared" si="31"/>
        <v>0</v>
      </c>
      <c r="AC535" s="9"/>
      <c r="AD535" s="9"/>
      <c r="AE535" s="9" t="e">
        <f>IF(#REF!=#REF!,1,0)</f>
        <v>#REF!</v>
      </c>
      <c r="AF535" s="8"/>
      <c r="AG535" s="8"/>
      <c r="AH535" s="8"/>
      <c r="AI535" s="8"/>
    </row>
    <row r="536" spans="2:35" s="3" customFormat="1" x14ac:dyDescent="0.25">
      <c r="B536" s="4"/>
      <c r="C536" s="51"/>
      <c r="D536" s="52"/>
      <c r="E536" s="53"/>
      <c r="F536" s="2"/>
      <c r="G536" s="2"/>
      <c r="H536" s="2"/>
      <c r="I536" s="2"/>
      <c r="J536" s="2"/>
      <c r="K536" s="2"/>
      <c r="L536" s="2"/>
      <c r="M536" s="2"/>
      <c r="N536" s="2"/>
      <c r="O536" s="7">
        <f t="shared" si="32"/>
        <v>0</v>
      </c>
      <c r="P536" s="2"/>
      <c r="Q536" s="2"/>
      <c r="R536" s="2"/>
      <c r="S536" s="2"/>
      <c r="T536" s="2"/>
      <c r="U536" s="2"/>
      <c r="V536" s="2"/>
      <c r="W536" s="2"/>
      <c r="X536" s="2"/>
      <c r="Y536" s="2"/>
      <c r="Z536" s="2"/>
      <c r="AA536" s="7">
        <f t="shared" si="30"/>
        <v>0</v>
      </c>
      <c r="AB536" s="7">
        <f t="shared" si="31"/>
        <v>0</v>
      </c>
      <c r="AC536" s="9"/>
      <c r="AD536" s="9"/>
      <c r="AE536" s="9" t="e">
        <f>IF(#REF!=#REF!,1,0)</f>
        <v>#REF!</v>
      </c>
      <c r="AF536" s="8"/>
      <c r="AG536" s="8"/>
      <c r="AH536" s="8"/>
      <c r="AI536" s="8"/>
    </row>
    <row r="537" spans="2:35" s="3" customFormat="1" x14ac:dyDescent="0.25">
      <c r="B537" s="4"/>
      <c r="C537" s="51"/>
      <c r="D537" s="52"/>
      <c r="E537" s="53"/>
      <c r="F537" s="2"/>
      <c r="G537" s="2"/>
      <c r="H537" s="2"/>
      <c r="I537" s="2"/>
      <c r="J537" s="2"/>
      <c r="K537" s="2"/>
      <c r="L537" s="2"/>
      <c r="M537" s="2"/>
      <c r="N537" s="2"/>
      <c r="O537" s="7">
        <f t="shared" si="32"/>
        <v>0</v>
      </c>
      <c r="P537" s="2"/>
      <c r="Q537" s="2"/>
      <c r="R537" s="2"/>
      <c r="S537" s="2"/>
      <c r="T537" s="2"/>
      <c r="U537" s="2"/>
      <c r="V537" s="2"/>
      <c r="W537" s="2"/>
      <c r="X537" s="2"/>
      <c r="Y537" s="2"/>
      <c r="Z537" s="2"/>
      <c r="AA537" s="7">
        <f t="shared" si="30"/>
        <v>0</v>
      </c>
      <c r="AB537" s="7">
        <f t="shared" si="31"/>
        <v>0</v>
      </c>
      <c r="AC537" s="9"/>
      <c r="AD537" s="9"/>
      <c r="AE537" s="9" t="e">
        <f>IF(#REF!=#REF!,1,0)</f>
        <v>#REF!</v>
      </c>
      <c r="AF537" s="8"/>
      <c r="AG537" s="8"/>
      <c r="AH537" s="8"/>
      <c r="AI537" s="8"/>
    </row>
    <row r="538" spans="2:35" s="3" customFormat="1" x14ac:dyDescent="0.25">
      <c r="B538" s="4"/>
      <c r="C538" s="51"/>
      <c r="D538" s="52"/>
      <c r="E538" s="53"/>
      <c r="F538" s="2"/>
      <c r="G538" s="2"/>
      <c r="H538" s="2"/>
      <c r="I538" s="2"/>
      <c r="J538" s="2"/>
      <c r="K538" s="2"/>
      <c r="L538" s="2"/>
      <c r="M538" s="2"/>
      <c r="N538" s="2"/>
      <c r="O538" s="7">
        <f t="shared" si="32"/>
        <v>0</v>
      </c>
      <c r="P538" s="2"/>
      <c r="Q538" s="2"/>
      <c r="R538" s="2"/>
      <c r="S538" s="2"/>
      <c r="T538" s="2"/>
      <c r="U538" s="2"/>
      <c r="V538" s="2"/>
      <c r="W538" s="2"/>
      <c r="X538" s="2"/>
      <c r="Y538" s="2"/>
      <c r="Z538" s="2"/>
      <c r="AA538" s="7">
        <f t="shared" si="30"/>
        <v>0</v>
      </c>
      <c r="AB538" s="7">
        <f t="shared" si="31"/>
        <v>0</v>
      </c>
      <c r="AC538" s="9"/>
      <c r="AD538" s="9"/>
      <c r="AE538" s="9" t="e">
        <f>IF(#REF!=#REF!,1,0)</f>
        <v>#REF!</v>
      </c>
      <c r="AF538" s="8"/>
      <c r="AG538" s="8"/>
      <c r="AH538" s="8"/>
      <c r="AI538" s="8"/>
    </row>
    <row r="539" spans="2:35" s="3" customFormat="1" x14ac:dyDescent="0.25">
      <c r="B539" s="4"/>
      <c r="C539" s="51"/>
      <c r="D539" s="52"/>
      <c r="E539" s="53"/>
      <c r="F539" s="2"/>
      <c r="G539" s="2"/>
      <c r="H539" s="2"/>
      <c r="I539" s="2"/>
      <c r="J539" s="2"/>
      <c r="K539" s="2"/>
      <c r="L539" s="2"/>
      <c r="M539" s="2"/>
      <c r="N539" s="2"/>
      <c r="O539" s="7">
        <f t="shared" si="32"/>
        <v>0</v>
      </c>
      <c r="P539" s="2"/>
      <c r="Q539" s="2"/>
      <c r="R539" s="2"/>
      <c r="S539" s="2"/>
      <c r="T539" s="2"/>
      <c r="U539" s="2"/>
      <c r="V539" s="2"/>
      <c r="W539" s="2"/>
      <c r="X539" s="2"/>
      <c r="Y539" s="2"/>
      <c r="Z539" s="2"/>
      <c r="AA539" s="7">
        <f t="shared" ref="AA539:AA602" si="33">SUM(P539:Z539)</f>
        <v>0</v>
      </c>
      <c r="AB539" s="7">
        <f t="shared" ref="AB539:AB602" si="34">O539-AA539</f>
        <v>0</v>
      </c>
      <c r="AC539" s="9"/>
      <c r="AD539" s="9"/>
      <c r="AE539" s="9" t="e">
        <f>IF(#REF!=#REF!,1,0)</f>
        <v>#REF!</v>
      </c>
      <c r="AF539" s="8"/>
      <c r="AG539" s="8"/>
      <c r="AH539" s="8"/>
      <c r="AI539" s="8"/>
    </row>
    <row r="540" spans="2:35" s="3" customFormat="1" x14ac:dyDescent="0.25">
      <c r="B540" s="4"/>
      <c r="C540" s="51"/>
      <c r="D540" s="52"/>
      <c r="E540" s="53"/>
      <c r="F540" s="2"/>
      <c r="G540" s="2"/>
      <c r="H540" s="2"/>
      <c r="I540" s="2"/>
      <c r="J540" s="2"/>
      <c r="K540" s="2"/>
      <c r="L540" s="2"/>
      <c r="M540" s="2"/>
      <c r="N540" s="2"/>
      <c r="O540" s="7">
        <f t="shared" si="32"/>
        <v>0</v>
      </c>
      <c r="P540" s="2"/>
      <c r="Q540" s="2"/>
      <c r="R540" s="2"/>
      <c r="S540" s="2"/>
      <c r="T540" s="2"/>
      <c r="U540" s="2"/>
      <c r="V540" s="2"/>
      <c r="W540" s="2"/>
      <c r="X540" s="2"/>
      <c r="Y540" s="2"/>
      <c r="Z540" s="2"/>
      <c r="AA540" s="7">
        <f t="shared" si="33"/>
        <v>0</v>
      </c>
      <c r="AB540" s="7">
        <f t="shared" si="34"/>
        <v>0</v>
      </c>
      <c r="AC540" s="9"/>
      <c r="AD540" s="9"/>
      <c r="AE540" s="9" t="e">
        <f>IF(#REF!=#REF!,1,0)</f>
        <v>#REF!</v>
      </c>
      <c r="AF540" s="8"/>
      <c r="AG540" s="8"/>
      <c r="AH540" s="8"/>
      <c r="AI540" s="8"/>
    </row>
    <row r="541" spans="2:35" s="3" customFormat="1" x14ac:dyDescent="0.25">
      <c r="B541" s="4"/>
      <c r="C541" s="51"/>
      <c r="D541" s="52"/>
      <c r="E541" s="53"/>
      <c r="F541" s="2"/>
      <c r="G541" s="2"/>
      <c r="H541" s="2"/>
      <c r="I541" s="2"/>
      <c r="J541" s="2"/>
      <c r="K541" s="2"/>
      <c r="L541" s="2"/>
      <c r="M541" s="2"/>
      <c r="N541" s="2"/>
      <c r="O541" s="7">
        <f t="shared" si="32"/>
        <v>0</v>
      </c>
      <c r="P541" s="2"/>
      <c r="Q541" s="2"/>
      <c r="R541" s="2"/>
      <c r="S541" s="2"/>
      <c r="T541" s="2"/>
      <c r="U541" s="2"/>
      <c r="V541" s="2"/>
      <c r="W541" s="2"/>
      <c r="X541" s="2"/>
      <c r="Y541" s="2"/>
      <c r="Z541" s="2"/>
      <c r="AA541" s="7">
        <f t="shared" si="33"/>
        <v>0</v>
      </c>
      <c r="AB541" s="7">
        <f t="shared" si="34"/>
        <v>0</v>
      </c>
      <c r="AC541" s="9"/>
      <c r="AD541" s="9"/>
      <c r="AE541" s="9" t="e">
        <f>IF(#REF!=#REF!,1,0)</f>
        <v>#REF!</v>
      </c>
      <c r="AF541" s="8"/>
      <c r="AG541" s="8"/>
      <c r="AH541" s="8"/>
      <c r="AI541" s="8"/>
    </row>
    <row r="542" spans="2:35" s="3" customFormat="1" x14ac:dyDescent="0.25">
      <c r="B542" s="4"/>
      <c r="C542" s="51"/>
      <c r="D542" s="52"/>
      <c r="E542" s="53"/>
      <c r="F542" s="2"/>
      <c r="G542" s="2"/>
      <c r="H542" s="2"/>
      <c r="I542" s="2"/>
      <c r="J542" s="2"/>
      <c r="K542" s="2"/>
      <c r="L542" s="2"/>
      <c r="M542" s="2"/>
      <c r="N542" s="2"/>
      <c r="O542" s="7">
        <f t="shared" si="32"/>
        <v>0</v>
      </c>
      <c r="P542" s="2"/>
      <c r="Q542" s="2"/>
      <c r="R542" s="2"/>
      <c r="S542" s="2"/>
      <c r="T542" s="2"/>
      <c r="U542" s="2"/>
      <c r="V542" s="2"/>
      <c r="W542" s="2"/>
      <c r="X542" s="2"/>
      <c r="Y542" s="2"/>
      <c r="Z542" s="2"/>
      <c r="AA542" s="7">
        <f t="shared" si="33"/>
        <v>0</v>
      </c>
      <c r="AB542" s="7">
        <f t="shared" si="34"/>
        <v>0</v>
      </c>
      <c r="AC542" s="9"/>
      <c r="AD542" s="9"/>
      <c r="AE542" s="9" t="e">
        <f>IF(#REF!=#REF!,1,0)</f>
        <v>#REF!</v>
      </c>
      <c r="AF542" s="8"/>
      <c r="AG542" s="8"/>
      <c r="AH542" s="8"/>
      <c r="AI542" s="8"/>
    </row>
    <row r="543" spans="2:35" s="3" customFormat="1" x14ac:dyDescent="0.25">
      <c r="B543" s="4"/>
      <c r="C543" s="51"/>
      <c r="D543" s="52"/>
      <c r="E543" s="53"/>
      <c r="F543" s="2"/>
      <c r="G543" s="2"/>
      <c r="H543" s="2"/>
      <c r="I543" s="2"/>
      <c r="J543" s="2"/>
      <c r="K543" s="2"/>
      <c r="L543" s="2"/>
      <c r="M543" s="2"/>
      <c r="N543" s="2"/>
      <c r="O543" s="7">
        <f t="shared" si="32"/>
        <v>0</v>
      </c>
      <c r="P543" s="2"/>
      <c r="Q543" s="2"/>
      <c r="R543" s="2"/>
      <c r="S543" s="2"/>
      <c r="T543" s="2"/>
      <c r="U543" s="2"/>
      <c r="V543" s="2"/>
      <c r="W543" s="2"/>
      <c r="X543" s="2"/>
      <c r="Y543" s="2"/>
      <c r="Z543" s="2"/>
      <c r="AA543" s="7">
        <f t="shared" si="33"/>
        <v>0</v>
      </c>
      <c r="AB543" s="7">
        <f t="shared" si="34"/>
        <v>0</v>
      </c>
      <c r="AC543" s="9"/>
      <c r="AD543" s="9"/>
      <c r="AE543" s="9" t="e">
        <f>IF(#REF!=#REF!,1,0)</f>
        <v>#REF!</v>
      </c>
      <c r="AF543" s="8"/>
      <c r="AG543" s="8"/>
      <c r="AH543" s="8"/>
      <c r="AI543" s="8"/>
    </row>
    <row r="544" spans="2:35" s="3" customFormat="1" x14ac:dyDescent="0.25">
      <c r="B544" s="4"/>
      <c r="C544" s="51"/>
      <c r="D544" s="52"/>
      <c r="E544" s="53"/>
      <c r="F544" s="2"/>
      <c r="G544" s="2"/>
      <c r="H544" s="2"/>
      <c r="I544" s="2"/>
      <c r="J544" s="2"/>
      <c r="K544" s="2"/>
      <c r="L544" s="2"/>
      <c r="M544" s="2"/>
      <c r="N544" s="2"/>
      <c r="O544" s="7">
        <f t="shared" si="32"/>
        <v>0</v>
      </c>
      <c r="P544" s="2"/>
      <c r="Q544" s="2"/>
      <c r="R544" s="2"/>
      <c r="S544" s="2"/>
      <c r="T544" s="2"/>
      <c r="U544" s="2"/>
      <c r="V544" s="2"/>
      <c r="W544" s="2"/>
      <c r="X544" s="2"/>
      <c r="Y544" s="2"/>
      <c r="Z544" s="2"/>
      <c r="AA544" s="7">
        <f t="shared" si="33"/>
        <v>0</v>
      </c>
      <c r="AB544" s="7">
        <f t="shared" si="34"/>
        <v>0</v>
      </c>
      <c r="AC544" s="9"/>
      <c r="AD544" s="9"/>
      <c r="AE544" s="9" t="e">
        <f>IF(#REF!=#REF!,1,0)</f>
        <v>#REF!</v>
      </c>
      <c r="AF544" s="8"/>
      <c r="AG544" s="8"/>
      <c r="AH544" s="8"/>
      <c r="AI544" s="8"/>
    </row>
    <row r="545" spans="2:35" s="3" customFormat="1" x14ac:dyDescent="0.25">
      <c r="B545" s="4"/>
      <c r="C545" s="51"/>
      <c r="D545" s="52"/>
      <c r="E545" s="53"/>
      <c r="F545" s="2"/>
      <c r="G545" s="2"/>
      <c r="H545" s="2"/>
      <c r="I545" s="2"/>
      <c r="J545" s="2"/>
      <c r="K545" s="2"/>
      <c r="L545" s="2"/>
      <c r="M545" s="2"/>
      <c r="N545" s="2"/>
      <c r="O545" s="7">
        <f t="shared" si="32"/>
        <v>0</v>
      </c>
      <c r="P545" s="2"/>
      <c r="Q545" s="2"/>
      <c r="R545" s="2"/>
      <c r="S545" s="2"/>
      <c r="T545" s="2"/>
      <c r="U545" s="2"/>
      <c r="V545" s="2"/>
      <c r="W545" s="2"/>
      <c r="X545" s="2"/>
      <c r="Y545" s="2"/>
      <c r="Z545" s="2"/>
      <c r="AA545" s="7">
        <f t="shared" si="33"/>
        <v>0</v>
      </c>
      <c r="AB545" s="7">
        <f t="shared" si="34"/>
        <v>0</v>
      </c>
      <c r="AC545" s="9"/>
      <c r="AD545" s="9"/>
      <c r="AE545" s="9" t="e">
        <f>IF(#REF!=#REF!,1,0)</f>
        <v>#REF!</v>
      </c>
      <c r="AF545" s="8"/>
      <c r="AG545" s="8"/>
      <c r="AH545" s="8"/>
      <c r="AI545" s="8"/>
    </row>
    <row r="546" spans="2:35" s="3" customFormat="1" x14ac:dyDescent="0.25">
      <c r="B546" s="4"/>
      <c r="C546" s="51"/>
      <c r="D546" s="52"/>
      <c r="E546" s="53"/>
      <c r="F546" s="2"/>
      <c r="G546" s="2"/>
      <c r="H546" s="2"/>
      <c r="I546" s="2"/>
      <c r="J546" s="2"/>
      <c r="K546" s="2"/>
      <c r="L546" s="2"/>
      <c r="M546" s="2"/>
      <c r="N546" s="2"/>
      <c r="O546" s="7">
        <f t="shared" si="32"/>
        <v>0</v>
      </c>
      <c r="P546" s="2"/>
      <c r="Q546" s="2"/>
      <c r="R546" s="2"/>
      <c r="S546" s="2"/>
      <c r="T546" s="2"/>
      <c r="U546" s="2"/>
      <c r="V546" s="2"/>
      <c r="W546" s="2"/>
      <c r="X546" s="2"/>
      <c r="Y546" s="2"/>
      <c r="Z546" s="2"/>
      <c r="AA546" s="7">
        <f t="shared" si="33"/>
        <v>0</v>
      </c>
      <c r="AB546" s="7">
        <f t="shared" si="34"/>
        <v>0</v>
      </c>
      <c r="AC546" s="9"/>
      <c r="AD546" s="9"/>
      <c r="AE546" s="9" t="e">
        <f>IF(#REF!=#REF!,1,0)</f>
        <v>#REF!</v>
      </c>
      <c r="AF546" s="8"/>
      <c r="AG546" s="8"/>
      <c r="AH546" s="8"/>
      <c r="AI546" s="8"/>
    </row>
    <row r="547" spans="2:35" s="3" customFormat="1" x14ac:dyDescent="0.25">
      <c r="B547" s="4"/>
      <c r="C547" s="51"/>
      <c r="D547" s="52"/>
      <c r="E547" s="53"/>
      <c r="F547" s="2"/>
      <c r="G547" s="2"/>
      <c r="H547" s="2"/>
      <c r="I547" s="2"/>
      <c r="J547" s="2"/>
      <c r="K547" s="2"/>
      <c r="L547" s="2"/>
      <c r="M547" s="2"/>
      <c r="N547" s="2"/>
      <c r="O547" s="7">
        <f t="shared" si="32"/>
        <v>0</v>
      </c>
      <c r="P547" s="2"/>
      <c r="Q547" s="2"/>
      <c r="R547" s="2"/>
      <c r="S547" s="2"/>
      <c r="T547" s="2"/>
      <c r="U547" s="2"/>
      <c r="V547" s="2"/>
      <c r="W547" s="2"/>
      <c r="X547" s="2"/>
      <c r="Y547" s="2"/>
      <c r="Z547" s="2"/>
      <c r="AA547" s="7">
        <f t="shared" si="33"/>
        <v>0</v>
      </c>
      <c r="AB547" s="7">
        <f t="shared" si="34"/>
        <v>0</v>
      </c>
      <c r="AC547" s="9"/>
      <c r="AD547" s="9"/>
      <c r="AE547" s="9" t="e">
        <f>IF(#REF!=#REF!,1,0)</f>
        <v>#REF!</v>
      </c>
      <c r="AF547" s="8"/>
      <c r="AG547" s="8"/>
      <c r="AH547" s="8"/>
      <c r="AI547" s="8"/>
    </row>
    <row r="548" spans="2:35" s="3" customFormat="1" x14ac:dyDescent="0.25">
      <c r="B548" s="4"/>
      <c r="C548" s="51"/>
      <c r="D548" s="52"/>
      <c r="E548" s="53"/>
      <c r="F548" s="2"/>
      <c r="G548" s="2"/>
      <c r="H548" s="2"/>
      <c r="I548" s="2"/>
      <c r="J548" s="2"/>
      <c r="K548" s="2"/>
      <c r="L548" s="2"/>
      <c r="M548" s="2"/>
      <c r="N548" s="2"/>
      <c r="O548" s="7">
        <f t="shared" si="32"/>
        <v>0</v>
      </c>
      <c r="P548" s="2"/>
      <c r="Q548" s="2"/>
      <c r="R548" s="2"/>
      <c r="S548" s="2"/>
      <c r="T548" s="2"/>
      <c r="U548" s="2"/>
      <c r="V548" s="2"/>
      <c r="W548" s="2"/>
      <c r="X548" s="2"/>
      <c r="Y548" s="2"/>
      <c r="Z548" s="2"/>
      <c r="AA548" s="7">
        <f t="shared" si="33"/>
        <v>0</v>
      </c>
      <c r="AB548" s="7">
        <f t="shared" si="34"/>
        <v>0</v>
      </c>
      <c r="AC548" s="9"/>
      <c r="AD548" s="9"/>
      <c r="AE548" s="9" t="e">
        <f>IF(#REF!=#REF!,1,0)</f>
        <v>#REF!</v>
      </c>
      <c r="AF548" s="8"/>
      <c r="AG548" s="8"/>
      <c r="AH548" s="8"/>
      <c r="AI548" s="8"/>
    </row>
    <row r="549" spans="2:35" s="3" customFormat="1" x14ac:dyDescent="0.25">
      <c r="B549" s="4"/>
      <c r="C549" s="51"/>
      <c r="D549" s="52"/>
      <c r="E549" s="53"/>
      <c r="F549" s="2"/>
      <c r="G549" s="2"/>
      <c r="H549" s="2"/>
      <c r="I549" s="2"/>
      <c r="J549" s="2"/>
      <c r="K549" s="2"/>
      <c r="L549" s="2"/>
      <c r="M549" s="2"/>
      <c r="N549" s="2"/>
      <c r="O549" s="7">
        <f t="shared" si="32"/>
        <v>0</v>
      </c>
      <c r="P549" s="2"/>
      <c r="Q549" s="2"/>
      <c r="R549" s="2"/>
      <c r="S549" s="2"/>
      <c r="T549" s="2"/>
      <c r="U549" s="2"/>
      <c r="V549" s="2"/>
      <c r="W549" s="2"/>
      <c r="X549" s="2"/>
      <c r="Y549" s="2"/>
      <c r="Z549" s="2"/>
      <c r="AA549" s="7">
        <f t="shared" si="33"/>
        <v>0</v>
      </c>
      <c r="AB549" s="7">
        <f t="shared" si="34"/>
        <v>0</v>
      </c>
      <c r="AC549" s="9"/>
      <c r="AD549" s="9"/>
      <c r="AE549" s="9" t="e">
        <f>IF(#REF!=#REF!,1,0)</f>
        <v>#REF!</v>
      </c>
      <c r="AF549" s="8"/>
      <c r="AG549" s="8"/>
      <c r="AH549" s="8"/>
      <c r="AI549" s="8"/>
    </row>
    <row r="550" spans="2:35" s="3" customFormat="1" x14ac:dyDescent="0.25">
      <c r="B550" s="4"/>
      <c r="C550" s="51"/>
      <c r="D550" s="52"/>
      <c r="E550" s="53"/>
      <c r="F550" s="2"/>
      <c r="G550" s="2"/>
      <c r="H550" s="2"/>
      <c r="I550" s="2"/>
      <c r="J550" s="2"/>
      <c r="K550" s="2"/>
      <c r="L550" s="2"/>
      <c r="M550" s="2"/>
      <c r="N550" s="2"/>
      <c r="O550" s="7">
        <f t="shared" si="32"/>
        <v>0</v>
      </c>
      <c r="P550" s="2"/>
      <c r="Q550" s="2"/>
      <c r="R550" s="2"/>
      <c r="S550" s="2"/>
      <c r="T550" s="2"/>
      <c r="U550" s="2"/>
      <c r="V550" s="2"/>
      <c r="W550" s="2"/>
      <c r="X550" s="2"/>
      <c r="Y550" s="2"/>
      <c r="Z550" s="2"/>
      <c r="AA550" s="7">
        <f t="shared" si="33"/>
        <v>0</v>
      </c>
      <c r="AB550" s="7">
        <f t="shared" si="34"/>
        <v>0</v>
      </c>
      <c r="AC550" s="9"/>
      <c r="AD550" s="9"/>
      <c r="AE550" s="9" t="e">
        <f>IF(#REF!=#REF!,1,0)</f>
        <v>#REF!</v>
      </c>
      <c r="AF550" s="8"/>
      <c r="AG550" s="8"/>
      <c r="AH550" s="8"/>
      <c r="AI550" s="8"/>
    </row>
    <row r="551" spans="2:35" s="3" customFormat="1" x14ac:dyDescent="0.25">
      <c r="B551" s="4"/>
      <c r="C551" s="51"/>
      <c r="D551" s="52"/>
      <c r="E551" s="53"/>
      <c r="F551" s="2"/>
      <c r="G551" s="2"/>
      <c r="H551" s="2"/>
      <c r="I551" s="2"/>
      <c r="J551" s="2"/>
      <c r="K551" s="2"/>
      <c r="L551" s="2"/>
      <c r="M551" s="2"/>
      <c r="N551" s="2"/>
      <c r="O551" s="7">
        <f t="shared" si="32"/>
        <v>0</v>
      </c>
      <c r="P551" s="2"/>
      <c r="Q551" s="2"/>
      <c r="R551" s="2"/>
      <c r="S551" s="2"/>
      <c r="T551" s="2"/>
      <c r="U551" s="2"/>
      <c r="V551" s="2"/>
      <c r="W551" s="2"/>
      <c r="X551" s="2"/>
      <c r="Y551" s="2"/>
      <c r="Z551" s="2"/>
      <c r="AA551" s="7">
        <f t="shared" si="33"/>
        <v>0</v>
      </c>
      <c r="AB551" s="7">
        <f t="shared" si="34"/>
        <v>0</v>
      </c>
      <c r="AC551" s="9"/>
      <c r="AD551" s="9"/>
      <c r="AE551" s="9" t="e">
        <f>IF(#REF!=#REF!,1,0)</f>
        <v>#REF!</v>
      </c>
      <c r="AF551" s="8"/>
      <c r="AG551" s="8"/>
      <c r="AH551" s="8"/>
      <c r="AI551" s="8"/>
    </row>
    <row r="552" spans="2:35" s="3" customFormat="1" x14ac:dyDescent="0.25">
      <c r="B552" s="4"/>
      <c r="C552" s="51"/>
      <c r="D552" s="52"/>
      <c r="E552" s="53"/>
      <c r="F552" s="2"/>
      <c r="G552" s="2"/>
      <c r="H552" s="2"/>
      <c r="I552" s="2"/>
      <c r="J552" s="2"/>
      <c r="K552" s="2"/>
      <c r="L552" s="2"/>
      <c r="M552" s="2"/>
      <c r="N552" s="2"/>
      <c r="O552" s="7">
        <f t="shared" si="32"/>
        <v>0</v>
      </c>
      <c r="P552" s="2"/>
      <c r="Q552" s="2"/>
      <c r="R552" s="2"/>
      <c r="S552" s="2"/>
      <c r="T552" s="2"/>
      <c r="U552" s="2"/>
      <c r="V552" s="2"/>
      <c r="W552" s="2"/>
      <c r="X552" s="2"/>
      <c r="Y552" s="2"/>
      <c r="Z552" s="2"/>
      <c r="AA552" s="7">
        <f t="shared" si="33"/>
        <v>0</v>
      </c>
      <c r="AB552" s="7">
        <f t="shared" si="34"/>
        <v>0</v>
      </c>
      <c r="AC552" s="9"/>
      <c r="AD552" s="9"/>
      <c r="AE552" s="9" t="e">
        <f>IF(#REF!=#REF!,1,0)</f>
        <v>#REF!</v>
      </c>
      <c r="AF552" s="8"/>
      <c r="AG552" s="8"/>
      <c r="AH552" s="8"/>
      <c r="AI552" s="8"/>
    </row>
    <row r="553" spans="2:35" s="3" customFormat="1" x14ac:dyDescent="0.25">
      <c r="B553" s="4"/>
      <c r="C553" s="51"/>
      <c r="D553" s="52"/>
      <c r="E553" s="53"/>
      <c r="F553" s="2"/>
      <c r="G553" s="2"/>
      <c r="H553" s="2"/>
      <c r="I553" s="2"/>
      <c r="J553" s="2"/>
      <c r="K553" s="2"/>
      <c r="L553" s="2"/>
      <c r="M553" s="2"/>
      <c r="N553" s="2"/>
      <c r="O553" s="7">
        <f t="shared" si="32"/>
        <v>0</v>
      </c>
      <c r="P553" s="2"/>
      <c r="Q553" s="2"/>
      <c r="R553" s="2"/>
      <c r="S553" s="2"/>
      <c r="T553" s="2"/>
      <c r="U553" s="2"/>
      <c r="V553" s="2"/>
      <c r="W553" s="2"/>
      <c r="X553" s="2"/>
      <c r="Y553" s="2"/>
      <c r="Z553" s="2"/>
      <c r="AA553" s="7">
        <f t="shared" si="33"/>
        <v>0</v>
      </c>
      <c r="AB553" s="7">
        <f t="shared" si="34"/>
        <v>0</v>
      </c>
      <c r="AC553" s="9"/>
      <c r="AD553" s="9"/>
      <c r="AE553" s="9" t="e">
        <f>IF(#REF!=#REF!,1,0)</f>
        <v>#REF!</v>
      </c>
      <c r="AF553" s="8"/>
      <c r="AG553" s="8"/>
      <c r="AH553" s="8"/>
      <c r="AI553" s="8"/>
    </row>
    <row r="554" spans="2:35" s="3" customFormat="1" x14ac:dyDescent="0.25">
      <c r="B554" s="4"/>
      <c r="C554" s="51"/>
      <c r="D554" s="52"/>
      <c r="E554" s="53"/>
      <c r="F554" s="2"/>
      <c r="G554" s="2"/>
      <c r="H554" s="2"/>
      <c r="I554" s="2"/>
      <c r="J554" s="2"/>
      <c r="K554" s="2"/>
      <c r="L554" s="2"/>
      <c r="M554" s="2"/>
      <c r="N554" s="2"/>
      <c r="O554" s="7">
        <f t="shared" si="32"/>
        <v>0</v>
      </c>
      <c r="P554" s="2"/>
      <c r="Q554" s="2"/>
      <c r="R554" s="2"/>
      <c r="S554" s="2"/>
      <c r="T554" s="2"/>
      <c r="U554" s="2"/>
      <c r="V554" s="2"/>
      <c r="W554" s="2"/>
      <c r="X554" s="2"/>
      <c r="Y554" s="2"/>
      <c r="Z554" s="2"/>
      <c r="AA554" s="7">
        <f t="shared" si="33"/>
        <v>0</v>
      </c>
      <c r="AB554" s="7">
        <f t="shared" si="34"/>
        <v>0</v>
      </c>
      <c r="AC554" s="9"/>
      <c r="AD554" s="9"/>
      <c r="AE554" s="9" t="e">
        <f>IF(#REF!=#REF!,1,0)</f>
        <v>#REF!</v>
      </c>
      <c r="AF554" s="8"/>
      <c r="AG554" s="8"/>
      <c r="AH554" s="8"/>
      <c r="AI554" s="8"/>
    </row>
    <row r="555" spans="2:35" s="3" customFormat="1" x14ac:dyDescent="0.25">
      <c r="B555" s="4"/>
      <c r="C555" s="51"/>
      <c r="D555" s="52"/>
      <c r="E555" s="53"/>
      <c r="F555" s="2"/>
      <c r="G555" s="2"/>
      <c r="H555" s="2"/>
      <c r="I555" s="2"/>
      <c r="J555" s="2"/>
      <c r="K555" s="2"/>
      <c r="L555" s="2"/>
      <c r="M555" s="2"/>
      <c r="N555" s="2"/>
      <c r="O555" s="7">
        <f t="shared" si="32"/>
        <v>0</v>
      </c>
      <c r="P555" s="2"/>
      <c r="Q555" s="2"/>
      <c r="R555" s="2"/>
      <c r="S555" s="2"/>
      <c r="T555" s="2"/>
      <c r="U555" s="2"/>
      <c r="V555" s="2"/>
      <c r="W555" s="2"/>
      <c r="X555" s="2"/>
      <c r="Y555" s="2"/>
      <c r="Z555" s="2"/>
      <c r="AA555" s="7">
        <f t="shared" si="33"/>
        <v>0</v>
      </c>
      <c r="AB555" s="7">
        <f t="shared" si="34"/>
        <v>0</v>
      </c>
      <c r="AC555" s="9"/>
      <c r="AD555" s="9"/>
      <c r="AE555" s="9" t="e">
        <f>IF(#REF!=#REF!,1,0)</f>
        <v>#REF!</v>
      </c>
      <c r="AF555" s="8"/>
      <c r="AG555" s="8"/>
      <c r="AH555" s="8"/>
      <c r="AI555" s="8"/>
    </row>
    <row r="556" spans="2:35" s="3" customFormat="1" x14ac:dyDescent="0.25">
      <c r="B556" s="4"/>
      <c r="C556" s="51"/>
      <c r="D556" s="52"/>
      <c r="E556" s="53"/>
      <c r="F556" s="2"/>
      <c r="G556" s="2"/>
      <c r="H556" s="2"/>
      <c r="I556" s="2"/>
      <c r="J556" s="2"/>
      <c r="K556" s="2"/>
      <c r="L556" s="2"/>
      <c r="M556" s="2"/>
      <c r="N556" s="2"/>
      <c r="O556" s="7">
        <f t="shared" si="32"/>
        <v>0</v>
      </c>
      <c r="P556" s="2"/>
      <c r="Q556" s="2"/>
      <c r="R556" s="2"/>
      <c r="S556" s="2"/>
      <c r="T556" s="2"/>
      <c r="U556" s="2"/>
      <c r="V556" s="2"/>
      <c r="W556" s="2"/>
      <c r="X556" s="2"/>
      <c r="Y556" s="2"/>
      <c r="Z556" s="2"/>
      <c r="AA556" s="7">
        <f t="shared" si="33"/>
        <v>0</v>
      </c>
      <c r="AB556" s="7">
        <f t="shared" si="34"/>
        <v>0</v>
      </c>
      <c r="AC556" s="9"/>
      <c r="AD556" s="9"/>
      <c r="AE556" s="9" t="e">
        <f>IF(#REF!=#REF!,1,0)</f>
        <v>#REF!</v>
      </c>
      <c r="AF556" s="8"/>
      <c r="AG556" s="8"/>
      <c r="AH556" s="8"/>
      <c r="AI556" s="8"/>
    </row>
    <row r="557" spans="2:35" s="3" customFormat="1" x14ac:dyDescent="0.25">
      <c r="B557" s="4"/>
      <c r="C557" s="51"/>
      <c r="D557" s="52"/>
      <c r="E557" s="53"/>
      <c r="F557" s="2"/>
      <c r="G557" s="2"/>
      <c r="H557" s="2"/>
      <c r="I557" s="2"/>
      <c r="J557" s="2"/>
      <c r="K557" s="2"/>
      <c r="L557" s="2"/>
      <c r="M557" s="2"/>
      <c r="N557" s="2"/>
      <c r="O557" s="7">
        <f t="shared" si="32"/>
        <v>0</v>
      </c>
      <c r="P557" s="2"/>
      <c r="Q557" s="2"/>
      <c r="R557" s="2"/>
      <c r="S557" s="2"/>
      <c r="T557" s="2"/>
      <c r="U557" s="2"/>
      <c r="V557" s="2"/>
      <c r="W557" s="2"/>
      <c r="X557" s="2"/>
      <c r="Y557" s="2"/>
      <c r="Z557" s="2"/>
      <c r="AA557" s="7">
        <f t="shared" si="33"/>
        <v>0</v>
      </c>
      <c r="AB557" s="7">
        <f t="shared" si="34"/>
        <v>0</v>
      </c>
      <c r="AC557" s="9"/>
      <c r="AD557" s="9"/>
      <c r="AE557" s="9" t="e">
        <f>IF(#REF!=#REF!,1,0)</f>
        <v>#REF!</v>
      </c>
      <c r="AF557" s="8"/>
      <c r="AG557" s="8"/>
      <c r="AH557" s="8"/>
      <c r="AI557" s="8"/>
    </row>
    <row r="558" spans="2:35" s="3" customFormat="1" x14ac:dyDescent="0.25">
      <c r="B558" s="4"/>
      <c r="C558" s="51"/>
      <c r="D558" s="52"/>
      <c r="E558" s="53"/>
      <c r="F558" s="2"/>
      <c r="G558" s="2"/>
      <c r="H558" s="2"/>
      <c r="I558" s="2"/>
      <c r="J558" s="2"/>
      <c r="K558" s="2"/>
      <c r="L558" s="2"/>
      <c r="M558" s="2"/>
      <c r="N558" s="2"/>
      <c r="O558" s="7">
        <f t="shared" si="32"/>
        <v>0</v>
      </c>
      <c r="P558" s="2"/>
      <c r="Q558" s="2"/>
      <c r="R558" s="2"/>
      <c r="S558" s="2"/>
      <c r="T558" s="2"/>
      <c r="U558" s="2"/>
      <c r="V558" s="2"/>
      <c r="W558" s="2"/>
      <c r="X558" s="2"/>
      <c r="Y558" s="2"/>
      <c r="Z558" s="2"/>
      <c r="AA558" s="7">
        <f t="shared" si="33"/>
        <v>0</v>
      </c>
      <c r="AB558" s="7">
        <f t="shared" si="34"/>
        <v>0</v>
      </c>
      <c r="AC558" s="9"/>
      <c r="AD558" s="9"/>
      <c r="AE558" s="9" t="e">
        <f>IF(#REF!=#REF!,1,0)</f>
        <v>#REF!</v>
      </c>
      <c r="AF558" s="8"/>
      <c r="AG558" s="8"/>
      <c r="AH558" s="8"/>
      <c r="AI558" s="8"/>
    </row>
    <row r="559" spans="2:35" s="3" customFormat="1" x14ac:dyDescent="0.25">
      <c r="B559" s="4"/>
      <c r="C559" s="51"/>
      <c r="D559" s="52"/>
      <c r="E559" s="53"/>
      <c r="F559" s="2"/>
      <c r="G559" s="2"/>
      <c r="H559" s="2"/>
      <c r="I559" s="2"/>
      <c r="J559" s="2"/>
      <c r="K559" s="2"/>
      <c r="L559" s="2"/>
      <c r="M559" s="2"/>
      <c r="N559" s="2"/>
      <c r="O559" s="7">
        <f t="shared" si="32"/>
        <v>0</v>
      </c>
      <c r="P559" s="2"/>
      <c r="Q559" s="2"/>
      <c r="R559" s="2"/>
      <c r="S559" s="2"/>
      <c r="T559" s="2"/>
      <c r="U559" s="2"/>
      <c r="V559" s="2"/>
      <c r="W559" s="2"/>
      <c r="X559" s="2"/>
      <c r="Y559" s="2"/>
      <c r="Z559" s="2"/>
      <c r="AA559" s="7">
        <f t="shared" si="33"/>
        <v>0</v>
      </c>
      <c r="AB559" s="7">
        <f t="shared" si="34"/>
        <v>0</v>
      </c>
      <c r="AC559" s="9"/>
      <c r="AD559" s="9"/>
      <c r="AE559" s="9" t="e">
        <f>IF(#REF!=#REF!,1,0)</f>
        <v>#REF!</v>
      </c>
      <c r="AF559" s="8"/>
      <c r="AG559" s="8"/>
      <c r="AH559" s="8"/>
      <c r="AI559" s="8"/>
    </row>
    <row r="560" spans="2:35" s="3" customFormat="1" x14ac:dyDescent="0.25">
      <c r="B560" s="4"/>
      <c r="C560" s="51"/>
      <c r="D560" s="52"/>
      <c r="E560" s="53"/>
      <c r="F560" s="2"/>
      <c r="G560" s="2"/>
      <c r="H560" s="2"/>
      <c r="I560" s="2"/>
      <c r="J560" s="2"/>
      <c r="K560" s="2"/>
      <c r="L560" s="2"/>
      <c r="M560" s="2"/>
      <c r="N560" s="2"/>
      <c r="O560" s="7">
        <f t="shared" si="32"/>
        <v>0</v>
      </c>
      <c r="P560" s="2"/>
      <c r="Q560" s="2"/>
      <c r="R560" s="2"/>
      <c r="S560" s="2"/>
      <c r="T560" s="2"/>
      <c r="U560" s="2"/>
      <c r="V560" s="2"/>
      <c r="W560" s="2"/>
      <c r="X560" s="2"/>
      <c r="Y560" s="2"/>
      <c r="Z560" s="2"/>
      <c r="AA560" s="7">
        <f t="shared" si="33"/>
        <v>0</v>
      </c>
      <c r="AB560" s="7">
        <f t="shared" si="34"/>
        <v>0</v>
      </c>
      <c r="AC560" s="9"/>
      <c r="AD560" s="9"/>
      <c r="AE560" s="9" t="e">
        <f>IF(#REF!=#REF!,1,0)</f>
        <v>#REF!</v>
      </c>
      <c r="AF560" s="8"/>
      <c r="AG560" s="8"/>
      <c r="AH560" s="8"/>
      <c r="AI560" s="8"/>
    </row>
    <row r="561" spans="2:35" s="3" customFormat="1" x14ac:dyDescent="0.25">
      <c r="B561" s="4"/>
      <c r="C561" s="51"/>
      <c r="D561" s="52"/>
      <c r="E561" s="53"/>
      <c r="F561" s="2"/>
      <c r="G561" s="2"/>
      <c r="H561" s="2"/>
      <c r="I561" s="2"/>
      <c r="J561" s="2"/>
      <c r="K561" s="2"/>
      <c r="L561" s="2"/>
      <c r="M561" s="2"/>
      <c r="N561" s="2"/>
      <c r="O561" s="7">
        <f t="shared" si="32"/>
        <v>0</v>
      </c>
      <c r="P561" s="2"/>
      <c r="Q561" s="2"/>
      <c r="R561" s="2"/>
      <c r="S561" s="2"/>
      <c r="T561" s="2"/>
      <c r="U561" s="2"/>
      <c r="V561" s="2"/>
      <c r="W561" s="2"/>
      <c r="X561" s="2"/>
      <c r="Y561" s="2"/>
      <c r="Z561" s="2"/>
      <c r="AA561" s="7">
        <f t="shared" si="33"/>
        <v>0</v>
      </c>
      <c r="AB561" s="7">
        <f t="shared" si="34"/>
        <v>0</v>
      </c>
      <c r="AC561" s="9"/>
      <c r="AD561" s="9"/>
      <c r="AE561" s="9" t="e">
        <f>IF(#REF!=#REF!,1,0)</f>
        <v>#REF!</v>
      </c>
      <c r="AF561" s="8"/>
      <c r="AG561" s="8"/>
      <c r="AH561" s="8"/>
      <c r="AI561" s="8"/>
    </row>
    <row r="562" spans="2:35" s="3" customFormat="1" x14ac:dyDescent="0.25">
      <c r="B562" s="4"/>
      <c r="C562" s="51"/>
      <c r="D562" s="52"/>
      <c r="E562" s="53"/>
      <c r="F562" s="2"/>
      <c r="G562" s="2"/>
      <c r="H562" s="2"/>
      <c r="I562" s="2"/>
      <c r="J562" s="2"/>
      <c r="K562" s="2"/>
      <c r="L562" s="2"/>
      <c r="M562" s="2"/>
      <c r="N562" s="2"/>
      <c r="O562" s="7">
        <f t="shared" si="32"/>
        <v>0</v>
      </c>
      <c r="P562" s="2"/>
      <c r="Q562" s="2"/>
      <c r="R562" s="2"/>
      <c r="S562" s="2"/>
      <c r="T562" s="2"/>
      <c r="U562" s="2"/>
      <c r="V562" s="2"/>
      <c r="W562" s="2"/>
      <c r="X562" s="2"/>
      <c r="Y562" s="2"/>
      <c r="Z562" s="2"/>
      <c r="AA562" s="7">
        <f t="shared" si="33"/>
        <v>0</v>
      </c>
      <c r="AB562" s="7">
        <f t="shared" si="34"/>
        <v>0</v>
      </c>
      <c r="AC562" s="9"/>
      <c r="AD562" s="9"/>
      <c r="AE562" s="9" t="e">
        <f>IF(#REF!=#REF!,1,0)</f>
        <v>#REF!</v>
      </c>
      <c r="AF562" s="8"/>
      <c r="AG562" s="8"/>
      <c r="AH562" s="8"/>
      <c r="AI562" s="8"/>
    </row>
    <row r="563" spans="2:35" s="3" customFormat="1" x14ac:dyDescent="0.25">
      <c r="B563" s="4"/>
      <c r="C563" s="51"/>
      <c r="D563" s="52"/>
      <c r="E563" s="53"/>
      <c r="F563" s="2"/>
      <c r="G563" s="2"/>
      <c r="H563" s="2"/>
      <c r="I563" s="2"/>
      <c r="J563" s="2"/>
      <c r="K563" s="2"/>
      <c r="L563" s="2"/>
      <c r="M563" s="2"/>
      <c r="N563" s="2"/>
      <c r="O563" s="7">
        <f t="shared" si="32"/>
        <v>0</v>
      </c>
      <c r="P563" s="2"/>
      <c r="Q563" s="2"/>
      <c r="R563" s="2"/>
      <c r="S563" s="2"/>
      <c r="T563" s="2"/>
      <c r="U563" s="2"/>
      <c r="V563" s="2"/>
      <c r="W563" s="2"/>
      <c r="X563" s="2"/>
      <c r="Y563" s="2"/>
      <c r="Z563" s="2"/>
      <c r="AA563" s="7">
        <f t="shared" si="33"/>
        <v>0</v>
      </c>
      <c r="AB563" s="7">
        <f t="shared" si="34"/>
        <v>0</v>
      </c>
      <c r="AC563" s="9"/>
      <c r="AD563" s="9"/>
      <c r="AE563" s="9" t="e">
        <f>IF(#REF!=#REF!,1,0)</f>
        <v>#REF!</v>
      </c>
      <c r="AF563" s="8"/>
      <c r="AG563" s="8"/>
      <c r="AH563" s="8"/>
      <c r="AI563" s="8"/>
    </row>
    <row r="564" spans="2:35" s="3" customFormat="1" x14ac:dyDescent="0.25">
      <c r="B564" s="4"/>
      <c r="C564" s="51"/>
      <c r="D564" s="52"/>
      <c r="E564" s="53"/>
      <c r="F564" s="2"/>
      <c r="G564" s="2"/>
      <c r="H564" s="2"/>
      <c r="I564" s="2"/>
      <c r="J564" s="2"/>
      <c r="K564" s="2"/>
      <c r="L564" s="2"/>
      <c r="M564" s="2"/>
      <c r="N564" s="2"/>
      <c r="O564" s="7">
        <f t="shared" si="32"/>
        <v>0</v>
      </c>
      <c r="P564" s="2"/>
      <c r="Q564" s="2"/>
      <c r="R564" s="2"/>
      <c r="S564" s="2"/>
      <c r="T564" s="2"/>
      <c r="U564" s="2"/>
      <c r="V564" s="2"/>
      <c r="W564" s="2"/>
      <c r="X564" s="2"/>
      <c r="Y564" s="2"/>
      <c r="Z564" s="2"/>
      <c r="AA564" s="7">
        <f t="shared" si="33"/>
        <v>0</v>
      </c>
      <c r="AB564" s="7">
        <f t="shared" si="34"/>
        <v>0</v>
      </c>
      <c r="AC564" s="9"/>
      <c r="AD564" s="9"/>
      <c r="AE564" s="9" t="e">
        <f>IF(#REF!=#REF!,1,0)</f>
        <v>#REF!</v>
      </c>
      <c r="AF564" s="8"/>
      <c r="AG564" s="8"/>
      <c r="AH564" s="8"/>
      <c r="AI564" s="8"/>
    </row>
    <row r="565" spans="2:35" s="3" customFormat="1" x14ac:dyDescent="0.25">
      <c r="B565" s="4"/>
      <c r="C565" s="51"/>
      <c r="D565" s="52"/>
      <c r="E565" s="53"/>
      <c r="F565" s="2"/>
      <c r="G565" s="2"/>
      <c r="H565" s="2"/>
      <c r="I565" s="2"/>
      <c r="J565" s="2"/>
      <c r="K565" s="2"/>
      <c r="L565" s="2"/>
      <c r="M565" s="2"/>
      <c r="N565" s="2"/>
      <c r="O565" s="7">
        <f t="shared" si="32"/>
        <v>0</v>
      </c>
      <c r="P565" s="2"/>
      <c r="Q565" s="2"/>
      <c r="R565" s="2"/>
      <c r="S565" s="2"/>
      <c r="T565" s="2"/>
      <c r="U565" s="2"/>
      <c r="V565" s="2"/>
      <c r="W565" s="2"/>
      <c r="X565" s="2"/>
      <c r="Y565" s="2"/>
      <c r="Z565" s="2"/>
      <c r="AA565" s="7">
        <f t="shared" si="33"/>
        <v>0</v>
      </c>
      <c r="AB565" s="7">
        <f t="shared" si="34"/>
        <v>0</v>
      </c>
      <c r="AC565" s="9"/>
      <c r="AD565" s="9"/>
      <c r="AE565" s="9" t="e">
        <f>IF(#REF!=#REF!,1,0)</f>
        <v>#REF!</v>
      </c>
      <c r="AF565" s="8"/>
      <c r="AG565" s="8"/>
      <c r="AH565" s="8"/>
      <c r="AI565" s="8"/>
    </row>
    <row r="566" spans="2:35" s="3" customFormat="1" x14ac:dyDescent="0.25">
      <c r="B566" s="4"/>
      <c r="C566" s="51"/>
      <c r="D566" s="52"/>
      <c r="E566" s="53"/>
      <c r="F566" s="2"/>
      <c r="G566" s="2"/>
      <c r="H566" s="2"/>
      <c r="I566" s="2"/>
      <c r="J566" s="2"/>
      <c r="K566" s="2"/>
      <c r="L566" s="2"/>
      <c r="M566" s="2"/>
      <c r="N566" s="2"/>
      <c r="O566" s="7">
        <f t="shared" si="32"/>
        <v>0</v>
      </c>
      <c r="P566" s="2"/>
      <c r="Q566" s="2"/>
      <c r="R566" s="2"/>
      <c r="S566" s="2"/>
      <c r="T566" s="2"/>
      <c r="U566" s="2"/>
      <c r="V566" s="2"/>
      <c r="W566" s="2"/>
      <c r="X566" s="2"/>
      <c r="Y566" s="2"/>
      <c r="Z566" s="2"/>
      <c r="AA566" s="7">
        <f t="shared" si="33"/>
        <v>0</v>
      </c>
      <c r="AB566" s="7">
        <f t="shared" si="34"/>
        <v>0</v>
      </c>
      <c r="AC566" s="9"/>
      <c r="AD566" s="9"/>
      <c r="AE566" s="9" t="e">
        <f>IF(#REF!=#REF!,1,0)</f>
        <v>#REF!</v>
      </c>
      <c r="AF566" s="8"/>
      <c r="AG566" s="8"/>
      <c r="AH566" s="8"/>
      <c r="AI566" s="8"/>
    </row>
    <row r="567" spans="2:35" s="3" customFormat="1" x14ac:dyDescent="0.25">
      <c r="B567" s="4"/>
      <c r="C567" s="51"/>
      <c r="D567" s="52"/>
      <c r="E567" s="53"/>
      <c r="F567" s="2"/>
      <c r="G567" s="2"/>
      <c r="H567" s="2"/>
      <c r="I567" s="2"/>
      <c r="J567" s="2"/>
      <c r="K567" s="2"/>
      <c r="L567" s="2"/>
      <c r="M567" s="2"/>
      <c r="N567" s="2"/>
      <c r="O567" s="7">
        <f t="shared" si="32"/>
        <v>0</v>
      </c>
      <c r="P567" s="2"/>
      <c r="Q567" s="2"/>
      <c r="R567" s="2"/>
      <c r="S567" s="2"/>
      <c r="T567" s="2"/>
      <c r="U567" s="2"/>
      <c r="V567" s="2"/>
      <c r="W567" s="2"/>
      <c r="X567" s="2"/>
      <c r="Y567" s="2"/>
      <c r="Z567" s="2"/>
      <c r="AA567" s="7">
        <f t="shared" si="33"/>
        <v>0</v>
      </c>
      <c r="AB567" s="7">
        <f t="shared" si="34"/>
        <v>0</v>
      </c>
      <c r="AC567" s="9"/>
      <c r="AD567" s="9"/>
      <c r="AE567" s="9" t="e">
        <f>IF(#REF!=#REF!,1,0)</f>
        <v>#REF!</v>
      </c>
      <c r="AF567" s="8"/>
      <c r="AG567" s="8"/>
      <c r="AH567" s="8"/>
      <c r="AI567" s="8"/>
    </row>
    <row r="568" spans="2:35" s="3" customFormat="1" x14ac:dyDescent="0.25">
      <c r="B568" s="4"/>
      <c r="C568" s="51"/>
      <c r="D568" s="52"/>
      <c r="E568" s="53"/>
      <c r="F568" s="2"/>
      <c r="G568" s="2"/>
      <c r="H568" s="2"/>
      <c r="I568" s="2"/>
      <c r="J568" s="2"/>
      <c r="K568" s="2"/>
      <c r="L568" s="2"/>
      <c r="M568" s="2"/>
      <c r="N568" s="2"/>
      <c r="O568" s="7">
        <f t="shared" si="32"/>
        <v>0</v>
      </c>
      <c r="P568" s="2"/>
      <c r="Q568" s="2"/>
      <c r="R568" s="2"/>
      <c r="S568" s="2"/>
      <c r="T568" s="2"/>
      <c r="U568" s="2"/>
      <c r="V568" s="2"/>
      <c r="W568" s="2"/>
      <c r="X568" s="2"/>
      <c r="Y568" s="2"/>
      <c r="Z568" s="2"/>
      <c r="AA568" s="7">
        <f t="shared" si="33"/>
        <v>0</v>
      </c>
      <c r="AB568" s="7">
        <f t="shared" si="34"/>
        <v>0</v>
      </c>
      <c r="AC568" s="9"/>
      <c r="AD568" s="9"/>
      <c r="AE568" s="9" t="e">
        <f>IF(#REF!=#REF!,1,0)</f>
        <v>#REF!</v>
      </c>
      <c r="AF568" s="8"/>
      <c r="AG568" s="8"/>
      <c r="AH568" s="8"/>
      <c r="AI568" s="8"/>
    </row>
    <row r="569" spans="2:35" s="3" customFormat="1" x14ac:dyDescent="0.25">
      <c r="B569" s="4"/>
      <c r="C569" s="51"/>
      <c r="D569" s="52"/>
      <c r="E569" s="53"/>
      <c r="F569" s="2"/>
      <c r="G569" s="2"/>
      <c r="H569" s="2"/>
      <c r="I569" s="2"/>
      <c r="J569" s="2"/>
      <c r="K569" s="2"/>
      <c r="L569" s="2"/>
      <c r="M569" s="2"/>
      <c r="N569" s="2"/>
      <c r="O569" s="7">
        <f t="shared" si="32"/>
        <v>0</v>
      </c>
      <c r="P569" s="2"/>
      <c r="Q569" s="2"/>
      <c r="R569" s="2"/>
      <c r="S569" s="2"/>
      <c r="T569" s="2"/>
      <c r="U569" s="2"/>
      <c r="V569" s="2"/>
      <c r="W569" s="2"/>
      <c r="X569" s="2"/>
      <c r="Y569" s="2"/>
      <c r="Z569" s="2"/>
      <c r="AA569" s="7">
        <f t="shared" si="33"/>
        <v>0</v>
      </c>
      <c r="AB569" s="7">
        <f t="shared" si="34"/>
        <v>0</v>
      </c>
      <c r="AC569" s="9"/>
      <c r="AD569" s="9"/>
      <c r="AE569" s="9" t="e">
        <f>IF(#REF!=#REF!,1,0)</f>
        <v>#REF!</v>
      </c>
      <c r="AF569" s="8"/>
      <c r="AG569" s="8"/>
      <c r="AH569" s="8"/>
      <c r="AI569" s="8"/>
    </row>
    <row r="570" spans="2:35" s="3" customFormat="1" x14ac:dyDescent="0.25">
      <c r="B570" s="4"/>
      <c r="C570" s="51"/>
      <c r="D570" s="52"/>
      <c r="E570" s="53"/>
      <c r="F570" s="2"/>
      <c r="G570" s="2"/>
      <c r="H570" s="2"/>
      <c r="I570" s="2"/>
      <c r="J570" s="2"/>
      <c r="K570" s="2"/>
      <c r="L570" s="2"/>
      <c r="M570" s="2"/>
      <c r="N570" s="2"/>
      <c r="O570" s="7">
        <f t="shared" si="32"/>
        <v>0</v>
      </c>
      <c r="P570" s="2"/>
      <c r="Q570" s="2"/>
      <c r="R570" s="2"/>
      <c r="S570" s="2"/>
      <c r="T570" s="2"/>
      <c r="U570" s="2"/>
      <c r="V570" s="2"/>
      <c r="W570" s="2"/>
      <c r="X570" s="2"/>
      <c r="Y570" s="2"/>
      <c r="Z570" s="2"/>
      <c r="AA570" s="7">
        <f t="shared" si="33"/>
        <v>0</v>
      </c>
      <c r="AB570" s="7">
        <f t="shared" si="34"/>
        <v>0</v>
      </c>
      <c r="AC570" s="9"/>
      <c r="AD570" s="9"/>
      <c r="AE570" s="9" t="e">
        <f>IF(#REF!=#REF!,1,0)</f>
        <v>#REF!</v>
      </c>
      <c r="AF570" s="8"/>
      <c r="AG570" s="8"/>
      <c r="AH570" s="8"/>
      <c r="AI570" s="8"/>
    </row>
    <row r="571" spans="2:35" s="3" customFormat="1" x14ac:dyDescent="0.25">
      <c r="B571" s="4"/>
      <c r="C571" s="51"/>
      <c r="D571" s="52"/>
      <c r="E571" s="53"/>
      <c r="F571" s="2"/>
      <c r="G571" s="2"/>
      <c r="H571" s="2"/>
      <c r="I571" s="2"/>
      <c r="J571" s="2"/>
      <c r="K571" s="2"/>
      <c r="L571" s="2"/>
      <c r="M571" s="2"/>
      <c r="N571" s="2"/>
      <c r="O571" s="7">
        <f t="shared" si="32"/>
        <v>0</v>
      </c>
      <c r="P571" s="2"/>
      <c r="Q571" s="2"/>
      <c r="R571" s="2"/>
      <c r="S571" s="2"/>
      <c r="T571" s="2"/>
      <c r="U571" s="2"/>
      <c r="V571" s="2"/>
      <c r="W571" s="2"/>
      <c r="X571" s="2"/>
      <c r="Y571" s="2"/>
      <c r="Z571" s="2"/>
      <c r="AA571" s="7">
        <f t="shared" si="33"/>
        <v>0</v>
      </c>
      <c r="AB571" s="7">
        <f t="shared" si="34"/>
        <v>0</v>
      </c>
      <c r="AC571" s="9"/>
      <c r="AD571" s="9"/>
      <c r="AE571" s="9" t="e">
        <f>IF(#REF!=#REF!,1,0)</f>
        <v>#REF!</v>
      </c>
      <c r="AF571" s="8"/>
      <c r="AG571" s="8"/>
      <c r="AH571" s="8"/>
      <c r="AI571" s="8"/>
    </row>
    <row r="572" spans="2:35" s="3" customFormat="1" x14ac:dyDescent="0.25">
      <c r="B572" s="4"/>
      <c r="C572" s="51"/>
      <c r="D572" s="52"/>
      <c r="E572" s="53"/>
      <c r="F572" s="2"/>
      <c r="G572" s="2"/>
      <c r="H572" s="2"/>
      <c r="I572" s="2"/>
      <c r="J572" s="2"/>
      <c r="K572" s="2"/>
      <c r="L572" s="2"/>
      <c r="M572" s="2"/>
      <c r="N572" s="2"/>
      <c r="O572" s="7">
        <f t="shared" si="32"/>
        <v>0</v>
      </c>
      <c r="P572" s="2"/>
      <c r="Q572" s="2"/>
      <c r="R572" s="2"/>
      <c r="S572" s="2"/>
      <c r="T572" s="2"/>
      <c r="U572" s="2"/>
      <c r="V572" s="2"/>
      <c r="W572" s="2"/>
      <c r="X572" s="2"/>
      <c r="Y572" s="2"/>
      <c r="Z572" s="2"/>
      <c r="AA572" s="7">
        <f t="shared" si="33"/>
        <v>0</v>
      </c>
      <c r="AB572" s="7">
        <f t="shared" si="34"/>
        <v>0</v>
      </c>
      <c r="AC572" s="9"/>
      <c r="AD572" s="9"/>
      <c r="AE572" s="9" t="e">
        <f>IF(#REF!=#REF!,1,0)</f>
        <v>#REF!</v>
      </c>
      <c r="AF572" s="8"/>
      <c r="AG572" s="8"/>
      <c r="AH572" s="8"/>
      <c r="AI572" s="8"/>
    </row>
    <row r="573" spans="2:35" s="3" customFormat="1" x14ac:dyDescent="0.25">
      <c r="B573" s="4"/>
      <c r="C573" s="51"/>
      <c r="D573" s="52"/>
      <c r="E573" s="53"/>
      <c r="F573" s="2"/>
      <c r="G573" s="2"/>
      <c r="H573" s="2"/>
      <c r="I573" s="2"/>
      <c r="J573" s="2"/>
      <c r="K573" s="2"/>
      <c r="L573" s="2"/>
      <c r="M573" s="2"/>
      <c r="N573" s="2"/>
      <c r="O573" s="7">
        <f t="shared" si="32"/>
        <v>0</v>
      </c>
      <c r="P573" s="2"/>
      <c r="Q573" s="2"/>
      <c r="R573" s="2"/>
      <c r="S573" s="2"/>
      <c r="T573" s="2"/>
      <c r="U573" s="2"/>
      <c r="V573" s="2"/>
      <c r="W573" s="2"/>
      <c r="X573" s="2"/>
      <c r="Y573" s="2"/>
      <c r="Z573" s="2"/>
      <c r="AA573" s="7">
        <f t="shared" si="33"/>
        <v>0</v>
      </c>
      <c r="AB573" s="7">
        <f t="shared" si="34"/>
        <v>0</v>
      </c>
      <c r="AC573" s="9"/>
      <c r="AD573" s="9"/>
      <c r="AE573" s="9" t="e">
        <f>IF(#REF!=#REF!,1,0)</f>
        <v>#REF!</v>
      </c>
      <c r="AF573" s="8"/>
      <c r="AG573" s="8"/>
      <c r="AH573" s="8"/>
      <c r="AI573" s="8"/>
    </row>
    <row r="574" spans="2:35" s="3" customFormat="1" x14ac:dyDescent="0.25">
      <c r="B574" s="4"/>
      <c r="C574" s="51"/>
      <c r="D574" s="52"/>
      <c r="E574" s="53"/>
      <c r="F574" s="2"/>
      <c r="G574" s="2"/>
      <c r="H574" s="2"/>
      <c r="I574" s="2"/>
      <c r="J574" s="2"/>
      <c r="K574" s="2"/>
      <c r="L574" s="2"/>
      <c r="M574" s="2"/>
      <c r="N574" s="2"/>
      <c r="O574" s="7">
        <f t="shared" si="32"/>
        <v>0</v>
      </c>
      <c r="P574" s="2"/>
      <c r="Q574" s="2"/>
      <c r="R574" s="2"/>
      <c r="S574" s="2"/>
      <c r="T574" s="2"/>
      <c r="U574" s="2"/>
      <c r="V574" s="2"/>
      <c r="W574" s="2"/>
      <c r="X574" s="2"/>
      <c r="Y574" s="2"/>
      <c r="Z574" s="2"/>
      <c r="AA574" s="7">
        <f t="shared" si="33"/>
        <v>0</v>
      </c>
      <c r="AB574" s="7">
        <f t="shared" si="34"/>
        <v>0</v>
      </c>
      <c r="AC574" s="9"/>
      <c r="AD574" s="9"/>
      <c r="AE574" s="9" t="e">
        <f>IF(#REF!=#REF!,1,0)</f>
        <v>#REF!</v>
      </c>
      <c r="AF574" s="8"/>
      <c r="AG574" s="8"/>
      <c r="AH574" s="8"/>
      <c r="AI574" s="8"/>
    </row>
    <row r="575" spans="2:35" s="3" customFormat="1" x14ac:dyDescent="0.25">
      <c r="B575" s="4"/>
      <c r="C575" s="51"/>
      <c r="D575" s="52"/>
      <c r="E575" s="53"/>
      <c r="F575" s="2"/>
      <c r="G575" s="2"/>
      <c r="H575" s="2"/>
      <c r="I575" s="2"/>
      <c r="J575" s="2"/>
      <c r="K575" s="2"/>
      <c r="L575" s="2"/>
      <c r="M575" s="2"/>
      <c r="N575" s="2"/>
      <c r="O575" s="7">
        <f t="shared" si="32"/>
        <v>0</v>
      </c>
      <c r="P575" s="2"/>
      <c r="Q575" s="2"/>
      <c r="R575" s="2"/>
      <c r="S575" s="2"/>
      <c r="T575" s="2"/>
      <c r="U575" s="2"/>
      <c r="V575" s="2"/>
      <c r="W575" s="2"/>
      <c r="X575" s="2"/>
      <c r="Y575" s="2"/>
      <c r="Z575" s="2"/>
      <c r="AA575" s="7">
        <f t="shared" si="33"/>
        <v>0</v>
      </c>
      <c r="AB575" s="7">
        <f t="shared" si="34"/>
        <v>0</v>
      </c>
      <c r="AC575" s="9"/>
      <c r="AD575" s="9"/>
      <c r="AE575" s="9" t="e">
        <f>IF(#REF!=#REF!,1,0)</f>
        <v>#REF!</v>
      </c>
      <c r="AF575" s="8"/>
      <c r="AG575" s="8"/>
      <c r="AH575" s="8"/>
      <c r="AI575" s="8"/>
    </row>
    <row r="576" spans="2:35" s="3" customFormat="1" x14ac:dyDescent="0.25">
      <c r="B576" s="4"/>
      <c r="C576" s="51"/>
      <c r="D576" s="52"/>
      <c r="E576" s="53"/>
      <c r="F576" s="2"/>
      <c r="G576" s="2"/>
      <c r="H576" s="2"/>
      <c r="I576" s="2"/>
      <c r="J576" s="2"/>
      <c r="K576" s="2"/>
      <c r="L576" s="2"/>
      <c r="M576" s="2"/>
      <c r="N576" s="2"/>
      <c r="O576" s="7">
        <f t="shared" si="32"/>
        <v>0</v>
      </c>
      <c r="P576" s="2"/>
      <c r="Q576" s="2"/>
      <c r="R576" s="2"/>
      <c r="S576" s="2"/>
      <c r="T576" s="2"/>
      <c r="U576" s="2"/>
      <c r="V576" s="2"/>
      <c r="W576" s="2"/>
      <c r="X576" s="2"/>
      <c r="Y576" s="2"/>
      <c r="Z576" s="2"/>
      <c r="AA576" s="7">
        <f t="shared" si="33"/>
        <v>0</v>
      </c>
      <c r="AB576" s="7">
        <f t="shared" si="34"/>
        <v>0</v>
      </c>
      <c r="AC576" s="9"/>
      <c r="AD576" s="9"/>
      <c r="AE576" s="9" t="e">
        <f>IF(#REF!=#REF!,1,0)</f>
        <v>#REF!</v>
      </c>
      <c r="AF576" s="8"/>
      <c r="AG576" s="8"/>
      <c r="AH576" s="8"/>
      <c r="AI576" s="8"/>
    </row>
    <row r="577" spans="2:35" s="3" customFormat="1" x14ac:dyDescent="0.25">
      <c r="B577" s="4"/>
      <c r="C577" s="51"/>
      <c r="D577" s="52"/>
      <c r="E577" s="53"/>
      <c r="F577" s="2"/>
      <c r="G577" s="2"/>
      <c r="H577" s="2"/>
      <c r="I577" s="2"/>
      <c r="J577" s="2"/>
      <c r="K577" s="2"/>
      <c r="L577" s="2"/>
      <c r="M577" s="2"/>
      <c r="N577" s="2"/>
      <c r="O577" s="7">
        <f t="shared" si="32"/>
        <v>0</v>
      </c>
      <c r="P577" s="2"/>
      <c r="Q577" s="2"/>
      <c r="R577" s="2"/>
      <c r="S577" s="2"/>
      <c r="T577" s="2"/>
      <c r="U577" s="2"/>
      <c r="V577" s="2"/>
      <c r="W577" s="2"/>
      <c r="X577" s="2"/>
      <c r="Y577" s="2"/>
      <c r="Z577" s="2"/>
      <c r="AA577" s="7">
        <f t="shared" si="33"/>
        <v>0</v>
      </c>
      <c r="AB577" s="7">
        <f t="shared" si="34"/>
        <v>0</v>
      </c>
      <c r="AC577" s="9"/>
      <c r="AD577" s="9"/>
      <c r="AE577" s="9" t="e">
        <f>IF(#REF!=#REF!,1,0)</f>
        <v>#REF!</v>
      </c>
      <c r="AF577" s="8"/>
      <c r="AG577" s="8"/>
      <c r="AH577" s="8"/>
      <c r="AI577" s="8"/>
    </row>
    <row r="578" spans="2:35" s="3" customFormat="1" x14ac:dyDescent="0.25">
      <c r="B578" s="4"/>
      <c r="C578" s="51"/>
      <c r="D578" s="52"/>
      <c r="E578" s="53"/>
      <c r="F578" s="2"/>
      <c r="G578" s="2"/>
      <c r="H578" s="2"/>
      <c r="I578" s="2"/>
      <c r="J578" s="2"/>
      <c r="K578" s="2"/>
      <c r="L578" s="2"/>
      <c r="M578" s="2"/>
      <c r="N578" s="2"/>
      <c r="O578" s="7">
        <f t="shared" si="32"/>
        <v>0</v>
      </c>
      <c r="P578" s="2"/>
      <c r="Q578" s="2"/>
      <c r="R578" s="2"/>
      <c r="S578" s="2"/>
      <c r="T578" s="2"/>
      <c r="U578" s="2"/>
      <c r="V578" s="2"/>
      <c r="W578" s="2"/>
      <c r="X578" s="2"/>
      <c r="Y578" s="2"/>
      <c r="Z578" s="2"/>
      <c r="AA578" s="7">
        <f t="shared" si="33"/>
        <v>0</v>
      </c>
      <c r="AB578" s="7">
        <f t="shared" si="34"/>
        <v>0</v>
      </c>
      <c r="AC578" s="9"/>
      <c r="AD578" s="9"/>
      <c r="AE578" s="9" t="e">
        <f>IF(#REF!=#REF!,1,0)</f>
        <v>#REF!</v>
      </c>
      <c r="AF578" s="8"/>
      <c r="AG578" s="8"/>
      <c r="AH578" s="8"/>
      <c r="AI578" s="8"/>
    </row>
    <row r="579" spans="2:35" s="3" customFormat="1" x14ac:dyDescent="0.25">
      <c r="B579" s="4"/>
      <c r="C579" s="51"/>
      <c r="D579" s="52"/>
      <c r="E579" s="53"/>
      <c r="F579" s="2"/>
      <c r="G579" s="2"/>
      <c r="H579" s="2"/>
      <c r="I579" s="2"/>
      <c r="J579" s="2"/>
      <c r="K579" s="2"/>
      <c r="L579" s="2"/>
      <c r="M579" s="2"/>
      <c r="N579" s="2"/>
      <c r="O579" s="7">
        <f t="shared" si="32"/>
        <v>0</v>
      </c>
      <c r="P579" s="2"/>
      <c r="Q579" s="2"/>
      <c r="R579" s="2"/>
      <c r="S579" s="2"/>
      <c r="T579" s="2"/>
      <c r="U579" s="2"/>
      <c r="V579" s="2"/>
      <c r="W579" s="2"/>
      <c r="X579" s="2"/>
      <c r="Y579" s="2"/>
      <c r="Z579" s="2"/>
      <c r="AA579" s="7">
        <f t="shared" si="33"/>
        <v>0</v>
      </c>
      <c r="AB579" s="7">
        <f t="shared" si="34"/>
        <v>0</v>
      </c>
      <c r="AC579" s="9"/>
      <c r="AD579" s="9"/>
      <c r="AE579" s="9" t="e">
        <f>IF(#REF!=#REF!,1,0)</f>
        <v>#REF!</v>
      </c>
      <c r="AF579" s="8"/>
      <c r="AG579" s="8"/>
      <c r="AH579" s="8"/>
      <c r="AI579" s="8"/>
    </row>
    <row r="580" spans="2:35" s="3" customFormat="1" x14ac:dyDescent="0.25">
      <c r="B580" s="4"/>
      <c r="C580" s="51"/>
      <c r="D580" s="52"/>
      <c r="E580" s="53"/>
      <c r="F580" s="2"/>
      <c r="G580" s="2"/>
      <c r="H580" s="2"/>
      <c r="I580" s="2"/>
      <c r="J580" s="2"/>
      <c r="K580" s="2"/>
      <c r="L580" s="2"/>
      <c r="M580" s="2"/>
      <c r="N580" s="2"/>
      <c r="O580" s="7">
        <f t="shared" si="32"/>
        <v>0</v>
      </c>
      <c r="P580" s="2"/>
      <c r="Q580" s="2"/>
      <c r="R580" s="2"/>
      <c r="S580" s="2"/>
      <c r="T580" s="2"/>
      <c r="U580" s="2"/>
      <c r="V580" s="2"/>
      <c r="W580" s="2"/>
      <c r="X580" s="2"/>
      <c r="Y580" s="2"/>
      <c r="Z580" s="2"/>
      <c r="AA580" s="7">
        <f t="shared" si="33"/>
        <v>0</v>
      </c>
      <c r="AB580" s="7">
        <f t="shared" si="34"/>
        <v>0</v>
      </c>
      <c r="AC580" s="9"/>
      <c r="AD580" s="9"/>
      <c r="AE580" s="9" t="e">
        <f>IF(#REF!=#REF!,1,0)</f>
        <v>#REF!</v>
      </c>
      <c r="AF580" s="8"/>
      <c r="AG580" s="8"/>
      <c r="AH580" s="8"/>
      <c r="AI580" s="8"/>
    </row>
    <row r="581" spans="2:35" s="3" customFormat="1" x14ac:dyDescent="0.25">
      <c r="B581" s="4"/>
      <c r="C581" s="51"/>
      <c r="D581" s="52"/>
      <c r="E581" s="53"/>
      <c r="F581" s="2"/>
      <c r="G581" s="2"/>
      <c r="H581" s="2"/>
      <c r="I581" s="2"/>
      <c r="J581" s="2"/>
      <c r="K581" s="2"/>
      <c r="L581" s="2"/>
      <c r="M581" s="2"/>
      <c r="N581" s="2"/>
      <c r="O581" s="7">
        <f t="shared" si="32"/>
        <v>0</v>
      </c>
      <c r="P581" s="2"/>
      <c r="Q581" s="2"/>
      <c r="R581" s="2"/>
      <c r="S581" s="2"/>
      <c r="T581" s="2"/>
      <c r="U581" s="2"/>
      <c r="V581" s="2"/>
      <c r="W581" s="2"/>
      <c r="X581" s="2"/>
      <c r="Y581" s="2"/>
      <c r="Z581" s="2"/>
      <c r="AA581" s="7">
        <f t="shared" si="33"/>
        <v>0</v>
      </c>
      <c r="AB581" s="7">
        <f t="shared" si="34"/>
        <v>0</v>
      </c>
      <c r="AC581" s="9"/>
      <c r="AD581" s="9"/>
      <c r="AE581" s="9" t="e">
        <f>IF(#REF!=#REF!,1,0)</f>
        <v>#REF!</v>
      </c>
      <c r="AF581" s="8"/>
      <c r="AG581" s="8"/>
      <c r="AH581" s="8"/>
      <c r="AI581" s="8"/>
    </row>
    <row r="582" spans="2:35" s="3" customFormat="1" x14ac:dyDescent="0.25">
      <c r="B582" s="4"/>
      <c r="C582" s="51"/>
      <c r="D582" s="52"/>
      <c r="E582" s="53"/>
      <c r="F582" s="2"/>
      <c r="G582" s="2"/>
      <c r="H582" s="2"/>
      <c r="I582" s="2"/>
      <c r="J582" s="2"/>
      <c r="K582" s="2"/>
      <c r="L582" s="2"/>
      <c r="M582" s="2"/>
      <c r="N582" s="2"/>
      <c r="O582" s="7">
        <f t="shared" si="32"/>
        <v>0</v>
      </c>
      <c r="P582" s="2"/>
      <c r="Q582" s="2"/>
      <c r="R582" s="2"/>
      <c r="S582" s="2"/>
      <c r="T582" s="2"/>
      <c r="U582" s="2"/>
      <c r="V582" s="2"/>
      <c r="W582" s="2"/>
      <c r="X582" s="2"/>
      <c r="Y582" s="2"/>
      <c r="Z582" s="2"/>
      <c r="AA582" s="7">
        <f t="shared" si="33"/>
        <v>0</v>
      </c>
      <c r="AB582" s="7">
        <f t="shared" si="34"/>
        <v>0</v>
      </c>
      <c r="AC582" s="9"/>
      <c r="AD582" s="9"/>
      <c r="AE582" s="9" t="e">
        <f>IF(#REF!=#REF!,1,0)</f>
        <v>#REF!</v>
      </c>
      <c r="AF582" s="8"/>
      <c r="AG582" s="8"/>
      <c r="AH582" s="8"/>
      <c r="AI582" s="8"/>
    </row>
    <row r="583" spans="2:35" s="3" customFormat="1" x14ac:dyDescent="0.25">
      <c r="B583" s="4"/>
      <c r="C583" s="51"/>
      <c r="D583" s="52"/>
      <c r="E583" s="53"/>
      <c r="F583" s="2"/>
      <c r="G583" s="2"/>
      <c r="H583" s="2"/>
      <c r="I583" s="2"/>
      <c r="J583" s="2"/>
      <c r="K583" s="2"/>
      <c r="L583" s="2"/>
      <c r="M583" s="2"/>
      <c r="N583" s="2"/>
      <c r="O583" s="7">
        <f t="shared" si="32"/>
        <v>0</v>
      </c>
      <c r="P583" s="2"/>
      <c r="Q583" s="2"/>
      <c r="R583" s="2"/>
      <c r="S583" s="2"/>
      <c r="T583" s="2"/>
      <c r="U583" s="2"/>
      <c r="V583" s="2"/>
      <c r="W583" s="2"/>
      <c r="X583" s="2"/>
      <c r="Y583" s="2"/>
      <c r="Z583" s="2"/>
      <c r="AA583" s="7">
        <f t="shared" si="33"/>
        <v>0</v>
      </c>
      <c r="AB583" s="7">
        <f t="shared" si="34"/>
        <v>0</v>
      </c>
      <c r="AC583" s="9"/>
      <c r="AD583" s="9"/>
      <c r="AE583" s="9" t="e">
        <f>IF(#REF!=#REF!,1,0)</f>
        <v>#REF!</v>
      </c>
      <c r="AF583" s="8"/>
      <c r="AG583" s="8"/>
      <c r="AH583" s="8"/>
      <c r="AI583" s="8"/>
    </row>
    <row r="584" spans="2:35" s="3" customFormat="1" x14ac:dyDescent="0.25">
      <c r="B584" s="4"/>
      <c r="C584" s="51"/>
      <c r="D584" s="52"/>
      <c r="E584" s="53"/>
      <c r="F584" s="2"/>
      <c r="G584" s="2"/>
      <c r="H584" s="2"/>
      <c r="I584" s="2"/>
      <c r="J584" s="2"/>
      <c r="K584" s="2"/>
      <c r="L584" s="2"/>
      <c r="M584" s="2"/>
      <c r="N584" s="2"/>
      <c r="O584" s="7">
        <f t="shared" si="32"/>
        <v>0</v>
      </c>
      <c r="P584" s="2"/>
      <c r="Q584" s="2"/>
      <c r="R584" s="2"/>
      <c r="S584" s="2"/>
      <c r="T584" s="2"/>
      <c r="U584" s="2"/>
      <c r="V584" s="2"/>
      <c r="W584" s="2"/>
      <c r="X584" s="2"/>
      <c r="Y584" s="2"/>
      <c r="Z584" s="2"/>
      <c r="AA584" s="7">
        <f t="shared" si="33"/>
        <v>0</v>
      </c>
      <c r="AB584" s="7">
        <f t="shared" si="34"/>
        <v>0</v>
      </c>
      <c r="AC584" s="9"/>
      <c r="AD584" s="9"/>
      <c r="AE584" s="9" t="e">
        <f>IF(#REF!=#REF!,1,0)</f>
        <v>#REF!</v>
      </c>
      <c r="AF584" s="8"/>
      <c r="AG584" s="8"/>
      <c r="AH584" s="8"/>
      <c r="AI584" s="8"/>
    </row>
    <row r="585" spans="2:35" s="3" customFormat="1" x14ac:dyDescent="0.25">
      <c r="B585" s="4"/>
      <c r="C585" s="51"/>
      <c r="D585" s="52"/>
      <c r="E585" s="53"/>
      <c r="F585" s="2"/>
      <c r="G585" s="2"/>
      <c r="H585" s="2"/>
      <c r="I585" s="2"/>
      <c r="J585" s="2"/>
      <c r="K585" s="2"/>
      <c r="L585" s="2"/>
      <c r="M585" s="2"/>
      <c r="N585" s="2"/>
      <c r="O585" s="7">
        <f t="shared" si="32"/>
        <v>0</v>
      </c>
      <c r="P585" s="2"/>
      <c r="Q585" s="2"/>
      <c r="R585" s="2"/>
      <c r="S585" s="2"/>
      <c r="T585" s="2"/>
      <c r="U585" s="2"/>
      <c r="V585" s="2"/>
      <c r="W585" s="2"/>
      <c r="X585" s="2"/>
      <c r="Y585" s="2"/>
      <c r="Z585" s="2"/>
      <c r="AA585" s="7">
        <f t="shared" si="33"/>
        <v>0</v>
      </c>
      <c r="AB585" s="7">
        <f t="shared" si="34"/>
        <v>0</v>
      </c>
      <c r="AC585" s="9"/>
      <c r="AD585" s="9"/>
      <c r="AE585" s="9" t="e">
        <f>IF(#REF!=#REF!,1,0)</f>
        <v>#REF!</v>
      </c>
      <c r="AF585" s="8"/>
      <c r="AG585" s="8"/>
      <c r="AH585" s="8"/>
      <c r="AI585" s="8"/>
    </row>
    <row r="586" spans="2:35" s="3" customFormat="1" x14ac:dyDescent="0.25">
      <c r="B586" s="4"/>
      <c r="C586" s="51"/>
      <c r="D586" s="52"/>
      <c r="E586" s="53"/>
      <c r="F586" s="2"/>
      <c r="G586" s="2"/>
      <c r="H586" s="2"/>
      <c r="I586" s="2"/>
      <c r="J586" s="2"/>
      <c r="K586" s="2"/>
      <c r="L586" s="2"/>
      <c r="M586" s="2"/>
      <c r="N586" s="2"/>
      <c r="O586" s="7">
        <f t="shared" si="32"/>
        <v>0</v>
      </c>
      <c r="P586" s="2"/>
      <c r="Q586" s="2"/>
      <c r="R586" s="2"/>
      <c r="S586" s="2"/>
      <c r="T586" s="2"/>
      <c r="U586" s="2"/>
      <c r="V586" s="2"/>
      <c r="W586" s="2"/>
      <c r="X586" s="2"/>
      <c r="Y586" s="2"/>
      <c r="Z586" s="2"/>
      <c r="AA586" s="7">
        <f t="shared" si="33"/>
        <v>0</v>
      </c>
      <c r="AB586" s="7">
        <f t="shared" si="34"/>
        <v>0</v>
      </c>
      <c r="AC586" s="9"/>
      <c r="AD586" s="9"/>
      <c r="AE586" s="9" t="e">
        <f>IF(#REF!=#REF!,1,0)</f>
        <v>#REF!</v>
      </c>
      <c r="AF586" s="8"/>
      <c r="AG586" s="8"/>
      <c r="AH586" s="8"/>
      <c r="AI586" s="8"/>
    </row>
    <row r="587" spans="2:35" s="3" customFormat="1" x14ac:dyDescent="0.25">
      <c r="B587" s="4"/>
      <c r="C587" s="51"/>
      <c r="D587" s="52"/>
      <c r="E587" s="53"/>
      <c r="F587" s="2"/>
      <c r="G587" s="2"/>
      <c r="H587" s="2"/>
      <c r="I587" s="2"/>
      <c r="J587" s="2"/>
      <c r="K587" s="2"/>
      <c r="L587" s="2"/>
      <c r="M587" s="2"/>
      <c r="N587" s="2"/>
      <c r="O587" s="7">
        <f t="shared" si="32"/>
        <v>0</v>
      </c>
      <c r="P587" s="2"/>
      <c r="Q587" s="2"/>
      <c r="R587" s="2"/>
      <c r="S587" s="2"/>
      <c r="T587" s="2"/>
      <c r="U587" s="2"/>
      <c r="V587" s="2"/>
      <c r="W587" s="2"/>
      <c r="X587" s="2"/>
      <c r="Y587" s="2"/>
      <c r="Z587" s="2"/>
      <c r="AA587" s="7">
        <f t="shared" si="33"/>
        <v>0</v>
      </c>
      <c r="AB587" s="7">
        <f t="shared" si="34"/>
        <v>0</v>
      </c>
      <c r="AC587" s="9"/>
      <c r="AD587" s="9"/>
      <c r="AE587" s="9" t="e">
        <f>IF(#REF!=#REF!,1,0)</f>
        <v>#REF!</v>
      </c>
      <c r="AF587" s="8"/>
      <c r="AG587" s="8"/>
      <c r="AH587" s="8"/>
      <c r="AI587" s="8"/>
    </row>
    <row r="588" spans="2:35" s="3" customFormat="1" x14ac:dyDescent="0.25">
      <c r="B588" s="4"/>
      <c r="C588" s="51"/>
      <c r="D588" s="52"/>
      <c r="E588" s="53"/>
      <c r="F588" s="2"/>
      <c r="G588" s="2"/>
      <c r="H588" s="2"/>
      <c r="I588" s="2"/>
      <c r="J588" s="2"/>
      <c r="K588" s="2"/>
      <c r="L588" s="2"/>
      <c r="M588" s="2"/>
      <c r="N588" s="2"/>
      <c r="O588" s="7">
        <f t="shared" si="32"/>
        <v>0</v>
      </c>
      <c r="P588" s="2"/>
      <c r="Q588" s="2"/>
      <c r="R588" s="2"/>
      <c r="S588" s="2"/>
      <c r="T588" s="2"/>
      <c r="U588" s="2"/>
      <c r="V588" s="2"/>
      <c r="W588" s="2"/>
      <c r="X588" s="2"/>
      <c r="Y588" s="2"/>
      <c r="Z588" s="2"/>
      <c r="AA588" s="7">
        <f t="shared" si="33"/>
        <v>0</v>
      </c>
      <c r="AB588" s="7">
        <f t="shared" si="34"/>
        <v>0</v>
      </c>
      <c r="AC588" s="9"/>
      <c r="AD588" s="9"/>
      <c r="AE588" s="9" t="e">
        <f>IF(#REF!=#REF!,1,0)</f>
        <v>#REF!</v>
      </c>
      <c r="AF588" s="8"/>
      <c r="AG588" s="8"/>
      <c r="AH588" s="8"/>
      <c r="AI588" s="8"/>
    </row>
    <row r="589" spans="2:35" s="3" customFormat="1" x14ac:dyDescent="0.25">
      <c r="B589" s="4"/>
      <c r="C589" s="51"/>
      <c r="D589" s="52"/>
      <c r="E589" s="53"/>
      <c r="F589" s="2"/>
      <c r="G589" s="2"/>
      <c r="H589" s="2"/>
      <c r="I589" s="2"/>
      <c r="J589" s="2"/>
      <c r="K589" s="2"/>
      <c r="L589" s="2"/>
      <c r="M589" s="2"/>
      <c r="N589" s="2"/>
      <c r="O589" s="7">
        <f t="shared" si="32"/>
        <v>0</v>
      </c>
      <c r="P589" s="2"/>
      <c r="Q589" s="2"/>
      <c r="R589" s="2"/>
      <c r="S589" s="2"/>
      <c r="T589" s="2"/>
      <c r="U589" s="2"/>
      <c r="V589" s="2"/>
      <c r="W589" s="2"/>
      <c r="X589" s="2"/>
      <c r="Y589" s="2"/>
      <c r="Z589" s="2"/>
      <c r="AA589" s="7">
        <f t="shared" si="33"/>
        <v>0</v>
      </c>
      <c r="AB589" s="7">
        <f t="shared" si="34"/>
        <v>0</v>
      </c>
      <c r="AC589" s="9"/>
      <c r="AD589" s="9"/>
      <c r="AE589" s="9" t="e">
        <f>IF(#REF!=#REF!,1,0)</f>
        <v>#REF!</v>
      </c>
      <c r="AF589" s="8"/>
      <c r="AG589" s="8"/>
      <c r="AH589" s="8"/>
      <c r="AI589" s="8"/>
    </row>
    <row r="590" spans="2:35" s="3" customFormat="1" x14ac:dyDescent="0.25">
      <c r="B590" s="4"/>
      <c r="C590" s="51"/>
      <c r="D590" s="52"/>
      <c r="E590" s="53"/>
      <c r="F590" s="2"/>
      <c r="G590" s="2"/>
      <c r="H590" s="2"/>
      <c r="I590" s="2"/>
      <c r="J590" s="2"/>
      <c r="K590" s="2"/>
      <c r="L590" s="2"/>
      <c r="M590" s="2"/>
      <c r="N590" s="2"/>
      <c r="O590" s="7">
        <f t="shared" si="32"/>
        <v>0</v>
      </c>
      <c r="P590" s="2"/>
      <c r="Q590" s="2"/>
      <c r="R590" s="2"/>
      <c r="S590" s="2"/>
      <c r="T590" s="2"/>
      <c r="U590" s="2"/>
      <c r="V590" s="2"/>
      <c r="W590" s="2"/>
      <c r="X590" s="2"/>
      <c r="Y590" s="2"/>
      <c r="Z590" s="2"/>
      <c r="AA590" s="7">
        <f t="shared" si="33"/>
        <v>0</v>
      </c>
      <c r="AB590" s="7">
        <f t="shared" si="34"/>
        <v>0</v>
      </c>
      <c r="AC590" s="9"/>
      <c r="AD590" s="9"/>
      <c r="AE590" s="9" t="e">
        <f>IF(#REF!=#REF!,1,0)</f>
        <v>#REF!</v>
      </c>
      <c r="AF590" s="8"/>
      <c r="AG590" s="8"/>
      <c r="AH590" s="8"/>
      <c r="AI590" s="8"/>
    </row>
    <row r="591" spans="2:35" s="3" customFormat="1" x14ac:dyDescent="0.25">
      <c r="B591" s="4"/>
      <c r="C591" s="51"/>
      <c r="D591" s="52"/>
      <c r="E591" s="53"/>
      <c r="F591" s="2"/>
      <c r="G591" s="2"/>
      <c r="H591" s="2"/>
      <c r="I591" s="2"/>
      <c r="J591" s="2"/>
      <c r="K591" s="2"/>
      <c r="L591" s="2"/>
      <c r="M591" s="2"/>
      <c r="N591" s="2"/>
      <c r="O591" s="7">
        <f t="shared" si="32"/>
        <v>0</v>
      </c>
      <c r="P591" s="2"/>
      <c r="Q591" s="2"/>
      <c r="R591" s="2"/>
      <c r="S591" s="2"/>
      <c r="T591" s="2"/>
      <c r="U591" s="2"/>
      <c r="V591" s="2"/>
      <c r="W591" s="2"/>
      <c r="X591" s="2"/>
      <c r="Y591" s="2"/>
      <c r="Z591" s="2"/>
      <c r="AA591" s="7">
        <f t="shared" si="33"/>
        <v>0</v>
      </c>
      <c r="AB591" s="7">
        <f t="shared" si="34"/>
        <v>0</v>
      </c>
      <c r="AC591" s="9"/>
      <c r="AD591" s="9"/>
      <c r="AE591" s="9" t="e">
        <f>IF(#REF!=#REF!,1,0)</f>
        <v>#REF!</v>
      </c>
      <c r="AF591" s="8"/>
      <c r="AG591" s="8"/>
      <c r="AH591" s="8"/>
      <c r="AI591" s="8"/>
    </row>
    <row r="592" spans="2:35" s="3" customFormat="1" x14ac:dyDescent="0.25">
      <c r="B592" s="4"/>
      <c r="C592" s="51"/>
      <c r="D592" s="52"/>
      <c r="E592" s="53"/>
      <c r="F592" s="2"/>
      <c r="G592" s="2"/>
      <c r="H592" s="2"/>
      <c r="I592" s="2"/>
      <c r="J592" s="2"/>
      <c r="K592" s="2"/>
      <c r="L592" s="2"/>
      <c r="M592" s="2"/>
      <c r="N592" s="2"/>
      <c r="O592" s="7">
        <f t="shared" si="32"/>
        <v>0</v>
      </c>
      <c r="P592" s="2"/>
      <c r="Q592" s="2"/>
      <c r="R592" s="2"/>
      <c r="S592" s="2"/>
      <c r="T592" s="2"/>
      <c r="U592" s="2"/>
      <c r="V592" s="2"/>
      <c r="W592" s="2"/>
      <c r="X592" s="2"/>
      <c r="Y592" s="2"/>
      <c r="Z592" s="2"/>
      <c r="AA592" s="7">
        <f t="shared" si="33"/>
        <v>0</v>
      </c>
      <c r="AB592" s="7">
        <f t="shared" si="34"/>
        <v>0</v>
      </c>
      <c r="AC592" s="9"/>
      <c r="AD592" s="9"/>
      <c r="AE592" s="9" t="e">
        <f>IF(#REF!=#REF!,1,0)</f>
        <v>#REF!</v>
      </c>
      <c r="AF592" s="8"/>
      <c r="AG592" s="8"/>
      <c r="AH592" s="8"/>
      <c r="AI592" s="8"/>
    </row>
    <row r="593" spans="2:35" s="3" customFormat="1" x14ac:dyDescent="0.25">
      <c r="B593" s="4"/>
      <c r="C593" s="51"/>
      <c r="D593" s="52"/>
      <c r="E593" s="53"/>
      <c r="F593" s="2"/>
      <c r="G593" s="2"/>
      <c r="H593" s="2"/>
      <c r="I593" s="2"/>
      <c r="J593" s="2"/>
      <c r="K593" s="2"/>
      <c r="L593" s="2"/>
      <c r="M593" s="2"/>
      <c r="N593" s="2"/>
      <c r="O593" s="7">
        <f t="shared" si="32"/>
        <v>0</v>
      </c>
      <c r="P593" s="2"/>
      <c r="Q593" s="2"/>
      <c r="R593" s="2"/>
      <c r="S593" s="2"/>
      <c r="T593" s="2"/>
      <c r="U593" s="2"/>
      <c r="V593" s="2"/>
      <c r="W593" s="2"/>
      <c r="X593" s="2"/>
      <c r="Y593" s="2"/>
      <c r="Z593" s="2"/>
      <c r="AA593" s="7">
        <f t="shared" si="33"/>
        <v>0</v>
      </c>
      <c r="AB593" s="7">
        <f t="shared" si="34"/>
        <v>0</v>
      </c>
      <c r="AC593" s="9"/>
      <c r="AD593" s="9"/>
      <c r="AE593" s="9" t="e">
        <f>IF(#REF!=#REF!,1,0)</f>
        <v>#REF!</v>
      </c>
      <c r="AF593" s="8"/>
      <c r="AG593" s="8"/>
      <c r="AH593" s="8"/>
      <c r="AI593" s="8"/>
    </row>
    <row r="594" spans="2:35" s="3" customFormat="1" x14ac:dyDescent="0.25">
      <c r="B594" s="4"/>
      <c r="C594" s="51"/>
      <c r="D594" s="52"/>
      <c r="E594" s="53"/>
      <c r="F594" s="2"/>
      <c r="G594" s="2"/>
      <c r="H594" s="2"/>
      <c r="I594" s="2"/>
      <c r="J594" s="2"/>
      <c r="K594" s="2"/>
      <c r="L594" s="2"/>
      <c r="M594" s="2"/>
      <c r="N594" s="2"/>
      <c r="O594" s="7">
        <f t="shared" si="32"/>
        <v>0</v>
      </c>
      <c r="P594" s="2"/>
      <c r="Q594" s="2"/>
      <c r="R594" s="2"/>
      <c r="S594" s="2"/>
      <c r="T594" s="2"/>
      <c r="U594" s="2"/>
      <c r="V594" s="2"/>
      <c r="W594" s="2"/>
      <c r="X594" s="2"/>
      <c r="Y594" s="2"/>
      <c r="Z594" s="2"/>
      <c r="AA594" s="7">
        <f t="shared" si="33"/>
        <v>0</v>
      </c>
      <c r="AB594" s="7">
        <f t="shared" si="34"/>
        <v>0</v>
      </c>
      <c r="AC594" s="9"/>
      <c r="AD594" s="9"/>
      <c r="AE594" s="9" t="e">
        <f>IF(#REF!=#REF!,1,0)</f>
        <v>#REF!</v>
      </c>
      <c r="AF594" s="8"/>
      <c r="AG594" s="8"/>
      <c r="AH594" s="8"/>
      <c r="AI594" s="8"/>
    </row>
    <row r="595" spans="2:35" s="3" customFormat="1" x14ac:dyDescent="0.25">
      <c r="B595" s="4"/>
      <c r="C595" s="51"/>
      <c r="D595" s="52"/>
      <c r="E595" s="53"/>
      <c r="F595" s="2"/>
      <c r="G595" s="2"/>
      <c r="H595" s="2"/>
      <c r="I595" s="2"/>
      <c r="J595" s="2"/>
      <c r="K595" s="2"/>
      <c r="L595" s="2"/>
      <c r="M595" s="2"/>
      <c r="N595" s="2"/>
      <c r="O595" s="7">
        <f t="shared" si="32"/>
        <v>0</v>
      </c>
      <c r="P595" s="2"/>
      <c r="Q595" s="2"/>
      <c r="R595" s="2"/>
      <c r="S595" s="2"/>
      <c r="T595" s="2"/>
      <c r="U595" s="2"/>
      <c r="V595" s="2"/>
      <c r="W595" s="2"/>
      <c r="X595" s="2"/>
      <c r="Y595" s="2"/>
      <c r="Z595" s="2"/>
      <c r="AA595" s="7">
        <f t="shared" si="33"/>
        <v>0</v>
      </c>
      <c r="AB595" s="7">
        <f t="shared" si="34"/>
        <v>0</v>
      </c>
      <c r="AC595" s="9"/>
      <c r="AD595" s="9"/>
      <c r="AE595" s="9" t="e">
        <f>IF(#REF!=#REF!,1,0)</f>
        <v>#REF!</v>
      </c>
      <c r="AF595" s="8"/>
      <c r="AG595" s="8"/>
      <c r="AH595" s="8"/>
      <c r="AI595" s="8"/>
    </row>
    <row r="596" spans="2:35" s="3" customFormat="1" x14ac:dyDescent="0.25">
      <c r="B596" s="4"/>
      <c r="C596" s="51"/>
      <c r="D596" s="52"/>
      <c r="E596" s="53"/>
      <c r="F596" s="2"/>
      <c r="G596" s="2"/>
      <c r="H596" s="2"/>
      <c r="I596" s="2"/>
      <c r="J596" s="2"/>
      <c r="K596" s="2"/>
      <c r="L596" s="2"/>
      <c r="M596" s="2"/>
      <c r="N596" s="2"/>
      <c r="O596" s="7">
        <f t="shared" ref="O596:O659" si="35">SUM(F596:N596)</f>
        <v>0</v>
      </c>
      <c r="P596" s="2"/>
      <c r="Q596" s="2"/>
      <c r="R596" s="2"/>
      <c r="S596" s="2"/>
      <c r="T596" s="2"/>
      <c r="U596" s="2"/>
      <c r="V596" s="2"/>
      <c r="W596" s="2"/>
      <c r="X596" s="2"/>
      <c r="Y596" s="2"/>
      <c r="Z596" s="2"/>
      <c r="AA596" s="7">
        <f t="shared" si="33"/>
        <v>0</v>
      </c>
      <c r="AB596" s="7">
        <f t="shared" si="34"/>
        <v>0</v>
      </c>
      <c r="AC596" s="9"/>
      <c r="AD596" s="9"/>
      <c r="AE596" s="9" t="e">
        <f>IF(#REF!=#REF!,1,0)</f>
        <v>#REF!</v>
      </c>
      <c r="AF596" s="8"/>
      <c r="AG596" s="8"/>
      <c r="AH596" s="8"/>
      <c r="AI596" s="8"/>
    </row>
    <row r="597" spans="2:35" s="3" customFormat="1" x14ac:dyDescent="0.25">
      <c r="B597" s="4"/>
      <c r="C597" s="51"/>
      <c r="D597" s="52"/>
      <c r="E597" s="53"/>
      <c r="F597" s="2"/>
      <c r="G597" s="2"/>
      <c r="H597" s="2"/>
      <c r="I597" s="2"/>
      <c r="J597" s="2"/>
      <c r="K597" s="2"/>
      <c r="L597" s="2"/>
      <c r="M597" s="2"/>
      <c r="N597" s="2"/>
      <c r="O597" s="7">
        <f t="shared" si="35"/>
        <v>0</v>
      </c>
      <c r="P597" s="2"/>
      <c r="Q597" s="2"/>
      <c r="R597" s="2"/>
      <c r="S597" s="2"/>
      <c r="T597" s="2"/>
      <c r="U597" s="2"/>
      <c r="V597" s="2"/>
      <c r="W597" s="2"/>
      <c r="X597" s="2"/>
      <c r="Y597" s="2"/>
      <c r="Z597" s="2"/>
      <c r="AA597" s="7">
        <f t="shared" si="33"/>
        <v>0</v>
      </c>
      <c r="AB597" s="7">
        <f t="shared" si="34"/>
        <v>0</v>
      </c>
      <c r="AC597" s="9"/>
      <c r="AD597" s="9"/>
      <c r="AE597" s="9" t="e">
        <f>IF(#REF!=#REF!,1,0)</f>
        <v>#REF!</v>
      </c>
      <c r="AF597" s="8"/>
      <c r="AG597" s="8"/>
      <c r="AH597" s="8"/>
      <c r="AI597" s="8"/>
    </row>
    <row r="598" spans="2:35" s="3" customFormat="1" x14ac:dyDescent="0.25">
      <c r="B598" s="4" t="e">
        <f>IF(AE598=0,"",1+(MAX(B$7:B597)))</f>
        <v>#REF!</v>
      </c>
      <c r="C598" s="51"/>
      <c r="D598" s="52"/>
      <c r="E598" s="53"/>
      <c r="F598" s="2"/>
      <c r="G598" s="2"/>
      <c r="H598" s="2"/>
      <c r="I598" s="2"/>
      <c r="J598" s="2"/>
      <c r="K598" s="2"/>
      <c r="L598" s="2"/>
      <c r="M598" s="2"/>
      <c r="N598" s="2"/>
      <c r="O598" s="7">
        <f t="shared" si="35"/>
        <v>0</v>
      </c>
      <c r="P598" s="2"/>
      <c r="Q598" s="2"/>
      <c r="R598" s="2"/>
      <c r="S598" s="2"/>
      <c r="T598" s="2"/>
      <c r="U598" s="2"/>
      <c r="V598" s="2"/>
      <c r="W598" s="2"/>
      <c r="X598" s="2"/>
      <c r="Y598" s="2"/>
      <c r="Z598" s="2"/>
      <c r="AA598" s="7">
        <f t="shared" si="33"/>
        <v>0</v>
      </c>
      <c r="AB598" s="7">
        <f t="shared" si="34"/>
        <v>0</v>
      </c>
      <c r="AC598" s="9"/>
      <c r="AD598" s="9"/>
      <c r="AE598" s="9" t="e">
        <f>IF(#REF!=#REF!,1,0)</f>
        <v>#REF!</v>
      </c>
      <c r="AF598" s="8"/>
      <c r="AG598" s="8"/>
      <c r="AH598" s="8"/>
      <c r="AI598" s="8"/>
    </row>
    <row r="599" spans="2:35" s="3" customFormat="1" x14ac:dyDescent="0.25">
      <c r="B599" s="4" t="e">
        <f>IF(AE599=0,"",1+(MAX(B$7:B598)))</f>
        <v>#REF!</v>
      </c>
      <c r="C599" s="51"/>
      <c r="D599" s="52"/>
      <c r="E599" s="53"/>
      <c r="F599" s="2"/>
      <c r="G599" s="2"/>
      <c r="H599" s="2"/>
      <c r="I599" s="2"/>
      <c r="J599" s="2"/>
      <c r="K599" s="2"/>
      <c r="L599" s="2"/>
      <c r="M599" s="2"/>
      <c r="N599" s="2"/>
      <c r="O599" s="7">
        <f t="shared" si="35"/>
        <v>0</v>
      </c>
      <c r="P599" s="2"/>
      <c r="Q599" s="2"/>
      <c r="R599" s="2"/>
      <c r="S599" s="2"/>
      <c r="T599" s="2"/>
      <c r="U599" s="2"/>
      <c r="V599" s="2"/>
      <c r="W599" s="2"/>
      <c r="X599" s="2"/>
      <c r="Y599" s="2"/>
      <c r="Z599" s="2"/>
      <c r="AA599" s="7">
        <f t="shared" si="33"/>
        <v>0</v>
      </c>
      <c r="AB599" s="7">
        <f t="shared" si="34"/>
        <v>0</v>
      </c>
      <c r="AC599" s="9"/>
      <c r="AD599" s="9"/>
      <c r="AE599" s="9" t="e">
        <f>IF(#REF!=#REF!,1,0)</f>
        <v>#REF!</v>
      </c>
      <c r="AF599" s="8"/>
      <c r="AG599" s="8"/>
      <c r="AH599" s="8"/>
      <c r="AI599" s="8"/>
    </row>
    <row r="600" spans="2:35" s="3" customFormat="1" x14ac:dyDescent="0.25">
      <c r="B600" s="4" t="e">
        <f>IF(AE600=0,"",1+(MAX(B$7:B599)))</f>
        <v>#REF!</v>
      </c>
      <c r="C600" s="51"/>
      <c r="D600" s="52"/>
      <c r="E600" s="53"/>
      <c r="F600" s="2"/>
      <c r="G600" s="2"/>
      <c r="H600" s="2"/>
      <c r="I600" s="2"/>
      <c r="J600" s="2"/>
      <c r="K600" s="2"/>
      <c r="L600" s="2"/>
      <c r="M600" s="2"/>
      <c r="N600" s="2"/>
      <c r="O600" s="7">
        <f t="shared" si="35"/>
        <v>0</v>
      </c>
      <c r="P600" s="2"/>
      <c r="Q600" s="2"/>
      <c r="R600" s="2"/>
      <c r="S600" s="2"/>
      <c r="T600" s="2"/>
      <c r="U600" s="2"/>
      <c r="V600" s="2"/>
      <c r="W600" s="2"/>
      <c r="X600" s="2"/>
      <c r="Y600" s="2"/>
      <c r="Z600" s="2"/>
      <c r="AA600" s="7">
        <f t="shared" si="33"/>
        <v>0</v>
      </c>
      <c r="AB600" s="7">
        <f t="shared" si="34"/>
        <v>0</v>
      </c>
      <c r="AC600" s="9"/>
      <c r="AD600" s="9"/>
      <c r="AE600" s="9" t="e">
        <f>IF(#REF!=#REF!,1,0)</f>
        <v>#REF!</v>
      </c>
      <c r="AF600" s="8"/>
      <c r="AG600" s="8"/>
      <c r="AH600" s="8"/>
      <c r="AI600" s="8"/>
    </row>
    <row r="601" spans="2:35" s="3" customFormat="1" x14ac:dyDescent="0.25">
      <c r="B601" s="4" t="e">
        <f>IF(AE601=0,"",1+(MAX(B$7:B600)))</f>
        <v>#REF!</v>
      </c>
      <c r="C601" s="51"/>
      <c r="D601" s="52"/>
      <c r="E601" s="53"/>
      <c r="F601" s="2"/>
      <c r="G601" s="2"/>
      <c r="H601" s="2"/>
      <c r="I601" s="2"/>
      <c r="J601" s="2"/>
      <c r="K601" s="2"/>
      <c r="L601" s="2"/>
      <c r="M601" s="2"/>
      <c r="N601" s="2"/>
      <c r="O601" s="7">
        <f t="shared" si="35"/>
        <v>0</v>
      </c>
      <c r="P601" s="2"/>
      <c r="Q601" s="2"/>
      <c r="R601" s="2"/>
      <c r="S601" s="2"/>
      <c r="T601" s="2"/>
      <c r="U601" s="2"/>
      <c r="V601" s="2"/>
      <c r="W601" s="2"/>
      <c r="X601" s="2"/>
      <c r="Y601" s="2"/>
      <c r="Z601" s="2"/>
      <c r="AA601" s="7">
        <f t="shared" si="33"/>
        <v>0</v>
      </c>
      <c r="AB601" s="7">
        <f t="shared" si="34"/>
        <v>0</v>
      </c>
      <c r="AC601" s="9"/>
      <c r="AD601" s="9"/>
      <c r="AE601" s="9" t="e">
        <f>IF(#REF!=#REF!,1,0)</f>
        <v>#REF!</v>
      </c>
      <c r="AF601" s="8"/>
      <c r="AG601" s="8"/>
      <c r="AH601" s="8"/>
      <c r="AI601" s="8"/>
    </row>
    <row r="602" spans="2:35" s="3" customFormat="1" x14ac:dyDescent="0.25">
      <c r="B602" s="4" t="e">
        <f>IF(AE602=0,"",1+(MAX(B$7:B601)))</f>
        <v>#REF!</v>
      </c>
      <c r="C602" s="51"/>
      <c r="D602" s="52"/>
      <c r="E602" s="53"/>
      <c r="F602" s="2"/>
      <c r="G602" s="2"/>
      <c r="H602" s="2"/>
      <c r="I602" s="2"/>
      <c r="J602" s="2"/>
      <c r="K602" s="2"/>
      <c r="L602" s="2"/>
      <c r="M602" s="2"/>
      <c r="N602" s="2"/>
      <c r="O602" s="7">
        <f t="shared" si="35"/>
        <v>0</v>
      </c>
      <c r="P602" s="2"/>
      <c r="Q602" s="2"/>
      <c r="R602" s="2"/>
      <c r="S602" s="2"/>
      <c r="T602" s="2"/>
      <c r="U602" s="2"/>
      <c r="V602" s="2"/>
      <c r="W602" s="2"/>
      <c r="X602" s="2"/>
      <c r="Y602" s="2"/>
      <c r="Z602" s="2"/>
      <c r="AA602" s="7">
        <f t="shared" si="33"/>
        <v>0</v>
      </c>
      <c r="AB602" s="7">
        <f t="shared" si="34"/>
        <v>0</v>
      </c>
      <c r="AC602" s="9"/>
      <c r="AD602" s="9"/>
      <c r="AE602" s="9" t="e">
        <f>IF(#REF!=#REF!,1,0)</f>
        <v>#REF!</v>
      </c>
      <c r="AF602" s="8"/>
      <c r="AG602" s="8"/>
      <c r="AH602" s="8"/>
      <c r="AI602" s="8"/>
    </row>
    <row r="603" spans="2:35" s="3" customFormat="1" x14ac:dyDescent="0.25">
      <c r="B603" s="4" t="e">
        <f>IF(AE603=0,"",1+(MAX(B$7:B602)))</f>
        <v>#REF!</v>
      </c>
      <c r="C603" s="51"/>
      <c r="D603" s="52"/>
      <c r="E603" s="53"/>
      <c r="F603" s="2"/>
      <c r="G603" s="2"/>
      <c r="H603" s="2"/>
      <c r="I603" s="2"/>
      <c r="J603" s="2"/>
      <c r="K603" s="2"/>
      <c r="L603" s="2"/>
      <c r="M603" s="2"/>
      <c r="N603" s="2"/>
      <c r="O603" s="7">
        <f t="shared" si="35"/>
        <v>0</v>
      </c>
      <c r="P603" s="2"/>
      <c r="Q603" s="2"/>
      <c r="R603" s="2"/>
      <c r="S603" s="2"/>
      <c r="T603" s="2"/>
      <c r="U603" s="2"/>
      <c r="V603" s="2"/>
      <c r="W603" s="2"/>
      <c r="X603" s="2"/>
      <c r="Y603" s="2"/>
      <c r="Z603" s="2"/>
      <c r="AA603" s="7">
        <f t="shared" ref="AA603:AA666" si="36">SUM(P603:Z603)</f>
        <v>0</v>
      </c>
      <c r="AB603" s="7">
        <f t="shared" ref="AB603:AB666" si="37">O603-AA603</f>
        <v>0</v>
      </c>
      <c r="AC603" s="9"/>
      <c r="AD603" s="9"/>
      <c r="AE603" s="9" t="e">
        <f>IF(#REF!=#REF!,1,0)</f>
        <v>#REF!</v>
      </c>
      <c r="AF603" s="8"/>
      <c r="AG603" s="8"/>
      <c r="AH603" s="8"/>
      <c r="AI603" s="8"/>
    </row>
    <row r="604" spans="2:35" s="3" customFormat="1" x14ac:dyDescent="0.25">
      <c r="B604" s="4" t="e">
        <f>IF(AE604=0,"",1+(MAX(B$7:B603)))</f>
        <v>#REF!</v>
      </c>
      <c r="C604" s="51"/>
      <c r="D604" s="52"/>
      <c r="E604" s="53"/>
      <c r="F604" s="2"/>
      <c r="G604" s="2"/>
      <c r="H604" s="2"/>
      <c r="I604" s="2"/>
      <c r="J604" s="2"/>
      <c r="K604" s="2"/>
      <c r="L604" s="2"/>
      <c r="M604" s="2"/>
      <c r="N604" s="2"/>
      <c r="O604" s="7">
        <f t="shared" si="35"/>
        <v>0</v>
      </c>
      <c r="P604" s="2"/>
      <c r="Q604" s="2"/>
      <c r="R604" s="2"/>
      <c r="S604" s="2"/>
      <c r="T604" s="2"/>
      <c r="U604" s="2"/>
      <c r="V604" s="2"/>
      <c r="W604" s="2"/>
      <c r="X604" s="2"/>
      <c r="Y604" s="2"/>
      <c r="Z604" s="2"/>
      <c r="AA604" s="7">
        <f t="shared" si="36"/>
        <v>0</v>
      </c>
      <c r="AB604" s="7">
        <f t="shared" si="37"/>
        <v>0</v>
      </c>
      <c r="AC604" s="9"/>
      <c r="AD604" s="9"/>
      <c r="AE604" s="9" t="e">
        <f>IF(#REF!=#REF!,1,0)</f>
        <v>#REF!</v>
      </c>
      <c r="AF604" s="8"/>
      <c r="AG604" s="8"/>
      <c r="AH604" s="8"/>
      <c r="AI604" s="8"/>
    </row>
    <row r="605" spans="2:35" s="3" customFormat="1" x14ac:dyDescent="0.25">
      <c r="B605" s="4" t="e">
        <f>IF(AE605=0,"",1+(MAX(B$7:B604)))</f>
        <v>#REF!</v>
      </c>
      <c r="C605" s="51"/>
      <c r="D605" s="52"/>
      <c r="E605" s="53"/>
      <c r="F605" s="2"/>
      <c r="G605" s="2"/>
      <c r="H605" s="2"/>
      <c r="I605" s="2"/>
      <c r="J605" s="2"/>
      <c r="K605" s="2"/>
      <c r="L605" s="2"/>
      <c r="M605" s="2"/>
      <c r="N605" s="2"/>
      <c r="O605" s="7">
        <f t="shared" si="35"/>
        <v>0</v>
      </c>
      <c r="P605" s="2"/>
      <c r="Q605" s="2"/>
      <c r="R605" s="2"/>
      <c r="S605" s="2"/>
      <c r="T605" s="2"/>
      <c r="U605" s="2"/>
      <c r="V605" s="2"/>
      <c r="W605" s="2"/>
      <c r="X605" s="2"/>
      <c r="Y605" s="2"/>
      <c r="Z605" s="2"/>
      <c r="AA605" s="7">
        <f t="shared" si="36"/>
        <v>0</v>
      </c>
      <c r="AB605" s="7">
        <f t="shared" si="37"/>
        <v>0</v>
      </c>
      <c r="AC605" s="9"/>
      <c r="AD605" s="9"/>
      <c r="AE605" s="9" t="e">
        <f>IF(#REF!=#REF!,1,0)</f>
        <v>#REF!</v>
      </c>
      <c r="AF605" s="8"/>
      <c r="AG605" s="8"/>
      <c r="AH605" s="8"/>
      <c r="AI605" s="8"/>
    </row>
    <row r="606" spans="2:35" s="3" customFormat="1" x14ac:dyDescent="0.25">
      <c r="B606" s="4" t="e">
        <f>IF(AE606=0,"",1+(MAX(B$7:B605)))</f>
        <v>#REF!</v>
      </c>
      <c r="C606" s="51"/>
      <c r="D606" s="52"/>
      <c r="E606" s="53"/>
      <c r="F606" s="2"/>
      <c r="G606" s="2"/>
      <c r="H606" s="2"/>
      <c r="I606" s="2"/>
      <c r="J606" s="2"/>
      <c r="K606" s="2"/>
      <c r="L606" s="2"/>
      <c r="M606" s="2"/>
      <c r="N606" s="2"/>
      <c r="O606" s="7">
        <f t="shared" si="35"/>
        <v>0</v>
      </c>
      <c r="P606" s="2"/>
      <c r="Q606" s="2"/>
      <c r="R606" s="2"/>
      <c r="S606" s="2"/>
      <c r="T606" s="2"/>
      <c r="U606" s="2"/>
      <c r="V606" s="2"/>
      <c r="W606" s="2"/>
      <c r="X606" s="2"/>
      <c r="Y606" s="2"/>
      <c r="Z606" s="2"/>
      <c r="AA606" s="7">
        <f t="shared" si="36"/>
        <v>0</v>
      </c>
      <c r="AB606" s="7">
        <f t="shared" si="37"/>
        <v>0</v>
      </c>
      <c r="AC606" s="9"/>
      <c r="AD606" s="9"/>
      <c r="AE606" s="9" t="e">
        <f>IF(#REF!=#REF!,1,0)</f>
        <v>#REF!</v>
      </c>
      <c r="AF606" s="8"/>
      <c r="AG606" s="8"/>
      <c r="AH606" s="8"/>
      <c r="AI606" s="8"/>
    </row>
    <row r="607" spans="2:35" s="3" customFormat="1" x14ac:dyDescent="0.25">
      <c r="B607" s="4" t="e">
        <f>IF(AE607=0,"",1+(MAX(B$7:B606)))</f>
        <v>#REF!</v>
      </c>
      <c r="C607" s="51"/>
      <c r="D607" s="52"/>
      <c r="E607" s="53"/>
      <c r="F607" s="2"/>
      <c r="G607" s="2"/>
      <c r="H607" s="2"/>
      <c r="I607" s="2"/>
      <c r="J607" s="2"/>
      <c r="K607" s="2"/>
      <c r="L607" s="2"/>
      <c r="M607" s="2"/>
      <c r="N607" s="2"/>
      <c r="O607" s="7">
        <f t="shared" si="35"/>
        <v>0</v>
      </c>
      <c r="P607" s="2"/>
      <c r="Q607" s="2"/>
      <c r="R607" s="2"/>
      <c r="S607" s="2"/>
      <c r="T607" s="2"/>
      <c r="U607" s="2"/>
      <c r="V607" s="2"/>
      <c r="W607" s="2"/>
      <c r="X607" s="2"/>
      <c r="Y607" s="2"/>
      <c r="Z607" s="2"/>
      <c r="AA607" s="7">
        <f t="shared" si="36"/>
        <v>0</v>
      </c>
      <c r="AB607" s="7">
        <f t="shared" si="37"/>
        <v>0</v>
      </c>
      <c r="AC607" s="9"/>
      <c r="AD607" s="9"/>
      <c r="AE607" s="9" t="e">
        <f>IF(#REF!=#REF!,1,0)</f>
        <v>#REF!</v>
      </c>
      <c r="AF607" s="8"/>
      <c r="AG607" s="8"/>
      <c r="AH607" s="8"/>
      <c r="AI607" s="8"/>
    </row>
    <row r="608" spans="2:35" s="3" customFormat="1" x14ac:dyDescent="0.25">
      <c r="B608" s="4" t="e">
        <f>IF(AE608=0,"",1+(MAX(B$7:B607)))</f>
        <v>#REF!</v>
      </c>
      <c r="C608" s="51"/>
      <c r="D608" s="52"/>
      <c r="E608" s="53"/>
      <c r="F608" s="2"/>
      <c r="G608" s="2"/>
      <c r="H608" s="2"/>
      <c r="I608" s="2"/>
      <c r="J608" s="2"/>
      <c r="K608" s="2"/>
      <c r="L608" s="2"/>
      <c r="M608" s="2"/>
      <c r="N608" s="2"/>
      <c r="O608" s="7">
        <f t="shared" si="35"/>
        <v>0</v>
      </c>
      <c r="P608" s="2"/>
      <c r="Q608" s="2"/>
      <c r="R608" s="2"/>
      <c r="S608" s="2"/>
      <c r="T608" s="2"/>
      <c r="U608" s="2"/>
      <c r="V608" s="2"/>
      <c r="W608" s="2"/>
      <c r="X608" s="2"/>
      <c r="Y608" s="2"/>
      <c r="Z608" s="2"/>
      <c r="AA608" s="7">
        <f t="shared" si="36"/>
        <v>0</v>
      </c>
      <c r="AB608" s="7">
        <f t="shared" si="37"/>
        <v>0</v>
      </c>
      <c r="AC608" s="9"/>
      <c r="AD608" s="9"/>
      <c r="AE608" s="9" t="e">
        <f>IF(#REF!=#REF!,1,0)</f>
        <v>#REF!</v>
      </c>
      <c r="AF608" s="8"/>
      <c r="AG608" s="8"/>
      <c r="AH608" s="8"/>
      <c r="AI608" s="8"/>
    </row>
    <row r="609" spans="2:35" s="3" customFormat="1" x14ac:dyDescent="0.25">
      <c r="B609" s="4" t="e">
        <f>IF(AE609=0,"",1+(MAX(B$7:B608)))</f>
        <v>#REF!</v>
      </c>
      <c r="C609" s="51"/>
      <c r="D609" s="52"/>
      <c r="E609" s="53"/>
      <c r="F609" s="2"/>
      <c r="G609" s="2"/>
      <c r="H609" s="2"/>
      <c r="I609" s="2"/>
      <c r="J609" s="2"/>
      <c r="K609" s="2"/>
      <c r="L609" s="2"/>
      <c r="M609" s="2"/>
      <c r="N609" s="2"/>
      <c r="O609" s="7">
        <f t="shared" si="35"/>
        <v>0</v>
      </c>
      <c r="P609" s="2"/>
      <c r="Q609" s="2"/>
      <c r="R609" s="2"/>
      <c r="S609" s="2"/>
      <c r="T609" s="2"/>
      <c r="U609" s="2"/>
      <c r="V609" s="2"/>
      <c r="W609" s="2"/>
      <c r="X609" s="2"/>
      <c r="Y609" s="2"/>
      <c r="Z609" s="2"/>
      <c r="AA609" s="7">
        <f t="shared" si="36"/>
        <v>0</v>
      </c>
      <c r="AB609" s="7">
        <f t="shared" si="37"/>
        <v>0</v>
      </c>
      <c r="AC609" s="9"/>
      <c r="AD609" s="9"/>
      <c r="AE609" s="9" t="e">
        <f>IF(#REF!=#REF!,1,0)</f>
        <v>#REF!</v>
      </c>
      <c r="AF609" s="8"/>
      <c r="AG609" s="8"/>
      <c r="AH609" s="8"/>
      <c r="AI609" s="8"/>
    </row>
    <row r="610" spans="2:35" s="3" customFormat="1" x14ac:dyDescent="0.25">
      <c r="B610" s="4" t="e">
        <f>IF(AE610=0,"",1+(MAX(B$7:B609)))</f>
        <v>#REF!</v>
      </c>
      <c r="C610" s="51"/>
      <c r="D610" s="52"/>
      <c r="E610" s="53"/>
      <c r="F610" s="2"/>
      <c r="G610" s="2"/>
      <c r="H610" s="2"/>
      <c r="I610" s="2"/>
      <c r="J610" s="2"/>
      <c r="K610" s="2"/>
      <c r="L610" s="2"/>
      <c r="M610" s="2"/>
      <c r="N610" s="2"/>
      <c r="O610" s="7">
        <f t="shared" si="35"/>
        <v>0</v>
      </c>
      <c r="P610" s="2"/>
      <c r="Q610" s="2"/>
      <c r="R610" s="2"/>
      <c r="S610" s="2"/>
      <c r="T610" s="2"/>
      <c r="U610" s="2"/>
      <c r="V610" s="2"/>
      <c r="W610" s="2"/>
      <c r="X610" s="2"/>
      <c r="Y610" s="2"/>
      <c r="Z610" s="2"/>
      <c r="AA610" s="7">
        <f t="shared" si="36"/>
        <v>0</v>
      </c>
      <c r="AB610" s="7">
        <f t="shared" si="37"/>
        <v>0</v>
      </c>
      <c r="AC610" s="9"/>
      <c r="AD610" s="9"/>
      <c r="AE610" s="9" t="e">
        <f>IF(#REF!=#REF!,1,0)</f>
        <v>#REF!</v>
      </c>
      <c r="AF610" s="8"/>
      <c r="AG610" s="8"/>
      <c r="AH610" s="8"/>
      <c r="AI610" s="8"/>
    </row>
    <row r="611" spans="2:35" s="3" customFormat="1" x14ac:dyDescent="0.25">
      <c r="B611" s="4" t="e">
        <f>IF(AE611=0,"",1+(MAX(B$7:B610)))</f>
        <v>#REF!</v>
      </c>
      <c r="C611" s="51"/>
      <c r="D611" s="52"/>
      <c r="E611" s="53"/>
      <c r="F611" s="2"/>
      <c r="G611" s="2"/>
      <c r="H611" s="2"/>
      <c r="I611" s="2"/>
      <c r="J611" s="2"/>
      <c r="K611" s="2"/>
      <c r="L611" s="2"/>
      <c r="M611" s="2"/>
      <c r="N611" s="2"/>
      <c r="O611" s="7">
        <f t="shared" si="35"/>
        <v>0</v>
      </c>
      <c r="P611" s="2"/>
      <c r="Q611" s="2"/>
      <c r="R611" s="2"/>
      <c r="S611" s="2"/>
      <c r="T611" s="2"/>
      <c r="U611" s="2"/>
      <c r="V611" s="2"/>
      <c r="W611" s="2"/>
      <c r="X611" s="2"/>
      <c r="Y611" s="2"/>
      <c r="Z611" s="2"/>
      <c r="AA611" s="7">
        <f t="shared" si="36"/>
        <v>0</v>
      </c>
      <c r="AB611" s="7">
        <f t="shared" si="37"/>
        <v>0</v>
      </c>
      <c r="AC611" s="9"/>
      <c r="AD611" s="9"/>
      <c r="AE611" s="9" t="e">
        <f>IF(#REF!=#REF!,1,0)</f>
        <v>#REF!</v>
      </c>
      <c r="AF611" s="8"/>
      <c r="AG611" s="8"/>
      <c r="AH611" s="8"/>
      <c r="AI611" s="8"/>
    </row>
    <row r="612" spans="2:35" s="3" customFormat="1" x14ac:dyDescent="0.25">
      <c r="B612" s="4" t="e">
        <f>IF(AE612=0,"",1+(MAX(B$7:B611)))</f>
        <v>#REF!</v>
      </c>
      <c r="C612" s="51"/>
      <c r="D612" s="52"/>
      <c r="E612" s="53"/>
      <c r="F612" s="2"/>
      <c r="G612" s="2"/>
      <c r="H612" s="2"/>
      <c r="I612" s="2"/>
      <c r="J612" s="2"/>
      <c r="K612" s="2"/>
      <c r="L612" s="2"/>
      <c r="M612" s="2"/>
      <c r="N612" s="2"/>
      <c r="O612" s="7">
        <f t="shared" si="35"/>
        <v>0</v>
      </c>
      <c r="P612" s="2"/>
      <c r="Q612" s="2"/>
      <c r="R612" s="2"/>
      <c r="S612" s="2"/>
      <c r="T612" s="2"/>
      <c r="U612" s="2"/>
      <c r="V612" s="2"/>
      <c r="W612" s="2"/>
      <c r="X612" s="2"/>
      <c r="Y612" s="2"/>
      <c r="Z612" s="2"/>
      <c r="AA612" s="7">
        <f t="shared" si="36"/>
        <v>0</v>
      </c>
      <c r="AB612" s="7">
        <f t="shared" si="37"/>
        <v>0</v>
      </c>
      <c r="AC612" s="9"/>
      <c r="AD612" s="9"/>
      <c r="AE612" s="9" t="e">
        <f>IF(#REF!=#REF!,1,0)</f>
        <v>#REF!</v>
      </c>
      <c r="AF612" s="8"/>
      <c r="AG612" s="8"/>
      <c r="AH612" s="8"/>
      <c r="AI612" s="8"/>
    </row>
    <row r="613" spans="2:35" s="3" customFormat="1" x14ac:dyDescent="0.25">
      <c r="B613" s="4" t="e">
        <f>IF(AE613=0,"",1+(MAX(B$7:B612)))</f>
        <v>#REF!</v>
      </c>
      <c r="C613" s="51"/>
      <c r="D613" s="52"/>
      <c r="E613" s="53"/>
      <c r="F613" s="2"/>
      <c r="G613" s="2"/>
      <c r="H613" s="2"/>
      <c r="I613" s="2"/>
      <c r="J613" s="2"/>
      <c r="K613" s="2"/>
      <c r="L613" s="2"/>
      <c r="M613" s="2"/>
      <c r="N613" s="2"/>
      <c r="O613" s="7">
        <f t="shared" si="35"/>
        <v>0</v>
      </c>
      <c r="P613" s="2"/>
      <c r="Q613" s="2"/>
      <c r="R613" s="2"/>
      <c r="S613" s="2"/>
      <c r="T613" s="2"/>
      <c r="U613" s="2"/>
      <c r="V613" s="2"/>
      <c r="W613" s="2"/>
      <c r="X613" s="2"/>
      <c r="Y613" s="2"/>
      <c r="Z613" s="2"/>
      <c r="AA613" s="7">
        <f t="shared" si="36"/>
        <v>0</v>
      </c>
      <c r="AB613" s="7">
        <f t="shared" si="37"/>
        <v>0</v>
      </c>
      <c r="AC613" s="9"/>
      <c r="AD613" s="9"/>
      <c r="AE613" s="9" t="e">
        <f>IF(#REF!=#REF!,1,0)</f>
        <v>#REF!</v>
      </c>
      <c r="AF613" s="8"/>
      <c r="AG613" s="8"/>
      <c r="AH613" s="8"/>
      <c r="AI613" s="8"/>
    </row>
    <row r="614" spans="2:35" s="3" customFormat="1" x14ac:dyDescent="0.25">
      <c r="B614" s="4" t="e">
        <f>IF(AE614=0,"",1+(MAX(B$7:B613)))</f>
        <v>#REF!</v>
      </c>
      <c r="C614" s="51"/>
      <c r="D614" s="52"/>
      <c r="E614" s="53"/>
      <c r="F614" s="2"/>
      <c r="G614" s="2"/>
      <c r="H614" s="2"/>
      <c r="I614" s="2"/>
      <c r="J614" s="2"/>
      <c r="K614" s="2"/>
      <c r="L614" s="2"/>
      <c r="M614" s="2"/>
      <c r="N614" s="2"/>
      <c r="O614" s="7">
        <f t="shared" si="35"/>
        <v>0</v>
      </c>
      <c r="P614" s="2"/>
      <c r="Q614" s="2"/>
      <c r="R614" s="2"/>
      <c r="S614" s="2"/>
      <c r="T614" s="2"/>
      <c r="U614" s="2"/>
      <c r="V614" s="2"/>
      <c r="W614" s="2"/>
      <c r="X614" s="2"/>
      <c r="Y614" s="2"/>
      <c r="Z614" s="2"/>
      <c r="AA614" s="7">
        <f t="shared" si="36"/>
        <v>0</v>
      </c>
      <c r="AB614" s="7">
        <f t="shared" si="37"/>
        <v>0</v>
      </c>
      <c r="AC614" s="9"/>
      <c r="AD614" s="9"/>
      <c r="AE614" s="9" t="e">
        <f>IF(#REF!=#REF!,1,0)</f>
        <v>#REF!</v>
      </c>
      <c r="AF614" s="8"/>
      <c r="AG614" s="8"/>
      <c r="AH614" s="8"/>
      <c r="AI614" s="8"/>
    </row>
    <row r="615" spans="2:35" s="3" customFormat="1" x14ac:dyDescent="0.25">
      <c r="B615" s="4" t="e">
        <f>IF(AE615=0,"",1+(MAX(B$7:B614)))</f>
        <v>#REF!</v>
      </c>
      <c r="C615" s="51"/>
      <c r="D615" s="52"/>
      <c r="E615" s="53"/>
      <c r="F615" s="2"/>
      <c r="G615" s="2"/>
      <c r="H615" s="2"/>
      <c r="I615" s="2"/>
      <c r="J615" s="2"/>
      <c r="K615" s="2"/>
      <c r="L615" s="2"/>
      <c r="M615" s="2"/>
      <c r="N615" s="2"/>
      <c r="O615" s="7">
        <f t="shared" si="35"/>
        <v>0</v>
      </c>
      <c r="P615" s="2"/>
      <c r="Q615" s="2"/>
      <c r="R615" s="2"/>
      <c r="S615" s="2"/>
      <c r="T615" s="2"/>
      <c r="U615" s="2"/>
      <c r="V615" s="2"/>
      <c r="W615" s="2"/>
      <c r="X615" s="2"/>
      <c r="Y615" s="2"/>
      <c r="Z615" s="2"/>
      <c r="AA615" s="7">
        <f t="shared" si="36"/>
        <v>0</v>
      </c>
      <c r="AB615" s="7">
        <f t="shared" si="37"/>
        <v>0</v>
      </c>
      <c r="AC615" s="9"/>
      <c r="AD615" s="9"/>
      <c r="AE615" s="9" t="e">
        <f>IF(#REF!=#REF!,1,0)</f>
        <v>#REF!</v>
      </c>
      <c r="AF615" s="8"/>
      <c r="AG615" s="8"/>
      <c r="AH615" s="8"/>
      <c r="AI615" s="8"/>
    </row>
    <row r="616" spans="2:35" s="3" customFormat="1" x14ac:dyDescent="0.25">
      <c r="B616" s="4" t="e">
        <f>IF(AE616=0,"",1+(MAX(B$7:B615)))</f>
        <v>#REF!</v>
      </c>
      <c r="C616" s="51"/>
      <c r="D616" s="52"/>
      <c r="E616" s="53"/>
      <c r="F616" s="2"/>
      <c r="G616" s="2"/>
      <c r="H616" s="2"/>
      <c r="I616" s="2"/>
      <c r="J616" s="2"/>
      <c r="K616" s="2"/>
      <c r="L616" s="2"/>
      <c r="M616" s="2"/>
      <c r="N616" s="2"/>
      <c r="O616" s="7">
        <f t="shared" si="35"/>
        <v>0</v>
      </c>
      <c r="P616" s="2"/>
      <c r="Q616" s="2"/>
      <c r="R616" s="2"/>
      <c r="S616" s="2"/>
      <c r="T616" s="2"/>
      <c r="U616" s="2"/>
      <c r="V616" s="2"/>
      <c r="W616" s="2"/>
      <c r="X616" s="2"/>
      <c r="Y616" s="2"/>
      <c r="Z616" s="2"/>
      <c r="AA616" s="7">
        <f t="shared" si="36"/>
        <v>0</v>
      </c>
      <c r="AB616" s="7">
        <f t="shared" si="37"/>
        <v>0</v>
      </c>
      <c r="AC616" s="9"/>
      <c r="AD616" s="9"/>
      <c r="AE616" s="9" t="e">
        <f>IF(#REF!=#REF!,1,0)</f>
        <v>#REF!</v>
      </c>
      <c r="AF616" s="8"/>
      <c r="AG616" s="8"/>
      <c r="AH616" s="8"/>
      <c r="AI616" s="8"/>
    </row>
    <row r="617" spans="2:35" s="3" customFormat="1" x14ac:dyDescent="0.25">
      <c r="B617" s="4" t="e">
        <f>IF(AE617=0,"",1+(MAX(B$7:B616)))</f>
        <v>#REF!</v>
      </c>
      <c r="C617" s="51"/>
      <c r="D617" s="52"/>
      <c r="E617" s="53"/>
      <c r="F617" s="2"/>
      <c r="G617" s="2"/>
      <c r="H617" s="2"/>
      <c r="I617" s="2"/>
      <c r="J617" s="2"/>
      <c r="K617" s="2"/>
      <c r="L617" s="2"/>
      <c r="M617" s="2"/>
      <c r="N617" s="2"/>
      <c r="O617" s="7">
        <f t="shared" si="35"/>
        <v>0</v>
      </c>
      <c r="P617" s="2"/>
      <c r="Q617" s="2"/>
      <c r="R617" s="2"/>
      <c r="S617" s="2"/>
      <c r="T617" s="2"/>
      <c r="U617" s="2"/>
      <c r="V617" s="2"/>
      <c r="W617" s="2"/>
      <c r="X617" s="2"/>
      <c r="Y617" s="2"/>
      <c r="Z617" s="2"/>
      <c r="AA617" s="7">
        <f t="shared" si="36"/>
        <v>0</v>
      </c>
      <c r="AB617" s="7">
        <f t="shared" si="37"/>
        <v>0</v>
      </c>
      <c r="AC617" s="9"/>
      <c r="AD617" s="9"/>
      <c r="AE617" s="9" t="e">
        <f>IF(#REF!=#REF!,1,0)</f>
        <v>#REF!</v>
      </c>
      <c r="AF617" s="8"/>
      <c r="AG617" s="8"/>
      <c r="AH617" s="8"/>
      <c r="AI617" s="8"/>
    </row>
    <row r="618" spans="2:35" s="3" customFormat="1" x14ac:dyDescent="0.25">
      <c r="B618" s="4" t="e">
        <f>IF(AE618=0,"",1+(MAX(B$7:B617)))</f>
        <v>#REF!</v>
      </c>
      <c r="C618" s="51"/>
      <c r="D618" s="52"/>
      <c r="E618" s="53"/>
      <c r="F618" s="2"/>
      <c r="G618" s="2"/>
      <c r="H618" s="2"/>
      <c r="I618" s="2"/>
      <c r="J618" s="2"/>
      <c r="K618" s="2"/>
      <c r="L618" s="2"/>
      <c r="M618" s="2"/>
      <c r="N618" s="2"/>
      <c r="O618" s="7">
        <f t="shared" si="35"/>
        <v>0</v>
      </c>
      <c r="P618" s="2"/>
      <c r="Q618" s="2"/>
      <c r="R618" s="2"/>
      <c r="S618" s="2"/>
      <c r="T618" s="2"/>
      <c r="U618" s="2"/>
      <c r="V618" s="2"/>
      <c r="W618" s="2"/>
      <c r="X618" s="2"/>
      <c r="Y618" s="2"/>
      <c r="Z618" s="2"/>
      <c r="AA618" s="7">
        <f t="shared" si="36"/>
        <v>0</v>
      </c>
      <c r="AB618" s="7">
        <f t="shared" si="37"/>
        <v>0</v>
      </c>
      <c r="AC618" s="9"/>
      <c r="AD618" s="9"/>
      <c r="AE618" s="9" t="e">
        <f>IF(#REF!=#REF!,1,0)</f>
        <v>#REF!</v>
      </c>
      <c r="AF618" s="8"/>
      <c r="AG618" s="8"/>
      <c r="AH618" s="8"/>
      <c r="AI618" s="8"/>
    </row>
    <row r="619" spans="2:35" s="3" customFormat="1" x14ac:dyDescent="0.25">
      <c r="B619" s="4" t="e">
        <f>IF(AE619=0,"",1+(MAX(B$7:B618)))</f>
        <v>#REF!</v>
      </c>
      <c r="C619" s="51"/>
      <c r="D619" s="52"/>
      <c r="E619" s="53"/>
      <c r="F619" s="2"/>
      <c r="G619" s="2"/>
      <c r="H619" s="2"/>
      <c r="I619" s="2"/>
      <c r="J619" s="2"/>
      <c r="K619" s="2"/>
      <c r="L619" s="2"/>
      <c r="M619" s="2"/>
      <c r="N619" s="2"/>
      <c r="O619" s="7">
        <f t="shared" si="35"/>
        <v>0</v>
      </c>
      <c r="P619" s="2"/>
      <c r="Q619" s="2"/>
      <c r="R619" s="2"/>
      <c r="S619" s="2"/>
      <c r="T619" s="2"/>
      <c r="U619" s="2"/>
      <c r="V619" s="2"/>
      <c r="W619" s="2"/>
      <c r="X619" s="2"/>
      <c r="Y619" s="2"/>
      <c r="Z619" s="2"/>
      <c r="AA619" s="7">
        <f t="shared" si="36"/>
        <v>0</v>
      </c>
      <c r="AB619" s="7">
        <f t="shared" si="37"/>
        <v>0</v>
      </c>
      <c r="AC619" s="9"/>
      <c r="AD619" s="9"/>
      <c r="AE619" s="9" t="e">
        <f>IF(#REF!=#REF!,1,0)</f>
        <v>#REF!</v>
      </c>
      <c r="AF619" s="8"/>
      <c r="AG619" s="8"/>
      <c r="AH619" s="8"/>
      <c r="AI619" s="8"/>
    </row>
    <row r="620" spans="2:35" s="3" customFormat="1" x14ac:dyDescent="0.25">
      <c r="B620" s="4" t="e">
        <f>IF(AE620=0,"",1+(MAX(B$7:B619)))</f>
        <v>#REF!</v>
      </c>
      <c r="C620" s="51"/>
      <c r="D620" s="52"/>
      <c r="E620" s="53"/>
      <c r="F620" s="2"/>
      <c r="G620" s="2"/>
      <c r="H620" s="2"/>
      <c r="I620" s="2"/>
      <c r="J620" s="2"/>
      <c r="K620" s="2"/>
      <c r="L620" s="2"/>
      <c r="M620" s="2"/>
      <c r="N620" s="2"/>
      <c r="O620" s="7">
        <f t="shared" si="35"/>
        <v>0</v>
      </c>
      <c r="P620" s="2"/>
      <c r="Q620" s="2"/>
      <c r="R620" s="2"/>
      <c r="S620" s="2"/>
      <c r="T620" s="2"/>
      <c r="U620" s="2"/>
      <c r="V620" s="2"/>
      <c r="W620" s="2"/>
      <c r="X620" s="2"/>
      <c r="Y620" s="2"/>
      <c r="Z620" s="2"/>
      <c r="AA620" s="7">
        <f t="shared" si="36"/>
        <v>0</v>
      </c>
      <c r="AB620" s="7">
        <f t="shared" si="37"/>
        <v>0</v>
      </c>
      <c r="AC620" s="9"/>
      <c r="AD620" s="9"/>
      <c r="AE620" s="9" t="e">
        <f>IF(#REF!=#REF!,1,0)</f>
        <v>#REF!</v>
      </c>
      <c r="AF620" s="8"/>
      <c r="AG620" s="8"/>
      <c r="AH620" s="8"/>
      <c r="AI620" s="8"/>
    </row>
    <row r="621" spans="2:35" s="3" customFormat="1" x14ac:dyDescent="0.25">
      <c r="B621" s="4" t="e">
        <f>IF(AE621=0,"",1+(MAX(B$7:B620)))</f>
        <v>#REF!</v>
      </c>
      <c r="C621" s="51"/>
      <c r="D621" s="52"/>
      <c r="E621" s="53"/>
      <c r="F621" s="2"/>
      <c r="G621" s="2"/>
      <c r="H621" s="2"/>
      <c r="I621" s="2"/>
      <c r="J621" s="2"/>
      <c r="K621" s="2"/>
      <c r="L621" s="2"/>
      <c r="M621" s="2"/>
      <c r="N621" s="2"/>
      <c r="O621" s="7">
        <f t="shared" si="35"/>
        <v>0</v>
      </c>
      <c r="P621" s="2"/>
      <c r="Q621" s="2"/>
      <c r="R621" s="2"/>
      <c r="S621" s="2"/>
      <c r="T621" s="2"/>
      <c r="U621" s="2"/>
      <c r="V621" s="2"/>
      <c r="W621" s="2"/>
      <c r="X621" s="2"/>
      <c r="Y621" s="2"/>
      <c r="Z621" s="2"/>
      <c r="AA621" s="7">
        <f t="shared" si="36"/>
        <v>0</v>
      </c>
      <c r="AB621" s="7">
        <f t="shared" si="37"/>
        <v>0</v>
      </c>
      <c r="AC621" s="9"/>
      <c r="AD621" s="9"/>
      <c r="AE621" s="9" t="e">
        <f>IF(#REF!=#REF!,1,0)</f>
        <v>#REF!</v>
      </c>
      <c r="AF621" s="8"/>
      <c r="AG621" s="8"/>
      <c r="AH621" s="8"/>
      <c r="AI621" s="8"/>
    </row>
    <row r="622" spans="2:35" s="3" customFormat="1" x14ac:dyDescent="0.25">
      <c r="B622" s="4" t="e">
        <f>IF(AE622=0,"",1+(MAX(B$7:B621)))</f>
        <v>#REF!</v>
      </c>
      <c r="C622" s="51"/>
      <c r="D622" s="52"/>
      <c r="E622" s="53"/>
      <c r="F622" s="2"/>
      <c r="G622" s="2"/>
      <c r="H622" s="2"/>
      <c r="I622" s="2"/>
      <c r="J622" s="2"/>
      <c r="K622" s="2"/>
      <c r="L622" s="2"/>
      <c r="M622" s="2"/>
      <c r="N622" s="2"/>
      <c r="O622" s="7">
        <f t="shared" si="35"/>
        <v>0</v>
      </c>
      <c r="P622" s="2"/>
      <c r="Q622" s="2"/>
      <c r="R622" s="2"/>
      <c r="S622" s="2"/>
      <c r="T622" s="2"/>
      <c r="U622" s="2"/>
      <c r="V622" s="2"/>
      <c r="W622" s="2"/>
      <c r="X622" s="2"/>
      <c r="Y622" s="2"/>
      <c r="Z622" s="2"/>
      <c r="AA622" s="7">
        <f t="shared" si="36"/>
        <v>0</v>
      </c>
      <c r="AB622" s="7">
        <f t="shared" si="37"/>
        <v>0</v>
      </c>
      <c r="AC622" s="9"/>
      <c r="AD622" s="9"/>
      <c r="AE622" s="9" t="e">
        <f>IF(#REF!=#REF!,1,0)</f>
        <v>#REF!</v>
      </c>
      <c r="AF622" s="8"/>
      <c r="AG622" s="8"/>
      <c r="AH622" s="8"/>
      <c r="AI622" s="8"/>
    </row>
    <row r="623" spans="2:35" s="3" customFormat="1" x14ac:dyDescent="0.25">
      <c r="B623" s="4" t="e">
        <f>IF(AE623=0,"",1+(MAX(B$7:B622)))</f>
        <v>#REF!</v>
      </c>
      <c r="C623" s="51"/>
      <c r="D623" s="52"/>
      <c r="E623" s="53"/>
      <c r="F623" s="2"/>
      <c r="G623" s="2"/>
      <c r="H623" s="2"/>
      <c r="I623" s="2"/>
      <c r="J623" s="2"/>
      <c r="K623" s="2"/>
      <c r="L623" s="2"/>
      <c r="M623" s="2"/>
      <c r="N623" s="2"/>
      <c r="O623" s="7">
        <f t="shared" si="35"/>
        <v>0</v>
      </c>
      <c r="P623" s="2"/>
      <c r="Q623" s="2"/>
      <c r="R623" s="2"/>
      <c r="S623" s="2"/>
      <c r="T623" s="2"/>
      <c r="U623" s="2"/>
      <c r="V623" s="2"/>
      <c r="W623" s="2"/>
      <c r="X623" s="2"/>
      <c r="Y623" s="2"/>
      <c r="Z623" s="2"/>
      <c r="AA623" s="7">
        <f t="shared" si="36"/>
        <v>0</v>
      </c>
      <c r="AB623" s="7">
        <f t="shared" si="37"/>
        <v>0</v>
      </c>
      <c r="AC623" s="9"/>
      <c r="AD623" s="9"/>
      <c r="AE623" s="9" t="e">
        <f>IF(#REF!=#REF!,1,0)</f>
        <v>#REF!</v>
      </c>
      <c r="AF623" s="8"/>
      <c r="AG623" s="8"/>
      <c r="AH623" s="8"/>
      <c r="AI623" s="8"/>
    </row>
    <row r="624" spans="2:35" s="3" customFormat="1" x14ac:dyDescent="0.25">
      <c r="B624" s="4" t="e">
        <f>IF(AE624=0,"",1+(MAX(B$7:B623)))</f>
        <v>#REF!</v>
      </c>
      <c r="C624" s="51"/>
      <c r="D624" s="52"/>
      <c r="E624" s="53"/>
      <c r="F624" s="2"/>
      <c r="G624" s="2"/>
      <c r="H624" s="2"/>
      <c r="I624" s="2"/>
      <c r="J624" s="2"/>
      <c r="K624" s="2"/>
      <c r="L624" s="2"/>
      <c r="M624" s="2"/>
      <c r="N624" s="2"/>
      <c r="O624" s="7">
        <f t="shared" si="35"/>
        <v>0</v>
      </c>
      <c r="P624" s="2"/>
      <c r="Q624" s="2"/>
      <c r="R624" s="2"/>
      <c r="S624" s="2"/>
      <c r="T624" s="2"/>
      <c r="U624" s="2"/>
      <c r="V624" s="2"/>
      <c r="W624" s="2"/>
      <c r="X624" s="2"/>
      <c r="Y624" s="2"/>
      <c r="Z624" s="2"/>
      <c r="AA624" s="7">
        <f t="shared" si="36"/>
        <v>0</v>
      </c>
      <c r="AB624" s="7">
        <f t="shared" si="37"/>
        <v>0</v>
      </c>
      <c r="AC624" s="9"/>
      <c r="AD624" s="9"/>
      <c r="AE624" s="9" t="e">
        <f>IF(#REF!=#REF!,1,0)</f>
        <v>#REF!</v>
      </c>
      <c r="AF624" s="8"/>
      <c r="AG624" s="8"/>
      <c r="AH624" s="8"/>
      <c r="AI624" s="8"/>
    </row>
    <row r="625" spans="2:35" s="3" customFormat="1" x14ac:dyDescent="0.25">
      <c r="B625" s="4" t="e">
        <f>IF(AE625=0,"",1+(MAX(B$7:B624)))</f>
        <v>#REF!</v>
      </c>
      <c r="C625" s="51"/>
      <c r="D625" s="52"/>
      <c r="E625" s="53"/>
      <c r="F625" s="2"/>
      <c r="G625" s="2"/>
      <c r="H625" s="2"/>
      <c r="I625" s="2"/>
      <c r="J625" s="2"/>
      <c r="K625" s="2"/>
      <c r="L625" s="2"/>
      <c r="M625" s="2"/>
      <c r="N625" s="2"/>
      <c r="O625" s="7">
        <f t="shared" si="35"/>
        <v>0</v>
      </c>
      <c r="P625" s="2"/>
      <c r="Q625" s="2"/>
      <c r="R625" s="2"/>
      <c r="S625" s="2"/>
      <c r="T625" s="2"/>
      <c r="U625" s="2"/>
      <c r="V625" s="2"/>
      <c r="W625" s="2"/>
      <c r="X625" s="2"/>
      <c r="Y625" s="2"/>
      <c r="Z625" s="2"/>
      <c r="AA625" s="7">
        <f t="shared" si="36"/>
        <v>0</v>
      </c>
      <c r="AB625" s="7">
        <f t="shared" si="37"/>
        <v>0</v>
      </c>
      <c r="AC625" s="9"/>
      <c r="AD625" s="9"/>
      <c r="AE625" s="9" t="e">
        <f>IF(#REF!=#REF!,1,0)</f>
        <v>#REF!</v>
      </c>
      <c r="AF625" s="8"/>
      <c r="AG625" s="8"/>
      <c r="AH625" s="8"/>
      <c r="AI625" s="8"/>
    </row>
    <row r="626" spans="2:35" s="3" customFormat="1" x14ac:dyDescent="0.25">
      <c r="B626" s="4" t="e">
        <f>IF(AE626=0,"",1+(MAX(B$7:B625)))</f>
        <v>#REF!</v>
      </c>
      <c r="C626" s="51"/>
      <c r="D626" s="52"/>
      <c r="E626" s="53"/>
      <c r="F626" s="2"/>
      <c r="G626" s="2"/>
      <c r="H626" s="2"/>
      <c r="I626" s="2"/>
      <c r="J626" s="2"/>
      <c r="K626" s="2"/>
      <c r="L626" s="2"/>
      <c r="M626" s="2"/>
      <c r="N626" s="2"/>
      <c r="O626" s="7">
        <f t="shared" si="35"/>
        <v>0</v>
      </c>
      <c r="P626" s="2"/>
      <c r="Q626" s="2"/>
      <c r="R626" s="2"/>
      <c r="S626" s="2"/>
      <c r="T626" s="2"/>
      <c r="U626" s="2"/>
      <c r="V626" s="2"/>
      <c r="W626" s="2"/>
      <c r="X626" s="2"/>
      <c r="Y626" s="2"/>
      <c r="Z626" s="2"/>
      <c r="AA626" s="7">
        <f t="shared" si="36"/>
        <v>0</v>
      </c>
      <c r="AB626" s="7">
        <f t="shared" si="37"/>
        <v>0</v>
      </c>
      <c r="AC626" s="9"/>
      <c r="AD626" s="9"/>
      <c r="AE626" s="9" t="e">
        <f>IF(#REF!=#REF!,1,0)</f>
        <v>#REF!</v>
      </c>
      <c r="AF626" s="8"/>
      <c r="AG626" s="8"/>
      <c r="AH626" s="8"/>
      <c r="AI626" s="8"/>
    </row>
    <row r="627" spans="2:35" s="3" customFormat="1" x14ac:dyDescent="0.25">
      <c r="B627" s="4" t="e">
        <f>IF(AE627=0,"",1+(MAX(B$7:B626)))</f>
        <v>#REF!</v>
      </c>
      <c r="C627" s="51"/>
      <c r="D627" s="52"/>
      <c r="E627" s="53"/>
      <c r="F627" s="2"/>
      <c r="G627" s="2"/>
      <c r="H627" s="2"/>
      <c r="I627" s="2"/>
      <c r="J627" s="2"/>
      <c r="K627" s="2"/>
      <c r="L627" s="2"/>
      <c r="M627" s="2"/>
      <c r="N627" s="2"/>
      <c r="O627" s="7">
        <f t="shared" si="35"/>
        <v>0</v>
      </c>
      <c r="P627" s="2"/>
      <c r="Q627" s="2"/>
      <c r="R627" s="2"/>
      <c r="S627" s="2"/>
      <c r="T627" s="2"/>
      <c r="U627" s="2"/>
      <c r="V627" s="2"/>
      <c r="W627" s="2"/>
      <c r="X627" s="2"/>
      <c r="Y627" s="2"/>
      <c r="Z627" s="2"/>
      <c r="AA627" s="7">
        <f t="shared" si="36"/>
        <v>0</v>
      </c>
      <c r="AB627" s="7">
        <f t="shared" si="37"/>
        <v>0</v>
      </c>
      <c r="AC627" s="9"/>
      <c r="AD627" s="9"/>
      <c r="AE627" s="9" t="e">
        <f>IF(#REF!=#REF!,1,0)</f>
        <v>#REF!</v>
      </c>
      <c r="AF627" s="8"/>
      <c r="AG627" s="8"/>
      <c r="AH627" s="8"/>
      <c r="AI627" s="8"/>
    </row>
    <row r="628" spans="2:35" s="3" customFormat="1" x14ac:dyDescent="0.25">
      <c r="B628" s="4" t="e">
        <f>IF(AE628=0,"",1+(MAX(B$7:B627)))</f>
        <v>#REF!</v>
      </c>
      <c r="C628" s="51"/>
      <c r="D628" s="52"/>
      <c r="E628" s="53"/>
      <c r="F628" s="2"/>
      <c r="G628" s="2"/>
      <c r="H628" s="2"/>
      <c r="I628" s="2"/>
      <c r="J628" s="2"/>
      <c r="K628" s="2"/>
      <c r="L628" s="2"/>
      <c r="M628" s="2"/>
      <c r="N628" s="2"/>
      <c r="O628" s="7">
        <f t="shared" si="35"/>
        <v>0</v>
      </c>
      <c r="P628" s="2"/>
      <c r="Q628" s="2"/>
      <c r="R628" s="2"/>
      <c r="S628" s="2"/>
      <c r="T628" s="2"/>
      <c r="U628" s="2"/>
      <c r="V628" s="2"/>
      <c r="W628" s="2"/>
      <c r="X628" s="2"/>
      <c r="Y628" s="2"/>
      <c r="Z628" s="2"/>
      <c r="AA628" s="7">
        <f t="shared" si="36"/>
        <v>0</v>
      </c>
      <c r="AB628" s="7">
        <f t="shared" si="37"/>
        <v>0</v>
      </c>
      <c r="AC628" s="9"/>
      <c r="AD628" s="9"/>
      <c r="AE628" s="9" t="e">
        <f>IF(#REF!=#REF!,1,0)</f>
        <v>#REF!</v>
      </c>
      <c r="AF628" s="8"/>
      <c r="AG628" s="8"/>
      <c r="AH628" s="8"/>
      <c r="AI628" s="8"/>
    </row>
    <row r="629" spans="2:35" s="3" customFormat="1" x14ac:dyDescent="0.25">
      <c r="B629" s="4" t="e">
        <f>IF(AE629=0,"",1+(MAX(B$7:B628)))</f>
        <v>#REF!</v>
      </c>
      <c r="C629" s="51"/>
      <c r="D629" s="52"/>
      <c r="E629" s="53"/>
      <c r="F629" s="2"/>
      <c r="G629" s="2"/>
      <c r="H629" s="2"/>
      <c r="I629" s="2"/>
      <c r="J629" s="2"/>
      <c r="K629" s="2"/>
      <c r="L629" s="2"/>
      <c r="M629" s="2"/>
      <c r="N629" s="2"/>
      <c r="O629" s="7">
        <f t="shared" si="35"/>
        <v>0</v>
      </c>
      <c r="P629" s="2"/>
      <c r="Q629" s="2"/>
      <c r="R629" s="2"/>
      <c r="S629" s="2"/>
      <c r="T629" s="2"/>
      <c r="U629" s="2"/>
      <c r="V629" s="2"/>
      <c r="W629" s="2"/>
      <c r="X629" s="2"/>
      <c r="Y629" s="2"/>
      <c r="Z629" s="2"/>
      <c r="AA629" s="7">
        <f t="shared" si="36"/>
        <v>0</v>
      </c>
      <c r="AB629" s="7">
        <f t="shared" si="37"/>
        <v>0</v>
      </c>
      <c r="AC629" s="9"/>
      <c r="AD629" s="9"/>
      <c r="AE629" s="9" t="e">
        <f>IF(#REF!=#REF!,1,0)</f>
        <v>#REF!</v>
      </c>
      <c r="AF629" s="8"/>
      <c r="AG629" s="8"/>
      <c r="AH629" s="8"/>
      <c r="AI629" s="8"/>
    </row>
    <row r="630" spans="2:35" s="3" customFormat="1" x14ac:dyDescent="0.25">
      <c r="B630" s="4" t="e">
        <f>IF(AE630=0,"",1+(MAX(B$7:B629)))</f>
        <v>#REF!</v>
      </c>
      <c r="C630" s="51"/>
      <c r="D630" s="52"/>
      <c r="E630" s="53"/>
      <c r="F630" s="2"/>
      <c r="G630" s="2"/>
      <c r="H630" s="2"/>
      <c r="I630" s="2"/>
      <c r="J630" s="2"/>
      <c r="K630" s="2"/>
      <c r="L630" s="2"/>
      <c r="M630" s="2"/>
      <c r="N630" s="2"/>
      <c r="O630" s="7">
        <f t="shared" si="35"/>
        <v>0</v>
      </c>
      <c r="P630" s="2"/>
      <c r="Q630" s="2"/>
      <c r="R630" s="2"/>
      <c r="S630" s="2"/>
      <c r="T630" s="2"/>
      <c r="U630" s="2"/>
      <c r="V630" s="2"/>
      <c r="W630" s="2"/>
      <c r="X630" s="2"/>
      <c r="Y630" s="2"/>
      <c r="Z630" s="2"/>
      <c r="AA630" s="7">
        <f t="shared" si="36"/>
        <v>0</v>
      </c>
      <c r="AB630" s="7">
        <f t="shared" si="37"/>
        <v>0</v>
      </c>
      <c r="AC630" s="9"/>
      <c r="AD630" s="9"/>
      <c r="AE630" s="9" t="e">
        <f>IF(#REF!=#REF!,1,0)</f>
        <v>#REF!</v>
      </c>
      <c r="AF630" s="8"/>
      <c r="AG630" s="8"/>
      <c r="AH630" s="8"/>
      <c r="AI630" s="8"/>
    </row>
    <row r="631" spans="2:35" s="3" customFormat="1" x14ac:dyDescent="0.25">
      <c r="B631" s="4" t="e">
        <f>IF(AE631=0,"",1+(MAX(B$7:B630)))</f>
        <v>#REF!</v>
      </c>
      <c r="C631" s="51"/>
      <c r="D631" s="52"/>
      <c r="E631" s="53"/>
      <c r="F631" s="2"/>
      <c r="G631" s="2"/>
      <c r="H631" s="2"/>
      <c r="I631" s="2"/>
      <c r="J631" s="2"/>
      <c r="K631" s="2"/>
      <c r="L631" s="2"/>
      <c r="M631" s="2"/>
      <c r="N631" s="2"/>
      <c r="O631" s="7">
        <f t="shared" si="35"/>
        <v>0</v>
      </c>
      <c r="P631" s="2"/>
      <c r="Q631" s="2"/>
      <c r="R631" s="2"/>
      <c r="S631" s="2"/>
      <c r="T631" s="2"/>
      <c r="U631" s="2"/>
      <c r="V631" s="2"/>
      <c r="W631" s="2"/>
      <c r="X631" s="2"/>
      <c r="Y631" s="2"/>
      <c r="Z631" s="2"/>
      <c r="AA631" s="7">
        <f t="shared" si="36"/>
        <v>0</v>
      </c>
      <c r="AB631" s="7">
        <f t="shared" si="37"/>
        <v>0</v>
      </c>
      <c r="AC631" s="9"/>
      <c r="AD631" s="9"/>
      <c r="AE631" s="9" t="e">
        <f>IF(#REF!=#REF!,1,0)</f>
        <v>#REF!</v>
      </c>
      <c r="AF631" s="8"/>
      <c r="AG631" s="8"/>
      <c r="AH631" s="8"/>
      <c r="AI631" s="8"/>
    </row>
    <row r="632" spans="2:35" s="3" customFormat="1" x14ac:dyDescent="0.25">
      <c r="B632" s="4" t="e">
        <f>IF(AE632=0,"",1+(MAX(B$7:B631)))</f>
        <v>#REF!</v>
      </c>
      <c r="C632" s="51"/>
      <c r="D632" s="52"/>
      <c r="E632" s="53"/>
      <c r="F632" s="2"/>
      <c r="G632" s="2"/>
      <c r="H632" s="2"/>
      <c r="I632" s="2"/>
      <c r="J632" s="2"/>
      <c r="K632" s="2"/>
      <c r="L632" s="2"/>
      <c r="M632" s="2"/>
      <c r="N632" s="2"/>
      <c r="O632" s="7">
        <f t="shared" si="35"/>
        <v>0</v>
      </c>
      <c r="P632" s="2"/>
      <c r="Q632" s="2"/>
      <c r="R632" s="2"/>
      <c r="S632" s="2"/>
      <c r="T632" s="2"/>
      <c r="U632" s="2"/>
      <c r="V632" s="2"/>
      <c r="W632" s="2"/>
      <c r="X632" s="2"/>
      <c r="Y632" s="2"/>
      <c r="Z632" s="2"/>
      <c r="AA632" s="7">
        <f t="shared" si="36"/>
        <v>0</v>
      </c>
      <c r="AB632" s="7">
        <f t="shared" si="37"/>
        <v>0</v>
      </c>
      <c r="AC632" s="9"/>
      <c r="AD632" s="9"/>
      <c r="AE632" s="9" t="e">
        <f>IF(#REF!=#REF!,1,0)</f>
        <v>#REF!</v>
      </c>
      <c r="AF632" s="8"/>
      <c r="AG632" s="8"/>
      <c r="AH632" s="8"/>
      <c r="AI632" s="8"/>
    </row>
    <row r="633" spans="2:35" s="3" customFormat="1" x14ac:dyDescent="0.25">
      <c r="B633" s="4" t="e">
        <f>IF(AE633=0,"",1+(MAX(B$7:B632)))</f>
        <v>#REF!</v>
      </c>
      <c r="C633" s="51"/>
      <c r="D633" s="52"/>
      <c r="E633" s="53"/>
      <c r="F633" s="2"/>
      <c r="G633" s="2"/>
      <c r="H633" s="2"/>
      <c r="I633" s="2"/>
      <c r="J633" s="2"/>
      <c r="K633" s="2"/>
      <c r="L633" s="2"/>
      <c r="M633" s="2"/>
      <c r="N633" s="2"/>
      <c r="O633" s="7">
        <f t="shared" si="35"/>
        <v>0</v>
      </c>
      <c r="P633" s="2"/>
      <c r="Q633" s="2"/>
      <c r="R633" s="2"/>
      <c r="S633" s="2"/>
      <c r="T633" s="2"/>
      <c r="U633" s="2"/>
      <c r="V633" s="2"/>
      <c r="W633" s="2"/>
      <c r="X633" s="2"/>
      <c r="Y633" s="2"/>
      <c r="Z633" s="2"/>
      <c r="AA633" s="7">
        <f t="shared" si="36"/>
        <v>0</v>
      </c>
      <c r="AB633" s="7">
        <f t="shared" si="37"/>
        <v>0</v>
      </c>
      <c r="AC633" s="9"/>
      <c r="AD633" s="9"/>
      <c r="AE633" s="9" t="e">
        <f>IF(#REF!=#REF!,1,0)</f>
        <v>#REF!</v>
      </c>
      <c r="AF633" s="8"/>
      <c r="AG633" s="8"/>
      <c r="AH633" s="8"/>
      <c r="AI633" s="8"/>
    </row>
    <row r="634" spans="2:35" s="3" customFormat="1" x14ac:dyDescent="0.25">
      <c r="B634" s="4" t="e">
        <f>IF(AE634=0,"",1+(MAX(B$7:B633)))</f>
        <v>#REF!</v>
      </c>
      <c r="C634" s="51"/>
      <c r="D634" s="52"/>
      <c r="E634" s="53"/>
      <c r="F634" s="2"/>
      <c r="G634" s="2"/>
      <c r="H634" s="2"/>
      <c r="I634" s="2"/>
      <c r="J634" s="2"/>
      <c r="K634" s="2"/>
      <c r="L634" s="2"/>
      <c r="M634" s="2"/>
      <c r="N634" s="2"/>
      <c r="O634" s="7">
        <f t="shared" si="35"/>
        <v>0</v>
      </c>
      <c r="P634" s="2"/>
      <c r="Q634" s="2"/>
      <c r="R634" s="2"/>
      <c r="S634" s="2"/>
      <c r="T634" s="2"/>
      <c r="U634" s="2"/>
      <c r="V634" s="2"/>
      <c r="W634" s="2"/>
      <c r="X634" s="2"/>
      <c r="Y634" s="2"/>
      <c r="Z634" s="2"/>
      <c r="AA634" s="7">
        <f t="shared" si="36"/>
        <v>0</v>
      </c>
      <c r="AB634" s="7">
        <f t="shared" si="37"/>
        <v>0</v>
      </c>
      <c r="AC634" s="9"/>
      <c r="AD634" s="9"/>
      <c r="AE634" s="9" t="e">
        <f>IF(#REF!=#REF!,1,0)</f>
        <v>#REF!</v>
      </c>
      <c r="AF634" s="8"/>
      <c r="AG634" s="8"/>
      <c r="AH634" s="8"/>
      <c r="AI634" s="8"/>
    </row>
    <row r="635" spans="2:35" s="3" customFormat="1" x14ac:dyDescent="0.25">
      <c r="B635" s="4" t="e">
        <f>IF(AE635=0,"",1+(MAX(B$7:B634)))</f>
        <v>#REF!</v>
      </c>
      <c r="C635" s="51"/>
      <c r="D635" s="52"/>
      <c r="E635" s="53"/>
      <c r="F635" s="2"/>
      <c r="G635" s="2"/>
      <c r="H635" s="2"/>
      <c r="I635" s="2"/>
      <c r="J635" s="2"/>
      <c r="K635" s="2"/>
      <c r="L635" s="2"/>
      <c r="M635" s="2"/>
      <c r="N635" s="2"/>
      <c r="O635" s="7">
        <f t="shared" si="35"/>
        <v>0</v>
      </c>
      <c r="P635" s="2"/>
      <c r="Q635" s="2"/>
      <c r="R635" s="2"/>
      <c r="S635" s="2"/>
      <c r="T635" s="2"/>
      <c r="U635" s="2"/>
      <c r="V635" s="2"/>
      <c r="W635" s="2"/>
      <c r="X635" s="2"/>
      <c r="Y635" s="2"/>
      <c r="Z635" s="2"/>
      <c r="AA635" s="7">
        <f t="shared" si="36"/>
        <v>0</v>
      </c>
      <c r="AB635" s="7">
        <f t="shared" si="37"/>
        <v>0</v>
      </c>
      <c r="AC635" s="9"/>
      <c r="AD635" s="9"/>
      <c r="AE635" s="9" t="e">
        <f>IF(#REF!=#REF!,1,0)</f>
        <v>#REF!</v>
      </c>
      <c r="AF635" s="8"/>
      <c r="AG635" s="8"/>
      <c r="AH635" s="8"/>
      <c r="AI635" s="8"/>
    </row>
    <row r="636" spans="2:35" s="3" customFormat="1" x14ac:dyDescent="0.25">
      <c r="B636" s="4" t="e">
        <f>IF(AE636=0,"",1+(MAX(B$7:B635)))</f>
        <v>#REF!</v>
      </c>
      <c r="C636" s="51"/>
      <c r="D636" s="52"/>
      <c r="E636" s="53"/>
      <c r="F636" s="2"/>
      <c r="G636" s="2"/>
      <c r="H636" s="2"/>
      <c r="I636" s="2"/>
      <c r="J636" s="2"/>
      <c r="K636" s="2"/>
      <c r="L636" s="2"/>
      <c r="M636" s="2"/>
      <c r="N636" s="2"/>
      <c r="O636" s="7">
        <f t="shared" si="35"/>
        <v>0</v>
      </c>
      <c r="P636" s="2"/>
      <c r="Q636" s="2"/>
      <c r="R636" s="2"/>
      <c r="S636" s="2"/>
      <c r="T636" s="2"/>
      <c r="U636" s="2"/>
      <c r="V636" s="2"/>
      <c r="W636" s="2"/>
      <c r="X636" s="2"/>
      <c r="Y636" s="2"/>
      <c r="Z636" s="2"/>
      <c r="AA636" s="7">
        <f t="shared" si="36"/>
        <v>0</v>
      </c>
      <c r="AB636" s="7">
        <f t="shared" si="37"/>
        <v>0</v>
      </c>
      <c r="AC636" s="9"/>
      <c r="AD636" s="9"/>
      <c r="AE636" s="9" t="e">
        <f>IF(#REF!=#REF!,1,0)</f>
        <v>#REF!</v>
      </c>
      <c r="AF636" s="8"/>
      <c r="AG636" s="8"/>
      <c r="AH636" s="8"/>
      <c r="AI636" s="8"/>
    </row>
    <row r="637" spans="2:35" s="3" customFormat="1" x14ac:dyDescent="0.25">
      <c r="B637" s="4" t="e">
        <f>IF(AE637=0,"",1+(MAX(B$7:B636)))</f>
        <v>#REF!</v>
      </c>
      <c r="C637" s="51"/>
      <c r="D637" s="52"/>
      <c r="E637" s="53"/>
      <c r="F637" s="2"/>
      <c r="G637" s="2"/>
      <c r="H637" s="2"/>
      <c r="I637" s="2"/>
      <c r="J637" s="2"/>
      <c r="K637" s="2"/>
      <c r="L637" s="2"/>
      <c r="M637" s="2"/>
      <c r="N637" s="2"/>
      <c r="O637" s="7">
        <f t="shared" si="35"/>
        <v>0</v>
      </c>
      <c r="P637" s="2"/>
      <c r="Q637" s="2"/>
      <c r="R637" s="2"/>
      <c r="S637" s="2"/>
      <c r="T637" s="2"/>
      <c r="U637" s="2"/>
      <c r="V637" s="2"/>
      <c r="W637" s="2"/>
      <c r="X637" s="2"/>
      <c r="Y637" s="2"/>
      <c r="Z637" s="2"/>
      <c r="AA637" s="7">
        <f t="shared" si="36"/>
        <v>0</v>
      </c>
      <c r="AB637" s="7">
        <f t="shared" si="37"/>
        <v>0</v>
      </c>
      <c r="AC637" s="9"/>
      <c r="AD637" s="9"/>
      <c r="AE637" s="9" t="e">
        <f>IF(#REF!=#REF!,1,0)</f>
        <v>#REF!</v>
      </c>
      <c r="AF637" s="8"/>
      <c r="AG637" s="8"/>
      <c r="AH637" s="8"/>
      <c r="AI637" s="8"/>
    </row>
    <row r="638" spans="2:35" s="3" customFormat="1" x14ac:dyDescent="0.25">
      <c r="B638" s="4" t="e">
        <f>IF(AE638=0,"",1+(MAX(B$7:B637)))</f>
        <v>#REF!</v>
      </c>
      <c r="C638" s="51"/>
      <c r="D638" s="52"/>
      <c r="E638" s="53"/>
      <c r="F638" s="2"/>
      <c r="G638" s="2"/>
      <c r="H638" s="2"/>
      <c r="I638" s="2"/>
      <c r="J638" s="2"/>
      <c r="K638" s="2"/>
      <c r="L638" s="2"/>
      <c r="M638" s="2"/>
      <c r="N638" s="2"/>
      <c r="O638" s="7">
        <f t="shared" si="35"/>
        <v>0</v>
      </c>
      <c r="P638" s="2"/>
      <c r="Q638" s="2"/>
      <c r="R638" s="2"/>
      <c r="S638" s="2"/>
      <c r="T638" s="2"/>
      <c r="U638" s="2"/>
      <c r="V638" s="2"/>
      <c r="W638" s="2"/>
      <c r="X638" s="2"/>
      <c r="Y638" s="2"/>
      <c r="Z638" s="2"/>
      <c r="AA638" s="7">
        <f t="shared" si="36"/>
        <v>0</v>
      </c>
      <c r="AB638" s="7">
        <f t="shared" si="37"/>
        <v>0</v>
      </c>
      <c r="AC638" s="9"/>
      <c r="AD638" s="9"/>
      <c r="AE638" s="9" t="e">
        <f>IF(#REF!=#REF!,1,0)</f>
        <v>#REF!</v>
      </c>
      <c r="AF638" s="8"/>
      <c r="AG638" s="8"/>
      <c r="AH638" s="8"/>
      <c r="AI638" s="8"/>
    </row>
    <row r="639" spans="2:35" s="3" customFormat="1" x14ac:dyDescent="0.25">
      <c r="B639" s="4" t="e">
        <f>IF(AE639=0,"",1+(MAX(B$7:B638)))</f>
        <v>#REF!</v>
      </c>
      <c r="C639" s="51"/>
      <c r="D639" s="52"/>
      <c r="E639" s="53"/>
      <c r="F639" s="2"/>
      <c r="G639" s="2"/>
      <c r="H639" s="2"/>
      <c r="I639" s="2"/>
      <c r="J639" s="2"/>
      <c r="K639" s="2"/>
      <c r="L639" s="2"/>
      <c r="M639" s="2"/>
      <c r="N639" s="2"/>
      <c r="O639" s="7">
        <f t="shared" si="35"/>
        <v>0</v>
      </c>
      <c r="P639" s="2"/>
      <c r="Q639" s="2"/>
      <c r="R639" s="2"/>
      <c r="S639" s="2"/>
      <c r="T639" s="2"/>
      <c r="U639" s="2"/>
      <c r="V639" s="2"/>
      <c r="W639" s="2"/>
      <c r="X639" s="2"/>
      <c r="Y639" s="2"/>
      <c r="Z639" s="2"/>
      <c r="AA639" s="7">
        <f t="shared" si="36"/>
        <v>0</v>
      </c>
      <c r="AB639" s="7">
        <f t="shared" si="37"/>
        <v>0</v>
      </c>
      <c r="AC639" s="9"/>
      <c r="AD639" s="9"/>
      <c r="AE639" s="9" t="e">
        <f>IF(#REF!=#REF!,1,0)</f>
        <v>#REF!</v>
      </c>
      <c r="AF639" s="8"/>
      <c r="AG639" s="8"/>
      <c r="AH639" s="8"/>
      <c r="AI639" s="8"/>
    </row>
    <row r="640" spans="2:35" s="3" customFormat="1" x14ac:dyDescent="0.25">
      <c r="B640" s="4" t="e">
        <f>IF(AE640=0,"",1+(MAX(B$7:B639)))</f>
        <v>#REF!</v>
      </c>
      <c r="C640" s="51"/>
      <c r="D640" s="52"/>
      <c r="E640" s="53"/>
      <c r="F640" s="2"/>
      <c r="G640" s="2"/>
      <c r="H640" s="2"/>
      <c r="I640" s="2"/>
      <c r="J640" s="2"/>
      <c r="K640" s="2"/>
      <c r="L640" s="2"/>
      <c r="M640" s="2"/>
      <c r="N640" s="2"/>
      <c r="O640" s="7">
        <f t="shared" si="35"/>
        <v>0</v>
      </c>
      <c r="P640" s="2"/>
      <c r="Q640" s="2"/>
      <c r="R640" s="2"/>
      <c r="S640" s="2"/>
      <c r="T640" s="2"/>
      <c r="U640" s="2"/>
      <c r="V640" s="2"/>
      <c r="W640" s="2"/>
      <c r="X640" s="2"/>
      <c r="Y640" s="2"/>
      <c r="Z640" s="2"/>
      <c r="AA640" s="7">
        <f t="shared" si="36"/>
        <v>0</v>
      </c>
      <c r="AB640" s="7">
        <f t="shared" si="37"/>
        <v>0</v>
      </c>
      <c r="AC640" s="9"/>
      <c r="AD640" s="9"/>
      <c r="AE640" s="9" t="e">
        <f>IF(#REF!=#REF!,1,0)</f>
        <v>#REF!</v>
      </c>
      <c r="AF640" s="8"/>
      <c r="AG640" s="8"/>
      <c r="AH640" s="8"/>
      <c r="AI640" s="8"/>
    </row>
    <row r="641" spans="2:35" s="3" customFormat="1" x14ac:dyDescent="0.25">
      <c r="B641" s="4" t="e">
        <f>IF(AE641=0,"",1+(MAX(B$7:B640)))</f>
        <v>#REF!</v>
      </c>
      <c r="C641" s="51"/>
      <c r="D641" s="52"/>
      <c r="E641" s="53"/>
      <c r="F641" s="2"/>
      <c r="G641" s="2"/>
      <c r="H641" s="2"/>
      <c r="I641" s="2"/>
      <c r="J641" s="2"/>
      <c r="K641" s="2"/>
      <c r="L641" s="2"/>
      <c r="M641" s="2"/>
      <c r="N641" s="2"/>
      <c r="O641" s="7">
        <f t="shared" si="35"/>
        <v>0</v>
      </c>
      <c r="P641" s="2"/>
      <c r="Q641" s="2"/>
      <c r="R641" s="2"/>
      <c r="S641" s="2"/>
      <c r="T641" s="2"/>
      <c r="U641" s="2"/>
      <c r="V641" s="2"/>
      <c r="W641" s="2"/>
      <c r="X641" s="2"/>
      <c r="Y641" s="2"/>
      <c r="Z641" s="2"/>
      <c r="AA641" s="7">
        <f t="shared" si="36"/>
        <v>0</v>
      </c>
      <c r="AB641" s="7">
        <f t="shared" si="37"/>
        <v>0</v>
      </c>
      <c r="AC641" s="9"/>
      <c r="AD641" s="9"/>
      <c r="AE641" s="9" t="e">
        <f>IF(#REF!=#REF!,1,0)</f>
        <v>#REF!</v>
      </c>
      <c r="AF641" s="8"/>
      <c r="AG641" s="8"/>
      <c r="AH641" s="8"/>
      <c r="AI641" s="8"/>
    </row>
    <row r="642" spans="2:35" s="3" customFormat="1" x14ac:dyDescent="0.25">
      <c r="B642" s="4" t="e">
        <f>IF(AE642=0,"",1+(MAX(B$7:B641)))</f>
        <v>#REF!</v>
      </c>
      <c r="C642" s="51"/>
      <c r="D642" s="52"/>
      <c r="E642" s="53"/>
      <c r="F642" s="2"/>
      <c r="G642" s="2"/>
      <c r="H642" s="2"/>
      <c r="I642" s="2"/>
      <c r="J642" s="2"/>
      <c r="K642" s="2"/>
      <c r="L642" s="2"/>
      <c r="M642" s="2"/>
      <c r="N642" s="2"/>
      <c r="O642" s="7">
        <f t="shared" si="35"/>
        <v>0</v>
      </c>
      <c r="P642" s="2"/>
      <c r="Q642" s="2"/>
      <c r="R642" s="2"/>
      <c r="S642" s="2"/>
      <c r="T642" s="2"/>
      <c r="U642" s="2"/>
      <c r="V642" s="2"/>
      <c r="W642" s="2"/>
      <c r="X642" s="2"/>
      <c r="Y642" s="2"/>
      <c r="Z642" s="2"/>
      <c r="AA642" s="7">
        <f t="shared" si="36"/>
        <v>0</v>
      </c>
      <c r="AB642" s="7">
        <f t="shared" si="37"/>
        <v>0</v>
      </c>
      <c r="AC642" s="9"/>
      <c r="AD642" s="9"/>
      <c r="AE642" s="9" t="e">
        <f>IF(#REF!=#REF!,1,0)</f>
        <v>#REF!</v>
      </c>
      <c r="AF642" s="8"/>
      <c r="AG642" s="8"/>
      <c r="AH642" s="8"/>
      <c r="AI642" s="8"/>
    </row>
    <row r="643" spans="2:35" s="3" customFormat="1" x14ac:dyDescent="0.25">
      <c r="B643" s="4" t="e">
        <f>IF(AE643=0,"",1+(MAX(B$7:B642)))</f>
        <v>#REF!</v>
      </c>
      <c r="C643" s="51"/>
      <c r="D643" s="52"/>
      <c r="E643" s="53"/>
      <c r="F643" s="2"/>
      <c r="G643" s="2"/>
      <c r="H643" s="2"/>
      <c r="I643" s="2"/>
      <c r="J643" s="2"/>
      <c r="K643" s="2"/>
      <c r="L643" s="2"/>
      <c r="M643" s="2"/>
      <c r="N643" s="2"/>
      <c r="O643" s="7">
        <f t="shared" si="35"/>
        <v>0</v>
      </c>
      <c r="P643" s="2"/>
      <c r="Q643" s="2"/>
      <c r="R643" s="2"/>
      <c r="S643" s="2"/>
      <c r="T643" s="2"/>
      <c r="U643" s="2"/>
      <c r="V643" s="2"/>
      <c r="W643" s="2"/>
      <c r="X643" s="2"/>
      <c r="Y643" s="2"/>
      <c r="Z643" s="2"/>
      <c r="AA643" s="7">
        <f t="shared" si="36"/>
        <v>0</v>
      </c>
      <c r="AB643" s="7">
        <f t="shared" si="37"/>
        <v>0</v>
      </c>
      <c r="AC643" s="9"/>
      <c r="AD643" s="9"/>
      <c r="AE643" s="9" t="e">
        <f>IF(#REF!=#REF!,1,0)</f>
        <v>#REF!</v>
      </c>
      <c r="AF643" s="8"/>
      <c r="AG643" s="8"/>
      <c r="AH643" s="8"/>
      <c r="AI643" s="8"/>
    </row>
    <row r="644" spans="2:35" s="3" customFormat="1" x14ac:dyDescent="0.25">
      <c r="B644" s="4" t="e">
        <f>IF(AE644=0,"",1+(MAX(B$7:B643)))</f>
        <v>#REF!</v>
      </c>
      <c r="C644" s="51"/>
      <c r="D644" s="52"/>
      <c r="E644" s="53"/>
      <c r="F644" s="2"/>
      <c r="G644" s="2"/>
      <c r="H644" s="2"/>
      <c r="I644" s="2"/>
      <c r="J644" s="2"/>
      <c r="K644" s="2"/>
      <c r="L644" s="2"/>
      <c r="M644" s="2"/>
      <c r="N644" s="2"/>
      <c r="O644" s="7">
        <f t="shared" si="35"/>
        <v>0</v>
      </c>
      <c r="P644" s="2"/>
      <c r="Q644" s="2"/>
      <c r="R644" s="2"/>
      <c r="S644" s="2"/>
      <c r="T644" s="2"/>
      <c r="U644" s="2"/>
      <c r="V644" s="2"/>
      <c r="W644" s="2"/>
      <c r="X644" s="2"/>
      <c r="Y644" s="2"/>
      <c r="Z644" s="2"/>
      <c r="AA644" s="7">
        <f t="shared" si="36"/>
        <v>0</v>
      </c>
      <c r="AB644" s="7">
        <f t="shared" si="37"/>
        <v>0</v>
      </c>
      <c r="AC644" s="9"/>
      <c r="AD644" s="9"/>
      <c r="AE644" s="9" t="e">
        <f>IF(#REF!=#REF!,1,0)</f>
        <v>#REF!</v>
      </c>
      <c r="AF644" s="8"/>
      <c r="AG644" s="8"/>
      <c r="AH644" s="8"/>
      <c r="AI644" s="8"/>
    </row>
    <row r="645" spans="2:35" s="3" customFormat="1" x14ac:dyDescent="0.25">
      <c r="B645" s="4" t="e">
        <f>IF(AE645=0,"",1+(MAX(B$7:B644)))</f>
        <v>#REF!</v>
      </c>
      <c r="C645" s="51"/>
      <c r="D645" s="52"/>
      <c r="E645" s="53"/>
      <c r="F645" s="2"/>
      <c r="G645" s="2"/>
      <c r="H645" s="2"/>
      <c r="I645" s="2"/>
      <c r="J645" s="2"/>
      <c r="K645" s="2"/>
      <c r="L645" s="2"/>
      <c r="M645" s="2"/>
      <c r="N645" s="2"/>
      <c r="O645" s="7">
        <f t="shared" si="35"/>
        <v>0</v>
      </c>
      <c r="P645" s="2"/>
      <c r="Q645" s="2"/>
      <c r="R645" s="2"/>
      <c r="S645" s="2"/>
      <c r="T645" s="2"/>
      <c r="U645" s="2"/>
      <c r="V645" s="2"/>
      <c r="W645" s="2"/>
      <c r="X645" s="2"/>
      <c r="Y645" s="2"/>
      <c r="Z645" s="2"/>
      <c r="AA645" s="7">
        <f t="shared" si="36"/>
        <v>0</v>
      </c>
      <c r="AB645" s="7">
        <f t="shared" si="37"/>
        <v>0</v>
      </c>
      <c r="AC645" s="9"/>
      <c r="AD645" s="9"/>
      <c r="AE645" s="9" t="e">
        <f>IF(#REF!=#REF!,1,0)</f>
        <v>#REF!</v>
      </c>
      <c r="AF645" s="8"/>
      <c r="AG645" s="8"/>
      <c r="AH645" s="8"/>
      <c r="AI645" s="8"/>
    </row>
    <row r="646" spans="2:35" s="3" customFormat="1" x14ac:dyDescent="0.25">
      <c r="B646" s="4" t="e">
        <f>IF(AE646=0,"",1+(MAX(B$7:B645)))</f>
        <v>#REF!</v>
      </c>
      <c r="C646" s="51"/>
      <c r="D646" s="52"/>
      <c r="E646" s="53"/>
      <c r="F646" s="2"/>
      <c r="G646" s="2"/>
      <c r="H646" s="2"/>
      <c r="I646" s="2"/>
      <c r="J646" s="2"/>
      <c r="K646" s="2"/>
      <c r="L646" s="2"/>
      <c r="M646" s="2"/>
      <c r="N646" s="2"/>
      <c r="O646" s="7">
        <f t="shared" si="35"/>
        <v>0</v>
      </c>
      <c r="P646" s="2"/>
      <c r="Q646" s="2"/>
      <c r="R646" s="2"/>
      <c r="S646" s="2"/>
      <c r="T646" s="2"/>
      <c r="U646" s="2"/>
      <c r="V646" s="2"/>
      <c r="W646" s="2"/>
      <c r="X646" s="2"/>
      <c r="Y646" s="2"/>
      <c r="Z646" s="2"/>
      <c r="AA646" s="7">
        <f t="shared" si="36"/>
        <v>0</v>
      </c>
      <c r="AB646" s="7">
        <f t="shared" si="37"/>
        <v>0</v>
      </c>
      <c r="AC646" s="9"/>
      <c r="AD646" s="9"/>
      <c r="AE646" s="9" t="e">
        <f>IF(#REF!=#REF!,1,0)</f>
        <v>#REF!</v>
      </c>
      <c r="AF646" s="8"/>
      <c r="AG646" s="8"/>
      <c r="AH646" s="8"/>
      <c r="AI646" s="8"/>
    </row>
    <row r="647" spans="2:35" s="3" customFormat="1" x14ac:dyDescent="0.25">
      <c r="B647" s="4" t="e">
        <f>IF(AE647=0,"",1+(MAX(B$7:B646)))</f>
        <v>#REF!</v>
      </c>
      <c r="C647" s="51"/>
      <c r="D647" s="52"/>
      <c r="E647" s="53"/>
      <c r="F647" s="2"/>
      <c r="G647" s="2"/>
      <c r="H647" s="2"/>
      <c r="I647" s="2"/>
      <c r="J647" s="2"/>
      <c r="K647" s="2"/>
      <c r="L647" s="2"/>
      <c r="M647" s="2"/>
      <c r="N647" s="2"/>
      <c r="O647" s="7">
        <f t="shared" si="35"/>
        <v>0</v>
      </c>
      <c r="P647" s="2"/>
      <c r="Q647" s="2"/>
      <c r="R647" s="2"/>
      <c r="S647" s="2"/>
      <c r="T647" s="2"/>
      <c r="U647" s="2"/>
      <c r="V647" s="2"/>
      <c r="W647" s="2"/>
      <c r="X647" s="2"/>
      <c r="Y647" s="2"/>
      <c r="Z647" s="2"/>
      <c r="AA647" s="7">
        <f t="shared" si="36"/>
        <v>0</v>
      </c>
      <c r="AB647" s="7">
        <f t="shared" si="37"/>
        <v>0</v>
      </c>
      <c r="AC647" s="9"/>
      <c r="AD647" s="9"/>
      <c r="AE647" s="9" t="e">
        <f>IF(#REF!=#REF!,1,0)</f>
        <v>#REF!</v>
      </c>
      <c r="AF647" s="8"/>
      <c r="AG647" s="8"/>
      <c r="AH647" s="8"/>
      <c r="AI647" s="8"/>
    </row>
    <row r="648" spans="2:35" s="3" customFormat="1" x14ac:dyDescent="0.25">
      <c r="B648" s="4" t="e">
        <f>IF(AE648=0,"",1+(MAX(B$7:B647)))</f>
        <v>#REF!</v>
      </c>
      <c r="C648" s="51"/>
      <c r="D648" s="52"/>
      <c r="E648" s="53"/>
      <c r="F648" s="2"/>
      <c r="G648" s="2"/>
      <c r="H648" s="2"/>
      <c r="I648" s="2"/>
      <c r="J648" s="2"/>
      <c r="K648" s="2"/>
      <c r="L648" s="2"/>
      <c r="M648" s="2"/>
      <c r="N648" s="2"/>
      <c r="O648" s="7">
        <f t="shared" si="35"/>
        <v>0</v>
      </c>
      <c r="P648" s="2"/>
      <c r="Q648" s="2"/>
      <c r="R648" s="2"/>
      <c r="S648" s="2"/>
      <c r="T648" s="2"/>
      <c r="U648" s="2"/>
      <c r="V648" s="2"/>
      <c r="W648" s="2"/>
      <c r="X648" s="2"/>
      <c r="Y648" s="2"/>
      <c r="Z648" s="2"/>
      <c r="AA648" s="7">
        <f t="shared" si="36"/>
        <v>0</v>
      </c>
      <c r="AB648" s="7">
        <f t="shared" si="37"/>
        <v>0</v>
      </c>
      <c r="AC648" s="9"/>
      <c r="AD648" s="9"/>
      <c r="AE648" s="9" t="e">
        <f>IF(#REF!=#REF!,1,0)</f>
        <v>#REF!</v>
      </c>
      <c r="AF648" s="8"/>
      <c r="AG648" s="8"/>
      <c r="AH648" s="8"/>
      <c r="AI648" s="8"/>
    </row>
    <row r="649" spans="2:35" s="3" customFormat="1" x14ac:dyDescent="0.25">
      <c r="B649" s="4" t="e">
        <f>IF(AE649=0,"",1+(MAX(B$7:B648)))</f>
        <v>#REF!</v>
      </c>
      <c r="C649" s="51"/>
      <c r="D649" s="52"/>
      <c r="E649" s="53"/>
      <c r="F649" s="2"/>
      <c r="G649" s="2"/>
      <c r="H649" s="2"/>
      <c r="I649" s="2"/>
      <c r="J649" s="2"/>
      <c r="K649" s="2"/>
      <c r="L649" s="2"/>
      <c r="M649" s="2"/>
      <c r="N649" s="2"/>
      <c r="O649" s="7">
        <f t="shared" si="35"/>
        <v>0</v>
      </c>
      <c r="P649" s="2"/>
      <c r="Q649" s="2"/>
      <c r="R649" s="2"/>
      <c r="S649" s="2"/>
      <c r="T649" s="2"/>
      <c r="U649" s="2"/>
      <c r="V649" s="2"/>
      <c r="W649" s="2"/>
      <c r="X649" s="2"/>
      <c r="Y649" s="2"/>
      <c r="Z649" s="2"/>
      <c r="AA649" s="7">
        <f t="shared" si="36"/>
        <v>0</v>
      </c>
      <c r="AB649" s="7">
        <f t="shared" si="37"/>
        <v>0</v>
      </c>
      <c r="AC649" s="9"/>
      <c r="AD649" s="9"/>
      <c r="AE649" s="9" t="e">
        <f>IF(#REF!=#REF!,1,0)</f>
        <v>#REF!</v>
      </c>
      <c r="AF649" s="8"/>
      <c r="AG649" s="8"/>
      <c r="AH649" s="8"/>
      <c r="AI649" s="8"/>
    </row>
    <row r="650" spans="2:35" s="3" customFormat="1" x14ac:dyDescent="0.25">
      <c r="B650" s="4" t="e">
        <f>IF(AE650=0,"",1+(MAX(B$7:B649)))</f>
        <v>#REF!</v>
      </c>
      <c r="C650" s="51"/>
      <c r="D650" s="52"/>
      <c r="E650" s="53"/>
      <c r="F650" s="2"/>
      <c r="G650" s="2"/>
      <c r="H650" s="2"/>
      <c r="I650" s="2"/>
      <c r="J650" s="2"/>
      <c r="K650" s="2"/>
      <c r="L650" s="2"/>
      <c r="M650" s="2"/>
      <c r="N650" s="2"/>
      <c r="O650" s="7">
        <f t="shared" si="35"/>
        <v>0</v>
      </c>
      <c r="P650" s="2"/>
      <c r="Q650" s="2"/>
      <c r="R650" s="2"/>
      <c r="S650" s="2"/>
      <c r="T650" s="2"/>
      <c r="U650" s="2"/>
      <c r="V650" s="2"/>
      <c r="W650" s="2"/>
      <c r="X650" s="2"/>
      <c r="Y650" s="2"/>
      <c r="Z650" s="2"/>
      <c r="AA650" s="7">
        <f t="shared" si="36"/>
        <v>0</v>
      </c>
      <c r="AB650" s="7">
        <f t="shared" si="37"/>
        <v>0</v>
      </c>
      <c r="AC650" s="9"/>
      <c r="AD650" s="9"/>
      <c r="AE650" s="9" t="e">
        <f>IF(#REF!=#REF!,1,0)</f>
        <v>#REF!</v>
      </c>
      <c r="AF650" s="8"/>
      <c r="AG650" s="8"/>
      <c r="AH650" s="8"/>
      <c r="AI650" s="8"/>
    </row>
    <row r="651" spans="2:35" s="3" customFormat="1" x14ac:dyDescent="0.25">
      <c r="B651" s="4" t="e">
        <f>IF(AE651=0,"",1+(MAX(B$7:B650)))</f>
        <v>#REF!</v>
      </c>
      <c r="C651" s="51"/>
      <c r="D651" s="52"/>
      <c r="E651" s="53"/>
      <c r="F651" s="2"/>
      <c r="G651" s="2"/>
      <c r="H651" s="2"/>
      <c r="I651" s="2"/>
      <c r="J651" s="2"/>
      <c r="K651" s="2"/>
      <c r="L651" s="2"/>
      <c r="M651" s="2"/>
      <c r="N651" s="2"/>
      <c r="O651" s="7">
        <f t="shared" si="35"/>
        <v>0</v>
      </c>
      <c r="P651" s="2"/>
      <c r="Q651" s="2"/>
      <c r="R651" s="2"/>
      <c r="S651" s="2"/>
      <c r="T651" s="2"/>
      <c r="U651" s="2"/>
      <c r="V651" s="2"/>
      <c r="W651" s="2"/>
      <c r="X651" s="2"/>
      <c r="Y651" s="2"/>
      <c r="Z651" s="2"/>
      <c r="AA651" s="7">
        <f t="shared" si="36"/>
        <v>0</v>
      </c>
      <c r="AB651" s="7">
        <f t="shared" si="37"/>
        <v>0</v>
      </c>
      <c r="AC651" s="9"/>
      <c r="AD651" s="9"/>
      <c r="AE651" s="9" t="e">
        <f>IF(#REF!=#REF!,1,0)</f>
        <v>#REF!</v>
      </c>
      <c r="AF651" s="8"/>
      <c r="AG651" s="8"/>
      <c r="AH651" s="8"/>
      <c r="AI651" s="8"/>
    </row>
    <row r="652" spans="2:35" s="3" customFormat="1" x14ac:dyDescent="0.25">
      <c r="B652" s="4" t="e">
        <f>IF(AE652=0,"",1+(MAX(B$7:B651)))</f>
        <v>#REF!</v>
      </c>
      <c r="C652" s="51"/>
      <c r="D652" s="52"/>
      <c r="E652" s="53"/>
      <c r="F652" s="2"/>
      <c r="G652" s="2"/>
      <c r="H652" s="2"/>
      <c r="I652" s="2"/>
      <c r="J652" s="2"/>
      <c r="K652" s="2"/>
      <c r="L652" s="2"/>
      <c r="M652" s="2"/>
      <c r="N652" s="2"/>
      <c r="O652" s="7">
        <f t="shared" si="35"/>
        <v>0</v>
      </c>
      <c r="P652" s="2"/>
      <c r="Q652" s="2"/>
      <c r="R652" s="2"/>
      <c r="S652" s="2"/>
      <c r="T652" s="2"/>
      <c r="U652" s="2"/>
      <c r="V652" s="2"/>
      <c r="W652" s="2"/>
      <c r="X652" s="2"/>
      <c r="Y652" s="2"/>
      <c r="Z652" s="2"/>
      <c r="AA652" s="7">
        <f t="shared" si="36"/>
        <v>0</v>
      </c>
      <c r="AB652" s="7">
        <f t="shared" si="37"/>
        <v>0</v>
      </c>
      <c r="AC652" s="9"/>
      <c r="AD652" s="9"/>
      <c r="AE652" s="9" t="e">
        <f>IF(#REF!=#REF!,1,0)</f>
        <v>#REF!</v>
      </c>
      <c r="AF652" s="8"/>
      <c r="AG652" s="8"/>
      <c r="AH652" s="8"/>
      <c r="AI652" s="8"/>
    </row>
    <row r="653" spans="2:35" s="3" customFormat="1" x14ac:dyDescent="0.25">
      <c r="B653" s="4" t="e">
        <f>IF(AE653=0,"",1+(MAX(B$7:B652)))</f>
        <v>#REF!</v>
      </c>
      <c r="C653" s="51"/>
      <c r="D653" s="52"/>
      <c r="E653" s="53"/>
      <c r="F653" s="2"/>
      <c r="G653" s="2"/>
      <c r="H653" s="2"/>
      <c r="I653" s="2"/>
      <c r="J653" s="2"/>
      <c r="K653" s="2"/>
      <c r="L653" s="2"/>
      <c r="M653" s="2"/>
      <c r="N653" s="2"/>
      <c r="O653" s="7">
        <f t="shared" si="35"/>
        <v>0</v>
      </c>
      <c r="P653" s="2"/>
      <c r="Q653" s="2"/>
      <c r="R653" s="2"/>
      <c r="S653" s="2"/>
      <c r="T653" s="2"/>
      <c r="U653" s="2"/>
      <c r="V653" s="2"/>
      <c r="W653" s="2"/>
      <c r="X653" s="2"/>
      <c r="Y653" s="2"/>
      <c r="Z653" s="2"/>
      <c r="AA653" s="7">
        <f t="shared" si="36"/>
        <v>0</v>
      </c>
      <c r="AB653" s="7">
        <f t="shared" si="37"/>
        <v>0</v>
      </c>
      <c r="AC653" s="9"/>
      <c r="AD653" s="9"/>
      <c r="AE653" s="9" t="e">
        <f>IF(#REF!=#REF!,1,0)</f>
        <v>#REF!</v>
      </c>
      <c r="AF653" s="8"/>
      <c r="AG653" s="8"/>
      <c r="AH653" s="8"/>
      <c r="AI653" s="8"/>
    </row>
    <row r="654" spans="2:35" s="3" customFormat="1" x14ac:dyDescent="0.25">
      <c r="B654" s="4" t="e">
        <f>IF(AE654=0,"",1+(MAX(B$7:B653)))</f>
        <v>#REF!</v>
      </c>
      <c r="C654" s="51"/>
      <c r="D654" s="52"/>
      <c r="E654" s="53"/>
      <c r="F654" s="2"/>
      <c r="G654" s="2"/>
      <c r="H654" s="2"/>
      <c r="I654" s="2"/>
      <c r="J654" s="2"/>
      <c r="K654" s="2"/>
      <c r="L654" s="2"/>
      <c r="M654" s="2"/>
      <c r="N654" s="2"/>
      <c r="O654" s="7">
        <f t="shared" si="35"/>
        <v>0</v>
      </c>
      <c r="P654" s="2"/>
      <c r="Q654" s="2"/>
      <c r="R654" s="2"/>
      <c r="S654" s="2"/>
      <c r="T654" s="2"/>
      <c r="U654" s="2"/>
      <c r="V654" s="2"/>
      <c r="W654" s="2"/>
      <c r="X654" s="2"/>
      <c r="Y654" s="2"/>
      <c r="Z654" s="2"/>
      <c r="AA654" s="7">
        <f t="shared" si="36"/>
        <v>0</v>
      </c>
      <c r="AB654" s="7">
        <f t="shared" si="37"/>
        <v>0</v>
      </c>
      <c r="AC654" s="9"/>
      <c r="AD654" s="9"/>
      <c r="AE654" s="9" t="e">
        <f>IF(#REF!=#REF!,1,0)</f>
        <v>#REF!</v>
      </c>
      <c r="AF654" s="8"/>
      <c r="AG654" s="8"/>
      <c r="AH654" s="8"/>
      <c r="AI654" s="8"/>
    </row>
    <row r="655" spans="2:35" s="3" customFormat="1" x14ac:dyDescent="0.25">
      <c r="B655" s="4" t="e">
        <f>IF(AE655=0,"",1+(MAX(B$7:B654)))</f>
        <v>#REF!</v>
      </c>
      <c r="C655" s="51"/>
      <c r="D655" s="52"/>
      <c r="E655" s="53"/>
      <c r="F655" s="2"/>
      <c r="G655" s="2"/>
      <c r="H655" s="2"/>
      <c r="I655" s="2"/>
      <c r="J655" s="2"/>
      <c r="K655" s="2"/>
      <c r="L655" s="2"/>
      <c r="M655" s="2"/>
      <c r="N655" s="2"/>
      <c r="O655" s="7">
        <f t="shared" si="35"/>
        <v>0</v>
      </c>
      <c r="P655" s="2"/>
      <c r="Q655" s="2"/>
      <c r="R655" s="2"/>
      <c r="S655" s="2"/>
      <c r="T655" s="2"/>
      <c r="U655" s="2"/>
      <c r="V655" s="2"/>
      <c r="W655" s="2"/>
      <c r="X655" s="2"/>
      <c r="Y655" s="2"/>
      <c r="Z655" s="2"/>
      <c r="AA655" s="7">
        <f t="shared" si="36"/>
        <v>0</v>
      </c>
      <c r="AB655" s="7">
        <f t="shared" si="37"/>
        <v>0</v>
      </c>
      <c r="AC655" s="9"/>
      <c r="AD655" s="9"/>
      <c r="AE655" s="9" t="e">
        <f>IF(#REF!=#REF!,1,0)</f>
        <v>#REF!</v>
      </c>
      <c r="AF655" s="8"/>
      <c r="AG655" s="8"/>
      <c r="AH655" s="8"/>
      <c r="AI655" s="8"/>
    </row>
    <row r="656" spans="2:35" s="3" customFormat="1" x14ac:dyDescent="0.25">
      <c r="B656" s="4" t="e">
        <f>IF(AE656=0,"",1+(MAX(B$7:B655)))</f>
        <v>#REF!</v>
      </c>
      <c r="C656" s="51"/>
      <c r="D656" s="52"/>
      <c r="E656" s="53"/>
      <c r="F656" s="2"/>
      <c r="G656" s="2"/>
      <c r="H656" s="2"/>
      <c r="I656" s="2"/>
      <c r="J656" s="2"/>
      <c r="K656" s="2"/>
      <c r="L656" s="2"/>
      <c r="M656" s="2"/>
      <c r="N656" s="2"/>
      <c r="O656" s="7">
        <f t="shared" si="35"/>
        <v>0</v>
      </c>
      <c r="P656" s="2"/>
      <c r="Q656" s="2"/>
      <c r="R656" s="2"/>
      <c r="S656" s="2"/>
      <c r="T656" s="2"/>
      <c r="U656" s="2"/>
      <c r="V656" s="2"/>
      <c r="W656" s="2"/>
      <c r="X656" s="2"/>
      <c r="Y656" s="2"/>
      <c r="Z656" s="2"/>
      <c r="AA656" s="7">
        <f t="shared" si="36"/>
        <v>0</v>
      </c>
      <c r="AB656" s="7">
        <f t="shared" si="37"/>
        <v>0</v>
      </c>
      <c r="AC656" s="9"/>
      <c r="AD656" s="9"/>
      <c r="AE656" s="9" t="e">
        <f>IF(#REF!=#REF!,1,0)</f>
        <v>#REF!</v>
      </c>
      <c r="AF656" s="8"/>
      <c r="AG656" s="8"/>
      <c r="AH656" s="8"/>
      <c r="AI656" s="8"/>
    </row>
    <row r="657" spans="2:35" s="3" customFormat="1" x14ac:dyDescent="0.25">
      <c r="B657" s="4" t="e">
        <f>IF(AE657=0,"",1+(MAX(B$7:B656)))</f>
        <v>#REF!</v>
      </c>
      <c r="C657" s="51"/>
      <c r="D657" s="52"/>
      <c r="E657" s="53"/>
      <c r="F657" s="2"/>
      <c r="G657" s="2"/>
      <c r="H657" s="2"/>
      <c r="I657" s="2"/>
      <c r="J657" s="2"/>
      <c r="K657" s="2"/>
      <c r="L657" s="2"/>
      <c r="M657" s="2"/>
      <c r="N657" s="2"/>
      <c r="O657" s="7">
        <f t="shared" si="35"/>
        <v>0</v>
      </c>
      <c r="P657" s="2"/>
      <c r="Q657" s="2"/>
      <c r="R657" s="2"/>
      <c r="S657" s="2"/>
      <c r="T657" s="2"/>
      <c r="U657" s="2"/>
      <c r="V657" s="2"/>
      <c r="W657" s="2"/>
      <c r="X657" s="2"/>
      <c r="Y657" s="2"/>
      <c r="Z657" s="2"/>
      <c r="AA657" s="7">
        <f t="shared" si="36"/>
        <v>0</v>
      </c>
      <c r="AB657" s="7">
        <f t="shared" si="37"/>
        <v>0</v>
      </c>
      <c r="AC657" s="9"/>
      <c r="AD657" s="9"/>
      <c r="AE657" s="9" t="e">
        <f>IF(#REF!=#REF!,1,0)</f>
        <v>#REF!</v>
      </c>
      <c r="AF657" s="8"/>
      <c r="AG657" s="8"/>
      <c r="AH657" s="8"/>
      <c r="AI657" s="8"/>
    </row>
    <row r="658" spans="2:35" s="3" customFormat="1" x14ac:dyDescent="0.25">
      <c r="B658" s="4" t="e">
        <f>IF(AE658=0,"",1+(MAX(B$7:B657)))</f>
        <v>#REF!</v>
      </c>
      <c r="C658" s="51"/>
      <c r="D658" s="52"/>
      <c r="E658" s="53"/>
      <c r="F658" s="2"/>
      <c r="G658" s="2"/>
      <c r="H658" s="2"/>
      <c r="I658" s="2"/>
      <c r="J658" s="2"/>
      <c r="K658" s="2"/>
      <c r="L658" s="2"/>
      <c r="M658" s="2"/>
      <c r="N658" s="2"/>
      <c r="O658" s="7">
        <f t="shared" si="35"/>
        <v>0</v>
      </c>
      <c r="P658" s="2"/>
      <c r="Q658" s="2"/>
      <c r="R658" s="2"/>
      <c r="S658" s="2"/>
      <c r="T658" s="2"/>
      <c r="U658" s="2"/>
      <c r="V658" s="2"/>
      <c r="W658" s="2"/>
      <c r="X658" s="2"/>
      <c r="Y658" s="2"/>
      <c r="Z658" s="2"/>
      <c r="AA658" s="7">
        <f t="shared" si="36"/>
        <v>0</v>
      </c>
      <c r="AB658" s="7">
        <f t="shared" si="37"/>
        <v>0</v>
      </c>
      <c r="AC658" s="9"/>
      <c r="AD658" s="9"/>
      <c r="AE658" s="9" t="e">
        <f>IF(#REF!=#REF!,1,0)</f>
        <v>#REF!</v>
      </c>
      <c r="AF658" s="8"/>
      <c r="AG658" s="8"/>
      <c r="AH658" s="8"/>
      <c r="AI658" s="8"/>
    </row>
    <row r="659" spans="2:35" s="3" customFormat="1" x14ac:dyDescent="0.25">
      <c r="B659" s="4" t="e">
        <f>IF(AE659=0,"",1+(MAX(B$7:B658)))</f>
        <v>#REF!</v>
      </c>
      <c r="C659" s="51"/>
      <c r="D659" s="52"/>
      <c r="E659" s="53"/>
      <c r="F659" s="2"/>
      <c r="G659" s="2"/>
      <c r="H659" s="2"/>
      <c r="I659" s="2"/>
      <c r="J659" s="2"/>
      <c r="K659" s="2"/>
      <c r="L659" s="2"/>
      <c r="M659" s="2"/>
      <c r="N659" s="2"/>
      <c r="O659" s="7">
        <f t="shared" si="35"/>
        <v>0</v>
      </c>
      <c r="P659" s="2"/>
      <c r="Q659" s="2"/>
      <c r="R659" s="2"/>
      <c r="S659" s="2"/>
      <c r="T659" s="2"/>
      <c r="U659" s="2"/>
      <c r="V659" s="2"/>
      <c r="W659" s="2"/>
      <c r="X659" s="2"/>
      <c r="Y659" s="2"/>
      <c r="Z659" s="2"/>
      <c r="AA659" s="7">
        <f t="shared" si="36"/>
        <v>0</v>
      </c>
      <c r="AB659" s="7">
        <f t="shared" si="37"/>
        <v>0</v>
      </c>
      <c r="AC659" s="9"/>
      <c r="AD659" s="9"/>
      <c r="AE659" s="9" t="e">
        <f>IF(#REF!=#REF!,1,0)</f>
        <v>#REF!</v>
      </c>
      <c r="AF659" s="8"/>
      <c r="AG659" s="8"/>
      <c r="AH659" s="8"/>
      <c r="AI659" s="8"/>
    </row>
    <row r="660" spans="2:35" s="3" customFormat="1" x14ac:dyDescent="0.25">
      <c r="B660" s="4" t="e">
        <f>IF(AE660=0,"",1+(MAX(B$7:B659)))</f>
        <v>#REF!</v>
      </c>
      <c r="C660" s="51"/>
      <c r="D660" s="52"/>
      <c r="E660" s="53"/>
      <c r="F660" s="2"/>
      <c r="G660" s="2"/>
      <c r="H660" s="2"/>
      <c r="I660" s="2"/>
      <c r="J660" s="2"/>
      <c r="K660" s="2"/>
      <c r="L660" s="2"/>
      <c r="M660" s="2"/>
      <c r="N660" s="2"/>
      <c r="O660" s="7">
        <f t="shared" ref="O660:O723" si="38">SUM(F660:N660)</f>
        <v>0</v>
      </c>
      <c r="P660" s="2"/>
      <c r="Q660" s="2"/>
      <c r="R660" s="2"/>
      <c r="S660" s="2"/>
      <c r="T660" s="2"/>
      <c r="U660" s="2"/>
      <c r="V660" s="2"/>
      <c r="W660" s="2"/>
      <c r="X660" s="2"/>
      <c r="Y660" s="2"/>
      <c r="Z660" s="2"/>
      <c r="AA660" s="7">
        <f t="shared" si="36"/>
        <v>0</v>
      </c>
      <c r="AB660" s="7">
        <f t="shared" si="37"/>
        <v>0</v>
      </c>
      <c r="AC660" s="9"/>
      <c r="AD660" s="9"/>
      <c r="AE660" s="9" t="e">
        <f>IF(#REF!=#REF!,1,0)</f>
        <v>#REF!</v>
      </c>
      <c r="AF660" s="8"/>
      <c r="AG660" s="8"/>
      <c r="AH660" s="8"/>
      <c r="AI660" s="8"/>
    </row>
    <row r="661" spans="2:35" s="3" customFormat="1" x14ac:dyDescent="0.25">
      <c r="B661" s="4" t="e">
        <f>IF(AE661=0,"",1+(MAX(B$7:B660)))</f>
        <v>#REF!</v>
      </c>
      <c r="C661" s="51"/>
      <c r="D661" s="52"/>
      <c r="E661" s="53"/>
      <c r="F661" s="2"/>
      <c r="G661" s="2"/>
      <c r="H661" s="2"/>
      <c r="I661" s="2"/>
      <c r="J661" s="2"/>
      <c r="K661" s="2"/>
      <c r="L661" s="2"/>
      <c r="M661" s="2"/>
      <c r="N661" s="2"/>
      <c r="O661" s="7">
        <f t="shared" si="38"/>
        <v>0</v>
      </c>
      <c r="P661" s="2"/>
      <c r="Q661" s="2"/>
      <c r="R661" s="2"/>
      <c r="S661" s="2"/>
      <c r="T661" s="2"/>
      <c r="U661" s="2"/>
      <c r="V661" s="2"/>
      <c r="W661" s="2"/>
      <c r="X661" s="2"/>
      <c r="Y661" s="2"/>
      <c r="Z661" s="2"/>
      <c r="AA661" s="7">
        <f t="shared" si="36"/>
        <v>0</v>
      </c>
      <c r="AB661" s="7">
        <f t="shared" si="37"/>
        <v>0</v>
      </c>
      <c r="AC661" s="9"/>
      <c r="AD661" s="9"/>
      <c r="AE661" s="9" t="e">
        <f>IF(#REF!=#REF!,1,0)</f>
        <v>#REF!</v>
      </c>
      <c r="AF661" s="8"/>
      <c r="AG661" s="8"/>
      <c r="AH661" s="8"/>
      <c r="AI661" s="8"/>
    </row>
    <row r="662" spans="2:35" s="3" customFormat="1" x14ac:dyDescent="0.25">
      <c r="B662" s="4" t="e">
        <f>IF(AE662=0,"",1+(MAX(B$7:B661)))</f>
        <v>#REF!</v>
      </c>
      <c r="C662" s="51"/>
      <c r="D662" s="52"/>
      <c r="E662" s="53"/>
      <c r="F662" s="2"/>
      <c r="G662" s="2"/>
      <c r="H662" s="2"/>
      <c r="I662" s="2"/>
      <c r="J662" s="2"/>
      <c r="K662" s="2"/>
      <c r="L662" s="2"/>
      <c r="M662" s="2"/>
      <c r="N662" s="2"/>
      <c r="O662" s="7">
        <f t="shared" si="38"/>
        <v>0</v>
      </c>
      <c r="P662" s="2"/>
      <c r="Q662" s="2"/>
      <c r="R662" s="2"/>
      <c r="S662" s="2"/>
      <c r="T662" s="2"/>
      <c r="U662" s="2"/>
      <c r="V662" s="2"/>
      <c r="W662" s="2"/>
      <c r="X662" s="2"/>
      <c r="Y662" s="2"/>
      <c r="Z662" s="2"/>
      <c r="AA662" s="7">
        <f t="shared" si="36"/>
        <v>0</v>
      </c>
      <c r="AB662" s="7">
        <f t="shared" si="37"/>
        <v>0</v>
      </c>
      <c r="AC662" s="9"/>
      <c r="AD662" s="9"/>
      <c r="AE662" s="9" t="e">
        <f>IF(#REF!=#REF!,1,0)</f>
        <v>#REF!</v>
      </c>
      <c r="AF662" s="8"/>
      <c r="AG662" s="8"/>
      <c r="AH662" s="8"/>
      <c r="AI662" s="8"/>
    </row>
    <row r="663" spans="2:35" s="3" customFormat="1" x14ac:dyDescent="0.25">
      <c r="B663" s="4" t="e">
        <f>IF(AE663=0,"",1+(MAX(B$7:B662)))</f>
        <v>#REF!</v>
      </c>
      <c r="C663" s="51"/>
      <c r="D663" s="52"/>
      <c r="E663" s="53"/>
      <c r="F663" s="2"/>
      <c r="G663" s="2"/>
      <c r="H663" s="2"/>
      <c r="I663" s="2"/>
      <c r="J663" s="2"/>
      <c r="K663" s="2"/>
      <c r="L663" s="2"/>
      <c r="M663" s="2"/>
      <c r="N663" s="2"/>
      <c r="O663" s="7">
        <f t="shared" si="38"/>
        <v>0</v>
      </c>
      <c r="P663" s="2"/>
      <c r="Q663" s="2"/>
      <c r="R663" s="2"/>
      <c r="S663" s="2"/>
      <c r="T663" s="2"/>
      <c r="U663" s="2"/>
      <c r="V663" s="2"/>
      <c r="W663" s="2"/>
      <c r="X663" s="2"/>
      <c r="Y663" s="2"/>
      <c r="Z663" s="2"/>
      <c r="AA663" s="7">
        <f t="shared" si="36"/>
        <v>0</v>
      </c>
      <c r="AB663" s="7">
        <f t="shared" si="37"/>
        <v>0</v>
      </c>
      <c r="AC663" s="9"/>
      <c r="AD663" s="9"/>
      <c r="AE663" s="9" t="e">
        <f>IF(#REF!=#REF!,1,0)</f>
        <v>#REF!</v>
      </c>
      <c r="AF663" s="8"/>
      <c r="AG663" s="8"/>
      <c r="AH663" s="8"/>
      <c r="AI663" s="8"/>
    </row>
    <row r="664" spans="2:35" s="3" customFormat="1" x14ac:dyDescent="0.25">
      <c r="B664" s="4" t="e">
        <f>IF(AE664=0,"",1+(MAX(B$7:B663)))</f>
        <v>#REF!</v>
      </c>
      <c r="C664" s="51"/>
      <c r="D664" s="52"/>
      <c r="E664" s="53"/>
      <c r="F664" s="2"/>
      <c r="G664" s="2"/>
      <c r="H664" s="2"/>
      <c r="I664" s="2"/>
      <c r="J664" s="2"/>
      <c r="K664" s="2"/>
      <c r="L664" s="2"/>
      <c r="M664" s="2"/>
      <c r="N664" s="2"/>
      <c r="O664" s="7">
        <f t="shared" si="38"/>
        <v>0</v>
      </c>
      <c r="P664" s="2"/>
      <c r="Q664" s="2"/>
      <c r="R664" s="2"/>
      <c r="S664" s="2"/>
      <c r="T664" s="2"/>
      <c r="U664" s="2"/>
      <c r="V664" s="2"/>
      <c r="W664" s="2"/>
      <c r="X664" s="2"/>
      <c r="Y664" s="2"/>
      <c r="Z664" s="2"/>
      <c r="AA664" s="7">
        <f t="shared" si="36"/>
        <v>0</v>
      </c>
      <c r="AB664" s="7">
        <f t="shared" si="37"/>
        <v>0</v>
      </c>
      <c r="AC664" s="9"/>
      <c r="AD664" s="9"/>
      <c r="AE664" s="9" t="e">
        <f>IF(#REF!=#REF!,1,0)</f>
        <v>#REF!</v>
      </c>
      <c r="AF664" s="8"/>
      <c r="AG664" s="8"/>
      <c r="AH664" s="8"/>
      <c r="AI664" s="8"/>
    </row>
    <row r="665" spans="2:35" s="3" customFormat="1" x14ac:dyDescent="0.25">
      <c r="B665" s="4" t="e">
        <f>IF(AE665=0,"",1+(MAX(B$7:B664)))</f>
        <v>#REF!</v>
      </c>
      <c r="C665" s="51"/>
      <c r="D665" s="52"/>
      <c r="E665" s="53"/>
      <c r="F665" s="2"/>
      <c r="G665" s="2"/>
      <c r="H665" s="2"/>
      <c r="I665" s="2"/>
      <c r="J665" s="2"/>
      <c r="K665" s="2"/>
      <c r="L665" s="2"/>
      <c r="M665" s="2"/>
      <c r="N665" s="2"/>
      <c r="O665" s="7">
        <f t="shared" si="38"/>
        <v>0</v>
      </c>
      <c r="P665" s="2"/>
      <c r="Q665" s="2"/>
      <c r="R665" s="2"/>
      <c r="S665" s="2"/>
      <c r="T665" s="2"/>
      <c r="U665" s="2"/>
      <c r="V665" s="2"/>
      <c r="W665" s="2"/>
      <c r="X665" s="2"/>
      <c r="Y665" s="2"/>
      <c r="Z665" s="2"/>
      <c r="AA665" s="7">
        <f t="shared" si="36"/>
        <v>0</v>
      </c>
      <c r="AB665" s="7">
        <f t="shared" si="37"/>
        <v>0</v>
      </c>
      <c r="AC665" s="9"/>
      <c r="AD665" s="9"/>
      <c r="AE665" s="9" t="e">
        <f>IF(#REF!=#REF!,1,0)</f>
        <v>#REF!</v>
      </c>
      <c r="AF665" s="8"/>
      <c r="AG665" s="8"/>
      <c r="AH665" s="8"/>
      <c r="AI665" s="8"/>
    </row>
    <row r="666" spans="2:35" s="3" customFormat="1" x14ac:dyDescent="0.25">
      <c r="B666" s="4" t="e">
        <f>IF(AE666=0,"",1+(MAX(B$7:B665)))</f>
        <v>#REF!</v>
      </c>
      <c r="C666" s="51"/>
      <c r="D666" s="52"/>
      <c r="E666" s="53"/>
      <c r="F666" s="2"/>
      <c r="G666" s="2"/>
      <c r="H666" s="2"/>
      <c r="I666" s="2"/>
      <c r="J666" s="2"/>
      <c r="K666" s="2"/>
      <c r="L666" s="2"/>
      <c r="M666" s="2"/>
      <c r="N666" s="2"/>
      <c r="O666" s="7">
        <f t="shared" si="38"/>
        <v>0</v>
      </c>
      <c r="P666" s="2"/>
      <c r="Q666" s="2"/>
      <c r="R666" s="2"/>
      <c r="S666" s="2"/>
      <c r="T666" s="2"/>
      <c r="U666" s="2"/>
      <c r="V666" s="2"/>
      <c r="W666" s="2"/>
      <c r="X666" s="2"/>
      <c r="Y666" s="2"/>
      <c r="Z666" s="2"/>
      <c r="AA666" s="7">
        <f t="shared" si="36"/>
        <v>0</v>
      </c>
      <c r="AB666" s="7">
        <f t="shared" si="37"/>
        <v>0</v>
      </c>
      <c r="AC666" s="9"/>
      <c r="AD666" s="9"/>
      <c r="AE666" s="9" t="e">
        <f>IF(#REF!=#REF!,1,0)</f>
        <v>#REF!</v>
      </c>
      <c r="AF666" s="8"/>
      <c r="AG666" s="8"/>
      <c r="AH666" s="8"/>
      <c r="AI666" s="8"/>
    </row>
    <row r="667" spans="2:35" s="3" customFormat="1" x14ac:dyDescent="0.25">
      <c r="B667" s="4" t="e">
        <f>IF(AE667=0,"",1+(MAX(B$7:B666)))</f>
        <v>#REF!</v>
      </c>
      <c r="C667" s="51"/>
      <c r="D667" s="52"/>
      <c r="E667" s="53"/>
      <c r="F667" s="2"/>
      <c r="G667" s="2"/>
      <c r="H667" s="2"/>
      <c r="I667" s="2"/>
      <c r="J667" s="2"/>
      <c r="K667" s="2"/>
      <c r="L667" s="2"/>
      <c r="M667" s="2"/>
      <c r="N667" s="2"/>
      <c r="O667" s="7">
        <f t="shared" si="38"/>
        <v>0</v>
      </c>
      <c r="P667" s="2"/>
      <c r="Q667" s="2"/>
      <c r="R667" s="2"/>
      <c r="S667" s="2"/>
      <c r="T667" s="2"/>
      <c r="U667" s="2"/>
      <c r="V667" s="2"/>
      <c r="W667" s="2"/>
      <c r="X667" s="2"/>
      <c r="Y667" s="2"/>
      <c r="Z667" s="2"/>
      <c r="AA667" s="7">
        <f t="shared" ref="AA667:AA730" si="39">SUM(P667:Z667)</f>
        <v>0</v>
      </c>
      <c r="AB667" s="7">
        <f t="shared" ref="AB667:AB730" si="40">O667-AA667</f>
        <v>0</v>
      </c>
      <c r="AC667" s="9"/>
      <c r="AD667" s="9"/>
      <c r="AE667" s="9" t="e">
        <f>IF(#REF!=#REF!,1,0)</f>
        <v>#REF!</v>
      </c>
      <c r="AF667" s="8"/>
      <c r="AG667" s="8"/>
      <c r="AH667" s="8"/>
      <c r="AI667" s="8"/>
    </row>
    <row r="668" spans="2:35" s="3" customFormat="1" x14ac:dyDescent="0.25">
      <c r="B668" s="4" t="e">
        <f>IF(AE668=0,"",1+(MAX(B$7:B667)))</f>
        <v>#REF!</v>
      </c>
      <c r="C668" s="51"/>
      <c r="D668" s="52"/>
      <c r="E668" s="53"/>
      <c r="F668" s="2"/>
      <c r="G668" s="2"/>
      <c r="H668" s="2"/>
      <c r="I668" s="2"/>
      <c r="J668" s="2"/>
      <c r="K668" s="2"/>
      <c r="L668" s="2"/>
      <c r="M668" s="2"/>
      <c r="N668" s="2"/>
      <c r="O668" s="7">
        <f t="shared" si="38"/>
        <v>0</v>
      </c>
      <c r="P668" s="2"/>
      <c r="Q668" s="2"/>
      <c r="R668" s="2"/>
      <c r="S668" s="2"/>
      <c r="T668" s="2"/>
      <c r="U668" s="2"/>
      <c r="V668" s="2"/>
      <c r="W668" s="2"/>
      <c r="X668" s="2"/>
      <c r="Y668" s="2"/>
      <c r="Z668" s="2"/>
      <c r="AA668" s="7">
        <f t="shared" si="39"/>
        <v>0</v>
      </c>
      <c r="AB668" s="7">
        <f t="shared" si="40"/>
        <v>0</v>
      </c>
      <c r="AC668" s="9"/>
      <c r="AD668" s="9"/>
      <c r="AE668" s="9" t="e">
        <f>IF(#REF!=#REF!,1,0)</f>
        <v>#REF!</v>
      </c>
      <c r="AF668" s="8"/>
      <c r="AG668" s="8"/>
      <c r="AH668" s="8"/>
      <c r="AI668" s="8"/>
    </row>
    <row r="669" spans="2:35" s="3" customFormat="1" x14ac:dyDescent="0.25">
      <c r="B669" s="4" t="e">
        <f>IF(AE669=0,"",1+(MAX(B$7:B668)))</f>
        <v>#REF!</v>
      </c>
      <c r="C669" s="51"/>
      <c r="D669" s="52"/>
      <c r="E669" s="53"/>
      <c r="F669" s="2"/>
      <c r="G669" s="2"/>
      <c r="H669" s="2"/>
      <c r="I669" s="2"/>
      <c r="J669" s="2"/>
      <c r="K669" s="2"/>
      <c r="L669" s="2"/>
      <c r="M669" s="2"/>
      <c r="N669" s="2"/>
      <c r="O669" s="7">
        <f t="shared" si="38"/>
        <v>0</v>
      </c>
      <c r="P669" s="2"/>
      <c r="Q669" s="2"/>
      <c r="R669" s="2"/>
      <c r="S669" s="2"/>
      <c r="T669" s="2"/>
      <c r="U669" s="2"/>
      <c r="V669" s="2"/>
      <c r="W669" s="2"/>
      <c r="X669" s="2"/>
      <c r="Y669" s="2"/>
      <c r="Z669" s="2"/>
      <c r="AA669" s="7">
        <f t="shared" si="39"/>
        <v>0</v>
      </c>
      <c r="AB669" s="7">
        <f t="shared" si="40"/>
        <v>0</v>
      </c>
      <c r="AC669" s="9"/>
      <c r="AD669" s="9"/>
      <c r="AE669" s="9" t="e">
        <f>IF(#REF!=#REF!,1,0)</f>
        <v>#REF!</v>
      </c>
      <c r="AF669" s="8"/>
      <c r="AG669" s="8"/>
      <c r="AH669" s="8"/>
      <c r="AI669" s="8"/>
    </row>
    <row r="670" spans="2:35" s="3" customFormat="1" x14ac:dyDescent="0.25">
      <c r="B670" s="4" t="e">
        <f>IF(AE670=0,"",1+(MAX(B$7:B669)))</f>
        <v>#REF!</v>
      </c>
      <c r="C670" s="51"/>
      <c r="D670" s="52"/>
      <c r="E670" s="53"/>
      <c r="F670" s="2"/>
      <c r="G670" s="2"/>
      <c r="H670" s="2"/>
      <c r="I670" s="2"/>
      <c r="J670" s="2"/>
      <c r="K670" s="2"/>
      <c r="L670" s="2"/>
      <c r="M670" s="2"/>
      <c r="N670" s="2"/>
      <c r="O670" s="7">
        <f t="shared" si="38"/>
        <v>0</v>
      </c>
      <c r="P670" s="2"/>
      <c r="Q670" s="2"/>
      <c r="R670" s="2"/>
      <c r="S670" s="2"/>
      <c r="T670" s="2"/>
      <c r="U670" s="2"/>
      <c r="V670" s="2"/>
      <c r="W670" s="2"/>
      <c r="X670" s="2"/>
      <c r="Y670" s="2"/>
      <c r="Z670" s="2"/>
      <c r="AA670" s="7">
        <f t="shared" si="39"/>
        <v>0</v>
      </c>
      <c r="AB670" s="7">
        <f t="shared" si="40"/>
        <v>0</v>
      </c>
      <c r="AC670" s="9"/>
      <c r="AD670" s="9"/>
      <c r="AE670" s="9" t="e">
        <f>IF(#REF!=#REF!,1,0)</f>
        <v>#REF!</v>
      </c>
      <c r="AF670" s="8"/>
      <c r="AG670" s="8"/>
      <c r="AH670" s="8"/>
      <c r="AI670" s="8"/>
    </row>
    <row r="671" spans="2:35" s="3" customFormat="1" x14ac:dyDescent="0.25">
      <c r="B671" s="4" t="e">
        <f>IF(AE671=0,"",1+(MAX(B$7:B670)))</f>
        <v>#REF!</v>
      </c>
      <c r="C671" s="51"/>
      <c r="D671" s="52"/>
      <c r="E671" s="53"/>
      <c r="F671" s="2"/>
      <c r="G671" s="2"/>
      <c r="H671" s="2"/>
      <c r="I671" s="2"/>
      <c r="J671" s="2"/>
      <c r="K671" s="2"/>
      <c r="L671" s="2"/>
      <c r="M671" s="2"/>
      <c r="N671" s="2"/>
      <c r="O671" s="7">
        <f t="shared" si="38"/>
        <v>0</v>
      </c>
      <c r="P671" s="2"/>
      <c r="Q671" s="2"/>
      <c r="R671" s="2"/>
      <c r="S671" s="2"/>
      <c r="T671" s="2"/>
      <c r="U671" s="2"/>
      <c r="V671" s="2"/>
      <c r="W671" s="2"/>
      <c r="X671" s="2"/>
      <c r="Y671" s="2"/>
      <c r="Z671" s="2"/>
      <c r="AA671" s="7">
        <f t="shared" si="39"/>
        <v>0</v>
      </c>
      <c r="AB671" s="7">
        <f t="shared" si="40"/>
        <v>0</v>
      </c>
      <c r="AC671" s="9"/>
      <c r="AD671" s="9"/>
      <c r="AE671" s="9" t="e">
        <f>IF(#REF!=#REF!,1,0)</f>
        <v>#REF!</v>
      </c>
      <c r="AF671" s="8"/>
      <c r="AG671" s="8"/>
      <c r="AH671" s="8"/>
      <c r="AI671" s="8"/>
    </row>
    <row r="672" spans="2:35" s="3" customFormat="1" x14ac:dyDescent="0.25">
      <c r="B672" s="4" t="e">
        <f>IF(AE672=0,"",1+(MAX(B$7:B671)))</f>
        <v>#REF!</v>
      </c>
      <c r="C672" s="51"/>
      <c r="D672" s="52"/>
      <c r="E672" s="53"/>
      <c r="F672" s="2"/>
      <c r="G672" s="2"/>
      <c r="H672" s="2"/>
      <c r="I672" s="2"/>
      <c r="J672" s="2"/>
      <c r="K672" s="2"/>
      <c r="L672" s="2"/>
      <c r="M672" s="2"/>
      <c r="N672" s="2"/>
      <c r="O672" s="7">
        <f t="shared" si="38"/>
        <v>0</v>
      </c>
      <c r="P672" s="2"/>
      <c r="Q672" s="2"/>
      <c r="R672" s="2"/>
      <c r="S672" s="2"/>
      <c r="T672" s="2"/>
      <c r="U672" s="2"/>
      <c r="V672" s="2"/>
      <c r="W672" s="2"/>
      <c r="X672" s="2"/>
      <c r="Y672" s="2"/>
      <c r="Z672" s="2"/>
      <c r="AA672" s="7">
        <f t="shared" si="39"/>
        <v>0</v>
      </c>
      <c r="AB672" s="7">
        <f t="shared" si="40"/>
        <v>0</v>
      </c>
      <c r="AC672" s="9"/>
      <c r="AD672" s="9"/>
      <c r="AE672" s="9" t="e">
        <f>IF(#REF!=#REF!,1,0)</f>
        <v>#REF!</v>
      </c>
      <c r="AF672" s="8"/>
      <c r="AG672" s="8"/>
      <c r="AH672" s="8"/>
      <c r="AI672" s="8"/>
    </row>
    <row r="673" spans="2:35" s="3" customFormat="1" x14ac:dyDescent="0.25">
      <c r="B673" s="4" t="e">
        <f>IF(AE673=0,"",1+(MAX(B$7:B672)))</f>
        <v>#REF!</v>
      </c>
      <c r="C673" s="51"/>
      <c r="D673" s="52"/>
      <c r="E673" s="53"/>
      <c r="F673" s="2"/>
      <c r="G673" s="2"/>
      <c r="H673" s="2"/>
      <c r="I673" s="2"/>
      <c r="J673" s="2"/>
      <c r="K673" s="2"/>
      <c r="L673" s="2"/>
      <c r="M673" s="2"/>
      <c r="N673" s="2"/>
      <c r="O673" s="7">
        <f t="shared" si="38"/>
        <v>0</v>
      </c>
      <c r="P673" s="2"/>
      <c r="Q673" s="2"/>
      <c r="R673" s="2"/>
      <c r="S673" s="2"/>
      <c r="T673" s="2"/>
      <c r="U673" s="2"/>
      <c r="V673" s="2"/>
      <c r="W673" s="2"/>
      <c r="X673" s="2"/>
      <c r="Y673" s="2"/>
      <c r="Z673" s="2"/>
      <c r="AA673" s="7">
        <f t="shared" si="39"/>
        <v>0</v>
      </c>
      <c r="AB673" s="7">
        <f t="shared" si="40"/>
        <v>0</v>
      </c>
      <c r="AC673" s="9"/>
      <c r="AD673" s="9"/>
      <c r="AE673" s="9" t="e">
        <f>IF(#REF!=#REF!,1,0)</f>
        <v>#REF!</v>
      </c>
      <c r="AF673" s="8"/>
      <c r="AG673" s="8"/>
      <c r="AH673" s="8"/>
      <c r="AI673" s="8"/>
    </row>
    <row r="674" spans="2:35" s="3" customFormat="1" x14ac:dyDescent="0.25">
      <c r="B674" s="4" t="e">
        <f>IF(AE674=0,"",1+(MAX(B$7:B673)))</f>
        <v>#REF!</v>
      </c>
      <c r="C674" s="51"/>
      <c r="D674" s="52"/>
      <c r="E674" s="53"/>
      <c r="F674" s="2"/>
      <c r="G674" s="2"/>
      <c r="H674" s="2"/>
      <c r="I674" s="2"/>
      <c r="J674" s="2"/>
      <c r="K674" s="2"/>
      <c r="L674" s="2"/>
      <c r="M674" s="2"/>
      <c r="N674" s="2"/>
      <c r="O674" s="7">
        <f t="shared" si="38"/>
        <v>0</v>
      </c>
      <c r="P674" s="2"/>
      <c r="Q674" s="2"/>
      <c r="R674" s="2"/>
      <c r="S674" s="2"/>
      <c r="T674" s="2"/>
      <c r="U674" s="2"/>
      <c r="V674" s="2"/>
      <c r="W674" s="2"/>
      <c r="X674" s="2"/>
      <c r="Y674" s="2"/>
      <c r="Z674" s="2"/>
      <c r="AA674" s="7">
        <f t="shared" si="39"/>
        <v>0</v>
      </c>
      <c r="AB674" s="7">
        <f t="shared" si="40"/>
        <v>0</v>
      </c>
      <c r="AC674" s="9"/>
      <c r="AD674" s="9"/>
      <c r="AE674" s="9" t="e">
        <f>IF(#REF!=#REF!,1,0)</f>
        <v>#REF!</v>
      </c>
      <c r="AF674" s="8"/>
      <c r="AG674" s="8"/>
      <c r="AH674" s="8"/>
      <c r="AI674" s="8"/>
    </row>
    <row r="675" spans="2:35" s="3" customFormat="1" x14ac:dyDescent="0.25">
      <c r="B675" s="4" t="e">
        <f>IF(AE675=0,"",1+(MAX(B$7:B674)))</f>
        <v>#REF!</v>
      </c>
      <c r="C675" s="51"/>
      <c r="D675" s="52"/>
      <c r="E675" s="53"/>
      <c r="F675" s="2"/>
      <c r="G675" s="2"/>
      <c r="H675" s="2"/>
      <c r="I675" s="2"/>
      <c r="J675" s="2"/>
      <c r="K675" s="2"/>
      <c r="L675" s="2"/>
      <c r="M675" s="2"/>
      <c r="N675" s="2"/>
      <c r="O675" s="7">
        <f t="shared" si="38"/>
        <v>0</v>
      </c>
      <c r="P675" s="2"/>
      <c r="Q675" s="2"/>
      <c r="R675" s="2"/>
      <c r="S675" s="2"/>
      <c r="T675" s="2"/>
      <c r="U675" s="2"/>
      <c r="V675" s="2"/>
      <c r="W675" s="2"/>
      <c r="X675" s="2"/>
      <c r="Y675" s="2"/>
      <c r="Z675" s="2"/>
      <c r="AA675" s="7">
        <f t="shared" si="39"/>
        <v>0</v>
      </c>
      <c r="AB675" s="7">
        <f t="shared" si="40"/>
        <v>0</v>
      </c>
      <c r="AC675" s="9"/>
      <c r="AD675" s="9"/>
      <c r="AE675" s="9" t="e">
        <f>IF(#REF!=#REF!,1,0)</f>
        <v>#REF!</v>
      </c>
      <c r="AF675" s="8"/>
      <c r="AG675" s="8"/>
      <c r="AH675" s="8"/>
      <c r="AI675" s="8"/>
    </row>
    <row r="676" spans="2:35" s="3" customFormat="1" x14ac:dyDescent="0.25">
      <c r="B676" s="4" t="e">
        <f>IF(AE676=0,"",1+(MAX(B$7:B675)))</f>
        <v>#REF!</v>
      </c>
      <c r="C676" s="51"/>
      <c r="D676" s="52"/>
      <c r="E676" s="53"/>
      <c r="F676" s="2"/>
      <c r="G676" s="2"/>
      <c r="H676" s="2"/>
      <c r="I676" s="2"/>
      <c r="J676" s="2"/>
      <c r="K676" s="2"/>
      <c r="L676" s="2"/>
      <c r="M676" s="2"/>
      <c r="N676" s="2"/>
      <c r="O676" s="7">
        <f t="shared" si="38"/>
        <v>0</v>
      </c>
      <c r="P676" s="2"/>
      <c r="Q676" s="2"/>
      <c r="R676" s="2"/>
      <c r="S676" s="2"/>
      <c r="T676" s="2"/>
      <c r="U676" s="2"/>
      <c r="V676" s="2"/>
      <c r="W676" s="2"/>
      <c r="X676" s="2"/>
      <c r="Y676" s="2"/>
      <c r="Z676" s="2"/>
      <c r="AA676" s="7">
        <f t="shared" si="39"/>
        <v>0</v>
      </c>
      <c r="AB676" s="7">
        <f t="shared" si="40"/>
        <v>0</v>
      </c>
      <c r="AC676" s="9"/>
      <c r="AD676" s="9"/>
      <c r="AE676" s="9" t="e">
        <f>IF(#REF!=#REF!,1,0)</f>
        <v>#REF!</v>
      </c>
      <c r="AF676" s="8"/>
      <c r="AG676" s="8"/>
      <c r="AH676" s="8"/>
      <c r="AI676" s="8"/>
    </row>
    <row r="677" spans="2:35" s="3" customFormat="1" x14ac:dyDescent="0.25">
      <c r="B677" s="4" t="e">
        <f>IF(AE677=0,"",1+(MAX(B$7:B676)))</f>
        <v>#REF!</v>
      </c>
      <c r="C677" s="51"/>
      <c r="D677" s="52"/>
      <c r="E677" s="53"/>
      <c r="F677" s="2"/>
      <c r="G677" s="2"/>
      <c r="H677" s="2"/>
      <c r="I677" s="2"/>
      <c r="J677" s="2"/>
      <c r="K677" s="2"/>
      <c r="L677" s="2"/>
      <c r="M677" s="2"/>
      <c r="N677" s="2"/>
      <c r="O677" s="7">
        <f t="shared" si="38"/>
        <v>0</v>
      </c>
      <c r="P677" s="2"/>
      <c r="Q677" s="2"/>
      <c r="R677" s="2"/>
      <c r="S677" s="2"/>
      <c r="T677" s="2"/>
      <c r="U677" s="2"/>
      <c r="V677" s="2"/>
      <c r="W677" s="2"/>
      <c r="X677" s="2"/>
      <c r="Y677" s="2"/>
      <c r="Z677" s="2"/>
      <c r="AA677" s="7">
        <f t="shared" si="39"/>
        <v>0</v>
      </c>
      <c r="AB677" s="7">
        <f t="shared" si="40"/>
        <v>0</v>
      </c>
      <c r="AC677" s="9"/>
      <c r="AD677" s="9"/>
      <c r="AE677" s="9" t="e">
        <f>IF(#REF!=#REF!,1,0)</f>
        <v>#REF!</v>
      </c>
      <c r="AF677" s="8"/>
      <c r="AG677" s="8"/>
      <c r="AH677" s="8"/>
      <c r="AI677" s="8"/>
    </row>
    <row r="678" spans="2:35" s="3" customFormat="1" x14ac:dyDescent="0.25">
      <c r="B678" s="4" t="e">
        <f>IF(AE678=0,"",1+(MAX(B$7:B677)))</f>
        <v>#REF!</v>
      </c>
      <c r="C678" s="51"/>
      <c r="D678" s="52"/>
      <c r="E678" s="53"/>
      <c r="F678" s="2"/>
      <c r="G678" s="2"/>
      <c r="H678" s="2"/>
      <c r="I678" s="2"/>
      <c r="J678" s="2"/>
      <c r="K678" s="2"/>
      <c r="L678" s="2"/>
      <c r="M678" s="2"/>
      <c r="N678" s="2"/>
      <c r="O678" s="7">
        <f t="shared" si="38"/>
        <v>0</v>
      </c>
      <c r="P678" s="2"/>
      <c r="Q678" s="2"/>
      <c r="R678" s="2"/>
      <c r="S678" s="2"/>
      <c r="T678" s="2"/>
      <c r="U678" s="2"/>
      <c r="V678" s="2"/>
      <c r="W678" s="2"/>
      <c r="X678" s="2"/>
      <c r="Y678" s="2"/>
      <c r="Z678" s="2"/>
      <c r="AA678" s="7">
        <f t="shared" si="39"/>
        <v>0</v>
      </c>
      <c r="AB678" s="7">
        <f t="shared" si="40"/>
        <v>0</v>
      </c>
      <c r="AC678" s="9"/>
      <c r="AD678" s="9"/>
      <c r="AE678" s="9" t="e">
        <f>IF(#REF!=#REF!,1,0)</f>
        <v>#REF!</v>
      </c>
      <c r="AF678" s="8"/>
      <c r="AG678" s="8"/>
      <c r="AH678" s="8"/>
      <c r="AI678" s="8"/>
    </row>
    <row r="679" spans="2:35" s="3" customFormat="1" x14ac:dyDescent="0.25">
      <c r="B679" s="4" t="e">
        <f>IF(AE679=0,"",1+(MAX(B$7:B678)))</f>
        <v>#REF!</v>
      </c>
      <c r="C679" s="51"/>
      <c r="D679" s="52"/>
      <c r="E679" s="53"/>
      <c r="F679" s="2"/>
      <c r="G679" s="2"/>
      <c r="H679" s="2"/>
      <c r="I679" s="2"/>
      <c r="J679" s="2"/>
      <c r="K679" s="2"/>
      <c r="L679" s="2"/>
      <c r="M679" s="2"/>
      <c r="N679" s="2"/>
      <c r="O679" s="7">
        <f t="shared" si="38"/>
        <v>0</v>
      </c>
      <c r="P679" s="2"/>
      <c r="Q679" s="2"/>
      <c r="R679" s="2"/>
      <c r="S679" s="2"/>
      <c r="T679" s="2"/>
      <c r="U679" s="2"/>
      <c r="V679" s="2"/>
      <c r="W679" s="2"/>
      <c r="X679" s="2"/>
      <c r="Y679" s="2"/>
      <c r="Z679" s="2"/>
      <c r="AA679" s="7">
        <f t="shared" si="39"/>
        <v>0</v>
      </c>
      <c r="AB679" s="7">
        <f t="shared" si="40"/>
        <v>0</v>
      </c>
      <c r="AC679" s="9"/>
      <c r="AD679" s="9"/>
      <c r="AE679" s="9" t="e">
        <f>IF(#REF!=#REF!,1,0)</f>
        <v>#REF!</v>
      </c>
      <c r="AF679" s="8"/>
      <c r="AG679" s="8"/>
      <c r="AH679" s="8"/>
      <c r="AI679" s="8"/>
    </row>
    <row r="680" spans="2:35" s="3" customFormat="1" x14ac:dyDescent="0.25">
      <c r="B680" s="4" t="e">
        <f>IF(AE680=0,"",1+(MAX(B$7:B679)))</f>
        <v>#REF!</v>
      </c>
      <c r="C680" s="51"/>
      <c r="D680" s="52"/>
      <c r="E680" s="53"/>
      <c r="F680" s="2"/>
      <c r="G680" s="2"/>
      <c r="H680" s="2"/>
      <c r="I680" s="2"/>
      <c r="J680" s="2"/>
      <c r="K680" s="2"/>
      <c r="L680" s="2"/>
      <c r="M680" s="2"/>
      <c r="N680" s="2"/>
      <c r="O680" s="7">
        <f t="shared" si="38"/>
        <v>0</v>
      </c>
      <c r="P680" s="2"/>
      <c r="Q680" s="2"/>
      <c r="R680" s="2"/>
      <c r="S680" s="2"/>
      <c r="T680" s="2"/>
      <c r="U680" s="2"/>
      <c r="V680" s="2"/>
      <c r="W680" s="2"/>
      <c r="X680" s="2"/>
      <c r="Y680" s="2"/>
      <c r="Z680" s="2"/>
      <c r="AA680" s="7">
        <f t="shared" si="39"/>
        <v>0</v>
      </c>
      <c r="AB680" s="7">
        <f t="shared" si="40"/>
        <v>0</v>
      </c>
      <c r="AC680" s="9"/>
      <c r="AD680" s="9"/>
      <c r="AE680" s="9" t="e">
        <f>IF(#REF!=#REF!,1,0)</f>
        <v>#REF!</v>
      </c>
      <c r="AF680" s="8"/>
      <c r="AG680" s="8"/>
      <c r="AH680" s="8"/>
      <c r="AI680" s="8"/>
    </row>
    <row r="681" spans="2:35" s="3" customFormat="1" x14ac:dyDescent="0.25">
      <c r="B681" s="4" t="e">
        <f>IF(AE681=0,"",1+(MAX(B$7:B680)))</f>
        <v>#REF!</v>
      </c>
      <c r="C681" s="51"/>
      <c r="D681" s="52"/>
      <c r="E681" s="53"/>
      <c r="F681" s="2"/>
      <c r="G681" s="2"/>
      <c r="H681" s="2"/>
      <c r="I681" s="2"/>
      <c r="J681" s="2"/>
      <c r="K681" s="2"/>
      <c r="L681" s="2"/>
      <c r="M681" s="2"/>
      <c r="N681" s="2"/>
      <c r="O681" s="7">
        <f t="shared" si="38"/>
        <v>0</v>
      </c>
      <c r="P681" s="2"/>
      <c r="Q681" s="2"/>
      <c r="R681" s="2"/>
      <c r="S681" s="2"/>
      <c r="T681" s="2"/>
      <c r="U681" s="2"/>
      <c r="V681" s="2"/>
      <c r="W681" s="2"/>
      <c r="X681" s="2"/>
      <c r="Y681" s="2"/>
      <c r="Z681" s="2"/>
      <c r="AA681" s="7">
        <f t="shared" si="39"/>
        <v>0</v>
      </c>
      <c r="AB681" s="7">
        <f t="shared" si="40"/>
        <v>0</v>
      </c>
      <c r="AC681" s="9"/>
      <c r="AD681" s="9"/>
      <c r="AE681" s="9" t="e">
        <f>IF(#REF!=#REF!,1,0)</f>
        <v>#REF!</v>
      </c>
      <c r="AF681" s="8"/>
      <c r="AG681" s="8"/>
      <c r="AH681" s="8"/>
      <c r="AI681" s="8"/>
    </row>
    <row r="682" spans="2:35" s="3" customFormat="1" x14ac:dyDescent="0.25">
      <c r="B682" s="4" t="e">
        <f>IF(AE682=0,"",1+(MAX(B$7:B681)))</f>
        <v>#REF!</v>
      </c>
      <c r="C682" s="51"/>
      <c r="D682" s="52"/>
      <c r="E682" s="53"/>
      <c r="F682" s="2"/>
      <c r="G682" s="2"/>
      <c r="H682" s="2"/>
      <c r="I682" s="2"/>
      <c r="J682" s="2"/>
      <c r="K682" s="2"/>
      <c r="L682" s="2"/>
      <c r="M682" s="2"/>
      <c r="N682" s="2"/>
      <c r="O682" s="7">
        <f t="shared" si="38"/>
        <v>0</v>
      </c>
      <c r="P682" s="2"/>
      <c r="Q682" s="2"/>
      <c r="R682" s="2"/>
      <c r="S682" s="2"/>
      <c r="T682" s="2"/>
      <c r="U682" s="2"/>
      <c r="V682" s="2"/>
      <c r="W682" s="2"/>
      <c r="X682" s="2"/>
      <c r="Y682" s="2"/>
      <c r="Z682" s="2"/>
      <c r="AA682" s="7">
        <f t="shared" si="39"/>
        <v>0</v>
      </c>
      <c r="AB682" s="7">
        <f t="shared" si="40"/>
        <v>0</v>
      </c>
      <c r="AC682" s="9"/>
      <c r="AD682" s="9"/>
      <c r="AE682" s="9" t="e">
        <f>IF(#REF!=#REF!,1,0)</f>
        <v>#REF!</v>
      </c>
      <c r="AF682" s="8"/>
      <c r="AG682" s="8"/>
      <c r="AH682" s="8"/>
      <c r="AI682" s="8"/>
    </row>
    <row r="683" spans="2:35" s="3" customFormat="1" x14ac:dyDescent="0.25">
      <c r="B683" s="4" t="e">
        <f>IF(AE683=0,"",1+(MAX(B$7:B682)))</f>
        <v>#REF!</v>
      </c>
      <c r="C683" s="51"/>
      <c r="D683" s="52"/>
      <c r="E683" s="53"/>
      <c r="F683" s="2"/>
      <c r="G683" s="2"/>
      <c r="H683" s="2"/>
      <c r="I683" s="2"/>
      <c r="J683" s="2"/>
      <c r="K683" s="2"/>
      <c r="L683" s="2"/>
      <c r="M683" s="2"/>
      <c r="N683" s="2"/>
      <c r="O683" s="7">
        <f t="shared" si="38"/>
        <v>0</v>
      </c>
      <c r="P683" s="2"/>
      <c r="Q683" s="2"/>
      <c r="R683" s="2"/>
      <c r="S683" s="2"/>
      <c r="T683" s="2"/>
      <c r="U683" s="2"/>
      <c r="V683" s="2"/>
      <c r="W683" s="2"/>
      <c r="X683" s="2"/>
      <c r="Y683" s="2"/>
      <c r="Z683" s="2"/>
      <c r="AA683" s="7">
        <f t="shared" si="39"/>
        <v>0</v>
      </c>
      <c r="AB683" s="7">
        <f t="shared" si="40"/>
        <v>0</v>
      </c>
      <c r="AC683" s="9"/>
      <c r="AD683" s="9"/>
      <c r="AE683" s="9" t="e">
        <f>IF(#REF!=#REF!,1,0)</f>
        <v>#REF!</v>
      </c>
      <c r="AF683" s="8"/>
      <c r="AG683" s="8"/>
      <c r="AH683" s="8"/>
      <c r="AI683" s="8"/>
    </row>
    <row r="684" spans="2:35" s="3" customFormat="1" x14ac:dyDescent="0.25">
      <c r="B684" s="4" t="e">
        <f>IF(AE684=0,"",1+(MAX(B$7:B683)))</f>
        <v>#REF!</v>
      </c>
      <c r="C684" s="51"/>
      <c r="D684" s="52"/>
      <c r="E684" s="53"/>
      <c r="F684" s="2"/>
      <c r="G684" s="2"/>
      <c r="H684" s="2"/>
      <c r="I684" s="2"/>
      <c r="J684" s="2"/>
      <c r="K684" s="2"/>
      <c r="L684" s="2"/>
      <c r="M684" s="2"/>
      <c r="N684" s="2"/>
      <c r="O684" s="7">
        <f t="shared" si="38"/>
        <v>0</v>
      </c>
      <c r="P684" s="2"/>
      <c r="Q684" s="2"/>
      <c r="R684" s="2"/>
      <c r="S684" s="2"/>
      <c r="T684" s="2"/>
      <c r="U684" s="2"/>
      <c r="V684" s="2"/>
      <c r="W684" s="2"/>
      <c r="X684" s="2"/>
      <c r="Y684" s="2"/>
      <c r="Z684" s="2"/>
      <c r="AA684" s="7">
        <f t="shared" si="39"/>
        <v>0</v>
      </c>
      <c r="AB684" s="7">
        <f t="shared" si="40"/>
        <v>0</v>
      </c>
      <c r="AC684" s="9"/>
      <c r="AD684" s="9"/>
      <c r="AE684" s="9" t="e">
        <f>IF(#REF!=#REF!,1,0)</f>
        <v>#REF!</v>
      </c>
      <c r="AF684" s="8"/>
      <c r="AG684" s="8"/>
      <c r="AH684" s="8"/>
      <c r="AI684" s="8"/>
    </row>
    <row r="685" spans="2:35" s="3" customFormat="1" x14ac:dyDescent="0.25">
      <c r="B685" s="4" t="e">
        <f>IF(AE685=0,"",1+(MAX(B$7:B684)))</f>
        <v>#REF!</v>
      </c>
      <c r="C685" s="51"/>
      <c r="D685" s="52"/>
      <c r="E685" s="53"/>
      <c r="F685" s="2"/>
      <c r="G685" s="2"/>
      <c r="H685" s="2"/>
      <c r="I685" s="2"/>
      <c r="J685" s="2"/>
      <c r="K685" s="2"/>
      <c r="L685" s="2"/>
      <c r="M685" s="2"/>
      <c r="N685" s="2"/>
      <c r="O685" s="7">
        <f t="shared" si="38"/>
        <v>0</v>
      </c>
      <c r="P685" s="2"/>
      <c r="Q685" s="2"/>
      <c r="R685" s="2"/>
      <c r="S685" s="2"/>
      <c r="T685" s="2"/>
      <c r="U685" s="2"/>
      <c r="V685" s="2"/>
      <c r="W685" s="2"/>
      <c r="X685" s="2"/>
      <c r="Y685" s="2"/>
      <c r="Z685" s="2"/>
      <c r="AA685" s="7">
        <f t="shared" si="39"/>
        <v>0</v>
      </c>
      <c r="AB685" s="7">
        <f t="shared" si="40"/>
        <v>0</v>
      </c>
      <c r="AC685" s="9"/>
      <c r="AD685" s="9"/>
      <c r="AE685" s="9" t="e">
        <f>IF(#REF!=#REF!,1,0)</f>
        <v>#REF!</v>
      </c>
      <c r="AF685" s="8"/>
      <c r="AG685" s="8"/>
      <c r="AH685" s="8"/>
      <c r="AI685" s="8"/>
    </row>
    <row r="686" spans="2:35" s="3" customFormat="1" x14ac:dyDescent="0.25">
      <c r="B686" s="4" t="e">
        <f>IF(AE686=0,"",1+(MAX(B$7:B685)))</f>
        <v>#REF!</v>
      </c>
      <c r="C686" s="51"/>
      <c r="D686" s="52"/>
      <c r="E686" s="53"/>
      <c r="F686" s="2"/>
      <c r="G686" s="2"/>
      <c r="H686" s="2"/>
      <c r="I686" s="2"/>
      <c r="J686" s="2"/>
      <c r="K686" s="2"/>
      <c r="L686" s="2"/>
      <c r="M686" s="2"/>
      <c r="N686" s="2"/>
      <c r="O686" s="7">
        <f t="shared" si="38"/>
        <v>0</v>
      </c>
      <c r="P686" s="2"/>
      <c r="Q686" s="2"/>
      <c r="R686" s="2"/>
      <c r="S686" s="2"/>
      <c r="T686" s="2"/>
      <c r="U686" s="2"/>
      <c r="V686" s="2"/>
      <c r="W686" s="2"/>
      <c r="X686" s="2"/>
      <c r="Y686" s="2"/>
      <c r="Z686" s="2"/>
      <c r="AA686" s="7">
        <f t="shared" si="39"/>
        <v>0</v>
      </c>
      <c r="AB686" s="7">
        <f t="shared" si="40"/>
        <v>0</v>
      </c>
      <c r="AC686" s="9"/>
      <c r="AD686" s="9"/>
      <c r="AE686" s="9" t="e">
        <f>IF(#REF!=#REF!,1,0)</f>
        <v>#REF!</v>
      </c>
      <c r="AF686" s="8"/>
      <c r="AG686" s="8"/>
      <c r="AH686" s="8"/>
      <c r="AI686" s="8"/>
    </row>
    <row r="687" spans="2:35" s="3" customFormat="1" x14ac:dyDescent="0.25">
      <c r="B687" s="4" t="e">
        <f>IF(AE687=0,"",1+(MAX(B$7:B686)))</f>
        <v>#REF!</v>
      </c>
      <c r="C687" s="51"/>
      <c r="D687" s="52"/>
      <c r="E687" s="53"/>
      <c r="F687" s="2"/>
      <c r="G687" s="2"/>
      <c r="H687" s="2"/>
      <c r="I687" s="2"/>
      <c r="J687" s="2"/>
      <c r="K687" s="2"/>
      <c r="L687" s="2"/>
      <c r="M687" s="2"/>
      <c r="N687" s="2"/>
      <c r="O687" s="7">
        <f t="shared" si="38"/>
        <v>0</v>
      </c>
      <c r="P687" s="2"/>
      <c r="Q687" s="2"/>
      <c r="R687" s="2"/>
      <c r="S687" s="2"/>
      <c r="T687" s="2"/>
      <c r="U687" s="2"/>
      <c r="V687" s="2"/>
      <c r="W687" s="2"/>
      <c r="X687" s="2"/>
      <c r="Y687" s="2"/>
      <c r="Z687" s="2"/>
      <c r="AA687" s="7">
        <f t="shared" si="39"/>
        <v>0</v>
      </c>
      <c r="AB687" s="7">
        <f t="shared" si="40"/>
        <v>0</v>
      </c>
      <c r="AC687" s="9"/>
      <c r="AD687" s="9"/>
      <c r="AE687" s="9" t="e">
        <f>IF(#REF!=#REF!,1,0)</f>
        <v>#REF!</v>
      </c>
      <c r="AF687" s="8"/>
      <c r="AG687" s="8"/>
      <c r="AH687" s="8"/>
      <c r="AI687" s="8"/>
    </row>
    <row r="688" spans="2:35" s="3" customFormat="1" x14ac:dyDescent="0.25">
      <c r="B688" s="4" t="e">
        <f>IF(AE688=0,"",1+(MAX(B$7:B687)))</f>
        <v>#REF!</v>
      </c>
      <c r="C688" s="51"/>
      <c r="D688" s="52"/>
      <c r="E688" s="53"/>
      <c r="F688" s="2"/>
      <c r="G688" s="2"/>
      <c r="H688" s="2"/>
      <c r="I688" s="2"/>
      <c r="J688" s="2"/>
      <c r="K688" s="2"/>
      <c r="L688" s="2"/>
      <c r="M688" s="2"/>
      <c r="N688" s="2"/>
      <c r="O688" s="7">
        <f t="shared" si="38"/>
        <v>0</v>
      </c>
      <c r="P688" s="2"/>
      <c r="Q688" s="2"/>
      <c r="R688" s="2"/>
      <c r="S688" s="2"/>
      <c r="T688" s="2"/>
      <c r="U688" s="2"/>
      <c r="V688" s="2"/>
      <c r="W688" s="2"/>
      <c r="X688" s="2"/>
      <c r="Y688" s="2"/>
      <c r="Z688" s="2"/>
      <c r="AA688" s="7">
        <f t="shared" si="39"/>
        <v>0</v>
      </c>
      <c r="AB688" s="7">
        <f t="shared" si="40"/>
        <v>0</v>
      </c>
      <c r="AC688" s="9"/>
      <c r="AD688" s="9"/>
      <c r="AE688" s="9" t="e">
        <f>IF(#REF!=#REF!,1,0)</f>
        <v>#REF!</v>
      </c>
      <c r="AF688" s="8"/>
      <c r="AG688" s="8"/>
      <c r="AH688" s="8"/>
      <c r="AI688" s="8"/>
    </row>
    <row r="689" spans="2:35" s="3" customFormat="1" x14ac:dyDescent="0.25">
      <c r="B689" s="4" t="e">
        <f>IF(AE689=0,"",1+(MAX(B$7:B688)))</f>
        <v>#REF!</v>
      </c>
      <c r="C689" s="51"/>
      <c r="D689" s="52"/>
      <c r="E689" s="53"/>
      <c r="F689" s="2"/>
      <c r="G689" s="2"/>
      <c r="H689" s="2"/>
      <c r="I689" s="2"/>
      <c r="J689" s="2"/>
      <c r="K689" s="2"/>
      <c r="L689" s="2"/>
      <c r="M689" s="2"/>
      <c r="N689" s="2"/>
      <c r="O689" s="7">
        <f t="shared" si="38"/>
        <v>0</v>
      </c>
      <c r="P689" s="2"/>
      <c r="Q689" s="2"/>
      <c r="R689" s="2"/>
      <c r="S689" s="2"/>
      <c r="T689" s="2"/>
      <c r="U689" s="2"/>
      <c r="V689" s="2"/>
      <c r="W689" s="2"/>
      <c r="X689" s="2"/>
      <c r="Y689" s="2"/>
      <c r="Z689" s="2"/>
      <c r="AA689" s="7">
        <f t="shared" si="39"/>
        <v>0</v>
      </c>
      <c r="AB689" s="7">
        <f t="shared" si="40"/>
        <v>0</v>
      </c>
      <c r="AC689" s="9"/>
      <c r="AD689" s="9"/>
      <c r="AE689" s="9" t="e">
        <f>IF(#REF!=#REF!,1,0)</f>
        <v>#REF!</v>
      </c>
      <c r="AF689" s="8"/>
      <c r="AG689" s="8"/>
      <c r="AH689" s="8"/>
      <c r="AI689" s="8"/>
    </row>
    <row r="690" spans="2:35" s="3" customFormat="1" x14ac:dyDescent="0.25">
      <c r="B690" s="4" t="e">
        <f>IF(AE690=0,"",1+(MAX(B$7:B689)))</f>
        <v>#REF!</v>
      </c>
      <c r="C690" s="51"/>
      <c r="D690" s="52"/>
      <c r="E690" s="53"/>
      <c r="F690" s="2"/>
      <c r="G690" s="2"/>
      <c r="H690" s="2"/>
      <c r="I690" s="2"/>
      <c r="J690" s="2"/>
      <c r="K690" s="2"/>
      <c r="L690" s="2"/>
      <c r="M690" s="2"/>
      <c r="N690" s="2"/>
      <c r="O690" s="7">
        <f t="shared" si="38"/>
        <v>0</v>
      </c>
      <c r="P690" s="2"/>
      <c r="Q690" s="2"/>
      <c r="R690" s="2"/>
      <c r="S690" s="2"/>
      <c r="T690" s="2"/>
      <c r="U690" s="2"/>
      <c r="V690" s="2"/>
      <c r="W690" s="2"/>
      <c r="X690" s="2"/>
      <c r="Y690" s="2"/>
      <c r="Z690" s="2"/>
      <c r="AA690" s="7">
        <f t="shared" si="39"/>
        <v>0</v>
      </c>
      <c r="AB690" s="7">
        <f t="shared" si="40"/>
        <v>0</v>
      </c>
      <c r="AC690" s="9"/>
      <c r="AD690" s="9"/>
      <c r="AE690" s="9" t="e">
        <f>IF(#REF!=#REF!,1,0)</f>
        <v>#REF!</v>
      </c>
      <c r="AF690" s="8"/>
      <c r="AG690" s="8"/>
      <c r="AH690" s="8"/>
      <c r="AI690" s="8"/>
    </row>
    <row r="691" spans="2:35" s="3" customFormat="1" x14ac:dyDescent="0.25">
      <c r="B691" s="4" t="e">
        <f>IF(AE691=0,"",1+(MAX(B$7:B690)))</f>
        <v>#REF!</v>
      </c>
      <c r="C691" s="51"/>
      <c r="D691" s="52"/>
      <c r="E691" s="53"/>
      <c r="F691" s="2"/>
      <c r="G691" s="2"/>
      <c r="H691" s="2"/>
      <c r="I691" s="2"/>
      <c r="J691" s="2"/>
      <c r="K691" s="2"/>
      <c r="L691" s="2"/>
      <c r="M691" s="2"/>
      <c r="N691" s="2"/>
      <c r="O691" s="7">
        <f t="shared" si="38"/>
        <v>0</v>
      </c>
      <c r="P691" s="2"/>
      <c r="Q691" s="2"/>
      <c r="R691" s="2"/>
      <c r="S691" s="2"/>
      <c r="T691" s="2"/>
      <c r="U691" s="2"/>
      <c r="V691" s="2"/>
      <c r="W691" s="2"/>
      <c r="X691" s="2"/>
      <c r="Y691" s="2"/>
      <c r="Z691" s="2"/>
      <c r="AA691" s="7">
        <f t="shared" si="39"/>
        <v>0</v>
      </c>
      <c r="AB691" s="7">
        <f t="shared" si="40"/>
        <v>0</v>
      </c>
      <c r="AC691" s="9"/>
      <c r="AD691" s="9"/>
      <c r="AE691" s="9" t="e">
        <f>IF(#REF!=#REF!,1,0)</f>
        <v>#REF!</v>
      </c>
      <c r="AF691" s="8"/>
      <c r="AG691" s="8"/>
      <c r="AH691" s="8"/>
      <c r="AI691" s="8"/>
    </row>
    <row r="692" spans="2:35" s="3" customFormat="1" x14ac:dyDescent="0.25">
      <c r="B692" s="4" t="e">
        <f>IF(AE692=0,"",1+(MAX(B$7:B691)))</f>
        <v>#REF!</v>
      </c>
      <c r="C692" s="51"/>
      <c r="D692" s="52"/>
      <c r="E692" s="53"/>
      <c r="F692" s="2"/>
      <c r="G692" s="2"/>
      <c r="H692" s="2"/>
      <c r="I692" s="2"/>
      <c r="J692" s="2"/>
      <c r="K692" s="2"/>
      <c r="L692" s="2"/>
      <c r="M692" s="2"/>
      <c r="N692" s="2"/>
      <c r="O692" s="7">
        <f t="shared" si="38"/>
        <v>0</v>
      </c>
      <c r="P692" s="2"/>
      <c r="Q692" s="2"/>
      <c r="R692" s="2"/>
      <c r="S692" s="2"/>
      <c r="T692" s="2"/>
      <c r="U692" s="2"/>
      <c r="V692" s="2"/>
      <c r="W692" s="2"/>
      <c r="X692" s="2"/>
      <c r="Y692" s="2"/>
      <c r="Z692" s="2"/>
      <c r="AA692" s="7">
        <f t="shared" si="39"/>
        <v>0</v>
      </c>
      <c r="AB692" s="7">
        <f t="shared" si="40"/>
        <v>0</v>
      </c>
      <c r="AC692" s="9"/>
      <c r="AD692" s="9"/>
      <c r="AE692" s="9" t="e">
        <f>IF(#REF!=#REF!,1,0)</f>
        <v>#REF!</v>
      </c>
      <c r="AF692" s="8"/>
      <c r="AG692" s="8"/>
      <c r="AH692" s="8"/>
      <c r="AI692" s="8"/>
    </row>
    <row r="693" spans="2:35" s="3" customFormat="1" x14ac:dyDescent="0.25">
      <c r="B693" s="4" t="e">
        <f>IF(AE693=0,"",1+(MAX(B$7:B692)))</f>
        <v>#REF!</v>
      </c>
      <c r="C693" s="51"/>
      <c r="D693" s="52"/>
      <c r="E693" s="53"/>
      <c r="F693" s="2"/>
      <c r="G693" s="2"/>
      <c r="H693" s="2"/>
      <c r="I693" s="2"/>
      <c r="J693" s="2"/>
      <c r="K693" s="2"/>
      <c r="L693" s="2"/>
      <c r="M693" s="2"/>
      <c r="N693" s="2"/>
      <c r="O693" s="7">
        <f t="shared" si="38"/>
        <v>0</v>
      </c>
      <c r="P693" s="2"/>
      <c r="Q693" s="2"/>
      <c r="R693" s="2"/>
      <c r="S693" s="2"/>
      <c r="T693" s="2"/>
      <c r="U693" s="2"/>
      <c r="V693" s="2"/>
      <c r="W693" s="2"/>
      <c r="X693" s="2"/>
      <c r="Y693" s="2"/>
      <c r="Z693" s="2"/>
      <c r="AA693" s="7">
        <f t="shared" si="39"/>
        <v>0</v>
      </c>
      <c r="AB693" s="7">
        <f t="shared" si="40"/>
        <v>0</v>
      </c>
      <c r="AC693" s="9"/>
      <c r="AD693" s="9"/>
      <c r="AE693" s="9" t="e">
        <f>IF(#REF!=#REF!,1,0)</f>
        <v>#REF!</v>
      </c>
      <c r="AF693" s="8"/>
      <c r="AG693" s="8"/>
      <c r="AH693" s="8"/>
      <c r="AI693" s="8"/>
    </row>
    <row r="694" spans="2:35" s="3" customFormat="1" x14ac:dyDescent="0.25">
      <c r="B694" s="4" t="e">
        <f>IF(AE694=0,"",1+(MAX(B$7:B693)))</f>
        <v>#REF!</v>
      </c>
      <c r="C694" s="51"/>
      <c r="D694" s="52"/>
      <c r="E694" s="53"/>
      <c r="F694" s="2"/>
      <c r="G694" s="2"/>
      <c r="H694" s="2"/>
      <c r="I694" s="2"/>
      <c r="J694" s="2"/>
      <c r="K694" s="2"/>
      <c r="L694" s="2"/>
      <c r="M694" s="2"/>
      <c r="N694" s="2"/>
      <c r="O694" s="7">
        <f t="shared" si="38"/>
        <v>0</v>
      </c>
      <c r="P694" s="2"/>
      <c r="Q694" s="2"/>
      <c r="R694" s="2"/>
      <c r="S694" s="2"/>
      <c r="T694" s="2"/>
      <c r="U694" s="2"/>
      <c r="V694" s="2"/>
      <c r="W694" s="2"/>
      <c r="X694" s="2"/>
      <c r="Y694" s="2"/>
      <c r="Z694" s="2"/>
      <c r="AA694" s="7">
        <f t="shared" si="39"/>
        <v>0</v>
      </c>
      <c r="AB694" s="7">
        <f t="shared" si="40"/>
        <v>0</v>
      </c>
      <c r="AC694" s="9"/>
      <c r="AD694" s="9"/>
      <c r="AE694" s="9" t="e">
        <f>IF(#REF!=#REF!,1,0)</f>
        <v>#REF!</v>
      </c>
      <c r="AF694" s="8"/>
      <c r="AG694" s="8"/>
      <c r="AH694" s="8"/>
      <c r="AI694" s="8"/>
    </row>
    <row r="695" spans="2:35" s="3" customFormat="1" x14ac:dyDescent="0.25">
      <c r="B695" s="4" t="e">
        <f>IF(AE695=0,"",1+(MAX(B$7:B694)))</f>
        <v>#REF!</v>
      </c>
      <c r="C695" s="51"/>
      <c r="D695" s="52"/>
      <c r="E695" s="53"/>
      <c r="F695" s="2"/>
      <c r="G695" s="2"/>
      <c r="H695" s="2"/>
      <c r="I695" s="2"/>
      <c r="J695" s="2"/>
      <c r="K695" s="2"/>
      <c r="L695" s="2"/>
      <c r="M695" s="2"/>
      <c r="N695" s="2"/>
      <c r="O695" s="7">
        <f t="shared" si="38"/>
        <v>0</v>
      </c>
      <c r="P695" s="2"/>
      <c r="Q695" s="2"/>
      <c r="R695" s="2"/>
      <c r="S695" s="2"/>
      <c r="T695" s="2"/>
      <c r="U695" s="2"/>
      <c r="V695" s="2"/>
      <c r="W695" s="2"/>
      <c r="X695" s="2"/>
      <c r="Y695" s="2"/>
      <c r="Z695" s="2"/>
      <c r="AA695" s="7">
        <f t="shared" si="39"/>
        <v>0</v>
      </c>
      <c r="AB695" s="7">
        <f t="shared" si="40"/>
        <v>0</v>
      </c>
      <c r="AC695" s="9"/>
      <c r="AD695" s="9"/>
      <c r="AE695" s="9" t="e">
        <f>IF(#REF!=#REF!,1,0)</f>
        <v>#REF!</v>
      </c>
      <c r="AF695" s="8"/>
      <c r="AG695" s="8"/>
      <c r="AH695" s="8"/>
      <c r="AI695" s="8"/>
    </row>
    <row r="696" spans="2:35" s="3" customFormat="1" x14ac:dyDescent="0.25">
      <c r="B696" s="4" t="e">
        <f>IF(AE696=0,"",1+(MAX(B$7:B695)))</f>
        <v>#REF!</v>
      </c>
      <c r="C696" s="51"/>
      <c r="D696" s="52"/>
      <c r="E696" s="53"/>
      <c r="F696" s="2"/>
      <c r="G696" s="2"/>
      <c r="H696" s="2"/>
      <c r="I696" s="2"/>
      <c r="J696" s="2"/>
      <c r="K696" s="2"/>
      <c r="L696" s="2"/>
      <c r="M696" s="2"/>
      <c r="N696" s="2"/>
      <c r="O696" s="7">
        <f t="shared" si="38"/>
        <v>0</v>
      </c>
      <c r="P696" s="2"/>
      <c r="Q696" s="2"/>
      <c r="R696" s="2"/>
      <c r="S696" s="2"/>
      <c r="T696" s="2"/>
      <c r="U696" s="2"/>
      <c r="V696" s="2"/>
      <c r="W696" s="2"/>
      <c r="X696" s="2"/>
      <c r="Y696" s="2"/>
      <c r="Z696" s="2"/>
      <c r="AA696" s="7">
        <f t="shared" si="39"/>
        <v>0</v>
      </c>
      <c r="AB696" s="7">
        <f t="shared" si="40"/>
        <v>0</v>
      </c>
      <c r="AC696" s="9"/>
      <c r="AD696" s="9"/>
      <c r="AE696" s="9" t="e">
        <f>IF(#REF!=#REF!,1,0)</f>
        <v>#REF!</v>
      </c>
      <c r="AF696" s="8"/>
      <c r="AG696" s="8"/>
      <c r="AH696" s="8"/>
      <c r="AI696" s="8"/>
    </row>
    <row r="697" spans="2:35" s="3" customFormat="1" x14ac:dyDescent="0.25">
      <c r="B697" s="4" t="e">
        <f>IF(AE697=0,"",1+(MAX(B$7:B696)))</f>
        <v>#REF!</v>
      </c>
      <c r="C697" s="51"/>
      <c r="D697" s="52"/>
      <c r="E697" s="53"/>
      <c r="F697" s="2"/>
      <c r="G697" s="2"/>
      <c r="H697" s="2"/>
      <c r="I697" s="2"/>
      <c r="J697" s="2"/>
      <c r="K697" s="2"/>
      <c r="L697" s="2"/>
      <c r="M697" s="2"/>
      <c r="N697" s="2"/>
      <c r="O697" s="7">
        <f t="shared" si="38"/>
        <v>0</v>
      </c>
      <c r="P697" s="2"/>
      <c r="Q697" s="2"/>
      <c r="R697" s="2"/>
      <c r="S697" s="2"/>
      <c r="T697" s="2"/>
      <c r="U697" s="2"/>
      <c r="V697" s="2"/>
      <c r="W697" s="2"/>
      <c r="X697" s="2"/>
      <c r="Y697" s="2"/>
      <c r="Z697" s="2"/>
      <c r="AA697" s="7">
        <f t="shared" si="39"/>
        <v>0</v>
      </c>
      <c r="AB697" s="7">
        <f t="shared" si="40"/>
        <v>0</v>
      </c>
      <c r="AC697" s="9"/>
      <c r="AD697" s="9"/>
      <c r="AE697" s="9" t="e">
        <f>IF(#REF!=#REF!,1,0)</f>
        <v>#REF!</v>
      </c>
      <c r="AF697" s="8"/>
      <c r="AG697" s="8"/>
      <c r="AH697" s="8"/>
      <c r="AI697" s="8"/>
    </row>
    <row r="698" spans="2:35" s="3" customFormat="1" x14ac:dyDescent="0.25">
      <c r="B698" s="4" t="e">
        <f>IF(AE698=0,"",1+(MAX(B$7:B697)))</f>
        <v>#REF!</v>
      </c>
      <c r="C698" s="51"/>
      <c r="D698" s="52"/>
      <c r="E698" s="53"/>
      <c r="F698" s="2"/>
      <c r="G698" s="2"/>
      <c r="H698" s="2"/>
      <c r="I698" s="2"/>
      <c r="J698" s="2"/>
      <c r="K698" s="2"/>
      <c r="L698" s="2"/>
      <c r="M698" s="2"/>
      <c r="N698" s="2"/>
      <c r="O698" s="7">
        <f t="shared" si="38"/>
        <v>0</v>
      </c>
      <c r="P698" s="2"/>
      <c r="Q698" s="2"/>
      <c r="R698" s="2"/>
      <c r="S698" s="2"/>
      <c r="T698" s="2"/>
      <c r="U698" s="2"/>
      <c r="V698" s="2"/>
      <c r="W698" s="2"/>
      <c r="X698" s="2"/>
      <c r="Y698" s="2"/>
      <c r="Z698" s="2"/>
      <c r="AA698" s="7">
        <f t="shared" si="39"/>
        <v>0</v>
      </c>
      <c r="AB698" s="7">
        <f t="shared" si="40"/>
        <v>0</v>
      </c>
      <c r="AC698" s="9"/>
      <c r="AD698" s="9"/>
      <c r="AE698" s="9" t="e">
        <f>IF(#REF!=#REF!,1,0)</f>
        <v>#REF!</v>
      </c>
      <c r="AF698" s="8"/>
      <c r="AG698" s="8"/>
      <c r="AH698" s="8"/>
      <c r="AI698" s="8"/>
    </row>
    <row r="699" spans="2:35" s="3" customFormat="1" x14ac:dyDescent="0.25">
      <c r="B699" s="4" t="e">
        <f>IF(AE699=0,"",1+(MAX(B$7:B698)))</f>
        <v>#REF!</v>
      </c>
      <c r="C699" s="51"/>
      <c r="D699" s="52"/>
      <c r="E699" s="53"/>
      <c r="F699" s="2"/>
      <c r="G699" s="2"/>
      <c r="H699" s="2"/>
      <c r="I699" s="2"/>
      <c r="J699" s="2"/>
      <c r="K699" s="2"/>
      <c r="L699" s="2"/>
      <c r="M699" s="2"/>
      <c r="N699" s="2"/>
      <c r="O699" s="7">
        <f t="shared" si="38"/>
        <v>0</v>
      </c>
      <c r="P699" s="2"/>
      <c r="Q699" s="2"/>
      <c r="R699" s="2"/>
      <c r="S699" s="2"/>
      <c r="T699" s="2"/>
      <c r="U699" s="2"/>
      <c r="V699" s="2"/>
      <c r="W699" s="2"/>
      <c r="X699" s="2"/>
      <c r="Y699" s="2"/>
      <c r="Z699" s="2"/>
      <c r="AA699" s="7">
        <f t="shared" si="39"/>
        <v>0</v>
      </c>
      <c r="AB699" s="7">
        <f t="shared" si="40"/>
        <v>0</v>
      </c>
      <c r="AC699" s="9"/>
      <c r="AD699" s="9"/>
      <c r="AE699" s="9" t="e">
        <f>IF(#REF!=#REF!,1,0)</f>
        <v>#REF!</v>
      </c>
      <c r="AF699" s="8"/>
      <c r="AG699" s="8"/>
      <c r="AH699" s="8"/>
      <c r="AI699" s="8"/>
    </row>
    <row r="700" spans="2:35" s="3" customFormat="1" x14ac:dyDescent="0.25">
      <c r="B700" s="4" t="e">
        <f>IF(AE700=0,"",1+(MAX(B$7:B699)))</f>
        <v>#REF!</v>
      </c>
      <c r="C700" s="51"/>
      <c r="D700" s="52"/>
      <c r="E700" s="53"/>
      <c r="F700" s="2"/>
      <c r="G700" s="2"/>
      <c r="H700" s="2"/>
      <c r="I700" s="2"/>
      <c r="J700" s="2"/>
      <c r="K700" s="2"/>
      <c r="L700" s="2"/>
      <c r="M700" s="2"/>
      <c r="N700" s="2"/>
      <c r="O700" s="7">
        <f t="shared" si="38"/>
        <v>0</v>
      </c>
      <c r="P700" s="2"/>
      <c r="Q700" s="2"/>
      <c r="R700" s="2"/>
      <c r="S700" s="2"/>
      <c r="T700" s="2"/>
      <c r="U700" s="2"/>
      <c r="V700" s="2"/>
      <c r="W700" s="2"/>
      <c r="X700" s="2"/>
      <c r="Y700" s="2"/>
      <c r="Z700" s="2"/>
      <c r="AA700" s="7">
        <f t="shared" si="39"/>
        <v>0</v>
      </c>
      <c r="AB700" s="7">
        <f t="shared" si="40"/>
        <v>0</v>
      </c>
      <c r="AC700" s="9"/>
      <c r="AD700" s="9"/>
      <c r="AE700" s="9" t="e">
        <f>IF(#REF!=#REF!,1,0)</f>
        <v>#REF!</v>
      </c>
      <c r="AF700" s="8"/>
      <c r="AG700" s="8"/>
      <c r="AH700" s="8"/>
      <c r="AI700" s="8"/>
    </row>
    <row r="701" spans="2:35" s="3" customFormat="1" x14ac:dyDescent="0.25">
      <c r="B701" s="4" t="e">
        <f>IF(AE701=0,"",1+(MAX(B$7:B700)))</f>
        <v>#REF!</v>
      </c>
      <c r="C701" s="51"/>
      <c r="D701" s="52"/>
      <c r="E701" s="53"/>
      <c r="F701" s="2"/>
      <c r="G701" s="2"/>
      <c r="H701" s="2"/>
      <c r="I701" s="2"/>
      <c r="J701" s="2"/>
      <c r="K701" s="2"/>
      <c r="L701" s="2"/>
      <c r="M701" s="2"/>
      <c r="N701" s="2"/>
      <c r="O701" s="7">
        <f t="shared" si="38"/>
        <v>0</v>
      </c>
      <c r="P701" s="2"/>
      <c r="Q701" s="2"/>
      <c r="R701" s="2"/>
      <c r="S701" s="2"/>
      <c r="T701" s="2"/>
      <c r="U701" s="2"/>
      <c r="V701" s="2"/>
      <c r="W701" s="2"/>
      <c r="X701" s="2"/>
      <c r="Y701" s="2"/>
      <c r="Z701" s="2"/>
      <c r="AA701" s="7">
        <f t="shared" si="39"/>
        <v>0</v>
      </c>
      <c r="AB701" s="7">
        <f t="shared" si="40"/>
        <v>0</v>
      </c>
      <c r="AC701" s="9"/>
      <c r="AD701" s="9"/>
      <c r="AE701" s="9" t="e">
        <f>IF(#REF!=#REF!,1,0)</f>
        <v>#REF!</v>
      </c>
      <c r="AF701" s="8"/>
      <c r="AG701" s="8"/>
      <c r="AH701" s="8"/>
      <c r="AI701" s="8"/>
    </row>
    <row r="702" spans="2:35" s="3" customFormat="1" x14ac:dyDescent="0.25">
      <c r="B702" s="4" t="e">
        <f>IF(AE702=0,"",1+(MAX(B$7:B701)))</f>
        <v>#REF!</v>
      </c>
      <c r="C702" s="51"/>
      <c r="D702" s="52"/>
      <c r="E702" s="53"/>
      <c r="F702" s="2"/>
      <c r="G702" s="2"/>
      <c r="H702" s="2"/>
      <c r="I702" s="2"/>
      <c r="J702" s="2"/>
      <c r="K702" s="2"/>
      <c r="L702" s="2"/>
      <c r="M702" s="2"/>
      <c r="N702" s="2"/>
      <c r="O702" s="7">
        <f t="shared" si="38"/>
        <v>0</v>
      </c>
      <c r="P702" s="2"/>
      <c r="Q702" s="2"/>
      <c r="R702" s="2"/>
      <c r="S702" s="2"/>
      <c r="T702" s="2"/>
      <c r="U702" s="2"/>
      <c r="V702" s="2"/>
      <c r="W702" s="2"/>
      <c r="X702" s="2"/>
      <c r="Y702" s="2"/>
      <c r="Z702" s="2"/>
      <c r="AA702" s="7">
        <f t="shared" si="39"/>
        <v>0</v>
      </c>
      <c r="AB702" s="7">
        <f t="shared" si="40"/>
        <v>0</v>
      </c>
      <c r="AC702" s="9"/>
      <c r="AD702" s="9"/>
      <c r="AE702" s="9" t="e">
        <f>IF(#REF!=#REF!,1,0)</f>
        <v>#REF!</v>
      </c>
      <c r="AF702" s="8"/>
      <c r="AG702" s="8"/>
      <c r="AH702" s="8"/>
      <c r="AI702" s="8"/>
    </row>
    <row r="703" spans="2:35" s="3" customFormat="1" x14ac:dyDescent="0.25">
      <c r="B703" s="4" t="e">
        <f>IF(AE703=0,"",1+(MAX(B$7:B702)))</f>
        <v>#REF!</v>
      </c>
      <c r="C703" s="51"/>
      <c r="D703" s="52"/>
      <c r="E703" s="53"/>
      <c r="F703" s="2"/>
      <c r="G703" s="2"/>
      <c r="H703" s="2"/>
      <c r="I703" s="2"/>
      <c r="J703" s="2"/>
      <c r="K703" s="2"/>
      <c r="L703" s="2"/>
      <c r="M703" s="2"/>
      <c r="N703" s="2"/>
      <c r="O703" s="7">
        <f t="shared" si="38"/>
        <v>0</v>
      </c>
      <c r="P703" s="2"/>
      <c r="Q703" s="2"/>
      <c r="R703" s="2"/>
      <c r="S703" s="2"/>
      <c r="T703" s="2"/>
      <c r="U703" s="2"/>
      <c r="V703" s="2"/>
      <c r="W703" s="2"/>
      <c r="X703" s="2"/>
      <c r="Y703" s="2"/>
      <c r="Z703" s="2"/>
      <c r="AA703" s="7">
        <f t="shared" si="39"/>
        <v>0</v>
      </c>
      <c r="AB703" s="7">
        <f t="shared" si="40"/>
        <v>0</v>
      </c>
      <c r="AC703" s="9"/>
      <c r="AD703" s="9"/>
      <c r="AE703" s="9" t="e">
        <f>IF(#REF!=#REF!,1,0)</f>
        <v>#REF!</v>
      </c>
      <c r="AF703" s="8"/>
      <c r="AG703" s="8"/>
      <c r="AH703" s="8"/>
      <c r="AI703" s="8"/>
    </row>
    <row r="704" spans="2:35" s="3" customFormat="1" x14ac:dyDescent="0.25">
      <c r="B704" s="4" t="e">
        <f>IF(AE704=0,"",1+(MAX(B$7:B703)))</f>
        <v>#REF!</v>
      </c>
      <c r="C704" s="51"/>
      <c r="D704" s="52"/>
      <c r="E704" s="53"/>
      <c r="F704" s="2"/>
      <c r="G704" s="2"/>
      <c r="H704" s="2"/>
      <c r="I704" s="2"/>
      <c r="J704" s="2"/>
      <c r="K704" s="2"/>
      <c r="L704" s="2"/>
      <c r="M704" s="2"/>
      <c r="N704" s="2"/>
      <c r="O704" s="7">
        <f t="shared" si="38"/>
        <v>0</v>
      </c>
      <c r="P704" s="2"/>
      <c r="Q704" s="2"/>
      <c r="R704" s="2"/>
      <c r="S704" s="2"/>
      <c r="T704" s="2"/>
      <c r="U704" s="2"/>
      <c r="V704" s="2"/>
      <c r="W704" s="2"/>
      <c r="X704" s="2"/>
      <c r="Y704" s="2"/>
      <c r="Z704" s="2"/>
      <c r="AA704" s="7">
        <f t="shared" si="39"/>
        <v>0</v>
      </c>
      <c r="AB704" s="7">
        <f t="shared" si="40"/>
        <v>0</v>
      </c>
      <c r="AC704" s="9"/>
      <c r="AD704" s="9"/>
      <c r="AE704" s="9" t="e">
        <f>IF(#REF!=#REF!,1,0)</f>
        <v>#REF!</v>
      </c>
      <c r="AF704" s="8"/>
      <c r="AG704" s="8"/>
      <c r="AH704" s="8"/>
      <c r="AI704" s="8"/>
    </row>
    <row r="705" spans="2:35" s="3" customFormat="1" x14ac:dyDescent="0.25">
      <c r="B705" s="4" t="e">
        <f>IF(AE705=0,"",1+(MAX(B$7:B704)))</f>
        <v>#REF!</v>
      </c>
      <c r="C705" s="51"/>
      <c r="D705" s="52"/>
      <c r="E705" s="53"/>
      <c r="F705" s="2"/>
      <c r="G705" s="2"/>
      <c r="H705" s="2"/>
      <c r="I705" s="2"/>
      <c r="J705" s="2"/>
      <c r="K705" s="2"/>
      <c r="L705" s="2"/>
      <c r="M705" s="2"/>
      <c r="N705" s="2"/>
      <c r="O705" s="7">
        <f t="shared" si="38"/>
        <v>0</v>
      </c>
      <c r="P705" s="2"/>
      <c r="Q705" s="2"/>
      <c r="R705" s="2"/>
      <c r="S705" s="2"/>
      <c r="T705" s="2"/>
      <c r="U705" s="2"/>
      <c r="V705" s="2"/>
      <c r="W705" s="2"/>
      <c r="X705" s="2"/>
      <c r="Y705" s="2"/>
      <c r="Z705" s="2"/>
      <c r="AA705" s="7">
        <f t="shared" si="39"/>
        <v>0</v>
      </c>
      <c r="AB705" s="7">
        <f t="shared" si="40"/>
        <v>0</v>
      </c>
      <c r="AC705" s="9"/>
      <c r="AD705" s="9"/>
      <c r="AE705" s="9" t="e">
        <f>IF(#REF!=#REF!,1,0)</f>
        <v>#REF!</v>
      </c>
      <c r="AF705" s="8"/>
      <c r="AG705" s="8"/>
      <c r="AH705" s="8"/>
      <c r="AI705" s="8"/>
    </row>
    <row r="706" spans="2:35" s="3" customFormat="1" x14ac:dyDescent="0.25">
      <c r="B706" s="4" t="e">
        <f>IF(AE706=0,"",1+(MAX(B$7:B705)))</f>
        <v>#REF!</v>
      </c>
      <c r="C706" s="51"/>
      <c r="D706" s="52"/>
      <c r="E706" s="53"/>
      <c r="F706" s="2"/>
      <c r="G706" s="2"/>
      <c r="H706" s="2"/>
      <c r="I706" s="2"/>
      <c r="J706" s="2"/>
      <c r="K706" s="2"/>
      <c r="L706" s="2"/>
      <c r="M706" s="2"/>
      <c r="N706" s="2"/>
      <c r="O706" s="7">
        <f t="shared" si="38"/>
        <v>0</v>
      </c>
      <c r="P706" s="2"/>
      <c r="Q706" s="2"/>
      <c r="R706" s="2"/>
      <c r="S706" s="2"/>
      <c r="T706" s="2"/>
      <c r="U706" s="2"/>
      <c r="V706" s="2"/>
      <c r="W706" s="2"/>
      <c r="X706" s="2"/>
      <c r="Y706" s="2"/>
      <c r="Z706" s="2"/>
      <c r="AA706" s="7">
        <f t="shared" si="39"/>
        <v>0</v>
      </c>
      <c r="AB706" s="7">
        <f t="shared" si="40"/>
        <v>0</v>
      </c>
      <c r="AC706" s="9"/>
      <c r="AD706" s="9"/>
      <c r="AE706" s="9" t="e">
        <f>IF(#REF!=#REF!,1,0)</f>
        <v>#REF!</v>
      </c>
      <c r="AF706" s="8"/>
      <c r="AG706" s="8"/>
      <c r="AH706" s="8"/>
      <c r="AI706" s="8"/>
    </row>
    <row r="707" spans="2:35" s="3" customFormat="1" x14ac:dyDescent="0.25">
      <c r="B707" s="4" t="e">
        <f>IF(AE707=0,"",1+(MAX(B$7:B706)))</f>
        <v>#REF!</v>
      </c>
      <c r="C707" s="51"/>
      <c r="D707" s="52"/>
      <c r="E707" s="53"/>
      <c r="F707" s="2"/>
      <c r="G707" s="2"/>
      <c r="H707" s="2"/>
      <c r="I707" s="2"/>
      <c r="J707" s="2"/>
      <c r="K707" s="2"/>
      <c r="L707" s="2"/>
      <c r="M707" s="2"/>
      <c r="N707" s="2"/>
      <c r="O707" s="7">
        <f t="shared" si="38"/>
        <v>0</v>
      </c>
      <c r="P707" s="2"/>
      <c r="Q707" s="2"/>
      <c r="R707" s="2"/>
      <c r="S707" s="2"/>
      <c r="T707" s="2"/>
      <c r="U707" s="2"/>
      <c r="V707" s="2"/>
      <c r="W707" s="2"/>
      <c r="X707" s="2"/>
      <c r="Y707" s="2"/>
      <c r="Z707" s="2"/>
      <c r="AA707" s="7">
        <f t="shared" si="39"/>
        <v>0</v>
      </c>
      <c r="AB707" s="7">
        <f t="shared" si="40"/>
        <v>0</v>
      </c>
      <c r="AC707" s="9"/>
      <c r="AD707" s="9"/>
      <c r="AE707" s="9" t="e">
        <f>IF(#REF!=#REF!,1,0)</f>
        <v>#REF!</v>
      </c>
      <c r="AF707" s="8"/>
      <c r="AG707" s="8"/>
      <c r="AH707" s="8"/>
      <c r="AI707" s="8"/>
    </row>
    <row r="708" spans="2:35" s="3" customFormat="1" x14ac:dyDescent="0.25">
      <c r="B708" s="4" t="e">
        <f>IF(AE708=0,"",1+(MAX(B$7:B707)))</f>
        <v>#REF!</v>
      </c>
      <c r="C708" s="51"/>
      <c r="D708" s="52"/>
      <c r="E708" s="53"/>
      <c r="F708" s="2"/>
      <c r="G708" s="2"/>
      <c r="H708" s="2"/>
      <c r="I708" s="2"/>
      <c r="J708" s="2"/>
      <c r="K708" s="2"/>
      <c r="L708" s="2"/>
      <c r="M708" s="2"/>
      <c r="N708" s="2"/>
      <c r="O708" s="7">
        <f t="shared" si="38"/>
        <v>0</v>
      </c>
      <c r="P708" s="2"/>
      <c r="Q708" s="2"/>
      <c r="R708" s="2"/>
      <c r="S708" s="2"/>
      <c r="T708" s="2"/>
      <c r="U708" s="2"/>
      <c r="V708" s="2"/>
      <c r="W708" s="2"/>
      <c r="X708" s="2"/>
      <c r="Y708" s="2"/>
      <c r="Z708" s="2"/>
      <c r="AA708" s="7">
        <f t="shared" si="39"/>
        <v>0</v>
      </c>
      <c r="AB708" s="7">
        <f t="shared" si="40"/>
        <v>0</v>
      </c>
      <c r="AC708" s="9"/>
      <c r="AD708" s="9"/>
      <c r="AE708" s="9" t="e">
        <f>IF(#REF!=#REF!,1,0)</f>
        <v>#REF!</v>
      </c>
      <c r="AF708" s="8"/>
      <c r="AG708" s="8"/>
      <c r="AH708" s="8"/>
      <c r="AI708" s="8"/>
    </row>
    <row r="709" spans="2:35" s="3" customFormat="1" x14ac:dyDescent="0.25">
      <c r="B709" s="4" t="e">
        <f>IF(AE709=0,"",1+(MAX(B$7:B708)))</f>
        <v>#REF!</v>
      </c>
      <c r="C709" s="51"/>
      <c r="D709" s="52"/>
      <c r="E709" s="53"/>
      <c r="F709" s="2"/>
      <c r="G709" s="2"/>
      <c r="H709" s="2"/>
      <c r="I709" s="2"/>
      <c r="J709" s="2"/>
      <c r="K709" s="2"/>
      <c r="L709" s="2"/>
      <c r="M709" s="2"/>
      <c r="N709" s="2"/>
      <c r="O709" s="7">
        <f t="shared" si="38"/>
        <v>0</v>
      </c>
      <c r="P709" s="2"/>
      <c r="Q709" s="2"/>
      <c r="R709" s="2"/>
      <c r="S709" s="2"/>
      <c r="T709" s="2"/>
      <c r="U709" s="2"/>
      <c r="V709" s="2"/>
      <c r="W709" s="2"/>
      <c r="X709" s="2"/>
      <c r="Y709" s="2"/>
      <c r="Z709" s="2"/>
      <c r="AA709" s="7">
        <f t="shared" si="39"/>
        <v>0</v>
      </c>
      <c r="AB709" s="7">
        <f t="shared" si="40"/>
        <v>0</v>
      </c>
      <c r="AC709" s="9"/>
      <c r="AD709" s="9"/>
      <c r="AE709" s="9" t="e">
        <f>IF(#REF!=#REF!,1,0)</f>
        <v>#REF!</v>
      </c>
      <c r="AF709" s="8"/>
      <c r="AG709" s="8"/>
      <c r="AH709" s="8"/>
      <c r="AI709" s="8"/>
    </row>
    <row r="710" spans="2:35" s="3" customFormat="1" x14ac:dyDescent="0.25">
      <c r="B710" s="4" t="e">
        <f>IF(AE710=0,"",1+(MAX(B$7:B709)))</f>
        <v>#REF!</v>
      </c>
      <c r="C710" s="51"/>
      <c r="D710" s="52"/>
      <c r="E710" s="53"/>
      <c r="F710" s="2"/>
      <c r="G710" s="2"/>
      <c r="H710" s="2"/>
      <c r="I710" s="2"/>
      <c r="J710" s="2"/>
      <c r="K710" s="2"/>
      <c r="L710" s="2"/>
      <c r="M710" s="2"/>
      <c r="N710" s="2"/>
      <c r="O710" s="7">
        <f t="shared" si="38"/>
        <v>0</v>
      </c>
      <c r="P710" s="2"/>
      <c r="Q710" s="2"/>
      <c r="R710" s="2"/>
      <c r="S710" s="2"/>
      <c r="T710" s="2"/>
      <c r="U710" s="2"/>
      <c r="V710" s="2"/>
      <c r="W710" s="2"/>
      <c r="X710" s="2"/>
      <c r="Y710" s="2"/>
      <c r="Z710" s="2"/>
      <c r="AA710" s="7">
        <f t="shared" si="39"/>
        <v>0</v>
      </c>
      <c r="AB710" s="7">
        <f t="shared" si="40"/>
        <v>0</v>
      </c>
      <c r="AC710" s="9"/>
      <c r="AD710" s="9"/>
      <c r="AE710" s="9" t="e">
        <f>IF(#REF!=#REF!,1,0)</f>
        <v>#REF!</v>
      </c>
      <c r="AF710" s="8"/>
      <c r="AG710" s="8"/>
      <c r="AH710" s="8"/>
      <c r="AI710" s="8"/>
    </row>
    <row r="711" spans="2:35" s="3" customFormat="1" x14ac:dyDescent="0.25">
      <c r="B711" s="4" t="e">
        <f>IF(AE711=0,"",1+(MAX(B$7:B710)))</f>
        <v>#REF!</v>
      </c>
      <c r="C711" s="51"/>
      <c r="D711" s="52"/>
      <c r="E711" s="53"/>
      <c r="F711" s="2"/>
      <c r="G711" s="2"/>
      <c r="H711" s="2"/>
      <c r="I711" s="2"/>
      <c r="J711" s="2"/>
      <c r="K711" s="2"/>
      <c r="L711" s="2"/>
      <c r="M711" s="2"/>
      <c r="N711" s="2"/>
      <c r="O711" s="7">
        <f t="shared" si="38"/>
        <v>0</v>
      </c>
      <c r="P711" s="2"/>
      <c r="Q711" s="2"/>
      <c r="R711" s="2"/>
      <c r="S711" s="2"/>
      <c r="T711" s="2"/>
      <c r="U711" s="2"/>
      <c r="V711" s="2"/>
      <c r="W711" s="2"/>
      <c r="X711" s="2"/>
      <c r="Y711" s="2"/>
      <c r="Z711" s="2"/>
      <c r="AA711" s="7">
        <f t="shared" si="39"/>
        <v>0</v>
      </c>
      <c r="AB711" s="7">
        <f t="shared" si="40"/>
        <v>0</v>
      </c>
      <c r="AC711" s="9"/>
      <c r="AD711" s="9"/>
      <c r="AE711" s="9" t="e">
        <f>IF(#REF!=#REF!,1,0)</f>
        <v>#REF!</v>
      </c>
      <c r="AF711" s="8"/>
      <c r="AG711" s="8"/>
      <c r="AH711" s="8"/>
      <c r="AI711" s="8"/>
    </row>
    <row r="712" spans="2:35" s="3" customFormat="1" x14ac:dyDescent="0.25">
      <c r="B712" s="4" t="e">
        <f>IF(AE712=0,"",1+(MAX(B$7:B711)))</f>
        <v>#REF!</v>
      </c>
      <c r="C712" s="51"/>
      <c r="D712" s="52"/>
      <c r="E712" s="53"/>
      <c r="F712" s="2"/>
      <c r="G712" s="2"/>
      <c r="H712" s="2"/>
      <c r="I712" s="2"/>
      <c r="J712" s="2"/>
      <c r="K712" s="2"/>
      <c r="L712" s="2"/>
      <c r="M712" s="2"/>
      <c r="N712" s="2"/>
      <c r="O712" s="7">
        <f t="shared" si="38"/>
        <v>0</v>
      </c>
      <c r="P712" s="2"/>
      <c r="Q712" s="2"/>
      <c r="R712" s="2"/>
      <c r="S712" s="2"/>
      <c r="T712" s="2"/>
      <c r="U712" s="2"/>
      <c r="V712" s="2"/>
      <c r="W712" s="2"/>
      <c r="X712" s="2"/>
      <c r="Y712" s="2"/>
      <c r="Z712" s="2"/>
      <c r="AA712" s="7">
        <f t="shared" si="39"/>
        <v>0</v>
      </c>
      <c r="AB712" s="7">
        <f t="shared" si="40"/>
        <v>0</v>
      </c>
      <c r="AC712" s="9"/>
      <c r="AD712" s="9"/>
      <c r="AE712" s="9" t="e">
        <f>IF(#REF!=#REF!,1,0)</f>
        <v>#REF!</v>
      </c>
      <c r="AF712" s="8"/>
      <c r="AG712" s="8"/>
      <c r="AH712" s="8"/>
      <c r="AI712" s="8"/>
    </row>
    <row r="713" spans="2:35" s="3" customFormat="1" x14ac:dyDescent="0.25">
      <c r="B713" s="4" t="e">
        <f>IF(AE713=0,"",1+(MAX(B$7:B712)))</f>
        <v>#REF!</v>
      </c>
      <c r="C713" s="51"/>
      <c r="D713" s="52"/>
      <c r="E713" s="53"/>
      <c r="F713" s="2"/>
      <c r="G713" s="2"/>
      <c r="H713" s="2"/>
      <c r="I713" s="2"/>
      <c r="J713" s="2"/>
      <c r="K713" s="2"/>
      <c r="L713" s="2"/>
      <c r="M713" s="2"/>
      <c r="N713" s="2"/>
      <c r="O713" s="7">
        <f t="shared" si="38"/>
        <v>0</v>
      </c>
      <c r="P713" s="2"/>
      <c r="Q713" s="2"/>
      <c r="R713" s="2"/>
      <c r="S713" s="2"/>
      <c r="T713" s="2"/>
      <c r="U713" s="2"/>
      <c r="V713" s="2"/>
      <c r="W713" s="2"/>
      <c r="X713" s="2"/>
      <c r="Y713" s="2"/>
      <c r="Z713" s="2"/>
      <c r="AA713" s="7">
        <f t="shared" si="39"/>
        <v>0</v>
      </c>
      <c r="AB713" s="7">
        <f t="shared" si="40"/>
        <v>0</v>
      </c>
      <c r="AC713" s="9"/>
      <c r="AD713" s="9"/>
      <c r="AE713" s="9" t="e">
        <f>IF(#REF!=#REF!,1,0)</f>
        <v>#REF!</v>
      </c>
      <c r="AF713" s="8"/>
      <c r="AG713" s="8"/>
      <c r="AH713" s="8"/>
      <c r="AI713" s="8"/>
    </row>
    <row r="714" spans="2:35" s="3" customFormat="1" x14ac:dyDescent="0.25">
      <c r="B714" s="4" t="e">
        <f>IF(AE714=0,"",1+(MAX(B$7:B713)))</f>
        <v>#REF!</v>
      </c>
      <c r="C714" s="51"/>
      <c r="D714" s="52"/>
      <c r="E714" s="53"/>
      <c r="F714" s="2"/>
      <c r="G714" s="2"/>
      <c r="H714" s="2"/>
      <c r="I714" s="2"/>
      <c r="J714" s="2"/>
      <c r="K714" s="2"/>
      <c r="L714" s="2"/>
      <c r="M714" s="2"/>
      <c r="N714" s="2"/>
      <c r="O714" s="7">
        <f t="shared" si="38"/>
        <v>0</v>
      </c>
      <c r="P714" s="2"/>
      <c r="Q714" s="2"/>
      <c r="R714" s="2"/>
      <c r="S714" s="2"/>
      <c r="T714" s="2"/>
      <c r="U714" s="2"/>
      <c r="V714" s="2"/>
      <c r="W714" s="2"/>
      <c r="X714" s="2"/>
      <c r="Y714" s="2"/>
      <c r="Z714" s="2"/>
      <c r="AA714" s="7">
        <f t="shared" si="39"/>
        <v>0</v>
      </c>
      <c r="AB714" s="7">
        <f t="shared" si="40"/>
        <v>0</v>
      </c>
      <c r="AC714" s="9"/>
      <c r="AD714" s="9"/>
      <c r="AE714" s="9" t="e">
        <f>IF(#REF!=#REF!,1,0)</f>
        <v>#REF!</v>
      </c>
      <c r="AF714" s="8"/>
      <c r="AG714" s="8"/>
      <c r="AH714" s="8"/>
      <c r="AI714" s="8"/>
    </row>
    <row r="715" spans="2:35" s="3" customFormat="1" x14ac:dyDescent="0.25">
      <c r="B715" s="4" t="e">
        <f>IF(AE715=0,"",1+(MAX(B$7:B714)))</f>
        <v>#REF!</v>
      </c>
      <c r="C715" s="51"/>
      <c r="D715" s="52"/>
      <c r="E715" s="53"/>
      <c r="F715" s="2"/>
      <c r="G715" s="2"/>
      <c r="H715" s="2"/>
      <c r="I715" s="2"/>
      <c r="J715" s="2"/>
      <c r="K715" s="2"/>
      <c r="L715" s="2"/>
      <c r="M715" s="2"/>
      <c r="N715" s="2"/>
      <c r="O715" s="7">
        <f t="shared" si="38"/>
        <v>0</v>
      </c>
      <c r="P715" s="2"/>
      <c r="Q715" s="2"/>
      <c r="R715" s="2"/>
      <c r="S715" s="2"/>
      <c r="T715" s="2"/>
      <c r="U715" s="2"/>
      <c r="V715" s="2"/>
      <c r="W715" s="2"/>
      <c r="X715" s="2"/>
      <c r="Y715" s="2"/>
      <c r="Z715" s="2"/>
      <c r="AA715" s="7">
        <f t="shared" si="39"/>
        <v>0</v>
      </c>
      <c r="AB715" s="7">
        <f t="shared" si="40"/>
        <v>0</v>
      </c>
      <c r="AC715" s="9"/>
      <c r="AD715" s="9"/>
      <c r="AE715" s="9" t="e">
        <f>IF(#REF!=#REF!,1,0)</f>
        <v>#REF!</v>
      </c>
      <c r="AF715" s="8"/>
      <c r="AG715" s="8"/>
      <c r="AH715" s="8"/>
      <c r="AI715" s="8"/>
    </row>
    <row r="716" spans="2:35" s="3" customFormat="1" x14ac:dyDescent="0.25">
      <c r="B716" s="4" t="e">
        <f>IF(AE716=0,"",1+(MAX(B$7:B715)))</f>
        <v>#REF!</v>
      </c>
      <c r="C716" s="51"/>
      <c r="D716" s="52"/>
      <c r="E716" s="53"/>
      <c r="F716" s="2"/>
      <c r="G716" s="2"/>
      <c r="H716" s="2"/>
      <c r="I716" s="2"/>
      <c r="J716" s="2"/>
      <c r="K716" s="2"/>
      <c r="L716" s="2"/>
      <c r="M716" s="2"/>
      <c r="N716" s="2"/>
      <c r="O716" s="7">
        <f t="shared" si="38"/>
        <v>0</v>
      </c>
      <c r="P716" s="2"/>
      <c r="Q716" s="2"/>
      <c r="R716" s="2"/>
      <c r="S716" s="2"/>
      <c r="T716" s="2"/>
      <c r="U716" s="2"/>
      <c r="V716" s="2"/>
      <c r="W716" s="2"/>
      <c r="X716" s="2"/>
      <c r="Y716" s="2"/>
      <c r="Z716" s="2"/>
      <c r="AA716" s="7">
        <f t="shared" si="39"/>
        <v>0</v>
      </c>
      <c r="AB716" s="7">
        <f t="shared" si="40"/>
        <v>0</v>
      </c>
      <c r="AC716" s="9"/>
      <c r="AD716" s="9"/>
      <c r="AE716" s="9" t="e">
        <f>IF(#REF!=#REF!,1,0)</f>
        <v>#REF!</v>
      </c>
      <c r="AF716" s="8"/>
      <c r="AG716" s="8"/>
      <c r="AH716" s="8"/>
      <c r="AI716" s="8"/>
    </row>
    <row r="717" spans="2:35" s="3" customFormat="1" x14ac:dyDescent="0.25">
      <c r="B717" s="4" t="e">
        <f>IF(AE717=0,"",1+(MAX(B$7:B716)))</f>
        <v>#REF!</v>
      </c>
      <c r="C717" s="51"/>
      <c r="D717" s="52"/>
      <c r="E717" s="53"/>
      <c r="F717" s="2"/>
      <c r="G717" s="2"/>
      <c r="H717" s="2"/>
      <c r="I717" s="2"/>
      <c r="J717" s="2"/>
      <c r="K717" s="2"/>
      <c r="L717" s="2"/>
      <c r="M717" s="2"/>
      <c r="N717" s="2"/>
      <c r="O717" s="7">
        <f t="shared" si="38"/>
        <v>0</v>
      </c>
      <c r="P717" s="2"/>
      <c r="Q717" s="2"/>
      <c r="R717" s="2"/>
      <c r="S717" s="2"/>
      <c r="T717" s="2"/>
      <c r="U717" s="2"/>
      <c r="V717" s="2"/>
      <c r="W717" s="2"/>
      <c r="X717" s="2"/>
      <c r="Y717" s="2"/>
      <c r="Z717" s="2"/>
      <c r="AA717" s="7">
        <f t="shared" si="39"/>
        <v>0</v>
      </c>
      <c r="AB717" s="7">
        <f t="shared" si="40"/>
        <v>0</v>
      </c>
      <c r="AC717" s="9"/>
      <c r="AD717" s="9"/>
      <c r="AE717" s="9" t="e">
        <f>IF(#REF!=#REF!,1,0)</f>
        <v>#REF!</v>
      </c>
      <c r="AF717" s="8"/>
      <c r="AG717" s="8"/>
      <c r="AH717" s="8"/>
      <c r="AI717" s="8"/>
    </row>
    <row r="718" spans="2:35" s="3" customFormat="1" x14ac:dyDescent="0.25">
      <c r="B718" s="4" t="e">
        <f>IF(AE718=0,"",1+(MAX(B$7:B717)))</f>
        <v>#REF!</v>
      </c>
      <c r="C718" s="51"/>
      <c r="D718" s="52"/>
      <c r="E718" s="53"/>
      <c r="F718" s="2"/>
      <c r="G718" s="2"/>
      <c r="H718" s="2"/>
      <c r="I718" s="2"/>
      <c r="J718" s="2"/>
      <c r="K718" s="2"/>
      <c r="L718" s="2"/>
      <c r="M718" s="2"/>
      <c r="N718" s="2"/>
      <c r="O718" s="7">
        <f t="shared" si="38"/>
        <v>0</v>
      </c>
      <c r="P718" s="2"/>
      <c r="Q718" s="2"/>
      <c r="R718" s="2"/>
      <c r="S718" s="2"/>
      <c r="T718" s="2"/>
      <c r="U718" s="2"/>
      <c r="V718" s="2"/>
      <c r="W718" s="2"/>
      <c r="X718" s="2"/>
      <c r="Y718" s="2"/>
      <c r="Z718" s="2"/>
      <c r="AA718" s="7">
        <f t="shared" si="39"/>
        <v>0</v>
      </c>
      <c r="AB718" s="7">
        <f t="shared" si="40"/>
        <v>0</v>
      </c>
      <c r="AC718" s="9"/>
      <c r="AD718" s="9"/>
      <c r="AE718" s="9" t="e">
        <f>IF(#REF!=#REF!,1,0)</f>
        <v>#REF!</v>
      </c>
      <c r="AF718" s="8"/>
      <c r="AG718" s="8"/>
      <c r="AH718" s="8"/>
      <c r="AI718" s="8"/>
    </row>
    <row r="719" spans="2:35" s="3" customFormat="1" x14ac:dyDescent="0.25">
      <c r="B719" s="4" t="e">
        <f>IF(AE719=0,"",1+(MAX(B$7:B718)))</f>
        <v>#REF!</v>
      </c>
      <c r="C719" s="51"/>
      <c r="D719" s="52"/>
      <c r="E719" s="53"/>
      <c r="F719" s="2"/>
      <c r="G719" s="2"/>
      <c r="H719" s="2"/>
      <c r="I719" s="2"/>
      <c r="J719" s="2"/>
      <c r="K719" s="2"/>
      <c r="L719" s="2"/>
      <c r="M719" s="2"/>
      <c r="N719" s="2"/>
      <c r="O719" s="7">
        <f t="shared" si="38"/>
        <v>0</v>
      </c>
      <c r="P719" s="2"/>
      <c r="Q719" s="2"/>
      <c r="R719" s="2"/>
      <c r="S719" s="2"/>
      <c r="T719" s="2"/>
      <c r="U719" s="2"/>
      <c r="V719" s="2"/>
      <c r="W719" s="2"/>
      <c r="X719" s="2"/>
      <c r="Y719" s="2"/>
      <c r="Z719" s="2"/>
      <c r="AA719" s="7">
        <f t="shared" si="39"/>
        <v>0</v>
      </c>
      <c r="AB719" s="7">
        <f t="shared" si="40"/>
        <v>0</v>
      </c>
      <c r="AC719" s="9"/>
      <c r="AD719" s="9"/>
      <c r="AE719" s="9" t="e">
        <f>IF(#REF!=#REF!,1,0)</f>
        <v>#REF!</v>
      </c>
      <c r="AF719" s="8"/>
      <c r="AG719" s="8"/>
      <c r="AH719" s="8"/>
      <c r="AI719" s="8"/>
    </row>
    <row r="720" spans="2:35" s="3" customFormat="1" x14ac:dyDescent="0.25">
      <c r="B720" s="4" t="e">
        <f>IF(AE720=0,"",1+(MAX(B$7:B719)))</f>
        <v>#REF!</v>
      </c>
      <c r="C720" s="51"/>
      <c r="D720" s="52"/>
      <c r="E720" s="53"/>
      <c r="F720" s="2"/>
      <c r="G720" s="2"/>
      <c r="H720" s="2"/>
      <c r="I720" s="2"/>
      <c r="J720" s="2"/>
      <c r="K720" s="2"/>
      <c r="L720" s="2"/>
      <c r="M720" s="2"/>
      <c r="N720" s="2"/>
      <c r="O720" s="7">
        <f t="shared" si="38"/>
        <v>0</v>
      </c>
      <c r="P720" s="2"/>
      <c r="Q720" s="2"/>
      <c r="R720" s="2"/>
      <c r="S720" s="2"/>
      <c r="T720" s="2"/>
      <c r="U720" s="2"/>
      <c r="V720" s="2"/>
      <c r="W720" s="2"/>
      <c r="X720" s="2"/>
      <c r="Y720" s="2"/>
      <c r="Z720" s="2"/>
      <c r="AA720" s="7">
        <f t="shared" si="39"/>
        <v>0</v>
      </c>
      <c r="AB720" s="7">
        <f t="shared" si="40"/>
        <v>0</v>
      </c>
      <c r="AC720" s="9"/>
      <c r="AD720" s="9"/>
      <c r="AE720" s="9" t="e">
        <f>IF(#REF!=#REF!,1,0)</f>
        <v>#REF!</v>
      </c>
      <c r="AF720" s="8"/>
      <c r="AG720" s="8"/>
      <c r="AH720" s="8"/>
      <c r="AI720" s="8"/>
    </row>
    <row r="721" spans="2:35" s="3" customFormat="1" x14ac:dyDescent="0.25">
      <c r="B721" s="4" t="e">
        <f>IF(AE721=0,"",1+(MAX(B$7:B720)))</f>
        <v>#REF!</v>
      </c>
      <c r="C721" s="51"/>
      <c r="D721" s="52"/>
      <c r="E721" s="53"/>
      <c r="F721" s="2"/>
      <c r="G721" s="2"/>
      <c r="H721" s="2"/>
      <c r="I721" s="2"/>
      <c r="J721" s="2"/>
      <c r="K721" s="2"/>
      <c r="L721" s="2"/>
      <c r="M721" s="2"/>
      <c r="N721" s="2"/>
      <c r="O721" s="7">
        <f t="shared" si="38"/>
        <v>0</v>
      </c>
      <c r="P721" s="2"/>
      <c r="Q721" s="2"/>
      <c r="R721" s="2"/>
      <c r="S721" s="2"/>
      <c r="T721" s="2"/>
      <c r="U721" s="2"/>
      <c r="V721" s="2"/>
      <c r="W721" s="2"/>
      <c r="X721" s="2"/>
      <c r="Y721" s="2"/>
      <c r="Z721" s="2"/>
      <c r="AA721" s="7">
        <f t="shared" si="39"/>
        <v>0</v>
      </c>
      <c r="AB721" s="7">
        <f t="shared" si="40"/>
        <v>0</v>
      </c>
      <c r="AC721" s="9"/>
      <c r="AD721" s="9"/>
      <c r="AE721" s="9" t="e">
        <f>IF(#REF!=#REF!,1,0)</f>
        <v>#REF!</v>
      </c>
      <c r="AF721" s="8"/>
      <c r="AG721" s="8"/>
      <c r="AH721" s="8"/>
      <c r="AI721" s="8"/>
    </row>
    <row r="722" spans="2:35" s="3" customFormat="1" x14ac:dyDescent="0.25">
      <c r="B722" s="4" t="e">
        <f>IF(AE722=0,"",1+(MAX(B$7:B721)))</f>
        <v>#REF!</v>
      </c>
      <c r="C722" s="51"/>
      <c r="D722" s="52"/>
      <c r="E722" s="53"/>
      <c r="F722" s="2"/>
      <c r="G722" s="2"/>
      <c r="H722" s="2"/>
      <c r="I722" s="2"/>
      <c r="J722" s="2"/>
      <c r="K722" s="2"/>
      <c r="L722" s="2"/>
      <c r="M722" s="2"/>
      <c r="N722" s="2"/>
      <c r="O722" s="7">
        <f t="shared" si="38"/>
        <v>0</v>
      </c>
      <c r="P722" s="2"/>
      <c r="Q722" s="2"/>
      <c r="R722" s="2"/>
      <c r="S722" s="2"/>
      <c r="T722" s="2"/>
      <c r="U722" s="2"/>
      <c r="V722" s="2"/>
      <c r="W722" s="2"/>
      <c r="X722" s="2"/>
      <c r="Y722" s="2"/>
      <c r="Z722" s="2"/>
      <c r="AA722" s="7">
        <f t="shared" si="39"/>
        <v>0</v>
      </c>
      <c r="AB722" s="7">
        <f t="shared" si="40"/>
        <v>0</v>
      </c>
      <c r="AC722" s="9"/>
      <c r="AD722" s="9"/>
      <c r="AE722" s="9" t="e">
        <f>IF(#REF!=#REF!,1,0)</f>
        <v>#REF!</v>
      </c>
      <c r="AF722" s="8"/>
      <c r="AG722" s="8"/>
      <c r="AH722" s="8"/>
      <c r="AI722" s="8"/>
    </row>
    <row r="723" spans="2:35" s="3" customFormat="1" x14ac:dyDescent="0.25">
      <c r="B723" s="4" t="e">
        <f>IF(AE723=0,"",1+(MAX(B$7:B722)))</f>
        <v>#REF!</v>
      </c>
      <c r="C723" s="51"/>
      <c r="D723" s="52"/>
      <c r="E723" s="53"/>
      <c r="F723" s="2"/>
      <c r="G723" s="2"/>
      <c r="H723" s="2"/>
      <c r="I723" s="2"/>
      <c r="J723" s="2"/>
      <c r="K723" s="2"/>
      <c r="L723" s="2"/>
      <c r="M723" s="2"/>
      <c r="N723" s="2"/>
      <c r="O723" s="7">
        <f t="shared" si="38"/>
        <v>0</v>
      </c>
      <c r="P723" s="2"/>
      <c r="Q723" s="2"/>
      <c r="R723" s="2"/>
      <c r="S723" s="2"/>
      <c r="T723" s="2"/>
      <c r="U723" s="2"/>
      <c r="V723" s="2"/>
      <c r="W723" s="2"/>
      <c r="X723" s="2"/>
      <c r="Y723" s="2"/>
      <c r="Z723" s="2"/>
      <c r="AA723" s="7">
        <f t="shared" si="39"/>
        <v>0</v>
      </c>
      <c r="AB723" s="7">
        <f t="shared" si="40"/>
        <v>0</v>
      </c>
      <c r="AC723" s="9"/>
      <c r="AD723" s="9"/>
      <c r="AE723" s="9" t="e">
        <f>IF(#REF!=#REF!,1,0)</f>
        <v>#REF!</v>
      </c>
      <c r="AF723" s="8"/>
      <c r="AG723" s="8"/>
      <c r="AH723" s="8"/>
      <c r="AI723" s="8"/>
    </row>
    <row r="724" spans="2:35" s="3" customFormat="1" x14ac:dyDescent="0.25">
      <c r="B724" s="4" t="e">
        <f>IF(AE724=0,"",1+(MAX(B$7:B723)))</f>
        <v>#REF!</v>
      </c>
      <c r="C724" s="51"/>
      <c r="D724" s="52"/>
      <c r="E724" s="53"/>
      <c r="F724" s="2"/>
      <c r="G724" s="2"/>
      <c r="H724" s="2"/>
      <c r="I724" s="2"/>
      <c r="J724" s="2"/>
      <c r="K724" s="2"/>
      <c r="L724" s="2"/>
      <c r="M724" s="2"/>
      <c r="N724" s="2"/>
      <c r="O724" s="7">
        <f t="shared" ref="O724:O787" si="41">SUM(F724:N724)</f>
        <v>0</v>
      </c>
      <c r="P724" s="2"/>
      <c r="Q724" s="2"/>
      <c r="R724" s="2"/>
      <c r="S724" s="2"/>
      <c r="T724" s="2"/>
      <c r="U724" s="2"/>
      <c r="V724" s="2"/>
      <c r="W724" s="2"/>
      <c r="X724" s="2"/>
      <c r="Y724" s="2"/>
      <c r="Z724" s="2"/>
      <c r="AA724" s="7">
        <f t="shared" si="39"/>
        <v>0</v>
      </c>
      <c r="AB724" s="7">
        <f t="shared" si="40"/>
        <v>0</v>
      </c>
      <c r="AC724" s="9"/>
      <c r="AD724" s="9"/>
      <c r="AE724" s="9" t="e">
        <f>IF(#REF!=#REF!,1,0)</f>
        <v>#REF!</v>
      </c>
      <c r="AF724" s="8"/>
      <c r="AG724" s="8"/>
      <c r="AH724" s="8"/>
      <c r="AI724" s="8"/>
    </row>
    <row r="725" spans="2:35" s="3" customFormat="1" x14ac:dyDescent="0.25">
      <c r="B725" s="4" t="e">
        <f>IF(AE725=0,"",1+(MAX(B$7:B724)))</f>
        <v>#REF!</v>
      </c>
      <c r="C725" s="51"/>
      <c r="D725" s="52"/>
      <c r="E725" s="53"/>
      <c r="F725" s="2"/>
      <c r="G725" s="2"/>
      <c r="H725" s="2"/>
      <c r="I725" s="2"/>
      <c r="J725" s="2"/>
      <c r="K725" s="2"/>
      <c r="L725" s="2"/>
      <c r="M725" s="2"/>
      <c r="N725" s="2"/>
      <c r="O725" s="7">
        <f t="shared" si="41"/>
        <v>0</v>
      </c>
      <c r="P725" s="2"/>
      <c r="Q725" s="2"/>
      <c r="R725" s="2"/>
      <c r="S725" s="2"/>
      <c r="T725" s="2"/>
      <c r="U725" s="2"/>
      <c r="V725" s="2"/>
      <c r="W725" s="2"/>
      <c r="X725" s="2"/>
      <c r="Y725" s="2"/>
      <c r="Z725" s="2"/>
      <c r="AA725" s="7">
        <f t="shared" si="39"/>
        <v>0</v>
      </c>
      <c r="AB725" s="7">
        <f t="shared" si="40"/>
        <v>0</v>
      </c>
      <c r="AC725" s="9"/>
      <c r="AD725" s="9"/>
      <c r="AE725" s="9" t="e">
        <f>IF(#REF!=#REF!,1,0)</f>
        <v>#REF!</v>
      </c>
      <c r="AF725" s="8"/>
      <c r="AG725" s="8"/>
      <c r="AH725" s="8"/>
      <c r="AI725" s="8"/>
    </row>
    <row r="726" spans="2:35" s="3" customFormat="1" x14ac:dyDescent="0.25">
      <c r="B726" s="4" t="e">
        <f>IF(AE726=0,"",1+(MAX(B$7:B725)))</f>
        <v>#REF!</v>
      </c>
      <c r="C726" s="51"/>
      <c r="D726" s="52"/>
      <c r="E726" s="53"/>
      <c r="F726" s="2"/>
      <c r="G726" s="2"/>
      <c r="H726" s="2"/>
      <c r="I726" s="2"/>
      <c r="J726" s="2"/>
      <c r="K726" s="2"/>
      <c r="L726" s="2"/>
      <c r="M726" s="2"/>
      <c r="N726" s="2"/>
      <c r="O726" s="7">
        <f t="shared" si="41"/>
        <v>0</v>
      </c>
      <c r="P726" s="2"/>
      <c r="Q726" s="2"/>
      <c r="R726" s="2"/>
      <c r="S726" s="2"/>
      <c r="T726" s="2"/>
      <c r="U726" s="2"/>
      <c r="V726" s="2"/>
      <c r="W726" s="2"/>
      <c r="X726" s="2"/>
      <c r="Y726" s="2"/>
      <c r="Z726" s="2"/>
      <c r="AA726" s="7">
        <f t="shared" si="39"/>
        <v>0</v>
      </c>
      <c r="AB726" s="7">
        <f t="shared" si="40"/>
        <v>0</v>
      </c>
      <c r="AC726" s="9"/>
      <c r="AD726" s="9"/>
      <c r="AE726" s="9" t="e">
        <f>IF(#REF!=#REF!,1,0)</f>
        <v>#REF!</v>
      </c>
      <c r="AF726" s="8"/>
      <c r="AG726" s="8"/>
      <c r="AH726" s="8"/>
      <c r="AI726" s="8"/>
    </row>
    <row r="727" spans="2:35" s="3" customFormat="1" x14ac:dyDescent="0.25">
      <c r="B727" s="4" t="e">
        <f>IF(AE727=0,"",1+(MAX(B$7:B726)))</f>
        <v>#REF!</v>
      </c>
      <c r="C727" s="51"/>
      <c r="D727" s="52"/>
      <c r="E727" s="53"/>
      <c r="F727" s="2"/>
      <c r="G727" s="2"/>
      <c r="H727" s="2"/>
      <c r="I727" s="2"/>
      <c r="J727" s="2"/>
      <c r="K727" s="2"/>
      <c r="L727" s="2"/>
      <c r="M727" s="2"/>
      <c r="N727" s="2"/>
      <c r="O727" s="7">
        <f t="shared" si="41"/>
        <v>0</v>
      </c>
      <c r="P727" s="2"/>
      <c r="Q727" s="2"/>
      <c r="R727" s="2"/>
      <c r="S727" s="2"/>
      <c r="T727" s="2"/>
      <c r="U727" s="2"/>
      <c r="V727" s="2"/>
      <c r="W727" s="2"/>
      <c r="X727" s="2"/>
      <c r="Y727" s="2"/>
      <c r="Z727" s="2"/>
      <c r="AA727" s="7">
        <f t="shared" si="39"/>
        <v>0</v>
      </c>
      <c r="AB727" s="7">
        <f t="shared" si="40"/>
        <v>0</v>
      </c>
      <c r="AC727" s="9"/>
      <c r="AD727" s="9"/>
      <c r="AE727" s="9" t="e">
        <f>IF(#REF!=#REF!,1,0)</f>
        <v>#REF!</v>
      </c>
      <c r="AF727" s="8"/>
      <c r="AG727" s="8"/>
      <c r="AH727" s="8"/>
      <c r="AI727" s="8"/>
    </row>
    <row r="728" spans="2:35" s="3" customFormat="1" x14ac:dyDescent="0.25">
      <c r="B728" s="4" t="e">
        <f>IF(AE728=0,"",1+(MAX(B$7:B727)))</f>
        <v>#REF!</v>
      </c>
      <c r="C728" s="51"/>
      <c r="D728" s="52"/>
      <c r="E728" s="53"/>
      <c r="F728" s="2"/>
      <c r="G728" s="2"/>
      <c r="H728" s="2"/>
      <c r="I728" s="2"/>
      <c r="J728" s="2"/>
      <c r="K728" s="2"/>
      <c r="L728" s="2"/>
      <c r="M728" s="2"/>
      <c r="N728" s="2"/>
      <c r="O728" s="7">
        <f t="shared" si="41"/>
        <v>0</v>
      </c>
      <c r="P728" s="2"/>
      <c r="Q728" s="2"/>
      <c r="R728" s="2"/>
      <c r="S728" s="2"/>
      <c r="T728" s="2"/>
      <c r="U728" s="2"/>
      <c r="V728" s="2"/>
      <c r="W728" s="2"/>
      <c r="X728" s="2"/>
      <c r="Y728" s="2"/>
      <c r="Z728" s="2"/>
      <c r="AA728" s="7">
        <f t="shared" si="39"/>
        <v>0</v>
      </c>
      <c r="AB728" s="7">
        <f t="shared" si="40"/>
        <v>0</v>
      </c>
      <c r="AC728" s="9"/>
      <c r="AD728" s="9"/>
      <c r="AE728" s="9" t="e">
        <f>IF(#REF!=#REF!,1,0)</f>
        <v>#REF!</v>
      </c>
      <c r="AF728" s="8"/>
      <c r="AG728" s="8"/>
      <c r="AH728" s="8"/>
      <c r="AI728" s="8"/>
    </row>
    <row r="729" spans="2:35" s="3" customFormat="1" x14ac:dyDescent="0.25">
      <c r="B729" s="4" t="e">
        <f>IF(AE729=0,"",1+(MAX(B$7:B728)))</f>
        <v>#REF!</v>
      </c>
      <c r="C729" s="51"/>
      <c r="D729" s="52"/>
      <c r="E729" s="53"/>
      <c r="F729" s="2"/>
      <c r="G729" s="2"/>
      <c r="H729" s="2"/>
      <c r="I729" s="2"/>
      <c r="J729" s="2"/>
      <c r="K729" s="2"/>
      <c r="L729" s="2"/>
      <c r="M729" s="2"/>
      <c r="N729" s="2"/>
      <c r="O729" s="7">
        <f t="shared" si="41"/>
        <v>0</v>
      </c>
      <c r="P729" s="2"/>
      <c r="Q729" s="2"/>
      <c r="R729" s="2"/>
      <c r="S729" s="2"/>
      <c r="T729" s="2"/>
      <c r="U729" s="2"/>
      <c r="V729" s="2"/>
      <c r="W729" s="2"/>
      <c r="X729" s="2"/>
      <c r="Y729" s="2"/>
      <c r="Z729" s="2"/>
      <c r="AA729" s="7">
        <f t="shared" si="39"/>
        <v>0</v>
      </c>
      <c r="AB729" s="7">
        <f t="shared" si="40"/>
        <v>0</v>
      </c>
      <c r="AC729" s="9"/>
      <c r="AD729" s="9"/>
      <c r="AE729" s="9" t="e">
        <f>IF(#REF!=#REF!,1,0)</f>
        <v>#REF!</v>
      </c>
      <c r="AF729" s="8"/>
      <c r="AG729" s="8"/>
      <c r="AH729" s="8"/>
      <c r="AI729" s="8"/>
    </row>
    <row r="730" spans="2:35" s="3" customFormat="1" x14ac:dyDescent="0.25">
      <c r="B730" s="4" t="e">
        <f>IF(AE730=0,"",1+(MAX(B$7:B729)))</f>
        <v>#REF!</v>
      </c>
      <c r="C730" s="51"/>
      <c r="D730" s="52"/>
      <c r="E730" s="53"/>
      <c r="F730" s="2"/>
      <c r="G730" s="2"/>
      <c r="H730" s="2"/>
      <c r="I730" s="2"/>
      <c r="J730" s="2"/>
      <c r="K730" s="2"/>
      <c r="L730" s="2"/>
      <c r="M730" s="2"/>
      <c r="N730" s="2"/>
      <c r="O730" s="7">
        <f t="shared" si="41"/>
        <v>0</v>
      </c>
      <c r="P730" s="2"/>
      <c r="Q730" s="2"/>
      <c r="R730" s="2"/>
      <c r="S730" s="2"/>
      <c r="T730" s="2"/>
      <c r="U730" s="2"/>
      <c r="V730" s="2"/>
      <c r="W730" s="2"/>
      <c r="X730" s="2"/>
      <c r="Y730" s="2"/>
      <c r="Z730" s="2"/>
      <c r="AA730" s="7">
        <f t="shared" si="39"/>
        <v>0</v>
      </c>
      <c r="AB730" s="7">
        <f t="shared" si="40"/>
        <v>0</v>
      </c>
      <c r="AC730" s="9"/>
      <c r="AD730" s="9"/>
      <c r="AE730" s="9" t="e">
        <f>IF(#REF!=#REF!,1,0)</f>
        <v>#REF!</v>
      </c>
      <c r="AF730" s="8"/>
      <c r="AG730" s="8"/>
      <c r="AH730" s="8"/>
      <c r="AI730" s="8"/>
    </row>
    <row r="731" spans="2:35" s="3" customFormat="1" x14ac:dyDescent="0.25">
      <c r="B731" s="4" t="e">
        <f>IF(AE731=0,"",1+(MAX(B$7:B730)))</f>
        <v>#REF!</v>
      </c>
      <c r="C731" s="51"/>
      <c r="D731" s="52"/>
      <c r="E731" s="53"/>
      <c r="F731" s="2"/>
      <c r="G731" s="2"/>
      <c r="H731" s="2"/>
      <c r="I731" s="2"/>
      <c r="J731" s="2"/>
      <c r="K731" s="2"/>
      <c r="L731" s="2"/>
      <c r="M731" s="2"/>
      <c r="N731" s="2"/>
      <c r="O731" s="7">
        <f t="shared" si="41"/>
        <v>0</v>
      </c>
      <c r="P731" s="2"/>
      <c r="Q731" s="2"/>
      <c r="R731" s="2"/>
      <c r="S731" s="2"/>
      <c r="T731" s="2"/>
      <c r="U731" s="2"/>
      <c r="V731" s="2"/>
      <c r="W731" s="2"/>
      <c r="X731" s="2"/>
      <c r="Y731" s="2"/>
      <c r="Z731" s="2"/>
      <c r="AA731" s="7">
        <f t="shared" ref="AA731:AA794" si="42">SUM(P731:Z731)</f>
        <v>0</v>
      </c>
      <c r="AB731" s="7">
        <f t="shared" ref="AB731:AB794" si="43">O731-AA731</f>
        <v>0</v>
      </c>
      <c r="AC731" s="9"/>
      <c r="AD731" s="9"/>
      <c r="AE731" s="9" t="e">
        <f>IF(#REF!=#REF!,1,0)</f>
        <v>#REF!</v>
      </c>
      <c r="AF731" s="8"/>
      <c r="AG731" s="8"/>
      <c r="AH731" s="8"/>
      <c r="AI731" s="8"/>
    </row>
    <row r="732" spans="2:35" s="3" customFormat="1" x14ac:dyDescent="0.25">
      <c r="B732" s="4" t="e">
        <f>IF(AE732=0,"",1+(MAX(B$7:B731)))</f>
        <v>#REF!</v>
      </c>
      <c r="C732" s="51"/>
      <c r="D732" s="52"/>
      <c r="E732" s="53"/>
      <c r="F732" s="2"/>
      <c r="G732" s="2"/>
      <c r="H732" s="2"/>
      <c r="I732" s="2"/>
      <c r="J732" s="2"/>
      <c r="K732" s="2"/>
      <c r="L732" s="2"/>
      <c r="M732" s="2"/>
      <c r="N732" s="2"/>
      <c r="O732" s="7">
        <f t="shared" si="41"/>
        <v>0</v>
      </c>
      <c r="P732" s="2"/>
      <c r="Q732" s="2"/>
      <c r="R732" s="2"/>
      <c r="S732" s="2"/>
      <c r="T732" s="2"/>
      <c r="U732" s="2"/>
      <c r="V732" s="2"/>
      <c r="W732" s="2"/>
      <c r="X732" s="2"/>
      <c r="Y732" s="2"/>
      <c r="Z732" s="2"/>
      <c r="AA732" s="7">
        <f t="shared" si="42"/>
        <v>0</v>
      </c>
      <c r="AB732" s="7">
        <f t="shared" si="43"/>
        <v>0</v>
      </c>
      <c r="AC732" s="9"/>
      <c r="AD732" s="9"/>
      <c r="AE732" s="9" t="e">
        <f>IF(#REF!=#REF!,1,0)</f>
        <v>#REF!</v>
      </c>
      <c r="AF732" s="8"/>
      <c r="AG732" s="8"/>
      <c r="AH732" s="8"/>
      <c r="AI732" s="8"/>
    </row>
    <row r="733" spans="2:35" s="3" customFormat="1" x14ac:dyDescent="0.25">
      <c r="B733" s="4" t="e">
        <f>IF(AE733=0,"",1+(MAX(B$7:B732)))</f>
        <v>#REF!</v>
      </c>
      <c r="C733" s="51"/>
      <c r="D733" s="52"/>
      <c r="E733" s="53"/>
      <c r="F733" s="2"/>
      <c r="G733" s="2"/>
      <c r="H733" s="2"/>
      <c r="I733" s="2"/>
      <c r="J733" s="2"/>
      <c r="K733" s="2"/>
      <c r="L733" s="2"/>
      <c r="M733" s="2"/>
      <c r="N733" s="2"/>
      <c r="O733" s="7">
        <f t="shared" si="41"/>
        <v>0</v>
      </c>
      <c r="P733" s="2"/>
      <c r="Q733" s="2"/>
      <c r="R733" s="2"/>
      <c r="S733" s="2"/>
      <c r="T733" s="2"/>
      <c r="U733" s="2"/>
      <c r="V733" s="2"/>
      <c r="W733" s="2"/>
      <c r="X733" s="2"/>
      <c r="Y733" s="2"/>
      <c r="Z733" s="2"/>
      <c r="AA733" s="7">
        <f t="shared" si="42"/>
        <v>0</v>
      </c>
      <c r="AB733" s="7">
        <f t="shared" si="43"/>
        <v>0</v>
      </c>
      <c r="AC733" s="9"/>
      <c r="AD733" s="9"/>
      <c r="AE733" s="9" t="e">
        <f>IF(#REF!=#REF!,1,0)</f>
        <v>#REF!</v>
      </c>
      <c r="AF733" s="8"/>
      <c r="AG733" s="8"/>
      <c r="AH733" s="8"/>
      <c r="AI733" s="8"/>
    </row>
    <row r="734" spans="2:35" s="3" customFormat="1" x14ac:dyDescent="0.25">
      <c r="B734" s="4" t="e">
        <f>IF(AE734=0,"",1+(MAX(B$7:B733)))</f>
        <v>#REF!</v>
      </c>
      <c r="C734" s="51"/>
      <c r="D734" s="52"/>
      <c r="E734" s="53"/>
      <c r="F734" s="2"/>
      <c r="G734" s="2"/>
      <c r="H734" s="2"/>
      <c r="I734" s="2"/>
      <c r="J734" s="2"/>
      <c r="K734" s="2"/>
      <c r="L734" s="2"/>
      <c r="M734" s="2"/>
      <c r="N734" s="2"/>
      <c r="O734" s="7">
        <f t="shared" si="41"/>
        <v>0</v>
      </c>
      <c r="P734" s="2"/>
      <c r="Q734" s="2"/>
      <c r="R734" s="2"/>
      <c r="S734" s="2"/>
      <c r="T734" s="2"/>
      <c r="U734" s="2"/>
      <c r="V734" s="2"/>
      <c r="W734" s="2"/>
      <c r="X734" s="2"/>
      <c r="Y734" s="2"/>
      <c r="Z734" s="2"/>
      <c r="AA734" s="7">
        <f t="shared" si="42"/>
        <v>0</v>
      </c>
      <c r="AB734" s="7">
        <f t="shared" si="43"/>
        <v>0</v>
      </c>
      <c r="AC734" s="9"/>
      <c r="AD734" s="9"/>
      <c r="AE734" s="9" t="e">
        <f>IF(#REF!=#REF!,1,0)</f>
        <v>#REF!</v>
      </c>
      <c r="AF734" s="8"/>
      <c r="AG734" s="8"/>
      <c r="AH734" s="8"/>
      <c r="AI734" s="8"/>
    </row>
    <row r="735" spans="2:35" s="3" customFormat="1" x14ac:dyDescent="0.25">
      <c r="B735" s="4" t="e">
        <f>IF(AE735=0,"",1+(MAX(B$7:B734)))</f>
        <v>#REF!</v>
      </c>
      <c r="C735" s="51"/>
      <c r="D735" s="52"/>
      <c r="E735" s="53"/>
      <c r="F735" s="2"/>
      <c r="G735" s="2"/>
      <c r="H735" s="2"/>
      <c r="I735" s="2"/>
      <c r="J735" s="2"/>
      <c r="K735" s="2"/>
      <c r="L735" s="2"/>
      <c r="M735" s="2"/>
      <c r="N735" s="2"/>
      <c r="O735" s="7">
        <f t="shared" si="41"/>
        <v>0</v>
      </c>
      <c r="P735" s="2"/>
      <c r="Q735" s="2"/>
      <c r="R735" s="2"/>
      <c r="S735" s="2"/>
      <c r="T735" s="2"/>
      <c r="U735" s="2"/>
      <c r="V735" s="2"/>
      <c r="W735" s="2"/>
      <c r="X735" s="2"/>
      <c r="Y735" s="2"/>
      <c r="Z735" s="2"/>
      <c r="AA735" s="7">
        <f t="shared" si="42"/>
        <v>0</v>
      </c>
      <c r="AB735" s="7">
        <f t="shared" si="43"/>
        <v>0</v>
      </c>
      <c r="AC735" s="9"/>
      <c r="AD735" s="9"/>
      <c r="AE735" s="9" t="e">
        <f>IF(#REF!=#REF!,1,0)</f>
        <v>#REF!</v>
      </c>
      <c r="AF735" s="8"/>
      <c r="AG735" s="8"/>
      <c r="AH735" s="8"/>
      <c r="AI735" s="8"/>
    </row>
    <row r="736" spans="2:35" s="3" customFormat="1" x14ac:dyDescent="0.25">
      <c r="B736" s="4" t="e">
        <f>IF(AE736=0,"",1+(MAX(B$7:B735)))</f>
        <v>#REF!</v>
      </c>
      <c r="C736" s="51"/>
      <c r="D736" s="52"/>
      <c r="E736" s="53"/>
      <c r="F736" s="2"/>
      <c r="G736" s="2"/>
      <c r="H736" s="2"/>
      <c r="I736" s="2"/>
      <c r="J736" s="2"/>
      <c r="K736" s="2"/>
      <c r="L736" s="2"/>
      <c r="M736" s="2"/>
      <c r="N736" s="2"/>
      <c r="O736" s="7">
        <f t="shared" si="41"/>
        <v>0</v>
      </c>
      <c r="P736" s="2"/>
      <c r="Q736" s="2"/>
      <c r="R736" s="2"/>
      <c r="S736" s="2"/>
      <c r="T736" s="2"/>
      <c r="U736" s="2"/>
      <c r="V736" s="2"/>
      <c r="W736" s="2"/>
      <c r="X736" s="2"/>
      <c r="Y736" s="2"/>
      <c r="Z736" s="2"/>
      <c r="AA736" s="7">
        <f t="shared" si="42"/>
        <v>0</v>
      </c>
      <c r="AB736" s="7">
        <f t="shared" si="43"/>
        <v>0</v>
      </c>
      <c r="AC736" s="9"/>
      <c r="AD736" s="9"/>
      <c r="AE736" s="9" t="e">
        <f>IF(#REF!=#REF!,1,0)</f>
        <v>#REF!</v>
      </c>
      <c r="AF736" s="8"/>
      <c r="AG736" s="8"/>
      <c r="AH736" s="8"/>
      <c r="AI736" s="8"/>
    </row>
    <row r="737" spans="2:35" s="3" customFormat="1" x14ac:dyDescent="0.25">
      <c r="B737" s="4" t="e">
        <f>IF(AE737=0,"",1+(MAX(B$7:B736)))</f>
        <v>#REF!</v>
      </c>
      <c r="C737" s="51"/>
      <c r="D737" s="52"/>
      <c r="E737" s="53"/>
      <c r="F737" s="2"/>
      <c r="G737" s="2"/>
      <c r="H737" s="2"/>
      <c r="I737" s="2"/>
      <c r="J737" s="2"/>
      <c r="K737" s="2"/>
      <c r="L737" s="2"/>
      <c r="M737" s="2"/>
      <c r="N737" s="2"/>
      <c r="O737" s="7">
        <f t="shared" si="41"/>
        <v>0</v>
      </c>
      <c r="P737" s="2"/>
      <c r="Q737" s="2"/>
      <c r="R737" s="2"/>
      <c r="S737" s="2"/>
      <c r="T737" s="2"/>
      <c r="U737" s="2"/>
      <c r="V737" s="2"/>
      <c r="W737" s="2"/>
      <c r="X737" s="2"/>
      <c r="Y737" s="2"/>
      <c r="Z737" s="2"/>
      <c r="AA737" s="7">
        <f t="shared" si="42"/>
        <v>0</v>
      </c>
      <c r="AB737" s="7">
        <f t="shared" si="43"/>
        <v>0</v>
      </c>
      <c r="AC737" s="9"/>
      <c r="AD737" s="9"/>
      <c r="AE737" s="9" t="e">
        <f>IF(#REF!=#REF!,1,0)</f>
        <v>#REF!</v>
      </c>
      <c r="AF737" s="8"/>
      <c r="AG737" s="8"/>
      <c r="AH737" s="8"/>
      <c r="AI737" s="8"/>
    </row>
    <row r="738" spans="2:35" s="3" customFormat="1" x14ac:dyDescent="0.25">
      <c r="B738" s="4" t="e">
        <f>IF(AE738=0,"",1+(MAX(B$7:B737)))</f>
        <v>#REF!</v>
      </c>
      <c r="C738" s="51"/>
      <c r="D738" s="52"/>
      <c r="E738" s="53"/>
      <c r="F738" s="2"/>
      <c r="G738" s="2"/>
      <c r="H738" s="2"/>
      <c r="I738" s="2"/>
      <c r="J738" s="2"/>
      <c r="K738" s="2"/>
      <c r="L738" s="2"/>
      <c r="M738" s="2"/>
      <c r="N738" s="2"/>
      <c r="O738" s="7">
        <f t="shared" si="41"/>
        <v>0</v>
      </c>
      <c r="P738" s="2"/>
      <c r="Q738" s="2"/>
      <c r="R738" s="2"/>
      <c r="S738" s="2"/>
      <c r="T738" s="2"/>
      <c r="U738" s="2"/>
      <c r="V738" s="2"/>
      <c r="W738" s="2"/>
      <c r="X738" s="2"/>
      <c r="Y738" s="2"/>
      <c r="Z738" s="2"/>
      <c r="AA738" s="7">
        <f t="shared" si="42"/>
        <v>0</v>
      </c>
      <c r="AB738" s="7">
        <f t="shared" si="43"/>
        <v>0</v>
      </c>
      <c r="AC738" s="9"/>
      <c r="AD738" s="9"/>
      <c r="AE738" s="9" t="e">
        <f>IF(#REF!=#REF!,1,0)</f>
        <v>#REF!</v>
      </c>
      <c r="AF738" s="8"/>
      <c r="AG738" s="8"/>
      <c r="AH738" s="8"/>
      <c r="AI738" s="8"/>
    </row>
    <row r="739" spans="2:35" s="3" customFormat="1" x14ac:dyDescent="0.25">
      <c r="B739" s="4" t="e">
        <f>IF(AE739=0,"",1+(MAX(B$7:B738)))</f>
        <v>#REF!</v>
      </c>
      <c r="C739" s="51"/>
      <c r="D739" s="52"/>
      <c r="E739" s="53"/>
      <c r="F739" s="2"/>
      <c r="G739" s="2"/>
      <c r="H739" s="2"/>
      <c r="I739" s="2"/>
      <c r="J739" s="2"/>
      <c r="K739" s="2"/>
      <c r="L739" s="2"/>
      <c r="M739" s="2"/>
      <c r="N739" s="2"/>
      <c r="O739" s="7">
        <f t="shared" si="41"/>
        <v>0</v>
      </c>
      <c r="P739" s="2"/>
      <c r="Q739" s="2"/>
      <c r="R739" s="2"/>
      <c r="S739" s="2"/>
      <c r="T739" s="2"/>
      <c r="U739" s="2"/>
      <c r="V739" s="2"/>
      <c r="W739" s="2"/>
      <c r="X739" s="2"/>
      <c r="Y739" s="2"/>
      <c r="Z739" s="2"/>
      <c r="AA739" s="7">
        <f t="shared" si="42"/>
        <v>0</v>
      </c>
      <c r="AB739" s="7">
        <f t="shared" si="43"/>
        <v>0</v>
      </c>
      <c r="AC739" s="9"/>
      <c r="AD739" s="9"/>
      <c r="AE739" s="9" t="e">
        <f>IF(#REF!=#REF!,1,0)</f>
        <v>#REF!</v>
      </c>
      <c r="AF739" s="8"/>
      <c r="AG739" s="8"/>
      <c r="AH739" s="8"/>
      <c r="AI739" s="8"/>
    </row>
    <row r="740" spans="2:35" s="3" customFormat="1" x14ac:dyDescent="0.25">
      <c r="B740" s="4" t="e">
        <f>IF(AE740=0,"",1+(MAX(B$7:B739)))</f>
        <v>#REF!</v>
      </c>
      <c r="C740" s="51"/>
      <c r="D740" s="52"/>
      <c r="E740" s="53"/>
      <c r="F740" s="2"/>
      <c r="G740" s="2"/>
      <c r="H740" s="2"/>
      <c r="I740" s="2"/>
      <c r="J740" s="2"/>
      <c r="K740" s="2"/>
      <c r="L740" s="2"/>
      <c r="M740" s="2"/>
      <c r="N740" s="2"/>
      <c r="O740" s="7">
        <f t="shared" si="41"/>
        <v>0</v>
      </c>
      <c r="P740" s="2"/>
      <c r="Q740" s="2"/>
      <c r="R740" s="2"/>
      <c r="S740" s="2"/>
      <c r="T740" s="2"/>
      <c r="U740" s="2"/>
      <c r="V740" s="2"/>
      <c r="W740" s="2"/>
      <c r="X740" s="2"/>
      <c r="Y740" s="2"/>
      <c r="Z740" s="2"/>
      <c r="AA740" s="7">
        <f t="shared" si="42"/>
        <v>0</v>
      </c>
      <c r="AB740" s="7">
        <f t="shared" si="43"/>
        <v>0</v>
      </c>
      <c r="AC740" s="9"/>
      <c r="AD740" s="9"/>
      <c r="AE740" s="9" t="e">
        <f>IF(#REF!=#REF!,1,0)</f>
        <v>#REF!</v>
      </c>
      <c r="AF740" s="8"/>
      <c r="AG740" s="8"/>
      <c r="AH740" s="8"/>
      <c r="AI740" s="8"/>
    </row>
    <row r="741" spans="2:35" s="3" customFormat="1" x14ac:dyDescent="0.25">
      <c r="B741" s="4" t="e">
        <f>IF(AE741=0,"",1+(MAX(B$7:B740)))</f>
        <v>#REF!</v>
      </c>
      <c r="C741" s="51"/>
      <c r="D741" s="52"/>
      <c r="E741" s="53"/>
      <c r="F741" s="2"/>
      <c r="G741" s="2"/>
      <c r="H741" s="2"/>
      <c r="I741" s="2"/>
      <c r="J741" s="2"/>
      <c r="K741" s="2"/>
      <c r="L741" s="2"/>
      <c r="M741" s="2"/>
      <c r="N741" s="2"/>
      <c r="O741" s="7">
        <f t="shared" si="41"/>
        <v>0</v>
      </c>
      <c r="P741" s="2"/>
      <c r="Q741" s="2"/>
      <c r="R741" s="2"/>
      <c r="S741" s="2"/>
      <c r="T741" s="2"/>
      <c r="U741" s="2"/>
      <c r="V741" s="2"/>
      <c r="W741" s="2"/>
      <c r="X741" s="2"/>
      <c r="Y741" s="2"/>
      <c r="Z741" s="2"/>
      <c r="AA741" s="7">
        <f t="shared" si="42"/>
        <v>0</v>
      </c>
      <c r="AB741" s="7">
        <f t="shared" si="43"/>
        <v>0</v>
      </c>
      <c r="AC741" s="9"/>
      <c r="AD741" s="9"/>
      <c r="AE741" s="9" t="e">
        <f>IF(#REF!=#REF!,1,0)</f>
        <v>#REF!</v>
      </c>
      <c r="AF741" s="8"/>
      <c r="AG741" s="8"/>
      <c r="AH741" s="8"/>
      <c r="AI741" s="8"/>
    </row>
    <row r="742" spans="2:35" s="3" customFormat="1" x14ac:dyDescent="0.25">
      <c r="B742" s="4" t="e">
        <f>IF(AE742=0,"",1+(MAX(B$7:B741)))</f>
        <v>#REF!</v>
      </c>
      <c r="C742" s="51"/>
      <c r="D742" s="52"/>
      <c r="E742" s="53"/>
      <c r="F742" s="2"/>
      <c r="G742" s="2"/>
      <c r="H742" s="2"/>
      <c r="I742" s="2"/>
      <c r="J742" s="2"/>
      <c r="K742" s="2"/>
      <c r="L742" s="2"/>
      <c r="M742" s="2"/>
      <c r="N742" s="2"/>
      <c r="O742" s="7">
        <f t="shared" si="41"/>
        <v>0</v>
      </c>
      <c r="P742" s="2"/>
      <c r="Q742" s="2"/>
      <c r="R742" s="2"/>
      <c r="S742" s="2"/>
      <c r="T742" s="2"/>
      <c r="U742" s="2"/>
      <c r="V742" s="2"/>
      <c r="W742" s="2"/>
      <c r="X742" s="2"/>
      <c r="Y742" s="2"/>
      <c r="Z742" s="2"/>
      <c r="AA742" s="7">
        <f t="shared" si="42"/>
        <v>0</v>
      </c>
      <c r="AB742" s="7">
        <f t="shared" si="43"/>
        <v>0</v>
      </c>
      <c r="AC742" s="9"/>
      <c r="AD742" s="9"/>
      <c r="AE742" s="9" t="e">
        <f>IF(#REF!=#REF!,1,0)</f>
        <v>#REF!</v>
      </c>
      <c r="AF742" s="8"/>
      <c r="AG742" s="8"/>
      <c r="AH742" s="8"/>
      <c r="AI742" s="8"/>
    </row>
    <row r="743" spans="2:35" s="3" customFormat="1" x14ac:dyDescent="0.25">
      <c r="B743" s="4" t="e">
        <f>IF(AE743=0,"",1+(MAX(B$7:B742)))</f>
        <v>#REF!</v>
      </c>
      <c r="C743" s="51"/>
      <c r="D743" s="52"/>
      <c r="E743" s="53"/>
      <c r="F743" s="2"/>
      <c r="G743" s="2"/>
      <c r="H743" s="2"/>
      <c r="I743" s="2"/>
      <c r="J743" s="2"/>
      <c r="K743" s="2"/>
      <c r="L743" s="2"/>
      <c r="M743" s="2"/>
      <c r="N743" s="2"/>
      <c r="O743" s="7">
        <f t="shared" si="41"/>
        <v>0</v>
      </c>
      <c r="P743" s="2"/>
      <c r="Q743" s="2"/>
      <c r="R743" s="2"/>
      <c r="S743" s="2"/>
      <c r="T743" s="2"/>
      <c r="U743" s="2"/>
      <c r="V743" s="2"/>
      <c r="W743" s="2"/>
      <c r="X743" s="2"/>
      <c r="Y743" s="2"/>
      <c r="Z743" s="2"/>
      <c r="AA743" s="7">
        <f t="shared" si="42"/>
        <v>0</v>
      </c>
      <c r="AB743" s="7">
        <f t="shared" si="43"/>
        <v>0</v>
      </c>
      <c r="AC743" s="9"/>
      <c r="AD743" s="9"/>
      <c r="AE743" s="9" t="e">
        <f>IF(#REF!=#REF!,1,0)</f>
        <v>#REF!</v>
      </c>
      <c r="AF743" s="8"/>
      <c r="AG743" s="8"/>
      <c r="AH743" s="8"/>
      <c r="AI743" s="8"/>
    </row>
    <row r="744" spans="2:35" s="3" customFormat="1" x14ac:dyDescent="0.25">
      <c r="B744" s="4" t="e">
        <f>IF(AE744=0,"",1+(MAX(B$7:B743)))</f>
        <v>#REF!</v>
      </c>
      <c r="C744" s="51"/>
      <c r="D744" s="52"/>
      <c r="E744" s="53"/>
      <c r="F744" s="2"/>
      <c r="G744" s="2"/>
      <c r="H744" s="2"/>
      <c r="I744" s="2"/>
      <c r="J744" s="2"/>
      <c r="K744" s="2"/>
      <c r="L744" s="2"/>
      <c r="M744" s="2"/>
      <c r="N744" s="2"/>
      <c r="O744" s="7">
        <f t="shared" si="41"/>
        <v>0</v>
      </c>
      <c r="P744" s="2"/>
      <c r="Q744" s="2"/>
      <c r="R744" s="2"/>
      <c r="S744" s="2"/>
      <c r="T744" s="2"/>
      <c r="U744" s="2"/>
      <c r="V744" s="2"/>
      <c r="W744" s="2"/>
      <c r="X744" s="2"/>
      <c r="Y744" s="2"/>
      <c r="Z744" s="2"/>
      <c r="AA744" s="7">
        <f t="shared" si="42"/>
        <v>0</v>
      </c>
      <c r="AB744" s="7">
        <f t="shared" si="43"/>
        <v>0</v>
      </c>
      <c r="AC744" s="9"/>
      <c r="AD744" s="9"/>
      <c r="AE744" s="9" t="e">
        <f>IF(#REF!=#REF!,1,0)</f>
        <v>#REF!</v>
      </c>
      <c r="AF744" s="8"/>
      <c r="AG744" s="8"/>
      <c r="AH744" s="8"/>
      <c r="AI744" s="8"/>
    </row>
    <row r="745" spans="2:35" s="3" customFormat="1" x14ac:dyDescent="0.25">
      <c r="B745" s="4" t="e">
        <f>IF(AE745=0,"",1+(MAX(B$7:B744)))</f>
        <v>#REF!</v>
      </c>
      <c r="C745" s="51"/>
      <c r="D745" s="52"/>
      <c r="E745" s="53"/>
      <c r="F745" s="2"/>
      <c r="G745" s="2"/>
      <c r="H745" s="2"/>
      <c r="I745" s="2"/>
      <c r="J745" s="2"/>
      <c r="K745" s="2"/>
      <c r="L745" s="2"/>
      <c r="M745" s="2"/>
      <c r="N745" s="2"/>
      <c r="O745" s="7">
        <f t="shared" si="41"/>
        <v>0</v>
      </c>
      <c r="P745" s="2"/>
      <c r="Q745" s="2"/>
      <c r="R745" s="2"/>
      <c r="S745" s="2"/>
      <c r="T745" s="2"/>
      <c r="U745" s="2"/>
      <c r="V745" s="2"/>
      <c r="W745" s="2"/>
      <c r="X745" s="2"/>
      <c r="Y745" s="2"/>
      <c r="Z745" s="2"/>
      <c r="AA745" s="7">
        <f t="shared" si="42"/>
        <v>0</v>
      </c>
      <c r="AB745" s="7">
        <f t="shared" si="43"/>
        <v>0</v>
      </c>
      <c r="AC745" s="9"/>
      <c r="AD745" s="9"/>
      <c r="AE745" s="9" t="e">
        <f>IF(#REF!=#REF!,1,0)</f>
        <v>#REF!</v>
      </c>
      <c r="AF745" s="8"/>
      <c r="AG745" s="8"/>
      <c r="AH745" s="8"/>
      <c r="AI745" s="8"/>
    </row>
    <row r="746" spans="2:35" s="3" customFormat="1" x14ac:dyDescent="0.25">
      <c r="B746" s="4" t="e">
        <f>IF(AE746=0,"",1+(MAX(B$7:B745)))</f>
        <v>#REF!</v>
      </c>
      <c r="C746" s="51"/>
      <c r="D746" s="52"/>
      <c r="E746" s="53"/>
      <c r="F746" s="2"/>
      <c r="G746" s="2"/>
      <c r="H746" s="2"/>
      <c r="I746" s="2"/>
      <c r="J746" s="2"/>
      <c r="K746" s="2"/>
      <c r="L746" s="2"/>
      <c r="M746" s="2"/>
      <c r="N746" s="2"/>
      <c r="O746" s="7">
        <f t="shared" si="41"/>
        <v>0</v>
      </c>
      <c r="P746" s="2"/>
      <c r="Q746" s="2"/>
      <c r="R746" s="2"/>
      <c r="S746" s="2"/>
      <c r="T746" s="2"/>
      <c r="U746" s="2"/>
      <c r="V746" s="2"/>
      <c r="W746" s="2"/>
      <c r="X746" s="2"/>
      <c r="Y746" s="2"/>
      <c r="Z746" s="2"/>
      <c r="AA746" s="7">
        <f t="shared" si="42"/>
        <v>0</v>
      </c>
      <c r="AB746" s="7">
        <f t="shared" si="43"/>
        <v>0</v>
      </c>
      <c r="AC746" s="9"/>
      <c r="AD746" s="9"/>
      <c r="AE746" s="9" t="e">
        <f>IF(#REF!=#REF!,1,0)</f>
        <v>#REF!</v>
      </c>
      <c r="AF746" s="8"/>
      <c r="AG746" s="8"/>
      <c r="AH746" s="8"/>
      <c r="AI746" s="8"/>
    </row>
    <row r="747" spans="2:35" s="3" customFormat="1" x14ac:dyDescent="0.25">
      <c r="B747" s="4" t="e">
        <f>IF(AE747=0,"",1+(MAX(B$7:B746)))</f>
        <v>#REF!</v>
      </c>
      <c r="C747" s="51"/>
      <c r="D747" s="52"/>
      <c r="E747" s="53"/>
      <c r="F747" s="2"/>
      <c r="G747" s="2"/>
      <c r="H747" s="2"/>
      <c r="I747" s="2"/>
      <c r="J747" s="2"/>
      <c r="K747" s="2"/>
      <c r="L747" s="2"/>
      <c r="M747" s="2"/>
      <c r="N747" s="2"/>
      <c r="O747" s="7">
        <f t="shared" si="41"/>
        <v>0</v>
      </c>
      <c r="P747" s="2"/>
      <c r="Q747" s="2"/>
      <c r="R747" s="2"/>
      <c r="S747" s="2"/>
      <c r="T747" s="2"/>
      <c r="U747" s="2"/>
      <c r="V747" s="2"/>
      <c r="W747" s="2"/>
      <c r="X747" s="2"/>
      <c r="Y747" s="2"/>
      <c r="Z747" s="2"/>
      <c r="AA747" s="7">
        <f t="shared" si="42"/>
        <v>0</v>
      </c>
      <c r="AB747" s="7">
        <f t="shared" si="43"/>
        <v>0</v>
      </c>
      <c r="AC747" s="9"/>
      <c r="AD747" s="9"/>
      <c r="AE747" s="9" t="e">
        <f>IF(#REF!=#REF!,1,0)</f>
        <v>#REF!</v>
      </c>
      <c r="AF747" s="8"/>
      <c r="AG747" s="8"/>
      <c r="AH747" s="8"/>
      <c r="AI747" s="8"/>
    </row>
    <row r="748" spans="2:35" s="3" customFormat="1" x14ac:dyDescent="0.25">
      <c r="B748" s="4" t="e">
        <f>IF(AE748=0,"",1+(MAX(B$7:B747)))</f>
        <v>#REF!</v>
      </c>
      <c r="C748" s="51"/>
      <c r="D748" s="52"/>
      <c r="E748" s="53"/>
      <c r="F748" s="2"/>
      <c r="G748" s="2"/>
      <c r="H748" s="2"/>
      <c r="I748" s="2"/>
      <c r="J748" s="2"/>
      <c r="K748" s="2"/>
      <c r="L748" s="2"/>
      <c r="M748" s="2"/>
      <c r="N748" s="2"/>
      <c r="O748" s="7">
        <f t="shared" si="41"/>
        <v>0</v>
      </c>
      <c r="P748" s="2"/>
      <c r="Q748" s="2"/>
      <c r="R748" s="2"/>
      <c r="S748" s="2"/>
      <c r="T748" s="2"/>
      <c r="U748" s="2"/>
      <c r="V748" s="2"/>
      <c r="W748" s="2"/>
      <c r="X748" s="2"/>
      <c r="Y748" s="2"/>
      <c r="Z748" s="2"/>
      <c r="AA748" s="7">
        <f t="shared" si="42"/>
        <v>0</v>
      </c>
      <c r="AB748" s="7">
        <f t="shared" si="43"/>
        <v>0</v>
      </c>
      <c r="AC748" s="9"/>
      <c r="AD748" s="9"/>
      <c r="AE748" s="9" t="e">
        <f>IF(#REF!=#REF!,1,0)</f>
        <v>#REF!</v>
      </c>
      <c r="AF748" s="8"/>
      <c r="AG748" s="8"/>
      <c r="AH748" s="8"/>
      <c r="AI748" s="8"/>
    </row>
    <row r="749" spans="2:35" s="3" customFormat="1" x14ac:dyDescent="0.25">
      <c r="B749" s="4" t="e">
        <f>IF(AE749=0,"",1+(MAX(B$7:B748)))</f>
        <v>#REF!</v>
      </c>
      <c r="C749" s="51"/>
      <c r="D749" s="52"/>
      <c r="E749" s="53"/>
      <c r="F749" s="2"/>
      <c r="G749" s="2"/>
      <c r="H749" s="2"/>
      <c r="I749" s="2"/>
      <c r="J749" s="2"/>
      <c r="K749" s="2"/>
      <c r="L749" s="2"/>
      <c r="M749" s="2"/>
      <c r="N749" s="2"/>
      <c r="O749" s="7">
        <f t="shared" si="41"/>
        <v>0</v>
      </c>
      <c r="P749" s="2"/>
      <c r="Q749" s="2"/>
      <c r="R749" s="2"/>
      <c r="S749" s="2"/>
      <c r="T749" s="2"/>
      <c r="U749" s="2"/>
      <c r="V749" s="2"/>
      <c r="W749" s="2"/>
      <c r="X749" s="2"/>
      <c r="Y749" s="2"/>
      <c r="Z749" s="2"/>
      <c r="AA749" s="7">
        <f t="shared" si="42"/>
        <v>0</v>
      </c>
      <c r="AB749" s="7">
        <f t="shared" si="43"/>
        <v>0</v>
      </c>
      <c r="AC749" s="9"/>
      <c r="AD749" s="9"/>
      <c r="AE749" s="9" t="e">
        <f>IF(#REF!=#REF!,1,0)</f>
        <v>#REF!</v>
      </c>
      <c r="AF749" s="8"/>
      <c r="AG749" s="8"/>
      <c r="AH749" s="8"/>
      <c r="AI749" s="8"/>
    </row>
    <row r="750" spans="2:35" s="3" customFormat="1" x14ac:dyDescent="0.25">
      <c r="B750" s="4" t="e">
        <f>IF(AE750=0,"",1+(MAX(B$7:B749)))</f>
        <v>#REF!</v>
      </c>
      <c r="C750" s="51"/>
      <c r="D750" s="52"/>
      <c r="E750" s="53"/>
      <c r="F750" s="2"/>
      <c r="G750" s="2"/>
      <c r="H750" s="2"/>
      <c r="I750" s="2"/>
      <c r="J750" s="2"/>
      <c r="K750" s="2"/>
      <c r="L750" s="2"/>
      <c r="M750" s="2"/>
      <c r="N750" s="2"/>
      <c r="O750" s="7">
        <f t="shared" si="41"/>
        <v>0</v>
      </c>
      <c r="P750" s="2"/>
      <c r="Q750" s="2"/>
      <c r="R750" s="2"/>
      <c r="S750" s="2"/>
      <c r="T750" s="2"/>
      <c r="U750" s="2"/>
      <c r="V750" s="2"/>
      <c r="W750" s="2"/>
      <c r="X750" s="2"/>
      <c r="Y750" s="2"/>
      <c r="Z750" s="2"/>
      <c r="AA750" s="7">
        <f t="shared" si="42"/>
        <v>0</v>
      </c>
      <c r="AB750" s="7">
        <f t="shared" si="43"/>
        <v>0</v>
      </c>
      <c r="AC750" s="9"/>
      <c r="AD750" s="9"/>
      <c r="AE750" s="9" t="e">
        <f>IF(#REF!=#REF!,1,0)</f>
        <v>#REF!</v>
      </c>
      <c r="AF750" s="8"/>
      <c r="AG750" s="8"/>
      <c r="AH750" s="8"/>
      <c r="AI750" s="8"/>
    </row>
    <row r="751" spans="2:35" s="3" customFormat="1" x14ac:dyDescent="0.25">
      <c r="B751" s="4" t="e">
        <f>IF(AE751=0,"",1+(MAX(B$7:B750)))</f>
        <v>#REF!</v>
      </c>
      <c r="C751" s="51"/>
      <c r="D751" s="52"/>
      <c r="E751" s="53"/>
      <c r="F751" s="2"/>
      <c r="G751" s="2"/>
      <c r="H751" s="2"/>
      <c r="I751" s="2"/>
      <c r="J751" s="2"/>
      <c r="K751" s="2"/>
      <c r="L751" s="2"/>
      <c r="M751" s="2"/>
      <c r="N751" s="2"/>
      <c r="O751" s="7">
        <f t="shared" si="41"/>
        <v>0</v>
      </c>
      <c r="P751" s="2"/>
      <c r="Q751" s="2"/>
      <c r="R751" s="2"/>
      <c r="S751" s="2"/>
      <c r="T751" s="2"/>
      <c r="U751" s="2"/>
      <c r="V751" s="2"/>
      <c r="W751" s="2"/>
      <c r="X751" s="2"/>
      <c r="Y751" s="2"/>
      <c r="Z751" s="2"/>
      <c r="AA751" s="7">
        <f t="shared" si="42"/>
        <v>0</v>
      </c>
      <c r="AB751" s="7">
        <f t="shared" si="43"/>
        <v>0</v>
      </c>
      <c r="AC751" s="9"/>
      <c r="AD751" s="9"/>
      <c r="AE751" s="9" t="e">
        <f>IF(#REF!=#REF!,1,0)</f>
        <v>#REF!</v>
      </c>
      <c r="AF751" s="8"/>
      <c r="AG751" s="8"/>
      <c r="AH751" s="8"/>
      <c r="AI751" s="8"/>
    </row>
    <row r="752" spans="2:35" s="3" customFormat="1" x14ac:dyDescent="0.25">
      <c r="B752" s="4" t="e">
        <f>IF(AE752=0,"",1+(MAX(B$7:B751)))</f>
        <v>#REF!</v>
      </c>
      <c r="C752" s="51"/>
      <c r="D752" s="52"/>
      <c r="E752" s="53"/>
      <c r="F752" s="2"/>
      <c r="G752" s="2"/>
      <c r="H752" s="2"/>
      <c r="I752" s="2"/>
      <c r="J752" s="2"/>
      <c r="K752" s="2"/>
      <c r="L752" s="2"/>
      <c r="M752" s="2"/>
      <c r="N752" s="2"/>
      <c r="O752" s="7">
        <f t="shared" si="41"/>
        <v>0</v>
      </c>
      <c r="P752" s="2"/>
      <c r="Q752" s="2"/>
      <c r="R752" s="2"/>
      <c r="S752" s="2"/>
      <c r="T752" s="2"/>
      <c r="U752" s="2"/>
      <c r="V752" s="2"/>
      <c r="W752" s="2"/>
      <c r="X752" s="2"/>
      <c r="Y752" s="2"/>
      <c r="Z752" s="2"/>
      <c r="AA752" s="7">
        <f t="shared" si="42"/>
        <v>0</v>
      </c>
      <c r="AB752" s="7">
        <f t="shared" si="43"/>
        <v>0</v>
      </c>
      <c r="AC752" s="9"/>
      <c r="AD752" s="9"/>
      <c r="AE752" s="9" t="e">
        <f>IF(#REF!=#REF!,1,0)</f>
        <v>#REF!</v>
      </c>
      <c r="AF752" s="8"/>
      <c r="AG752" s="8"/>
      <c r="AH752" s="8"/>
      <c r="AI752" s="8"/>
    </row>
    <row r="753" spans="2:35" s="3" customFormat="1" x14ac:dyDescent="0.25">
      <c r="B753" s="4" t="e">
        <f>IF(AE753=0,"",1+(MAX(B$7:B752)))</f>
        <v>#REF!</v>
      </c>
      <c r="C753" s="51"/>
      <c r="D753" s="52"/>
      <c r="E753" s="53"/>
      <c r="F753" s="2"/>
      <c r="G753" s="2"/>
      <c r="H753" s="2"/>
      <c r="I753" s="2"/>
      <c r="J753" s="2"/>
      <c r="K753" s="2"/>
      <c r="L753" s="2"/>
      <c r="M753" s="2"/>
      <c r="N753" s="2"/>
      <c r="O753" s="7">
        <f t="shared" si="41"/>
        <v>0</v>
      </c>
      <c r="P753" s="2"/>
      <c r="Q753" s="2"/>
      <c r="R753" s="2"/>
      <c r="S753" s="2"/>
      <c r="T753" s="2"/>
      <c r="U753" s="2"/>
      <c r="V753" s="2"/>
      <c r="W753" s="2"/>
      <c r="X753" s="2"/>
      <c r="Y753" s="2"/>
      <c r="Z753" s="2"/>
      <c r="AA753" s="7">
        <f t="shared" si="42"/>
        <v>0</v>
      </c>
      <c r="AB753" s="7">
        <f t="shared" si="43"/>
        <v>0</v>
      </c>
      <c r="AC753" s="9"/>
      <c r="AD753" s="9"/>
      <c r="AE753" s="9" t="e">
        <f>IF(#REF!=#REF!,1,0)</f>
        <v>#REF!</v>
      </c>
      <c r="AF753" s="8"/>
      <c r="AG753" s="8"/>
      <c r="AH753" s="8"/>
      <c r="AI753" s="8"/>
    </row>
    <row r="754" spans="2:35" s="3" customFormat="1" x14ac:dyDescent="0.25">
      <c r="B754" s="4" t="e">
        <f>IF(AE754=0,"",1+(MAX(B$7:B753)))</f>
        <v>#REF!</v>
      </c>
      <c r="C754" s="51"/>
      <c r="D754" s="52"/>
      <c r="E754" s="53"/>
      <c r="F754" s="2"/>
      <c r="G754" s="2"/>
      <c r="H754" s="2"/>
      <c r="I754" s="2"/>
      <c r="J754" s="2"/>
      <c r="K754" s="2"/>
      <c r="L754" s="2"/>
      <c r="M754" s="2"/>
      <c r="N754" s="2"/>
      <c r="O754" s="7">
        <f t="shared" si="41"/>
        <v>0</v>
      </c>
      <c r="P754" s="2"/>
      <c r="Q754" s="2"/>
      <c r="R754" s="2"/>
      <c r="S754" s="2"/>
      <c r="T754" s="2"/>
      <c r="U754" s="2"/>
      <c r="V754" s="2"/>
      <c r="W754" s="2"/>
      <c r="X754" s="2"/>
      <c r="Y754" s="2"/>
      <c r="Z754" s="2"/>
      <c r="AA754" s="7">
        <f t="shared" si="42"/>
        <v>0</v>
      </c>
      <c r="AB754" s="7">
        <f t="shared" si="43"/>
        <v>0</v>
      </c>
      <c r="AC754" s="9"/>
      <c r="AD754" s="9"/>
      <c r="AE754" s="9" t="e">
        <f>IF(#REF!=#REF!,1,0)</f>
        <v>#REF!</v>
      </c>
      <c r="AF754" s="8"/>
      <c r="AG754" s="8"/>
      <c r="AH754" s="8"/>
      <c r="AI754" s="8"/>
    </row>
    <row r="755" spans="2:35" s="3" customFormat="1" x14ac:dyDescent="0.25">
      <c r="B755" s="4" t="e">
        <f>IF(AE755=0,"",1+(MAX(B$7:B754)))</f>
        <v>#REF!</v>
      </c>
      <c r="C755" s="51"/>
      <c r="D755" s="52"/>
      <c r="E755" s="53"/>
      <c r="F755" s="2"/>
      <c r="G755" s="2"/>
      <c r="H755" s="2"/>
      <c r="I755" s="2"/>
      <c r="J755" s="2"/>
      <c r="K755" s="2"/>
      <c r="L755" s="2"/>
      <c r="M755" s="2"/>
      <c r="N755" s="2"/>
      <c r="O755" s="7">
        <f t="shared" si="41"/>
        <v>0</v>
      </c>
      <c r="P755" s="2"/>
      <c r="Q755" s="2"/>
      <c r="R755" s="2"/>
      <c r="S755" s="2"/>
      <c r="T755" s="2"/>
      <c r="U755" s="2"/>
      <c r="V755" s="2"/>
      <c r="W755" s="2"/>
      <c r="X755" s="2"/>
      <c r="Y755" s="2"/>
      <c r="Z755" s="2"/>
      <c r="AA755" s="7">
        <f t="shared" si="42"/>
        <v>0</v>
      </c>
      <c r="AB755" s="7">
        <f t="shared" si="43"/>
        <v>0</v>
      </c>
      <c r="AC755" s="9"/>
      <c r="AD755" s="9"/>
      <c r="AE755" s="9" t="e">
        <f>IF(#REF!=#REF!,1,0)</f>
        <v>#REF!</v>
      </c>
      <c r="AF755" s="8"/>
      <c r="AG755" s="8"/>
      <c r="AH755" s="8"/>
      <c r="AI755" s="8"/>
    </row>
    <row r="756" spans="2:35" s="3" customFormat="1" x14ac:dyDescent="0.25">
      <c r="B756" s="4" t="e">
        <f>IF(AE756=0,"",1+(MAX(B$7:B755)))</f>
        <v>#REF!</v>
      </c>
      <c r="C756" s="51"/>
      <c r="D756" s="52"/>
      <c r="E756" s="53"/>
      <c r="F756" s="2"/>
      <c r="G756" s="2"/>
      <c r="H756" s="2"/>
      <c r="I756" s="2"/>
      <c r="J756" s="2"/>
      <c r="K756" s="2"/>
      <c r="L756" s="2"/>
      <c r="M756" s="2"/>
      <c r="N756" s="2"/>
      <c r="O756" s="7">
        <f t="shared" si="41"/>
        <v>0</v>
      </c>
      <c r="P756" s="2"/>
      <c r="Q756" s="2"/>
      <c r="R756" s="2"/>
      <c r="S756" s="2"/>
      <c r="T756" s="2"/>
      <c r="U756" s="2"/>
      <c r="V756" s="2"/>
      <c r="W756" s="2"/>
      <c r="X756" s="2"/>
      <c r="Y756" s="2"/>
      <c r="Z756" s="2"/>
      <c r="AA756" s="7">
        <f t="shared" si="42"/>
        <v>0</v>
      </c>
      <c r="AB756" s="7">
        <f t="shared" si="43"/>
        <v>0</v>
      </c>
      <c r="AC756" s="9"/>
      <c r="AD756" s="9"/>
      <c r="AE756" s="9" t="e">
        <f>IF(#REF!=#REF!,1,0)</f>
        <v>#REF!</v>
      </c>
      <c r="AF756" s="8"/>
      <c r="AG756" s="8"/>
      <c r="AH756" s="8"/>
      <c r="AI756" s="8"/>
    </row>
    <row r="757" spans="2:35" s="3" customFormat="1" x14ac:dyDescent="0.25">
      <c r="B757" s="4" t="e">
        <f>IF(AE757=0,"",1+(MAX(B$7:B756)))</f>
        <v>#REF!</v>
      </c>
      <c r="C757" s="51"/>
      <c r="D757" s="52"/>
      <c r="E757" s="53"/>
      <c r="F757" s="2"/>
      <c r="G757" s="2"/>
      <c r="H757" s="2"/>
      <c r="I757" s="2"/>
      <c r="J757" s="2"/>
      <c r="K757" s="2"/>
      <c r="L757" s="2"/>
      <c r="M757" s="2"/>
      <c r="N757" s="2"/>
      <c r="O757" s="7">
        <f t="shared" si="41"/>
        <v>0</v>
      </c>
      <c r="P757" s="2"/>
      <c r="Q757" s="2"/>
      <c r="R757" s="2"/>
      <c r="S757" s="2"/>
      <c r="T757" s="2"/>
      <c r="U757" s="2"/>
      <c r="V757" s="2"/>
      <c r="W757" s="2"/>
      <c r="X757" s="2"/>
      <c r="Y757" s="2"/>
      <c r="Z757" s="2"/>
      <c r="AA757" s="7">
        <f t="shared" si="42"/>
        <v>0</v>
      </c>
      <c r="AB757" s="7">
        <f t="shared" si="43"/>
        <v>0</v>
      </c>
      <c r="AC757" s="9"/>
      <c r="AD757" s="9"/>
      <c r="AE757" s="9" t="e">
        <f>IF(#REF!=#REF!,1,0)</f>
        <v>#REF!</v>
      </c>
      <c r="AF757" s="8"/>
      <c r="AG757" s="8"/>
      <c r="AH757" s="8"/>
      <c r="AI757" s="8"/>
    </row>
    <row r="758" spans="2:35" s="3" customFormat="1" x14ac:dyDescent="0.25">
      <c r="B758" s="4" t="e">
        <f>IF(AE758=0,"",1+(MAX(B$7:B757)))</f>
        <v>#REF!</v>
      </c>
      <c r="C758" s="51"/>
      <c r="D758" s="52"/>
      <c r="E758" s="53"/>
      <c r="F758" s="2"/>
      <c r="G758" s="2"/>
      <c r="H758" s="2"/>
      <c r="I758" s="2"/>
      <c r="J758" s="2"/>
      <c r="K758" s="2"/>
      <c r="L758" s="2"/>
      <c r="M758" s="2"/>
      <c r="N758" s="2"/>
      <c r="O758" s="7">
        <f t="shared" si="41"/>
        <v>0</v>
      </c>
      <c r="P758" s="2"/>
      <c r="Q758" s="2"/>
      <c r="R758" s="2"/>
      <c r="S758" s="2"/>
      <c r="T758" s="2"/>
      <c r="U758" s="2"/>
      <c r="V758" s="2"/>
      <c r="W758" s="2"/>
      <c r="X758" s="2"/>
      <c r="Y758" s="2"/>
      <c r="Z758" s="2"/>
      <c r="AA758" s="7">
        <f t="shared" si="42"/>
        <v>0</v>
      </c>
      <c r="AB758" s="7">
        <f t="shared" si="43"/>
        <v>0</v>
      </c>
      <c r="AC758" s="9"/>
      <c r="AD758" s="9"/>
      <c r="AE758" s="9" t="e">
        <f>IF(#REF!=#REF!,1,0)</f>
        <v>#REF!</v>
      </c>
      <c r="AF758" s="8"/>
      <c r="AG758" s="8"/>
      <c r="AH758" s="8"/>
      <c r="AI758" s="8"/>
    </row>
    <row r="759" spans="2:35" s="3" customFormat="1" x14ac:dyDescent="0.25">
      <c r="B759" s="4" t="e">
        <f>IF(AE759=0,"",1+(MAX(B$7:B758)))</f>
        <v>#REF!</v>
      </c>
      <c r="C759" s="51"/>
      <c r="D759" s="52"/>
      <c r="E759" s="53"/>
      <c r="F759" s="2"/>
      <c r="G759" s="2"/>
      <c r="H759" s="2"/>
      <c r="I759" s="2"/>
      <c r="J759" s="2"/>
      <c r="K759" s="2"/>
      <c r="L759" s="2"/>
      <c r="M759" s="2"/>
      <c r="N759" s="2"/>
      <c r="O759" s="7">
        <f t="shared" si="41"/>
        <v>0</v>
      </c>
      <c r="P759" s="2"/>
      <c r="Q759" s="2"/>
      <c r="R759" s="2"/>
      <c r="S759" s="2"/>
      <c r="T759" s="2"/>
      <c r="U759" s="2"/>
      <c r="V759" s="2"/>
      <c r="W759" s="2"/>
      <c r="X759" s="2"/>
      <c r="Y759" s="2"/>
      <c r="Z759" s="2"/>
      <c r="AA759" s="7">
        <f t="shared" si="42"/>
        <v>0</v>
      </c>
      <c r="AB759" s="7">
        <f t="shared" si="43"/>
        <v>0</v>
      </c>
      <c r="AC759" s="9"/>
      <c r="AD759" s="9"/>
      <c r="AE759" s="9" t="e">
        <f>IF(#REF!=#REF!,1,0)</f>
        <v>#REF!</v>
      </c>
      <c r="AF759" s="8"/>
      <c r="AG759" s="8"/>
      <c r="AH759" s="8"/>
      <c r="AI759" s="8"/>
    </row>
    <row r="760" spans="2:35" s="3" customFormat="1" x14ac:dyDescent="0.25">
      <c r="B760" s="4" t="e">
        <f>IF(AE760=0,"",1+(MAX(B$7:B759)))</f>
        <v>#REF!</v>
      </c>
      <c r="C760" s="51"/>
      <c r="D760" s="52"/>
      <c r="E760" s="53"/>
      <c r="F760" s="2"/>
      <c r="G760" s="2"/>
      <c r="H760" s="2"/>
      <c r="I760" s="2"/>
      <c r="J760" s="2"/>
      <c r="K760" s="2"/>
      <c r="L760" s="2"/>
      <c r="M760" s="2"/>
      <c r="N760" s="2"/>
      <c r="O760" s="7">
        <f t="shared" si="41"/>
        <v>0</v>
      </c>
      <c r="P760" s="2"/>
      <c r="Q760" s="2"/>
      <c r="R760" s="2"/>
      <c r="S760" s="2"/>
      <c r="T760" s="2"/>
      <c r="U760" s="2"/>
      <c r="V760" s="2"/>
      <c r="W760" s="2"/>
      <c r="X760" s="2"/>
      <c r="Y760" s="2"/>
      <c r="Z760" s="2"/>
      <c r="AA760" s="7">
        <f t="shared" si="42"/>
        <v>0</v>
      </c>
      <c r="AB760" s="7">
        <f t="shared" si="43"/>
        <v>0</v>
      </c>
      <c r="AC760" s="9"/>
      <c r="AD760" s="9"/>
      <c r="AE760" s="9" t="e">
        <f>IF(#REF!=#REF!,1,0)</f>
        <v>#REF!</v>
      </c>
      <c r="AF760" s="8"/>
      <c r="AG760" s="8"/>
      <c r="AH760" s="8"/>
      <c r="AI760" s="8"/>
    </row>
    <row r="761" spans="2:35" s="3" customFormat="1" x14ac:dyDescent="0.25">
      <c r="B761" s="4" t="e">
        <f>IF(AE761=0,"",1+(MAX(B$7:B760)))</f>
        <v>#REF!</v>
      </c>
      <c r="C761" s="51"/>
      <c r="D761" s="52"/>
      <c r="E761" s="53"/>
      <c r="F761" s="2"/>
      <c r="G761" s="2"/>
      <c r="H761" s="2"/>
      <c r="I761" s="2"/>
      <c r="J761" s="2"/>
      <c r="K761" s="2"/>
      <c r="L761" s="2"/>
      <c r="M761" s="2"/>
      <c r="N761" s="2"/>
      <c r="O761" s="7">
        <f t="shared" si="41"/>
        <v>0</v>
      </c>
      <c r="P761" s="2"/>
      <c r="Q761" s="2"/>
      <c r="R761" s="2"/>
      <c r="S761" s="2"/>
      <c r="T761" s="2"/>
      <c r="U761" s="2"/>
      <c r="V761" s="2"/>
      <c r="W761" s="2"/>
      <c r="X761" s="2"/>
      <c r="Y761" s="2"/>
      <c r="Z761" s="2"/>
      <c r="AA761" s="7">
        <f t="shared" si="42"/>
        <v>0</v>
      </c>
      <c r="AB761" s="7">
        <f t="shared" si="43"/>
        <v>0</v>
      </c>
      <c r="AC761" s="9"/>
      <c r="AD761" s="9"/>
      <c r="AE761" s="9" t="e">
        <f>IF(#REF!=#REF!,1,0)</f>
        <v>#REF!</v>
      </c>
      <c r="AF761" s="8"/>
      <c r="AG761" s="8"/>
      <c r="AH761" s="8"/>
      <c r="AI761" s="8"/>
    </row>
    <row r="762" spans="2:35" s="3" customFormat="1" x14ac:dyDescent="0.25">
      <c r="B762" s="4" t="e">
        <f>IF(AE762=0,"",1+(MAX(B$7:B761)))</f>
        <v>#REF!</v>
      </c>
      <c r="C762" s="51"/>
      <c r="D762" s="52"/>
      <c r="E762" s="53"/>
      <c r="F762" s="2"/>
      <c r="G762" s="2"/>
      <c r="H762" s="2"/>
      <c r="I762" s="2"/>
      <c r="J762" s="2"/>
      <c r="K762" s="2"/>
      <c r="L762" s="2"/>
      <c r="M762" s="2"/>
      <c r="N762" s="2"/>
      <c r="O762" s="7">
        <f t="shared" si="41"/>
        <v>0</v>
      </c>
      <c r="P762" s="2"/>
      <c r="Q762" s="2"/>
      <c r="R762" s="2"/>
      <c r="S762" s="2"/>
      <c r="T762" s="2"/>
      <c r="U762" s="2"/>
      <c r="V762" s="2"/>
      <c r="W762" s="2"/>
      <c r="X762" s="2"/>
      <c r="Y762" s="2"/>
      <c r="Z762" s="2"/>
      <c r="AA762" s="7">
        <f t="shared" si="42"/>
        <v>0</v>
      </c>
      <c r="AB762" s="7">
        <f t="shared" si="43"/>
        <v>0</v>
      </c>
      <c r="AC762" s="9"/>
      <c r="AD762" s="9"/>
      <c r="AE762" s="9" t="e">
        <f>IF(#REF!=#REF!,1,0)</f>
        <v>#REF!</v>
      </c>
      <c r="AF762" s="8"/>
      <c r="AG762" s="8"/>
      <c r="AH762" s="8"/>
      <c r="AI762" s="8"/>
    </row>
    <row r="763" spans="2:35" s="3" customFormat="1" x14ac:dyDescent="0.25">
      <c r="B763" s="4" t="e">
        <f>IF(AE763=0,"",1+(MAX(B$7:B762)))</f>
        <v>#REF!</v>
      </c>
      <c r="C763" s="51"/>
      <c r="D763" s="52"/>
      <c r="E763" s="53"/>
      <c r="F763" s="2"/>
      <c r="G763" s="2"/>
      <c r="H763" s="2"/>
      <c r="I763" s="2"/>
      <c r="J763" s="2"/>
      <c r="K763" s="2"/>
      <c r="L763" s="2"/>
      <c r="M763" s="2"/>
      <c r="N763" s="2"/>
      <c r="O763" s="7">
        <f t="shared" si="41"/>
        <v>0</v>
      </c>
      <c r="P763" s="2"/>
      <c r="Q763" s="2"/>
      <c r="R763" s="2"/>
      <c r="S763" s="2"/>
      <c r="T763" s="2"/>
      <c r="U763" s="2"/>
      <c r="V763" s="2"/>
      <c r="W763" s="2"/>
      <c r="X763" s="2"/>
      <c r="Y763" s="2"/>
      <c r="Z763" s="2"/>
      <c r="AA763" s="7">
        <f t="shared" si="42"/>
        <v>0</v>
      </c>
      <c r="AB763" s="7">
        <f t="shared" si="43"/>
        <v>0</v>
      </c>
      <c r="AC763" s="9"/>
      <c r="AD763" s="9"/>
      <c r="AE763" s="9" t="e">
        <f>IF(#REF!=#REF!,1,0)</f>
        <v>#REF!</v>
      </c>
      <c r="AF763" s="8"/>
      <c r="AG763" s="8"/>
      <c r="AH763" s="8"/>
      <c r="AI763" s="8"/>
    </row>
    <row r="764" spans="2:35" s="3" customFormat="1" x14ac:dyDescent="0.25">
      <c r="B764" s="4" t="e">
        <f>IF(AE764=0,"",1+(MAX(B$7:B763)))</f>
        <v>#REF!</v>
      </c>
      <c r="C764" s="51"/>
      <c r="D764" s="52"/>
      <c r="E764" s="53"/>
      <c r="F764" s="2"/>
      <c r="G764" s="2"/>
      <c r="H764" s="2"/>
      <c r="I764" s="2"/>
      <c r="J764" s="2"/>
      <c r="K764" s="2"/>
      <c r="L764" s="2"/>
      <c r="M764" s="2"/>
      <c r="N764" s="2"/>
      <c r="O764" s="7">
        <f t="shared" si="41"/>
        <v>0</v>
      </c>
      <c r="P764" s="2"/>
      <c r="Q764" s="2"/>
      <c r="R764" s="2"/>
      <c r="S764" s="2"/>
      <c r="T764" s="2"/>
      <c r="U764" s="2"/>
      <c r="V764" s="2"/>
      <c r="W764" s="2"/>
      <c r="X764" s="2"/>
      <c r="Y764" s="2"/>
      <c r="Z764" s="2"/>
      <c r="AA764" s="7">
        <f t="shared" si="42"/>
        <v>0</v>
      </c>
      <c r="AB764" s="7">
        <f t="shared" si="43"/>
        <v>0</v>
      </c>
      <c r="AC764" s="9"/>
      <c r="AD764" s="9"/>
      <c r="AE764" s="9" t="e">
        <f>IF(#REF!=#REF!,1,0)</f>
        <v>#REF!</v>
      </c>
      <c r="AF764" s="8"/>
      <c r="AG764" s="8"/>
      <c r="AH764" s="8"/>
      <c r="AI764" s="8"/>
    </row>
    <row r="765" spans="2:35" s="3" customFormat="1" x14ac:dyDescent="0.25">
      <c r="B765" s="4" t="e">
        <f>IF(AE765=0,"",1+(MAX(B$7:B764)))</f>
        <v>#REF!</v>
      </c>
      <c r="C765" s="51"/>
      <c r="D765" s="52"/>
      <c r="E765" s="53"/>
      <c r="F765" s="2"/>
      <c r="G765" s="2"/>
      <c r="H765" s="2"/>
      <c r="I765" s="2"/>
      <c r="J765" s="2"/>
      <c r="K765" s="2"/>
      <c r="L765" s="2"/>
      <c r="M765" s="2"/>
      <c r="N765" s="2"/>
      <c r="O765" s="7">
        <f t="shared" si="41"/>
        <v>0</v>
      </c>
      <c r="P765" s="2"/>
      <c r="Q765" s="2"/>
      <c r="R765" s="2"/>
      <c r="S765" s="2"/>
      <c r="T765" s="2"/>
      <c r="U765" s="2"/>
      <c r="V765" s="2"/>
      <c r="W765" s="2"/>
      <c r="X765" s="2"/>
      <c r="Y765" s="2"/>
      <c r="Z765" s="2"/>
      <c r="AA765" s="7">
        <f t="shared" si="42"/>
        <v>0</v>
      </c>
      <c r="AB765" s="7">
        <f t="shared" si="43"/>
        <v>0</v>
      </c>
      <c r="AC765" s="9"/>
      <c r="AD765" s="9"/>
      <c r="AE765" s="9" t="e">
        <f>IF(#REF!=#REF!,1,0)</f>
        <v>#REF!</v>
      </c>
      <c r="AF765" s="8"/>
      <c r="AG765" s="8"/>
      <c r="AH765" s="8"/>
      <c r="AI765" s="8"/>
    </row>
    <row r="766" spans="2:35" s="3" customFormat="1" x14ac:dyDescent="0.25">
      <c r="B766" s="4" t="e">
        <f>IF(AE766=0,"",1+(MAX(B$7:B765)))</f>
        <v>#REF!</v>
      </c>
      <c r="C766" s="51"/>
      <c r="D766" s="52"/>
      <c r="E766" s="53"/>
      <c r="F766" s="2"/>
      <c r="G766" s="2"/>
      <c r="H766" s="2"/>
      <c r="I766" s="2"/>
      <c r="J766" s="2"/>
      <c r="K766" s="2"/>
      <c r="L766" s="2"/>
      <c r="M766" s="2"/>
      <c r="N766" s="2"/>
      <c r="O766" s="7">
        <f t="shared" si="41"/>
        <v>0</v>
      </c>
      <c r="P766" s="2"/>
      <c r="Q766" s="2"/>
      <c r="R766" s="2"/>
      <c r="S766" s="2"/>
      <c r="T766" s="2"/>
      <c r="U766" s="2"/>
      <c r="V766" s="2"/>
      <c r="W766" s="2"/>
      <c r="X766" s="2"/>
      <c r="Y766" s="2"/>
      <c r="Z766" s="2"/>
      <c r="AA766" s="7">
        <f t="shared" si="42"/>
        <v>0</v>
      </c>
      <c r="AB766" s="7">
        <f t="shared" si="43"/>
        <v>0</v>
      </c>
      <c r="AC766" s="9"/>
      <c r="AD766" s="9"/>
      <c r="AE766" s="9" t="e">
        <f>IF(#REF!=#REF!,1,0)</f>
        <v>#REF!</v>
      </c>
      <c r="AF766" s="8"/>
      <c r="AG766" s="8"/>
      <c r="AH766" s="8"/>
      <c r="AI766" s="8"/>
    </row>
    <row r="767" spans="2:35" s="3" customFormat="1" x14ac:dyDescent="0.25">
      <c r="B767" s="4" t="e">
        <f>IF(AE767=0,"",1+(MAX(B$7:B766)))</f>
        <v>#REF!</v>
      </c>
      <c r="C767" s="51"/>
      <c r="D767" s="52"/>
      <c r="E767" s="53"/>
      <c r="F767" s="2"/>
      <c r="G767" s="2"/>
      <c r="H767" s="2"/>
      <c r="I767" s="2"/>
      <c r="J767" s="2"/>
      <c r="K767" s="2"/>
      <c r="L767" s="2"/>
      <c r="M767" s="2"/>
      <c r="N767" s="2"/>
      <c r="O767" s="7">
        <f t="shared" si="41"/>
        <v>0</v>
      </c>
      <c r="P767" s="2"/>
      <c r="Q767" s="2"/>
      <c r="R767" s="2"/>
      <c r="S767" s="2"/>
      <c r="T767" s="2"/>
      <c r="U767" s="2"/>
      <c r="V767" s="2"/>
      <c r="W767" s="2"/>
      <c r="X767" s="2"/>
      <c r="Y767" s="2"/>
      <c r="Z767" s="2"/>
      <c r="AA767" s="7">
        <f t="shared" si="42"/>
        <v>0</v>
      </c>
      <c r="AB767" s="7">
        <f t="shared" si="43"/>
        <v>0</v>
      </c>
      <c r="AC767" s="9"/>
      <c r="AD767" s="9"/>
      <c r="AE767" s="9" t="e">
        <f>IF(#REF!=#REF!,1,0)</f>
        <v>#REF!</v>
      </c>
      <c r="AF767" s="8"/>
      <c r="AG767" s="8"/>
      <c r="AH767" s="8"/>
      <c r="AI767" s="8"/>
    </row>
    <row r="768" spans="2:35" s="3" customFormat="1" x14ac:dyDescent="0.25">
      <c r="B768" s="4" t="e">
        <f>IF(AE768=0,"",1+(MAX(B$7:B767)))</f>
        <v>#REF!</v>
      </c>
      <c r="C768" s="51"/>
      <c r="D768" s="52"/>
      <c r="E768" s="53"/>
      <c r="F768" s="2"/>
      <c r="G768" s="2"/>
      <c r="H768" s="2"/>
      <c r="I768" s="2"/>
      <c r="J768" s="2"/>
      <c r="K768" s="2"/>
      <c r="L768" s="2"/>
      <c r="M768" s="2"/>
      <c r="N768" s="2"/>
      <c r="O768" s="7">
        <f t="shared" si="41"/>
        <v>0</v>
      </c>
      <c r="P768" s="2"/>
      <c r="Q768" s="2"/>
      <c r="R768" s="2"/>
      <c r="S768" s="2"/>
      <c r="T768" s="2"/>
      <c r="U768" s="2"/>
      <c r="V768" s="2"/>
      <c r="W768" s="2"/>
      <c r="X768" s="2"/>
      <c r="Y768" s="2"/>
      <c r="Z768" s="2"/>
      <c r="AA768" s="7">
        <f t="shared" si="42"/>
        <v>0</v>
      </c>
      <c r="AB768" s="7">
        <f t="shared" si="43"/>
        <v>0</v>
      </c>
      <c r="AC768" s="9"/>
      <c r="AD768" s="9"/>
      <c r="AE768" s="9" t="e">
        <f>IF(#REF!=#REF!,1,0)</f>
        <v>#REF!</v>
      </c>
      <c r="AF768" s="8"/>
      <c r="AG768" s="8"/>
      <c r="AH768" s="8"/>
      <c r="AI768" s="8"/>
    </row>
    <row r="769" spans="2:35" s="3" customFormat="1" x14ac:dyDescent="0.25">
      <c r="B769" s="4" t="e">
        <f>IF(AE769=0,"",1+(MAX(B$7:B768)))</f>
        <v>#REF!</v>
      </c>
      <c r="C769" s="51"/>
      <c r="D769" s="52"/>
      <c r="E769" s="53"/>
      <c r="F769" s="2"/>
      <c r="G769" s="2"/>
      <c r="H769" s="2"/>
      <c r="I769" s="2"/>
      <c r="J769" s="2"/>
      <c r="K769" s="2"/>
      <c r="L769" s="2"/>
      <c r="M769" s="2"/>
      <c r="N769" s="2"/>
      <c r="O769" s="7">
        <f t="shared" si="41"/>
        <v>0</v>
      </c>
      <c r="P769" s="2"/>
      <c r="Q769" s="2"/>
      <c r="R769" s="2"/>
      <c r="S769" s="2"/>
      <c r="T769" s="2"/>
      <c r="U769" s="2"/>
      <c r="V769" s="2"/>
      <c r="W769" s="2"/>
      <c r="X769" s="2"/>
      <c r="Y769" s="2"/>
      <c r="Z769" s="2"/>
      <c r="AA769" s="7">
        <f t="shared" si="42"/>
        <v>0</v>
      </c>
      <c r="AB769" s="7">
        <f t="shared" si="43"/>
        <v>0</v>
      </c>
      <c r="AC769" s="9"/>
      <c r="AD769" s="9"/>
      <c r="AE769" s="9" t="e">
        <f>IF(#REF!=#REF!,1,0)</f>
        <v>#REF!</v>
      </c>
      <c r="AF769" s="8"/>
      <c r="AG769" s="8"/>
      <c r="AH769" s="8"/>
      <c r="AI769" s="8"/>
    </row>
    <row r="770" spans="2:35" s="3" customFormat="1" x14ac:dyDescent="0.25">
      <c r="B770" s="4" t="e">
        <f>IF(AE770=0,"",1+(MAX(B$7:B769)))</f>
        <v>#REF!</v>
      </c>
      <c r="C770" s="51"/>
      <c r="D770" s="52"/>
      <c r="E770" s="53"/>
      <c r="F770" s="2"/>
      <c r="G770" s="2"/>
      <c r="H770" s="2"/>
      <c r="I770" s="2"/>
      <c r="J770" s="2"/>
      <c r="K770" s="2"/>
      <c r="L770" s="2"/>
      <c r="M770" s="2"/>
      <c r="N770" s="2"/>
      <c r="O770" s="7">
        <f t="shared" si="41"/>
        <v>0</v>
      </c>
      <c r="P770" s="2"/>
      <c r="Q770" s="2"/>
      <c r="R770" s="2"/>
      <c r="S770" s="2"/>
      <c r="T770" s="2"/>
      <c r="U770" s="2"/>
      <c r="V770" s="2"/>
      <c r="W770" s="2"/>
      <c r="X770" s="2"/>
      <c r="Y770" s="2"/>
      <c r="Z770" s="2"/>
      <c r="AA770" s="7">
        <f t="shared" si="42"/>
        <v>0</v>
      </c>
      <c r="AB770" s="7">
        <f t="shared" si="43"/>
        <v>0</v>
      </c>
      <c r="AC770" s="9"/>
      <c r="AD770" s="9"/>
      <c r="AE770" s="9" t="e">
        <f>IF(#REF!=#REF!,1,0)</f>
        <v>#REF!</v>
      </c>
      <c r="AF770" s="8"/>
      <c r="AG770" s="8"/>
      <c r="AH770" s="8"/>
      <c r="AI770" s="8"/>
    </row>
    <row r="771" spans="2:35" s="3" customFormat="1" x14ac:dyDescent="0.25">
      <c r="B771" s="4" t="e">
        <f>IF(AE771=0,"",1+(MAX(B$7:B770)))</f>
        <v>#REF!</v>
      </c>
      <c r="C771" s="51"/>
      <c r="D771" s="52"/>
      <c r="E771" s="53"/>
      <c r="F771" s="2"/>
      <c r="G771" s="2"/>
      <c r="H771" s="2"/>
      <c r="I771" s="2"/>
      <c r="J771" s="2"/>
      <c r="K771" s="2"/>
      <c r="L771" s="2"/>
      <c r="M771" s="2"/>
      <c r="N771" s="2"/>
      <c r="O771" s="7">
        <f t="shared" si="41"/>
        <v>0</v>
      </c>
      <c r="P771" s="2"/>
      <c r="Q771" s="2"/>
      <c r="R771" s="2"/>
      <c r="S771" s="2"/>
      <c r="T771" s="2"/>
      <c r="U771" s="2"/>
      <c r="V771" s="2"/>
      <c r="W771" s="2"/>
      <c r="X771" s="2"/>
      <c r="Y771" s="2"/>
      <c r="Z771" s="2"/>
      <c r="AA771" s="7">
        <f t="shared" si="42"/>
        <v>0</v>
      </c>
      <c r="AB771" s="7">
        <f t="shared" si="43"/>
        <v>0</v>
      </c>
      <c r="AC771" s="9"/>
      <c r="AD771" s="9"/>
      <c r="AE771" s="9" t="e">
        <f>IF(#REF!=#REF!,1,0)</f>
        <v>#REF!</v>
      </c>
      <c r="AF771" s="8"/>
      <c r="AG771" s="8"/>
      <c r="AH771" s="8"/>
      <c r="AI771" s="8"/>
    </row>
    <row r="772" spans="2:35" s="3" customFormat="1" x14ac:dyDescent="0.25">
      <c r="B772" s="4" t="e">
        <f>IF(AE772=0,"",1+(MAX(B$7:B771)))</f>
        <v>#REF!</v>
      </c>
      <c r="C772" s="51"/>
      <c r="D772" s="52"/>
      <c r="E772" s="53"/>
      <c r="F772" s="2"/>
      <c r="G772" s="2"/>
      <c r="H772" s="2"/>
      <c r="I772" s="2"/>
      <c r="J772" s="2"/>
      <c r="K772" s="2"/>
      <c r="L772" s="2"/>
      <c r="M772" s="2"/>
      <c r="N772" s="2"/>
      <c r="O772" s="7">
        <f t="shared" si="41"/>
        <v>0</v>
      </c>
      <c r="P772" s="2"/>
      <c r="Q772" s="2"/>
      <c r="R772" s="2"/>
      <c r="S772" s="2"/>
      <c r="T772" s="2"/>
      <c r="U772" s="2"/>
      <c r="V772" s="2"/>
      <c r="W772" s="2"/>
      <c r="X772" s="2"/>
      <c r="Y772" s="2"/>
      <c r="Z772" s="2"/>
      <c r="AA772" s="7">
        <f t="shared" si="42"/>
        <v>0</v>
      </c>
      <c r="AB772" s="7">
        <f t="shared" si="43"/>
        <v>0</v>
      </c>
      <c r="AC772" s="9"/>
      <c r="AD772" s="9"/>
      <c r="AE772" s="9" t="e">
        <f>IF(#REF!=#REF!,1,0)</f>
        <v>#REF!</v>
      </c>
      <c r="AF772" s="8"/>
      <c r="AG772" s="8"/>
      <c r="AH772" s="8"/>
      <c r="AI772" s="8"/>
    </row>
    <row r="773" spans="2:35" s="3" customFormat="1" x14ac:dyDescent="0.25">
      <c r="B773" s="4" t="e">
        <f>IF(AE773=0,"",1+(MAX(B$7:B772)))</f>
        <v>#REF!</v>
      </c>
      <c r="C773" s="51"/>
      <c r="D773" s="52"/>
      <c r="E773" s="53"/>
      <c r="F773" s="2"/>
      <c r="G773" s="2"/>
      <c r="H773" s="2"/>
      <c r="I773" s="2"/>
      <c r="J773" s="2"/>
      <c r="K773" s="2"/>
      <c r="L773" s="2"/>
      <c r="M773" s="2"/>
      <c r="N773" s="2"/>
      <c r="O773" s="7">
        <f t="shared" si="41"/>
        <v>0</v>
      </c>
      <c r="P773" s="2"/>
      <c r="Q773" s="2"/>
      <c r="R773" s="2"/>
      <c r="S773" s="2"/>
      <c r="T773" s="2"/>
      <c r="U773" s="2"/>
      <c r="V773" s="2"/>
      <c r="W773" s="2"/>
      <c r="X773" s="2"/>
      <c r="Y773" s="2"/>
      <c r="Z773" s="2"/>
      <c r="AA773" s="7">
        <f t="shared" si="42"/>
        <v>0</v>
      </c>
      <c r="AB773" s="7">
        <f t="shared" si="43"/>
        <v>0</v>
      </c>
      <c r="AC773" s="9"/>
      <c r="AD773" s="9"/>
      <c r="AE773" s="9" t="e">
        <f>IF(#REF!=#REF!,1,0)</f>
        <v>#REF!</v>
      </c>
      <c r="AF773" s="8"/>
      <c r="AG773" s="8"/>
      <c r="AH773" s="8"/>
      <c r="AI773" s="8"/>
    </row>
    <row r="774" spans="2:35" s="3" customFormat="1" x14ac:dyDescent="0.25">
      <c r="B774" s="4" t="e">
        <f>IF(AE774=0,"",1+(MAX(B$7:B773)))</f>
        <v>#REF!</v>
      </c>
      <c r="C774" s="51"/>
      <c r="D774" s="52"/>
      <c r="E774" s="53"/>
      <c r="F774" s="2"/>
      <c r="G774" s="2"/>
      <c r="H774" s="2"/>
      <c r="I774" s="2"/>
      <c r="J774" s="2"/>
      <c r="K774" s="2"/>
      <c r="L774" s="2"/>
      <c r="M774" s="2"/>
      <c r="N774" s="2"/>
      <c r="O774" s="7">
        <f t="shared" si="41"/>
        <v>0</v>
      </c>
      <c r="P774" s="2"/>
      <c r="Q774" s="2"/>
      <c r="R774" s="2"/>
      <c r="S774" s="2"/>
      <c r="T774" s="2"/>
      <c r="U774" s="2"/>
      <c r="V774" s="2"/>
      <c r="W774" s="2"/>
      <c r="X774" s="2"/>
      <c r="Y774" s="2"/>
      <c r="Z774" s="2"/>
      <c r="AA774" s="7">
        <f t="shared" si="42"/>
        <v>0</v>
      </c>
      <c r="AB774" s="7">
        <f t="shared" si="43"/>
        <v>0</v>
      </c>
      <c r="AC774" s="9"/>
      <c r="AD774" s="9"/>
      <c r="AE774" s="9" t="e">
        <f>IF(#REF!=#REF!,1,0)</f>
        <v>#REF!</v>
      </c>
      <c r="AF774" s="8"/>
      <c r="AG774" s="8"/>
      <c r="AH774" s="8"/>
      <c r="AI774" s="8"/>
    </row>
    <row r="775" spans="2:35" s="3" customFormat="1" x14ac:dyDescent="0.25">
      <c r="B775" s="4" t="e">
        <f>IF(AE775=0,"",1+(MAX(B$7:B774)))</f>
        <v>#REF!</v>
      </c>
      <c r="C775" s="51"/>
      <c r="D775" s="52"/>
      <c r="E775" s="53"/>
      <c r="F775" s="2"/>
      <c r="G775" s="2"/>
      <c r="H775" s="2"/>
      <c r="I775" s="2"/>
      <c r="J775" s="2"/>
      <c r="K775" s="2"/>
      <c r="L775" s="2"/>
      <c r="M775" s="2"/>
      <c r="N775" s="2"/>
      <c r="O775" s="7">
        <f t="shared" si="41"/>
        <v>0</v>
      </c>
      <c r="P775" s="2"/>
      <c r="Q775" s="2"/>
      <c r="R775" s="2"/>
      <c r="S775" s="2"/>
      <c r="T775" s="2"/>
      <c r="U775" s="2"/>
      <c r="V775" s="2"/>
      <c r="W775" s="2"/>
      <c r="X775" s="2"/>
      <c r="Y775" s="2"/>
      <c r="Z775" s="2"/>
      <c r="AA775" s="7">
        <f t="shared" si="42"/>
        <v>0</v>
      </c>
      <c r="AB775" s="7">
        <f t="shared" si="43"/>
        <v>0</v>
      </c>
      <c r="AC775" s="9"/>
      <c r="AD775" s="9"/>
      <c r="AE775" s="9" t="e">
        <f>IF(#REF!=#REF!,1,0)</f>
        <v>#REF!</v>
      </c>
      <c r="AF775" s="8"/>
      <c r="AG775" s="8"/>
      <c r="AH775" s="8"/>
      <c r="AI775" s="8"/>
    </row>
    <row r="776" spans="2:35" s="3" customFormat="1" x14ac:dyDescent="0.25">
      <c r="B776" s="4" t="e">
        <f>IF(AE776=0,"",1+(MAX(B$7:B775)))</f>
        <v>#REF!</v>
      </c>
      <c r="C776" s="51"/>
      <c r="D776" s="52"/>
      <c r="E776" s="53"/>
      <c r="F776" s="2"/>
      <c r="G776" s="2"/>
      <c r="H776" s="2"/>
      <c r="I776" s="2"/>
      <c r="J776" s="2"/>
      <c r="K776" s="2"/>
      <c r="L776" s="2"/>
      <c r="M776" s="2"/>
      <c r="N776" s="2"/>
      <c r="O776" s="7">
        <f t="shared" si="41"/>
        <v>0</v>
      </c>
      <c r="P776" s="2"/>
      <c r="Q776" s="2"/>
      <c r="R776" s="2"/>
      <c r="S776" s="2"/>
      <c r="T776" s="2"/>
      <c r="U776" s="2"/>
      <c r="V776" s="2"/>
      <c r="W776" s="2"/>
      <c r="X776" s="2"/>
      <c r="Y776" s="2"/>
      <c r="Z776" s="2"/>
      <c r="AA776" s="7">
        <f t="shared" si="42"/>
        <v>0</v>
      </c>
      <c r="AB776" s="7">
        <f t="shared" si="43"/>
        <v>0</v>
      </c>
      <c r="AC776" s="9"/>
      <c r="AD776" s="9"/>
      <c r="AE776" s="9" t="e">
        <f>IF(#REF!=#REF!,1,0)</f>
        <v>#REF!</v>
      </c>
      <c r="AF776" s="8"/>
      <c r="AG776" s="8"/>
      <c r="AH776" s="8"/>
      <c r="AI776" s="8"/>
    </row>
    <row r="777" spans="2:35" s="3" customFormat="1" x14ac:dyDescent="0.25">
      <c r="B777" s="4" t="e">
        <f>IF(AE777=0,"",1+(MAX(B$7:B776)))</f>
        <v>#REF!</v>
      </c>
      <c r="C777" s="51"/>
      <c r="D777" s="52"/>
      <c r="E777" s="53"/>
      <c r="F777" s="2"/>
      <c r="G777" s="2"/>
      <c r="H777" s="2"/>
      <c r="I777" s="2"/>
      <c r="J777" s="2"/>
      <c r="K777" s="2"/>
      <c r="L777" s="2"/>
      <c r="M777" s="2"/>
      <c r="N777" s="2"/>
      <c r="O777" s="7">
        <f t="shared" si="41"/>
        <v>0</v>
      </c>
      <c r="P777" s="2"/>
      <c r="Q777" s="2"/>
      <c r="R777" s="2"/>
      <c r="S777" s="2"/>
      <c r="T777" s="2"/>
      <c r="U777" s="2"/>
      <c r="V777" s="2"/>
      <c r="W777" s="2"/>
      <c r="X777" s="2"/>
      <c r="Y777" s="2"/>
      <c r="Z777" s="2"/>
      <c r="AA777" s="7">
        <f t="shared" si="42"/>
        <v>0</v>
      </c>
      <c r="AB777" s="7">
        <f t="shared" si="43"/>
        <v>0</v>
      </c>
      <c r="AC777" s="9"/>
      <c r="AD777" s="9"/>
      <c r="AE777" s="9" t="e">
        <f>IF(#REF!=#REF!,1,0)</f>
        <v>#REF!</v>
      </c>
      <c r="AF777" s="8"/>
      <c r="AG777" s="8"/>
      <c r="AH777" s="8"/>
      <c r="AI777" s="8"/>
    </row>
    <row r="778" spans="2:35" s="3" customFormat="1" x14ac:dyDescent="0.25">
      <c r="B778" s="4" t="e">
        <f>IF(AE778=0,"",1+(MAX(B$7:B777)))</f>
        <v>#REF!</v>
      </c>
      <c r="C778" s="51"/>
      <c r="D778" s="52"/>
      <c r="E778" s="53"/>
      <c r="F778" s="2"/>
      <c r="G778" s="2"/>
      <c r="H778" s="2"/>
      <c r="I778" s="2"/>
      <c r="J778" s="2"/>
      <c r="K778" s="2"/>
      <c r="L778" s="2"/>
      <c r="M778" s="2"/>
      <c r="N778" s="2"/>
      <c r="O778" s="7">
        <f t="shared" si="41"/>
        <v>0</v>
      </c>
      <c r="P778" s="2"/>
      <c r="Q778" s="2"/>
      <c r="R778" s="2"/>
      <c r="S778" s="2"/>
      <c r="T778" s="2"/>
      <c r="U778" s="2"/>
      <c r="V778" s="2"/>
      <c r="W778" s="2"/>
      <c r="X778" s="2"/>
      <c r="Y778" s="2"/>
      <c r="Z778" s="2"/>
      <c r="AA778" s="7">
        <f t="shared" si="42"/>
        <v>0</v>
      </c>
      <c r="AB778" s="7">
        <f t="shared" si="43"/>
        <v>0</v>
      </c>
      <c r="AC778" s="9"/>
      <c r="AD778" s="9"/>
      <c r="AE778" s="9" t="e">
        <f>IF(#REF!=#REF!,1,0)</f>
        <v>#REF!</v>
      </c>
      <c r="AF778" s="8"/>
      <c r="AG778" s="8"/>
      <c r="AH778" s="8"/>
      <c r="AI778" s="8"/>
    </row>
    <row r="779" spans="2:35" s="3" customFormat="1" x14ac:dyDescent="0.25">
      <c r="B779" s="4" t="e">
        <f>IF(AE779=0,"",1+(MAX(B$7:B778)))</f>
        <v>#REF!</v>
      </c>
      <c r="C779" s="51"/>
      <c r="D779" s="52"/>
      <c r="E779" s="53"/>
      <c r="F779" s="2"/>
      <c r="G779" s="2"/>
      <c r="H779" s="2"/>
      <c r="I779" s="2"/>
      <c r="J779" s="2"/>
      <c r="K779" s="2"/>
      <c r="L779" s="2"/>
      <c r="M779" s="2"/>
      <c r="N779" s="2"/>
      <c r="O779" s="7">
        <f t="shared" si="41"/>
        <v>0</v>
      </c>
      <c r="P779" s="2"/>
      <c r="Q779" s="2"/>
      <c r="R779" s="2"/>
      <c r="S779" s="2"/>
      <c r="T779" s="2"/>
      <c r="U779" s="2"/>
      <c r="V779" s="2"/>
      <c r="W779" s="2"/>
      <c r="X779" s="2"/>
      <c r="Y779" s="2"/>
      <c r="Z779" s="2"/>
      <c r="AA779" s="7">
        <f t="shared" si="42"/>
        <v>0</v>
      </c>
      <c r="AB779" s="7">
        <f t="shared" si="43"/>
        <v>0</v>
      </c>
      <c r="AC779" s="9"/>
      <c r="AD779" s="9"/>
      <c r="AE779" s="9" t="e">
        <f>IF(#REF!=#REF!,1,0)</f>
        <v>#REF!</v>
      </c>
      <c r="AF779" s="8"/>
      <c r="AG779" s="8"/>
      <c r="AH779" s="8"/>
      <c r="AI779" s="8"/>
    </row>
    <row r="780" spans="2:35" s="3" customFormat="1" x14ac:dyDescent="0.25">
      <c r="B780" s="4" t="e">
        <f>IF(AE780=0,"",1+(MAX(B$7:B779)))</f>
        <v>#REF!</v>
      </c>
      <c r="C780" s="51"/>
      <c r="D780" s="52"/>
      <c r="E780" s="53"/>
      <c r="F780" s="2"/>
      <c r="G780" s="2"/>
      <c r="H780" s="2"/>
      <c r="I780" s="2"/>
      <c r="J780" s="2"/>
      <c r="K780" s="2"/>
      <c r="L780" s="2"/>
      <c r="M780" s="2"/>
      <c r="N780" s="2"/>
      <c r="O780" s="7">
        <f t="shared" si="41"/>
        <v>0</v>
      </c>
      <c r="P780" s="2"/>
      <c r="Q780" s="2"/>
      <c r="R780" s="2"/>
      <c r="S780" s="2"/>
      <c r="T780" s="2"/>
      <c r="U780" s="2"/>
      <c r="V780" s="2"/>
      <c r="W780" s="2"/>
      <c r="X780" s="2"/>
      <c r="Y780" s="2"/>
      <c r="Z780" s="2"/>
      <c r="AA780" s="7">
        <f t="shared" si="42"/>
        <v>0</v>
      </c>
      <c r="AB780" s="7">
        <f t="shared" si="43"/>
        <v>0</v>
      </c>
      <c r="AC780" s="9"/>
      <c r="AD780" s="9"/>
      <c r="AE780" s="9" t="e">
        <f>IF(#REF!=#REF!,1,0)</f>
        <v>#REF!</v>
      </c>
      <c r="AF780" s="8"/>
      <c r="AG780" s="8"/>
      <c r="AH780" s="8"/>
      <c r="AI780" s="8"/>
    </row>
    <row r="781" spans="2:35" s="3" customFormat="1" x14ac:dyDescent="0.25">
      <c r="B781" s="4" t="e">
        <f>IF(AE781=0,"",1+(MAX(B$7:B780)))</f>
        <v>#REF!</v>
      </c>
      <c r="C781" s="51"/>
      <c r="D781" s="52"/>
      <c r="E781" s="53"/>
      <c r="F781" s="2"/>
      <c r="G781" s="2"/>
      <c r="H781" s="2"/>
      <c r="I781" s="2"/>
      <c r="J781" s="2"/>
      <c r="K781" s="2"/>
      <c r="L781" s="2"/>
      <c r="M781" s="2"/>
      <c r="N781" s="2"/>
      <c r="O781" s="7">
        <f t="shared" si="41"/>
        <v>0</v>
      </c>
      <c r="P781" s="2"/>
      <c r="Q781" s="2"/>
      <c r="R781" s="2"/>
      <c r="S781" s="2"/>
      <c r="T781" s="2"/>
      <c r="U781" s="2"/>
      <c r="V781" s="2"/>
      <c r="W781" s="2"/>
      <c r="X781" s="2"/>
      <c r="Y781" s="2"/>
      <c r="Z781" s="2"/>
      <c r="AA781" s="7">
        <f t="shared" si="42"/>
        <v>0</v>
      </c>
      <c r="AB781" s="7">
        <f t="shared" si="43"/>
        <v>0</v>
      </c>
      <c r="AC781" s="9"/>
      <c r="AD781" s="9"/>
      <c r="AE781" s="9" t="e">
        <f>IF(#REF!=#REF!,1,0)</f>
        <v>#REF!</v>
      </c>
      <c r="AF781" s="8"/>
      <c r="AG781" s="8"/>
      <c r="AH781" s="8"/>
      <c r="AI781" s="8"/>
    </row>
    <row r="782" spans="2:35" s="3" customFormat="1" x14ac:dyDescent="0.25">
      <c r="B782" s="4" t="e">
        <f>IF(AE782=0,"",1+(MAX(B$7:B781)))</f>
        <v>#REF!</v>
      </c>
      <c r="C782" s="51"/>
      <c r="D782" s="52"/>
      <c r="E782" s="53"/>
      <c r="F782" s="2"/>
      <c r="G782" s="2"/>
      <c r="H782" s="2"/>
      <c r="I782" s="2"/>
      <c r="J782" s="2"/>
      <c r="K782" s="2"/>
      <c r="L782" s="2"/>
      <c r="M782" s="2"/>
      <c r="N782" s="2"/>
      <c r="O782" s="7">
        <f t="shared" si="41"/>
        <v>0</v>
      </c>
      <c r="P782" s="2"/>
      <c r="Q782" s="2"/>
      <c r="R782" s="2"/>
      <c r="S782" s="2"/>
      <c r="T782" s="2"/>
      <c r="U782" s="2"/>
      <c r="V782" s="2"/>
      <c r="W782" s="2"/>
      <c r="X782" s="2"/>
      <c r="Y782" s="2"/>
      <c r="Z782" s="2"/>
      <c r="AA782" s="7">
        <f t="shared" si="42"/>
        <v>0</v>
      </c>
      <c r="AB782" s="7">
        <f t="shared" si="43"/>
        <v>0</v>
      </c>
      <c r="AC782" s="9"/>
      <c r="AD782" s="9"/>
      <c r="AE782" s="9" t="e">
        <f>IF(#REF!=#REF!,1,0)</f>
        <v>#REF!</v>
      </c>
      <c r="AF782" s="8"/>
      <c r="AG782" s="8"/>
      <c r="AH782" s="8"/>
      <c r="AI782" s="8"/>
    </row>
    <row r="783" spans="2:35" s="3" customFormat="1" x14ac:dyDescent="0.25">
      <c r="B783" s="4" t="e">
        <f>IF(AE783=0,"",1+(MAX(B$7:B782)))</f>
        <v>#REF!</v>
      </c>
      <c r="C783" s="51"/>
      <c r="D783" s="52"/>
      <c r="E783" s="53"/>
      <c r="F783" s="2"/>
      <c r="G783" s="2"/>
      <c r="H783" s="2"/>
      <c r="I783" s="2"/>
      <c r="J783" s="2"/>
      <c r="K783" s="2"/>
      <c r="L783" s="2"/>
      <c r="M783" s="2"/>
      <c r="N783" s="2"/>
      <c r="O783" s="7">
        <f t="shared" si="41"/>
        <v>0</v>
      </c>
      <c r="P783" s="2"/>
      <c r="Q783" s="2"/>
      <c r="R783" s="2"/>
      <c r="S783" s="2"/>
      <c r="T783" s="2"/>
      <c r="U783" s="2"/>
      <c r="V783" s="2"/>
      <c r="W783" s="2"/>
      <c r="X783" s="2"/>
      <c r="Y783" s="2"/>
      <c r="Z783" s="2"/>
      <c r="AA783" s="7">
        <f t="shared" si="42"/>
        <v>0</v>
      </c>
      <c r="AB783" s="7">
        <f t="shared" si="43"/>
        <v>0</v>
      </c>
      <c r="AC783" s="9"/>
      <c r="AD783" s="9"/>
      <c r="AE783" s="9" t="e">
        <f>IF(#REF!=#REF!,1,0)</f>
        <v>#REF!</v>
      </c>
      <c r="AF783" s="8"/>
      <c r="AG783" s="8"/>
      <c r="AH783" s="8"/>
      <c r="AI783" s="8"/>
    </row>
    <row r="784" spans="2:35" s="3" customFormat="1" x14ac:dyDescent="0.25">
      <c r="B784" s="4" t="e">
        <f>IF(AE784=0,"",1+(MAX(B$7:B783)))</f>
        <v>#REF!</v>
      </c>
      <c r="C784" s="51"/>
      <c r="D784" s="52"/>
      <c r="E784" s="53"/>
      <c r="F784" s="2"/>
      <c r="G784" s="2"/>
      <c r="H784" s="2"/>
      <c r="I784" s="2"/>
      <c r="J784" s="2"/>
      <c r="K784" s="2"/>
      <c r="L784" s="2"/>
      <c r="M784" s="2"/>
      <c r="N784" s="2"/>
      <c r="O784" s="7">
        <f t="shared" si="41"/>
        <v>0</v>
      </c>
      <c r="P784" s="2"/>
      <c r="Q784" s="2"/>
      <c r="R784" s="2"/>
      <c r="S784" s="2"/>
      <c r="T784" s="2"/>
      <c r="U784" s="2"/>
      <c r="V784" s="2"/>
      <c r="W784" s="2"/>
      <c r="X784" s="2"/>
      <c r="Y784" s="2"/>
      <c r="Z784" s="2"/>
      <c r="AA784" s="7">
        <f t="shared" si="42"/>
        <v>0</v>
      </c>
      <c r="AB784" s="7">
        <f t="shared" si="43"/>
        <v>0</v>
      </c>
      <c r="AC784" s="9"/>
      <c r="AD784" s="9"/>
      <c r="AE784" s="9" t="e">
        <f>IF(#REF!=#REF!,1,0)</f>
        <v>#REF!</v>
      </c>
      <c r="AF784" s="8"/>
      <c r="AG784" s="8"/>
      <c r="AH784" s="8"/>
      <c r="AI784" s="8"/>
    </row>
    <row r="785" spans="2:35" s="3" customFormat="1" x14ac:dyDescent="0.25">
      <c r="B785" s="4" t="e">
        <f>IF(AE785=0,"",1+(MAX(B$7:B784)))</f>
        <v>#REF!</v>
      </c>
      <c r="C785" s="51"/>
      <c r="D785" s="52"/>
      <c r="E785" s="53"/>
      <c r="F785" s="2"/>
      <c r="G785" s="2"/>
      <c r="H785" s="2"/>
      <c r="I785" s="2"/>
      <c r="J785" s="2"/>
      <c r="K785" s="2"/>
      <c r="L785" s="2"/>
      <c r="M785" s="2"/>
      <c r="N785" s="2"/>
      <c r="O785" s="7">
        <f t="shared" si="41"/>
        <v>0</v>
      </c>
      <c r="P785" s="2"/>
      <c r="Q785" s="2"/>
      <c r="R785" s="2"/>
      <c r="S785" s="2"/>
      <c r="T785" s="2"/>
      <c r="U785" s="2"/>
      <c r="V785" s="2"/>
      <c r="W785" s="2"/>
      <c r="X785" s="2"/>
      <c r="Y785" s="2"/>
      <c r="Z785" s="2"/>
      <c r="AA785" s="7">
        <f t="shared" si="42"/>
        <v>0</v>
      </c>
      <c r="AB785" s="7">
        <f t="shared" si="43"/>
        <v>0</v>
      </c>
      <c r="AC785" s="9"/>
      <c r="AD785" s="9"/>
      <c r="AE785" s="9" t="e">
        <f>IF(#REF!=#REF!,1,0)</f>
        <v>#REF!</v>
      </c>
      <c r="AF785" s="8"/>
      <c r="AG785" s="8"/>
      <c r="AH785" s="8"/>
      <c r="AI785" s="8"/>
    </row>
    <row r="786" spans="2:35" s="3" customFormat="1" x14ac:dyDescent="0.25">
      <c r="B786" s="4" t="e">
        <f>IF(AE786=0,"",1+(MAX(B$7:B785)))</f>
        <v>#REF!</v>
      </c>
      <c r="C786" s="51"/>
      <c r="D786" s="52"/>
      <c r="E786" s="53"/>
      <c r="F786" s="2"/>
      <c r="G786" s="2"/>
      <c r="H786" s="2"/>
      <c r="I786" s="2"/>
      <c r="J786" s="2"/>
      <c r="K786" s="2"/>
      <c r="L786" s="2"/>
      <c r="M786" s="2"/>
      <c r="N786" s="2"/>
      <c r="O786" s="7">
        <f t="shared" si="41"/>
        <v>0</v>
      </c>
      <c r="P786" s="2"/>
      <c r="Q786" s="2"/>
      <c r="R786" s="2"/>
      <c r="S786" s="2"/>
      <c r="T786" s="2"/>
      <c r="U786" s="2"/>
      <c r="V786" s="2"/>
      <c r="W786" s="2"/>
      <c r="X786" s="2"/>
      <c r="Y786" s="2"/>
      <c r="Z786" s="2"/>
      <c r="AA786" s="7">
        <f t="shared" si="42"/>
        <v>0</v>
      </c>
      <c r="AB786" s="7">
        <f t="shared" si="43"/>
        <v>0</v>
      </c>
      <c r="AC786" s="9"/>
      <c r="AD786" s="9"/>
      <c r="AE786" s="9" t="e">
        <f>IF(#REF!=#REF!,1,0)</f>
        <v>#REF!</v>
      </c>
      <c r="AF786" s="8"/>
      <c r="AG786" s="8"/>
      <c r="AH786" s="8"/>
      <c r="AI786" s="8"/>
    </row>
    <row r="787" spans="2:35" s="3" customFormat="1" x14ac:dyDescent="0.25">
      <c r="B787" s="4" t="e">
        <f>IF(AE787=0,"",1+(MAX(B$7:B786)))</f>
        <v>#REF!</v>
      </c>
      <c r="C787" s="51"/>
      <c r="D787" s="52"/>
      <c r="E787" s="53"/>
      <c r="F787" s="2"/>
      <c r="G787" s="2"/>
      <c r="H787" s="2"/>
      <c r="I787" s="2"/>
      <c r="J787" s="2"/>
      <c r="K787" s="2"/>
      <c r="L787" s="2"/>
      <c r="M787" s="2"/>
      <c r="N787" s="2"/>
      <c r="O787" s="7">
        <f t="shared" si="41"/>
        <v>0</v>
      </c>
      <c r="P787" s="2"/>
      <c r="Q787" s="2"/>
      <c r="R787" s="2"/>
      <c r="S787" s="2"/>
      <c r="T787" s="2"/>
      <c r="U787" s="2"/>
      <c r="V787" s="2"/>
      <c r="W787" s="2"/>
      <c r="X787" s="2"/>
      <c r="Y787" s="2"/>
      <c r="Z787" s="2"/>
      <c r="AA787" s="7">
        <f t="shared" si="42"/>
        <v>0</v>
      </c>
      <c r="AB787" s="7">
        <f t="shared" si="43"/>
        <v>0</v>
      </c>
      <c r="AC787" s="9"/>
      <c r="AD787" s="9"/>
      <c r="AE787" s="9" t="e">
        <f>IF(#REF!=#REF!,1,0)</f>
        <v>#REF!</v>
      </c>
      <c r="AF787" s="8"/>
      <c r="AG787" s="8"/>
      <c r="AH787" s="8"/>
      <c r="AI787" s="8"/>
    </row>
    <row r="788" spans="2:35" s="3" customFormat="1" x14ac:dyDescent="0.25">
      <c r="B788" s="4" t="e">
        <f>IF(AE788=0,"",1+(MAX(B$7:B787)))</f>
        <v>#REF!</v>
      </c>
      <c r="C788" s="51"/>
      <c r="D788" s="52"/>
      <c r="E788" s="53"/>
      <c r="F788" s="2"/>
      <c r="G788" s="2"/>
      <c r="H788" s="2"/>
      <c r="I788" s="2"/>
      <c r="J788" s="2"/>
      <c r="K788" s="2"/>
      <c r="L788" s="2"/>
      <c r="M788" s="2"/>
      <c r="N788" s="2"/>
      <c r="O788" s="7">
        <f t="shared" ref="O788:O851" si="44">SUM(F788:N788)</f>
        <v>0</v>
      </c>
      <c r="P788" s="2"/>
      <c r="Q788" s="2"/>
      <c r="R788" s="2"/>
      <c r="S788" s="2"/>
      <c r="T788" s="2"/>
      <c r="U788" s="2"/>
      <c r="V788" s="2"/>
      <c r="W788" s="2"/>
      <c r="X788" s="2"/>
      <c r="Y788" s="2"/>
      <c r="Z788" s="2"/>
      <c r="AA788" s="7">
        <f t="shared" si="42"/>
        <v>0</v>
      </c>
      <c r="AB788" s="7">
        <f t="shared" si="43"/>
        <v>0</v>
      </c>
      <c r="AC788" s="9"/>
      <c r="AD788" s="9"/>
      <c r="AE788" s="9" t="e">
        <f>IF(#REF!=#REF!,1,0)</f>
        <v>#REF!</v>
      </c>
      <c r="AF788" s="8"/>
      <c r="AG788" s="8"/>
      <c r="AH788" s="8"/>
      <c r="AI788" s="8"/>
    </row>
    <row r="789" spans="2:35" s="3" customFormat="1" x14ac:dyDescent="0.25">
      <c r="B789" s="4" t="e">
        <f>IF(AE789=0,"",1+(MAX(B$7:B788)))</f>
        <v>#REF!</v>
      </c>
      <c r="C789" s="51"/>
      <c r="D789" s="52"/>
      <c r="E789" s="53"/>
      <c r="F789" s="2"/>
      <c r="G789" s="2"/>
      <c r="H789" s="2"/>
      <c r="I789" s="2"/>
      <c r="J789" s="2"/>
      <c r="K789" s="2"/>
      <c r="L789" s="2"/>
      <c r="M789" s="2"/>
      <c r="N789" s="2"/>
      <c r="O789" s="7">
        <f t="shared" si="44"/>
        <v>0</v>
      </c>
      <c r="P789" s="2"/>
      <c r="Q789" s="2"/>
      <c r="R789" s="2"/>
      <c r="S789" s="2"/>
      <c r="T789" s="2"/>
      <c r="U789" s="2"/>
      <c r="V789" s="2"/>
      <c r="W789" s="2"/>
      <c r="X789" s="2"/>
      <c r="Y789" s="2"/>
      <c r="Z789" s="2"/>
      <c r="AA789" s="7">
        <f t="shared" si="42"/>
        <v>0</v>
      </c>
      <c r="AB789" s="7">
        <f t="shared" si="43"/>
        <v>0</v>
      </c>
      <c r="AC789" s="9"/>
      <c r="AD789" s="9"/>
      <c r="AE789" s="9" t="e">
        <f>IF(#REF!=#REF!,1,0)</f>
        <v>#REF!</v>
      </c>
      <c r="AF789" s="8"/>
      <c r="AG789" s="8"/>
      <c r="AH789" s="8"/>
      <c r="AI789" s="8"/>
    </row>
    <row r="790" spans="2:35" s="3" customFormat="1" x14ac:dyDescent="0.25">
      <c r="B790" s="4" t="e">
        <f>IF(AE790=0,"",1+(MAX(B$7:B789)))</f>
        <v>#REF!</v>
      </c>
      <c r="C790" s="51"/>
      <c r="D790" s="52"/>
      <c r="E790" s="53"/>
      <c r="F790" s="2"/>
      <c r="G790" s="2"/>
      <c r="H790" s="2"/>
      <c r="I790" s="2"/>
      <c r="J790" s="2"/>
      <c r="K790" s="2"/>
      <c r="L790" s="2"/>
      <c r="M790" s="2"/>
      <c r="N790" s="2"/>
      <c r="O790" s="7">
        <f t="shared" si="44"/>
        <v>0</v>
      </c>
      <c r="P790" s="2"/>
      <c r="Q790" s="2"/>
      <c r="R790" s="2"/>
      <c r="S790" s="2"/>
      <c r="T790" s="2"/>
      <c r="U790" s="2"/>
      <c r="V790" s="2"/>
      <c r="W790" s="2"/>
      <c r="X790" s="2"/>
      <c r="Y790" s="2"/>
      <c r="Z790" s="2"/>
      <c r="AA790" s="7">
        <f t="shared" si="42"/>
        <v>0</v>
      </c>
      <c r="AB790" s="7">
        <f t="shared" si="43"/>
        <v>0</v>
      </c>
      <c r="AC790" s="9"/>
      <c r="AD790" s="9"/>
      <c r="AE790" s="9" t="e">
        <f>IF(#REF!=#REF!,1,0)</f>
        <v>#REF!</v>
      </c>
      <c r="AF790" s="8"/>
      <c r="AG790" s="8"/>
      <c r="AH790" s="8"/>
      <c r="AI790" s="8"/>
    </row>
    <row r="791" spans="2:35" s="3" customFormat="1" x14ac:dyDescent="0.25">
      <c r="B791" s="4" t="e">
        <f>IF(AE791=0,"",1+(MAX(B$7:B790)))</f>
        <v>#REF!</v>
      </c>
      <c r="C791" s="51"/>
      <c r="D791" s="52"/>
      <c r="E791" s="53"/>
      <c r="F791" s="2"/>
      <c r="G791" s="2"/>
      <c r="H791" s="2"/>
      <c r="I791" s="2"/>
      <c r="J791" s="2"/>
      <c r="K791" s="2"/>
      <c r="L791" s="2"/>
      <c r="M791" s="2"/>
      <c r="N791" s="2"/>
      <c r="O791" s="7">
        <f t="shared" si="44"/>
        <v>0</v>
      </c>
      <c r="P791" s="2"/>
      <c r="Q791" s="2"/>
      <c r="R791" s="2"/>
      <c r="S791" s="2"/>
      <c r="T791" s="2"/>
      <c r="U791" s="2"/>
      <c r="V791" s="2"/>
      <c r="W791" s="2"/>
      <c r="X791" s="2"/>
      <c r="Y791" s="2"/>
      <c r="Z791" s="2"/>
      <c r="AA791" s="7">
        <f t="shared" si="42"/>
        <v>0</v>
      </c>
      <c r="AB791" s="7">
        <f t="shared" si="43"/>
        <v>0</v>
      </c>
      <c r="AC791" s="9"/>
      <c r="AD791" s="9"/>
      <c r="AE791" s="9" t="e">
        <f>IF(#REF!=#REF!,1,0)</f>
        <v>#REF!</v>
      </c>
      <c r="AF791" s="8"/>
      <c r="AG791" s="8"/>
      <c r="AH791" s="8"/>
      <c r="AI791" s="8"/>
    </row>
    <row r="792" spans="2:35" s="3" customFormat="1" x14ac:dyDescent="0.25">
      <c r="B792" s="4" t="e">
        <f>IF(AE792=0,"",1+(MAX(B$7:B791)))</f>
        <v>#REF!</v>
      </c>
      <c r="C792" s="51"/>
      <c r="D792" s="52"/>
      <c r="E792" s="53"/>
      <c r="F792" s="2"/>
      <c r="G792" s="2"/>
      <c r="H792" s="2"/>
      <c r="I792" s="2"/>
      <c r="J792" s="2"/>
      <c r="K792" s="2"/>
      <c r="L792" s="2"/>
      <c r="M792" s="2"/>
      <c r="N792" s="2"/>
      <c r="O792" s="7">
        <f t="shared" si="44"/>
        <v>0</v>
      </c>
      <c r="P792" s="2"/>
      <c r="Q792" s="2"/>
      <c r="R792" s="2"/>
      <c r="S792" s="2"/>
      <c r="T792" s="2"/>
      <c r="U792" s="2"/>
      <c r="V792" s="2"/>
      <c r="W792" s="2"/>
      <c r="X792" s="2"/>
      <c r="Y792" s="2"/>
      <c r="Z792" s="2"/>
      <c r="AA792" s="7">
        <f t="shared" si="42"/>
        <v>0</v>
      </c>
      <c r="AB792" s="7">
        <f t="shared" si="43"/>
        <v>0</v>
      </c>
      <c r="AC792" s="9"/>
      <c r="AD792" s="9"/>
      <c r="AE792" s="9" t="e">
        <f>IF(#REF!=#REF!,1,0)</f>
        <v>#REF!</v>
      </c>
      <c r="AF792" s="8"/>
      <c r="AG792" s="8"/>
      <c r="AH792" s="8"/>
      <c r="AI792" s="8"/>
    </row>
    <row r="793" spans="2:35" s="3" customFormat="1" x14ac:dyDescent="0.25">
      <c r="B793" s="4" t="e">
        <f>IF(AE793=0,"",1+(MAX(B$7:B792)))</f>
        <v>#REF!</v>
      </c>
      <c r="C793" s="51"/>
      <c r="D793" s="52"/>
      <c r="E793" s="53"/>
      <c r="F793" s="2"/>
      <c r="G793" s="2"/>
      <c r="H793" s="2"/>
      <c r="I793" s="2"/>
      <c r="J793" s="2"/>
      <c r="K793" s="2"/>
      <c r="L793" s="2"/>
      <c r="M793" s="2"/>
      <c r="N793" s="2"/>
      <c r="O793" s="7">
        <f t="shared" si="44"/>
        <v>0</v>
      </c>
      <c r="P793" s="2"/>
      <c r="Q793" s="2"/>
      <c r="R793" s="2"/>
      <c r="S793" s="2"/>
      <c r="T793" s="2"/>
      <c r="U793" s="2"/>
      <c r="V793" s="2"/>
      <c r="W793" s="2"/>
      <c r="X793" s="2"/>
      <c r="Y793" s="2"/>
      <c r="Z793" s="2"/>
      <c r="AA793" s="7">
        <f t="shared" si="42"/>
        <v>0</v>
      </c>
      <c r="AB793" s="7">
        <f t="shared" si="43"/>
        <v>0</v>
      </c>
      <c r="AC793" s="9"/>
      <c r="AD793" s="9"/>
      <c r="AE793" s="9" t="e">
        <f>IF(#REF!=#REF!,1,0)</f>
        <v>#REF!</v>
      </c>
      <c r="AF793" s="8"/>
      <c r="AG793" s="8"/>
      <c r="AH793" s="8"/>
      <c r="AI793" s="8"/>
    </row>
    <row r="794" spans="2:35" s="3" customFormat="1" x14ac:dyDescent="0.25">
      <c r="B794" s="4" t="e">
        <f>IF(AE794=0,"",1+(MAX(B$7:B793)))</f>
        <v>#REF!</v>
      </c>
      <c r="C794" s="51"/>
      <c r="D794" s="52"/>
      <c r="E794" s="53"/>
      <c r="F794" s="2"/>
      <c r="G794" s="2"/>
      <c r="H794" s="2"/>
      <c r="I794" s="2"/>
      <c r="J794" s="2"/>
      <c r="K794" s="2"/>
      <c r="L794" s="2"/>
      <c r="M794" s="2"/>
      <c r="N794" s="2"/>
      <c r="O794" s="7">
        <f t="shared" si="44"/>
        <v>0</v>
      </c>
      <c r="P794" s="2"/>
      <c r="Q794" s="2"/>
      <c r="R794" s="2"/>
      <c r="S794" s="2"/>
      <c r="T794" s="2"/>
      <c r="U794" s="2"/>
      <c r="V794" s="2"/>
      <c r="W794" s="2"/>
      <c r="X794" s="2"/>
      <c r="Y794" s="2"/>
      <c r="Z794" s="2"/>
      <c r="AA794" s="7">
        <f t="shared" si="42"/>
        <v>0</v>
      </c>
      <c r="AB794" s="7">
        <f t="shared" si="43"/>
        <v>0</v>
      </c>
      <c r="AC794" s="9"/>
      <c r="AD794" s="9"/>
      <c r="AE794" s="9" t="e">
        <f>IF(#REF!=#REF!,1,0)</f>
        <v>#REF!</v>
      </c>
      <c r="AF794" s="8"/>
      <c r="AG794" s="8"/>
      <c r="AH794" s="8"/>
      <c r="AI794" s="8"/>
    </row>
    <row r="795" spans="2:35" s="3" customFormat="1" x14ac:dyDescent="0.25">
      <c r="B795" s="4" t="e">
        <f>IF(AE795=0,"",1+(MAX(B$7:B794)))</f>
        <v>#REF!</v>
      </c>
      <c r="C795" s="51"/>
      <c r="D795" s="52"/>
      <c r="E795" s="53"/>
      <c r="F795" s="2"/>
      <c r="G795" s="2"/>
      <c r="H795" s="2"/>
      <c r="I795" s="2"/>
      <c r="J795" s="2"/>
      <c r="K795" s="2"/>
      <c r="L795" s="2"/>
      <c r="M795" s="2"/>
      <c r="N795" s="2"/>
      <c r="O795" s="7">
        <f t="shared" si="44"/>
        <v>0</v>
      </c>
      <c r="P795" s="2"/>
      <c r="Q795" s="2"/>
      <c r="R795" s="2"/>
      <c r="S795" s="2"/>
      <c r="T795" s="2"/>
      <c r="U795" s="2"/>
      <c r="V795" s="2"/>
      <c r="W795" s="2"/>
      <c r="X795" s="2"/>
      <c r="Y795" s="2"/>
      <c r="Z795" s="2"/>
      <c r="AA795" s="7">
        <f t="shared" ref="AA795:AA858" si="45">SUM(P795:Z795)</f>
        <v>0</v>
      </c>
      <c r="AB795" s="7">
        <f t="shared" ref="AB795:AB858" si="46">O795-AA795</f>
        <v>0</v>
      </c>
      <c r="AC795" s="9"/>
      <c r="AD795" s="9"/>
      <c r="AE795" s="9" t="e">
        <f>IF(#REF!=#REF!,1,0)</f>
        <v>#REF!</v>
      </c>
      <c r="AF795" s="8"/>
      <c r="AG795" s="8"/>
      <c r="AH795" s="8"/>
      <c r="AI795" s="8"/>
    </row>
    <row r="796" spans="2:35" s="3" customFormat="1" x14ac:dyDescent="0.25">
      <c r="B796" s="4" t="e">
        <f>IF(AE796=0,"",1+(MAX(B$7:B795)))</f>
        <v>#REF!</v>
      </c>
      <c r="C796" s="51"/>
      <c r="D796" s="52"/>
      <c r="E796" s="53"/>
      <c r="F796" s="2"/>
      <c r="G796" s="2"/>
      <c r="H796" s="2"/>
      <c r="I796" s="2"/>
      <c r="J796" s="2"/>
      <c r="K796" s="2"/>
      <c r="L796" s="2"/>
      <c r="M796" s="2"/>
      <c r="N796" s="2"/>
      <c r="O796" s="7">
        <f t="shared" si="44"/>
        <v>0</v>
      </c>
      <c r="P796" s="2"/>
      <c r="Q796" s="2"/>
      <c r="R796" s="2"/>
      <c r="S796" s="2"/>
      <c r="T796" s="2"/>
      <c r="U796" s="2"/>
      <c r="V796" s="2"/>
      <c r="W796" s="2"/>
      <c r="X796" s="2"/>
      <c r="Y796" s="2"/>
      <c r="Z796" s="2"/>
      <c r="AA796" s="7">
        <f t="shared" si="45"/>
        <v>0</v>
      </c>
      <c r="AB796" s="7">
        <f t="shared" si="46"/>
        <v>0</v>
      </c>
      <c r="AC796" s="9"/>
      <c r="AD796" s="9"/>
      <c r="AE796" s="9" t="e">
        <f>IF(#REF!=#REF!,1,0)</f>
        <v>#REF!</v>
      </c>
      <c r="AF796" s="8"/>
      <c r="AG796" s="8"/>
      <c r="AH796" s="8"/>
      <c r="AI796" s="8"/>
    </row>
    <row r="797" spans="2:35" s="3" customFormat="1" x14ac:dyDescent="0.25">
      <c r="B797" s="4" t="e">
        <f>IF(AE797=0,"",1+(MAX(B$7:B796)))</f>
        <v>#REF!</v>
      </c>
      <c r="C797" s="51"/>
      <c r="D797" s="52"/>
      <c r="E797" s="53"/>
      <c r="F797" s="2"/>
      <c r="G797" s="2"/>
      <c r="H797" s="2"/>
      <c r="I797" s="2"/>
      <c r="J797" s="2"/>
      <c r="K797" s="2"/>
      <c r="L797" s="2"/>
      <c r="M797" s="2"/>
      <c r="N797" s="2"/>
      <c r="O797" s="7">
        <f t="shared" si="44"/>
        <v>0</v>
      </c>
      <c r="P797" s="2"/>
      <c r="Q797" s="2"/>
      <c r="R797" s="2"/>
      <c r="S797" s="2"/>
      <c r="T797" s="2"/>
      <c r="U797" s="2"/>
      <c r="V797" s="2"/>
      <c r="W797" s="2"/>
      <c r="X797" s="2"/>
      <c r="Y797" s="2"/>
      <c r="Z797" s="2"/>
      <c r="AA797" s="7">
        <f t="shared" si="45"/>
        <v>0</v>
      </c>
      <c r="AB797" s="7">
        <f t="shared" si="46"/>
        <v>0</v>
      </c>
      <c r="AC797" s="9"/>
      <c r="AD797" s="9"/>
      <c r="AE797" s="9" t="e">
        <f>IF(#REF!=#REF!,1,0)</f>
        <v>#REF!</v>
      </c>
      <c r="AF797" s="8"/>
      <c r="AG797" s="8"/>
      <c r="AH797" s="8"/>
      <c r="AI797" s="8"/>
    </row>
    <row r="798" spans="2:35" s="3" customFormat="1" x14ac:dyDescent="0.25">
      <c r="B798" s="4" t="e">
        <f>IF(AE798=0,"",1+(MAX(B$7:B797)))</f>
        <v>#REF!</v>
      </c>
      <c r="C798" s="51"/>
      <c r="D798" s="52"/>
      <c r="E798" s="53"/>
      <c r="F798" s="2"/>
      <c r="G798" s="2"/>
      <c r="H798" s="2"/>
      <c r="I798" s="2"/>
      <c r="J798" s="2"/>
      <c r="K798" s="2"/>
      <c r="L798" s="2"/>
      <c r="M798" s="2"/>
      <c r="N798" s="2"/>
      <c r="O798" s="7">
        <f t="shared" si="44"/>
        <v>0</v>
      </c>
      <c r="P798" s="2"/>
      <c r="Q798" s="2"/>
      <c r="R798" s="2"/>
      <c r="S798" s="2"/>
      <c r="T798" s="2"/>
      <c r="U798" s="2"/>
      <c r="V798" s="2"/>
      <c r="W798" s="2"/>
      <c r="X798" s="2"/>
      <c r="Y798" s="2"/>
      <c r="Z798" s="2"/>
      <c r="AA798" s="7">
        <f t="shared" si="45"/>
        <v>0</v>
      </c>
      <c r="AB798" s="7">
        <f t="shared" si="46"/>
        <v>0</v>
      </c>
      <c r="AC798" s="9"/>
      <c r="AD798" s="9"/>
      <c r="AE798" s="9" t="e">
        <f>IF(#REF!=#REF!,1,0)</f>
        <v>#REF!</v>
      </c>
      <c r="AF798" s="8"/>
      <c r="AG798" s="8"/>
      <c r="AH798" s="8"/>
      <c r="AI798" s="8"/>
    </row>
    <row r="799" spans="2:35" s="3" customFormat="1" x14ac:dyDescent="0.25">
      <c r="B799" s="4" t="e">
        <f>IF(AE799=0,"",1+(MAX(B$7:B798)))</f>
        <v>#REF!</v>
      </c>
      <c r="C799" s="51"/>
      <c r="D799" s="52"/>
      <c r="E799" s="53"/>
      <c r="F799" s="2"/>
      <c r="G799" s="2"/>
      <c r="H799" s="2"/>
      <c r="I799" s="2"/>
      <c r="J799" s="2"/>
      <c r="K799" s="2"/>
      <c r="L799" s="2"/>
      <c r="M799" s="2"/>
      <c r="N799" s="2"/>
      <c r="O799" s="7">
        <f t="shared" si="44"/>
        <v>0</v>
      </c>
      <c r="P799" s="2"/>
      <c r="Q799" s="2"/>
      <c r="R799" s="2"/>
      <c r="S799" s="2"/>
      <c r="T799" s="2"/>
      <c r="U799" s="2"/>
      <c r="V799" s="2"/>
      <c r="W799" s="2"/>
      <c r="X799" s="2"/>
      <c r="Y799" s="2"/>
      <c r="Z799" s="2"/>
      <c r="AA799" s="7">
        <f t="shared" si="45"/>
        <v>0</v>
      </c>
      <c r="AB799" s="7">
        <f t="shared" si="46"/>
        <v>0</v>
      </c>
      <c r="AC799" s="9"/>
      <c r="AD799" s="9"/>
      <c r="AE799" s="9" t="e">
        <f>IF(#REF!=#REF!,1,0)</f>
        <v>#REF!</v>
      </c>
      <c r="AF799" s="8"/>
      <c r="AG799" s="8"/>
      <c r="AH799" s="8"/>
      <c r="AI799" s="8"/>
    </row>
    <row r="800" spans="2:35" s="3" customFormat="1" x14ac:dyDescent="0.25">
      <c r="B800" s="4" t="e">
        <f>IF(AE800=0,"",1+(MAX(B$7:B799)))</f>
        <v>#REF!</v>
      </c>
      <c r="C800" s="51"/>
      <c r="D800" s="52"/>
      <c r="E800" s="53"/>
      <c r="F800" s="2"/>
      <c r="G800" s="2"/>
      <c r="H800" s="2"/>
      <c r="I800" s="2"/>
      <c r="J800" s="2"/>
      <c r="K800" s="2"/>
      <c r="L800" s="2"/>
      <c r="M800" s="2"/>
      <c r="N800" s="2"/>
      <c r="O800" s="7">
        <f t="shared" si="44"/>
        <v>0</v>
      </c>
      <c r="P800" s="2"/>
      <c r="Q800" s="2"/>
      <c r="R800" s="2"/>
      <c r="S800" s="2"/>
      <c r="T800" s="2"/>
      <c r="U800" s="2"/>
      <c r="V800" s="2"/>
      <c r="W800" s="2"/>
      <c r="X800" s="2"/>
      <c r="Y800" s="2"/>
      <c r="Z800" s="2"/>
      <c r="AA800" s="7">
        <f t="shared" si="45"/>
        <v>0</v>
      </c>
      <c r="AB800" s="7">
        <f t="shared" si="46"/>
        <v>0</v>
      </c>
      <c r="AC800" s="9"/>
      <c r="AD800" s="9"/>
      <c r="AE800" s="9" t="e">
        <f>IF(#REF!=#REF!,1,0)</f>
        <v>#REF!</v>
      </c>
      <c r="AF800" s="8"/>
      <c r="AG800" s="8"/>
      <c r="AH800" s="8"/>
      <c r="AI800" s="8"/>
    </row>
    <row r="801" spans="2:35" s="3" customFormat="1" x14ac:dyDescent="0.25">
      <c r="B801" s="4" t="e">
        <f>IF(AE801=0,"",1+(MAX(B$7:B800)))</f>
        <v>#REF!</v>
      </c>
      <c r="C801" s="51"/>
      <c r="D801" s="52"/>
      <c r="E801" s="53"/>
      <c r="F801" s="2"/>
      <c r="G801" s="2"/>
      <c r="H801" s="2"/>
      <c r="I801" s="2"/>
      <c r="J801" s="2"/>
      <c r="K801" s="2"/>
      <c r="L801" s="2"/>
      <c r="M801" s="2"/>
      <c r="N801" s="2"/>
      <c r="O801" s="7">
        <f t="shared" si="44"/>
        <v>0</v>
      </c>
      <c r="P801" s="2"/>
      <c r="Q801" s="2"/>
      <c r="R801" s="2"/>
      <c r="S801" s="2"/>
      <c r="T801" s="2"/>
      <c r="U801" s="2"/>
      <c r="V801" s="2"/>
      <c r="W801" s="2"/>
      <c r="X801" s="2"/>
      <c r="Y801" s="2"/>
      <c r="Z801" s="2"/>
      <c r="AA801" s="7">
        <f t="shared" si="45"/>
        <v>0</v>
      </c>
      <c r="AB801" s="7">
        <f t="shared" si="46"/>
        <v>0</v>
      </c>
      <c r="AC801" s="9"/>
      <c r="AD801" s="9"/>
      <c r="AE801" s="9" t="e">
        <f>IF(#REF!=#REF!,1,0)</f>
        <v>#REF!</v>
      </c>
      <c r="AF801" s="8"/>
      <c r="AG801" s="8"/>
      <c r="AH801" s="8"/>
      <c r="AI801" s="8"/>
    </row>
    <row r="802" spans="2:35" s="3" customFormat="1" x14ac:dyDescent="0.25">
      <c r="B802" s="4" t="e">
        <f>IF(AE802=0,"",1+(MAX(B$7:B801)))</f>
        <v>#REF!</v>
      </c>
      <c r="C802" s="51"/>
      <c r="D802" s="52"/>
      <c r="E802" s="53"/>
      <c r="F802" s="2"/>
      <c r="G802" s="2"/>
      <c r="H802" s="2"/>
      <c r="I802" s="2"/>
      <c r="J802" s="2"/>
      <c r="K802" s="2"/>
      <c r="L802" s="2"/>
      <c r="M802" s="2"/>
      <c r="N802" s="2"/>
      <c r="O802" s="7">
        <f t="shared" si="44"/>
        <v>0</v>
      </c>
      <c r="P802" s="2"/>
      <c r="Q802" s="2"/>
      <c r="R802" s="2"/>
      <c r="S802" s="2"/>
      <c r="T802" s="2"/>
      <c r="U802" s="2"/>
      <c r="V802" s="2"/>
      <c r="W802" s="2"/>
      <c r="X802" s="2"/>
      <c r="Y802" s="2"/>
      <c r="Z802" s="2"/>
      <c r="AA802" s="7">
        <f t="shared" si="45"/>
        <v>0</v>
      </c>
      <c r="AB802" s="7">
        <f t="shared" si="46"/>
        <v>0</v>
      </c>
      <c r="AC802" s="9"/>
      <c r="AD802" s="9"/>
      <c r="AE802" s="9" t="e">
        <f>IF(#REF!=#REF!,1,0)</f>
        <v>#REF!</v>
      </c>
      <c r="AF802" s="8"/>
      <c r="AG802" s="8"/>
      <c r="AH802" s="8"/>
      <c r="AI802" s="8"/>
    </row>
    <row r="803" spans="2:35" s="3" customFormat="1" x14ac:dyDescent="0.25">
      <c r="B803" s="4" t="e">
        <f>IF(AE803=0,"",1+(MAX(B$7:B802)))</f>
        <v>#REF!</v>
      </c>
      <c r="C803" s="51"/>
      <c r="D803" s="52"/>
      <c r="E803" s="53"/>
      <c r="F803" s="2"/>
      <c r="G803" s="2"/>
      <c r="H803" s="2"/>
      <c r="I803" s="2"/>
      <c r="J803" s="2"/>
      <c r="K803" s="2"/>
      <c r="L803" s="2"/>
      <c r="M803" s="2"/>
      <c r="N803" s="2"/>
      <c r="O803" s="7">
        <f t="shared" si="44"/>
        <v>0</v>
      </c>
      <c r="P803" s="2"/>
      <c r="Q803" s="2"/>
      <c r="R803" s="2"/>
      <c r="S803" s="2"/>
      <c r="T803" s="2"/>
      <c r="U803" s="2"/>
      <c r="V803" s="2"/>
      <c r="W803" s="2"/>
      <c r="X803" s="2"/>
      <c r="Y803" s="2"/>
      <c r="Z803" s="2"/>
      <c r="AA803" s="7">
        <f t="shared" si="45"/>
        <v>0</v>
      </c>
      <c r="AB803" s="7">
        <f t="shared" si="46"/>
        <v>0</v>
      </c>
      <c r="AC803" s="9"/>
      <c r="AD803" s="9"/>
      <c r="AE803" s="9" t="e">
        <f>IF(#REF!=#REF!,1,0)</f>
        <v>#REF!</v>
      </c>
      <c r="AF803" s="8"/>
      <c r="AG803" s="8"/>
      <c r="AH803" s="8"/>
      <c r="AI803" s="8"/>
    </row>
    <row r="804" spans="2:35" s="3" customFormat="1" x14ac:dyDescent="0.25">
      <c r="B804" s="4" t="e">
        <f>IF(AE804=0,"",1+(MAX(B$7:B803)))</f>
        <v>#REF!</v>
      </c>
      <c r="C804" s="51"/>
      <c r="D804" s="52"/>
      <c r="E804" s="53"/>
      <c r="F804" s="2"/>
      <c r="G804" s="2"/>
      <c r="H804" s="2"/>
      <c r="I804" s="2"/>
      <c r="J804" s="2"/>
      <c r="K804" s="2"/>
      <c r="L804" s="2"/>
      <c r="M804" s="2"/>
      <c r="N804" s="2"/>
      <c r="O804" s="7">
        <f t="shared" si="44"/>
        <v>0</v>
      </c>
      <c r="P804" s="2"/>
      <c r="Q804" s="2"/>
      <c r="R804" s="2"/>
      <c r="S804" s="2"/>
      <c r="T804" s="2"/>
      <c r="U804" s="2"/>
      <c r="V804" s="2"/>
      <c r="W804" s="2"/>
      <c r="X804" s="2"/>
      <c r="Y804" s="2"/>
      <c r="Z804" s="2"/>
      <c r="AA804" s="7">
        <f t="shared" si="45"/>
        <v>0</v>
      </c>
      <c r="AB804" s="7">
        <f t="shared" si="46"/>
        <v>0</v>
      </c>
      <c r="AC804" s="9"/>
      <c r="AD804" s="9"/>
      <c r="AE804" s="9" t="e">
        <f>IF(#REF!=#REF!,1,0)</f>
        <v>#REF!</v>
      </c>
      <c r="AF804" s="8"/>
      <c r="AG804" s="8"/>
      <c r="AH804" s="8"/>
      <c r="AI804" s="8"/>
    </row>
    <row r="805" spans="2:35" s="3" customFormat="1" x14ac:dyDescent="0.25">
      <c r="B805" s="4" t="e">
        <f>IF(AE805=0,"",1+(MAX(B$7:B804)))</f>
        <v>#REF!</v>
      </c>
      <c r="C805" s="51"/>
      <c r="D805" s="52"/>
      <c r="E805" s="53"/>
      <c r="F805" s="2"/>
      <c r="G805" s="2"/>
      <c r="H805" s="2"/>
      <c r="I805" s="2"/>
      <c r="J805" s="2"/>
      <c r="K805" s="2"/>
      <c r="L805" s="2"/>
      <c r="M805" s="2"/>
      <c r="N805" s="2"/>
      <c r="O805" s="7">
        <f t="shared" si="44"/>
        <v>0</v>
      </c>
      <c r="P805" s="2"/>
      <c r="Q805" s="2"/>
      <c r="R805" s="2"/>
      <c r="S805" s="2"/>
      <c r="T805" s="2"/>
      <c r="U805" s="2"/>
      <c r="V805" s="2"/>
      <c r="W805" s="2"/>
      <c r="X805" s="2"/>
      <c r="Y805" s="2"/>
      <c r="Z805" s="2"/>
      <c r="AA805" s="7">
        <f t="shared" si="45"/>
        <v>0</v>
      </c>
      <c r="AB805" s="7">
        <f t="shared" si="46"/>
        <v>0</v>
      </c>
      <c r="AC805" s="9"/>
      <c r="AD805" s="9"/>
      <c r="AE805" s="9" t="e">
        <f>IF(#REF!=#REF!,1,0)</f>
        <v>#REF!</v>
      </c>
      <c r="AF805" s="8"/>
      <c r="AG805" s="8"/>
      <c r="AH805" s="8"/>
      <c r="AI805" s="8"/>
    </row>
    <row r="806" spans="2:35" s="3" customFormat="1" x14ac:dyDescent="0.25">
      <c r="B806" s="4" t="e">
        <f>IF(AE806=0,"",1+(MAX(B$7:B805)))</f>
        <v>#REF!</v>
      </c>
      <c r="C806" s="51"/>
      <c r="D806" s="52"/>
      <c r="E806" s="53"/>
      <c r="F806" s="2"/>
      <c r="G806" s="2"/>
      <c r="H806" s="2"/>
      <c r="I806" s="2"/>
      <c r="J806" s="2"/>
      <c r="K806" s="2"/>
      <c r="L806" s="2"/>
      <c r="M806" s="2"/>
      <c r="N806" s="2"/>
      <c r="O806" s="7">
        <f t="shared" si="44"/>
        <v>0</v>
      </c>
      <c r="P806" s="2"/>
      <c r="Q806" s="2"/>
      <c r="R806" s="2"/>
      <c r="S806" s="2"/>
      <c r="T806" s="2"/>
      <c r="U806" s="2"/>
      <c r="V806" s="2"/>
      <c r="W806" s="2"/>
      <c r="X806" s="2"/>
      <c r="Y806" s="2"/>
      <c r="Z806" s="2"/>
      <c r="AA806" s="7">
        <f t="shared" si="45"/>
        <v>0</v>
      </c>
      <c r="AB806" s="7">
        <f t="shared" si="46"/>
        <v>0</v>
      </c>
      <c r="AC806" s="9"/>
      <c r="AD806" s="9"/>
      <c r="AE806" s="9" t="e">
        <f>IF(#REF!=#REF!,1,0)</f>
        <v>#REF!</v>
      </c>
      <c r="AF806" s="8"/>
      <c r="AG806" s="8"/>
      <c r="AH806" s="8"/>
      <c r="AI806" s="8"/>
    </row>
    <row r="807" spans="2:35" s="3" customFormat="1" x14ac:dyDescent="0.25">
      <c r="B807" s="4" t="e">
        <f>IF(AE807=0,"",1+(MAX(B$7:B806)))</f>
        <v>#REF!</v>
      </c>
      <c r="C807" s="51"/>
      <c r="D807" s="52"/>
      <c r="E807" s="53"/>
      <c r="F807" s="2"/>
      <c r="G807" s="2"/>
      <c r="H807" s="2"/>
      <c r="I807" s="2"/>
      <c r="J807" s="2"/>
      <c r="K807" s="2"/>
      <c r="L807" s="2"/>
      <c r="M807" s="2"/>
      <c r="N807" s="2"/>
      <c r="O807" s="7">
        <f t="shared" si="44"/>
        <v>0</v>
      </c>
      <c r="P807" s="2"/>
      <c r="Q807" s="2"/>
      <c r="R807" s="2"/>
      <c r="S807" s="2"/>
      <c r="T807" s="2"/>
      <c r="U807" s="2"/>
      <c r="V807" s="2"/>
      <c r="W807" s="2"/>
      <c r="X807" s="2"/>
      <c r="Y807" s="2"/>
      <c r="Z807" s="2"/>
      <c r="AA807" s="7">
        <f t="shared" si="45"/>
        <v>0</v>
      </c>
      <c r="AB807" s="7">
        <f t="shared" si="46"/>
        <v>0</v>
      </c>
      <c r="AC807" s="9"/>
      <c r="AD807" s="9"/>
      <c r="AE807" s="9" t="e">
        <f>IF(#REF!=#REF!,1,0)</f>
        <v>#REF!</v>
      </c>
      <c r="AF807" s="8"/>
      <c r="AG807" s="8"/>
      <c r="AH807" s="8"/>
      <c r="AI807" s="8"/>
    </row>
    <row r="808" spans="2:35" s="3" customFormat="1" x14ac:dyDescent="0.25">
      <c r="B808" s="4" t="e">
        <f>IF(AE808=0,"",1+(MAX(B$7:B807)))</f>
        <v>#REF!</v>
      </c>
      <c r="C808" s="51"/>
      <c r="D808" s="52"/>
      <c r="E808" s="53"/>
      <c r="F808" s="2"/>
      <c r="G808" s="2"/>
      <c r="H808" s="2"/>
      <c r="I808" s="2"/>
      <c r="J808" s="2"/>
      <c r="K808" s="2"/>
      <c r="L808" s="2"/>
      <c r="M808" s="2"/>
      <c r="N808" s="2"/>
      <c r="O808" s="7">
        <f t="shared" si="44"/>
        <v>0</v>
      </c>
      <c r="P808" s="2"/>
      <c r="Q808" s="2"/>
      <c r="R808" s="2"/>
      <c r="S808" s="2"/>
      <c r="T808" s="2"/>
      <c r="U808" s="2"/>
      <c r="V808" s="2"/>
      <c r="W808" s="2"/>
      <c r="X808" s="2"/>
      <c r="Y808" s="2"/>
      <c r="Z808" s="2"/>
      <c r="AA808" s="7">
        <f t="shared" si="45"/>
        <v>0</v>
      </c>
      <c r="AB808" s="7">
        <f t="shared" si="46"/>
        <v>0</v>
      </c>
      <c r="AC808" s="9"/>
      <c r="AD808" s="9"/>
      <c r="AE808" s="9" t="e">
        <f>IF(#REF!=#REF!,1,0)</f>
        <v>#REF!</v>
      </c>
      <c r="AF808" s="8"/>
      <c r="AG808" s="8"/>
      <c r="AH808" s="8"/>
      <c r="AI808" s="8"/>
    </row>
    <row r="809" spans="2:35" s="3" customFormat="1" x14ac:dyDescent="0.25">
      <c r="B809" s="4" t="e">
        <f>IF(AE809=0,"",1+(MAX(B$7:B808)))</f>
        <v>#REF!</v>
      </c>
      <c r="C809" s="51"/>
      <c r="D809" s="52"/>
      <c r="E809" s="53"/>
      <c r="F809" s="2"/>
      <c r="G809" s="2"/>
      <c r="H809" s="2"/>
      <c r="I809" s="2"/>
      <c r="J809" s="2"/>
      <c r="K809" s="2"/>
      <c r="L809" s="2"/>
      <c r="M809" s="2"/>
      <c r="N809" s="2"/>
      <c r="O809" s="7">
        <f t="shared" si="44"/>
        <v>0</v>
      </c>
      <c r="P809" s="2"/>
      <c r="Q809" s="2"/>
      <c r="R809" s="2"/>
      <c r="S809" s="2"/>
      <c r="T809" s="2"/>
      <c r="U809" s="2"/>
      <c r="V809" s="2"/>
      <c r="W809" s="2"/>
      <c r="X809" s="2"/>
      <c r="Y809" s="2"/>
      <c r="Z809" s="2"/>
      <c r="AA809" s="7">
        <f t="shared" si="45"/>
        <v>0</v>
      </c>
      <c r="AB809" s="7">
        <f t="shared" si="46"/>
        <v>0</v>
      </c>
      <c r="AC809" s="9"/>
      <c r="AD809" s="9"/>
      <c r="AE809" s="9" t="e">
        <f>IF(#REF!=#REF!,1,0)</f>
        <v>#REF!</v>
      </c>
      <c r="AF809" s="8"/>
      <c r="AG809" s="8"/>
      <c r="AH809" s="8"/>
      <c r="AI809" s="8"/>
    </row>
    <row r="810" spans="2:35" s="3" customFormat="1" x14ac:dyDescent="0.25">
      <c r="B810" s="4" t="e">
        <f>IF(AE810=0,"",1+(MAX(B$7:B809)))</f>
        <v>#REF!</v>
      </c>
      <c r="C810" s="51"/>
      <c r="D810" s="52"/>
      <c r="E810" s="53"/>
      <c r="F810" s="2"/>
      <c r="G810" s="2"/>
      <c r="H810" s="2"/>
      <c r="I810" s="2"/>
      <c r="J810" s="2"/>
      <c r="K810" s="2"/>
      <c r="L810" s="2"/>
      <c r="M810" s="2"/>
      <c r="N810" s="2"/>
      <c r="O810" s="7">
        <f t="shared" si="44"/>
        <v>0</v>
      </c>
      <c r="P810" s="2"/>
      <c r="Q810" s="2"/>
      <c r="R810" s="2"/>
      <c r="S810" s="2"/>
      <c r="T810" s="2"/>
      <c r="U810" s="2"/>
      <c r="V810" s="2"/>
      <c r="W810" s="2"/>
      <c r="X810" s="2"/>
      <c r="Y810" s="2"/>
      <c r="Z810" s="2"/>
      <c r="AA810" s="7">
        <f t="shared" si="45"/>
        <v>0</v>
      </c>
      <c r="AB810" s="7">
        <f t="shared" si="46"/>
        <v>0</v>
      </c>
      <c r="AC810" s="9"/>
      <c r="AD810" s="9"/>
      <c r="AE810" s="9" t="e">
        <f>IF(#REF!=#REF!,1,0)</f>
        <v>#REF!</v>
      </c>
      <c r="AF810" s="8"/>
      <c r="AG810" s="8"/>
      <c r="AH810" s="8"/>
      <c r="AI810" s="8"/>
    </row>
    <row r="811" spans="2:35" s="3" customFormat="1" x14ac:dyDescent="0.25">
      <c r="B811" s="4" t="e">
        <f>IF(AE811=0,"",1+(MAX(B$7:B810)))</f>
        <v>#REF!</v>
      </c>
      <c r="C811" s="51"/>
      <c r="D811" s="52"/>
      <c r="E811" s="53"/>
      <c r="F811" s="2"/>
      <c r="G811" s="2"/>
      <c r="H811" s="2"/>
      <c r="I811" s="2"/>
      <c r="J811" s="2"/>
      <c r="K811" s="2"/>
      <c r="L811" s="2"/>
      <c r="M811" s="2"/>
      <c r="N811" s="2"/>
      <c r="O811" s="7">
        <f t="shared" si="44"/>
        <v>0</v>
      </c>
      <c r="P811" s="2"/>
      <c r="Q811" s="2"/>
      <c r="R811" s="2"/>
      <c r="S811" s="2"/>
      <c r="T811" s="2"/>
      <c r="U811" s="2"/>
      <c r="V811" s="2"/>
      <c r="W811" s="2"/>
      <c r="X811" s="2"/>
      <c r="Y811" s="2"/>
      <c r="Z811" s="2"/>
      <c r="AA811" s="7">
        <f t="shared" si="45"/>
        <v>0</v>
      </c>
      <c r="AB811" s="7">
        <f t="shared" si="46"/>
        <v>0</v>
      </c>
      <c r="AC811" s="9"/>
      <c r="AD811" s="9"/>
      <c r="AE811" s="9" t="e">
        <f>IF(#REF!=#REF!,1,0)</f>
        <v>#REF!</v>
      </c>
      <c r="AF811" s="8"/>
      <c r="AG811" s="8"/>
      <c r="AH811" s="8"/>
      <c r="AI811" s="8"/>
    </row>
    <row r="812" spans="2:35" s="3" customFormat="1" x14ac:dyDescent="0.25">
      <c r="B812" s="4" t="e">
        <f>IF(AE812=0,"",1+(MAX(B$7:B811)))</f>
        <v>#REF!</v>
      </c>
      <c r="C812" s="51"/>
      <c r="D812" s="52"/>
      <c r="E812" s="53"/>
      <c r="F812" s="2"/>
      <c r="G812" s="2"/>
      <c r="H812" s="2"/>
      <c r="I812" s="2"/>
      <c r="J812" s="2"/>
      <c r="K812" s="2"/>
      <c r="L812" s="2"/>
      <c r="M812" s="2"/>
      <c r="N812" s="2"/>
      <c r="O812" s="7">
        <f t="shared" si="44"/>
        <v>0</v>
      </c>
      <c r="P812" s="2"/>
      <c r="Q812" s="2"/>
      <c r="R812" s="2"/>
      <c r="S812" s="2"/>
      <c r="T812" s="2"/>
      <c r="U812" s="2"/>
      <c r="V812" s="2"/>
      <c r="W812" s="2"/>
      <c r="X812" s="2"/>
      <c r="Y812" s="2"/>
      <c r="Z812" s="2"/>
      <c r="AA812" s="7">
        <f t="shared" si="45"/>
        <v>0</v>
      </c>
      <c r="AB812" s="7">
        <f t="shared" si="46"/>
        <v>0</v>
      </c>
      <c r="AC812" s="9"/>
      <c r="AD812" s="9"/>
      <c r="AE812" s="9" t="e">
        <f>IF(#REF!=#REF!,1,0)</f>
        <v>#REF!</v>
      </c>
      <c r="AF812" s="8"/>
      <c r="AG812" s="8"/>
      <c r="AH812" s="8"/>
      <c r="AI812" s="8"/>
    </row>
    <row r="813" spans="2:35" s="3" customFormat="1" x14ac:dyDescent="0.25">
      <c r="B813" s="4" t="e">
        <f>IF(AE813=0,"",1+(MAX(B$7:B812)))</f>
        <v>#REF!</v>
      </c>
      <c r="C813" s="51"/>
      <c r="D813" s="52"/>
      <c r="E813" s="53"/>
      <c r="F813" s="2"/>
      <c r="G813" s="2"/>
      <c r="H813" s="2"/>
      <c r="I813" s="2"/>
      <c r="J813" s="2"/>
      <c r="K813" s="2"/>
      <c r="L813" s="2"/>
      <c r="M813" s="2"/>
      <c r="N813" s="2"/>
      <c r="O813" s="7">
        <f t="shared" si="44"/>
        <v>0</v>
      </c>
      <c r="P813" s="2"/>
      <c r="Q813" s="2"/>
      <c r="R813" s="2"/>
      <c r="S813" s="2"/>
      <c r="T813" s="2"/>
      <c r="U813" s="2"/>
      <c r="V813" s="2"/>
      <c r="W813" s="2"/>
      <c r="X813" s="2"/>
      <c r="Y813" s="2"/>
      <c r="Z813" s="2"/>
      <c r="AA813" s="7">
        <f t="shared" si="45"/>
        <v>0</v>
      </c>
      <c r="AB813" s="7">
        <f t="shared" si="46"/>
        <v>0</v>
      </c>
      <c r="AC813" s="9"/>
      <c r="AD813" s="9"/>
      <c r="AE813" s="9" t="e">
        <f>IF(#REF!=#REF!,1,0)</f>
        <v>#REF!</v>
      </c>
      <c r="AF813" s="8"/>
      <c r="AG813" s="8"/>
      <c r="AH813" s="8"/>
      <c r="AI813" s="8"/>
    </row>
    <row r="814" spans="2:35" s="3" customFormat="1" x14ac:dyDescent="0.25">
      <c r="B814" s="4" t="e">
        <f>IF(AE814=0,"",1+(MAX(B$7:B813)))</f>
        <v>#REF!</v>
      </c>
      <c r="C814" s="51"/>
      <c r="D814" s="52"/>
      <c r="E814" s="53"/>
      <c r="F814" s="2"/>
      <c r="G814" s="2"/>
      <c r="H814" s="2"/>
      <c r="I814" s="2"/>
      <c r="J814" s="2"/>
      <c r="K814" s="2"/>
      <c r="L814" s="2"/>
      <c r="M814" s="2"/>
      <c r="N814" s="2"/>
      <c r="O814" s="7">
        <f t="shared" si="44"/>
        <v>0</v>
      </c>
      <c r="P814" s="2"/>
      <c r="Q814" s="2"/>
      <c r="R814" s="2"/>
      <c r="S814" s="2"/>
      <c r="T814" s="2"/>
      <c r="U814" s="2"/>
      <c r="V814" s="2"/>
      <c r="W814" s="2"/>
      <c r="X814" s="2"/>
      <c r="Y814" s="2"/>
      <c r="Z814" s="2"/>
      <c r="AA814" s="7">
        <f t="shared" si="45"/>
        <v>0</v>
      </c>
      <c r="AB814" s="7">
        <f t="shared" si="46"/>
        <v>0</v>
      </c>
      <c r="AC814" s="9"/>
      <c r="AD814" s="9"/>
      <c r="AE814" s="9" t="e">
        <f>IF(#REF!=#REF!,1,0)</f>
        <v>#REF!</v>
      </c>
      <c r="AF814" s="8"/>
      <c r="AG814" s="8"/>
      <c r="AH814" s="8"/>
      <c r="AI814" s="8"/>
    </row>
    <row r="815" spans="2:35" s="3" customFormat="1" x14ac:dyDescent="0.25">
      <c r="B815" s="4" t="e">
        <f>IF(AE815=0,"",1+(MAX(B$7:B814)))</f>
        <v>#REF!</v>
      </c>
      <c r="C815" s="51"/>
      <c r="D815" s="52"/>
      <c r="E815" s="53"/>
      <c r="F815" s="2"/>
      <c r="G815" s="2"/>
      <c r="H815" s="2"/>
      <c r="I815" s="2"/>
      <c r="J815" s="2"/>
      <c r="K815" s="2"/>
      <c r="L815" s="2"/>
      <c r="M815" s="2"/>
      <c r="N815" s="2"/>
      <c r="O815" s="7">
        <f t="shared" si="44"/>
        <v>0</v>
      </c>
      <c r="P815" s="2"/>
      <c r="Q815" s="2"/>
      <c r="R815" s="2"/>
      <c r="S815" s="2"/>
      <c r="T815" s="2"/>
      <c r="U815" s="2"/>
      <c r="V815" s="2"/>
      <c r="W815" s="2"/>
      <c r="X815" s="2"/>
      <c r="Y815" s="2"/>
      <c r="Z815" s="2"/>
      <c r="AA815" s="7">
        <f t="shared" si="45"/>
        <v>0</v>
      </c>
      <c r="AB815" s="7">
        <f t="shared" si="46"/>
        <v>0</v>
      </c>
      <c r="AC815" s="9"/>
      <c r="AD815" s="9"/>
      <c r="AE815" s="9" t="e">
        <f>IF(#REF!=#REF!,1,0)</f>
        <v>#REF!</v>
      </c>
      <c r="AF815" s="8"/>
      <c r="AG815" s="8"/>
      <c r="AH815" s="8"/>
      <c r="AI815" s="8"/>
    </row>
    <row r="816" spans="2:35" s="3" customFormat="1" x14ac:dyDescent="0.25">
      <c r="B816" s="4" t="e">
        <f>IF(AE816=0,"",1+(MAX(B$7:B815)))</f>
        <v>#REF!</v>
      </c>
      <c r="C816" s="51"/>
      <c r="D816" s="52"/>
      <c r="E816" s="53"/>
      <c r="F816" s="2"/>
      <c r="G816" s="2"/>
      <c r="H816" s="2"/>
      <c r="I816" s="2"/>
      <c r="J816" s="2"/>
      <c r="K816" s="2"/>
      <c r="L816" s="2"/>
      <c r="M816" s="2"/>
      <c r="N816" s="2"/>
      <c r="O816" s="7">
        <f t="shared" si="44"/>
        <v>0</v>
      </c>
      <c r="P816" s="2"/>
      <c r="Q816" s="2"/>
      <c r="R816" s="2"/>
      <c r="S816" s="2"/>
      <c r="T816" s="2"/>
      <c r="U816" s="2"/>
      <c r="V816" s="2"/>
      <c r="W816" s="2"/>
      <c r="X816" s="2"/>
      <c r="Y816" s="2"/>
      <c r="Z816" s="2"/>
      <c r="AA816" s="7">
        <f t="shared" si="45"/>
        <v>0</v>
      </c>
      <c r="AB816" s="7">
        <f t="shared" si="46"/>
        <v>0</v>
      </c>
      <c r="AC816" s="9"/>
      <c r="AD816" s="9"/>
      <c r="AE816" s="9" t="e">
        <f>IF(#REF!=#REF!,1,0)</f>
        <v>#REF!</v>
      </c>
      <c r="AF816" s="8"/>
      <c r="AG816" s="8"/>
      <c r="AH816" s="8"/>
      <c r="AI816" s="8"/>
    </row>
    <row r="817" spans="2:35" s="3" customFormat="1" x14ac:dyDescent="0.25">
      <c r="B817" s="4" t="e">
        <f>IF(AE817=0,"",1+(MAX(B$7:B816)))</f>
        <v>#REF!</v>
      </c>
      <c r="C817" s="51"/>
      <c r="D817" s="52"/>
      <c r="E817" s="53"/>
      <c r="F817" s="2"/>
      <c r="G817" s="2"/>
      <c r="H817" s="2"/>
      <c r="I817" s="2"/>
      <c r="J817" s="2"/>
      <c r="K817" s="2"/>
      <c r="L817" s="2"/>
      <c r="M817" s="2"/>
      <c r="N817" s="2"/>
      <c r="O817" s="7">
        <f t="shared" si="44"/>
        <v>0</v>
      </c>
      <c r="P817" s="2"/>
      <c r="Q817" s="2"/>
      <c r="R817" s="2"/>
      <c r="S817" s="2"/>
      <c r="T817" s="2"/>
      <c r="U817" s="2"/>
      <c r="V817" s="2"/>
      <c r="W817" s="2"/>
      <c r="X817" s="2"/>
      <c r="Y817" s="2"/>
      <c r="Z817" s="2"/>
      <c r="AA817" s="7">
        <f t="shared" si="45"/>
        <v>0</v>
      </c>
      <c r="AB817" s="7">
        <f t="shared" si="46"/>
        <v>0</v>
      </c>
      <c r="AC817" s="9"/>
      <c r="AD817" s="9"/>
      <c r="AE817" s="9" t="e">
        <f>IF(#REF!=#REF!,1,0)</f>
        <v>#REF!</v>
      </c>
      <c r="AF817" s="8"/>
      <c r="AG817" s="8"/>
      <c r="AH817" s="8"/>
      <c r="AI817" s="8"/>
    </row>
    <row r="818" spans="2:35" s="3" customFormat="1" x14ac:dyDescent="0.25">
      <c r="B818" s="4" t="e">
        <f>IF(AE818=0,"",1+(MAX(B$7:B817)))</f>
        <v>#REF!</v>
      </c>
      <c r="C818" s="51"/>
      <c r="D818" s="52"/>
      <c r="E818" s="53"/>
      <c r="F818" s="2"/>
      <c r="G818" s="2"/>
      <c r="H818" s="2"/>
      <c r="I818" s="2"/>
      <c r="J818" s="2"/>
      <c r="K818" s="2"/>
      <c r="L818" s="2"/>
      <c r="M818" s="2"/>
      <c r="N818" s="2"/>
      <c r="O818" s="7">
        <f t="shared" si="44"/>
        <v>0</v>
      </c>
      <c r="P818" s="2"/>
      <c r="Q818" s="2"/>
      <c r="R818" s="2"/>
      <c r="S818" s="2"/>
      <c r="T818" s="2"/>
      <c r="U818" s="2"/>
      <c r="V818" s="2"/>
      <c r="W818" s="2"/>
      <c r="X818" s="2"/>
      <c r="Y818" s="2"/>
      <c r="Z818" s="2"/>
      <c r="AA818" s="7">
        <f t="shared" si="45"/>
        <v>0</v>
      </c>
      <c r="AB818" s="7">
        <f t="shared" si="46"/>
        <v>0</v>
      </c>
      <c r="AC818" s="9"/>
      <c r="AD818" s="9"/>
      <c r="AE818" s="9" t="e">
        <f>IF(#REF!=#REF!,1,0)</f>
        <v>#REF!</v>
      </c>
      <c r="AF818" s="8"/>
      <c r="AG818" s="8"/>
      <c r="AH818" s="8"/>
      <c r="AI818" s="8"/>
    </row>
    <row r="819" spans="2:35" s="3" customFormat="1" x14ac:dyDescent="0.25">
      <c r="B819" s="4" t="e">
        <f>IF(AE819=0,"",1+(MAX(B$7:B818)))</f>
        <v>#REF!</v>
      </c>
      <c r="C819" s="51"/>
      <c r="D819" s="52"/>
      <c r="E819" s="53"/>
      <c r="F819" s="2"/>
      <c r="G819" s="2"/>
      <c r="H819" s="2"/>
      <c r="I819" s="2"/>
      <c r="J819" s="2"/>
      <c r="K819" s="2"/>
      <c r="L819" s="2"/>
      <c r="M819" s="2"/>
      <c r="N819" s="2"/>
      <c r="O819" s="7">
        <f t="shared" si="44"/>
        <v>0</v>
      </c>
      <c r="P819" s="2"/>
      <c r="Q819" s="2"/>
      <c r="R819" s="2"/>
      <c r="S819" s="2"/>
      <c r="T819" s="2"/>
      <c r="U819" s="2"/>
      <c r="V819" s="2"/>
      <c r="W819" s="2"/>
      <c r="X819" s="2"/>
      <c r="Y819" s="2"/>
      <c r="Z819" s="2"/>
      <c r="AA819" s="7">
        <f t="shared" si="45"/>
        <v>0</v>
      </c>
      <c r="AB819" s="7">
        <f t="shared" si="46"/>
        <v>0</v>
      </c>
      <c r="AC819" s="9"/>
      <c r="AD819" s="9"/>
      <c r="AE819" s="9" t="e">
        <f>IF(#REF!=#REF!,1,0)</f>
        <v>#REF!</v>
      </c>
      <c r="AF819" s="8"/>
      <c r="AG819" s="8"/>
      <c r="AH819" s="8"/>
      <c r="AI819" s="8"/>
    </row>
    <row r="820" spans="2:35" s="3" customFormat="1" x14ac:dyDescent="0.25">
      <c r="B820" s="4" t="e">
        <f>IF(AE820=0,"",1+(MAX(B$7:B819)))</f>
        <v>#REF!</v>
      </c>
      <c r="C820" s="51"/>
      <c r="D820" s="52"/>
      <c r="E820" s="53"/>
      <c r="F820" s="2"/>
      <c r="G820" s="2"/>
      <c r="H820" s="2"/>
      <c r="I820" s="2"/>
      <c r="J820" s="2"/>
      <c r="K820" s="2"/>
      <c r="L820" s="2"/>
      <c r="M820" s="2"/>
      <c r="N820" s="2"/>
      <c r="O820" s="7">
        <f t="shared" si="44"/>
        <v>0</v>
      </c>
      <c r="P820" s="2"/>
      <c r="Q820" s="2"/>
      <c r="R820" s="2"/>
      <c r="S820" s="2"/>
      <c r="T820" s="2"/>
      <c r="U820" s="2"/>
      <c r="V820" s="2"/>
      <c r="W820" s="2"/>
      <c r="X820" s="2"/>
      <c r="Y820" s="2"/>
      <c r="Z820" s="2"/>
      <c r="AA820" s="7">
        <f t="shared" si="45"/>
        <v>0</v>
      </c>
      <c r="AB820" s="7">
        <f t="shared" si="46"/>
        <v>0</v>
      </c>
      <c r="AC820" s="9"/>
      <c r="AD820" s="9"/>
      <c r="AE820" s="9" t="e">
        <f>IF(#REF!=#REF!,1,0)</f>
        <v>#REF!</v>
      </c>
      <c r="AF820" s="8"/>
      <c r="AG820" s="8"/>
      <c r="AH820" s="8"/>
      <c r="AI820" s="8"/>
    </row>
    <row r="821" spans="2:35" s="3" customFormat="1" x14ac:dyDescent="0.25">
      <c r="B821" s="4" t="e">
        <f>IF(AE821=0,"",1+(MAX(B$7:B820)))</f>
        <v>#REF!</v>
      </c>
      <c r="C821" s="51"/>
      <c r="D821" s="52"/>
      <c r="E821" s="53"/>
      <c r="F821" s="2"/>
      <c r="G821" s="2"/>
      <c r="H821" s="2"/>
      <c r="I821" s="2"/>
      <c r="J821" s="2"/>
      <c r="K821" s="2"/>
      <c r="L821" s="2"/>
      <c r="M821" s="2"/>
      <c r="N821" s="2"/>
      <c r="O821" s="7">
        <f t="shared" si="44"/>
        <v>0</v>
      </c>
      <c r="P821" s="2"/>
      <c r="Q821" s="2"/>
      <c r="R821" s="2"/>
      <c r="S821" s="2"/>
      <c r="T821" s="2"/>
      <c r="U821" s="2"/>
      <c r="V821" s="2"/>
      <c r="W821" s="2"/>
      <c r="X821" s="2"/>
      <c r="Y821" s="2"/>
      <c r="Z821" s="2"/>
      <c r="AA821" s="7">
        <f t="shared" si="45"/>
        <v>0</v>
      </c>
      <c r="AB821" s="7">
        <f t="shared" si="46"/>
        <v>0</v>
      </c>
      <c r="AC821" s="9"/>
      <c r="AD821" s="9"/>
      <c r="AE821" s="9" t="e">
        <f>IF(#REF!=#REF!,1,0)</f>
        <v>#REF!</v>
      </c>
      <c r="AF821" s="8"/>
      <c r="AG821" s="8"/>
      <c r="AH821" s="8"/>
      <c r="AI821" s="8"/>
    </row>
    <row r="822" spans="2:35" s="3" customFormat="1" x14ac:dyDescent="0.25">
      <c r="B822" s="4" t="e">
        <f>IF(AE822=0,"",1+(MAX(B$7:B821)))</f>
        <v>#REF!</v>
      </c>
      <c r="C822" s="51"/>
      <c r="D822" s="52"/>
      <c r="E822" s="53"/>
      <c r="F822" s="2"/>
      <c r="G822" s="2"/>
      <c r="H822" s="2"/>
      <c r="I822" s="2"/>
      <c r="J822" s="2"/>
      <c r="K822" s="2"/>
      <c r="L822" s="2"/>
      <c r="M822" s="2"/>
      <c r="N822" s="2"/>
      <c r="O822" s="7">
        <f t="shared" si="44"/>
        <v>0</v>
      </c>
      <c r="P822" s="2"/>
      <c r="Q822" s="2"/>
      <c r="R822" s="2"/>
      <c r="S822" s="2"/>
      <c r="T822" s="2"/>
      <c r="U822" s="2"/>
      <c r="V822" s="2"/>
      <c r="W822" s="2"/>
      <c r="X822" s="2"/>
      <c r="Y822" s="2"/>
      <c r="Z822" s="2"/>
      <c r="AA822" s="7">
        <f t="shared" si="45"/>
        <v>0</v>
      </c>
      <c r="AB822" s="7">
        <f t="shared" si="46"/>
        <v>0</v>
      </c>
      <c r="AC822" s="9"/>
      <c r="AD822" s="9"/>
      <c r="AE822" s="9" t="e">
        <f>IF(#REF!=#REF!,1,0)</f>
        <v>#REF!</v>
      </c>
      <c r="AF822" s="8"/>
      <c r="AG822" s="8"/>
      <c r="AH822" s="8"/>
      <c r="AI822" s="8"/>
    </row>
    <row r="823" spans="2:35" s="3" customFormat="1" x14ac:dyDescent="0.25">
      <c r="B823" s="4" t="e">
        <f>IF(AE823=0,"",1+(MAX(B$7:B822)))</f>
        <v>#REF!</v>
      </c>
      <c r="C823" s="51"/>
      <c r="D823" s="52"/>
      <c r="E823" s="53"/>
      <c r="F823" s="2"/>
      <c r="G823" s="2"/>
      <c r="H823" s="2"/>
      <c r="I823" s="2"/>
      <c r="J823" s="2"/>
      <c r="K823" s="2"/>
      <c r="L823" s="2"/>
      <c r="M823" s="2"/>
      <c r="N823" s="2"/>
      <c r="O823" s="7">
        <f t="shared" si="44"/>
        <v>0</v>
      </c>
      <c r="P823" s="2"/>
      <c r="Q823" s="2"/>
      <c r="R823" s="2"/>
      <c r="S823" s="2"/>
      <c r="T823" s="2"/>
      <c r="U823" s="2"/>
      <c r="V823" s="2"/>
      <c r="W823" s="2"/>
      <c r="X823" s="2"/>
      <c r="Y823" s="2"/>
      <c r="Z823" s="2"/>
      <c r="AA823" s="7">
        <f t="shared" si="45"/>
        <v>0</v>
      </c>
      <c r="AB823" s="7">
        <f t="shared" si="46"/>
        <v>0</v>
      </c>
      <c r="AC823" s="9"/>
      <c r="AD823" s="9"/>
      <c r="AE823" s="9" t="e">
        <f>IF(#REF!=#REF!,1,0)</f>
        <v>#REF!</v>
      </c>
      <c r="AF823" s="8"/>
      <c r="AG823" s="8"/>
      <c r="AH823" s="8"/>
      <c r="AI823" s="8"/>
    </row>
    <row r="824" spans="2:35" s="3" customFormat="1" x14ac:dyDescent="0.25">
      <c r="B824" s="4" t="e">
        <f>IF(AE824=0,"",1+(MAX(B$7:B823)))</f>
        <v>#REF!</v>
      </c>
      <c r="C824" s="51"/>
      <c r="D824" s="52"/>
      <c r="E824" s="53"/>
      <c r="F824" s="2"/>
      <c r="G824" s="2"/>
      <c r="H824" s="2"/>
      <c r="I824" s="2"/>
      <c r="J824" s="2"/>
      <c r="K824" s="2"/>
      <c r="L824" s="2"/>
      <c r="M824" s="2"/>
      <c r="N824" s="2"/>
      <c r="O824" s="7">
        <f t="shared" si="44"/>
        <v>0</v>
      </c>
      <c r="P824" s="2"/>
      <c r="Q824" s="2"/>
      <c r="R824" s="2"/>
      <c r="S824" s="2"/>
      <c r="T824" s="2"/>
      <c r="U824" s="2"/>
      <c r="V824" s="2"/>
      <c r="W824" s="2"/>
      <c r="X824" s="2"/>
      <c r="Y824" s="2"/>
      <c r="Z824" s="2"/>
      <c r="AA824" s="7">
        <f t="shared" si="45"/>
        <v>0</v>
      </c>
      <c r="AB824" s="7">
        <f t="shared" si="46"/>
        <v>0</v>
      </c>
      <c r="AC824" s="9"/>
      <c r="AD824" s="9"/>
      <c r="AE824" s="9" t="e">
        <f>IF(#REF!=#REF!,1,0)</f>
        <v>#REF!</v>
      </c>
      <c r="AF824" s="8"/>
      <c r="AG824" s="8"/>
      <c r="AH824" s="8"/>
      <c r="AI824" s="8"/>
    </row>
    <row r="825" spans="2:35" s="3" customFormat="1" x14ac:dyDescent="0.25">
      <c r="B825" s="4" t="e">
        <f>IF(AE825=0,"",1+(MAX(B$7:B824)))</f>
        <v>#REF!</v>
      </c>
      <c r="C825" s="51"/>
      <c r="D825" s="52"/>
      <c r="E825" s="53"/>
      <c r="F825" s="2"/>
      <c r="G825" s="2"/>
      <c r="H825" s="2"/>
      <c r="I825" s="2"/>
      <c r="J825" s="2"/>
      <c r="K825" s="2"/>
      <c r="L825" s="2"/>
      <c r="M825" s="2"/>
      <c r="N825" s="2"/>
      <c r="O825" s="7">
        <f t="shared" si="44"/>
        <v>0</v>
      </c>
      <c r="P825" s="2"/>
      <c r="Q825" s="2"/>
      <c r="R825" s="2"/>
      <c r="S825" s="2"/>
      <c r="T825" s="2"/>
      <c r="U825" s="2"/>
      <c r="V825" s="2"/>
      <c r="W825" s="2"/>
      <c r="X825" s="2"/>
      <c r="Y825" s="2"/>
      <c r="Z825" s="2"/>
      <c r="AA825" s="7">
        <f t="shared" si="45"/>
        <v>0</v>
      </c>
      <c r="AB825" s="7">
        <f t="shared" si="46"/>
        <v>0</v>
      </c>
      <c r="AC825" s="9"/>
      <c r="AD825" s="9"/>
      <c r="AE825" s="9" t="e">
        <f>IF(#REF!=#REF!,1,0)</f>
        <v>#REF!</v>
      </c>
      <c r="AF825" s="8"/>
      <c r="AG825" s="8"/>
      <c r="AH825" s="8"/>
      <c r="AI825" s="8"/>
    </row>
    <row r="826" spans="2:35" s="3" customFormat="1" x14ac:dyDescent="0.25">
      <c r="B826" s="4" t="e">
        <f>IF(AE826=0,"",1+(MAX(B$7:B825)))</f>
        <v>#REF!</v>
      </c>
      <c r="C826" s="51"/>
      <c r="D826" s="52"/>
      <c r="E826" s="53"/>
      <c r="F826" s="2"/>
      <c r="G826" s="2"/>
      <c r="H826" s="2"/>
      <c r="I826" s="2"/>
      <c r="J826" s="2"/>
      <c r="K826" s="2"/>
      <c r="L826" s="2"/>
      <c r="M826" s="2"/>
      <c r="N826" s="2"/>
      <c r="O826" s="7">
        <f t="shared" si="44"/>
        <v>0</v>
      </c>
      <c r="P826" s="2"/>
      <c r="Q826" s="2"/>
      <c r="R826" s="2"/>
      <c r="S826" s="2"/>
      <c r="T826" s="2"/>
      <c r="U826" s="2"/>
      <c r="V826" s="2"/>
      <c r="W826" s="2"/>
      <c r="X826" s="2"/>
      <c r="Y826" s="2"/>
      <c r="Z826" s="2"/>
      <c r="AA826" s="7">
        <f t="shared" si="45"/>
        <v>0</v>
      </c>
      <c r="AB826" s="7">
        <f t="shared" si="46"/>
        <v>0</v>
      </c>
      <c r="AC826" s="9"/>
      <c r="AD826" s="9"/>
      <c r="AE826" s="9" t="e">
        <f>IF(#REF!=#REF!,1,0)</f>
        <v>#REF!</v>
      </c>
      <c r="AF826" s="8"/>
      <c r="AG826" s="8"/>
      <c r="AH826" s="8"/>
      <c r="AI826" s="8"/>
    </row>
    <row r="827" spans="2:35" s="3" customFormat="1" x14ac:dyDescent="0.25">
      <c r="B827" s="4" t="e">
        <f>IF(AE827=0,"",1+(MAX(B$7:B826)))</f>
        <v>#REF!</v>
      </c>
      <c r="C827" s="51"/>
      <c r="D827" s="52"/>
      <c r="E827" s="53"/>
      <c r="F827" s="2"/>
      <c r="G827" s="2"/>
      <c r="H827" s="2"/>
      <c r="I827" s="2"/>
      <c r="J827" s="2"/>
      <c r="K827" s="2"/>
      <c r="L827" s="2"/>
      <c r="M827" s="2"/>
      <c r="N827" s="2"/>
      <c r="O827" s="7">
        <f t="shared" si="44"/>
        <v>0</v>
      </c>
      <c r="P827" s="2"/>
      <c r="Q827" s="2"/>
      <c r="R827" s="2"/>
      <c r="S827" s="2"/>
      <c r="T827" s="2"/>
      <c r="U827" s="2"/>
      <c r="V827" s="2"/>
      <c r="W827" s="2"/>
      <c r="X827" s="2"/>
      <c r="Y827" s="2"/>
      <c r="Z827" s="2"/>
      <c r="AA827" s="7">
        <f t="shared" si="45"/>
        <v>0</v>
      </c>
      <c r="AB827" s="7">
        <f t="shared" si="46"/>
        <v>0</v>
      </c>
      <c r="AC827" s="9"/>
      <c r="AD827" s="9"/>
      <c r="AE827" s="9" t="e">
        <f>IF(#REF!=#REF!,1,0)</f>
        <v>#REF!</v>
      </c>
      <c r="AF827" s="8"/>
      <c r="AG827" s="8"/>
      <c r="AH827" s="8"/>
      <c r="AI827" s="8"/>
    </row>
    <row r="828" spans="2:35" s="3" customFormat="1" x14ac:dyDescent="0.25">
      <c r="B828" s="4" t="e">
        <f>IF(AE828=0,"",1+(MAX(B$7:B827)))</f>
        <v>#REF!</v>
      </c>
      <c r="C828" s="51"/>
      <c r="D828" s="52"/>
      <c r="E828" s="53"/>
      <c r="F828" s="2"/>
      <c r="G828" s="2"/>
      <c r="H828" s="2"/>
      <c r="I828" s="2"/>
      <c r="J828" s="2"/>
      <c r="K828" s="2"/>
      <c r="L828" s="2"/>
      <c r="M828" s="2"/>
      <c r="N828" s="2"/>
      <c r="O828" s="7">
        <f t="shared" si="44"/>
        <v>0</v>
      </c>
      <c r="P828" s="2"/>
      <c r="Q828" s="2"/>
      <c r="R828" s="2"/>
      <c r="S828" s="2"/>
      <c r="T828" s="2"/>
      <c r="U828" s="2"/>
      <c r="V828" s="2"/>
      <c r="W828" s="2"/>
      <c r="X828" s="2"/>
      <c r="Y828" s="2"/>
      <c r="Z828" s="2"/>
      <c r="AA828" s="7">
        <f t="shared" si="45"/>
        <v>0</v>
      </c>
      <c r="AB828" s="7">
        <f t="shared" si="46"/>
        <v>0</v>
      </c>
      <c r="AC828" s="9"/>
      <c r="AD828" s="9"/>
      <c r="AE828" s="9" t="e">
        <f>IF(#REF!=#REF!,1,0)</f>
        <v>#REF!</v>
      </c>
      <c r="AF828" s="8"/>
      <c r="AG828" s="8"/>
      <c r="AH828" s="8"/>
      <c r="AI828" s="8"/>
    </row>
    <row r="829" spans="2:35" s="3" customFormat="1" x14ac:dyDescent="0.25">
      <c r="B829" s="4" t="e">
        <f>IF(AE829=0,"",1+(MAX(B$7:B828)))</f>
        <v>#REF!</v>
      </c>
      <c r="C829" s="51"/>
      <c r="D829" s="52"/>
      <c r="E829" s="53"/>
      <c r="F829" s="2"/>
      <c r="G829" s="2"/>
      <c r="H829" s="2"/>
      <c r="I829" s="2"/>
      <c r="J829" s="2"/>
      <c r="K829" s="2"/>
      <c r="L829" s="2"/>
      <c r="M829" s="2"/>
      <c r="N829" s="2"/>
      <c r="O829" s="7">
        <f t="shared" si="44"/>
        <v>0</v>
      </c>
      <c r="P829" s="2"/>
      <c r="Q829" s="2"/>
      <c r="R829" s="2"/>
      <c r="S829" s="2"/>
      <c r="T829" s="2"/>
      <c r="U829" s="2"/>
      <c r="V829" s="2"/>
      <c r="W829" s="2"/>
      <c r="X829" s="2"/>
      <c r="Y829" s="2"/>
      <c r="Z829" s="2"/>
      <c r="AA829" s="7">
        <f t="shared" si="45"/>
        <v>0</v>
      </c>
      <c r="AB829" s="7">
        <f t="shared" si="46"/>
        <v>0</v>
      </c>
      <c r="AC829" s="9"/>
      <c r="AD829" s="9"/>
      <c r="AE829" s="9" t="e">
        <f>IF(#REF!=#REF!,1,0)</f>
        <v>#REF!</v>
      </c>
      <c r="AF829" s="8"/>
      <c r="AG829" s="8"/>
      <c r="AH829" s="8"/>
      <c r="AI829" s="8"/>
    </row>
    <row r="830" spans="2:35" s="3" customFormat="1" x14ac:dyDescent="0.25">
      <c r="B830" s="4" t="e">
        <f>IF(AE830=0,"",1+(MAX(B$7:B829)))</f>
        <v>#REF!</v>
      </c>
      <c r="C830" s="51"/>
      <c r="D830" s="52"/>
      <c r="E830" s="53"/>
      <c r="F830" s="2"/>
      <c r="G830" s="2"/>
      <c r="H830" s="2"/>
      <c r="I830" s="2"/>
      <c r="J830" s="2"/>
      <c r="K830" s="2"/>
      <c r="L830" s="2"/>
      <c r="M830" s="2"/>
      <c r="N830" s="2"/>
      <c r="O830" s="7">
        <f t="shared" si="44"/>
        <v>0</v>
      </c>
      <c r="P830" s="2"/>
      <c r="Q830" s="2"/>
      <c r="R830" s="2"/>
      <c r="S830" s="2"/>
      <c r="T830" s="2"/>
      <c r="U830" s="2"/>
      <c r="V830" s="2"/>
      <c r="W830" s="2"/>
      <c r="X830" s="2"/>
      <c r="Y830" s="2"/>
      <c r="Z830" s="2"/>
      <c r="AA830" s="7">
        <f t="shared" si="45"/>
        <v>0</v>
      </c>
      <c r="AB830" s="7">
        <f t="shared" si="46"/>
        <v>0</v>
      </c>
      <c r="AC830" s="9"/>
      <c r="AD830" s="9"/>
      <c r="AE830" s="9" t="e">
        <f>IF(#REF!=#REF!,1,0)</f>
        <v>#REF!</v>
      </c>
      <c r="AF830" s="8"/>
      <c r="AG830" s="8"/>
      <c r="AH830" s="8"/>
      <c r="AI830" s="8"/>
    </row>
    <row r="831" spans="2:35" s="3" customFormat="1" x14ac:dyDescent="0.25">
      <c r="B831" s="4" t="e">
        <f>IF(AE831=0,"",1+(MAX(B$7:B830)))</f>
        <v>#REF!</v>
      </c>
      <c r="C831" s="51"/>
      <c r="D831" s="52"/>
      <c r="E831" s="53"/>
      <c r="F831" s="2"/>
      <c r="G831" s="2"/>
      <c r="H831" s="2"/>
      <c r="I831" s="2"/>
      <c r="J831" s="2"/>
      <c r="K831" s="2"/>
      <c r="L831" s="2"/>
      <c r="M831" s="2"/>
      <c r="N831" s="2"/>
      <c r="O831" s="7">
        <f t="shared" si="44"/>
        <v>0</v>
      </c>
      <c r="P831" s="2"/>
      <c r="Q831" s="2"/>
      <c r="R831" s="2"/>
      <c r="S831" s="2"/>
      <c r="T831" s="2"/>
      <c r="U831" s="2"/>
      <c r="V831" s="2"/>
      <c r="W831" s="2"/>
      <c r="X831" s="2"/>
      <c r="Y831" s="2"/>
      <c r="Z831" s="2"/>
      <c r="AA831" s="7">
        <f t="shared" si="45"/>
        <v>0</v>
      </c>
      <c r="AB831" s="7">
        <f t="shared" si="46"/>
        <v>0</v>
      </c>
      <c r="AC831" s="9"/>
      <c r="AD831" s="9"/>
      <c r="AE831" s="9" t="e">
        <f>IF(#REF!=#REF!,1,0)</f>
        <v>#REF!</v>
      </c>
      <c r="AF831" s="8"/>
      <c r="AG831" s="8"/>
      <c r="AH831" s="8"/>
      <c r="AI831" s="8"/>
    </row>
    <row r="832" spans="2:35" s="3" customFormat="1" x14ac:dyDescent="0.25">
      <c r="B832" s="4" t="e">
        <f>IF(AE832=0,"",1+(MAX(B$7:B831)))</f>
        <v>#REF!</v>
      </c>
      <c r="C832" s="51"/>
      <c r="D832" s="52"/>
      <c r="E832" s="53"/>
      <c r="F832" s="2"/>
      <c r="G832" s="2"/>
      <c r="H832" s="2"/>
      <c r="I832" s="2"/>
      <c r="J832" s="2"/>
      <c r="K832" s="2"/>
      <c r="L832" s="2"/>
      <c r="M832" s="2"/>
      <c r="N832" s="2"/>
      <c r="O832" s="7">
        <f t="shared" si="44"/>
        <v>0</v>
      </c>
      <c r="P832" s="2"/>
      <c r="Q832" s="2"/>
      <c r="R832" s="2"/>
      <c r="S832" s="2"/>
      <c r="T832" s="2"/>
      <c r="U832" s="2"/>
      <c r="V832" s="2"/>
      <c r="W832" s="2"/>
      <c r="X832" s="2"/>
      <c r="Y832" s="2"/>
      <c r="Z832" s="2"/>
      <c r="AA832" s="7">
        <f t="shared" si="45"/>
        <v>0</v>
      </c>
      <c r="AB832" s="7">
        <f t="shared" si="46"/>
        <v>0</v>
      </c>
      <c r="AC832" s="9"/>
      <c r="AD832" s="9"/>
      <c r="AE832" s="9" t="e">
        <f>IF(#REF!=#REF!,1,0)</f>
        <v>#REF!</v>
      </c>
      <c r="AF832" s="8"/>
      <c r="AG832" s="8"/>
      <c r="AH832" s="8"/>
      <c r="AI832" s="8"/>
    </row>
    <row r="833" spans="2:35" s="3" customFormat="1" x14ac:dyDescent="0.25">
      <c r="B833" s="4" t="e">
        <f>IF(AE833=0,"",1+(MAX(B$7:B832)))</f>
        <v>#REF!</v>
      </c>
      <c r="C833" s="51"/>
      <c r="D833" s="52"/>
      <c r="E833" s="53"/>
      <c r="F833" s="2"/>
      <c r="G833" s="2"/>
      <c r="H833" s="2"/>
      <c r="I833" s="2"/>
      <c r="J833" s="2"/>
      <c r="K833" s="2"/>
      <c r="L833" s="2"/>
      <c r="M833" s="2"/>
      <c r="N833" s="2"/>
      <c r="O833" s="7">
        <f t="shared" si="44"/>
        <v>0</v>
      </c>
      <c r="P833" s="2"/>
      <c r="Q833" s="2"/>
      <c r="R833" s="2"/>
      <c r="S833" s="2"/>
      <c r="T833" s="2"/>
      <c r="U833" s="2"/>
      <c r="V833" s="2"/>
      <c r="W833" s="2"/>
      <c r="X833" s="2"/>
      <c r="Y833" s="2"/>
      <c r="Z833" s="2"/>
      <c r="AA833" s="7">
        <f t="shared" si="45"/>
        <v>0</v>
      </c>
      <c r="AB833" s="7">
        <f t="shared" si="46"/>
        <v>0</v>
      </c>
      <c r="AC833" s="9"/>
      <c r="AD833" s="9"/>
      <c r="AE833" s="9" t="e">
        <f>IF(#REF!=#REF!,1,0)</f>
        <v>#REF!</v>
      </c>
      <c r="AF833" s="8"/>
      <c r="AG833" s="8"/>
      <c r="AH833" s="8"/>
      <c r="AI833" s="8"/>
    </row>
    <row r="834" spans="2:35" s="3" customFormat="1" x14ac:dyDescent="0.25">
      <c r="B834" s="4" t="e">
        <f>IF(AE834=0,"",1+(MAX(B$7:B833)))</f>
        <v>#REF!</v>
      </c>
      <c r="C834" s="51"/>
      <c r="D834" s="52"/>
      <c r="E834" s="53"/>
      <c r="F834" s="2"/>
      <c r="G834" s="2"/>
      <c r="H834" s="2"/>
      <c r="I834" s="2"/>
      <c r="J834" s="2"/>
      <c r="K834" s="2"/>
      <c r="L834" s="2"/>
      <c r="M834" s="2"/>
      <c r="N834" s="2"/>
      <c r="O834" s="7">
        <f t="shared" si="44"/>
        <v>0</v>
      </c>
      <c r="P834" s="2"/>
      <c r="Q834" s="2"/>
      <c r="R834" s="2"/>
      <c r="S834" s="2"/>
      <c r="T834" s="2"/>
      <c r="U834" s="2"/>
      <c r="V834" s="2"/>
      <c r="W834" s="2"/>
      <c r="X834" s="2"/>
      <c r="Y834" s="2"/>
      <c r="Z834" s="2"/>
      <c r="AA834" s="7">
        <f t="shared" si="45"/>
        <v>0</v>
      </c>
      <c r="AB834" s="7">
        <f t="shared" si="46"/>
        <v>0</v>
      </c>
      <c r="AC834" s="9"/>
      <c r="AD834" s="9"/>
      <c r="AE834" s="9" t="e">
        <f>IF(#REF!=#REF!,1,0)</f>
        <v>#REF!</v>
      </c>
      <c r="AF834" s="8"/>
      <c r="AG834" s="8"/>
      <c r="AH834" s="8"/>
      <c r="AI834" s="8"/>
    </row>
    <row r="835" spans="2:35" s="3" customFormat="1" x14ac:dyDescent="0.25">
      <c r="B835" s="4" t="e">
        <f>IF(AE835=0,"",1+(MAX(B$7:B834)))</f>
        <v>#REF!</v>
      </c>
      <c r="C835" s="51"/>
      <c r="D835" s="52"/>
      <c r="E835" s="53"/>
      <c r="F835" s="2"/>
      <c r="G835" s="2"/>
      <c r="H835" s="2"/>
      <c r="I835" s="2"/>
      <c r="J835" s="2"/>
      <c r="K835" s="2"/>
      <c r="L835" s="2"/>
      <c r="M835" s="2"/>
      <c r="N835" s="2"/>
      <c r="O835" s="7">
        <f t="shared" si="44"/>
        <v>0</v>
      </c>
      <c r="P835" s="2"/>
      <c r="Q835" s="2"/>
      <c r="R835" s="2"/>
      <c r="S835" s="2"/>
      <c r="T835" s="2"/>
      <c r="U835" s="2"/>
      <c r="V835" s="2"/>
      <c r="W835" s="2"/>
      <c r="X835" s="2"/>
      <c r="Y835" s="2"/>
      <c r="Z835" s="2"/>
      <c r="AA835" s="7">
        <f t="shared" si="45"/>
        <v>0</v>
      </c>
      <c r="AB835" s="7">
        <f t="shared" si="46"/>
        <v>0</v>
      </c>
      <c r="AC835" s="9"/>
      <c r="AD835" s="9"/>
      <c r="AE835" s="9" t="e">
        <f>IF(#REF!=#REF!,1,0)</f>
        <v>#REF!</v>
      </c>
      <c r="AF835" s="8"/>
      <c r="AG835" s="8"/>
      <c r="AH835" s="8"/>
      <c r="AI835" s="8"/>
    </row>
    <row r="836" spans="2:35" s="3" customFormat="1" x14ac:dyDescent="0.25">
      <c r="B836" s="4" t="e">
        <f>IF(AE836=0,"",1+(MAX(B$7:B835)))</f>
        <v>#REF!</v>
      </c>
      <c r="C836" s="51"/>
      <c r="D836" s="52"/>
      <c r="E836" s="53"/>
      <c r="F836" s="2"/>
      <c r="G836" s="2"/>
      <c r="H836" s="2"/>
      <c r="I836" s="2"/>
      <c r="J836" s="2"/>
      <c r="K836" s="2"/>
      <c r="L836" s="2"/>
      <c r="M836" s="2"/>
      <c r="N836" s="2"/>
      <c r="O836" s="7">
        <f t="shared" si="44"/>
        <v>0</v>
      </c>
      <c r="P836" s="2"/>
      <c r="Q836" s="2"/>
      <c r="R836" s="2"/>
      <c r="S836" s="2"/>
      <c r="T836" s="2"/>
      <c r="U836" s="2"/>
      <c r="V836" s="2"/>
      <c r="W836" s="2"/>
      <c r="X836" s="2"/>
      <c r="Y836" s="2"/>
      <c r="Z836" s="2"/>
      <c r="AA836" s="7">
        <f t="shared" si="45"/>
        <v>0</v>
      </c>
      <c r="AB836" s="7">
        <f t="shared" si="46"/>
        <v>0</v>
      </c>
      <c r="AC836" s="9"/>
      <c r="AD836" s="9"/>
      <c r="AE836" s="9" t="e">
        <f>IF(#REF!=#REF!,1,0)</f>
        <v>#REF!</v>
      </c>
      <c r="AF836" s="8"/>
      <c r="AG836" s="8"/>
      <c r="AH836" s="8"/>
      <c r="AI836" s="8"/>
    </row>
    <row r="837" spans="2:35" s="3" customFormat="1" x14ac:dyDescent="0.25">
      <c r="B837" s="4" t="e">
        <f>IF(AE837=0,"",1+(MAX(B$7:B836)))</f>
        <v>#REF!</v>
      </c>
      <c r="C837" s="51"/>
      <c r="D837" s="52"/>
      <c r="E837" s="53"/>
      <c r="F837" s="2"/>
      <c r="G837" s="2"/>
      <c r="H837" s="2"/>
      <c r="I837" s="2"/>
      <c r="J837" s="2"/>
      <c r="K837" s="2"/>
      <c r="L837" s="2"/>
      <c r="M837" s="2"/>
      <c r="N837" s="2"/>
      <c r="O837" s="7">
        <f t="shared" si="44"/>
        <v>0</v>
      </c>
      <c r="P837" s="2"/>
      <c r="Q837" s="2"/>
      <c r="R837" s="2"/>
      <c r="S837" s="2"/>
      <c r="T837" s="2"/>
      <c r="U837" s="2"/>
      <c r="V837" s="2"/>
      <c r="W837" s="2"/>
      <c r="X837" s="2"/>
      <c r="Y837" s="2"/>
      <c r="Z837" s="2"/>
      <c r="AA837" s="7">
        <f t="shared" si="45"/>
        <v>0</v>
      </c>
      <c r="AB837" s="7">
        <f t="shared" si="46"/>
        <v>0</v>
      </c>
      <c r="AC837" s="9"/>
      <c r="AD837" s="9"/>
      <c r="AE837" s="9" t="e">
        <f>IF(#REF!=#REF!,1,0)</f>
        <v>#REF!</v>
      </c>
      <c r="AF837" s="8"/>
      <c r="AG837" s="8"/>
      <c r="AH837" s="8"/>
      <c r="AI837" s="8"/>
    </row>
    <row r="838" spans="2:35" s="3" customFormat="1" x14ac:dyDescent="0.25">
      <c r="B838" s="4" t="e">
        <f>IF(AE838=0,"",1+(MAX(B$7:B837)))</f>
        <v>#REF!</v>
      </c>
      <c r="C838" s="51"/>
      <c r="D838" s="52"/>
      <c r="E838" s="53"/>
      <c r="F838" s="2"/>
      <c r="G838" s="2"/>
      <c r="H838" s="2"/>
      <c r="I838" s="2"/>
      <c r="J838" s="2"/>
      <c r="K838" s="2"/>
      <c r="L838" s="2"/>
      <c r="M838" s="2"/>
      <c r="N838" s="2"/>
      <c r="O838" s="7">
        <f t="shared" si="44"/>
        <v>0</v>
      </c>
      <c r="P838" s="2"/>
      <c r="Q838" s="2"/>
      <c r="R838" s="2"/>
      <c r="S838" s="2"/>
      <c r="T838" s="2"/>
      <c r="U838" s="2"/>
      <c r="V838" s="2"/>
      <c r="W838" s="2"/>
      <c r="X838" s="2"/>
      <c r="Y838" s="2"/>
      <c r="Z838" s="2"/>
      <c r="AA838" s="7">
        <f t="shared" si="45"/>
        <v>0</v>
      </c>
      <c r="AB838" s="7">
        <f t="shared" si="46"/>
        <v>0</v>
      </c>
      <c r="AC838" s="9"/>
      <c r="AD838" s="9"/>
      <c r="AE838" s="9" t="e">
        <f>IF(#REF!=#REF!,1,0)</f>
        <v>#REF!</v>
      </c>
      <c r="AF838" s="8"/>
      <c r="AG838" s="8"/>
      <c r="AH838" s="8"/>
      <c r="AI838" s="8"/>
    </row>
    <row r="839" spans="2:35" s="3" customFormat="1" x14ac:dyDescent="0.25">
      <c r="B839" s="4" t="e">
        <f>IF(AE839=0,"",1+(MAX(B$7:B838)))</f>
        <v>#REF!</v>
      </c>
      <c r="C839" s="51"/>
      <c r="D839" s="52"/>
      <c r="E839" s="53"/>
      <c r="F839" s="2"/>
      <c r="G839" s="2"/>
      <c r="H839" s="2"/>
      <c r="I839" s="2"/>
      <c r="J839" s="2"/>
      <c r="K839" s="2"/>
      <c r="L839" s="2"/>
      <c r="M839" s="2"/>
      <c r="N839" s="2"/>
      <c r="O839" s="7">
        <f t="shared" si="44"/>
        <v>0</v>
      </c>
      <c r="P839" s="2"/>
      <c r="Q839" s="2"/>
      <c r="R839" s="2"/>
      <c r="S839" s="2"/>
      <c r="T839" s="2"/>
      <c r="U839" s="2"/>
      <c r="V839" s="2"/>
      <c r="W839" s="2"/>
      <c r="X839" s="2"/>
      <c r="Y839" s="2"/>
      <c r="Z839" s="2"/>
      <c r="AA839" s="7">
        <f t="shared" si="45"/>
        <v>0</v>
      </c>
      <c r="AB839" s="7">
        <f t="shared" si="46"/>
        <v>0</v>
      </c>
      <c r="AC839" s="9"/>
      <c r="AD839" s="9"/>
      <c r="AE839" s="9" t="e">
        <f>IF(#REF!=#REF!,1,0)</f>
        <v>#REF!</v>
      </c>
      <c r="AF839" s="8"/>
      <c r="AG839" s="8"/>
      <c r="AH839" s="8"/>
      <c r="AI839" s="8"/>
    </row>
    <row r="840" spans="2:35" s="3" customFormat="1" x14ac:dyDescent="0.25">
      <c r="B840" s="4" t="e">
        <f>IF(AE840=0,"",1+(MAX(B$7:B839)))</f>
        <v>#REF!</v>
      </c>
      <c r="C840" s="51"/>
      <c r="D840" s="52"/>
      <c r="E840" s="53"/>
      <c r="F840" s="2"/>
      <c r="G840" s="2"/>
      <c r="H840" s="2"/>
      <c r="I840" s="2"/>
      <c r="J840" s="2"/>
      <c r="K840" s="2"/>
      <c r="L840" s="2"/>
      <c r="M840" s="2"/>
      <c r="N840" s="2"/>
      <c r="O840" s="7">
        <f t="shared" si="44"/>
        <v>0</v>
      </c>
      <c r="P840" s="2"/>
      <c r="Q840" s="2"/>
      <c r="R840" s="2"/>
      <c r="S840" s="2"/>
      <c r="T840" s="2"/>
      <c r="U840" s="2"/>
      <c r="V840" s="2"/>
      <c r="W840" s="2"/>
      <c r="X840" s="2"/>
      <c r="Y840" s="2"/>
      <c r="Z840" s="2"/>
      <c r="AA840" s="7">
        <f t="shared" si="45"/>
        <v>0</v>
      </c>
      <c r="AB840" s="7">
        <f t="shared" si="46"/>
        <v>0</v>
      </c>
      <c r="AC840" s="9"/>
      <c r="AD840" s="9"/>
      <c r="AE840" s="9" t="e">
        <f>IF(#REF!=#REF!,1,0)</f>
        <v>#REF!</v>
      </c>
      <c r="AF840" s="8"/>
      <c r="AG840" s="8"/>
      <c r="AH840" s="8"/>
      <c r="AI840" s="8"/>
    </row>
    <row r="841" spans="2:35" s="3" customFormat="1" x14ac:dyDescent="0.25">
      <c r="B841" s="4" t="e">
        <f>IF(AE841=0,"",1+(MAX(B$7:B840)))</f>
        <v>#REF!</v>
      </c>
      <c r="C841" s="51"/>
      <c r="D841" s="52"/>
      <c r="E841" s="53"/>
      <c r="F841" s="2"/>
      <c r="G841" s="2"/>
      <c r="H841" s="2"/>
      <c r="I841" s="2"/>
      <c r="J841" s="2"/>
      <c r="K841" s="2"/>
      <c r="L841" s="2"/>
      <c r="M841" s="2"/>
      <c r="N841" s="2"/>
      <c r="O841" s="7">
        <f t="shared" si="44"/>
        <v>0</v>
      </c>
      <c r="P841" s="2"/>
      <c r="Q841" s="2"/>
      <c r="R841" s="2"/>
      <c r="S841" s="2"/>
      <c r="T841" s="2"/>
      <c r="U841" s="2"/>
      <c r="V841" s="2"/>
      <c r="W841" s="2"/>
      <c r="X841" s="2"/>
      <c r="Y841" s="2"/>
      <c r="Z841" s="2"/>
      <c r="AA841" s="7">
        <f t="shared" si="45"/>
        <v>0</v>
      </c>
      <c r="AB841" s="7">
        <f t="shared" si="46"/>
        <v>0</v>
      </c>
      <c r="AC841" s="9"/>
      <c r="AD841" s="9"/>
      <c r="AE841" s="9" t="e">
        <f>IF(#REF!=#REF!,1,0)</f>
        <v>#REF!</v>
      </c>
      <c r="AF841" s="8"/>
      <c r="AG841" s="8"/>
      <c r="AH841" s="8"/>
      <c r="AI841" s="8"/>
    </row>
    <row r="842" spans="2:35" s="3" customFormat="1" x14ac:dyDescent="0.25">
      <c r="B842" s="4" t="e">
        <f>IF(AE842=0,"",1+(MAX(B$7:B841)))</f>
        <v>#REF!</v>
      </c>
      <c r="C842" s="51"/>
      <c r="D842" s="52"/>
      <c r="E842" s="53"/>
      <c r="F842" s="2"/>
      <c r="G842" s="2"/>
      <c r="H842" s="2"/>
      <c r="I842" s="2"/>
      <c r="J842" s="2"/>
      <c r="K842" s="2"/>
      <c r="L842" s="2"/>
      <c r="M842" s="2"/>
      <c r="N842" s="2"/>
      <c r="O842" s="7">
        <f t="shared" si="44"/>
        <v>0</v>
      </c>
      <c r="P842" s="2"/>
      <c r="Q842" s="2"/>
      <c r="R842" s="2"/>
      <c r="S842" s="2"/>
      <c r="T842" s="2"/>
      <c r="U842" s="2"/>
      <c r="V842" s="2"/>
      <c r="W842" s="2"/>
      <c r="X842" s="2"/>
      <c r="Y842" s="2"/>
      <c r="Z842" s="2"/>
      <c r="AA842" s="7">
        <f t="shared" si="45"/>
        <v>0</v>
      </c>
      <c r="AB842" s="7">
        <f t="shared" si="46"/>
        <v>0</v>
      </c>
      <c r="AC842" s="9"/>
      <c r="AD842" s="9"/>
      <c r="AE842" s="9" t="e">
        <f>IF(#REF!=#REF!,1,0)</f>
        <v>#REF!</v>
      </c>
      <c r="AF842" s="8"/>
      <c r="AG842" s="8"/>
      <c r="AH842" s="8"/>
      <c r="AI842" s="8"/>
    </row>
    <row r="843" spans="2:35" s="3" customFormat="1" x14ac:dyDescent="0.25">
      <c r="B843" s="4" t="e">
        <f>IF(AE843=0,"",1+(MAX(B$7:B842)))</f>
        <v>#REF!</v>
      </c>
      <c r="C843" s="51"/>
      <c r="D843" s="52"/>
      <c r="E843" s="53"/>
      <c r="F843" s="2"/>
      <c r="G843" s="2"/>
      <c r="H843" s="2"/>
      <c r="I843" s="2"/>
      <c r="J843" s="2"/>
      <c r="K843" s="2"/>
      <c r="L843" s="2"/>
      <c r="M843" s="2"/>
      <c r="N843" s="2"/>
      <c r="O843" s="7">
        <f t="shared" si="44"/>
        <v>0</v>
      </c>
      <c r="P843" s="2"/>
      <c r="Q843" s="2"/>
      <c r="R843" s="2"/>
      <c r="S843" s="2"/>
      <c r="T843" s="2"/>
      <c r="U843" s="2"/>
      <c r="V843" s="2"/>
      <c r="W843" s="2"/>
      <c r="X843" s="2"/>
      <c r="Y843" s="2"/>
      <c r="Z843" s="2"/>
      <c r="AA843" s="7">
        <f t="shared" si="45"/>
        <v>0</v>
      </c>
      <c r="AB843" s="7">
        <f t="shared" si="46"/>
        <v>0</v>
      </c>
      <c r="AC843" s="9"/>
      <c r="AD843" s="9"/>
      <c r="AE843" s="9" t="e">
        <f>IF(#REF!=#REF!,1,0)</f>
        <v>#REF!</v>
      </c>
      <c r="AF843" s="8"/>
      <c r="AG843" s="8"/>
      <c r="AH843" s="8"/>
      <c r="AI843" s="8"/>
    </row>
    <row r="844" spans="2:35" s="3" customFormat="1" x14ac:dyDescent="0.25">
      <c r="B844" s="4" t="e">
        <f>IF(AE844=0,"",1+(MAX(B$7:B843)))</f>
        <v>#REF!</v>
      </c>
      <c r="C844" s="51"/>
      <c r="D844" s="52"/>
      <c r="E844" s="53"/>
      <c r="F844" s="2"/>
      <c r="G844" s="2"/>
      <c r="H844" s="2"/>
      <c r="I844" s="2"/>
      <c r="J844" s="2"/>
      <c r="K844" s="2"/>
      <c r="L844" s="2"/>
      <c r="M844" s="2"/>
      <c r="N844" s="2"/>
      <c r="O844" s="7">
        <f t="shared" si="44"/>
        <v>0</v>
      </c>
      <c r="P844" s="2"/>
      <c r="Q844" s="2"/>
      <c r="R844" s="2"/>
      <c r="S844" s="2"/>
      <c r="T844" s="2"/>
      <c r="U844" s="2"/>
      <c r="V844" s="2"/>
      <c r="W844" s="2"/>
      <c r="X844" s="2"/>
      <c r="Y844" s="2"/>
      <c r="Z844" s="2"/>
      <c r="AA844" s="7">
        <f t="shared" si="45"/>
        <v>0</v>
      </c>
      <c r="AB844" s="7">
        <f t="shared" si="46"/>
        <v>0</v>
      </c>
      <c r="AC844" s="9"/>
      <c r="AD844" s="9"/>
      <c r="AE844" s="9" t="e">
        <f>IF(#REF!=#REF!,1,0)</f>
        <v>#REF!</v>
      </c>
      <c r="AF844" s="8"/>
      <c r="AG844" s="8"/>
      <c r="AH844" s="8"/>
      <c r="AI844" s="8"/>
    </row>
    <row r="845" spans="2:35" s="3" customFormat="1" x14ac:dyDescent="0.25">
      <c r="B845" s="4" t="e">
        <f>IF(AE845=0,"",1+(MAX(B$7:B844)))</f>
        <v>#REF!</v>
      </c>
      <c r="C845" s="51"/>
      <c r="D845" s="52"/>
      <c r="E845" s="53"/>
      <c r="F845" s="2"/>
      <c r="G845" s="2"/>
      <c r="H845" s="2"/>
      <c r="I845" s="2"/>
      <c r="J845" s="2"/>
      <c r="K845" s="2"/>
      <c r="L845" s="2"/>
      <c r="M845" s="2"/>
      <c r="N845" s="2"/>
      <c r="O845" s="7">
        <f t="shared" si="44"/>
        <v>0</v>
      </c>
      <c r="P845" s="2"/>
      <c r="Q845" s="2"/>
      <c r="R845" s="2"/>
      <c r="S845" s="2"/>
      <c r="T845" s="2"/>
      <c r="U845" s="2"/>
      <c r="V845" s="2"/>
      <c r="W845" s="2"/>
      <c r="X845" s="2"/>
      <c r="Y845" s="2"/>
      <c r="Z845" s="2"/>
      <c r="AA845" s="7">
        <f t="shared" si="45"/>
        <v>0</v>
      </c>
      <c r="AB845" s="7">
        <f t="shared" si="46"/>
        <v>0</v>
      </c>
      <c r="AC845" s="9"/>
      <c r="AD845" s="9"/>
      <c r="AE845" s="9" t="e">
        <f>IF(#REF!=#REF!,1,0)</f>
        <v>#REF!</v>
      </c>
      <c r="AF845" s="8"/>
      <c r="AG845" s="8"/>
      <c r="AH845" s="8"/>
      <c r="AI845" s="8"/>
    </row>
    <row r="846" spans="2:35" s="3" customFormat="1" x14ac:dyDescent="0.25">
      <c r="B846" s="4" t="e">
        <f>IF(AE846=0,"",1+(MAX(B$7:B845)))</f>
        <v>#REF!</v>
      </c>
      <c r="C846" s="51"/>
      <c r="D846" s="52"/>
      <c r="E846" s="53"/>
      <c r="F846" s="2"/>
      <c r="G846" s="2"/>
      <c r="H846" s="2"/>
      <c r="I846" s="2"/>
      <c r="J846" s="2"/>
      <c r="K846" s="2"/>
      <c r="L846" s="2"/>
      <c r="M846" s="2"/>
      <c r="N846" s="2"/>
      <c r="O846" s="7">
        <f t="shared" si="44"/>
        <v>0</v>
      </c>
      <c r="P846" s="2"/>
      <c r="Q846" s="2"/>
      <c r="R846" s="2"/>
      <c r="S846" s="2"/>
      <c r="T846" s="2"/>
      <c r="U846" s="2"/>
      <c r="V846" s="2"/>
      <c r="W846" s="2"/>
      <c r="X846" s="2"/>
      <c r="Y846" s="2"/>
      <c r="Z846" s="2"/>
      <c r="AA846" s="7">
        <f t="shared" si="45"/>
        <v>0</v>
      </c>
      <c r="AB846" s="7">
        <f t="shared" si="46"/>
        <v>0</v>
      </c>
      <c r="AC846" s="9"/>
      <c r="AD846" s="9"/>
      <c r="AE846" s="9" t="e">
        <f>IF(#REF!=#REF!,1,0)</f>
        <v>#REF!</v>
      </c>
      <c r="AF846" s="8"/>
      <c r="AG846" s="8"/>
      <c r="AH846" s="8"/>
      <c r="AI846" s="8"/>
    </row>
    <row r="847" spans="2:35" s="3" customFormat="1" x14ac:dyDescent="0.25">
      <c r="B847" s="4" t="e">
        <f>IF(AE847=0,"",1+(MAX(B$7:B846)))</f>
        <v>#REF!</v>
      </c>
      <c r="C847" s="51"/>
      <c r="D847" s="52"/>
      <c r="E847" s="53"/>
      <c r="F847" s="2"/>
      <c r="G847" s="2"/>
      <c r="H847" s="2"/>
      <c r="I847" s="2"/>
      <c r="J847" s="2"/>
      <c r="K847" s="2"/>
      <c r="L847" s="2"/>
      <c r="M847" s="2"/>
      <c r="N847" s="2"/>
      <c r="O847" s="7">
        <f t="shared" si="44"/>
        <v>0</v>
      </c>
      <c r="P847" s="2"/>
      <c r="Q847" s="2"/>
      <c r="R847" s="2"/>
      <c r="S847" s="2"/>
      <c r="T847" s="2"/>
      <c r="U847" s="2"/>
      <c r="V847" s="2"/>
      <c r="W847" s="2"/>
      <c r="X847" s="2"/>
      <c r="Y847" s="2"/>
      <c r="Z847" s="2"/>
      <c r="AA847" s="7">
        <f t="shared" si="45"/>
        <v>0</v>
      </c>
      <c r="AB847" s="7">
        <f t="shared" si="46"/>
        <v>0</v>
      </c>
      <c r="AC847" s="9"/>
      <c r="AD847" s="9"/>
      <c r="AE847" s="9" t="e">
        <f>IF(#REF!=#REF!,1,0)</f>
        <v>#REF!</v>
      </c>
      <c r="AF847" s="8"/>
      <c r="AG847" s="8"/>
      <c r="AH847" s="8"/>
      <c r="AI847" s="8"/>
    </row>
    <row r="848" spans="2:35" s="3" customFormat="1" x14ac:dyDescent="0.25">
      <c r="B848" s="4" t="e">
        <f>IF(AE848=0,"",1+(MAX(B$7:B847)))</f>
        <v>#REF!</v>
      </c>
      <c r="C848" s="51"/>
      <c r="D848" s="52"/>
      <c r="E848" s="53"/>
      <c r="F848" s="2"/>
      <c r="G848" s="2"/>
      <c r="H848" s="2"/>
      <c r="I848" s="2"/>
      <c r="J848" s="2"/>
      <c r="K848" s="2"/>
      <c r="L848" s="2"/>
      <c r="M848" s="2"/>
      <c r="N848" s="2"/>
      <c r="O848" s="7">
        <f t="shared" si="44"/>
        <v>0</v>
      </c>
      <c r="P848" s="2"/>
      <c r="Q848" s="2"/>
      <c r="R848" s="2"/>
      <c r="S848" s="2"/>
      <c r="T848" s="2"/>
      <c r="U848" s="2"/>
      <c r="V848" s="2"/>
      <c r="W848" s="2"/>
      <c r="X848" s="2"/>
      <c r="Y848" s="2"/>
      <c r="Z848" s="2"/>
      <c r="AA848" s="7">
        <f t="shared" si="45"/>
        <v>0</v>
      </c>
      <c r="AB848" s="7">
        <f t="shared" si="46"/>
        <v>0</v>
      </c>
      <c r="AC848" s="9"/>
      <c r="AD848" s="9"/>
      <c r="AE848" s="9" t="e">
        <f>IF(#REF!=#REF!,1,0)</f>
        <v>#REF!</v>
      </c>
      <c r="AF848" s="8"/>
      <c r="AG848" s="8"/>
      <c r="AH848" s="8"/>
      <c r="AI848" s="8"/>
    </row>
    <row r="849" spans="2:35" s="3" customFormat="1" x14ac:dyDescent="0.25">
      <c r="B849" s="4" t="e">
        <f>IF(AE849=0,"",1+(MAX(B$7:B848)))</f>
        <v>#REF!</v>
      </c>
      <c r="C849" s="51"/>
      <c r="D849" s="52"/>
      <c r="E849" s="53"/>
      <c r="F849" s="2"/>
      <c r="G849" s="2"/>
      <c r="H849" s="2"/>
      <c r="I849" s="2"/>
      <c r="J849" s="2"/>
      <c r="K849" s="2"/>
      <c r="L849" s="2"/>
      <c r="M849" s="2"/>
      <c r="N849" s="2"/>
      <c r="O849" s="7">
        <f t="shared" si="44"/>
        <v>0</v>
      </c>
      <c r="P849" s="2"/>
      <c r="Q849" s="2"/>
      <c r="R849" s="2"/>
      <c r="S849" s="2"/>
      <c r="T849" s="2"/>
      <c r="U849" s="2"/>
      <c r="V849" s="2"/>
      <c r="W849" s="2"/>
      <c r="X849" s="2"/>
      <c r="Y849" s="2"/>
      <c r="Z849" s="2"/>
      <c r="AA849" s="7">
        <f t="shared" si="45"/>
        <v>0</v>
      </c>
      <c r="AB849" s="7">
        <f t="shared" si="46"/>
        <v>0</v>
      </c>
      <c r="AC849" s="9"/>
      <c r="AD849" s="9"/>
      <c r="AE849" s="9" t="e">
        <f>IF(#REF!=#REF!,1,0)</f>
        <v>#REF!</v>
      </c>
      <c r="AF849" s="8"/>
      <c r="AG849" s="8"/>
      <c r="AH849" s="8"/>
      <c r="AI849" s="8"/>
    </row>
    <row r="850" spans="2:35" s="3" customFormat="1" x14ac:dyDescent="0.25">
      <c r="B850" s="4" t="e">
        <f>IF(AE850=0,"",1+(MAX(B$7:B849)))</f>
        <v>#REF!</v>
      </c>
      <c r="C850" s="51"/>
      <c r="D850" s="52"/>
      <c r="E850" s="53"/>
      <c r="F850" s="2"/>
      <c r="G850" s="2"/>
      <c r="H850" s="2"/>
      <c r="I850" s="2"/>
      <c r="J850" s="2"/>
      <c r="K850" s="2"/>
      <c r="L850" s="2"/>
      <c r="M850" s="2"/>
      <c r="N850" s="2"/>
      <c r="O850" s="7">
        <f t="shared" si="44"/>
        <v>0</v>
      </c>
      <c r="P850" s="2"/>
      <c r="Q850" s="2"/>
      <c r="R850" s="2"/>
      <c r="S850" s="2"/>
      <c r="T850" s="2"/>
      <c r="U850" s="2"/>
      <c r="V850" s="2"/>
      <c r="W850" s="2"/>
      <c r="X850" s="2"/>
      <c r="Y850" s="2"/>
      <c r="Z850" s="2"/>
      <c r="AA850" s="7">
        <f t="shared" si="45"/>
        <v>0</v>
      </c>
      <c r="AB850" s="7">
        <f t="shared" si="46"/>
        <v>0</v>
      </c>
      <c r="AC850" s="9"/>
      <c r="AD850" s="9"/>
      <c r="AE850" s="9" t="e">
        <f>IF(#REF!=#REF!,1,0)</f>
        <v>#REF!</v>
      </c>
      <c r="AF850" s="8"/>
      <c r="AG850" s="8"/>
      <c r="AH850" s="8"/>
      <c r="AI850" s="8"/>
    </row>
    <row r="851" spans="2:35" s="3" customFormat="1" x14ac:dyDescent="0.25">
      <c r="B851" s="4" t="e">
        <f>IF(AE851=0,"",1+(MAX(B$7:B850)))</f>
        <v>#REF!</v>
      </c>
      <c r="C851" s="51"/>
      <c r="D851" s="52"/>
      <c r="E851" s="53"/>
      <c r="F851" s="2"/>
      <c r="G851" s="2"/>
      <c r="H851" s="2"/>
      <c r="I851" s="2"/>
      <c r="J851" s="2"/>
      <c r="K851" s="2"/>
      <c r="L851" s="2"/>
      <c r="M851" s="2"/>
      <c r="N851" s="2"/>
      <c r="O851" s="7">
        <f t="shared" si="44"/>
        <v>0</v>
      </c>
      <c r="P851" s="2"/>
      <c r="Q851" s="2"/>
      <c r="R851" s="2"/>
      <c r="S851" s="2"/>
      <c r="T851" s="2"/>
      <c r="U851" s="2"/>
      <c r="V851" s="2"/>
      <c r="W851" s="2"/>
      <c r="X851" s="2"/>
      <c r="Y851" s="2"/>
      <c r="Z851" s="2"/>
      <c r="AA851" s="7">
        <f t="shared" si="45"/>
        <v>0</v>
      </c>
      <c r="AB851" s="7">
        <f t="shared" si="46"/>
        <v>0</v>
      </c>
      <c r="AC851" s="9"/>
      <c r="AD851" s="9"/>
      <c r="AE851" s="9" t="e">
        <f>IF(#REF!=#REF!,1,0)</f>
        <v>#REF!</v>
      </c>
      <c r="AF851" s="8"/>
      <c r="AG851" s="8"/>
      <c r="AH851" s="8"/>
      <c r="AI851" s="8"/>
    </row>
    <row r="852" spans="2:35" s="3" customFormat="1" x14ac:dyDescent="0.25">
      <c r="B852" s="4" t="e">
        <f>IF(AE852=0,"",1+(MAX(B$7:B851)))</f>
        <v>#REF!</v>
      </c>
      <c r="C852" s="51"/>
      <c r="D852" s="52"/>
      <c r="E852" s="53"/>
      <c r="F852" s="2"/>
      <c r="G852" s="2"/>
      <c r="H852" s="2"/>
      <c r="I852" s="2"/>
      <c r="J852" s="2"/>
      <c r="K852" s="2"/>
      <c r="L852" s="2"/>
      <c r="M852" s="2"/>
      <c r="N852" s="2"/>
      <c r="O852" s="7">
        <f t="shared" ref="O852:O915" si="47">SUM(F852:N852)</f>
        <v>0</v>
      </c>
      <c r="P852" s="2"/>
      <c r="Q852" s="2"/>
      <c r="R852" s="2"/>
      <c r="S852" s="2"/>
      <c r="T852" s="2"/>
      <c r="U852" s="2"/>
      <c r="V852" s="2"/>
      <c r="W852" s="2"/>
      <c r="X852" s="2"/>
      <c r="Y852" s="2"/>
      <c r="Z852" s="2"/>
      <c r="AA852" s="7">
        <f t="shared" si="45"/>
        <v>0</v>
      </c>
      <c r="AB852" s="7">
        <f t="shared" si="46"/>
        <v>0</v>
      </c>
      <c r="AC852" s="9"/>
      <c r="AD852" s="9"/>
      <c r="AE852" s="9" t="e">
        <f>IF(#REF!=#REF!,1,0)</f>
        <v>#REF!</v>
      </c>
      <c r="AF852" s="8"/>
      <c r="AG852" s="8"/>
      <c r="AH852" s="8"/>
      <c r="AI852" s="8"/>
    </row>
    <row r="853" spans="2:35" s="3" customFormat="1" x14ac:dyDescent="0.25">
      <c r="B853" s="4" t="e">
        <f>IF(AE853=0,"",1+(MAX(B$7:B852)))</f>
        <v>#REF!</v>
      </c>
      <c r="C853" s="51"/>
      <c r="D853" s="52"/>
      <c r="E853" s="53"/>
      <c r="F853" s="2"/>
      <c r="G853" s="2"/>
      <c r="H853" s="2"/>
      <c r="I853" s="2"/>
      <c r="J853" s="2"/>
      <c r="K853" s="2"/>
      <c r="L853" s="2"/>
      <c r="M853" s="2"/>
      <c r="N853" s="2"/>
      <c r="O853" s="7">
        <f t="shared" si="47"/>
        <v>0</v>
      </c>
      <c r="P853" s="2"/>
      <c r="Q853" s="2"/>
      <c r="R853" s="2"/>
      <c r="S853" s="2"/>
      <c r="T853" s="2"/>
      <c r="U853" s="2"/>
      <c r="V853" s="2"/>
      <c r="W853" s="2"/>
      <c r="X853" s="2"/>
      <c r="Y853" s="2"/>
      <c r="Z853" s="2"/>
      <c r="AA853" s="7">
        <f t="shared" si="45"/>
        <v>0</v>
      </c>
      <c r="AB853" s="7">
        <f t="shared" si="46"/>
        <v>0</v>
      </c>
      <c r="AC853" s="9"/>
      <c r="AD853" s="9"/>
      <c r="AE853" s="9" t="e">
        <f>IF(#REF!=#REF!,1,0)</f>
        <v>#REF!</v>
      </c>
      <c r="AF853" s="8"/>
      <c r="AG853" s="8"/>
      <c r="AH853" s="8"/>
      <c r="AI853" s="8"/>
    </row>
    <row r="854" spans="2:35" s="3" customFormat="1" x14ac:dyDescent="0.25">
      <c r="B854" s="4" t="e">
        <f>IF(AE854=0,"",1+(MAX(B$7:B853)))</f>
        <v>#REF!</v>
      </c>
      <c r="C854" s="51"/>
      <c r="D854" s="52"/>
      <c r="E854" s="53"/>
      <c r="F854" s="2"/>
      <c r="G854" s="2"/>
      <c r="H854" s="2"/>
      <c r="I854" s="2"/>
      <c r="J854" s="2"/>
      <c r="K854" s="2"/>
      <c r="L854" s="2"/>
      <c r="M854" s="2"/>
      <c r="N854" s="2"/>
      <c r="O854" s="7">
        <f t="shared" si="47"/>
        <v>0</v>
      </c>
      <c r="P854" s="2"/>
      <c r="Q854" s="2"/>
      <c r="R854" s="2"/>
      <c r="S854" s="2"/>
      <c r="T854" s="2"/>
      <c r="U854" s="2"/>
      <c r="V854" s="2"/>
      <c r="W854" s="2"/>
      <c r="X854" s="2"/>
      <c r="Y854" s="2"/>
      <c r="Z854" s="2"/>
      <c r="AA854" s="7">
        <f t="shared" si="45"/>
        <v>0</v>
      </c>
      <c r="AB854" s="7">
        <f t="shared" si="46"/>
        <v>0</v>
      </c>
      <c r="AC854" s="9"/>
      <c r="AD854" s="9"/>
      <c r="AE854" s="9" t="e">
        <f>IF(#REF!=#REF!,1,0)</f>
        <v>#REF!</v>
      </c>
      <c r="AF854" s="8"/>
      <c r="AG854" s="8"/>
      <c r="AH854" s="8"/>
      <c r="AI854" s="8"/>
    </row>
    <row r="855" spans="2:35" s="3" customFormat="1" x14ac:dyDescent="0.25">
      <c r="B855" s="4" t="e">
        <f>IF(AE855=0,"",1+(MAX(B$7:B854)))</f>
        <v>#REF!</v>
      </c>
      <c r="C855" s="51"/>
      <c r="D855" s="52"/>
      <c r="E855" s="53"/>
      <c r="F855" s="2"/>
      <c r="G855" s="2"/>
      <c r="H855" s="2"/>
      <c r="I855" s="2"/>
      <c r="J855" s="2"/>
      <c r="K855" s="2"/>
      <c r="L855" s="2"/>
      <c r="M855" s="2"/>
      <c r="N855" s="2"/>
      <c r="O855" s="7">
        <f t="shared" si="47"/>
        <v>0</v>
      </c>
      <c r="P855" s="2"/>
      <c r="Q855" s="2"/>
      <c r="R855" s="2"/>
      <c r="S855" s="2"/>
      <c r="T855" s="2"/>
      <c r="U855" s="2"/>
      <c r="V855" s="2"/>
      <c r="W855" s="2"/>
      <c r="X855" s="2"/>
      <c r="Y855" s="2"/>
      <c r="Z855" s="2"/>
      <c r="AA855" s="7">
        <f t="shared" si="45"/>
        <v>0</v>
      </c>
      <c r="AB855" s="7">
        <f t="shared" si="46"/>
        <v>0</v>
      </c>
      <c r="AC855" s="9"/>
      <c r="AD855" s="9"/>
      <c r="AE855" s="9" t="e">
        <f>IF(#REF!=#REF!,1,0)</f>
        <v>#REF!</v>
      </c>
      <c r="AF855" s="8"/>
      <c r="AG855" s="8"/>
      <c r="AH855" s="8"/>
      <c r="AI855" s="8"/>
    </row>
    <row r="856" spans="2:35" s="3" customFormat="1" x14ac:dyDescent="0.25">
      <c r="B856" s="4" t="e">
        <f>IF(AE856=0,"",1+(MAX(B$7:B855)))</f>
        <v>#REF!</v>
      </c>
      <c r="C856" s="51"/>
      <c r="D856" s="52"/>
      <c r="E856" s="53"/>
      <c r="F856" s="2"/>
      <c r="G856" s="2"/>
      <c r="H856" s="2"/>
      <c r="I856" s="2"/>
      <c r="J856" s="2"/>
      <c r="K856" s="2"/>
      <c r="L856" s="2"/>
      <c r="M856" s="2"/>
      <c r="N856" s="2"/>
      <c r="O856" s="7">
        <f t="shared" si="47"/>
        <v>0</v>
      </c>
      <c r="P856" s="2"/>
      <c r="Q856" s="2"/>
      <c r="R856" s="2"/>
      <c r="S856" s="2"/>
      <c r="T856" s="2"/>
      <c r="U856" s="2"/>
      <c r="V856" s="2"/>
      <c r="W856" s="2"/>
      <c r="X856" s="2"/>
      <c r="Y856" s="2"/>
      <c r="Z856" s="2"/>
      <c r="AA856" s="7">
        <f t="shared" si="45"/>
        <v>0</v>
      </c>
      <c r="AB856" s="7">
        <f t="shared" si="46"/>
        <v>0</v>
      </c>
      <c r="AC856" s="9"/>
      <c r="AD856" s="9"/>
      <c r="AE856" s="9" t="e">
        <f>IF(#REF!=#REF!,1,0)</f>
        <v>#REF!</v>
      </c>
      <c r="AF856" s="8"/>
      <c r="AG856" s="8"/>
      <c r="AH856" s="8"/>
      <c r="AI856" s="8"/>
    </row>
    <row r="857" spans="2:35" s="3" customFormat="1" x14ac:dyDescent="0.25">
      <c r="B857" s="4" t="e">
        <f>IF(AE857=0,"",1+(MAX(B$7:B856)))</f>
        <v>#REF!</v>
      </c>
      <c r="C857" s="51"/>
      <c r="D857" s="52"/>
      <c r="E857" s="53"/>
      <c r="F857" s="2"/>
      <c r="G857" s="2"/>
      <c r="H857" s="2"/>
      <c r="I857" s="2"/>
      <c r="J857" s="2"/>
      <c r="K857" s="2"/>
      <c r="L857" s="2"/>
      <c r="M857" s="2"/>
      <c r="N857" s="2"/>
      <c r="O857" s="7">
        <f t="shared" si="47"/>
        <v>0</v>
      </c>
      <c r="P857" s="2"/>
      <c r="Q857" s="2"/>
      <c r="R857" s="2"/>
      <c r="S857" s="2"/>
      <c r="T857" s="2"/>
      <c r="U857" s="2"/>
      <c r="V857" s="2"/>
      <c r="W857" s="2"/>
      <c r="X857" s="2"/>
      <c r="Y857" s="2"/>
      <c r="Z857" s="2"/>
      <c r="AA857" s="7">
        <f t="shared" si="45"/>
        <v>0</v>
      </c>
      <c r="AB857" s="7">
        <f t="shared" si="46"/>
        <v>0</v>
      </c>
      <c r="AC857" s="9"/>
      <c r="AD857" s="9"/>
      <c r="AE857" s="9" t="e">
        <f>IF(#REF!=#REF!,1,0)</f>
        <v>#REF!</v>
      </c>
      <c r="AF857" s="8"/>
      <c r="AG857" s="8"/>
      <c r="AH857" s="8"/>
      <c r="AI857" s="8"/>
    </row>
    <row r="858" spans="2:35" s="3" customFormat="1" x14ac:dyDescent="0.25">
      <c r="B858" s="4" t="e">
        <f>IF(AE858=0,"",1+(MAX(B$7:B857)))</f>
        <v>#REF!</v>
      </c>
      <c r="C858" s="51"/>
      <c r="D858" s="52"/>
      <c r="E858" s="53"/>
      <c r="F858" s="2"/>
      <c r="G858" s="2"/>
      <c r="H858" s="2"/>
      <c r="I858" s="2"/>
      <c r="J858" s="2"/>
      <c r="K858" s="2"/>
      <c r="L858" s="2"/>
      <c r="M858" s="2"/>
      <c r="N858" s="2"/>
      <c r="O858" s="7">
        <f t="shared" si="47"/>
        <v>0</v>
      </c>
      <c r="P858" s="2"/>
      <c r="Q858" s="2"/>
      <c r="R858" s="2"/>
      <c r="S858" s="2"/>
      <c r="T858" s="2"/>
      <c r="U858" s="2"/>
      <c r="V858" s="2"/>
      <c r="W858" s="2"/>
      <c r="X858" s="2"/>
      <c r="Y858" s="2"/>
      <c r="Z858" s="2"/>
      <c r="AA858" s="7">
        <f t="shared" si="45"/>
        <v>0</v>
      </c>
      <c r="AB858" s="7">
        <f t="shared" si="46"/>
        <v>0</v>
      </c>
      <c r="AC858" s="9"/>
      <c r="AD858" s="9"/>
      <c r="AE858" s="9" t="e">
        <f>IF(#REF!=#REF!,1,0)</f>
        <v>#REF!</v>
      </c>
      <c r="AF858" s="8"/>
      <c r="AG858" s="8"/>
      <c r="AH858" s="8"/>
      <c r="AI858" s="8"/>
    </row>
    <row r="859" spans="2:35" s="3" customFormat="1" x14ac:dyDescent="0.25">
      <c r="B859" s="4" t="e">
        <f>IF(AE859=0,"",1+(MAX(B$7:B858)))</f>
        <v>#REF!</v>
      </c>
      <c r="C859" s="51"/>
      <c r="D859" s="52"/>
      <c r="E859" s="53"/>
      <c r="F859" s="2"/>
      <c r="G859" s="2"/>
      <c r="H859" s="2"/>
      <c r="I859" s="2"/>
      <c r="J859" s="2"/>
      <c r="K859" s="2"/>
      <c r="L859" s="2"/>
      <c r="M859" s="2"/>
      <c r="N859" s="2"/>
      <c r="O859" s="7">
        <f t="shared" si="47"/>
        <v>0</v>
      </c>
      <c r="P859" s="2"/>
      <c r="Q859" s="2"/>
      <c r="R859" s="2"/>
      <c r="S859" s="2"/>
      <c r="T859" s="2"/>
      <c r="U859" s="2"/>
      <c r="V859" s="2"/>
      <c r="W859" s="2"/>
      <c r="X859" s="2"/>
      <c r="Y859" s="2"/>
      <c r="Z859" s="2"/>
      <c r="AA859" s="7">
        <f t="shared" ref="AA859:AA922" si="48">SUM(P859:Z859)</f>
        <v>0</v>
      </c>
      <c r="AB859" s="7">
        <f t="shared" ref="AB859:AB922" si="49">O859-AA859</f>
        <v>0</v>
      </c>
      <c r="AC859" s="9"/>
      <c r="AD859" s="9"/>
      <c r="AE859" s="9" t="e">
        <f>IF(#REF!=#REF!,1,0)</f>
        <v>#REF!</v>
      </c>
      <c r="AF859" s="8"/>
      <c r="AG859" s="8"/>
      <c r="AH859" s="8"/>
      <c r="AI859" s="8"/>
    </row>
    <row r="860" spans="2:35" s="3" customFormat="1" x14ac:dyDescent="0.25">
      <c r="B860" s="4" t="e">
        <f>IF(AE860=0,"",1+(MAX(B$7:B859)))</f>
        <v>#REF!</v>
      </c>
      <c r="C860" s="51"/>
      <c r="D860" s="52"/>
      <c r="E860" s="53"/>
      <c r="F860" s="2"/>
      <c r="G860" s="2"/>
      <c r="H860" s="2"/>
      <c r="I860" s="2"/>
      <c r="J860" s="2"/>
      <c r="K860" s="2"/>
      <c r="L860" s="2"/>
      <c r="M860" s="2"/>
      <c r="N860" s="2"/>
      <c r="O860" s="7">
        <f t="shared" si="47"/>
        <v>0</v>
      </c>
      <c r="P860" s="2"/>
      <c r="Q860" s="2"/>
      <c r="R860" s="2"/>
      <c r="S860" s="2"/>
      <c r="T860" s="2"/>
      <c r="U860" s="2"/>
      <c r="V860" s="2"/>
      <c r="W860" s="2"/>
      <c r="X860" s="2"/>
      <c r="Y860" s="2"/>
      <c r="Z860" s="2"/>
      <c r="AA860" s="7">
        <f t="shared" si="48"/>
        <v>0</v>
      </c>
      <c r="AB860" s="7">
        <f t="shared" si="49"/>
        <v>0</v>
      </c>
      <c r="AC860" s="9"/>
      <c r="AD860" s="9"/>
      <c r="AE860" s="9" t="e">
        <f>IF(#REF!=#REF!,1,0)</f>
        <v>#REF!</v>
      </c>
      <c r="AF860" s="8"/>
      <c r="AG860" s="8"/>
      <c r="AH860" s="8"/>
      <c r="AI860" s="8"/>
    </row>
    <row r="861" spans="2:35" s="3" customFormat="1" x14ac:dyDescent="0.25">
      <c r="B861" s="4" t="e">
        <f>IF(AE861=0,"",1+(MAX(B$7:B860)))</f>
        <v>#REF!</v>
      </c>
      <c r="C861" s="51"/>
      <c r="D861" s="52"/>
      <c r="E861" s="53"/>
      <c r="F861" s="2"/>
      <c r="G861" s="2"/>
      <c r="H861" s="2"/>
      <c r="I861" s="2"/>
      <c r="J861" s="2"/>
      <c r="K861" s="2"/>
      <c r="L861" s="2"/>
      <c r="M861" s="2"/>
      <c r="N861" s="2"/>
      <c r="O861" s="7">
        <f t="shared" si="47"/>
        <v>0</v>
      </c>
      <c r="P861" s="2"/>
      <c r="Q861" s="2"/>
      <c r="R861" s="2"/>
      <c r="S861" s="2"/>
      <c r="T861" s="2"/>
      <c r="U861" s="2"/>
      <c r="V861" s="2"/>
      <c r="W861" s="2"/>
      <c r="X861" s="2"/>
      <c r="Y861" s="2"/>
      <c r="Z861" s="2"/>
      <c r="AA861" s="7">
        <f t="shared" si="48"/>
        <v>0</v>
      </c>
      <c r="AB861" s="7">
        <f t="shared" si="49"/>
        <v>0</v>
      </c>
      <c r="AC861" s="9"/>
      <c r="AD861" s="9"/>
      <c r="AE861" s="9" t="e">
        <f>IF(#REF!=#REF!,1,0)</f>
        <v>#REF!</v>
      </c>
      <c r="AF861" s="8"/>
      <c r="AG861" s="8"/>
      <c r="AH861" s="8"/>
      <c r="AI861" s="8"/>
    </row>
    <row r="862" spans="2:35" s="3" customFormat="1" x14ac:dyDescent="0.25">
      <c r="B862" s="4" t="e">
        <f>IF(AE862=0,"",1+(MAX(B$7:B861)))</f>
        <v>#REF!</v>
      </c>
      <c r="C862" s="51"/>
      <c r="D862" s="52"/>
      <c r="E862" s="53"/>
      <c r="F862" s="2"/>
      <c r="G862" s="2"/>
      <c r="H862" s="2"/>
      <c r="I862" s="2"/>
      <c r="J862" s="2"/>
      <c r="K862" s="2"/>
      <c r="L862" s="2"/>
      <c r="M862" s="2"/>
      <c r="N862" s="2"/>
      <c r="O862" s="7">
        <f t="shared" si="47"/>
        <v>0</v>
      </c>
      <c r="P862" s="2"/>
      <c r="Q862" s="2"/>
      <c r="R862" s="2"/>
      <c r="S862" s="2"/>
      <c r="T862" s="2"/>
      <c r="U862" s="2"/>
      <c r="V862" s="2"/>
      <c r="W862" s="2"/>
      <c r="X862" s="2"/>
      <c r="Y862" s="2"/>
      <c r="Z862" s="2"/>
      <c r="AA862" s="7">
        <f t="shared" si="48"/>
        <v>0</v>
      </c>
      <c r="AB862" s="7">
        <f t="shared" si="49"/>
        <v>0</v>
      </c>
      <c r="AC862" s="9"/>
      <c r="AD862" s="9"/>
      <c r="AE862" s="9" t="e">
        <f>IF(#REF!=#REF!,1,0)</f>
        <v>#REF!</v>
      </c>
      <c r="AF862" s="8"/>
      <c r="AG862" s="8"/>
      <c r="AH862" s="8"/>
      <c r="AI862" s="8"/>
    </row>
    <row r="863" spans="2:35" s="3" customFormat="1" x14ac:dyDescent="0.25">
      <c r="B863" s="4" t="e">
        <f>IF(AE863=0,"",1+(MAX(B$7:B862)))</f>
        <v>#REF!</v>
      </c>
      <c r="C863" s="51"/>
      <c r="D863" s="52"/>
      <c r="E863" s="53"/>
      <c r="F863" s="2"/>
      <c r="G863" s="2"/>
      <c r="H863" s="2"/>
      <c r="I863" s="2"/>
      <c r="J863" s="2"/>
      <c r="K863" s="2"/>
      <c r="L863" s="2"/>
      <c r="M863" s="2"/>
      <c r="N863" s="2"/>
      <c r="O863" s="7">
        <f t="shared" si="47"/>
        <v>0</v>
      </c>
      <c r="P863" s="2"/>
      <c r="Q863" s="2"/>
      <c r="R863" s="2"/>
      <c r="S863" s="2"/>
      <c r="T863" s="2"/>
      <c r="U863" s="2"/>
      <c r="V863" s="2"/>
      <c r="W863" s="2"/>
      <c r="X863" s="2"/>
      <c r="Y863" s="2"/>
      <c r="Z863" s="2"/>
      <c r="AA863" s="7">
        <f t="shared" si="48"/>
        <v>0</v>
      </c>
      <c r="AB863" s="7">
        <f t="shared" si="49"/>
        <v>0</v>
      </c>
      <c r="AC863" s="9"/>
      <c r="AD863" s="9"/>
      <c r="AE863" s="9" t="e">
        <f>IF(#REF!=#REF!,1,0)</f>
        <v>#REF!</v>
      </c>
      <c r="AF863" s="8"/>
      <c r="AG863" s="8"/>
      <c r="AH863" s="8"/>
      <c r="AI863" s="8"/>
    </row>
    <row r="864" spans="2:35" s="3" customFormat="1" x14ac:dyDescent="0.25">
      <c r="B864" s="4" t="e">
        <f>IF(AE864=0,"",1+(MAX(B$7:B863)))</f>
        <v>#REF!</v>
      </c>
      <c r="C864" s="51"/>
      <c r="D864" s="52"/>
      <c r="E864" s="53"/>
      <c r="F864" s="2"/>
      <c r="G864" s="2"/>
      <c r="H864" s="2"/>
      <c r="I864" s="2"/>
      <c r="J864" s="2"/>
      <c r="K864" s="2"/>
      <c r="L864" s="2"/>
      <c r="M864" s="2"/>
      <c r="N864" s="2"/>
      <c r="O864" s="7">
        <f t="shared" si="47"/>
        <v>0</v>
      </c>
      <c r="P864" s="2"/>
      <c r="Q864" s="2"/>
      <c r="R864" s="2"/>
      <c r="S864" s="2"/>
      <c r="T864" s="2"/>
      <c r="U864" s="2"/>
      <c r="V864" s="2"/>
      <c r="W864" s="2"/>
      <c r="X864" s="2"/>
      <c r="Y864" s="2"/>
      <c r="Z864" s="2"/>
      <c r="AA864" s="7">
        <f t="shared" si="48"/>
        <v>0</v>
      </c>
      <c r="AB864" s="7">
        <f t="shared" si="49"/>
        <v>0</v>
      </c>
      <c r="AC864" s="9"/>
      <c r="AD864" s="9"/>
      <c r="AE864" s="9" t="e">
        <f>IF(#REF!=#REF!,1,0)</f>
        <v>#REF!</v>
      </c>
      <c r="AF864" s="8"/>
      <c r="AG864" s="8"/>
      <c r="AH864" s="8"/>
      <c r="AI864" s="8"/>
    </row>
    <row r="865" spans="2:35" s="3" customFormat="1" x14ac:dyDescent="0.25">
      <c r="B865" s="4" t="e">
        <f>IF(AE865=0,"",1+(MAX(B$7:B864)))</f>
        <v>#REF!</v>
      </c>
      <c r="C865" s="51"/>
      <c r="D865" s="52"/>
      <c r="E865" s="53"/>
      <c r="F865" s="2"/>
      <c r="G865" s="2"/>
      <c r="H865" s="2"/>
      <c r="I865" s="2"/>
      <c r="J865" s="2"/>
      <c r="K865" s="2"/>
      <c r="L865" s="2"/>
      <c r="M865" s="2"/>
      <c r="N865" s="2"/>
      <c r="O865" s="7">
        <f t="shared" si="47"/>
        <v>0</v>
      </c>
      <c r="P865" s="2"/>
      <c r="Q865" s="2"/>
      <c r="R865" s="2"/>
      <c r="S865" s="2"/>
      <c r="T865" s="2"/>
      <c r="U865" s="2"/>
      <c r="V865" s="2"/>
      <c r="W865" s="2"/>
      <c r="X865" s="2"/>
      <c r="Y865" s="2"/>
      <c r="Z865" s="2"/>
      <c r="AA865" s="7">
        <f t="shared" si="48"/>
        <v>0</v>
      </c>
      <c r="AB865" s="7">
        <f t="shared" si="49"/>
        <v>0</v>
      </c>
      <c r="AC865" s="9"/>
      <c r="AD865" s="9"/>
      <c r="AE865" s="9" t="e">
        <f>IF(#REF!=#REF!,1,0)</f>
        <v>#REF!</v>
      </c>
      <c r="AF865" s="8"/>
      <c r="AG865" s="8"/>
      <c r="AH865" s="8"/>
      <c r="AI865" s="8"/>
    </row>
    <row r="866" spans="2:35" s="3" customFormat="1" x14ac:dyDescent="0.25">
      <c r="B866" s="4" t="e">
        <f>IF(AE866=0,"",1+(MAX(B$7:B865)))</f>
        <v>#REF!</v>
      </c>
      <c r="C866" s="51"/>
      <c r="D866" s="52"/>
      <c r="E866" s="53"/>
      <c r="F866" s="2"/>
      <c r="G866" s="2"/>
      <c r="H866" s="2"/>
      <c r="I866" s="2"/>
      <c r="J866" s="2"/>
      <c r="K866" s="2"/>
      <c r="L866" s="2"/>
      <c r="M866" s="2"/>
      <c r="N866" s="2"/>
      <c r="O866" s="7">
        <f t="shared" si="47"/>
        <v>0</v>
      </c>
      <c r="P866" s="2"/>
      <c r="Q866" s="2"/>
      <c r="R866" s="2"/>
      <c r="S866" s="2"/>
      <c r="T866" s="2"/>
      <c r="U866" s="2"/>
      <c r="V866" s="2"/>
      <c r="W866" s="2"/>
      <c r="X866" s="2"/>
      <c r="Y866" s="2"/>
      <c r="Z866" s="2"/>
      <c r="AA866" s="7">
        <f t="shared" si="48"/>
        <v>0</v>
      </c>
      <c r="AB866" s="7">
        <f t="shared" si="49"/>
        <v>0</v>
      </c>
      <c r="AC866" s="9"/>
      <c r="AD866" s="9"/>
      <c r="AE866" s="9" t="e">
        <f>IF(#REF!=#REF!,1,0)</f>
        <v>#REF!</v>
      </c>
      <c r="AF866" s="8"/>
      <c r="AG866" s="8"/>
      <c r="AH866" s="8"/>
      <c r="AI866" s="8"/>
    </row>
    <row r="867" spans="2:35" s="3" customFormat="1" x14ac:dyDescent="0.25">
      <c r="B867" s="4" t="e">
        <f>IF(AE867=0,"",1+(MAX(B$7:B866)))</f>
        <v>#REF!</v>
      </c>
      <c r="C867" s="51"/>
      <c r="D867" s="52"/>
      <c r="E867" s="53"/>
      <c r="F867" s="2"/>
      <c r="G867" s="2"/>
      <c r="H867" s="2"/>
      <c r="I867" s="2"/>
      <c r="J867" s="2"/>
      <c r="K867" s="2"/>
      <c r="L867" s="2"/>
      <c r="M867" s="2"/>
      <c r="N867" s="2"/>
      <c r="O867" s="7">
        <f t="shared" si="47"/>
        <v>0</v>
      </c>
      <c r="P867" s="2"/>
      <c r="Q867" s="2"/>
      <c r="R867" s="2"/>
      <c r="S867" s="2"/>
      <c r="T867" s="2"/>
      <c r="U867" s="2"/>
      <c r="V867" s="2"/>
      <c r="W867" s="2"/>
      <c r="X867" s="2"/>
      <c r="Y867" s="2"/>
      <c r="Z867" s="2"/>
      <c r="AA867" s="7">
        <f t="shared" si="48"/>
        <v>0</v>
      </c>
      <c r="AB867" s="7">
        <f t="shared" si="49"/>
        <v>0</v>
      </c>
      <c r="AC867" s="9"/>
      <c r="AD867" s="9"/>
      <c r="AE867" s="9" t="e">
        <f>IF(#REF!=#REF!,1,0)</f>
        <v>#REF!</v>
      </c>
      <c r="AF867" s="8"/>
      <c r="AG867" s="8"/>
      <c r="AH867" s="8"/>
      <c r="AI867" s="8"/>
    </row>
    <row r="868" spans="2:35" s="3" customFormat="1" x14ac:dyDescent="0.25">
      <c r="B868" s="4" t="e">
        <f>IF(AE868=0,"",1+(MAX(B$7:B867)))</f>
        <v>#REF!</v>
      </c>
      <c r="C868" s="51"/>
      <c r="D868" s="52"/>
      <c r="E868" s="53"/>
      <c r="F868" s="2"/>
      <c r="G868" s="2"/>
      <c r="H868" s="2"/>
      <c r="I868" s="2"/>
      <c r="J868" s="2"/>
      <c r="K868" s="2"/>
      <c r="L868" s="2"/>
      <c r="M868" s="2"/>
      <c r="N868" s="2"/>
      <c r="O868" s="7">
        <f t="shared" si="47"/>
        <v>0</v>
      </c>
      <c r="P868" s="2"/>
      <c r="Q868" s="2"/>
      <c r="R868" s="2"/>
      <c r="S868" s="2"/>
      <c r="T868" s="2"/>
      <c r="U868" s="2"/>
      <c r="V868" s="2"/>
      <c r="W868" s="2"/>
      <c r="X868" s="2"/>
      <c r="Y868" s="2"/>
      <c r="Z868" s="2"/>
      <c r="AA868" s="7">
        <f t="shared" si="48"/>
        <v>0</v>
      </c>
      <c r="AB868" s="7">
        <f t="shared" si="49"/>
        <v>0</v>
      </c>
      <c r="AC868" s="9"/>
      <c r="AD868" s="9"/>
      <c r="AE868" s="9" t="e">
        <f>IF(#REF!=#REF!,1,0)</f>
        <v>#REF!</v>
      </c>
      <c r="AF868" s="8"/>
      <c r="AG868" s="8"/>
      <c r="AH868" s="8"/>
      <c r="AI868" s="8"/>
    </row>
    <row r="869" spans="2:35" s="3" customFormat="1" x14ac:dyDescent="0.25">
      <c r="B869" s="4" t="e">
        <f>IF(AE869=0,"",1+(MAX(B$7:B868)))</f>
        <v>#REF!</v>
      </c>
      <c r="C869" s="51"/>
      <c r="D869" s="52"/>
      <c r="E869" s="53"/>
      <c r="F869" s="2"/>
      <c r="G869" s="2"/>
      <c r="H869" s="2"/>
      <c r="I869" s="2"/>
      <c r="J869" s="2"/>
      <c r="K869" s="2"/>
      <c r="L869" s="2"/>
      <c r="M869" s="2"/>
      <c r="N869" s="2"/>
      <c r="O869" s="7">
        <f t="shared" si="47"/>
        <v>0</v>
      </c>
      <c r="P869" s="2"/>
      <c r="Q869" s="2"/>
      <c r="R869" s="2"/>
      <c r="S869" s="2"/>
      <c r="T869" s="2"/>
      <c r="U869" s="2"/>
      <c r="V869" s="2"/>
      <c r="W869" s="2"/>
      <c r="X869" s="2"/>
      <c r="Y869" s="2"/>
      <c r="Z869" s="2"/>
      <c r="AA869" s="7">
        <f t="shared" si="48"/>
        <v>0</v>
      </c>
      <c r="AB869" s="7">
        <f t="shared" si="49"/>
        <v>0</v>
      </c>
      <c r="AC869" s="9"/>
      <c r="AD869" s="9"/>
      <c r="AE869" s="9" t="e">
        <f>IF(#REF!=#REF!,1,0)</f>
        <v>#REF!</v>
      </c>
      <c r="AF869" s="8"/>
      <c r="AG869" s="8"/>
      <c r="AH869" s="8"/>
      <c r="AI869" s="8"/>
    </row>
    <row r="870" spans="2:35" s="3" customFormat="1" x14ac:dyDescent="0.25">
      <c r="B870" s="4" t="e">
        <f>IF(AE870=0,"",1+(MAX(B$7:B869)))</f>
        <v>#REF!</v>
      </c>
      <c r="C870" s="51"/>
      <c r="D870" s="52"/>
      <c r="E870" s="53"/>
      <c r="F870" s="2"/>
      <c r="G870" s="2"/>
      <c r="H870" s="2"/>
      <c r="I870" s="2"/>
      <c r="J870" s="2"/>
      <c r="K870" s="2"/>
      <c r="L870" s="2"/>
      <c r="M870" s="2"/>
      <c r="N870" s="2"/>
      <c r="O870" s="7">
        <f t="shared" si="47"/>
        <v>0</v>
      </c>
      <c r="P870" s="2"/>
      <c r="Q870" s="2"/>
      <c r="R870" s="2"/>
      <c r="S870" s="2"/>
      <c r="T870" s="2"/>
      <c r="U870" s="2"/>
      <c r="V870" s="2"/>
      <c r="W870" s="2"/>
      <c r="X870" s="2"/>
      <c r="Y870" s="2"/>
      <c r="Z870" s="2"/>
      <c r="AA870" s="7">
        <f t="shared" si="48"/>
        <v>0</v>
      </c>
      <c r="AB870" s="7">
        <f t="shared" si="49"/>
        <v>0</v>
      </c>
      <c r="AC870" s="9"/>
      <c r="AD870" s="9"/>
      <c r="AE870" s="9" t="e">
        <f>IF(#REF!=#REF!,1,0)</f>
        <v>#REF!</v>
      </c>
      <c r="AF870" s="8"/>
      <c r="AG870" s="8"/>
      <c r="AH870" s="8"/>
      <c r="AI870" s="8"/>
    </row>
    <row r="871" spans="2:35" s="3" customFormat="1" x14ac:dyDescent="0.25">
      <c r="B871" s="4" t="e">
        <f>IF(AE871=0,"",1+(MAX(B$7:B870)))</f>
        <v>#REF!</v>
      </c>
      <c r="C871" s="51"/>
      <c r="D871" s="52"/>
      <c r="E871" s="53"/>
      <c r="F871" s="2"/>
      <c r="G871" s="2"/>
      <c r="H871" s="2"/>
      <c r="I871" s="2"/>
      <c r="J871" s="2"/>
      <c r="K871" s="2"/>
      <c r="L871" s="2"/>
      <c r="M871" s="2"/>
      <c r="N871" s="2"/>
      <c r="O871" s="7">
        <f t="shared" si="47"/>
        <v>0</v>
      </c>
      <c r="P871" s="2"/>
      <c r="Q871" s="2"/>
      <c r="R871" s="2"/>
      <c r="S871" s="2"/>
      <c r="T871" s="2"/>
      <c r="U871" s="2"/>
      <c r="V871" s="2"/>
      <c r="W871" s="2"/>
      <c r="X871" s="2"/>
      <c r="Y871" s="2"/>
      <c r="Z871" s="2"/>
      <c r="AA871" s="7">
        <f t="shared" si="48"/>
        <v>0</v>
      </c>
      <c r="AB871" s="7">
        <f t="shared" si="49"/>
        <v>0</v>
      </c>
      <c r="AC871" s="9"/>
      <c r="AD871" s="9"/>
      <c r="AE871" s="9" t="e">
        <f>IF(#REF!=#REF!,1,0)</f>
        <v>#REF!</v>
      </c>
      <c r="AF871" s="8"/>
      <c r="AG871" s="8"/>
      <c r="AH871" s="8"/>
      <c r="AI871" s="8"/>
    </row>
    <row r="872" spans="2:35" s="3" customFormat="1" x14ac:dyDescent="0.25">
      <c r="B872" s="4" t="e">
        <f>IF(AE872=0,"",1+(MAX(B$7:B871)))</f>
        <v>#REF!</v>
      </c>
      <c r="C872" s="51"/>
      <c r="D872" s="52"/>
      <c r="E872" s="53"/>
      <c r="F872" s="2"/>
      <c r="G872" s="2"/>
      <c r="H872" s="2"/>
      <c r="I872" s="2"/>
      <c r="J872" s="2"/>
      <c r="K872" s="2"/>
      <c r="L872" s="2"/>
      <c r="M872" s="2"/>
      <c r="N872" s="2"/>
      <c r="O872" s="7">
        <f t="shared" si="47"/>
        <v>0</v>
      </c>
      <c r="P872" s="2"/>
      <c r="Q872" s="2"/>
      <c r="R872" s="2"/>
      <c r="S872" s="2"/>
      <c r="T872" s="2"/>
      <c r="U872" s="2"/>
      <c r="V872" s="2"/>
      <c r="W872" s="2"/>
      <c r="X872" s="2"/>
      <c r="Y872" s="2"/>
      <c r="Z872" s="2"/>
      <c r="AA872" s="7">
        <f t="shared" si="48"/>
        <v>0</v>
      </c>
      <c r="AB872" s="7">
        <f t="shared" si="49"/>
        <v>0</v>
      </c>
      <c r="AC872" s="9"/>
      <c r="AD872" s="9"/>
      <c r="AE872" s="9" t="e">
        <f>IF(#REF!=#REF!,1,0)</f>
        <v>#REF!</v>
      </c>
      <c r="AF872" s="8"/>
      <c r="AG872" s="8"/>
      <c r="AH872" s="8"/>
      <c r="AI872" s="8"/>
    </row>
    <row r="873" spans="2:35" s="3" customFormat="1" x14ac:dyDescent="0.25">
      <c r="B873" s="4" t="e">
        <f>IF(AE873=0,"",1+(MAX(B$7:B872)))</f>
        <v>#REF!</v>
      </c>
      <c r="C873" s="51"/>
      <c r="D873" s="52"/>
      <c r="E873" s="53"/>
      <c r="F873" s="2"/>
      <c r="G873" s="2"/>
      <c r="H873" s="2"/>
      <c r="I873" s="2"/>
      <c r="J873" s="2"/>
      <c r="K873" s="2"/>
      <c r="L873" s="2"/>
      <c r="M873" s="2"/>
      <c r="N873" s="2"/>
      <c r="O873" s="7">
        <f t="shared" si="47"/>
        <v>0</v>
      </c>
      <c r="P873" s="2"/>
      <c r="Q873" s="2"/>
      <c r="R873" s="2"/>
      <c r="S873" s="2"/>
      <c r="T873" s="2"/>
      <c r="U873" s="2"/>
      <c r="V873" s="2"/>
      <c r="W873" s="2"/>
      <c r="X873" s="2"/>
      <c r="Y873" s="2"/>
      <c r="Z873" s="2"/>
      <c r="AA873" s="7">
        <f t="shared" si="48"/>
        <v>0</v>
      </c>
      <c r="AB873" s="7">
        <f t="shared" si="49"/>
        <v>0</v>
      </c>
      <c r="AC873" s="9"/>
      <c r="AD873" s="9"/>
      <c r="AE873" s="9" t="e">
        <f>IF(#REF!=#REF!,1,0)</f>
        <v>#REF!</v>
      </c>
      <c r="AF873" s="8"/>
      <c r="AG873" s="8"/>
      <c r="AH873" s="8"/>
      <c r="AI873" s="8"/>
    </row>
    <row r="874" spans="2:35" s="3" customFormat="1" x14ac:dyDescent="0.25">
      <c r="B874" s="4" t="e">
        <f>IF(AE874=0,"",1+(MAX(B$7:B873)))</f>
        <v>#REF!</v>
      </c>
      <c r="C874" s="51"/>
      <c r="D874" s="52"/>
      <c r="E874" s="53"/>
      <c r="F874" s="2"/>
      <c r="G874" s="2"/>
      <c r="H874" s="2"/>
      <c r="I874" s="2"/>
      <c r="J874" s="2"/>
      <c r="K874" s="2"/>
      <c r="L874" s="2"/>
      <c r="M874" s="2"/>
      <c r="N874" s="2"/>
      <c r="O874" s="7">
        <f t="shared" si="47"/>
        <v>0</v>
      </c>
      <c r="P874" s="2"/>
      <c r="Q874" s="2"/>
      <c r="R874" s="2"/>
      <c r="S874" s="2"/>
      <c r="T874" s="2"/>
      <c r="U874" s="2"/>
      <c r="V874" s="2"/>
      <c r="W874" s="2"/>
      <c r="X874" s="2"/>
      <c r="Y874" s="2"/>
      <c r="Z874" s="2"/>
      <c r="AA874" s="7">
        <f t="shared" si="48"/>
        <v>0</v>
      </c>
      <c r="AB874" s="7">
        <f t="shared" si="49"/>
        <v>0</v>
      </c>
      <c r="AC874" s="9"/>
      <c r="AD874" s="9"/>
      <c r="AE874" s="9" t="e">
        <f>IF(#REF!=#REF!,1,0)</f>
        <v>#REF!</v>
      </c>
      <c r="AF874" s="8"/>
      <c r="AG874" s="8"/>
      <c r="AH874" s="8"/>
      <c r="AI874" s="8"/>
    </row>
    <row r="875" spans="2:35" s="3" customFormat="1" x14ac:dyDescent="0.25">
      <c r="B875" s="4" t="e">
        <f>IF(AE875=0,"",1+(MAX(B$7:B874)))</f>
        <v>#REF!</v>
      </c>
      <c r="C875" s="51"/>
      <c r="D875" s="52"/>
      <c r="E875" s="53"/>
      <c r="F875" s="2"/>
      <c r="G875" s="2"/>
      <c r="H875" s="2"/>
      <c r="I875" s="2"/>
      <c r="J875" s="2"/>
      <c r="K875" s="2"/>
      <c r="L875" s="2"/>
      <c r="M875" s="2"/>
      <c r="N875" s="2"/>
      <c r="O875" s="7">
        <f t="shared" si="47"/>
        <v>0</v>
      </c>
      <c r="P875" s="2"/>
      <c r="Q875" s="2"/>
      <c r="R875" s="2"/>
      <c r="S875" s="2"/>
      <c r="T875" s="2"/>
      <c r="U875" s="2"/>
      <c r="V875" s="2"/>
      <c r="W875" s="2"/>
      <c r="X875" s="2"/>
      <c r="Y875" s="2"/>
      <c r="Z875" s="2"/>
      <c r="AA875" s="7">
        <f t="shared" si="48"/>
        <v>0</v>
      </c>
      <c r="AB875" s="7">
        <f t="shared" si="49"/>
        <v>0</v>
      </c>
      <c r="AC875" s="9"/>
      <c r="AD875" s="9"/>
      <c r="AE875" s="9" t="e">
        <f>IF(#REF!=#REF!,1,0)</f>
        <v>#REF!</v>
      </c>
      <c r="AF875" s="8"/>
      <c r="AG875" s="8"/>
      <c r="AH875" s="8"/>
      <c r="AI875" s="8"/>
    </row>
    <row r="876" spans="2:35" s="3" customFormat="1" x14ac:dyDescent="0.25">
      <c r="B876" s="4" t="e">
        <f>IF(AE876=0,"",1+(MAX(B$7:B875)))</f>
        <v>#REF!</v>
      </c>
      <c r="C876" s="51"/>
      <c r="D876" s="52"/>
      <c r="E876" s="53"/>
      <c r="F876" s="2"/>
      <c r="G876" s="2"/>
      <c r="H876" s="2"/>
      <c r="I876" s="2"/>
      <c r="J876" s="2"/>
      <c r="K876" s="2"/>
      <c r="L876" s="2"/>
      <c r="M876" s="2"/>
      <c r="N876" s="2"/>
      <c r="O876" s="7">
        <f t="shared" si="47"/>
        <v>0</v>
      </c>
      <c r="P876" s="2"/>
      <c r="Q876" s="2"/>
      <c r="R876" s="2"/>
      <c r="S876" s="2"/>
      <c r="T876" s="2"/>
      <c r="U876" s="2"/>
      <c r="V876" s="2"/>
      <c r="W876" s="2"/>
      <c r="X876" s="2"/>
      <c r="Y876" s="2"/>
      <c r="Z876" s="2"/>
      <c r="AA876" s="7">
        <f t="shared" si="48"/>
        <v>0</v>
      </c>
      <c r="AB876" s="7">
        <f t="shared" si="49"/>
        <v>0</v>
      </c>
      <c r="AC876" s="9"/>
      <c r="AD876" s="9"/>
      <c r="AE876" s="9" t="e">
        <f>IF(#REF!=#REF!,1,0)</f>
        <v>#REF!</v>
      </c>
      <c r="AF876" s="8"/>
      <c r="AG876" s="8"/>
      <c r="AH876" s="8"/>
      <c r="AI876" s="8"/>
    </row>
    <row r="877" spans="2:35" s="3" customFormat="1" x14ac:dyDescent="0.25">
      <c r="B877" s="4" t="e">
        <f>IF(AE877=0,"",1+(MAX(B$7:B876)))</f>
        <v>#REF!</v>
      </c>
      <c r="C877" s="51"/>
      <c r="D877" s="52"/>
      <c r="E877" s="53"/>
      <c r="F877" s="2"/>
      <c r="G877" s="2"/>
      <c r="H877" s="2"/>
      <c r="I877" s="2"/>
      <c r="J877" s="2"/>
      <c r="K877" s="2"/>
      <c r="L877" s="2"/>
      <c r="M877" s="2"/>
      <c r="N877" s="2"/>
      <c r="O877" s="7">
        <f t="shared" si="47"/>
        <v>0</v>
      </c>
      <c r="P877" s="2"/>
      <c r="Q877" s="2"/>
      <c r="R877" s="2"/>
      <c r="S877" s="2"/>
      <c r="T877" s="2"/>
      <c r="U877" s="2"/>
      <c r="V877" s="2"/>
      <c r="W877" s="2"/>
      <c r="X877" s="2"/>
      <c r="Y877" s="2"/>
      <c r="Z877" s="2"/>
      <c r="AA877" s="7">
        <f t="shared" si="48"/>
        <v>0</v>
      </c>
      <c r="AB877" s="7">
        <f t="shared" si="49"/>
        <v>0</v>
      </c>
      <c r="AC877" s="9"/>
      <c r="AD877" s="9"/>
      <c r="AE877" s="9" t="e">
        <f>IF(#REF!=#REF!,1,0)</f>
        <v>#REF!</v>
      </c>
      <c r="AF877" s="8"/>
      <c r="AG877" s="8"/>
      <c r="AH877" s="8"/>
      <c r="AI877" s="8"/>
    </row>
    <row r="878" spans="2:35" s="3" customFormat="1" x14ac:dyDescent="0.25">
      <c r="B878" s="4" t="e">
        <f>IF(AE878=0,"",1+(MAX(B$7:B877)))</f>
        <v>#REF!</v>
      </c>
      <c r="C878" s="51"/>
      <c r="D878" s="52"/>
      <c r="E878" s="53"/>
      <c r="F878" s="2"/>
      <c r="G878" s="2"/>
      <c r="H878" s="2"/>
      <c r="I878" s="2"/>
      <c r="J878" s="2"/>
      <c r="K878" s="2"/>
      <c r="L878" s="2"/>
      <c r="M878" s="2"/>
      <c r="N878" s="2"/>
      <c r="O878" s="7">
        <f t="shared" si="47"/>
        <v>0</v>
      </c>
      <c r="P878" s="2"/>
      <c r="Q878" s="2"/>
      <c r="R878" s="2"/>
      <c r="S878" s="2"/>
      <c r="T878" s="2"/>
      <c r="U878" s="2"/>
      <c r="V878" s="2"/>
      <c r="W878" s="2"/>
      <c r="X878" s="2"/>
      <c r="Y878" s="2"/>
      <c r="Z878" s="2"/>
      <c r="AA878" s="7">
        <f t="shared" si="48"/>
        <v>0</v>
      </c>
      <c r="AB878" s="7">
        <f t="shared" si="49"/>
        <v>0</v>
      </c>
      <c r="AC878" s="9"/>
      <c r="AD878" s="9"/>
      <c r="AE878" s="9" t="e">
        <f>IF(#REF!=#REF!,1,0)</f>
        <v>#REF!</v>
      </c>
      <c r="AF878" s="8"/>
      <c r="AG878" s="8"/>
      <c r="AH878" s="8"/>
      <c r="AI878" s="8"/>
    </row>
    <row r="879" spans="2:35" s="3" customFormat="1" x14ac:dyDescent="0.25">
      <c r="B879" s="4" t="e">
        <f>IF(AE879=0,"",1+(MAX(B$7:B878)))</f>
        <v>#REF!</v>
      </c>
      <c r="C879" s="51"/>
      <c r="D879" s="52"/>
      <c r="E879" s="53"/>
      <c r="F879" s="2"/>
      <c r="G879" s="2"/>
      <c r="H879" s="2"/>
      <c r="I879" s="2"/>
      <c r="J879" s="2"/>
      <c r="K879" s="2"/>
      <c r="L879" s="2"/>
      <c r="M879" s="2"/>
      <c r="N879" s="2"/>
      <c r="O879" s="7">
        <f t="shared" si="47"/>
        <v>0</v>
      </c>
      <c r="P879" s="2"/>
      <c r="Q879" s="2"/>
      <c r="R879" s="2"/>
      <c r="S879" s="2"/>
      <c r="T879" s="2"/>
      <c r="U879" s="2"/>
      <c r="V879" s="2"/>
      <c r="W879" s="2"/>
      <c r="X879" s="2"/>
      <c r="Y879" s="2"/>
      <c r="Z879" s="2"/>
      <c r="AA879" s="7">
        <f t="shared" si="48"/>
        <v>0</v>
      </c>
      <c r="AB879" s="7">
        <f t="shared" si="49"/>
        <v>0</v>
      </c>
      <c r="AC879" s="9"/>
      <c r="AD879" s="9"/>
      <c r="AE879" s="9" t="e">
        <f>IF(#REF!=#REF!,1,0)</f>
        <v>#REF!</v>
      </c>
      <c r="AF879" s="8"/>
      <c r="AG879" s="8"/>
      <c r="AH879" s="8"/>
      <c r="AI879" s="8"/>
    </row>
    <row r="880" spans="2:35" s="3" customFormat="1" x14ac:dyDescent="0.25">
      <c r="B880" s="4" t="e">
        <f>IF(AE880=0,"",1+(MAX(B$7:B879)))</f>
        <v>#REF!</v>
      </c>
      <c r="C880" s="51"/>
      <c r="D880" s="52"/>
      <c r="E880" s="53"/>
      <c r="F880" s="2"/>
      <c r="G880" s="2"/>
      <c r="H880" s="2"/>
      <c r="I880" s="2"/>
      <c r="J880" s="2"/>
      <c r="K880" s="2"/>
      <c r="L880" s="2"/>
      <c r="M880" s="2"/>
      <c r="N880" s="2"/>
      <c r="O880" s="7">
        <f t="shared" si="47"/>
        <v>0</v>
      </c>
      <c r="P880" s="2"/>
      <c r="Q880" s="2"/>
      <c r="R880" s="2"/>
      <c r="S880" s="2"/>
      <c r="T880" s="2"/>
      <c r="U880" s="2"/>
      <c r="V880" s="2"/>
      <c r="W880" s="2"/>
      <c r="X880" s="2"/>
      <c r="Y880" s="2"/>
      <c r="Z880" s="2"/>
      <c r="AA880" s="7">
        <f t="shared" si="48"/>
        <v>0</v>
      </c>
      <c r="AB880" s="7">
        <f t="shared" si="49"/>
        <v>0</v>
      </c>
      <c r="AC880" s="9"/>
      <c r="AD880" s="9"/>
      <c r="AE880" s="9" t="e">
        <f>IF(#REF!=#REF!,1,0)</f>
        <v>#REF!</v>
      </c>
      <c r="AF880" s="8"/>
      <c r="AG880" s="8"/>
      <c r="AH880" s="8"/>
      <c r="AI880" s="8"/>
    </row>
    <row r="881" spans="2:35" s="3" customFormat="1" x14ac:dyDescent="0.25">
      <c r="B881" s="4" t="e">
        <f>IF(AE881=0,"",1+(MAX(B$7:B880)))</f>
        <v>#REF!</v>
      </c>
      <c r="C881" s="51"/>
      <c r="D881" s="52"/>
      <c r="E881" s="53"/>
      <c r="F881" s="2"/>
      <c r="G881" s="2"/>
      <c r="H881" s="2"/>
      <c r="I881" s="2"/>
      <c r="J881" s="2"/>
      <c r="K881" s="2"/>
      <c r="L881" s="2"/>
      <c r="M881" s="2"/>
      <c r="N881" s="2"/>
      <c r="O881" s="7">
        <f t="shared" si="47"/>
        <v>0</v>
      </c>
      <c r="P881" s="2"/>
      <c r="Q881" s="2"/>
      <c r="R881" s="2"/>
      <c r="S881" s="2"/>
      <c r="T881" s="2"/>
      <c r="U881" s="2"/>
      <c r="V881" s="2"/>
      <c r="W881" s="2"/>
      <c r="X881" s="2"/>
      <c r="Y881" s="2"/>
      <c r="Z881" s="2"/>
      <c r="AA881" s="7">
        <f t="shared" si="48"/>
        <v>0</v>
      </c>
      <c r="AB881" s="7">
        <f t="shared" si="49"/>
        <v>0</v>
      </c>
      <c r="AC881" s="9"/>
      <c r="AD881" s="9"/>
      <c r="AE881" s="9" t="e">
        <f>IF(#REF!=#REF!,1,0)</f>
        <v>#REF!</v>
      </c>
      <c r="AF881" s="8"/>
      <c r="AG881" s="8"/>
      <c r="AH881" s="8"/>
      <c r="AI881" s="8"/>
    </row>
    <row r="882" spans="2:35" s="3" customFormat="1" x14ac:dyDescent="0.25">
      <c r="B882" s="4" t="e">
        <f>IF(AE882=0,"",1+(MAX(B$7:B881)))</f>
        <v>#REF!</v>
      </c>
      <c r="C882" s="51"/>
      <c r="D882" s="52"/>
      <c r="E882" s="53"/>
      <c r="F882" s="2"/>
      <c r="G882" s="2"/>
      <c r="H882" s="2"/>
      <c r="I882" s="2"/>
      <c r="J882" s="2"/>
      <c r="K882" s="2"/>
      <c r="L882" s="2"/>
      <c r="M882" s="2"/>
      <c r="N882" s="2"/>
      <c r="O882" s="7">
        <f t="shared" si="47"/>
        <v>0</v>
      </c>
      <c r="P882" s="2"/>
      <c r="Q882" s="2"/>
      <c r="R882" s="2"/>
      <c r="S882" s="2"/>
      <c r="T882" s="2"/>
      <c r="U882" s="2"/>
      <c r="V882" s="2"/>
      <c r="W882" s="2"/>
      <c r="X882" s="2"/>
      <c r="Y882" s="2"/>
      <c r="Z882" s="2"/>
      <c r="AA882" s="7">
        <f t="shared" si="48"/>
        <v>0</v>
      </c>
      <c r="AB882" s="7">
        <f t="shared" si="49"/>
        <v>0</v>
      </c>
      <c r="AC882" s="9"/>
      <c r="AD882" s="9"/>
      <c r="AE882" s="9" t="e">
        <f>IF(#REF!=#REF!,1,0)</f>
        <v>#REF!</v>
      </c>
      <c r="AF882" s="8"/>
      <c r="AG882" s="8"/>
      <c r="AH882" s="8"/>
      <c r="AI882" s="8"/>
    </row>
    <row r="883" spans="2:35" s="3" customFormat="1" x14ac:dyDescent="0.25">
      <c r="B883" s="4" t="e">
        <f>IF(AE883=0,"",1+(MAX(B$7:B882)))</f>
        <v>#REF!</v>
      </c>
      <c r="C883" s="51"/>
      <c r="D883" s="52"/>
      <c r="E883" s="53"/>
      <c r="F883" s="2"/>
      <c r="G883" s="2"/>
      <c r="H883" s="2"/>
      <c r="I883" s="2"/>
      <c r="J883" s="2"/>
      <c r="K883" s="2"/>
      <c r="L883" s="2"/>
      <c r="M883" s="2"/>
      <c r="N883" s="2"/>
      <c r="O883" s="7">
        <f t="shared" si="47"/>
        <v>0</v>
      </c>
      <c r="P883" s="2"/>
      <c r="Q883" s="2"/>
      <c r="R883" s="2"/>
      <c r="S883" s="2"/>
      <c r="T883" s="2"/>
      <c r="U883" s="2"/>
      <c r="V883" s="2"/>
      <c r="W883" s="2"/>
      <c r="X883" s="2"/>
      <c r="Y883" s="2"/>
      <c r="Z883" s="2"/>
      <c r="AA883" s="7">
        <f t="shared" si="48"/>
        <v>0</v>
      </c>
      <c r="AB883" s="7">
        <f t="shared" si="49"/>
        <v>0</v>
      </c>
      <c r="AC883" s="9"/>
      <c r="AD883" s="9"/>
      <c r="AE883" s="9" t="e">
        <f>IF(#REF!=#REF!,1,0)</f>
        <v>#REF!</v>
      </c>
      <c r="AF883" s="8"/>
      <c r="AG883" s="8"/>
      <c r="AH883" s="8"/>
      <c r="AI883" s="8"/>
    </row>
    <row r="884" spans="2:35" s="3" customFormat="1" x14ac:dyDescent="0.25">
      <c r="B884" s="4" t="e">
        <f>IF(AE884=0,"",1+(MAX(B$7:B883)))</f>
        <v>#REF!</v>
      </c>
      <c r="C884" s="51"/>
      <c r="D884" s="52"/>
      <c r="E884" s="53"/>
      <c r="F884" s="2"/>
      <c r="G884" s="2"/>
      <c r="H884" s="2"/>
      <c r="I884" s="2"/>
      <c r="J884" s="2"/>
      <c r="K884" s="2"/>
      <c r="L884" s="2"/>
      <c r="M884" s="2"/>
      <c r="N884" s="2"/>
      <c r="O884" s="7">
        <f t="shared" si="47"/>
        <v>0</v>
      </c>
      <c r="P884" s="2"/>
      <c r="Q884" s="2"/>
      <c r="R884" s="2"/>
      <c r="S884" s="2"/>
      <c r="T884" s="2"/>
      <c r="U884" s="2"/>
      <c r="V884" s="2"/>
      <c r="W884" s="2"/>
      <c r="X884" s="2"/>
      <c r="Y884" s="2"/>
      <c r="Z884" s="2"/>
      <c r="AA884" s="7">
        <f t="shared" si="48"/>
        <v>0</v>
      </c>
      <c r="AB884" s="7">
        <f t="shared" si="49"/>
        <v>0</v>
      </c>
      <c r="AC884" s="9"/>
      <c r="AD884" s="9"/>
      <c r="AE884" s="9" t="e">
        <f>IF(#REF!=#REF!,1,0)</f>
        <v>#REF!</v>
      </c>
      <c r="AF884" s="8"/>
      <c r="AG884" s="8"/>
      <c r="AH884" s="8"/>
      <c r="AI884" s="8"/>
    </row>
    <row r="885" spans="2:35" s="3" customFormat="1" x14ac:dyDescent="0.25">
      <c r="B885" s="4" t="e">
        <f>IF(AE885=0,"",1+(MAX(B$7:B884)))</f>
        <v>#REF!</v>
      </c>
      <c r="C885" s="51"/>
      <c r="D885" s="52"/>
      <c r="E885" s="53"/>
      <c r="F885" s="2"/>
      <c r="G885" s="2"/>
      <c r="H885" s="2"/>
      <c r="I885" s="2"/>
      <c r="J885" s="2"/>
      <c r="K885" s="2"/>
      <c r="L885" s="2"/>
      <c r="M885" s="2"/>
      <c r="N885" s="2"/>
      <c r="O885" s="7">
        <f t="shared" si="47"/>
        <v>0</v>
      </c>
      <c r="P885" s="2"/>
      <c r="Q885" s="2"/>
      <c r="R885" s="2"/>
      <c r="S885" s="2"/>
      <c r="T885" s="2"/>
      <c r="U885" s="2"/>
      <c r="V885" s="2"/>
      <c r="W885" s="2"/>
      <c r="X885" s="2"/>
      <c r="Y885" s="2"/>
      <c r="Z885" s="2"/>
      <c r="AA885" s="7">
        <f t="shared" si="48"/>
        <v>0</v>
      </c>
      <c r="AB885" s="7">
        <f t="shared" si="49"/>
        <v>0</v>
      </c>
      <c r="AC885" s="9"/>
      <c r="AD885" s="9"/>
      <c r="AE885" s="9" t="e">
        <f>IF(#REF!=#REF!,1,0)</f>
        <v>#REF!</v>
      </c>
      <c r="AF885" s="8"/>
      <c r="AG885" s="8"/>
      <c r="AH885" s="8"/>
      <c r="AI885" s="8"/>
    </row>
    <row r="886" spans="2:35" s="3" customFormat="1" x14ac:dyDescent="0.25">
      <c r="B886" s="4" t="e">
        <f>IF(AE886=0,"",1+(MAX(B$7:B885)))</f>
        <v>#REF!</v>
      </c>
      <c r="C886" s="51"/>
      <c r="D886" s="52"/>
      <c r="E886" s="53"/>
      <c r="F886" s="2"/>
      <c r="G886" s="2"/>
      <c r="H886" s="2"/>
      <c r="I886" s="2"/>
      <c r="J886" s="2"/>
      <c r="K886" s="2"/>
      <c r="L886" s="2"/>
      <c r="M886" s="2"/>
      <c r="N886" s="2"/>
      <c r="O886" s="7">
        <f t="shared" si="47"/>
        <v>0</v>
      </c>
      <c r="P886" s="2"/>
      <c r="Q886" s="2"/>
      <c r="R886" s="2"/>
      <c r="S886" s="2"/>
      <c r="T886" s="2"/>
      <c r="U886" s="2"/>
      <c r="V886" s="2"/>
      <c r="W886" s="2"/>
      <c r="X886" s="2"/>
      <c r="Y886" s="2"/>
      <c r="Z886" s="2"/>
      <c r="AA886" s="7">
        <f t="shared" si="48"/>
        <v>0</v>
      </c>
      <c r="AB886" s="7">
        <f t="shared" si="49"/>
        <v>0</v>
      </c>
      <c r="AC886" s="9"/>
      <c r="AD886" s="9"/>
      <c r="AE886" s="9" t="e">
        <f>IF(#REF!=#REF!,1,0)</f>
        <v>#REF!</v>
      </c>
      <c r="AF886" s="8"/>
      <c r="AG886" s="8"/>
      <c r="AH886" s="8"/>
      <c r="AI886" s="8"/>
    </row>
    <row r="887" spans="2:35" s="3" customFormat="1" x14ac:dyDescent="0.25">
      <c r="B887" s="4" t="e">
        <f>IF(AE887=0,"",1+(MAX(B$7:B886)))</f>
        <v>#REF!</v>
      </c>
      <c r="C887" s="51"/>
      <c r="D887" s="52"/>
      <c r="E887" s="53"/>
      <c r="F887" s="2"/>
      <c r="G887" s="2"/>
      <c r="H887" s="2"/>
      <c r="I887" s="2"/>
      <c r="J887" s="2"/>
      <c r="K887" s="2"/>
      <c r="L887" s="2"/>
      <c r="M887" s="2"/>
      <c r="N887" s="2"/>
      <c r="O887" s="7">
        <f t="shared" si="47"/>
        <v>0</v>
      </c>
      <c r="P887" s="2"/>
      <c r="Q887" s="2"/>
      <c r="R887" s="2"/>
      <c r="S887" s="2"/>
      <c r="T887" s="2"/>
      <c r="U887" s="2"/>
      <c r="V887" s="2"/>
      <c r="W887" s="2"/>
      <c r="X887" s="2"/>
      <c r="Y887" s="2"/>
      <c r="Z887" s="2"/>
      <c r="AA887" s="7">
        <f t="shared" si="48"/>
        <v>0</v>
      </c>
      <c r="AB887" s="7">
        <f t="shared" si="49"/>
        <v>0</v>
      </c>
      <c r="AC887" s="9"/>
      <c r="AD887" s="9"/>
      <c r="AE887" s="9" t="e">
        <f>IF(#REF!=#REF!,1,0)</f>
        <v>#REF!</v>
      </c>
      <c r="AF887" s="8"/>
      <c r="AG887" s="8"/>
      <c r="AH887" s="8"/>
      <c r="AI887" s="8"/>
    </row>
    <row r="888" spans="2:35" s="3" customFormat="1" x14ac:dyDescent="0.25">
      <c r="B888" s="4" t="e">
        <f>IF(AE888=0,"",1+(MAX(B$7:B887)))</f>
        <v>#REF!</v>
      </c>
      <c r="C888" s="51"/>
      <c r="D888" s="52"/>
      <c r="E888" s="53"/>
      <c r="F888" s="2"/>
      <c r="G888" s="2"/>
      <c r="H888" s="2"/>
      <c r="I888" s="2"/>
      <c r="J888" s="2"/>
      <c r="K888" s="2"/>
      <c r="L888" s="2"/>
      <c r="M888" s="2"/>
      <c r="N888" s="2"/>
      <c r="O888" s="7">
        <f t="shared" si="47"/>
        <v>0</v>
      </c>
      <c r="P888" s="2"/>
      <c r="Q888" s="2"/>
      <c r="R888" s="2"/>
      <c r="S888" s="2"/>
      <c r="T888" s="2"/>
      <c r="U888" s="2"/>
      <c r="V888" s="2"/>
      <c r="W888" s="2"/>
      <c r="X888" s="2"/>
      <c r="Y888" s="2"/>
      <c r="Z888" s="2"/>
      <c r="AA888" s="7">
        <f t="shared" si="48"/>
        <v>0</v>
      </c>
      <c r="AB888" s="7">
        <f t="shared" si="49"/>
        <v>0</v>
      </c>
      <c r="AC888" s="9"/>
      <c r="AD888" s="9"/>
      <c r="AE888" s="9" t="e">
        <f>IF(#REF!=#REF!,1,0)</f>
        <v>#REF!</v>
      </c>
      <c r="AF888" s="8"/>
      <c r="AG888" s="8"/>
      <c r="AH888" s="8"/>
      <c r="AI888" s="8"/>
    </row>
    <row r="889" spans="2:35" s="3" customFormat="1" x14ac:dyDescent="0.25">
      <c r="B889" s="4" t="e">
        <f>IF(AE889=0,"",1+(MAX(B$7:B888)))</f>
        <v>#REF!</v>
      </c>
      <c r="C889" s="51"/>
      <c r="D889" s="52"/>
      <c r="E889" s="53"/>
      <c r="F889" s="2"/>
      <c r="G889" s="2"/>
      <c r="H889" s="2"/>
      <c r="I889" s="2"/>
      <c r="J889" s="2"/>
      <c r="K889" s="2"/>
      <c r="L889" s="2"/>
      <c r="M889" s="2"/>
      <c r="N889" s="2"/>
      <c r="O889" s="7">
        <f t="shared" si="47"/>
        <v>0</v>
      </c>
      <c r="P889" s="2"/>
      <c r="Q889" s="2"/>
      <c r="R889" s="2"/>
      <c r="S889" s="2"/>
      <c r="T889" s="2"/>
      <c r="U889" s="2"/>
      <c r="V889" s="2"/>
      <c r="W889" s="2"/>
      <c r="X889" s="2"/>
      <c r="Y889" s="2"/>
      <c r="Z889" s="2"/>
      <c r="AA889" s="7">
        <f t="shared" si="48"/>
        <v>0</v>
      </c>
      <c r="AB889" s="7">
        <f t="shared" si="49"/>
        <v>0</v>
      </c>
      <c r="AC889" s="9"/>
      <c r="AD889" s="9"/>
      <c r="AE889" s="9" t="e">
        <f>IF(#REF!=#REF!,1,0)</f>
        <v>#REF!</v>
      </c>
      <c r="AF889" s="8"/>
      <c r="AG889" s="8"/>
      <c r="AH889" s="8"/>
      <c r="AI889" s="8"/>
    </row>
    <row r="890" spans="2:35" s="3" customFormat="1" x14ac:dyDescent="0.25">
      <c r="B890" s="4" t="e">
        <f>IF(AE890=0,"",1+(MAX(B$7:B889)))</f>
        <v>#REF!</v>
      </c>
      <c r="C890" s="51"/>
      <c r="D890" s="52"/>
      <c r="E890" s="53"/>
      <c r="F890" s="2"/>
      <c r="G890" s="2"/>
      <c r="H890" s="2"/>
      <c r="I890" s="2"/>
      <c r="J890" s="2"/>
      <c r="K890" s="2"/>
      <c r="L890" s="2"/>
      <c r="M890" s="2"/>
      <c r="N890" s="2"/>
      <c r="O890" s="7">
        <f t="shared" si="47"/>
        <v>0</v>
      </c>
      <c r="P890" s="2"/>
      <c r="Q890" s="2"/>
      <c r="R890" s="2"/>
      <c r="S890" s="2"/>
      <c r="T890" s="2"/>
      <c r="U890" s="2"/>
      <c r="V890" s="2"/>
      <c r="W890" s="2"/>
      <c r="X890" s="2"/>
      <c r="Y890" s="2"/>
      <c r="Z890" s="2"/>
      <c r="AA890" s="7">
        <f t="shared" si="48"/>
        <v>0</v>
      </c>
      <c r="AB890" s="7">
        <f t="shared" si="49"/>
        <v>0</v>
      </c>
      <c r="AC890" s="9"/>
      <c r="AD890" s="9"/>
      <c r="AE890" s="9" t="e">
        <f>IF(#REF!=#REF!,1,0)</f>
        <v>#REF!</v>
      </c>
      <c r="AF890" s="8"/>
      <c r="AG890" s="8"/>
      <c r="AH890" s="8"/>
      <c r="AI890" s="8"/>
    </row>
    <row r="891" spans="2:35" s="3" customFormat="1" x14ac:dyDescent="0.25">
      <c r="B891" s="4" t="e">
        <f>IF(AE891=0,"",1+(MAX(B$7:B890)))</f>
        <v>#REF!</v>
      </c>
      <c r="C891" s="51"/>
      <c r="D891" s="52"/>
      <c r="E891" s="53"/>
      <c r="F891" s="2"/>
      <c r="G891" s="2"/>
      <c r="H891" s="2"/>
      <c r="I891" s="2"/>
      <c r="J891" s="2"/>
      <c r="K891" s="2"/>
      <c r="L891" s="2"/>
      <c r="M891" s="2"/>
      <c r="N891" s="2"/>
      <c r="O891" s="7">
        <f t="shared" si="47"/>
        <v>0</v>
      </c>
      <c r="P891" s="2"/>
      <c r="Q891" s="2"/>
      <c r="R891" s="2"/>
      <c r="S891" s="2"/>
      <c r="T891" s="2"/>
      <c r="U891" s="2"/>
      <c r="V891" s="2"/>
      <c r="W891" s="2"/>
      <c r="X891" s="2"/>
      <c r="Y891" s="2"/>
      <c r="Z891" s="2"/>
      <c r="AA891" s="7">
        <f t="shared" si="48"/>
        <v>0</v>
      </c>
      <c r="AB891" s="7">
        <f t="shared" si="49"/>
        <v>0</v>
      </c>
      <c r="AC891" s="9"/>
      <c r="AD891" s="9"/>
      <c r="AE891" s="9" t="e">
        <f>IF(#REF!=#REF!,1,0)</f>
        <v>#REF!</v>
      </c>
      <c r="AF891" s="8"/>
      <c r="AG891" s="8"/>
      <c r="AH891" s="8"/>
      <c r="AI891" s="8"/>
    </row>
    <row r="892" spans="2:35" s="3" customFormat="1" x14ac:dyDescent="0.25">
      <c r="B892" s="4" t="e">
        <f>IF(AE892=0,"",1+(MAX(B$7:B891)))</f>
        <v>#REF!</v>
      </c>
      <c r="C892" s="51"/>
      <c r="D892" s="52"/>
      <c r="E892" s="53"/>
      <c r="F892" s="2"/>
      <c r="G892" s="2"/>
      <c r="H892" s="2"/>
      <c r="I892" s="2"/>
      <c r="J892" s="2"/>
      <c r="K892" s="2"/>
      <c r="L892" s="2"/>
      <c r="M892" s="2"/>
      <c r="N892" s="2"/>
      <c r="O892" s="7">
        <f t="shared" si="47"/>
        <v>0</v>
      </c>
      <c r="P892" s="2"/>
      <c r="Q892" s="2"/>
      <c r="R892" s="2"/>
      <c r="S892" s="2"/>
      <c r="T892" s="2"/>
      <c r="U892" s="2"/>
      <c r="V892" s="2"/>
      <c r="W892" s="2"/>
      <c r="X892" s="2"/>
      <c r="Y892" s="2"/>
      <c r="Z892" s="2"/>
      <c r="AA892" s="7">
        <f t="shared" si="48"/>
        <v>0</v>
      </c>
      <c r="AB892" s="7">
        <f t="shared" si="49"/>
        <v>0</v>
      </c>
      <c r="AC892" s="9"/>
      <c r="AD892" s="9"/>
      <c r="AE892" s="9" t="e">
        <f>IF(#REF!=#REF!,1,0)</f>
        <v>#REF!</v>
      </c>
      <c r="AF892" s="8"/>
      <c r="AG892" s="8"/>
      <c r="AH892" s="8"/>
      <c r="AI892" s="8"/>
    </row>
    <row r="893" spans="2:35" s="3" customFormat="1" x14ac:dyDescent="0.25">
      <c r="B893" s="4" t="e">
        <f>IF(AE893=0,"",1+(MAX(B$7:B892)))</f>
        <v>#REF!</v>
      </c>
      <c r="C893" s="51"/>
      <c r="D893" s="52"/>
      <c r="E893" s="53"/>
      <c r="F893" s="2"/>
      <c r="G893" s="2"/>
      <c r="H893" s="2"/>
      <c r="I893" s="2"/>
      <c r="J893" s="2"/>
      <c r="K893" s="2"/>
      <c r="L893" s="2"/>
      <c r="M893" s="2"/>
      <c r="N893" s="2"/>
      <c r="O893" s="7">
        <f t="shared" si="47"/>
        <v>0</v>
      </c>
      <c r="P893" s="2"/>
      <c r="Q893" s="2"/>
      <c r="R893" s="2"/>
      <c r="S893" s="2"/>
      <c r="T893" s="2"/>
      <c r="U893" s="2"/>
      <c r="V893" s="2"/>
      <c r="W893" s="2"/>
      <c r="X893" s="2"/>
      <c r="Y893" s="2"/>
      <c r="Z893" s="2"/>
      <c r="AA893" s="7">
        <f t="shared" si="48"/>
        <v>0</v>
      </c>
      <c r="AB893" s="7">
        <f t="shared" si="49"/>
        <v>0</v>
      </c>
      <c r="AC893" s="9"/>
      <c r="AD893" s="9"/>
      <c r="AE893" s="9" t="e">
        <f>IF(#REF!=#REF!,1,0)</f>
        <v>#REF!</v>
      </c>
      <c r="AF893" s="8"/>
      <c r="AG893" s="8"/>
      <c r="AH893" s="8"/>
      <c r="AI893" s="8"/>
    </row>
    <row r="894" spans="2:35" s="3" customFormat="1" x14ac:dyDescent="0.25">
      <c r="B894" s="4" t="e">
        <f>IF(AE894=0,"",1+(MAX(B$7:B893)))</f>
        <v>#REF!</v>
      </c>
      <c r="C894" s="51"/>
      <c r="D894" s="52"/>
      <c r="E894" s="53"/>
      <c r="F894" s="2"/>
      <c r="G894" s="2"/>
      <c r="H894" s="2"/>
      <c r="I894" s="2"/>
      <c r="J894" s="2"/>
      <c r="K894" s="2"/>
      <c r="L894" s="2"/>
      <c r="M894" s="2"/>
      <c r="N894" s="2"/>
      <c r="O894" s="7">
        <f t="shared" si="47"/>
        <v>0</v>
      </c>
      <c r="P894" s="2"/>
      <c r="Q894" s="2"/>
      <c r="R894" s="2"/>
      <c r="S894" s="2"/>
      <c r="T894" s="2"/>
      <c r="U894" s="2"/>
      <c r="V894" s="2"/>
      <c r="W894" s="2"/>
      <c r="X894" s="2"/>
      <c r="Y894" s="2"/>
      <c r="Z894" s="2"/>
      <c r="AA894" s="7">
        <f t="shared" si="48"/>
        <v>0</v>
      </c>
      <c r="AB894" s="7">
        <f t="shared" si="49"/>
        <v>0</v>
      </c>
      <c r="AC894" s="9"/>
      <c r="AD894" s="9"/>
      <c r="AE894" s="9" t="e">
        <f>IF(#REF!=#REF!,1,0)</f>
        <v>#REF!</v>
      </c>
      <c r="AF894" s="8"/>
      <c r="AG894" s="8"/>
      <c r="AH894" s="8"/>
      <c r="AI894" s="8"/>
    </row>
    <row r="895" spans="2:35" s="3" customFormat="1" x14ac:dyDescent="0.25">
      <c r="B895" s="4" t="e">
        <f>IF(AE895=0,"",1+(MAX(B$7:B894)))</f>
        <v>#REF!</v>
      </c>
      <c r="C895" s="51"/>
      <c r="D895" s="52"/>
      <c r="E895" s="53"/>
      <c r="F895" s="2"/>
      <c r="G895" s="2"/>
      <c r="H895" s="2"/>
      <c r="I895" s="2"/>
      <c r="J895" s="2"/>
      <c r="K895" s="2"/>
      <c r="L895" s="2"/>
      <c r="M895" s="2"/>
      <c r="N895" s="2"/>
      <c r="O895" s="7">
        <f t="shared" si="47"/>
        <v>0</v>
      </c>
      <c r="P895" s="2"/>
      <c r="Q895" s="2"/>
      <c r="R895" s="2"/>
      <c r="S895" s="2"/>
      <c r="T895" s="2"/>
      <c r="U895" s="2"/>
      <c r="V895" s="2"/>
      <c r="W895" s="2"/>
      <c r="X895" s="2"/>
      <c r="Y895" s="2"/>
      <c r="Z895" s="2"/>
      <c r="AA895" s="7">
        <f t="shared" si="48"/>
        <v>0</v>
      </c>
      <c r="AB895" s="7">
        <f t="shared" si="49"/>
        <v>0</v>
      </c>
      <c r="AC895" s="9"/>
      <c r="AD895" s="9"/>
      <c r="AE895" s="9" t="e">
        <f>IF(#REF!=#REF!,1,0)</f>
        <v>#REF!</v>
      </c>
      <c r="AF895" s="8"/>
      <c r="AG895" s="8"/>
      <c r="AH895" s="8"/>
      <c r="AI895" s="8"/>
    </row>
    <row r="896" spans="2:35" s="3" customFormat="1" x14ac:dyDescent="0.25">
      <c r="B896" s="4" t="e">
        <f>IF(AE896=0,"",1+(MAX(B$7:B895)))</f>
        <v>#REF!</v>
      </c>
      <c r="C896" s="51"/>
      <c r="D896" s="52"/>
      <c r="E896" s="53"/>
      <c r="F896" s="2"/>
      <c r="G896" s="2"/>
      <c r="H896" s="2"/>
      <c r="I896" s="2"/>
      <c r="J896" s="2"/>
      <c r="K896" s="2"/>
      <c r="L896" s="2"/>
      <c r="M896" s="2"/>
      <c r="N896" s="2"/>
      <c r="O896" s="7">
        <f t="shared" si="47"/>
        <v>0</v>
      </c>
      <c r="P896" s="2"/>
      <c r="Q896" s="2"/>
      <c r="R896" s="2"/>
      <c r="S896" s="2"/>
      <c r="T896" s="2"/>
      <c r="U896" s="2"/>
      <c r="V896" s="2"/>
      <c r="W896" s="2"/>
      <c r="X896" s="2"/>
      <c r="Y896" s="2"/>
      <c r="Z896" s="2"/>
      <c r="AA896" s="7">
        <f t="shared" si="48"/>
        <v>0</v>
      </c>
      <c r="AB896" s="7">
        <f t="shared" si="49"/>
        <v>0</v>
      </c>
      <c r="AC896" s="9"/>
      <c r="AD896" s="9"/>
      <c r="AE896" s="9" t="e">
        <f>IF(#REF!=#REF!,1,0)</f>
        <v>#REF!</v>
      </c>
      <c r="AF896" s="8"/>
      <c r="AG896" s="8"/>
      <c r="AH896" s="8"/>
      <c r="AI896" s="8"/>
    </row>
    <row r="897" spans="2:35" s="3" customFormat="1" x14ac:dyDescent="0.25">
      <c r="B897" s="4" t="e">
        <f>IF(AE897=0,"",1+(MAX(B$7:B896)))</f>
        <v>#REF!</v>
      </c>
      <c r="C897" s="51"/>
      <c r="D897" s="52"/>
      <c r="E897" s="53"/>
      <c r="F897" s="2"/>
      <c r="G897" s="2"/>
      <c r="H897" s="2"/>
      <c r="I897" s="2"/>
      <c r="J897" s="2"/>
      <c r="K897" s="2"/>
      <c r="L897" s="2"/>
      <c r="M897" s="2"/>
      <c r="N897" s="2"/>
      <c r="O897" s="7">
        <f t="shared" si="47"/>
        <v>0</v>
      </c>
      <c r="P897" s="2"/>
      <c r="Q897" s="2"/>
      <c r="R897" s="2"/>
      <c r="S897" s="2"/>
      <c r="T897" s="2"/>
      <c r="U897" s="2"/>
      <c r="V897" s="2"/>
      <c r="W897" s="2"/>
      <c r="X897" s="2"/>
      <c r="Y897" s="2"/>
      <c r="Z897" s="2"/>
      <c r="AA897" s="7">
        <f t="shared" si="48"/>
        <v>0</v>
      </c>
      <c r="AB897" s="7">
        <f t="shared" si="49"/>
        <v>0</v>
      </c>
      <c r="AC897" s="9"/>
      <c r="AD897" s="9"/>
      <c r="AE897" s="9" t="e">
        <f>IF(#REF!=#REF!,1,0)</f>
        <v>#REF!</v>
      </c>
      <c r="AF897" s="8"/>
      <c r="AG897" s="8"/>
      <c r="AH897" s="8"/>
      <c r="AI897" s="8"/>
    </row>
    <row r="898" spans="2:35" s="3" customFormat="1" x14ac:dyDescent="0.25">
      <c r="B898" s="4" t="e">
        <f>IF(AE898=0,"",1+(MAX(B$7:B897)))</f>
        <v>#REF!</v>
      </c>
      <c r="C898" s="51"/>
      <c r="D898" s="52"/>
      <c r="E898" s="53"/>
      <c r="F898" s="2"/>
      <c r="G898" s="2"/>
      <c r="H898" s="2"/>
      <c r="I898" s="2"/>
      <c r="J898" s="2"/>
      <c r="K898" s="2"/>
      <c r="L898" s="2"/>
      <c r="M898" s="2"/>
      <c r="N898" s="2"/>
      <c r="O898" s="7">
        <f t="shared" si="47"/>
        <v>0</v>
      </c>
      <c r="P898" s="2"/>
      <c r="Q898" s="2"/>
      <c r="R898" s="2"/>
      <c r="S898" s="2"/>
      <c r="T898" s="2"/>
      <c r="U898" s="2"/>
      <c r="V898" s="2"/>
      <c r="W898" s="2"/>
      <c r="X898" s="2"/>
      <c r="Y898" s="2"/>
      <c r="Z898" s="2"/>
      <c r="AA898" s="7">
        <f t="shared" si="48"/>
        <v>0</v>
      </c>
      <c r="AB898" s="7">
        <f t="shared" si="49"/>
        <v>0</v>
      </c>
      <c r="AC898" s="9"/>
      <c r="AD898" s="9"/>
      <c r="AE898" s="9" t="e">
        <f>IF(#REF!=#REF!,1,0)</f>
        <v>#REF!</v>
      </c>
      <c r="AF898" s="8"/>
      <c r="AG898" s="8"/>
      <c r="AH898" s="8"/>
      <c r="AI898" s="8"/>
    </row>
    <row r="899" spans="2:35" s="3" customFormat="1" x14ac:dyDescent="0.25">
      <c r="B899" s="4" t="e">
        <f>IF(AE899=0,"",1+(MAX(B$7:B898)))</f>
        <v>#REF!</v>
      </c>
      <c r="C899" s="51"/>
      <c r="D899" s="52"/>
      <c r="E899" s="53"/>
      <c r="F899" s="2"/>
      <c r="G899" s="2"/>
      <c r="H899" s="2"/>
      <c r="I899" s="2"/>
      <c r="J899" s="2"/>
      <c r="K899" s="2"/>
      <c r="L899" s="2"/>
      <c r="M899" s="2"/>
      <c r="N899" s="2"/>
      <c r="O899" s="7">
        <f t="shared" si="47"/>
        <v>0</v>
      </c>
      <c r="P899" s="2"/>
      <c r="Q899" s="2"/>
      <c r="R899" s="2"/>
      <c r="S899" s="2"/>
      <c r="T899" s="2"/>
      <c r="U899" s="2"/>
      <c r="V899" s="2"/>
      <c r="W899" s="2"/>
      <c r="X899" s="2"/>
      <c r="Y899" s="2"/>
      <c r="Z899" s="2"/>
      <c r="AA899" s="7">
        <f t="shared" si="48"/>
        <v>0</v>
      </c>
      <c r="AB899" s="7">
        <f t="shared" si="49"/>
        <v>0</v>
      </c>
      <c r="AC899" s="9"/>
      <c r="AD899" s="9"/>
      <c r="AE899" s="9" t="e">
        <f>IF(#REF!=#REF!,1,0)</f>
        <v>#REF!</v>
      </c>
      <c r="AF899" s="8"/>
      <c r="AG899" s="8"/>
      <c r="AH899" s="8"/>
      <c r="AI899" s="8"/>
    </row>
    <row r="900" spans="2:35" s="3" customFormat="1" x14ac:dyDescent="0.25">
      <c r="B900" s="4" t="e">
        <f>IF(AE900=0,"",1+(MAX(B$7:B899)))</f>
        <v>#REF!</v>
      </c>
      <c r="C900" s="51"/>
      <c r="D900" s="52"/>
      <c r="E900" s="53"/>
      <c r="F900" s="2"/>
      <c r="G900" s="2"/>
      <c r="H900" s="2"/>
      <c r="I900" s="2"/>
      <c r="J900" s="2"/>
      <c r="K900" s="2"/>
      <c r="L900" s="2"/>
      <c r="M900" s="2"/>
      <c r="N900" s="2"/>
      <c r="O900" s="7">
        <f t="shared" si="47"/>
        <v>0</v>
      </c>
      <c r="P900" s="2"/>
      <c r="Q900" s="2"/>
      <c r="R900" s="2"/>
      <c r="S900" s="2"/>
      <c r="T900" s="2"/>
      <c r="U900" s="2"/>
      <c r="V900" s="2"/>
      <c r="W900" s="2"/>
      <c r="X900" s="2"/>
      <c r="Y900" s="2"/>
      <c r="Z900" s="2"/>
      <c r="AA900" s="7">
        <f t="shared" si="48"/>
        <v>0</v>
      </c>
      <c r="AB900" s="7">
        <f t="shared" si="49"/>
        <v>0</v>
      </c>
      <c r="AC900" s="9"/>
      <c r="AD900" s="9"/>
      <c r="AE900" s="9" t="e">
        <f>IF(#REF!=#REF!,1,0)</f>
        <v>#REF!</v>
      </c>
      <c r="AF900" s="8"/>
      <c r="AG900" s="8"/>
      <c r="AH900" s="8"/>
      <c r="AI900" s="8"/>
    </row>
    <row r="901" spans="2:35" s="3" customFormat="1" x14ac:dyDescent="0.25">
      <c r="B901" s="4" t="e">
        <f>IF(AE901=0,"",1+(MAX(B$7:B900)))</f>
        <v>#REF!</v>
      </c>
      <c r="C901" s="51"/>
      <c r="D901" s="52"/>
      <c r="E901" s="53"/>
      <c r="F901" s="2"/>
      <c r="G901" s="2"/>
      <c r="H901" s="2"/>
      <c r="I901" s="2"/>
      <c r="J901" s="2"/>
      <c r="K901" s="2"/>
      <c r="L901" s="2"/>
      <c r="M901" s="2"/>
      <c r="N901" s="2"/>
      <c r="O901" s="7">
        <f t="shared" si="47"/>
        <v>0</v>
      </c>
      <c r="P901" s="2"/>
      <c r="Q901" s="2"/>
      <c r="R901" s="2"/>
      <c r="S901" s="2"/>
      <c r="T901" s="2"/>
      <c r="U901" s="2"/>
      <c r="V901" s="2"/>
      <c r="W901" s="2"/>
      <c r="X901" s="2"/>
      <c r="Y901" s="2"/>
      <c r="Z901" s="2"/>
      <c r="AA901" s="7">
        <f t="shared" si="48"/>
        <v>0</v>
      </c>
      <c r="AB901" s="7">
        <f t="shared" si="49"/>
        <v>0</v>
      </c>
      <c r="AC901" s="9"/>
      <c r="AD901" s="9"/>
      <c r="AE901" s="9" t="e">
        <f>IF(#REF!=#REF!,1,0)</f>
        <v>#REF!</v>
      </c>
      <c r="AF901" s="8"/>
      <c r="AG901" s="8"/>
      <c r="AH901" s="8"/>
      <c r="AI901" s="8"/>
    </row>
    <row r="902" spans="2:35" s="3" customFormat="1" x14ac:dyDescent="0.25">
      <c r="B902" s="4" t="e">
        <f>IF(AE902=0,"",1+(MAX(B$7:B901)))</f>
        <v>#REF!</v>
      </c>
      <c r="C902" s="51"/>
      <c r="D902" s="52"/>
      <c r="E902" s="53"/>
      <c r="F902" s="2"/>
      <c r="G902" s="2"/>
      <c r="H902" s="2"/>
      <c r="I902" s="2"/>
      <c r="J902" s="2"/>
      <c r="K902" s="2"/>
      <c r="L902" s="2"/>
      <c r="M902" s="2"/>
      <c r="N902" s="2"/>
      <c r="O902" s="7">
        <f t="shared" si="47"/>
        <v>0</v>
      </c>
      <c r="P902" s="2"/>
      <c r="Q902" s="2"/>
      <c r="R902" s="2"/>
      <c r="S902" s="2"/>
      <c r="T902" s="2"/>
      <c r="U902" s="2"/>
      <c r="V902" s="2"/>
      <c r="W902" s="2"/>
      <c r="X902" s="2"/>
      <c r="Y902" s="2"/>
      <c r="Z902" s="2"/>
      <c r="AA902" s="7">
        <f t="shared" si="48"/>
        <v>0</v>
      </c>
      <c r="AB902" s="7">
        <f t="shared" si="49"/>
        <v>0</v>
      </c>
      <c r="AC902" s="9"/>
      <c r="AD902" s="9"/>
      <c r="AE902" s="9" t="e">
        <f>IF(#REF!=#REF!,1,0)</f>
        <v>#REF!</v>
      </c>
      <c r="AF902" s="8"/>
      <c r="AG902" s="8"/>
      <c r="AH902" s="8"/>
      <c r="AI902" s="8"/>
    </row>
    <row r="903" spans="2:35" s="3" customFormat="1" x14ac:dyDescent="0.25">
      <c r="B903" s="4" t="e">
        <f>IF(AE903=0,"",1+(MAX(B$7:B902)))</f>
        <v>#REF!</v>
      </c>
      <c r="C903" s="51"/>
      <c r="D903" s="52"/>
      <c r="E903" s="53"/>
      <c r="F903" s="2"/>
      <c r="G903" s="2"/>
      <c r="H903" s="2"/>
      <c r="I903" s="2"/>
      <c r="J903" s="2"/>
      <c r="K903" s="2"/>
      <c r="L903" s="2"/>
      <c r="M903" s="2"/>
      <c r="N903" s="2"/>
      <c r="O903" s="7">
        <f t="shared" si="47"/>
        <v>0</v>
      </c>
      <c r="P903" s="2"/>
      <c r="Q903" s="2"/>
      <c r="R903" s="2"/>
      <c r="S903" s="2"/>
      <c r="T903" s="2"/>
      <c r="U903" s="2"/>
      <c r="V903" s="2"/>
      <c r="W903" s="2"/>
      <c r="X903" s="2"/>
      <c r="Y903" s="2"/>
      <c r="Z903" s="2"/>
      <c r="AA903" s="7">
        <f t="shared" si="48"/>
        <v>0</v>
      </c>
      <c r="AB903" s="7">
        <f t="shared" si="49"/>
        <v>0</v>
      </c>
      <c r="AC903" s="9"/>
      <c r="AD903" s="9"/>
      <c r="AE903" s="9" t="e">
        <f>IF(#REF!=#REF!,1,0)</f>
        <v>#REF!</v>
      </c>
      <c r="AF903" s="8"/>
      <c r="AG903" s="8"/>
      <c r="AH903" s="8"/>
      <c r="AI903" s="8"/>
    </row>
    <row r="904" spans="2:35" s="3" customFormat="1" x14ac:dyDescent="0.25">
      <c r="B904" s="4" t="e">
        <f>IF(AE904=0,"",1+(MAX(B$7:B903)))</f>
        <v>#REF!</v>
      </c>
      <c r="C904" s="51"/>
      <c r="D904" s="52"/>
      <c r="E904" s="53"/>
      <c r="F904" s="2"/>
      <c r="G904" s="2"/>
      <c r="H904" s="2"/>
      <c r="I904" s="2"/>
      <c r="J904" s="2"/>
      <c r="K904" s="2"/>
      <c r="L904" s="2"/>
      <c r="M904" s="2"/>
      <c r="N904" s="2"/>
      <c r="O904" s="7">
        <f t="shared" si="47"/>
        <v>0</v>
      </c>
      <c r="P904" s="2"/>
      <c r="Q904" s="2"/>
      <c r="R904" s="2"/>
      <c r="S904" s="2"/>
      <c r="T904" s="2"/>
      <c r="U904" s="2"/>
      <c r="V904" s="2"/>
      <c r="W904" s="2"/>
      <c r="X904" s="2"/>
      <c r="Y904" s="2"/>
      <c r="Z904" s="2"/>
      <c r="AA904" s="7">
        <f t="shared" si="48"/>
        <v>0</v>
      </c>
      <c r="AB904" s="7">
        <f t="shared" si="49"/>
        <v>0</v>
      </c>
      <c r="AC904" s="9"/>
      <c r="AD904" s="9"/>
      <c r="AE904" s="9" t="e">
        <f>IF(#REF!=#REF!,1,0)</f>
        <v>#REF!</v>
      </c>
      <c r="AF904" s="8"/>
      <c r="AG904" s="8"/>
      <c r="AH904" s="8"/>
      <c r="AI904" s="8"/>
    </row>
    <row r="905" spans="2:35" s="3" customFormat="1" x14ac:dyDescent="0.25">
      <c r="B905" s="4" t="e">
        <f>IF(AE905=0,"",1+(MAX(B$7:B904)))</f>
        <v>#REF!</v>
      </c>
      <c r="C905" s="51"/>
      <c r="D905" s="52"/>
      <c r="E905" s="53"/>
      <c r="F905" s="2"/>
      <c r="G905" s="2"/>
      <c r="H905" s="2"/>
      <c r="I905" s="2"/>
      <c r="J905" s="2"/>
      <c r="K905" s="2"/>
      <c r="L905" s="2"/>
      <c r="M905" s="2"/>
      <c r="N905" s="2"/>
      <c r="O905" s="7">
        <f t="shared" si="47"/>
        <v>0</v>
      </c>
      <c r="P905" s="2"/>
      <c r="Q905" s="2"/>
      <c r="R905" s="2"/>
      <c r="S905" s="2"/>
      <c r="T905" s="2"/>
      <c r="U905" s="2"/>
      <c r="V905" s="2"/>
      <c r="W905" s="2"/>
      <c r="X905" s="2"/>
      <c r="Y905" s="2"/>
      <c r="Z905" s="2"/>
      <c r="AA905" s="7">
        <f t="shared" si="48"/>
        <v>0</v>
      </c>
      <c r="AB905" s="7">
        <f t="shared" si="49"/>
        <v>0</v>
      </c>
      <c r="AC905" s="9"/>
      <c r="AD905" s="9"/>
      <c r="AE905" s="9" t="e">
        <f>IF(#REF!=#REF!,1,0)</f>
        <v>#REF!</v>
      </c>
      <c r="AF905" s="8"/>
      <c r="AG905" s="8"/>
      <c r="AH905" s="8"/>
      <c r="AI905" s="8"/>
    </row>
    <row r="906" spans="2:35" s="3" customFormat="1" x14ac:dyDescent="0.25">
      <c r="B906" s="4" t="e">
        <f>IF(AE906=0,"",1+(MAX(B$7:B905)))</f>
        <v>#REF!</v>
      </c>
      <c r="C906" s="51"/>
      <c r="D906" s="52"/>
      <c r="E906" s="53"/>
      <c r="F906" s="2"/>
      <c r="G906" s="2"/>
      <c r="H906" s="2"/>
      <c r="I906" s="2"/>
      <c r="J906" s="2"/>
      <c r="K906" s="2"/>
      <c r="L906" s="2"/>
      <c r="M906" s="2"/>
      <c r="N906" s="2"/>
      <c r="O906" s="7">
        <f t="shared" si="47"/>
        <v>0</v>
      </c>
      <c r="P906" s="2"/>
      <c r="Q906" s="2"/>
      <c r="R906" s="2"/>
      <c r="S906" s="2"/>
      <c r="T906" s="2"/>
      <c r="U906" s="2"/>
      <c r="V906" s="2"/>
      <c r="W906" s="2"/>
      <c r="X906" s="2"/>
      <c r="Y906" s="2"/>
      <c r="Z906" s="2"/>
      <c r="AA906" s="7">
        <f t="shared" si="48"/>
        <v>0</v>
      </c>
      <c r="AB906" s="7">
        <f t="shared" si="49"/>
        <v>0</v>
      </c>
      <c r="AC906" s="9"/>
      <c r="AD906" s="9"/>
      <c r="AE906" s="9" t="e">
        <f>IF(#REF!=#REF!,1,0)</f>
        <v>#REF!</v>
      </c>
      <c r="AF906" s="8"/>
      <c r="AG906" s="8"/>
      <c r="AH906" s="8"/>
      <c r="AI906" s="8"/>
    </row>
    <row r="907" spans="2:35" s="3" customFormat="1" x14ac:dyDescent="0.25">
      <c r="B907" s="4" t="e">
        <f>IF(AE907=0,"",1+(MAX(B$7:B906)))</f>
        <v>#REF!</v>
      </c>
      <c r="C907" s="51"/>
      <c r="D907" s="52"/>
      <c r="E907" s="53"/>
      <c r="F907" s="2"/>
      <c r="G907" s="2"/>
      <c r="H907" s="2"/>
      <c r="I907" s="2"/>
      <c r="J907" s="2"/>
      <c r="K907" s="2"/>
      <c r="L907" s="2"/>
      <c r="M907" s="2"/>
      <c r="N907" s="2"/>
      <c r="O907" s="7">
        <f t="shared" si="47"/>
        <v>0</v>
      </c>
      <c r="P907" s="2"/>
      <c r="Q907" s="2"/>
      <c r="R907" s="2"/>
      <c r="S907" s="2"/>
      <c r="T907" s="2"/>
      <c r="U907" s="2"/>
      <c r="V907" s="2"/>
      <c r="W907" s="2"/>
      <c r="X907" s="2"/>
      <c r="Y907" s="2"/>
      <c r="Z907" s="2"/>
      <c r="AA907" s="7">
        <f t="shared" si="48"/>
        <v>0</v>
      </c>
      <c r="AB907" s="7">
        <f t="shared" si="49"/>
        <v>0</v>
      </c>
      <c r="AC907" s="9"/>
      <c r="AD907" s="9"/>
      <c r="AE907" s="9" t="e">
        <f>IF(#REF!=#REF!,1,0)</f>
        <v>#REF!</v>
      </c>
      <c r="AF907" s="8"/>
      <c r="AG907" s="8"/>
      <c r="AH907" s="8"/>
      <c r="AI907" s="8"/>
    </row>
    <row r="908" spans="2:35" s="3" customFormat="1" x14ac:dyDescent="0.25">
      <c r="B908" s="4" t="e">
        <f>IF(AE908=0,"",1+(MAX(B$7:B907)))</f>
        <v>#REF!</v>
      </c>
      <c r="C908" s="51"/>
      <c r="D908" s="52"/>
      <c r="E908" s="53"/>
      <c r="F908" s="2"/>
      <c r="G908" s="2"/>
      <c r="H908" s="2"/>
      <c r="I908" s="2"/>
      <c r="J908" s="2"/>
      <c r="K908" s="2"/>
      <c r="L908" s="2"/>
      <c r="M908" s="2"/>
      <c r="N908" s="2"/>
      <c r="O908" s="7">
        <f t="shared" si="47"/>
        <v>0</v>
      </c>
      <c r="P908" s="2"/>
      <c r="Q908" s="2"/>
      <c r="R908" s="2"/>
      <c r="S908" s="2"/>
      <c r="T908" s="2"/>
      <c r="U908" s="2"/>
      <c r="V908" s="2"/>
      <c r="W908" s="2"/>
      <c r="X908" s="2"/>
      <c r="Y908" s="2"/>
      <c r="Z908" s="2"/>
      <c r="AA908" s="7">
        <f t="shared" si="48"/>
        <v>0</v>
      </c>
      <c r="AB908" s="7">
        <f t="shared" si="49"/>
        <v>0</v>
      </c>
      <c r="AC908" s="9"/>
      <c r="AD908" s="9"/>
      <c r="AE908" s="9" t="e">
        <f>IF(#REF!=#REF!,1,0)</f>
        <v>#REF!</v>
      </c>
      <c r="AF908" s="8"/>
      <c r="AG908" s="8"/>
      <c r="AH908" s="8"/>
      <c r="AI908" s="8"/>
    </row>
    <row r="909" spans="2:35" s="3" customFormat="1" x14ac:dyDescent="0.25">
      <c r="B909" s="4" t="e">
        <f>IF(AE909=0,"",1+(MAX(B$7:B908)))</f>
        <v>#REF!</v>
      </c>
      <c r="C909" s="51"/>
      <c r="D909" s="52"/>
      <c r="E909" s="53"/>
      <c r="F909" s="2"/>
      <c r="G909" s="2"/>
      <c r="H909" s="2"/>
      <c r="I909" s="2"/>
      <c r="J909" s="2"/>
      <c r="K909" s="2"/>
      <c r="L909" s="2"/>
      <c r="M909" s="2"/>
      <c r="N909" s="2"/>
      <c r="O909" s="7">
        <f t="shared" si="47"/>
        <v>0</v>
      </c>
      <c r="P909" s="2"/>
      <c r="Q909" s="2"/>
      <c r="R909" s="2"/>
      <c r="S909" s="2"/>
      <c r="T909" s="2"/>
      <c r="U909" s="2"/>
      <c r="V909" s="2"/>
      <c r="W909" s="2"/>
      <c r="X909" s="2"/>
      <c r="Y909" s="2"/>
      <c r="Z909" s="2"/>
      <c r="AA909" s="7">
        <f t="shared" si="48"/>
        <v>0</v>
      </c>
      <c r="AB909" s="7">
        <f t="shared" si="49"/>
        <v>0</v>
      </c>
      <c r="AC909" s="9"/>
      <c r="AD909" s="9"/>
      <c r="AE909" s="9" t="e">
        <f>IF(#REF!=#REF!,1,0)</f>
        <v>#REF!</v>
      </c>
      <c r="AF909" s="8"/>
      <c r="AG909" s="8"/>
      <c r="AH909" s="8"/>
      <c r="AI909" s="8"/>
    </row>
    <row r="910" spans="2:35" s="3" customFormat="1" x14ac:dyDescent="0.25">
      <c r="B910" s="4" t="e">
        <f>IF(AE910=0,"",1+(MAX(B$7:B909)))</f>
        <v>#REF!</v>
      </c>
      <c r="C910" s="51"/>
      <c r="D910" s="52"/>
      <c r="E910" s="53"/>
      <c r="F910" s="2"/>
      <c r="G910" s="2"/>
      <c r="H910" s="2"/>
      <c r="I910" s="2"/>
      <c r="J910" s="2"/>
      <c r="K910" s="2"/>
      <c r="L910" s="2"/>
      <c r="M910" s="2"/>
      <c r="N910" s="2"/>
      <c r="O910" s="7">
        <f t="shared" si="47"/>
        <v>0</v>
      </c>
      <c r="P910" s="2"/>
      <c r="Q910" s="2"/>
      <c r="R910" s="2"/>
      <c r="S910" s="2"/>
      <c r="T910" s="2"/>
      <c r="U910" s="2"/>
      <c r="V910" s="2"/>
      <c r="W910" s="2"/>
      <c r="X910" s="2"/>
      <c r="Y910" s="2"/>
      <c r="Z910" s="2"/>
      <c r="AA910" s="7">
        <f t="shared" si="48"/>
        <v>0</v>
      </c>
      <c r="AB910" s="7">
        <f t="shared" si="49"/>
        <v>0</v>
      </c>
      <c r="AC910" s="9"/>
      <c r="AD910" s="9"/>
      <c r="AE910" s="9" t="e">
        <f>IF(#REF!=#REF!,1,0)</f>
        <v>#REF!</v>
      </c>
      <c r="AF910" s="8"/>
      <c r="AG910" s="8"/>
      <c r="AH910" s="8"/>
      <c r="AI910" s="8"/>
    </row>
    <row r="911" spans="2:35" s="3" customFormat="1" x14ac:dyDescent="0.25">
      <c r="B911" s="4" t="e">
        <f>IF(AE911=0,"",1+(MAX(B$7:B910)))</f>
        <v>#REF!</v>
      </c>
      <c r="C911" s="51"/>
      <c r="D911" s="52"/>
      <c r="E911" s="53"/>
      <c r="F911" s="2"/>
      <c r="G911" s="2"/>
      <c r="H911" s="2"/>
      <c r="I911" s="2"/>
      <c r="J911" s="2"/>
      <c r="K911" s="2"/>
      <c r="L911" s="2"/>
      <c r="M911" s="2"/>
      <c r="N911" s="2"/>
      <c r="O911" s="7">
        <f t="shared" si="47"/>
        <v>0</v>
      </c>
      <c r="P911" s="2"/>
      <c r="Q911" s="2"/>
      <c r="R911" s="2"/>
      <c r="S911" s="2"/>
      <c r="T911" s="2"/>
      <c r="U911" s="2"/>
      <c r="V911" s="2"/>
      <c r="W911" s="2"/>
      <c r="X911" s="2"/>
      <c r="Y911" s="2"/>
      <c r="Z911" s="2"/>
      <c r="AA911" s="7">
        <f t="shared" si="48"/>
        <v>0</v>
      </c>
      <c r="AB911" s="7">
        <f t="shared" si="49"/>
        <v>0</v>
      </c>
      <c r="AC911" s="9"/>
      <c r="AD911" s="9"/>
      <c r="AE911" s="9" t="e">
        <f>IF(#REF!=#REF!,1,0)</f>
        <v>#REF!</v>
      </c>
      <c r="AF911" s="8"/>
      <c r="AG911" s="8"/>
      <c r="AH911" s="8"/>
      <c r="AI911" s="8"/>
    </row>
    <row r="912" spans="2:35" s="3" customFormat="1" x14ac:dyDescent="0.25">
      <c r="B912" s="4" t="e">
        <f>IF(AE912=0,"",1+(MAX(B$7:B911)))</f>
        <v>#REF!</v>
      </c>
      <c r="C912" s="51"/>
      <c r="D912" s="52"/>
      <c r="E912" s="53"/>
      <c r="F912" s="2"/>
      <c r="G912" s="2"/>
      <c r="H912" s="2"/>
      <c r="I912" s="2"/>
      <c r="J912" s="2"/>
      <c r="K912" s="2"/>
      <c r="L912" s="2"/>
      <c r="M912" s="2"/>
      <c r="N912" s="2"/>
      <c r="O912" s="7">
        <f t="shared" si="47"/>
        <v>0</v>
      </c>
      <c r="P912" s="2"/>
      <c r="Q912" s="2"/>
      <c r="R912" s="2"/>
      <c r="S912" s="2"/>
      <c r="T912" s="2"/>
      <c r="U912" s="2"/>
      <c r="V912" s="2"/>
      <c r="W912" s="2"/>
      <c r="X912" s="2"/>
      <c r="Y912" s="2"/>
      <c r="Z912" s="2"/>
      <c r="AA912" s="7">
        <f t="shared" si="48"/>
        <v>0</v>
      </c>
      <c r="AB912" s="7">
        <f t="shared" si="49"/>
        <v>0</v>
      </c>
      <c r="AC912" s="9"/>
      <c r="AD912" s="9"/>
      <c r="AE912" s="9" t="e">
        <f>IF(#REF!=#REF!,1,0)</f>
        <v>#REF!</v>
      </c>
      <c r="AF912" s="8"/>
      <c r="AG912" s="8"/>
      <c r="AH912" s="8"/>
      <c r="AI912" s="8"/>
    </row>
    <row r="913" spans="2:35" s="3" customFormat="1" x14ac:dyDescent="0.25">
      <c r="B913" s="4" t="e">
        <f>IF(AE913=0,"",1+(MAX(B$7:B912)))</f>
        <v>#REF!</v>
      </c>
      <c r="C913" s="51"/>
      <c r="D913" s="52"/>
      <c r="E913" s="53"/>
      <c r="F913" s="2"/>
      <c r="G913" s="2"/>
      <c r="H913" s="2"/>
      <c r="I913" s="2"/>
      <c r="J913" s="2"/>
      <c r="K913" s="2"/>
      <c r="L913" s="2"/>
      <c r="M913" s="2"/>
      <c r="N913" s="2"/>
      <c r="O913" s="7">
        <f t="shared" si="47"/>
        <v>0</v>
      </c>
      <c r="P913" s="2"/>
      <c r="Q913" s="2"/>
      <c r="R913" s="2"/>
      <c r="S913" s="2"/>
      <c r="T913" s="2"/>
      <c r="U913" s="2"/>
      <c r="V913" s="2"/>
      <c r="W913" s="2"/>
      <c r="X913" s="2"/>
      <c r="Y913" s="2"/>
      <c r="Z913" s="2"/>
      <c r="AA913" s="7">
        <f t="shared" si="48"/>
        <v>0</v>
      </c>
      <c r="AB913" s="7">
        <f t="shared" si="49"/>
        <v>0</v>
      </c>
      <c r="AC913" s="9"/>
      <c r="AD913" s="9"/>
      <c r="AE913" s="9" t="e">
        <f>IF(#REF!=#REF!,1,0)</f>
        <v>#REF!</v>
      </c>
      <c r="AF913" s="8"/>
      <c r="AG913" s="8"/>
      <c r="AH913" s="8"/>
      <c r="AI913" s="8"/>
    </row>
    <row r="914" spans="2:35" s="3" customFormat="1" x14ac:dyDescent="0.25">
      <c r="B914" s="4" t="e">
        <f>IF(AE914=0,"",1+(MAX(B$7:B913)))</f>
        <v>#REF!</v>
      </c>
      <c r="C914" s="51"/>
      <c r="D914" s="52"/>
      <c r="E914" s="53"/>
      <c r="F914" s="2"/>
      <c r="G914" s="2"/>
      <c r="H914" s="2"/>
      <c r="I914" s="2"/>
      <c r="J914" s="2"/>
      <c r="K914" s="2"/>
      <c r="L914" s="2"/>
      <c r="M914" s="2"/>
      <c r="N914" s="2"/>
      <c r="O914" s="7">
        <f t="shared" si="47"/>
        <v>0</v>
      </c>
      <c r="P914" s="2"/>
      <c r="Q914" s="2"/>
      <c r="R914" s="2"/>
      <c r="S914" s="2"/>
      <c r="T914" s="2"/>
      <c r="U914" s="2"/>
      <c r="V914" s="2"/>
      <c r="W914" s="2"/>
      <c r="X914" s="2"/>
      <c r="Y914" s="2"/>
      <c r="Z914" s="2"/>
      <c r="AA914" s="7">
        <f t="shared" si="48"/>
        <v>0</v>
      </c>
      <c r="AB914" s="7">
        <f t="shared" si="49"/>
        <v>0</v>
      </c>
      <c r="AC914" s="9"/>
      <c r="AD914" s="9"/>
      <c r="AE914" s="9" t="e">
        <f>IF(#REF!=#REF!,1,0)</f>
        <v>#REF!</v>
      </c>
      <c r="AF914" s="8"/>
      <c r="AG914" s="8"/>
      <c r="AH914" s="8"/>
      <c r="AI914" s="8"/>
    </row>
    <row r="915" spans="2:35" s="3" customFormat="1" x14ac:dyDescent="0.25">
      <c r="B915" s="4" t="e">
        <f>IF(AE915=0,"",1+(MAX(B$7:B914)))</f>
        <v>#REF!</v>
      </c>
      <c r="C915" s="51"/>
      <c r="D915" s="52"/>
      <c r="E915" s="53"/>
      <c r="F915" s="2"/>
      <c r="G915" s="2"/>
      <c r="H915" s="2"/>
      <c r="I915" s="2"/>
      <c r="J915" s="2"/>
      <c r="K915" s="2"/>
      <c r="L915" s="2"/>
      <c r="M915" s="2"/>
      <c r="N915" s="2"/>
      <c r="O915" s="7">
        <f t="shared" si="47"/>
        <v>0</v>
      </c>
      <c r="P915" s="2"/>
      <c r="Q915" s="2"/>
      <c r="R915" s="2"/>
      <c r="S915" s="2"/>
      <c r="T915" s="2"/>
      <c r="U915" s="2"/>
      <c r="V915" s="2"/>
      <c r="W915" s="2"/>
      <c r="X915" s="2"/>
      <c r="Y915" s="2"/>
      <c r="Z915" s="2"/>
      <c r="AA915" s="7">
        <f t="shared" si="48"/>
        <v>0</v>
      </c>
      <c r="AB915" s="7">
        <f t="shared" si="49"/>
        <v>0</v>
      </c>
      <c r="AC915" s="9"/>
      <c r="AD915" s="9"/>
      <c r="AE915" s="9" t="e">
        <f>IF(#REF!=#REF!,1,0)</f>
        <v>#REF!</v>
      </c>
      <c r="AF915" s="8"/>
      <c r="AG915" s="8"/>
      <c r="AH915" s="8"/>
      <c r="AI915" s="8"/>
    </row>
    <row r="916" spans="2:35" s="3" customFormat="1" x14ac:dyDescent="0.25">
      <c r="B916" s="4" t="e">
        <f>IF(AE916=0,"",1+(MAX(B$7:B915)))</f>
        <v>#REF!</v>
      </c>
      <c r="C916" s="51"/>
      <c r="D916" s="52"/>
      <c r="E916" s="53"/>
      <c r="F916" s="2"/>
      <c r="G916" s="2"/>
      <c r="H916" s="2"/>
      <c r="I916" s="2"/>
      <c r="J916" s="2"/>
      <c r="K916" s="2"/>
      <c r="L916" s="2"/>
      <c r="M916" s="2"/>
      <c r="N916" s="2"/>
      <c r="O916" s="7">
        <f t="shared" ref="O916:O979" si="50">SUM(F916:N916)</f>
        <v>0</v>
      </c>
      <c r="P916" s="2"/>
      <c r="Q916" s="2"/>
      <c r="R916" s="2"/>
      <c r="S916" s="2"/>
      <c r="T916" s="2"/>
      <c r="U916" s="2"/>
      <c r="V916" s="2"/>
      <c r="W916" s="2"/>
      <c r="X916" s="2"/>
      <c r="Y916" s="2"/>
      <c r="Z916" s="2"/>
      <c r="AA916" s="7">
        <f t="shared" si="48"/>
        <v>0</v>
      </c>
      <c r="AB916" s="7">
        <f t="shared" si="49"/>
        <v>0</v>
      </c>
      <c r="AC916" s="9"/>
      <c r="AD916" s="9"/>
      <c r="AE916" s="9" t="e">
        <f>IF(#REF!=#REF!,1,0)</f>
        <v>#REF!</v>
      </c>
      <c r="AF916" s="8"/>
      <c r="AG916" s="8"/>
      <c r="AH916" s="8"/>
      <c r="AI916" s="8"/>
    </row>
    <row r="917" spans="2:35" s="3" customFormat="1" x14ac:dyDescent="0.25">
      <c r="B917" s="4" t="e">
        <f>IF(AE917=0,"",1+(MAX(B$7:B916)))</f>
        <v>#REF!</v>
      </c>
      <c r="C917" s="51"/>
      <c r="D917" s="52"/>
      <c r="E917" s="53"/>
      <c r="F917" s="2"/>
      <c r="G917" s="2"/>
      <c r="H917" s="2"/>
      <c r="I917" s="2"/>
      <c r="J917" s="2"/>
      <c r="K917" s="2"/>
      <c r="L917" s="2"/>
      <c r="M917" s="2"/>
      <c r="N917" s="2"/>
      <c r="O917" s="7">
        <f t="shared" si="50"/>
        <v>0</v>
      </c>
      <c r="P917" s="2"/>
      <c r="Q917" s="2"/>
      <c r="R917" s="2"/>
      <c r="S917" s="2"/>
      <c r="T917" s="2"/>
      <c r="U917" s="2"/>
      <c r="V917" s="2"/>
      <c r="W917" s="2"/>
      <c r="X917" s="2"/>
      <c r="Y917" s="2"/>
      <c r="Z917" s="2"/>
      <c r="AA917" s="7">
        <f t="shared" si="48"/>
        <v>0</v>
      </c>
      <c r="AB917" s="7">
        <f t="shared" si="49"/>
        <v>0</v>
      </c>
      <c r="AC917" s="9"/>
      <c r="AD917" s="9"/>
      <c r="AE917" s="9" t="e">
        <f>IF(#REF!=#REF!,1,0)</f>
        <v>#REF!</v>
      </c>
      <c r="AF917" s="8"/>
      <c r="AG917" s="8"/>
      <c r="AH917" s="8"/>
      <c r="AI917" s="8"/>
    </row>
    <row r="918" spans="2:35" s="3" customFormat="1" x14ac:dyDescent="0.25">
      <c r="B918" s="4" t="e">
        <f>IF(AE918=0,"",1+(MAX(B$7:B917)))</f>
        <v>#REF!</v>
      </c>
      <c r="C918" s="51"/>
      <c r="D918" s="52"/>
      <c r="E918" s="53"/>
      <c r="F918" s="2"/>
      <c r="G918" s="2"/>
      <c r="H918" s="2"/>
      <c r="I918" s="2"/>
      <c r="J918" s="2"/>
      <c r="K918" s="2"/>
      <c r="L918" s="2"/>
      <c r="M918" s="2"/>
      <c r="N918" s="2"/>
      <c r="O918" s="7">
        <f t="shared" si="50"/>
        <v>0</v>
      </c>
      <c r="P918" s="2"/>
      <c r="Q918" s="2"/>
      <c r="R918" s="2"/>
      <c r="S918" s="2"/>
      <c r="T918" s="2"/>
      <c r="U918" s="2"/>
      <c r="V918" s="2"/>
      <c r="W918" s="2"/>
      <c r="X918" s="2"/>
      <c r="Y918" s="2"/>
      <c r="Z918" s="2"/>
      <c r="AA918" s="7">
        <f t="shared" si="48"/>
        <v>0</v>
      </c>
      <c r="AB918" s="7">
        <f t="shared" si="49"/>
        <v>0</v>
      </c>
      <c r="AC918" s="9"/>
      <c r="AD918" s="9"/>
      <c r="AE918" s="9" t="e">
        <f>IF(#REF!=#REF!,1,0)</f>
        <v>#REF!</v>
      </c>
      <c r="AF918" s="8"/>
      <c r="AG918" s="8"/>
      <c r="AH918" s="8"/>
      <c r="AI918" s="8"/>
    </row>
    <row r="919" spans="2:35" s="3" customFormat="1" x14ac:dyDescent="0.25">
      <c r="B919" s="4" t="e">
        <f>IF(AE919=0,"",1+(MAX(B$7:B918)))</f>
        <v>#REF!</v>
      </c>
      <c r="C919" s="51"/>
      <c r="D919" s="52"/>
      <c r="E919" s="53"/>
      <c r="F919" s="2"/>
      <c r="G919" s="2"/>
      <c r="H919" s="2"/>
      <c r="I919" s="2"/>
      <c r="J919" s="2"/>
      <c r="K919" s="2"/>
      <c r="L919" s="2"/>
      <c r="M919" s="2"/>
      <c r="N919" s="2"/>
      <c r="O919" s="7">
        <f t="shared" si="50"/>
        <v>0</v>
      </c>
      <c r="P919" s="2"/>
      <c r="Q919" s="2"/>
      <c r="R919" s="2"/>
      <c r="S919" s="2"/>
      <c r="T919" s="2"/>
      <c r="U919" s="2"/>
      <c r="V919" s="2"/>
      <c r="W919" s="2"/>
      <c r="X919" s="2"/>
      <c r="Y919" s="2"/>
      <c r="Z919" s="2"/>
      <c r="AA919" s="7">
        <f t="shared" si="48"/>
        <v>0</v>
      </c>
      <c r="AB919" s="7">
        <f t="shared" si="49"/>
        <v>0</v>
      </c>
      <c r="AC919" s="9"/>
      <c r="AD919" s="9"/>
      <c r="AE919" s="9" t="e">
        <f>IF(#REF!=#REF!,1,0)</f>
        <v>#REF!</v>
      </c>
      <c r="AF919" s="8"/>
      <c r="AG919" s="8"/>
      <c r="AH919" s="8"/>
      <c r="AI919" s="8"/>
    </row>
    <row r="920" spans="2:35" s="3" customFormat="1" x14ac:dyDescent="0.25">
      <c r="B920" s="4" t="e">
        <f>IF(AE920=0,"",1+(MAX(B$7:B919)))</f>
        <v>#REF!</v>
      </c>
      <c r="C920" s="51"/>
      <c r="D920" s="52"/>
      <c r="E920" s="53"/>
      <c r="F920" s="2"/>
      <c r="G920" s="2"/>
      <c r="H920" s="2"/>
      <c r="I920" s="2"/>
      <c r="J920" s="2"/>
      <c r="K920" s="2"/>
      <c r="L920" s="2"/>
      <c r="M920" s="2"/>
      <c r="N920" s="2"/>
      <c r="O920" s="7">
        <f t="shared" si="50"/>
        <v>0</v>
      </c>
      <c r="P920" s="2"/>
      <c r="Q920" s="2"/>
      <c r="R920" s="2"/>
      <c r="S920" s="2"/>
      <c r="T920" s="2"/>
      <c r="U920" s="2"/>
      <c r="V920" s="2"/>
      <c r="W920" s="2"/>
      <c r="X920" s="2"/>
      <c r="Y920" s="2"/>
      <c r="Z920" s="2"/>
      <c r="AA920" s="7">
        <f t="shared" si="48"/>
        <v>0</v>
      </c>
      <c r="AB920" s="7">
        <f t="shared" si="49"/>
        <v>0</v>
      </c>
      <c r="AC920" s="9"/>
      <c r="AD920" s="9"/>
      <c r="AE920" s="9" t="e">
        <f>IF(#REF!=#REF!,1,0)</f>
        <v>#REF!</v>
      </c>
      <c r="AF920" s="8"/>
      <c r="AG920" s="8"/>
      <c r="AH920" s="8"/>
      <c r="AI920" s="8"/>
    </row>
    <row r="921" spans="2:35" s="3" customFormat="1" x14ac:dyDescent="0.25">
      <c r="B921" s="4" t="e">
        <f>IF(AE921=0,"",1+(MAX(B$7:B920)))</f>
        <v>#REF!</v>
      </c>
      <c r="C921" s="51"/>
      <c r="D921" s="52"/>
      <c r="E921" s="53"/>
      <c r="F921" s="2"/>
      <c r="G921" s="2"/>
      <c r="H921" s="2"/>
      <c r="I921" s="2"/>
      <c r="J921" s="2"/>
      <c r="K921" s="2"/>
      <c r="L921" s="2"/>
      <c r="M921" s="2"/>
      <c r="N921" s="2"/>
      <c r="O921" s="7">
        <f t="shared" si="50"/>
        <v>0</v>
      </c>
      <c r="P921" s="2"/>
      <c r="Q921" s="2"/>
      <c r="R921" s="2"/>
      <c r="S921" s="2"/>
      <c r="T921" s="2"/>
      <c r="U921" s="2"/>
      <c r="V921" s="2"/>
      <c r="W921" s="2"/>
      <c r="X921" s="2"/>
      <c r="Y921" s="2"/>
      <c r="Z921" s="2"/>
      <c r="AA921" s="7">
        <f t="shared" si="48"/>
        <v>0</v>
      </c>
      <c r="AB921" s="7">
        <f t="shared" si="49"/>
        <v>0</v>
      </c>
      <c r="AC921" s="9"/>
      <c r="AD921" s="9"/>
      <c r="AE921" s="9" t="e">
        <f>IF(#REF!=#REF!,1,0)</f>
        <v>#REF!</v>
      </c>
      <c r="AF921" s="8"/>
      <c r="AG921" s="8"/>
      <c r="AH921" s="8"/>
      <c r="AI921" s="8"/>
    </row>
    <row r="922" spans="2:35" s="3" customFormat="1" x14ac:dyDescent="0.25">
      <c r="B922" s="4" t="e">
        <f>IF(AE922=0,"",1+(MAX(B$7:B921)))</f>
        <v>#REF!</v>
      </c>
      <c r="C922" s="51"/>
      <c r="D922" s="52"/>
      <c r="E922" s="53"/>
      <c r="F922" s="2"/>
      <c r="G922" s="2"/>
      <c r="H922" s="2"/>
      <c r="I922" s="2"/>
      <c r="J922" s="2"/>
      <c r="K922" s="2"/>
      <c r="L922" s="2"/>
      <c r="M922" s="2"/>
      <c r="N922" s="2"/>
      <c r="O922" s="7">
        <f t="shared" si="50"/>
        <v>0</v>
      </c>
      <c r="P922" s="2"/>
      <c r="Q922" s="2"/>
      <c r="R922" s="2"/>
      <c r="S922" s="2"/>
      <c r="T922" s="2"/>
      <c r="U922" s="2"/>
      <c r="V922" s="2"/>
      <c r="W922" s="2"/>
      <c r="X922" s="2"/>
      <c r="Y922" s="2"/>
      <c r="Z922" s="2"/>
      <c r="AA922" s="7">
        <f t="shared" si="48"/>
        <v>0</v>
      </c>
      <c r="AB922" s="7">
        <f t="shared" si="49"/>
        <v>0</v>
      </c>
      <c r="AC922" s="9"/>
      <c r="AD922" s="9"/>
      <c r="AE922" s="9" t="e">
        <f>IF(#REF!=#REF!,1,0)</f>
        <v>#REF!</v>
      </c>
      <c r="AF922" s="8"/>
      <c r="AG922" s="8"/>
      <c r="AH922" s="8"/>
      <c r="AI922" s="8"/>
    </row>
    <row r="923" spans="2:35" s="3" customFormat="1" x14ac:dyDescent="0.25">
      <c r="B923" s="4" t="e">
        <f>IF(AE923=0,"",1+(MAX(B$7:B922)))</f>
        <v>#REF!</v>
      </c>
      <c r="C923" s="51"/>
      <c r="D923" s="52"/>
      <c r="E923" s="53"/>
      <c r="F923" s="2"/>
      <c r="G923" s="2"/>
      <c r="H923" s="2"/>
      <c r="I923" s="2"/>
      <c r="J923" s="2"/>
      <c r="K923" s="2"/>
      <c r="L923" s="2"/>
      <c r="M923" s="2"/>
      <c r="N923" s="2"/>
      <c r="O923" s="7">
        <f t="shared" si="50"/>
        <v>0</v>
      </c>
      <c r="P923" s="2"/>
      <c r="Q923" s="2"/>
      <c r="R923" s="2"/>
      <c r="S923" s="2"/>
      <c r="T923" s="2"/>
      <c r="U923" s="2"/>
      <c r="V923" s="2"/>
      <c r="W923" s="2"/>
      <c r="X923" s="2"/>
      <c r="Y923" s="2"/>
      <c r="Z923" s="2"/>
      <c r="AA923" s="7">
        <f t="shared" ref="AA923:AA986" si="51">SUM(P923:Z923)</f>
        <v>0</v>
      </c>
      <c r="AB923" s="7">
        <f t="shared" ref="AB923:AB986" si="52">O923-AA923</f>
        <v>0</v>
      </c>
      <c r="AC923" s="9"/>
      <c r="AD923" s="9"/>
      <c r="AE923" s="9" t="e">
        <f>IF(#REF!=#REF!,1,0)</f>
        <v>#REF!</v>
      </c>
      <c r="AF923" s="8"/>
      <c r="AG923" s="8"/>
      <c r="AH923" s="8"/>
      <c r="AI923" s="8"/>
    </row>
    <row r="924" spans="2:35" s="3" customFormat="1" x14ac:dyDescent="0.25">
      <c r="B924" s="4" t="e">
        <f>IF(AE924=0,"",1+(MAX(B$7:B923)))</f>
        <v>#REF!</v>
      </c>
      <c r="C924" s="51"/>
      <c r="D924" s="52"/>
      <c r="E924" s="53"/>
      <c r="F924" s="2"/>
      <c r="G924" s="2"/>
      <c r="H924" s="2"/>
      <c r="I924" s="2"/>
      <c r="J924" s="2"/>
      <c r="K924" s="2"/>
      <c r="L924" s="2"/>
      <c r="M924" s="2"/>
      <c r="N924" s="2"/>
      <c r="O924" s="7">
        <f t="shared" si="50"/>
        <v>0</v>
      </c>
      <c r="P924" s="2"/>
      <c r="Q924" s="2"/>
      <c r="R924" s="2"/>
      <c r="S924" s="2"/>
      <c r="T924" s="2"/>
      <c r="U924" s="2"/>
      <c r="V924" s="2"/>
      <c r="W924" s="2"/>
      <c r="X924" s="2"/>
      <c r="Y924" s="2"/>
      <c r="Z924" s="2"/>
      <c r="AA924" s="7">
        <f t="shared" si="51"/>
        <v>0</v>
      </c>
      <c r="AB924" s="7">
        <f t="shared" si="52"/>
        <v>0</v>
      </c>
      <c r="AC924" s="9"/>
      <c r="AD924" s="9"/>
      <c r="AE924" s="9" t="e">
        <f>IF(#REF!=#REF!,1,0)</f>
        <v>#REF!</v>
      </c>
      <c r="AF924" s="8"/>
      <c r="AG924" s="8"/>
      <c r="AH924" s="8"/>
      <c r="AI924" s="8"/>
    </row>
    <row r="925" spans="2:35" s="3" customFormat="1" x14ac:dyDescent="0.25">
      <c r="B925" s="4" t="e">
        <f>IF(AE925=0,"",1+(MAX(B$7:B924)))</f>
        <v>#REF!</v>
      </c>
      <c r="C925" s="51"/>
      <c r="D925" s="52"/>
      <c r="E925" s="53"/>
      <c r="F925" s="2"/>
      <c r="G925" s="2"/>
      <c r="H925" s="2"/>
      <c r="I925" s="2"/>
      <c r="J925" s="2"/>
      <c r="K925" s="2"/>
      <c r="L925" s="2"/>
      <c r="M925" s="2"/>
      <c r="N925" s="2"/>
      <c r="O925" s="7">
        <f t="shared" si="50"/>
        <v>0</v>
      </c>
      <c r="P925" s="2"/>
      <c r="Q925" s="2"/>
      <c r="R925" s="2"/>
      <c r="S925" s="2"/>
      <c r="T925" s="2"/>
      <c r="U925" s="2"/>
      <c r="V925" s="2"/>
      <c r="W925" s="2"/>
      <c r="X925" s="2"/>
      <c r="Y925" s="2"/>
      <c r="Z925" s="2"/>
      <c r="AA925" s="7">
        <f t="shared" si="51"/>
        <v>0</v>
      </c>
      <c r="AB925" s="7">
        <f t="shared" si="52"/>
        <v>0</v>
      </c>
      <c r="AC925" s="9"/>
      <c r="AD925" s="9"/>
      <c r="AE925" s="9" t="e">
        <f>IF(#REF!=#REF!,1,0)</f>
        <v>#REF!</v>
      </c>
      <c r="AF925" s="8"/>
      <c r="AG925" s="8"/>
      <c r="AH925" s="8"/>
      <c r="AI925" s="8"/>
    </row>
    <row r="926" spans="2:35" s="3" customFormat="1" x14ac:dyDescent="0.25">
      <c r="B926" s="4" t="e">
        <f>IF(AE926=0,"",1+(MAX(B$7:B925)))</f>
        <v>#REF!</v>
      </c>
      <c r="C926" s="51"/>
      <c r="D926" s="52"/>
      <c r="E926" s="53"/>
      <c r="F926" s="2"/>
      <c r="G926" s="2"/>
      <c r="H926" s="2"/>
      <c r="I926" s="2"/>
      <c r="J926" s="2"/>
      <c r="K926" s="2"/>
      <c r="L926" s="2"/>
      <c r="M926" s="2"/>
      <c r="N926" s="2"/>
      <c r="O926" s="7">
        <f t="shared" si="50"/>
        <v>0</v>
      </c>
      <c r="P926" s="2"/>
      <c r="Q926" s="2"/>
      <c r="R926" s="2"/>
      <c r="S926" s="2"/>
      <c r="T926" s="2"/>
      <c r="U926" s="2"/>
      <c r="V926" s="2"/>
      <c r="W926" s="2"/>
      <c r="X926" s="2"/>
      <c r="Y926" s="2"/>
      <c r="Z926" s="2"/>
      <c r="AA926" s="7">
        <f t="shared" si="51"/>
        <v>0</v>
      </c>
      <c r="AB926" s="7">
        <f t="shared" si="52"/>
        <v>0</v>
      </c>
      <c r="AC926" s="9"/>
      <c r="AD926" s="9"/>
      <c r="AE926" s="9" t="e">
        <f>IF(#REF!=#REF!,1,0)</f>
        <v>#REF!</v>
      </c>
      <c r="AF926" s="8"/>
      <c r="AG926" s="8"/>
      <c r="AH926" s="8"/>
      <c r="AI926" s="8"/>
    </row>
    <row r="927" spans="2:35" s="3" customFormat="1" x14ac:dyDescent="0.25">
      <c r="B927" s="4" t="e">
        <f>IF(AE927=0,"",1+(MAX(B$7:B926)))</f>
        <v>#REF!</v>
      </c>
      <c r="C927" s="51"/>
      <c r="D927" s="52"/>
      <c r="E927" s="53"/>
      <c r="F927" s="2"/>
      <c r="G927" s="2"/>
      <c r="H927" s="2"/>
      <c r="I927" s="2"/>
      <c r="J927" s="2"/>
      <c r="K927" s="2"/>
      <c r="L927" s="2"/>
      <c r="M927" s="2"/>
      <c r="N927" s="2"/>
      <c r="O927" s="7">
        <f t="shared" si="50"/>
        <v>0</v>
      </c>
      <c r="P927" s="2"/>
      <c r="Q927" s="2"/>
      <c r="R927" s="2"/>
      <c r="S927" s="2"/>
      <c r="T927" s="2"/>
      <c r="U927" s="2"/>
      <c r="V927" s="2"/>
      <c r="W927" s="2"/>
      <c r="X927" s="2"/>
      <c r="Y927" s="2"/>
      <c r="Z927" s="2"/>
      <c r="AA927" s="7">
        <f t="shared" si="51"/>
        <v>0</v>
      </c>
      <c r="AB927" s="7">
        <f t="shared" si="52"/>
        <v>0</v>
      </c>
      <c r="AC927" s="9"/>
      <c r="AD927" s="9"/>
      <c r="AE927" s="9" t="e">
        <f>IF(#REF!=#REF!,1,0)</f>
        <v>#REF!</v>
      </c>
      <c r="AF927" s="8"/>
      <c r="AG927" s="8"/>
      <c r="AH927" s="8"/>
      <c r="AI927" s="8"/>
    </row>
    <row r="928" spans="2:35" s="3" customFormat="1" x14ac:dyDescent="0.25">
      <c r="B928" s="4" t="e">
        <f>IF(AE928=0,"",1+(MAX(B$7:B927)))</f>
        <v>#REF!</v>
      </c>
      <c r="C928" s="51"/>
      <c r="D928" s="52"/>
      <c r="E928" s="53"/>
      <c r="F928" s="2"/>
      <c r="G928" s="2"/>
      <c r="H928" s="2"/>
      <c r="I928" s="2"/>
      <c r="J928" s="2"/>
      <c r="K928" s="2"/>
      <c r="L928" s="2"/>
      <c r="M928" s="2"/>
      <c r="N928" s="2"/>
      <c r="O928" s="7">
        <f t="shared" si="50"/>
        <v>0</v>
      </c>
      <c r="P928" s="2"/>
      <c r="Q928" s="2"/>
      <c r="R928" s="2"/>
      <c r="S928" s="2"/>
      <c r="T928" s="2"/>
      <c r="U928" s="2"/>
      <c r="V928" s="2"/>
      <c r="W928" s="2"/>
      <c r="X928" s="2"/>
      <c r="Y928" s="2"/>
      <c r="Z928" s="2"/>
      <c r="AA928" s="7">
        <f t="shared" si="51"/>
        <v>0</v>
      </c>
      <c r="AB928" s="7">
        <f t="shared" si="52"/>
        <v>0</v>
      </c>
      <c r="AC928" s="9"/>
      <c r="AD928" s="9"/>
      <c r="AE928" s="9" t="e">
        <f>IF(#REF!=#REF!,1,0)</f>
        <v>#REF!</v>
      </c>
      <c r="AF928" s="8"/>
      <c r="AG928" s="8"/>
      <c r="AH928" s="8"/>
      <c r="AI928" s="8"/>
    </row>
    <row r="929" spans="2:35" s="3" customFormat="1" x14ac:dyDescent="0.25">
      <c r="B929" s="4" t="e">
        <f>IF(AE929=0,"",1+(MAX(B$7:B928)))</f>
        <v>#REF!</v>
      </c>
      <c r="C929" s="51"/>
      <c r="D929" s="52"/>
      <c r="E929" s="53"/>
      <c r="F929" s="2"/>
      <c r="G929" s="2"/>
      <c r="H929" s="2"/>
      <c r="I929" s="2"/>
      <c r="J929" s="2"/>
      <c r="K929" s="2"/>
      <c r="L929" s="2"/>
      <c r="M929" s="2"/>
      <c r="N929" s="2"/>
      <c r="O929" s="7">
        <f t="shared" si="50"/>
        <v>0</v>
      </c>
      <c r="P929" s="2"/>
      <c r="Q929" s="2"/>
      <c r="R929" s="2"/>
      <c r="S929" s="2"/>
      <c r="T929" s="2"/>
      <c r="U929" s="2"/>
      <c r="V929" s="2"/>
      <c r="W929" s="2"/>
      <c r="X929" s="2"/>
      <c r="Y929" s="2"/>
      <c r="Z929" s="2"/>
      <c r="AA929" s="7">
        <f t="shared" si="51"/>
        <v>0</v>
      </c>
      <c r="AB929" s="7">
        <f t="shared" si="52"/>
        <v>0</v>
      </c>
      <c r="AC929" s="9"/>
      <c r="AD929" s="9"/>
      <c r="AE929" s="9" t="e">
        <f>IF(#REF!=#REF!,1,0)</f>
        <v>#REF!</v>
      </c>
      <c r="AF929" s="8"/>
      <c r="AG929" s="8"/>
      <c r="AH929" s="8"/>
      <c r="AI929" s="8"/>
    </row>
    <row r="930" spans="2:35" s="3" customFormat="1" x14ac:dyDescent="0.25">
      <c r="B930" s="4" t="e">
        <f>IF(AE930=0,"",1+(MAX(B$7:B929)))</f>
        <v>#REF!</v>
      </c>
      <c r="C930" s="51"/>
      <c r="D930" s="52"/>
      <c r="E930" s="53"/>
      <c r="F930" s="2"/>
      <c r="G930" s="2"/>
      <c r="H930" s="2"/>
      <c r="I930" s="2"/>
      <c r="J930" s="2"/>
      <c r="K930" s="2"/>
      <c r="L930" s="2"/>
      <c r="M930" s="2"/>
      <c r="N930" s="2"/>
      <c r="O930" s="7">
        <f t="shared" si="50"/>
        <v>0</v>
      </c>
      <c r="P930" s="2"/>
      <c r="Q930" s="2"/>
      <c r="R930" s="2"/>
      <c r="S930" s="2"/>
      <c r="T930" s="2"/>
      <c r="U930" s="2"/>
      <c r="V930" s="2"/>
      <c r="W930" s="2"/>
      <c r="X930" s="2"/>
      <c r="Y930" s="2"/>
      <c r="Z930" s="2"/>
      <c r="AA930" s="7">
        <f t="shared" si="51"/>
        <v>0</v>
      </c>
      <c r="AB930" s="7">
        <f t="shared" si="52"/>
        <v>0</v>
      </c>
      <c r="AC930" s="9"/>
      <c r="AD930" s="9"/>
      <c r="AE930" s="9" t="e">
        <f>IF(#REF!=#REF!,1,0)</f>
        <v>#REF!</v>
      </c>
      <c r="AF930" s="8"/>
      <c r="AG930" s="8"/>
      <c r="AH930" s="8"/>
      <c r="AI930" s="8"/>
    </row>
    <row r="931" spans="2:35" s="3" customFormat="1" x14ac:dyDescent="0.25">
      <c r="B931" s="4" t="e">
        <f>IF(AE931=0,"",1+(MAX(B$7:B930)))</f>
        <v>#REF!</v>
      </c>
      <c r="C931" s="51"/>
      <c r="D931" s="52"/>
      <c r="E931" s="53"/>
      <c r="F931" s="2"/>
      <c r="G931" s="2"/>
      <c r="H931" s="2"/>
      <c r="I931" s="2"/>
      <c r="J931" s="2"/>
      <c r="K931" s="2"/>
      <c r="L931" s="2"/>
      <c r="M931" s="2"/>
      <c r="N931" s="2"/>
      <c r="O931" s="7">
        <f t="shared" si="50"/>
        <v>0</v>
      </c>
      <c r="P931" s="2"/>
      <c r="Q931" s="2"/>
      <c r="R931" s="2"/>
      <c r="S931" s="2"/>
      <c r="T931" s="2"/>
      <c r="U931" s="2"/>
      <c r="V931" s="2"/>
      <c r="W931" s="2"/>
      <c r="X931" s="2"/>
      <c r="Y931" s="2"/>
      <c r="Z931" s="2"/>
      <c r="AA931" s="7">
        <f t="shared" si="51"/>
        <v>0</v>
      </c>
      <c r="AB931" s="7">
        <f t="shared" si="52"/>
        <v>0</v>
      </c>
      <c r="AC931" s="9"/>
      <c r="AD931" s="9"/>
      <c r="AE931" s="9" t="e">
        <f>IF(#REF!=#REF!,1,0)</f>
        <v>#REF!</v>
      </c>
      <c r="AF931" s="8"/>
      <c r="AG931" s="8"/>
      <c r="AH931" s="8"/>
      <c r="AI931" s="8"/>
    </row>
    <row r="932" spans="2:35" s="3" customFormat="1" x14ac:dyDescent="0.25">
      <c r="B932" s="4" t="e">
        <f>IF(AE932=0,"",1+(MAX(B$7:B931)))</f>
        <v>#REF!</v>
      </c>
      <c r="C932" s="51"/>
      <c r="D932" s="52"/>
      <c r="E932" s="53"/>
      <c r="F932" s="2"/>
      <c r="G932" s="2"/>
      <c r="H932" s="2"/>
      <c r="I932" s="2"/>
      <c r="J932" s="2"/>
      <c r="K932" s="2"/>
      <c r="L932" s="2"/>
      <c r="M932" s="2"/>
      <c r="N932" s="2"/>
      <c r="O932" s="7">
        <f t="shared" si="50"/>
        <v>0</v>
      </c>
      <c r="P932" s="2"/>
      <c r="Q932" s="2"/>
      <c r="R932" s="2"/>
      <c r="S932" s="2"/>
      <c r="T932" s="2"/>
      <c r="U932" s="2"/>
      <c r="V932" s="2"/>
      <c r="W932" s="2"/>
      <c r="X932" s="2"/>
      <c r="Y932" s="2"/>
      <c r="Z932" s="2"/>
      <c r="AA932" s="7">
        <f t="shared" si="51"/>
        <v>0</v>
      </c>
      <c r="AB932" s="7">
        <f t="shared" si="52"/>
        <v>0</v>
      </c>
      <c r="AC932" s="9"/>
      <c r="AD932" s="9"/>
      <c r="AE932" s="9" t="e">
        <f>IF(#REF!=#REF!,1,0)</f>
        <v>#REF!</v>
      </c>
      <c r="AF932" s="8"/>
      <c r="AG932" s="8"/>
      <c r="AH932" s="8"/>
      <c r="AI932" s="8"/>
    </row>
    <row r="933" spans="2:35" s="3" customFormat="1" x14ac:dyDescent="0.25">
      <c r="B933" s="4" t="e">
        <f>IF(AE933=0,"",1+(MAX(B$7:B932)))</f>
        <v>#REF!</v>
      </c>
      <c r="C933" s="51"/>
      <c r="D933" s="52"/>
      <c r="E933" s="53"/>
      <c r="F933" s="2"/>
      <c r="G933" s="2"/>
      <c r="H933" s="2"/>
      <c r="I933" s="2"/>
      <c r="J933" s="2"/>
      <c r="K933" s="2"/>
      <c r="L933" s="2"/>
      <c r="M933" s="2"/>
      <c r="N933" s="2"/>
      <c r="O933" s="7">
        <f t="shared" si="50"/>
        <v>0</v>
      </c>
      <c r="P933" s="2"/>
      <c r="Q933" s="2"/>
      <c r="R933" s="2"/>
      <c r="S933" s="2"/>
      <c r="T933" s="2"/>
      <c r="U933" s="2"/>
      <c r="V933" s="2"/>
      <c r="W933" s="2"/>
      <c r="X933" s="2"/>
      <c r="Y933" s="2"/>
      <c r="Z933" s="2"/>
      <c r="AA933" s="7">
        <f t="shared" si="51"/>
        <v>0</v>
      </c>
      <c r="AB933" s="7">
        <f t="shared" si="52"/>
        <v>0</v>
      </c>
      <c r="AC933" s="9"/>
      <c r="AD933" s="9"/>
      <c r="AE933" s="9" t="e">
        <f>IF(#REF!=#REF!,1,0)</f>
        <v>#REF!</v>
      </c>
      <c r="AF933" s="8"/>
      <c r="AG933" s="8"/>
      <c r="AH933" s="8"/>
      <c r="AI933" s="8"/>
    </row>
    <row r="934" spans="2:35" s="3" customFormat="1" x14ac:dyDescent="0.25">
      <c r="B934" s="4" t="e">
        <f>IF(AE934=0,"",1+(MAX(B$7:B933)))</f>
        <v>#REF!</v>
      </c>
      <c r="C934" s="51"/>
      <c r="D934" s="52"/>
      <c r="E934" s="53"/>
      <c r="F934" s="2"/>
      <c r="G934" s="2"/>
      <c r="H934" s="2"/>
      <c r="I934" s="2"/>
      <c r="J934" s="2"/>
      <c r="K934" s="2"/>
      <c r="L934" s="2"/>
      <c r="M934" s="2"/>
      <c r="N934" s="2"/>
      <c r="O934" s="7">
        <f t="shared" si="50"/>
        <v>0</v>
      </c>
      <c r="P934" s="2"/>
      <c r="Q934" s="2"/>
      <c r="R934" s="2"/>
      <c r="S934" s="2"/>
      <c r="T934" s="2"/>
      <c r="U934" s="2"/>
      <c r="V934" s="2"/>
      <c r="W934" s="2"/>
      <c r="X934" s="2"/>
      <c r="Y934" s="2"/>
      <c r="Z934" s="2"/>
      <c r="AA934" s="7">
        <f t="shared" si="51"/>
        <v>0</v>
      </c>
      <c r="AB934" s="7">
        <f t="shared" si="52"/>
        <v>0</v>
      </c>
      <c r="AC934" s="9"/>
      <c r="AD934" s="9"/>
      <c r="AE934" s="9" t="e">
        <f>IF(#REF!=#REF!,1,0)</f>
        <v>#REF!</v>
      </c>
      <c r="AF934" s="8"/>
      <c r="AG934" s="8"/>
      <c r="AH934" s="8"/>
      <c r="AI934" s="8"/>
    </row>
    <row r="935" spans="2:35" s="3" customFormat="1" x14ac:dyDescent="0.25">
      <c r="B935" s="4" t="e">
        <f>IF(AE935=0,"",1+(MAX(B$7:B934)))</f>
        <v>#REF!</v>
      </c>
      <c r="C935" s="51"/>
      <c r="D935" s="52"/>
      <c r="E935" s="53"/>
      <c r="F935" s="2"/>
      <c r="G935" s="2"/>
      <c r="H935" s="2"/>
      <c r="I935" s="2"/>
      <c r="J935" s="2"/>
      <c r="K935" s="2"/>
      <c r="L935" s="2"/>
      <c r="M935" s="2"/>
      <c r="N935" s="2"/>
      <c r="O935" s="7">
        <f t="shared" si="50"/>
        <v>0</v>
      </c>
      <c r="P935" s="2"/>
      <c r="Q935" s="2"/>
      <c r="R935" s="2"/>
      <c r="S935" s="2"/>
      <c r="T935" s="2"/>
      <c r="U935" s="2"/>
      <c r="V935" s="2"/>
      <c r="W935" s="2"/>
      <c r="X935" s="2"/>
      <c r="Y935" s="2"/>
      <c r="Z935" s="2"/>
      <c r="AA935" s="7">
        <f t="shared" si="51"/>
        <v>0</v>
      </c>
      <c r="AB935" s="7">
        <f t="shared" si="52"/>
        <v>0</v>
      </c>
      <c r="AC935" s="9"/>
      <c r="AD935" s="9"/>
      <c r="AE935" s="9" t="e">
        <f>IF(#REF!=#REF!,1,0)</f>
        <v>#REF!</v>
      </c>
      <c r="AF935" s="8"/>
      <c r="AG935" s="8"/>
      <c r="AH935" s="8"/>
      <c r="AI935" s="8"/>
    </row>
    <row r="936" spans="2:35" s="3" customFormat="1" x14ac:dyDescent="0.25">
      <c r="B936" s="4" t="e">
        <f>IF(AE936=0,"",1+(MAX(B$7:B935)))</f>
        <v>#REF!</v>
      </c>
      <c r="C936" s="51"/>
      <c r="D936" s="52"/>
      <c r="E936" s="53"/>
      <c r="F936" s="2"/>
      <c r="G936" s="2"/>
      <c r="H936" s="2"/>
      <c r="I936" s="2"/>
      <c r="J936" s="2"/>
      <c r="K936" s="2"/>
      <c r="L936" s="2"/>
      <c r="M936" s="2"/>
      <c r="N936" s="2"/>
      <c r="O936" s="7">
        <f t="shared" si="50"/>
        <v>0</v>
      </c>
      <c r="P936" s="2"/>
      <c r="Q936" s="2"/>
      <c r="R936" s="2"/>
      <c r="S936" s="2"/>
      <c r="T936" s="2"/>
      <c r="U936" s="2"/>
      <c r="V936" s="2"/>
      <c r="W936" s="2"/>
      <c r="X936" s="2"/>
      <c r="Y936" s="2"/>
      <c r="Z936" s="2"/>
      <c r="AA936" s="7">
        <f t="shared" si="51"/>
        <v>0</v>
      </c>
      <c r="AB936" s="7">
        <f t="shared" si="52"/>
        <v>0</v>
      </c>
      <c r="AC936" s="9"/>
      <c r="AD936" s="9"/>
      <c r="AE936" s="9" t="e">
        <f>IF(#REF!=#REF!,1,0)</f>
        <v>#REF!</v>
      </c>
      <c r="AF936" s="8"/>
      <c r="AG936" s="8"/>
      <c r="AH936" s="8"/>
      <c r="AI936" s="8"/>
    </row>
    <row r="937" spans="2:35" s="3" customFormat="1" x14ac:dyDescent="0.25">
      <c r="B937" s="4" t="e">
        <f>IF(AE937=0,"",1+(MAX(B$7:B936)))</f>
        <v>#REF!</v>
      </c>
      <c r="C937" s="51"/>
      <c r="D937" s="52"/>
      <c r="E937" s="53"/>
      <c r="F937" s="2"/>
      <c r="G937" s="2"/>
      <c r="H937" s="2"/>
      <c r="I937" s="2"/>
      <c r="J937" s="2"/>
      <c r="K937" s="2"/>
      <c r="L937" s="2"/>
      <c r="M937" s="2"/>
      <c r="N937" s="2"/>
      <c r="O937" s="7">
        <f t="shared" si="50"/>
        <v>0</v>
      </c>
      <c r="P937" s="2"/>
      <c r="Q937" s="2"/>
      <c r="R937" s="2"/>
      <c r="S937" s="2"/>
      <c r="T937" s="2"/>
      <c r="U937" s="2"/>
      <c r="V937" s="2"/>
      <c r="W937" s="2"/>
      <c r="X937" s="2"/>
      <c r="Y937" s="2"/>
      <c r="Z937" s="2"/>
      <c r="AA937" s="7">
        <f t="shared" si="51"/>
        <v>0</v>
      </c>
      <c r="AB937" s="7">
        <f t="shared" si="52"/>
        <v>0</v>
      </c>
      <c r="AC937" s="9"/>
      <c r="AD937" s="9"/>
      <c r="AE937" s="9" t="e">
        <f>IF(#REF!=#REF!,1,0)</f>
        <v>#REF!</v>
      </c>
      <c r="AF937" s="8"/>
      <c r="AG937" s="8"/>
      <c r="AH937" s="8"/>
      <c r="AI937" s="8"/>
    </row>
    <row r="938" spans="2:35" s="3" customFormat="1" x14ac:dyDescent="0.25">
      <c r="B938" s="4" t="e">
        <f>IF(AE938=0,"",1+(MAX(B$7:B937)))</f>
        <v>#REF!</v>
      </c>
      <c r="C938" s="51"/>
      <c r="D938" s="52"/>
      <c r="E938" s="53"/>
      <c r="F938" s="2"/>
      <c r="G938" s="2"/>
      <c r="H938" s="2"/>
      <c r="I938" s="2"/>
      <c r="J938" s="2"/>
      <c r="K938" s="2"/>
      <c r="L938" s="2"/>
      <c r="M938" s="2"/>
      <c r="N938" s="2"/>
      <c r="O938" s="7">
        <f t="shared" si="50"/>
        <v>0</v>
      </c>
      <c r="P938" s="2"/>
      <c r="Q938" s="2"/>
      <c r="R938" s="2"/>
      <c r="S938" s="2"/>
      <c r="T938" s="2"/>
      <c r="U938" s="2"/>
      <c r="V938" s="2"/>
      <c r="W938" s="2"/>
      <c r="X938" s="2"/>
      <c r="Y938" s="2"/>
      <c r="Z938" s="2"/>
      <c r="AA938" s="7">
        <f t="shared" si="51"/>
        <v>0</v>
      </c>
      <c r="AB938" s="7">
        <f t="shared" si="52"/>
        <v>0</v>
      </c>
      <c r="AC938" s="9"/>
      <c r="AD938" s="9"/>
      <c r="AE938" s="9" t="e">
        <f>IF(#REF!=#REF!,1,0)</f>
        <v>#REF!</v>
      </c>
      <c r="AF938" s="8"/>
      <c r="AG938" s="8"/>
      <c r="AH938" s="8"/>
      <c r="AI938" s="8"/>
    </row>
    <row r="939" spans="2:35" s="3" customFormat="1" x14ac:dyDescent="0.25">
      <c r="B939" s="4" t="e">
        <f>IF(AE939=0,"",1+(MAX(B$7:B938)))</f>
        <v>#REF!</v>
      </c>
      <c r="C939" s="51"/>
      <c r="D939" s="52"/>
      <c r="E939" s="53"/>
      <c r="F939" s="2"/>
      <c r="G939" s="2"/>
      <c r="H939" s="2"/>
      <c r="I939" s="2"/>
      <c r="J939" s="2"/>
      <c r="K939" s="2"/>
      <c r="L939" s="2"/>
      <c r="M939" s="2"/>
      <c r="N939" s="2"/>
      <c r="O939" s="7">
        <f t="shared" si="50"/>
        <v>0</v>
      </c>
      <c r="P939" s="2"/>
      <c r="Q939" s="2"/>
      <c r="R939" s="2"/>
      <c r="S939" s="2"/>
      <c r="T939" s="2"/>
      <c r="U939" s="2"/>
      <c r="V939" s="2"/>
      <c r="W939" s="2"/>
      <c r="X939" s="2"/>
      <c r="Y939" s="2"/>
      <c r="Z939" s="2"/>
      <c r="AA939" s="7">
        <f t="shared" si="51"/>
        <v>0</v>
      </c>
      <c r="AB939" s="7">
        <f t="shared" si="52"/>
        <v>0</v>
      </c>
      <c r="AC939" s="9"/>
      <c r="AD939" s="9"/>
      <c r="AE939" s="9" t="e">
        <f>IF(#REF!=#REF!,1,0)</f>
        <v>#REF!</v>
      </c>
      <c r="AF939" s="8"/>
      <c r="AG939" s="8"/>
      <c r="AH939" s="8"/>
      <c r="AI939" s="8"/>
    </row>
    <row r="940" spans="2:35" s="3" customFormat="1" x14ac:dyDescent="0.25">
      <c r="B940" s="4" t="e">
        <f>IF(AE940=0,"",1+(MAX(B$7:B939)))</f>
        <v>#REF!</v>
      </c>
      <c r="C940" s="51"/>
      <c r="D940" s="52"/>
      <c r="E940" s="53"/>
      <c r="F940" s="2"/>
      <c r="G940" s="2"/>
      <c r="H940" s="2"/>
      <c r="I940" s="2"/>
      <c r="J940" s="2"/>
      <c r="K940" s="2"/>
      <c r="L940" s="2"/>
      <c r="M940" s="2"/>
      <c r="N940" s="2"/>
      <c r="O940" s="7">
        <f t="shared" si="50"/>
        <v>0</v>
      </c>
      <c r="P940" s="2"/>
      <c r="Q940" s="2"/>
      <c r="R940" s="2"/>
      <c r="S940" s="2"/>
      <c r="T940" s="2"/>
      <c r="U940" s="2"/>
      <c r="V940" s="2"/>
      <c r="W940" s="2"/>
      <c r="X940" s="2"/>
      <c r="Y940" s="2"/>
      <c r="Z940" s="2"/>
      <c r="AA940" s="7">
        <f t="shared" si="51"/>
        <v>0</v>
      </c>
      <c r="AB940" s="7">
        <f t="shared" si="52"/>
        <v>0</v>
      </c>
      <c r="AC940" s="9"/>
      <c r="AD940" s="9"/>
      <c r="AE940" s="9" t="e">
        <f>IF(#REF!=#REF!,1,0)</f>
        <v>#REF!</v>
      </c>
      <c r="AF940" s="8"/>
      <c r="AG940" s="8"/>
      <c r="AH940" s="8"/>
      <c r="AI940" s="8"/>
    </row>
    <row r="941" spans="2:35" s="3" customFormat="1" x14ac:dyDescent="0.25">
      <c r="B941" s="4" t="e">
        <f>IF(AE941=0,"",1+(MAX(B$7:B940)))</f>
        <v>#REF!</v>
      </c>
      <c r="C941" s="51"/>
      <c r="D941" s="52"/>
      <c r="E941" s="53"/>
      <c r="F941" s="2"/>
      <c r="G941" s="2"/>
      <c r="H941" s="2"/>
      <c r="I941" s="2"/>
      <c r="J941" s="2"/>
      <c r="K941" s="2"/>
      <c r="L941" s="2"/>
      <c r="M941" s="2"/>
      <c r="N941" s="2"/>
      <c r="O941" s="7">
        <f t="shared" si="50"/>
        <v>0</v>
      </c>
      <c r="P941" s="2"/>
      <c r="Q941" s="2"/>
      <c r="R941" s="2"/>
      <c r="S941" s="2"/>
      <c r="T941" s="2"/>
      <c r="U941" s="2"/>
      <c r="V941" s="2"/>
      <c r="W941" s="2"/>
      <c r="X941" s="2"/>
      <c r="Y941" s="2"/>
      <c r="Z941" s="2"/>
      <c r="AA941" s="7">
        <f t="shared" si="51"/>
        <v>0</v>
      </c>
      <c r="AB941" s="7">
        <f t="shared" si="52"/>
        <v>0</v>
      </c>
      <c r="AC941" s="9"/>
      <c r="AD941" s="9"/>
      <c r="AE941" s="9" t="e">
        <f>IF(#REF!=#REF!,1,0)</f>
        <v>#REF!</v>
      </c>
      <c r="AF941" s="8"/>
      <c r="AG941" s="8"/>
      <c r="AH941" s="8"/>
      <c r="AI941" s="8"/>
    </row>
    <row r="942" spans="2:35" s="3" customFormat="1" x14ac:dyDescent="0.25">
      <c r="B942" s="4" t="e">
        <f>IF(AE942=0,"",1+(MAX(B$7:B941)))</f>
        <v>#REF!</v>
      </c>
      <c r="C942" s="51"/>
      <c r="D942" s="52"/>
      <c r="E942" s="53"/>
      <c r="F942" s="2"/>
      <c r="G942" s="2"/>
      <c r="H942" s="2"/>
      <c r="I942" s="2"/>
      <c r="J942" s="2"/>
      <c r="K942" s="2"/>
      <c r="L942" s="2"/>
      <c r="M942" s="2"/>
      <c r="N942" s="2"/>
      <c r="O942" s="7">
        <f t="shared" si="50"/>
        <v>0</v>
      </c>
      <c r="P942" s="2"/>
      <c r="Q942" s="2"/>
      <c r="R942" s="2"/>
      <c r="S942" s="2"/>
      <c r="T942" s="2"/>
      <c r="U942" s="2"/>
      <c r="V942" s="2"/>
      <c r="W942" s="2"/>
      <c r="X942" s="2"/>
      <c r="Y942" s="2"/>
      <c r="Z942" s="2"/>
      <c r="AA942" s="7">
        <f t="shared" si="51"/>
        <v>0</v>
      </c>
      <c r="AB942" s="7">
        <f t="shared" si="52"/>
        <v>0</v>
      </c>
      <c r="AC942" s="9"/>
      <c r="AD942" s="9"/>
      <c r="AE942" s="9" t="e">
        <f>IF(#REF!=#REF!,1,0)</f>
        <v>#REF!</v>
      </c>
      <c r="AF942" s="8"/>
      <c r="AG942" s="8"/>
      <c r="AH942" s="8"/>
      <c r="AI942" s="8"/>
    </row>
    <row r="943" spans="2:35" s="3" customFormat="1" x14ac:dyDescent="0.25">
      <c r="B943" s="4" t="e">
        <f>IF(AE943=0,"",1+(MAX(B$7:B942)))</f>
        <v>#REF!</v>
      </c>
      <c r="C943" s="51"/>
      <c r="D943" s="52"/>
      <c r="E943" s="53"/>
      <c r="F943" s="2"/>
      <c r="G943" s="2"/>
      <c r="H943" s="2"/>
      <c r="I943" s="2"/>
      <c r="J943" s="2"/>
      <c r="K943" s="2"/>
      <c r="L943" s="2"/>
      <c r="M943" s="2"/>
      <c r="N943" s="2"/>
      <c r="O943" s="7">
        <f t="shared" si="50"/>
        <v>0</v>
      </c>
      <c r="P943" s="2"/>
      <c r="Q943" s="2"/>
      <c r="R943" s="2"/>
      <c r="S943" s="2"/>
      <c r="T943" s="2"/>
      <c r="U943" s="2"/>
      <c r="V943" s="2"/>
      <c r="W943" s="2"/>
      <c r="X943" s="2"/>
      <c r="Y943" s="2"/>
      <c r="Z943" s="2"/>
      <c r="AA943" s="7">
        <f t="shared" si="51"/>
        <v>0</v>
      </c>
      <c r="AB943" s="7">
        <f t="shared" si="52"/>
        <v>0</v>
      </c>
      <c r="AC943" s="9"/>
      <c r="AD943" s="9"/>
      <c r="AE943" s="9" t="e">
        <f>IF(#REF!=#REF!,1,0)</f>
        <v>#REF!</v>
      </c>
      <c r="AF943" s="8"/>
      <c r="AG943" s="8"/>
      <c r="AH943" s="8"/>
      <c r="AI943" s="8"/>
    </row>
    <row r="944" spans="2:35" s="3" customFormat="1" x14ac:dyDescent="0.25">
      <c r="B944" s="4" t="e">
        <f>IF(AE944=0,"",1+(MAX(B$7:B943)))</f>
        <v>#REF!</v>
      </c>
      <c r="C944" s="51"/>
      <c r="D944" s="52"/>
      <c r="E944" s="53"/>
      <c r="F944" s="2"/>
      <c r="G944" s="2"/>
      <c r="H944" s="2"/>
      <c r="I944" s="2"/>
      <c r="J944" s="2"/>
      <c r="K944" s="2"/>
      <c r="L944" s="2"/>
      <c r="M944" s="2"/>
      <c r="N944" s="2"/>
      <c r="O944" s="7">
        <f t="shared" si="50"/>
        <v>0</v>
      </c>
      <c r="P944" s="2"/>
      <c r="Q944" s="2"/>
      <c r="R944" s="2"/>
      <c r="S944" s="2"/>
      <c r="T944" s="2"/>
      <c r="U944" s="2"/>
      <c r="V944" s="2"/>
      <c r="W944" s="2"/>
      <c r="X944" s="2"/>
      <c r="Y944" s="2"/>
      <c r="Z944" s="2"/>
      <c r="AA944" s="7">
        <f t="shared" si="51"/>
        <v>0</v>
      </c>
      <c r="AB944" s="7">
        <f t="shared" si="52"/>
        <v>0</v>
      </c>
      <c r="AC944" s="9"/>
      <c r="AD944" s="9"/>
      <c r="AE944" s="9" t="e">
        <f>IF(#REF!=#REF!,1,0)</f>
        <v>#REF!</v>
      </c>
      <c r="AF944" s="8"/>
      <c r="AG944" s="8"/>
      <c r="AH944" s="8"/>
      <c r="AI944" s="8"/>
    </row>
    <row r="945" spans="2:35" s="3" customFormat="1" x14ac:dyDescent="0.25">
      <c r="B945" s="4" t="e">
        <f>IF(AE945=0,"",1+(MAX(B$7:B944)))</f>
        <v>#REF!</v>
      </c>
      <c r="C945" s="51"/>
      <c r="D945" s="52"/>
      <c r="E945" s="53"/>
      <c r="F945" s="2"/>
      <c r="G945" s="2"/>
      <c r="H945" s="2"/>
      <c r="I945" s="2"/>
      <c r="J945" s="2"/>
      <c r="K945" s="2"/>
      <c r="L945" s="2"/>
      <c r="M945" s="2"/>
      <c r="N945" s="2"/>
      <c r="O945" s="7">
        <f t="shared" si="50"/>
        <v>0</v>
      </c>
      <c r="P945" s="2"/>
      <c r="Q945" s="2"/>
      <c r="R945" s="2"/>
      <c r="S945" s="2"/>
      <c r="T945" s="2"/>
      <c r="U945" s="2"/>
      <c r="V945" s="2"/>
      <c r="W945" s="2"/>
      <c r="X945" s="2"/>
      <c r="Y945" s="2"/>
      <c r="Z945" s="2"/>
      <c r="AA945" s="7">
        <f t="shared" si="51"/>
        <v>0</v>
      </c>
      <c r="AB945" s="7">
        <f t="shared" si="52"/>
        <v>0</v>
      </c>
      <c r="AC945" s="9"/>
      <c r="AD945" s="9"/>
      <c r="AE945" s="9" t="e">
        <f>IF(#REF!=#REF!,1,0)</f>
        <v>#REF!</v>
      </c>
      <c r="AF945" s="8"/>
      <c r="AG945" s="8"/>
      <c r="AH945" s="8"/>
      <c r="AI945" s="8"/>
    </row>
    <row r="946" spans="2:35" s="3" customFormat="1" x14ac:dyDescent="0.25">
      <c r="B946" s="4" t="e">
        <f>IF(AE946=0,"",1+(MAX(B$7:B945)))</f>
        <v>#REF!</v>
      </c>
      <c r="C946" s="51"/>
      <c r="D946" s="52"/>
      <c r="E946" s="53"/>
      <c r="F946" s="2"/>
      <c r="G946" s="2"/>
      <c r="H946" s="2"/>
      <c r="I946" s="2"/>
      <c r="J946" s="2"/>
      <c r="K946" s="2"/>
      <c r="L946" s="2"/>
      <c r="M946" s="2"/>
      <c r="N946" s="2"/>
      <c r="O946" s="7">
        <f t="shared" si="50"/>
        <v>0</v>
      </c>
      <c r="P946" s="2"/>
      <c r="Q946" s="2"/>
      <c r="R946" s="2"/>
      <c r="S946" s="2"/>
      <c r="T946" s="2"/>
      <c r="U946" s="2"/>
      <c r="V946" s="2"/>
      <c r="W946" s="2"/>
      <c r="X946" s="2"/>
      <c r="Y946" s="2"/>
      <c r="Z946" s="2"/>
      <c r="AA946" s="7">
        <f t="shared" si="51"/>
        <v>0</v>
      </c>
      <c r="AB946" s="7">
        <f t="shared" si="52"/>
        <v>0</v>
      </c>
      <c r="AC946" s="9"/>
      <c r="AD946" s="9"/>
      <c r="AE946" s="9" t="e">
        <f>IF(#REF!=#REF!,1,0)</f>
        <v>#REF!</v>
      </c>
      <c r="AF946" s="8"/>
      <c r="AG946" s="8"/>
      <c r="AH946" s="8"/>
      <c r="AI946" s="8"/>
    </row>
    <row r="947" spans="2:35" s="3" customFormat="1" x14ac:dyDescent="0.25">
      <c r="B947" s="4" t="e">
        <f>IF(AE947=0,"",1+(MAX(B$7:B946)))</f>
        <v>#REF!</v>
      </c>
      <c r="C947" s="51"/>
      <c r="D947" s="52"/>
      <c r="E947" s="53"/>
      <c r="F947" s="2"/>
      <c r="G947" s="2"/>
      <c r="H947" s="2"/>
      <c r="I947" s="2"/>
      <c r="J947" s="2"/>
      <c r="K947" s="2"/>
      <c r="L947" s="2"/>
      <c r="M947" s="2"/>
      <c r="N947" s="2"/>
      <c r="O947" s="7">
        <f t="shared" si="50"/>
        <v>0</v>
      </c>
      <c r="P947" s="2"/>
      <c r="Q947" s="2"/>
      <c r="R947" s="2"/>
      <c r="S947" s="2"/>
      <c r="T947" s="2"/>
      <c r="U947" s="2"/>
      <c r="V947" s="2"/>
      <c r="W947" s="2"/>
      <c r="X947" s="2"/>
      <c r="Y947" s="2"/>
      <c r="Z947" s="2"/>
      <c r="AA947" s="7">
        <f t="shared" si="51"/>
        <v>0</v>
      </c>
      <c r="AB947" s="7">
        <f t="shared" si="52"/>
        <v>0</v>
      </c>
      <c r="AC947" s="9"/>
      <c r="AD947" s="9"/>
      <c r="AE947" s="9" t="e">
        <f>IF(#REF!=#REF!,1,0)</f>
        <v>#REF!</v>
      </c>
      <c r="AF947" s="8"/>
      <c r="AG947" s="8"/>
      <c r="AH947" s="8"/>
      <c r="AI947" s="8"/>
    </row>
    <row r="948" spans="2:35" s="3" customFormat="1" x14ac:dyDescent="0.25">
      <c r="B948" s="4" t="e">
        <f>IF(AE948=0,"",1+(MAX(B$7:B947)))</f>
        <v>#REF!</v>
      </c>
      <c r="C948" s="51"/>
      <c r="D948" s="52"/>
      <c r="E948" s="53"/>
      <c r="F948" s="2"/>
      <c r="G948" s="2"/>
      <c r="H948" s="2"/>
      <c r="I948" s="2"/>
      <c r="J948" s="2"/>
      <c r="K948" s="2"/>
      <c r="L948" s="2"/>
      <c r="M948" s="2"/>
      <c r="N948" s="2"/>
      <c r="O948" s="7">
        <f t="shared" si="50"/>
        <v>0</v>
      </c>
      <c r="P948" s="2"/>
      <c r="Q948" s="2"/>
      <c r="R948" s="2"/>
      <c r="S948" s="2"/>
      <c r="T948" s="2"/>
      <c r="U948" s="2"/>
      <c r="V948" s="2"/>
      <c r="W948" s="2"/>
      <c r="X948" s="2"/>
      <c r="Y948" s="2"/>
      <c r="Z948" s="2"/>
      <c r="AA948" s="7">
        <f t="shared" si="51"/>
        <v>0</v>
      </c>
      <c r="AB948" s="7">
        <f t="shared" si="52"/>
        <v>0</v>
      </c>
      <c r="AC948" s="9"/>
      <c r="AD948" s="9"/>
      <c r="AE948" s="9" t="e">
        <f>IF(#REF!=#REF!,1,0)</f>
        <v>#REF!</v>
      </c>
      <c r="AF948" s="8"/>
      <c r="AG948" s="8"/>
      <c r="AH948" s="8"/>
      <c r="AI948" s="8"/>
    </row>
    <row r="949" spans="2:35" s="3" customFormat="1" x14ac:dyDescent="0.25">
      <c r="B949" s="4" t="e">
        <f>IF(AE949=0,"",1+(MAX(B$7:B948)))</f>
        <v>#REF!</v>
      </c>
      <c r="C949" s="51"/>
      <c r="D949" s="52"/>
      <c r="E949" s="53"/>
      <c r="F949" s="2"/>
      <c r="G949" s="2"/>
      <c r="H949" s="2"/>
      <c r="I949" s="2"/>
      <c r="J949" s="2"/>
      <c r="K949" s="2"/>
      <c r="L949" s="2"/>
      <c r="M949" s="2"/>
      <c r="N949" s="2"/>
      <c r="O949" s="7">
        <f t="shared" si="50"/>
        <v>0</v>
      </c>
      <c r="P949" s="2"/>
      <c r="Q949" s="2"/>
      <c r="R949" s="2"/>
      <c r="S949" s="2"/>
      <c r="T949" s="2"/>
      <c r="U949" s="2"/>
      <c r="V949" s="2"/>
      <c r="W949" s="2"/>
      <c r="X949" s="2"/>
      <c r="Y949" s="2"/>
      <c r="Z949" s="2"/>
      <c r="AA949" s="7">
        <f t="shared" si="51"/>
        <v>0</v>
      </c>
      <c r="AB949" s="7">
        <f t="shared" si="52"/>
        <v>0</v>
      </c>
      <c r="AC949" s="9"/>
      <c r="AD949" s="9"/>
      <c r="AE949" s="9" t="e">
        <f>IF(#REF!=#REF!,1,0)</f>
        <v>#REF!</v>
      </c>
      <c r="AF949" s="8"/>
      <c r="AG949" s="8"/>
      <c r="AH949" s="8"/>
      <c r="AI949" s="8"/>
    </row>
    <row r="950" spans="2:35" s="3" customFormat="1" x14ac:dyDescent="0.25">
      <c r="B950" s="4" t="e">
        <f>IF(AE950=0,"",1+(MAX(B$7:B949)))</f>
        <v>#REF!</v>
      </c>
      <c r="C950" s="51"/>
      <c r="D950" s="52"/>
      <c r="E950" s="53"/>
      <c r="F950" s="2"/>
      <c r="G950" s="2"/>
      <c r="H950" s="2"/>
      <c r="I950" s="2"/>
      <c r="J950" s="2"/>
      <c r="K950" s="2"/>
      <c r="L950" s="2"/>
      <c r="M950" s="2"/>
      <c r="N950" s="2"/>
      <c r="O950" s="7">
        <f t="shared" si="50"/>
        <v>0</v>
      </c>
      <c r="P950" s="2"/>
      <c r="Q950" s="2"/>
      <c r="R950" s="2"/>
      <c r="S950" s="2"/>
      <c r="T950" s="2"/>
      <c r="U950" s="2"/>
      <c r="V950" s="2"/>
      <c r="W950" s="2"/>
      <c r="X950" s="2"/>
      <c r="Y950" s="2"/>
      <c r="Z950" s="2"/>
      <c r="AA950" s="7">
        <f t="shared" si="51"/>
        <v>0</v>
      </c>
      <c r="AB950" s="7">
        <f t="shared" si="52"/>
        <v>0</v>
      </c>
      <c r="AC950" s="9"/>
      <c r="AD950" s="9"/>
      <c r="AE950" s="9" t="e">
        <f>IF(#REF!=#REF!,1,0)</f>
        <v>#REF!</v>
      </c>
      <c r="AF950" s="8"/>
      <c r="AG950" s="8"/>
      <c r="AH950" s="8"/>
      <c r="AI950" s="8"/>
    </row>
    <row r="951" spans="2:35" s="3" customFormat="1" x14ac:dyDescent="0.25">
      <c r="B951" s="4" t="e">
        <f>IF(AE951=0,"",1+(MAX(B$7:B950)))</f>
        <v>#REF!</v>
      </c>
      <c r="C951" s="51"/>
      <c r="D951" s="52"/>
      <c r="E951" s="53"/>
      <c r="F951" s="2"/>
      <c r="G951" s="2"/>
      <c r="H951" s="2"/>
      <c r="I951" s="2"/>
      <c r="J951" s="2"/>
      <c r="K951" s="2"/>
      <c r="L951" s="2"/>
      <c r="M951" s="2"/>
      <c r="N951" s="2"/>
      <c r="O951" s="7">
        <f t="shared" si="50"/>
        <v>0</v>
      </c>
      <c r="P951" s="2"/>
      <c r="Q951" s="2"/>
      <c r="R951" s="2"/>
      <c r="S951" s="2"/>
      <c r="T951" s="2"/>
      <c r="U951" s="2"/>
      <c r="V951" s="2"/>
      <c r="W951" s="2"/>
      <c r="X951" s="2"/>
      <c r="Y951" s="2"/>
      <c r="Z951" s="2"/>
      <c r="AA951" s="7">
        <f t="shared" si="51"/>
        <v>0</v>
      </c>
      <c r="AB951" s="7">
        <f t="shared" si="52"/>
        <v>0</v>
      </c>
      <c r="AC951" s="9"/>
      <c r="AD951" s="9"/>
      <c r="AE951" s="9" t="e">
        <f>IF(#REF!=#REF!,1,0)</f>
        <v>#REF!</v>
      </c>
      <c r="AF951" s="8"/>
      <c r="AG951" s="8"/>
      <c r="AH951" s="8"/>
      <c r="AI951" s="8"/>
    </row>
    <row r="952" spans="2:35" s="3" customFormat="1" x14ac:dyDescent="0.25">
      <c r="B952" s="4" t="e">
        <f>IF(AE952=0,"",1+(MAX(B$7:B951)))</f>
        <v>#REF!</v>
      </c>
      <c r="C952" s="51"/>
      <c r="D952" s="52"/>
      <c r="E952" s="53"/>
      <c r="F952" s="2"/>
      <c r="G952" s="2"/>
      <c r="H952" s="2"/>
      <c r="I952" s="2"/>
      <c r="J952" s="2"/>
      <c r="K952" s="2"/>
      <c r="L952" s="2"/>
      <c r="M952" s="2"/>
      <c r="N952" s="2"/>
      <c r="O952" s="7">
        <f t="shared" si="50"/>
        <v>0</v>
      </c>
      <c r="P952" s="2"/>
      <c r="Q952" s="2"/>
      <c r="R952" s="2"/>
      <c r="S952" s="2"/>
      <c r="T952" s="2"/>
      <c r="U952" s="2"/>
      <c r="V952" s="2"/>
      <c r="W952" s="2"/>
      <c r="X952" s="2"/>
      <c r="Y952" s="2"/>
      <c r="Z952" s="2"/>
      <c r="AA952" s="7">
        <f t="shared" si="51"/>
        <v>0</v>
      </c>
      <c r="AB952" s="7">
        <f t="shared" si="52"/>
        <v>0</v>
      </c>
      <c r="AC952" s="9"/>
      <c r="AD952" s="9"/>
      <c r="AE952" s="9" t="e">
        <f>IF(#REF!=#REF!,1,0)</f>
        <v>#REF!</v>
      </c>
      <c r="AF952" s="8"/>
      <c r="AG952" s="8"/>
      <c r="AH952" s="8"/>
      <c r="AI952" s="8"/>
    </row>
    <row r="953" spans="2:35" s="3" customFormat="1" x14ac:dyDescent="0.25">
      <c r="B953" s="4" t="e">
        <f>IF(AE953=0,"",1+(MAX(B$7:B952)))</f>
        <v>#REF!</v>
      </c>
      <c r="C953" s="51"/>
      <c r="D953" s="52"/>
      <c r="E953" s="53"/>
      <c r="F953" s="2"/>
      <c r="G953" s="2"/>
      <c r="H953" s="2"/>
      <c r="I953" s="2"/>
      <c r="J953" s="2"/>
      <c r="K953" s="2"/>
      <c r="L953" s="2"/>
      <c r="M953" s="2"/>
      <c r="N953" s="2"/>
      <c r="O953" s="7">
        <f t="shared" si="50"/>
        <v>0</v>
      </c>
      <c r="P953" s="2"/>
      <c r="Q953" s="2"/>
      <c r="R953" s="2"/>
      <c r="S953" s="2"/>
      <c r="T953" s="2"/>
      <c r="U953" s="2"/>
      <c r="V953" s="2"/>
      <c r="W953" s="2"/>
      <c r="X953" s="2"/>
      <c r="Y953" s="2"/>
      <c r="Z953" s="2"/>
      <c r="AA953" s="7">
        <f t="shared" si="51"/>
        <v>0</v>
      </c>
      <c r="AB953" s="7">
        <f t="shared" si="52"/>
        <v>0</v>
      </c>
      <c r="AC953" s="9"/>
      <c r="AD953" s="9"/>
      <c r="AE953" s="9" t="e">
        <f>IF(#REF!=#REF!,1,0)</f>
        <v>#REF!</v>
      </c>
      <c r="AF953" s="8"/>
      <c r="AG953" s="8"/>
      <c r="AH953" s="8"/>
      <c r="AI953" s="8"/>
    </row>
    <row r="954" spans="2:35" s="3" customFormat="1" x14ac:dyDescent="0.25">
      <c r="B954" s="4" t="e">
        <f>IF(AE954=0,"",1+(MAX(B$7:B953)))</f>
        <v>#REF!</v>
      </c>
      <c r="C954" s="51"/>
      <c r="D954" s="52"/>
      <c r="E954" s="53"/>
      <c r="F954" s="2"/>
      <c r="G954" s="2"/>
      <c r="H954" s="2"/>
      <c r="I954" s="2"/>
      <c r="J954" s="2"/>
      <c r="K954" s="2"/>
      <c r="L954" s="2"/>
      <c r="M954" s="2"/>
      <c r="N954" s="2"/>
      <c r="O954" s="7">
        <f t="shared" si="50"/>
        <v>0</v>
      </c>
      <c r="P954" s="2"/>
      <c r="Q954" s="2"/>
      <c r="R954" s="2"/>
      <c r="S954" s="2"/>
      <c r="T954" s="2"/>
      <c r="U954" s="2"/>
      <c r="V954" s="2"/>
      <c r="W954" s="2"/>
      <c r="X954" s="2"/>
      <c r="Y954" s="2"/>
      <c r="Z954" s="2"/>
      <c r="AA954" s="7">
        <f t="shared" si="51"/>
        <v>0</v>
      </c>
      <c r="AB954" s="7">
        <f t="shared" si="52"/>
        <v>0</v>
      </c>
      <c r="AC954" s="9"/>
      <c r="AD954" s="9"/>
      <c r="AE954" s="9" t="e">
        <f>IF(#REF!=#REF!,1,0)</f>
        <v>#REF!</v>
      </c>
      <c r="AF954" s="8"/>
      <c r="AG954" s="8"/>
      <c r="AH954" s="8"/>
      <c r="AI954" s="8"/>
    </row>
    <row r="955" spans="2:35" s="3" customFormat="1" x14ac:dyDescent="0.25">
      <c r="B955" s="4" t="e">
        <f>IF(AE955=0,"",1+(MAX(B$7:B954)))</f>
        <v>#REF!</v>
      </c>
      <c r="C955" s="51"/>
      <c r="D955" s="52"/>
      <c r="E955" s="53"/>
      <c r="F955" s="2"/>
      <c r="G955" s="2"/>
      <c r="H955" s="2"/>
      <c r="I955" s="2"/>
      <c r="J955" s="2"/>
      <c r="K955" s="2"/>
      <c r="L955" s="2"/>
      <c r="M955" s="2"/>
      <c r="N955" s="2"/>
      <c r="O955" s="7">
        <f t="shared" si="50"/>
        <v>0</v>
      </c>
      <c r="P955" s="2"/>
      <c r="Q955" s="2"/>
      <c r="R955" s="2"/>
      <c r="S955" s="2"/>
      <c r="T955" s="2"/>
      <c r="U955" s="2"/>
      <c r="V955" s="2"/>
      <c r="W955" s="2"/>
      <c r="X955" s="2"/>
      <c r="Y955" s="2"/>
      <c r="Z955" s="2"/>
      <c r="AA955" s="7">
        <f t="shared" si="51"/>
        <v>0</v>
      </c>
      <c r="AB955" s="7">
        <f t="shared" si="52"/>
        <v>0</v>
      </c>
      <c r="AC955" s="9"/>
      <c r="AD955" s="9"/>
      <c r="AE955" s="9" t="e">
        <f>IF(#REF!=#REF!,1,0)</f>
        <v>#REF!</v>
      </c>
      <c r="AF955" s="8"/>
      <c r="AG955" s="8"/>
      <c r="AH955" s="8"/>
      <c r="AI955" s="8"/>
    </row>
    <row r="956" spans="2:35" s="3" customFormat="1" x14ac:dyDescent="0.25">
      <c r="B956" s="4" t="e">
        <f>IF(AE956=0,"",1+(MAX(B$7:B955)))</f>
        <v>#REF!</v>
      </c>
      <c r="C956" s="51"/>
      <c r="D956" s="52"/>
      <c r="E956" s="53"/>
      <c r="F956" s="2"/>
      <c r="G956" s="2"/>
      <c r="H956" s="2"/>
      <c r="I956" s="2"/>
      <c r="J956" s="2"/>
      <c r="K956" s="2"/>
      <c r="L956" s="2"/>
      <c r="M956" s="2"/>
      <c r="N956" s="2"/>
      <c r="O956" s="7">
        <f t="shared" si="50"/>
        <v>0</v>
      </c>
      <c r="P956" s="2"/>
      <c r="Q956" s="2"/>
      <c r="R956" s="2"/>
      <c r="S956" s="2"/>
      <c r="T956" s="2"/>
      <c r="U956" s="2"/>
      <c r="V956" s="2"/>
      <c r="W956" s="2"/>
      <c r="X956" s="2"/>
      <c r="Y956" s="2"/>
      <c r="Z956" s="2"/>
      <c r="AA956" s="7">
        <f t="shared" si="51"/>
        <v>0</v>
      </c>
      <c r="AB956" s="7">
        <f t="shared" si="52"/>
        <v>0</v>
      </c>
      <c r="AC956" s="9"/>
      <c r="AD956" s="9"/>
      <c r="AE956" s="9" t="e">
        <f>IF(#REF!=#REF!,1,0)</f>
        <v>#REF!</v>
      </c>
      <c r="AF956" s="8"/>
      <c r="AG956" s="8"/>
      <c r="AH956" s="8"/>
      <c r="AI956" s="8"/>
    </row>
    <row r="957" spans="2:35" s="3" customFormat="1" x14ac:dyDescent="0.25">
      <c r="B957" s="4" t="e">
        <f>IF(AE957=0,"",1+(MAX(B$7:B956)))</f>
        <v>#REF!</v>
      </c>
      <c r="C957" s="51"/>
      <c r="D957" s="52"/>
      <c r="E957" s="53"/>
      <c r="F957" s="2"/>
      <c r="G957" s="2"/>
      <c r="H957" s="2"/>
      <c r="I957" s="2"/>
      <c r="J957" s="2"/>
      <c r="K957" s="2"/>
      <c r="L957" s="2"/>
      <c r="M957" s="2"/>
      <c r="N957" s="2"/>
      <c r="O957" s="7">
        <f t="shared" si="50"/>
        <v>0</v>
      </c>
      <c r="P957" s="2"/>
      <c r="Q957" s="2"/>
      <c r="R957" s="2"/>
      <c r="S957" s="2"/>
      <c r="T957" s="2"/>
      <c r="U957" s="2"/>
      <c r="V957" s="2"/>
      <c r="W957" s="2"/>
      <c r="X957" s="2"/>
      <c r="Y957" s="2"/>
      <c r="Z957" s="2"/>
      <c r="AA957" s="7">
        <f t="shared" si="51"/>
        <v>0</v>
      </c>
      <c r="AB957" s="7">
        <f t="shared" si="52"/>
        <v>0</v>
      </c>
      <c r="AC957" s="9"/>
      <c r="AD957" s="9"/>
      <c r="AE957" s="9" t="e">
        <f>IF(#REF!=#REF!,1,0)</f>
        <v>#REF!</v>
      </c>
      <c r="AF957" s="8"/>
      <c r="AG957" s="8"/>
      <c r="AH957" s="8"/>
      <c r="AI957" s="8"/>
    </row>
    <row r="958" spans="2:35" s="3" customFormat="1" x14ac:dyDescent="0.25">
      <c r="B958" s="4" t="e">
        <f>IF(AE958=0,"",1+(MAX(B$7:B957)))</f>
        <v>#REF!</v>
      </c>
      <c r="C958" s="51"/>
      <c r="D958" s="52"/>
      <c r="E958" s="53"/>
      <c r="F958" s="2"/>
      <c r="G958" s="2"/>
      <c r="H958" s="2"/>
      <c r="I958" s="2"/>
      <c r="J958" s="2"/>
      <c r="K958" s="2"/>
      <c r="L958" s="2"/>
      <c r="M958" s="2"/>
      <c r="N958" s="2"/>
      <c r="O958" s="7">
        <f t="shared" si="50"/>
        <v>0</v>
      </c>
      <c r="P958" s="2"/>
      <c r="Q958" s="2"/>
      <c r="R958" s="2"/>
      <c r="S958" s="2"/>
      <c r="T958" s="2"/>
      <c r="U958" s="2"/>
      <c r="V958" s="2"/>
      <c r="W958" s="2"/>
      <c r="X958" s="2"/>
      <c r="Y958" s="2"/>
      <c r="Z958" s="2"/>
      <c r="AA958" s="7">
        <f t="shared" si="51"/>
        <v>0</v>
      </c>
      <c r="AB958" s="7">
        <f t="shared" si="52"/>
        <v>0</v>
      </c>
      <c r="AC958" s="9"/>
      <c r="AD958" s="9"/>
      <c r="AE958" s="9" t="e">
        <f>IF(#REF!=#REF!,1,0)</f>
        <v>#REF!</v>
      </c>
      <c r="AF958" s="8"/>
      <c r="AG958" s="8"/>
      <c r="AH958" s="8"/>
      <c r="AI958" s="8"/>
    </row>
    <row r="959" spans="2:35" s="3" customFormat="1" x14ac:dyDescent="0.25">
      <c r="B959" s="4" t="e">
        <f>IF(AE959=0,"",1+(MAX(B$7:B958)))</f>
        <v>#REF!</v>
      </c>
      <c r="C959" s="51"/>
      <c r="D959" s="52"/>
      <c r="E959" s="53"/>
      <c r="F959" s="2"/>
      <c r="G959" s="2"/>
      <c r="H959" s="2"/>
      <c r="I959" s="2"/>
      <c r="J959" s="2"/>
      <c r="K959" s="2"/>
      <c r="L959" s="2"/>
      <c r="M959" s="2"/>
      <c r="N959" s="2"/>
      <c r="O959" s="7">
        <f t="shared" si="50"/>
        <v>0</v>
      </c>
      <c r="P959" s="2"/>
      <c r="Q959" s="2"/>
      <c r="R959" s="2"/>
      <c r="S959" s="2"/>
      <c r="T959" s="2"/>
      <c r="U959" s="2"/>
      <c r="V959" s="2"/>
      <c r="W959" s="2"/>
      <c r="X959" s="2"/>
      <c r="Y959" s="2"/>
      <c r="Z959" s="2"/>
      <c r="AA959" s="7">
        <f t="shared" si="51"/>
        <v>0</v>
      </c>
      <c r="AB959" s="7">
        <f t="shared" si="52"/>
        <v>0</v>
      </c>
      <c r="AC959" s="9"/>
      <c r="AD959" s="9"/>
      <c r="AE959" s="9" t="e">
        <f>IF(#REF!=#REF!,1,0)</f>
        <v>#REF!</v>
      </c>
      <c r="AF959" s="8"/>
      <c r="AG959" s="8"/>
      <c r="AH959" s="8"/>
      <c r="AI959" s="8"/>
    </row>
    <row r="960" spans="2:35" s="3" customFormat="1" x14ac:dyDescent="0.25">
      <c r="B960" s="4" t="e">
        <f>IF(AE960=0,"",1+(MAX(B$7:B959)))</f>
        <v>#REF!</v>
      </c>
      <c r="C960" s="51"/>
      <c r="D960" s="52"/>
      <c r="E960" s="53"/>
      <c r="F960" s="2"/>
      <c r="G960" s="2"/>
      <c r="H960" s="2"/>
      <c r="I960" s="2"/>
      <c r="J960" s="2"/>
      <c r="K960" s="2"/>
      <c r="L960" s="2"/>
      <c r="M960" s="2"/>
      <c r="N960" s="2"/>
      <c r="O960" s="7">
        <f t="shared" si="50"/>
        <v>0</v>
      </c>
      <c r="P960" s="2"/>
      <c r="Q960" s="2"/>
      <c r="R960" s="2"/>
      <c r="S960" s="2"/>
      <c r="T960" s="2"/>
      <c r="U960" s="2"/>
      <c r="V960" s="2"/>
      <c r="W960" s="2"/>
      <c r="X960" s="2"/>
      <c r="Y960" s="2"/>
      <c r="Z960" s="2"/>
      <c r="AA960" s="7">
        <f t="shared" si="51"/>
        <v>0</v>
      </c>
      <c r="AB960" s="7">
        <f t="shared" si="52"/>
        <v>0</v>
      </c>
      <c r="AC960" s="9"/>
      <c r="AD960" s="9"/>
      <c r="AE960" s="9" t="e">
        <f>IF(#REF!=#REF!,1,0)</f>
        <v>#REF!</v>
      </c>
      <c r="AF960" s="8"/>
      <c r="AG960" s="8"/>
      <c r="AH960" s="8"/>
      <c r="AI960" s="8"/>
    </row>
    <row r="961" spans="2:35" s="3" customFormat="1" x14ac:dyDescent="0.25">
      <c r="B961" s="4" t="e">
        <f>IF(AE961=0,"",1+(MAX(B$7:B960)))</f>
        <v>#REF!</v>
      </c>
      <c r="C961" s="51"/>
      <c r="D961" s="52"/>
      <c r="E961" s="53"/>
      <c r="F961" s="2"/>
      <c r="G961" s="2"/>
      <c r="H961" s="2"/>
      <c r="I961" s="2"/>
      <c r="J961" s="2"/>
      <c r="K961" s="2"/>
      <c r="L961" s="2"/>
      <c r="M961" s="2"/>
      <c r="N961" s="2"/>
      <c r="O961" s="7">
        <f t="shared" si="50"/>
        <v>0</v>
      </c>
      <c r="P961" s="2"/>
      <c r="Q961" s="2"/>
      <c r="R961" s="2"/>
      <c r="S961" s="2"/>
      <c r="T961" s="2"/>
      <c r="U961" s="2"/>
      <c r="V961" s="2"/>
      <c r="W961" s="2"/>
      <c r="X961" s="2"/>
      <c r="Y961" s="2"/>
      <c r="Z961" s="2"/>
      <c r="AA961" s="7">
        <f t="shared" si="51"/>
        <v>0</v>
      </c>
      <c r="AB961" s="7">
        <f t="shared" si="52"/>
        <v>0</v>
      </c>
      <c r="AC961" s="9"/>
      <c r="AD961" s="9"/>
      <c r="AE961" s="9" t="e">
        <f>IF(#REF!=#REF!,1,0)</f>
        <v>#REF!</v>
      </c>
      <c r="AF961" s="8"/>
      <c r="AG961" s="8"/>
      <c r="AH961" s="8"/>
      <c r="AI961" s="8"/>
    </row>
    <row r="962" spans="2:35" s="3" customFormat="1" x14ac:dyDescent="0.25">
      <c r="B962" s="4" t="e">
        <f>IF(AE962=0,"",1+(MAX(B$7:B961)))</f>
        <v>#REF!</v>
      </c>
      <c r="C962" s="51"/>
      <c r="D962" s="52"/>
      <c r="E962" s="53"/>
      <c r="F962" s="2"/>
      <c r="G962" s="2"/>
      <c r="H962" s="2"/>
      <c r="I962" s="2"/>
      <c r="J962" s="2"/>
      <c r="K962" s="2"/>
      <c r="L962" s="2"/>
      <c r="M962" s="2"/>
      <c r="N962" s="2"/>
      <c r="O962" s="7">
        <f t="shared" si="50"/>
        <v>0</v>
      </c>
      <c r="P962" s="2"/>
      <c r="Q962" s="2"/>
      <c r="R962" s="2"/>
      <c r="S962" s="2"/>
      <c r="T962" s="2"/>
      <c r="U962" s="2"/>
      <c r="V962" s="2"/>
      <c r="W962" s="2"/>
      <c r="X962" s="2"/>
      <c r="Y962" s="2"/>
      <c r="Z962" s="2"/>
      <c r="AA962" s="7">
        <f t="shared" si="51"/>
        <v>0</v>
      </c>
      <c r="AB962" s="7">
        <f t="shared" si="52"/>
        <v>0</v>
      </c>
      <c r="AC962" s="9"/>
      <c r="AD962" s="9"/>
      <c r="AE962" s="9" t="e">
        <f>IF(#REF!=#REF!,1,0)</f>
        <v>#REF!</v>
      </c>
      <c r="AF962" s="8"/>
      <c r="AG962" s="8"/>
      <c r="AH962" s="8"/>
      <c r="AI962" s="8"/>
    </row>
    <row r="963" spans="2:35" s="3" customFormat="1" x14ac:dyDescent="0.25">
      <c r="B963" s="4" t="e">
        <f>IF(AE963=0,"",1+(MAX(B$7:B962)))</f>
        <v>#REF!</v>
      </c>
      <c r="C963" s="51"/>
      <c r="D963" s="52"/>
      <c r="E963" s="53"/>
      <c r="F963" s="2"/>
      <c r="G963" s="2"/>
      <c r="H963" s="2"/>
      <c r="I963" s="2"/>
      <c r="J963" s="2"/>
      <c r="K963" s="2"/>
      <c r="L963" s="2"/>
      <c r="M963" s="2"/>
      <c r="N963" s="2"/>
      <c r="O963" s="7">
        <f t="shared" si="50"/>
        <v>0</v>
      </c>
      <c r="P963" s="2"/>
      <c r="Q963" s="2"/>
      <c r="R963" s="2"/>
      <c r="S963" s="2"/>
      <c r="T963" s="2"/>
      <c r="U963" s="2"/>
      <c r="V963" s="2"/>
      <c r="W963" s="2"/>
      <c r="X963" s="2"/>
      <c r="Y963" s="2"/>
      <c r="Z963" s="2"/>
      <c r="AA963" s="7">
        <f t="shared" si="51"/>
        <v>0</v>
      </c>
      <c r="AB963" s="7">
        <f t="shared" si="52"/>
        <v>0</v>
      </c>
      <c r="AC963" s="9"/>
      <c r="AD963" s="9"/>
      <c r="AE963" s="9" t="e">
        <f>IF(#REF!=#REF!,1,0)</f>
        <v>#REF!</v>
      </c>
      <c r="AF963" s="8"/>
      <c r="AG963" s="8"/>
      <c r="AH963" s="8"/>
      <c r="AI963" s="8"/>
    </row>
    <row r="964" spans="2:35" s="3" customFormat="1" x14ac:dyDescent="0.25">
      <c r="B964" s="4" t="e">
        <f>IF(AE964=0,"",1+(MAX(B$7:B963)))</f>
        <v>#REF!</v>
      </c>
      <c r="C964" s="51"/>
      <c r="D964" s="52"/>
      <c r="E964" s="53"/>
      <c r="F964" s="2"/>
      <c r="G964" s="2"/>
      <c r="H964" s="2"/>
      <c r="I964" s="2"/>
      <c r="J964" s="2"/>
      <c r="K964" s="2"/>
      <c r="L964" s="2"/>
      <c r="M964" s="2"/>
      <c r="N964" s="2"/>
      <c r="O964" s="7">
        <f t="shared" si="50"/>
        <v>0</v>
      </c>
      <c r="P964" s="2"/>
      <c r="Q964" s="2"/>
      <c r="R964" s="2"/>
      <c r="S964" s="2"/>
      <c r="T964" s="2"/>
      <c r="U964" s="2"/>
      <c r="V964" s="2"/>
      <c r="W964" s="2"/>
      <c r="X964" s="2"/>
      <c r="Y964" s="2"/>
      <c r="Z964" s="2"/>
      <c r="AA964" s="7">
        <f t="shared" si="51"/>
        <v>0</v>
      </c>
      <c r="AB964" s="7">
        <f t="shared" si="52"/>
        <v>0</v>
      </c>
      <c r="AC964" s="9"/>
      <c r="AD964" s="9"/>
      <c r="AE964" s="9" t="e">
        <f>IF(#REF!=#REF!,1,0)</f>
        <v>#REF!</v>
      </c>
      <c r="AF964" s="8"/>
      <c r="AG964" s="8"/>
      <c r="AH964" s="8"/>
      <c r="AI964" s="8"/>
    </row>
    <row r="965" spans="2:35" s="3" customFormat="1" x14ac:dyDescent="0.25">
      <c r="B965" s="4" t="e">
        <f>IF(AE965=0,"",1+(MAX(B$7:B964)))</f>
        <v>#REF!</v>
      </c>
      <c r="C965" s="51"/>
      <c r="D965" s="52"/>
      <c r="E965" s="53"/>
      <c r="F965" s="2"/>
      <c r="G965" s="2"/>
      <c r="H965" s="2"/>
      <c r="I965" s="2"/>
      <c r="J965" s="2"/>
      <c r="K965" s="2"/>
      <c r="L965" s="2"/>
      <c r="M965" s="2"/>
      <c r="N965" s="2"/>
      <c r="O965" s="7">
        <f t="shared" si="50"/>
        <v>0</v>
      </c>
      <c r="P965" s="2"/>
      <c r="Q965" s="2"/>
      <c r="R965" s="2"/>
      <c r="S965" s="2"/>
      <c r="T965" s="2"/>
      <c r="U965" s="2"/>
      <c r="V965" s="2"/>
      <c r="W965" s="2"/>
      <c r="X965" s="2"/>
      <c r="Y965" s="2"/>
      <c r="Z965" s="2"/>
      <c r="AA965" s="7">
        <f t="shared" si="51"/>
        <v>0</v>
      </c>
      <c r="AB965" s="7">
        <f t="shared" si="52"/>
        <v>0</v>
      </c>
      <c r="AC965" s="9"/>
      <c r="AD965" s="9"/>
      <c r="AE965" s="9" t="e">
        <f>IF(#REF!=#REF!,1,0)</f>
        <v>#REF!</v>
      </c>
      <c r="AF965" s="8"/>
      <c r="AG965" s="8"/>
      <c r="AH965" s="8"/>
      <c r="AI965" s="8"/>
    </row>
    <row r="966" spans="2:35" s="3" customFormat="1" x14ac:dyDescent="0.25">
      <c r="B966" s="4" t="e">
        <f>IF(AE966=0,"",1+(MAX(B$7:B965)))</f>
        <v>#REF!</v>
      </c>
      <c r="C966" s="51"/>
      <c r="D966" s="52"/>
      <c r="E966" s="53"/>
      <c r="F966" s="2"/>
      <c r="G966" s="2"/>
      <c r="H966" s="2"/>
      <c r="I966" s="2"/>
      <c r="J966" s="2"/>
      <c r="K966" s="2"/>
      <c r="L966" s="2"/>
      <c r="M966" s="2"/>
      <c r="N966" s="2"/>
      <c r="O966" s="7">
        <f t="shared" si="50"/>
        <v>0</v>
      </c>
      <c r="P966" s="2"/>
      <c r="Q966" s="2"/>
      <c r="R966" s="2"/>
      <c r="S966" s="2"/>
      <c r="T966" s="2"/>
      <c r="U966" s="2"/>
      <c r="V966" s="2"/>
      <c r="W966" s="2"/>
      <c r="X966" s="2"/>
      <c r="Y966" s="2"/>
      <c r="Z966" s="2"/>
      <c r="AA966" s="7">
        <f t="shared" si="51"/>
        <v>0</v>
      </c>
      <c r="AB966" s="7">
        <f t="shared" si="52"/>
        <v>0</v>
      </c>
      <c r="AC966" s="9"/>
      <c r="AD966" s="9"/>
      <c r="AE966" s="9" t="e">
        <f>IF(#REF!=#REF!,1,0)</f>
        <v>#REF!</v>
      </c>
      <c r="AF966" s="8"/>
      <c r="AG966" s="8"/>
      <c r="AH966" s="8"/>
      <c r="AI966" s="8"/>
    </row>
    <row r="967" spans="2:35" s="3" customFormat="1" x14ac:dyDescent="0.25">
      <c r="B967" s="4" t="e">
        <f>IF(AE967=0,"",1+(MAX(B$7:B966)))</f>
        <v>#REF!</v>
      </c>
      <c r="C967" s="51"/>
      <c r="D967" s="52"/>
      <c r="E967" s="53"/>
      <c r="F967" s="2"/>
      <c r="G967" s="2"/>
      <c r="H967" s="2"/>
      <c r="I967" s="2"/>
      <c r="J967" s="2"/>
      <c r="K967" s="2"/>
      <c r="L967" s="2"/>
      <c r="M967" s="2"/>
      <c r="N967" s="2"/>
      <c r="O967" s="7">
        <f t="shared" si="50"/>
        <v>0</v>
      </c>
      <c r="P967" s="2"/>
      <c r="Q967" s="2"/>
      <c r="R967" s="2"/>
      <c r="S967" s="2"/>
      <c r="T967" s="2"/>
      <c r="U967" s="2"/>
      <c r="V967" s="2"/>
      <c r="W967" s="2"/>
      <c r="X967" s="2"/>
      <c r="Y967" s="2"/>
      <c r="Z967" s="2"/>
      <c r="AA967" s="7">
        <f t="shared" si="51"/>
        <v>0</v>
      </c>
      <c r="AB967" s="7">
        <f t="shared" si="52"/>
        <v>0</v>
      </c>
      <c r="AC967" s="9"/>
      <c r="AD967" s="9"/>
      <c r="AE967" s="9" t="e">
        <f>IF(#REF!=#REF!,1,0)</f>
        <v>#REF!</v>
      </c>
      <c r="AF967" s="8"/>
      <c r="AG967" s="8"/>
      <c r="AH967" s="8"/>
      <c r="AI967" s="8"/>
    </row>
    <row r="968" spans="2:35" s="3" customFormat="1" x14ac:dyDescent="0.25">
      <c r="B968" s="4" t="e">
        <f>IF(AE968=0,"",1+(MAX(B$7:B967)))</f>
        <v>#REF!</v>
      </c>
      <c r="C968" s="51"/>
      <c r="D968" s="52"/>
      <c r="E968" s="53"/>
      <c r="F968" s="2"/>
      <c r="G968" s="2"/>
      <c r="H968" s="2"/>
      <c r="I968" s="2"/>
      <c r="J968" s="2"/>
      <c r="K968" s="2"/>
      <c r="L968" s="2"/>
      <c r="M968" s="2"/>
      <c r="N968" s="2"/>
      <c r="O968" s="7">
        <f t="shared" si="50"/>
        <v>0</v>
      </c>
      <c r="P968" s="2"/>
      <c r="Q968" s="2"/>
      <c r="R968" s="2"/>
      <c r="S968" s="2"/>
      <c r="T968" s="2"/>
      <c r="U968" s="2"/>
      <c r="V968" s="2"/>
      <c r="W968" s="2"/>
      <c r="X968" s="2"/>
      <c r="Y968" s="2"/>
      <c r="Z968" s="2"/>
      <c r="AA968" s="7">
        <f t="shared" si="51"/>
        <v>0</v>
      </c>
      <c r="AB968" s="7">
        <f t="shared" si="52"/>
        <v>0</v>
      </c>
      <c r="AC968" s="9"/>
      <c r="AD968" s="9"/>
      <c r="AE968" s="9" t="e">
        <f>IF(#REF!=#REF!,1,0)</f>
        <v>#REF!</v>
      </c>
      <c r="AF968" s="8"/>
      <c r="AG968" s="8"/>
      <c r="AH968" s="8"/>
      <c r="AI968" s="8"/>
    </row>
    <row r="969" spans="2:35" s="3" customFormat="1" x14ac:dyDescent="0.25">
      <c r="B969" s="4" t="e">
        <f>IF(AE969=0,"",1+(MAX(B$7:B968)))</f>
        <v>#REF!</v>
      </c>
      <c r="C969" s="51"/>
      <c r="D969" s="52"/>
      <c r="E969" s="53"/>
      <c r="F969" s="2"/>
      <c r="G969" s="2"/>
      <c r="H969" s="2"/>
      <c r="I969" s="2"/>
      <c r="J969" s="2"/>
      <c r="K969" s="2"/>
      <c r="L969" s="2"/>
      <c r="M969" s="2"/>
      <c r="N969" s="2"/>
      <c r="O969" s="7">
        <f t="shared" si="50"/>
        <v>0</v>
      </c>
      <c r="P969" s="2"/>
      <c r="Q969" s="2"/>
      <c r="R969" s="2"/>
      <c r="S969" s="2"/>
      <c r="T969" s="2"/>
      <c r="U969" s="2"/>
      <c r="V969" s="2"/>
      <c r="W969" s="2"/>
      <c r="X969" s="2"/>
      <c r="Y969" s="2"/>
      <c r="Z969" s="2"/>
      <c r="AA969" s="7">
        <f t="shared" si="51"/>
        <v>0</v>
      </c>
      <c r="AB969" s="7">
        <f t="shared" si="52"/>
        <v>0</v>
      </c>
      <c r="AC969" s="9"/>
      <c r="AD969" s="9"/>
      <c r="AE969" s="9" t="e">
        <f>IF(#REF!=#REF!,1,0)</f>
        <v>#REF!</v>
      </c>
      <c r="AF969" s="8"/>
      <c r="AG969" s="8"/>
      <c r="AH969" s="8"/>
      <c r="AI969" s="8"/>
    </row>
    <row r="970" spans="2:35" s="3" customFormat="1" x14ac:dyDescent="0.25">
      <c r="B970" s="4" t="e">
        <f>IF(AE970=0,"",1+(MAX(B$7:B969)))</f>
        <v>#REF!</v>
      </c>
      <c r="C970" s="51"/>
      <c r="D970" s="52"/>
      <c r="E970" s="53"/>
      <c r="F970" s="2"/>
      <c r="G970" s="2"/>
      <c r="H970" s="2"/>
      <c r="I970" s="2"/>
      <c r="J970" s="2"/>
      <c r="K970" s="2"/>
      <c r="L970" s="2"/>
      <c r="M970" s="2"/>
      <c r="N970" s="2"/>
      <c r="O970" s="7">
        <f t="shared" si="50"/>
        <v>0</v>
      </c>
      <c r="P970" s="2"/>
      <c r="Q970" s="2"/>
      <c r="R970" s="2"/>
      <c r="S970" s="2"/>
      <c r="T970" s="2"/>
      <c r="U970" s="2"/>
      <c r="V970" s="2"/>
      <c r="W970" s="2"/>
      <c r="X970" s="2"/>
      <c r="Y970" s="2"/>
      <c r="Z970" s="2"/>
      <c r="AA970" s="7">
        <f t="shared" si="51"/>
        <v>0</v>
      </c>
      <c r="AB970" s="7">
        <f t="shared" si="52"/>
        <v>0</v>
      </c>
      <c r="AC970" s="9"/>
      <c r="AD970" s="9"/>
      <c r="AE970" s="9" t="e">
        <f>IF(#REF!=#REF!,1,0)</f>
        <v>#REF!</v>
      </c>
      <c r="AF970" s="8"/>
      <c r="AG970" s="8"/>
      <c r="AH970" s="8"/>
      <c r="AI970" s="8"/>
    </row>
    <row r="971" spans="2:35" s="3" customFormat="1" x14ac:dyDescent="0.25">
      <c r="B971" s="4" t="e">
        <f>IF(AE971=0,"",1+(MAX(B$7:B970)))</f>
        <v>#REF!</v>
      </c>
      <c r="C971" s="51"/>
      <c r="D971" s="52"/>
      <c r="E971" s="53"/>
      <c r="F971" s="2"/>
      <c r="G971" s="2"/>
      <c r="H971" s="2"/>
      <c r="I971" s="2"/>
      <c r="J971" s="2"/>
      <c r="K971" s="2"/>
      <c r="L971" s="2"/>
      <c r="M971" s="2"/>
      <c r="N971" s="2"/>
      <c r="O971" s="7">
        <f t="shared" si="50"/>
        <v>0</v>
      </c>
      <c r="P971" s="2"/>
      <c r="Q971" s="2"/>
      <c r="R971" s="2"/>
      <c r="S971" s="2"/>
      <c r="T971" s="2"/>
      <c r="U971" s="2"/>
      <c r="V971" s="2"/>
      <c r="W971" s="2"/>
      <c r="X971" s="2"/>
      <c r="Y971" s="2"/>
      <c r="Z971" s="2"/>
      <c r="AA971" s="7">
        <f t="shared" si="51"/>
        <v>0</v>
      </c>
      <c r="AB971" s="7">
        <f t="shared" si="52"/>
        <v>0</v>
      </c>
      <c r="AC971" s="9"/>
      <c r="AD971" s="9"/>
      <c r="AE971" s="9" t="e">
        <f>IF(#REF!=#REF!,1,0)</f>
        <v>#REF!</v>
      </c>
      <c r="AF971" s="8"/>
      <c r="AG971" s="8"/>
      <c r="AH971" s="8"/>
      <c r="AI971" s="8"/>
    </row>
    <row r="972" spans="2:35" s="3" customFormat="1" x14ac:dyDescent="0.25">
      <c r="B972" s="4" t="e">
        <f>IF(AE972=0,"",1+(MAX(B$7:B971)))</f>
        <v>#REF!</v>
      </c>
      <c r="C972" s="51"/>
      <c r="D972" s="52"/>
      <c r="E972" s="53"/>
      <c r="F972" s="2"/>
      <c r="G972" s="2"/>
      <c r="H972" s="2"/>
      <c r="I972" s="2"/>
      <c r="J972" s="2"/>
      <c r="K972" s="2"/>
      <c r="L972" s="2"/>
      <c r="M972" s="2"/>
      <c r="N972" s="2"/>
      <c r="O972" s="7">
        <f t="shared" si="50"/>
        <v>0</v>
      </c>
      <c r="P972" s="2"/>
      <c r="Q972" s="2"/>
      <c r="R972" s="2"/>
      <c r="S972" s="2"/>
      <c r="T972" s="2"/>
      <c r="U972" s="2"/>
      <c r="V972" s="2"/>
      <c r="W972" s="2"/>
      <c r="X972" s="2"/>
      <c r="Y972" s="2"/>
      <c r="Z972" s="2"/>
      <c r="AA972" s="7">
        <f t="shared" si="51"/>
        <v>0</v>
      </c>
      <c r="AB972" s="7">
        <f t="shared" si="52"/>
        <v>0</v>
      </c>
      <c r="AC972" s="9"/>
      <c r="AD972" s="9"/>
      <c r="AE972" s="9" t="e">
        <f>IF(#REF!=#REF!,1,0)</f>
        <v>#REF!</v>
      </c>
      <c r="AF972" s="8"/>
      <c r="AG972" s="8"/>
      <c r="AH972" s="8"/>
      <c r="AI972" s="8"/>
    </row>
    <row r="973" spans="2:35" s="3" customFormat="1" x14ac:dyDescent="0.25">
      <c r="B973" s="4" t="e">
        <f>IF(AE973=0,"",1+(MAX(B$7:B972)))</f>
        <v>#REF!</v>
      </c>
      <c r="C973" s="51"/>
      <c r="D973" s="52"/>
      <c r="E973" s="53"/>
      <c r="F973" s="2"/>
      <c r="G973" s="2"/>
      <c r="H973" s="2"/>
      <c r="I973" s="2"/>
      <c r="J973" s="2"/>
      <c r="K973" s="2"/>
      <c r="L973" s="2"/>
      <c r="M973" s="2"/>
      <c r="N973" s="2"/>
      <c r="O973" s="7">
        <f t="shared" si="50"/>
        <v>0</v>
      </c>
      <c r="P973" s="2"/>
      <c r="Q973" s="2"/>
      <c r="R973" s="2"/>
      <c r="S973" s="2"/>
      <c r="T973" s="2"/>
      <c r="U973" s="2"/>
      <c r="V973" s="2"/>
      <c r="W973" s="2"/>
      <c r="X973" s="2"/>
      <c r="Y973" s="2"/>
      <c r="Z973" s="2"/>
      <c r="AA973" s="7">
        <f t="shared" si="51"/>
        <v>0</v>
      </c>
      <c r="AB973" s="7">
        <f t="shared" si="52"/>
        <v>0</v>
      </c>
      <c r="AC973" s="9"/>
      <c r="AD973" s="9"/>
      <c r="AE973" s="9" t="e">
        <f>IF(#REF!=#REF!,1,0)</f>
        <v>#REF!</v>
      </c>
      <c r="AF973" s="8"/>
      <c r="AG973" s="8"/>
      <c r="AH973" s="8"/>
      <c r="AI973" s="8"/>
    </row>
    <row r="974" spans="2:35" s="3" customFormat="1" x14ac:dyDescent="0.25">
      <c r="B974" s="4" t="e">
        <f>IF(AE974=0,"",1+(MAX(B$7:B973)))</f>
        <v>#REF!</v>
      </c>
      <c r="C974" s="51"/>
      <c r="D974" s="52"/>
      <c r="E974" s="53"/>
      <c r="F974" s="2"/>
      <c r="G974" s="2"/>
      <c r="H974" s="2"/>
      <c r="I974" s="2"/>
      <c r="J974" s="2"/>
      <c r="K974" s="2"/>
      <c r="L974" s="2"/>
      <c r="M974" s="2"/>
      <c r="N974" s="2"/>
      <c r="O974" s="7">
        <f t="shared" si="50"/>
        <v>0</v>
      </c>
      <c r="P974" s="2"/>
      <c r="Q974" s="2"/>
      <c r="R974" s="2"/>
      <c r="S974" s="2"/>
      <c r="T974" s="2"/>
      <c r="U974" s="2"/>
      <c r="V974" s="2"/>
      <c r="W974" s="2"/>
      <c r="X974" s="2"/>
      <c r="Y974" s="2"/>
      <c r="Z974" s="2"/>
      <c r="AA974" s="7">
        <f t="shared" si="51"/>
        <v>0</v>
      </c>
      <c r="AB974" s="7">
        <f t="shared" si="52"/>
        <v>0</v>
      </c>
      <c r="AC974" s="9"/>
      <c r="AD974" s="9"/>
      <c r="AE974" s="9" t="e">
        <f>IF(#REF!=#REF!,1,0)</f>
        <v>#REF!</v>
      </c>
      <c r="AF974" s="8"/>
      <c r="AG974" s="8"/>
      <c r="AH974" s="8"/>
      <c r="AI974" s="8"/>
    </row>
    <row r="975" spans="2:35" s="3" customFormat="1" x14ac:dyDescent="0.25">
      <c r="B975" s="4" t="e">
        <f>IF(AE975=0,"",1+(MAX(B$7:B974)))</f>
        <v>#REF!</v>
      </c>
      <c r="C975" s="51"/>
      <c r="D975" s="52"/>
      <c r="E975" s="53"/>
      <c r="F975" s="2"/>
      <c r="G975" s="2"/>
      <c r="H975" s="2"/>
      <c r="I975" s="2"/>
      <c r="J975" s="2"/>
      <c r="K975" s="2"/>
      <c r="L975" s="2"/>
      <c r="M975" s="2"/>
      <c r="N975" s="2"/>
      <c r="O975" s="7">
        <f t="shared" si="50"/>
        <v>0</v>
      </c>
      <c r="P975" s="2"/>
      <c r="Q975" s="2"/>
      <c r="R975" s="2"/>
      <c r="S975" s="2"/>
      <c r="T975" s="2"/>
      <c r="U975" s="2"/>
      <c r="V975" s="2"/>
      <c r="W975" s="2"/>
      <c r="X975" s="2"/>
      <c r="Y975" s="2"/>
      <c r="Z975" s="2"/>
      <c r="AA975" s="7">
        <f t="shared" si="51"/>
        <v>0</v>
      </c>
      <c r="AB975" s="7">
        <f t="shared" si="52"/>
        <v>0</v>
      </c>
      <c r="AC975" s="9"/>
      <c r="AD975" s="9"/>
      <c r="AE975" s="9" t="e">
        <f>IF(#REF!=#REF!,1,0)</f>
        <v>#REF!</v>
      </c>
      <c r="AF975" s="8"/>
      <c r="AG975" s="8"/>
      <c r="AH975" s="8"/>
      <c r="AI975" s="8"/>
    </row>
    <row r="976" spans="2:35" s="3" customFormat="1" x14ac:dyDescent="0.25">
      <c r="B976" s="4" t="e">
        <f>IF(AE976=0,"",1+(MAX(B$7:B975)))</f>
        <v>#REF!</v>
      </c>
      <c r="C976" s="51"/>
      <c r="D976" s="52"/>
      <c r="E976" s="53"/>
      <c r="F976" s="2"/>
      <c r="G976" s="2"/>
      <c r="H976" s="2"/>
      <c r="I976" s="2"/>
      <c r="J976" s="2"/>
      <c r="K976" s="2"/>
      <c r="L976" s="2"/>
      <c r="M976" s="2"/>
      <c r="N976" s="2"/>
      <c r="O976" s="7">
        <f t="shared" si="50"/>
        <v>0</v>
      </c>
      <c r="P976" s="2"/>
      <c r="Q976" s="2"/>
      <c r="R976" s="2"/>
      <c r="S976" s="2"/>
      <c r="T976" s="2"/>
      <c r="U976" s="2"/>
      <c r="V976" s="2"/>
      <c r="W976" s="2"/>
      <c r="X976" s="2"/>
      <c r="Y976" s="2"/>
      <c r="Z976" s="2"/>
      <c r="AA976" s="7">
        <f t="shared" si="51"/>
        <v>0</v>
      </c>
      <c r="AB976" s="7">
        <f t="shared" si="52"/>
        <v>0</v>
      </c>
      <c r="AC976" s="9"/>
      <c r="AD976" s="9"/>
      <c r="AE976" s="9" t="e">
        <f>IF(#REF!=#REF!,1,0)</f>
        <v>#REF!</v>
      </c>
      <c r="AF976" s="8"/>
      <c r="AG976" s="8"/>
      <c r="AH976" s="8"/>
      <c r="AI976" s="8"/>
    </row>
    <row r="977" spans="2:35" s="3" customFormat="1" x14ac:dyDescent="0.25">
      <c r="B977" s="4" t="e">
        <f>IF(AE977=0,"",1+(MAX(B$7:B976)))</f>
        <v>#REF!</v>
      </c>
      <c r="C977" s="51"/>
      <c r="D977" s="52"/>
      <c r="E977" s="53"/>
      <c r="F977" s="2"/>
      <c r="G977" s="2"/>
      <c r="H977" s="2"/>
      <c r="I977" s="2"/>
      <c r="J977" s="2"/>
      <c r="K977" s="2"/>
      <c r="L977" s="2"/>
      <c r="M977" s="2"/>
      <c r="N977" s="2"/>
      <c r="O977" s="7">
        <f t="shared" si="50"/>
        <v>0</v>
      </c>
      <c r="P977" s="2"/>
      <c r="Q977" s="2"/>
      <c r="R977" s="2"/>
      <c r="S977" s="2"/>
      <c r="T977" s="2"/>
      <c r="U977" s="2"/>
      <c r="V977" s="2"/>
      <c r="W977" s="2"/>
      <c r="X977" s="2"/>
      <c r="Y977" s="2"/>
      <c r="Z977" s="2"/>
      <c r="AA977" s="7">
        <f t="shared" si="51"/>
        <v>0</v>
      </c>
      <c r="AB977" s="7">
        <f t="shared" si="52"/>
        <v>0</v>
      </c>
      <c r="AC977" s="9"/>
      <c r="AD977" s="9"/>
      <c r="AE977" s="9" t="e">
        <f>IF(#REF!=#REF!,1,0)</f>
        <v>#REF!</v>
      </c>
      <c r="AF977" s="8"/>
      <c r="AG977" s="8"/>
      <c r="AH977" s="8"/>
      <c r="AI977" s="8"/>
    </row>
    <row r="978" spans="2:35" s="3" customFormat="1" x14ac:dyDescent="0.25">
      <c r="B978" s="4" t="e">
        <f>IF(AE978=0,"",1+(MAX(B$7:B977)))</f>
        <v>#REF!</v>
      </c>
      <c r="C978" s="51"/>
      <c r="D978" s="52"/>
      <c r="E978" s="53"/>
      <c r="F978" s="2"/>
      <c r="G978" s="2"/>
      <c r="H978" s="2"/>
      <c r="I978" s="2"/>
      <c r="J978" s="2"/>
      <c r="K978" s="2"/>
      <c r="L978" s="2"/>
      <c r="M978" s="2"/>
      <c r="N978" s="2"/>
      <c r="O978" s="7">
        <f t="shared" si="50"/>
        <v>0</v>
      </c>
      <c r="P978" s="2"/>
      <c r="Q978" s="2"/>
      <c r="R978" s="2"/>
      <c r="S978" s="2"/>
      <c r="T978" s="2"/>
      <c r="U978" s="2"/>
      <c r="V978" s="2"/>
      <c r="W978" s="2"/>
      <c r="X978" s="2"/>
      <c r="Y978" s="2"/>
      <c r="Z978" s="2"/>
      <c r="AA978" s="7">
        <f t="shared" si="51"/>
        <v>0</v>
      </c>
      <c r="AB978" s="7">
        <f t="shared" si="52"/>
        <v>0</v>
      </c>
      <c r="AC978" s="9"/>
      <c r="AD978" s="9"/>
      <c r="AE978" s="9" t="e">
        <f>IF(#REF!=#REF!,1,0)</f>
        <v>#REF!</v>
      </c>
      <c r="AF978" s="8"/>
      <c r="AG978" s="8"/>
      <c r="AH978" s="8"/>
      <c r="AI978" s="8"/>
    </row>
    <row r="979" spans="2:35" s="3" customFormat="1" x14ac:dyDescent="0.25">
      <c r="B979" s="4" t="e">
        <f>IF(AE979=0,"",1+(MAX(B$7:B978)))</f>
        <v>#REF!</v>
      </c>
      <c r="C979" s="51"/>
      <c r="D979" s="52"/>
      <c r="E979" s="53"/>
      <c r="F979" s="2"/>
      <c r="G979" s="2"/>
      <c r="H979" s="2"/>
      <c r="I979" s="2"/>
      <c r="J979" s="2"/>
      <c r="K979" s="2"/>
      <c r="L979" s="2"/>
      <c r="M979" s="2"/>
      <c r="N979" s="2"/>
      <c r="O979" s="7">
        <f t="shared" si="50"/>
        <v>0</v>
      </c>
      <c r="P979" s="2"/>
      <c r="Q979" s="2"/>
      <c r="R979" s="2"/>
      <c r="S979" s="2"/>
      <c r="T979" s="2"/>
      <c r="U979" s="2"/>
      <c r="V979" s="2"/>
      <c r="W979" s="2"/>
      <c r="X979" s="2"/>
      <c r="Y979" s="2"/>
      <c r="Z979" s="2"/>
      <c r="AA979" s="7">
        <f t="shared" si="51"/>
        <v>0</v>
      </c>
      <c r="AB979" s="7">
        <f t="shared" si="52"/>
        <v>0</v>
      </c>
      <c r="AC979" s="9"/>
      <c r="AD979" s="9"/>
      <c r="AE979" s="9" t="e">
        <f>IF(#REF!=#REF!,1,0)</f>
        <v>#REF!</v>
      </c>
      <c r="AF979" s="8"/>
      <c r="AG979" s="8"/>
      <c r="AH979" s="8"/>
      <c r="AI979" s="8"/>
    </row>
    <row r="980" spans="2:35" s="3" customFormat="1" x14ac:dyDescent="0.25">
      <c r="B980" s="4" t="e">
        <f>IF(AE980=0,"",1+(MAX(B$7:B979)))</f>
        <v>#REF!</v>
      </c>
      <c r="C980" s="51"/>
      <c r="D980" s="52"/>
      <c r="E980" s="53"/>
      <c r="F980" s="2"/>
      <c r="G980" s="2"/>
      <c r="H980" s="2"/>
      <c r="I980" s="2"/>
      <c r="J980" s="2"/>
      <c r="K980" s="2"/>
      <c r="L980" s="2"/>
      <c r="M980" s="2"/>
      <c r="N980" s="2"/>
      <c r="O980" s="7">
        <f t="shared" ref="O980:O1037" si="53">SUM(F980:N980)</f>
        <v>0</v>
      </c>
      <c r="P980" s="2"/>
      <c r="Q980" s="2"/>
      <c r="R980" s="2"/>
      <c r="S980" s="2"/>
      <c r="T980" s="2"/>
      <c r="U980" s="2"/>
      <c r="V980" s="2"/>
      <c r="W980" s="2"/>
      <c r="X980" s="2"/>
      <c r="Y980" s="2"/>
      <c r="Z980" s="2"/>
      <c r="AA980" s="7">
        <f t="shared" si="51"/>
        <v>0</v>
      </c>
      <c r="AB980" s="7">
        <f t="shared" si="52"/>
        <v>0</v>
      </c>
      <c r="AC980" s="9"/>
      <c r="AD980" s="9"/>
      <c r="AE980" s="9" t="e">
        <f>IF(#REF!=#REF!,1,0)</f>
        <v>#REF!</v>
      </c>
      <c r="AF980" s="8"/>
      <c r="AG980" s="8"/>
      <c r="AH980" s="8"/>
      <c r="AI980" s="8"/>
    </row>
    <row r="981" spans="2:35" s="3" customFormat="1" x14ac:dyDescent="0.25">
      <c r="B981" s="4" t="e">
        <f>IF(AE981=0,"",1+(MAX(B$7:B980)))</f>
        <v>#REF!</v>
      </c>
      <c r="C981" s="51"/>
      <c r="D981" s="52"/>
      <c r="E981" s="53"/>
      <c r="F981" s="2"/>
      <c r="G981" s="2"/>
      <c r="H981" s="2"/>
      <c r="I981" s="2"/>
      <c r="J981" s="2"/>
      <c r="K981" s="2"/>
      <c r="L981" s="2"/>
      <c r="M981" s="2"/>
      <c r="N981" s="2"/>
      <c r="O981" s="7">
        <f t="shared" si="53"/>
        <v>0</v>
      </c>
      <c r="P981" s="2"/>
      <c r="Q981" s="2"/>
      <c r="R981" s="2"/>
      <c r="S981" s="2"/>
      <c r="T981" s="2"/>
      <c r="U981" s="2"/>
      <c r="V981" s="2"/>
      <c r="W981" s="2"/>
      <c r="X981" s="2"/>
      <c r="Y981" s="2"/>
      <c r="Z981" s="2"/>
      <c r="AA981" s="7">
        <f t="shared" si="51"/>
        <v>0</v>
      </c>
      <c r="AB981" s="7">
        <f t="shared" si="52"/>
        <v>0</v>
      </c>
      <c r="AC981" s="9"/>
      <c r="AD981" s="9"/>
      <c r="AE981" s="9" t="e">
        <f>IF(#REF!=#REF!,1,0)</f>
        <v>#REF!</v>
      </c>
      <c r="AF981" s="8"/>
      <c r="AG981" s="8"/>
      <c r="AH981" s="8"/>
      <c r="AI981" s="8"/>
    </row>
    <row r="982" spans="2:35" s="3" customFormat="1" x14ac:dyDescent="0.25">
      <c r="B982" s="4" t="e">
        <f>IF(AE982=0,"",1+(MAX(B$7:B981)))</f>
        <v>#REF!</v>
      </c>
      <c r="C982" s="51"/>
      <c r="D982" s="52"/>
      <c r="E982" s="53"/>
      <c r="F982" s="2"/>
      <c r="G982" s="2"/>
      <c r="H982" s="2"/>
      <c r="I982" s="2"/>
      <c r="J982" s="2"/>
      <c r="K982" s="2"/>
      <c r="L982" s="2"/>
      <c r="M982" s="2"/>
      <c r="N982" s="2"/>
      <c r="O982" s="7">
        <f t="shared" si="53"/>
        <v>0</v>
      </c>
      <c r="P982" s="2"/>
      <c r="Q982" s="2"/>
      <c r="R982" s="2"/>
      <c r="S982" s="2"/>
      <c r="T982" s="2"/>
      <c r="U982" s="2"/>
      <c r="V982" s="2"/>
      <c r="W982" s="2"/>
      <c r="X982" s="2"/>
      <c r="Y982" s="2"/>
      <c r="Z982" s="2"/>
      <c r="AA982" s="7">
        <f t="shared" si="51"/>
        <v>0</v>
      </c>
      <c r="AB982" s="7">
        <f t="shared" si="52"/>
        <v>0</v>
      </c>
      <c r="AC982" s="9"/>
      <c r="AD982" s="9"/>
      <c r="AE982" s="9" t="e">
        <f>IF(#REF!=#REF!,1,0)</f>
        <v>#REF!</v>
      </c>
      <c r="AF982" s="8"/>
      <c r="AG982" s="8"/>
      <c r="AH982" s="8"/>
      <c r="AI982" s="8"/>
    </row>
    <row r="983" spans="2:35" s="3" customFormat="1" x14ac:dyDescent="0.25">
      <c r="B983" s="4" t="e">
        <f>IF(AE983=0,"",1+(MAX(B$7:B982)))</f>
        <v>#REF!</v>
      </c>
      <c r="C983" s="51"/>
      <c r="D983" s="52"/>
      <c r="E983" s="53"/>
      <c r="F983" s="2"/>
      <c r="G983" s="2"/>
      <c r="H983" s="2"/>
      <c r="I983" s="2"/>
      <c r="J983" s="2"/>
      <c r="K983" s="2"/>
      <c r="L983" s="2"/>
      <c r="M983" s="2"/>
      <c r="N983" s="2"/>
      <c r="O983" s="7">
        <f t="shared" si="53"/>
        <v>0</v>
      </c>
      <c r="P983" s="2"/>
      <c r="Q983" s="2"/>
      <c r="R983" s="2"/>
      <c r="S983" s="2"/>
      <c r="T983" s="2"/>
      <c r="U983" s="2"/>
      <c r="V983" s="2"/>
      <c r="W983" s="2"/>
      <c r="X983" s="2"/>
      <c r="Y983" s="2"/>
      <c r="Z983" s="2"/>
      <c r="AA983" s="7">
        <f t="shared" si="51"/>
        <v>0</v>
      </c>
      <c r="AB983" s="7">
        <f t="shared" si="52"/>
        <v>0</v>
      </c>
      <c r="AC983" s="9"/>
      <c r="AD983" s="9"/>
      <c r="AE983" s="9" t="e">
        <f>IF(#REF!=#REF!,1,0)</f>
        <v>#REF!</v>
      </c>
      <c r="AF983" s="8"/>
      <c r="AG983" s="8"/>
      <c r="AH983" s="8"/>
      <c r="AI983" s="8"/>
    </row>
    <row r="984" spans="2:35" s="3" customFormat="1" x14ac:dyDescent="0.25">
      <c r="B984" s="4" t="e">
        <f>IF(AE984=0,"",1+(MAX(B$7:B983)))</f>
        <v>#REF!</v>
      </c>
      <c r="C984" s="51"/>
      <c r="D984" s="52"/>
      <c r="E984" s="53"/>
      <c r="F984" s="2"/>
      <c r="G984" s="2"/>
      <c r="H984" s="2"/>
      <c r="I984" s="2"/>
      <c r="J984" s="2"/>
      <c r="K984" s="2"/>
      <c r="L984" s="2"/>
      <c r="M984" s="2"/>
      <c r="N984" s="2"/>
      <c r="O984" s="7">
        <f t="shared" si="53"/>
        <v>0</v>
      </c>
      <c r="P984" s="2"/>
      <c r="Q984" s="2"/>
      <c r="R984" s="2"/>
      <c r="S984" s="2"/>
      <c r="T984" s="2"/>
      <c r="U984" s="2"/>
      <c r="V984" s="2"/>
      <c r="W984" s="2"/>
      <c r="X984" s="2"/>
      <c r="Y984" s="2"/>
      <c r="Z984" s="2"/>
      <c r="AA984" s="7">
        <f t="shared" si="51"/>
        <v>0</v>
      </c>
      <c r="AB984" s="7">
        <f t="shared" si="52"/>
        <v>0</v>
      </c>
      <c r="AC984" s="9"/>
      <c r="AD984" s="9"/>
      <c r="AE984" s="9" t="e">
        <f>IF(#REF!=#REF!,1,0)</f>
        <v>#REF!</v>
      </c>
      <c r="AF984" s="8"/>
      <c r="AG984" s="8"/>
      <c r="AH984" s="8"/>
      <c r="AI984" s="8"/>
    </row>
    <row r="985" spans="2:35" s="3" customFormat="1" x14ac:dyDescent="0.25">
      <c r="B985" s="4" t="e">
        <f>IF(AE985=0,"",1+(MAX(B$7:B984)))</f>
        <v>#REF!</v>
      </c>
      <c r="C985" s="51"/>
      <c r="D985" s="52"/>
      <c r="E985" s="53"/>
      <c r="F985" s="2"/>
      <c r="G985" s="2"/>
      <c r="H985" s="2"/>
      <c r="I985" s="2"/>
      <c r="J985" s="2"/>
      <c r="K985" s="2"/>
      <c r="L985" s="2"/>
      <c r="M985" s="2"/>
      <c r="N985" s="2"/>
      <c r="O985" s="7">
        <f t="shared" si="53"/>
        <v>0</v>
      </c>
      <c r="P985" s="2"/>
      <c r="Q985" s="2"/>
      <c r="R985" s="2"/>
      <c r="S985" s="2"/>
      <c r="T985" s="2"/>
      <c r="U985" s="2"/>
      <c r="V985" s="2"/>
      <c r="W985" s="2"/>
      <c r="X985" s="2"/>
      <c r="Y985" s="2"/>
      <c r="Z985" s="2"/>
      <c r="AA985" s="7">
        <f t="shared" si="51"/>
        <v>0</v>
      </c>
      <c r="AB985" s="7">
        <f t="shared" si="52"/>
        <v>0</v>
      </c>
      <c r="AC985" s="9"/>
      <c r="AD985" s="9"/>
      <c r="AE985" s="9" t="e">
        <f>IF(#REF!=#REF!,1,0)</f>
        <v>#REF!</v>
      </c>
      <c r="AF985" s="8"/>
      <c r="AG985" s="8"/>
      <c r="AH985" s="8"/>
      <c r="AI985" s="8"/>
    </row>
    <row r="986" spans="2:35" s="3" customFormat="1" x14ac:dyDescent="0.25">
      <c r="B986" s="4" t="e">
        <f>IF(AE986=0,"",1+(MAX(B$7:B985)))</f>
        <v>#REF!</v>
      </c>
      <c r="C986" s="51"/>
      <c r="D986" s="52"/>
      <c r="E986" s="53"/>
      <c r="F986" s="2"/>
      <c r="G986" s="2"/>
      <c r="H986" s="2"/>
      <c r="I986" s="2"/>
      <c r="J986" s="2"/>
      <c r="K986" s="2"/>
      <c r="L986" s="2"/>
      <c r="M986" s="2"/>
      <c r="N986" s="2"/>
      <c r="O986" s="7">
        <f t="shared" si="53"/>
        <v>0</v>
      </c>
      <c r="P986" s="2"/>
      <c r="Q986" s="2"/>
      <c r="R986" s="2"/>
      <c r="S986" s="2"/>
      <c r="T986" s="2"/>
      <c r="U986" s="2"/>
      <c r="V986" s="2"/>
      <c r="W986" s="2"/>
      <c r="X986" s="2"/>
      <c r="Y986" s="2"/>
      <c r="Z986" s="2"/>
      <c r="AA986" s="7">
        <f t="shared" si="51"/>
        <v>0</v>
      </c>
      <c r="AB986" s="7">
        <f t="shared" si="52"/>
        <v>0</v>
      </c>
      <c r="AC986" s="9"/>
      <c r="AD986" s="9"/>
      <c r="AE986" s="9" t="e">
        <f>IF(#REF!=#REF!,1,0)</f>
        <v>#REF!</v>
      </c>
      <c r="AF986" s="8"/>
      <c r="AG986" s="8"/>
      <c r="AH986" s="8"/>
      <c r="AI986" s="8"/>
    </row>
    <row r="987" spans="2:35" s="3" customFormat="1" x14ac:dyDescent="0.25">
      <c r="B987" s="4" t="e">
        <f>IF(AE987=0,"",1+(MAX(B$7:B986)))</f>
        <v>#REF!</v>
      </c>
      <c r="C987" s="51"/>
      <c r="D987" s="52"/>
      <c r="E987" s="53"/>
      <c r="F987" s="2"/>
      <c r="G987" s="2"/>
      <c r="H987" s="2"/>
      <c r="I987" s="2"/>
      <c r="J987" s="2"/>
      <c r="K987" s="2"/>
      <c r="L987" s="2"/>
      <c r="M987" s="2"/>
      <c r="N987" s="2"/>
      <c r="O987" s="7">
        <f t="shared" si="53"/>
        <v>0</v>
      </c>
      <c r="P987" s="2"/>
      <c r="Q987" s="2"/>
      <c r="R987" s="2"/>
      <c r="S987" s="2"/>
      <c r="T987" s="2"/>
      <c r="U987" s="2"/>
      <c r="V987" s="2"/>
      <c r="W987" s="2"/>
      <c r="X987" s="2"/>
      <c r="Y987" s="2"/>
      <c r="Z987" s="2"/>
      <c r="AA987" s="7">
        <f t="shared" ref="AA987:AA1037" si="54">SUM(P987:Z987)</f>
        <v>0</v>
      </c>
      <c r="AB987" s="7">
        <f t="shared" ref="AB987:AB1037" si="55">O987-AA987</f>
        <v>0</v>
      </c>
      <c r="AC987" s="9"/>
      <c r="AD987" s="9"/>
      <c r="AE987" s="9" t="e">
        <f>IF(#REF!=#REF!,1,0)</f>
        <v>#REF!</v>
      </c>
      <c r="AF987" s="8"/>
      <c r="AG987" s="8"/>
      <c r="AH987" s="8"/>
      <c r="AI987" s="8"/>
    </row>
    <row r="988" spans="2:35" s="3" customFormat="1" x14ac:dyDescent="0.25">
      <c r="B988" s="4" t="e">
        <f>IF(AE988=0,"",1+(MAX(B$7:B987)))</f>
        <v>#REF!</v>
      </c>
      <c r="C988" s="51"/>
      <c r="D988" s="52"/>
      <c r="E988" s="53"/>
      <c r="F988" s="2"/>
      <c r="G988" s="2"/>
      <c r="H988" s="2"/>
      <c r="I988" s="2"/>
      <c r="J988" s="2"/>
      <c r="K988" s="2"/>
      <c r="L988" s="2"/>
      <c r="M988" s="2"/>
      <c r="N988" s="2"/>
      <c r="O988" s="7">
        <f t="shared" si="53"/>
        <v>0</v>
      </c>
      <c r="P988" s="2"/>
      <c r="Q988" s="2"/>
      <c r="R988" s="2"/>
      <c r="S988" s="2"/>
      <c r="T988" s="2"/>
      <c r="U988" s="2"/>
      <c r="V988" s="2"/>
      <c r="W988" s="2"/>
      <c r="X988" s="2"/>
      <c r="Y988" s="2"/>
      <c r="Z988" s="2"/>
      <c r="AA988" s="7">
        <f t="shared" si="54"/>
        <v>0</v>
      </c>
      <c r="AB988" s="7">
        <f t="shared" si="55"/>
        <v>0</v>
      </c>
      <c r="AC988" s="9"/>
      <c r="AD988" s="9"/>
      <c r="AE988" s="9" t="e">
        <f>IF(#REF!=#REF!,1,0)</f>
        <v>#REF!</v>
      </c>
      <c r="AF988" s="8"/>
      <c r="AG988" s="8"/>
      <c r="AH988" s="8"/>
      <c r="AI988" s="8"/>
    </row>
    <row r="989" spans="2:35" s="3" customFormat="1" x14ac:dyDescent="0.25">
      <c r="B989" s="4" t="e">
        <f>IF(AE989=0,"",1+(MAX(B$7:B988)))</f>
        <v>#REF!</v>
      </c>
      <c r="C989" s="51"/>
      <c r="D989" s="52"/>
      <c r="E989" s="53"/>
      <c r="F989" s="2"/>
      <c r="G989" s="2"/>
      <c r="H989" s="2"/>
      <c r="I989" s="2"/>
      <c r="J989" s="2"/>
      <c r="K989" s="2"/>
      <c r="L989" s="2"/>
      <c r="M989" s="2"/>
      <c r="N989" s="2"/>
      <c r="O989" s="7">
        <f t="shared" si="53"/>
        <v>0</v>
      </c>
      <c r="P989" s="2"/>
      <c r="Q989" s="2"/>
      <c r="R989" s="2"/>
      <c r="S989" s="2"/>
      <c r="T989" s="2"/>
      <c r="U989" s="2"/>
      <c r="V989" s="2"/>
      <c r="W989" s="2"/>
      <c r="X989" s="2"/>
      <c r="Y989" s="2"/>
      <c r="Z989" s="2"/>
      <c r="AA989" s="7">
        <f t="shared" si="54"/>
        <v>0</v>
      </c>
      <c r="AB989" s="7">
        <f t="shared" si="55"/>
        <v>0</v>
      </c>
      <c r="AC989" s="9"/>
      <c r="AD989" s="9"/>
      <c r="AE989" s="9" t="e">
        <f>IF(#REF!=#REF!,1,0)</f>
        <v>#REF!</v>
      </c>
      <c r="AF989" s="8"/>
      <c r="AG989" s="8"/>
      <c r="AH989" s="8"/>
      <c r="AI989" s="8"/>
    </row>
    <row r="990" spans="2:35" s="3" customFormat="1" x14ac:dyDescent="0.25">
      <c r="B990" s="4" t="e">
        <f>IF(AE990=0,"",1+(MAX(B$7:B989)))</f>
        <v>#REF!</v>
      </c>
      <c r="C990" s="51"/>
      <c r="D990" s="52"/>
      <c r="E990" s="53"/>
      <c r="F990" s="2"/>
      <c r="G990" s="2"/>
      <c r="H990" s="2"/>
      <c r="I990" s="2"/>
      <c r="J990" s="2"/>
      <c r="K990" s="2"/>
      <c r="L990" s="2"/>
      <c r="M990" s="2"/>
      <c r="N990" s="2"/>
      <c r="O990" s="7">
        <f t="shared" si="53"/>
        <v>0</v>
      </c>
      <c r="P990" s="2"/>
      <c r="Q990" s="2"/>
      <c r="R990" s="2"/>
      <c r="S990" s="2"/>
      <c r="T990" s="2"/>
      <c r="U990" s="2"/>
      <c r="V990" s="2"/>
      <c r="W990" s="2"/>
      <c r="X990" s="2"/>
      <c r="Y990" s="2"/>
      <c r="Z990" s="2"/>
      <c r="AA990" s="7">
        <f t="shared" si="54"/>
        <v>0</v>
      </c>
      <c r="AB990" s="7">
        <f t="shared" si="55"/>
        <v>0</v>
      </c>
      <c r="AC990" s="9"/>
      <c r="AD990" s="9"/>
      <c r="AE990" s="9" t="e">
        <f>IF(#REF!=#REF!,1,0)</f>
        <v>#REF!</v>
      </c>
      <c r="AF990" s="8"/>
      <c r="AG990" s="8"/>
      <c r="AH990" s="8"/>
      <c r="AI990" s="8"/>
    </row>
    <row r="991" spans="2:35" s="3" customFormat="1" x14ac:dyDescent="0.25">
      <c r="B991" s="4" t="e">
        <f>IF(AE991=0,"",1+(MAX(B$7:B990)))</f>
        <v>#REF!</v>
      </c>
      <c r="C991" s="51"/>
      <c r="D991" s="52"/>
      <c r="E991" s="53"/>
      <c r="F991" s="2"/>
      <c r="G991" s="2"/>
      <c r="H991" s="2"/>
      <c r="I991" s="2"/>
      <c r="J991" s="2"/>
      <c r="K991" s="2"/>
      <c r="L991" s="2"/>
      <c r="M991" s="2"/>
      <c r="N991" s="2"/>
      <c r="O991" s="7">
        <f t="shared" si="53"/>
        <v>0</v>
      </c>
      <c r="P991" s="2"/>
      <c r="Q991" s="2"/>
      <c r="R991" s="2"/>
      <c r="S991" s="2"/>
      <c r="T991" s="2"/>
      <c r="U991" s="2"/>
      <c r="V991" s="2"/>
      <c r="W991" s="2"/>
      <c r="X991" s="2"/>
      <c r="Y991" s="2"/>
      <c r="Z991" s="2"/>
      <c r="AA991" s="7">
        <f t="shared" si="54"/>
        <v>0</v>
      </c>
      <c r="AB991" s="7">
        <f t="shared" si="55"/>
        <v>0</v>
      </c>
      <c r="AC991" s="9"/>
      <c r="AD991" s="9"/>
      <c r="AE991" s="9" t="e">
        <f>IF(#REF!=#REF!,1,0)</f>
        <v>#REF!</v>
      </c>
      <c r="AF991" s="8"/>
      <c r="AG991" s="8"/>
      <c r="AH991" s="8"/>
      <c r="AI991" s="8"/>
    </row>
    <row r="992" spans="2:35" s="3" customFormat="1" x14ac:dyDescent="0.25">
      <c r="B992" s="4" t="e">
        <f>IF(AE992=0,"",1+(MAX(B$7:B991)))</f>
        <v>#REF!</v>
      </c>
      <c r="C992" s="51"/>
      <c r="D992" s="52"/>
      <c r="E992" s="53"/>
      <c r="F992" s="2"/>
      <c r="G992" s="2"/>
      <c r="H992" s="2"/>
      <c r="I992" s="2"/>
      <c r="J992" s="2"/>
      <c r="K992" s="2"/>
      <c r="L992" s="2"/>
      <c r="M992" s="2"/>
      <c r="N992" s="2"/>
      <c r="O992" s="7">
        <f t="shared" si="53"/>
        <v>0</v>
      </c>
      <c r="P992" s="2"/>
      <c r="Q992" s="2"/>
      <c r="R992" s="2"/>
      <c r="S992" s="2"/>
      <c r="T992" s="2"/>
      <c r="U992" s="2"/>
      <c r="V992" s="2"/>
      <c r="W992" s="2"/>
      <c r="X992" s="2"/>
      <c r="Y992" s="2"/>
      <c r="Z992" s="2"/>
      <c r="AA992" s="7">
        <f t="shared" si="54"/>
        <v>0</v>
      </c>
      <c r="AB992" s="7">
        <f t="shared" si="55"/>
        <v>0</v>
      </c>
      <c r="AC992" s="9"/>
      <c r="AD992" s="9"/>
      <c r="AE992" s="9" t="e">
        <f>IF(#REF!=#REF!,1,0)</f>
        <v>#REF!</v>
      </c>
      <c r="AF992" s="8"/>
      <c r="AG992" s="8"/>
      <c r="AH992" s="8"/>
      <c r="AI992" s="8"/>
    </row>
    <row r="993" spans="2:35" s="3" customFormat="1" x14ac:dyDescent="0.25">
      <c r="B993" s="4" t="e">
        <f>IF(AE993=0,"",1+(MAX(B$7:B992)))</f>
        <v>#REF!</v>
      </c>
      <c r="C993" s="51"/>
      <c r="D993" s="52"/>
      <c r="E993" s="53"/>
      <c r="F993" s="2"/>
      <c r="G993" s="2"/>
      <c r="H993" s="2"/>
      <c r="I993" s="2"/>
      <c r="J993" s="2"/>
      <c r="K993" s="2"/>
      <c r="L993" s="2"/>
      <c r="M993" s="2"/>
      <c r="N993" s="2"/>
      <c r="O993" s="7">
        <f t="shared" si="53"/>
        <v>0</v>
      </c>
      <c r="P993" s="2"/>
      <c r="Q993" s="2"/>
      <c r="R993" s="2"/>
      <c r="S993" s="2"/>
      <c r="T993" s="2"/>
      <c r="U993" s="2"/>
      <c r="V993" s="2"/>
      <c r="W993" s="2"/>
      <c r="X993" s="2"/>
      <c r="Y993" s="2"/>
      <c r="Z993" s="2"/>
      <c r="AA993" s="7">
        <f t="shared" si="54"/>
        <v>0</v>
      </c>
      <c r="AB993" s="7">
        <f t="shared" si="55"/>
        <v>0</v>
      </c>
      <c r="AC993" s="9"/>
      <c r="AD993" s="9"/>
      <c r="AE993" s="9" t="e">
        <f>IF(#REF!=#REF!,1,0)</f>
        <v>#REF!</v>
      </c>
      <c r="AF993" s="8"/>
      <c r="AG993" s="8"/>
      <c r="AH993" s="8"/>
      <c r="AI993" s="8"/>
    </row>
    <row r="994" spans="2:35" s="3" customFormat="1" x14ac:dyDescent="0.25">
      <c r="B994" s="4" t="e">
        <f>IF(AE994=0,"",1+(MAX(B$7:B993)))</f>
        <v>#REF!</v>
      </c>
      <c r="C994" s="51"/>
      <c r="D994" s="52"/>
      <c r="E994" s="53"/>
      <c r="F994" s="2"/>
      <c r="G994" s="2"/>
      <c r="H994" s="2"/>
      <c r="I994" s="2"/>
      <c r="J994" s="2"/>
      <c r="K994" s="2"/>
      <c r="L994" s="2"/>
      <c r="M994" s="2"/>
      <c r="N994" s="2"/>
      <c r="O994" s="7">
        <f t="shared" si="53"/>
        <v>0</v>
      </c>
      <c r="P994" s="2"/>
      <c r="Q994" s="2"/>
      <c r="R994" s="2"/>
      <c r="S994" s="2"/>
      <c r="T994" s="2"/>
      <c r="U994" s="2"/>
      <c r="V994" s="2"/>
      <c r="W994" s="2"/>
      <c r="X994" s="2"/>
      <c r="Y994" s="2"/>
      <c r="Z994" s="2"/>
      <c r="AA994" s="7">
        <f t="shared" si="54"/>
        <v>0</v>
      </c>
      <c r="AB994" s="7">
        <f t="shared" si="55"/>
        <v>0</v>
      </c>
      <c r="AC994" s="9"/>
      <c r="AD994" s="9"/>
      <c r="AE994" s="9" t="e">
        <f>IF(#REF!=#REF!,1,0)</f>
        <v>#REF!</v>
      </c>
      <c r="AF994" s="8"/>
      <c r="AG994" s="8"/>
      <c r="AH994" s="8"/>
      <c r="AI994" s="8"/>
    </row>
    <row r="995" spans="2:35" s="3" customFormat="1" x14ac:dyDescent="0.25">
      <c r="B995" s="4" t="e">
        <f>IF(AE995=0,"",1+(MAX(B$7:B994)))</f>
        <v>#REF!</v>
      </c>
      <c r="C995" s="51"/>
      <c r="D995" s="52"/>
      <c r="E995" s="53"/>
      <c r="F995" s="2"/>
      <c r="G995" s="2"/>
      <c r="H995" s="2"/>
      <c r="I995" s="2"/>
      <c r="J995" s="2"/>
      <c r="K995" s="2"/>
      <c r="L995" s="2"/>
      <c r="M995" s="2"/>
      <c r="N995" s="2"/>
      <c r="O995" s="7">
        <f t="shared" si="53"/>
        <v>0</v>
      </c>
      <c r="P995" s="2"/>
      <c r="Q995" s="2"/>
      <c r="R995" s="2"/>
      <c r="S995" s="2"/>
      <c r="T995" s="2"/>
      <c r="U995" s="2"/>
      <c r="V995" s="2"/>
      <c r="W995" s="2"/>
      <c r="X995" s="2"/>
      <c r="Y995" s="2"/>
      <c r="Z995" s="2"/>
      <c r="AA995" s="7">
        <f t="shared" si="54"/>
        <v>0</v>
      </c>
      <c r="AB995" s="7">
        <f t="shared" si="55"/>
        <v>0</v>
      </c>
      <c r="AC995" s="9"/>
      <c r="AD995" s="9"/>
      <c r="AE995" s="9" t="e">
        <f>IF(#REF!=#REF!,1,0)</f>
        <v>#REF!</v>
      </c>
      <c r="AF995" s="8"/>
      <c r="AG995" s="8"/>
      <c r="AH995" s="8"/>
      <c r="AI995" s="8"/>
    </row>
    <row r="996" spans="2:35" s="3" customFormat="1" x14ac:dyDescent="0.25">
      <c r="B996" s="4" t="e">
        <f>IF(AE996=0,"",1+(MAX(B$7:B995)))</f>
        <v>#REF!</v>
      </c>
      <c r="C996" s="51"/>
      <c r="D996" s="52"/>
      <c r="E996" s="53"/>
      <c r="F996" s="2"/>
      <c r="G996" s="2"/>
      <c r="H996" s="2"/>
      <c r="I996" s="2"/>
      <c r="J996" s="2"/>
      <c r="K996" s="2"/>
      <c r="L996" s="2"/>
      <c r="M996" s="2"/>
      <c r="N996" s="2"/>
      <c r="O996" s="7">
        <f t="shared" si="53"/>
        <v>0</v>
      </c>
      <c r="P996" s="2"/>
      <c r="Q996" s="2"/>
      <c r="R996" s="2"/>
      <c r="S996" s="2"/>
      <c r="T996" s="2"/>
      <c r="U996" s="2"/>
      <c r="V996" s="2"/>
      <c r="W996" s="2"/>
      <c r="X996" s="2"/>
      <c r="Y996" s="2"/>
      <c r="Z996" s="2"/>
      <c r="AA996" s="7">
        <f t="shared" si="54"/>
        <v>0</v>
      </c>
      <c r="AB996" s="7">
        <f t="shared" si="55"/>
        <v>0</v>
      </c>
      <c r="AC996" s="9"/>
      <c r="AD996" s="9"/>
      <c r="AE996" s="9" t="e">
        <f>IF(#REF!=#REF!,1,0)</f>
        <v>#REF!</v>
      </c>
      <c r="AF996" s="8"/>
      <c r="AG996" s="8"/>
      <c r="AH996" s="8"/>
      <c r="AI996" s="8"/>
    </row>
    <row r="997" spans="2:35" s="3" customFormat="1" x14ac:dyDescent="0.25">
      <c r="B997" s="4" t="e">
        <f>IF(AE997=0,"",1+(MAX(B$7:B996)))</f>
        <v>#REF!</v>
      </c>
      <c r="C997" s="51"/>
      <c r="D997" s="52"/>
      <c r="E997" s="53"/>
      <c r="F997" s="2"/>
      <c r="G997" s="2"/>
      <c r="H997" s="2"/>
      <c r="I997" s="2"/>
      <c r="J997" s="2"/>
      <c r="K997" s="2"/>
      <c r="L997" s="2"/>
      <c r="M997" s="2"/>
      <c r="N997" s="2"/>
      <c r="O997" s="7">
        <f t="shared" si="53"/>
        <v>0</v>
      </c>
      <c r="P997" s="2"/>
      <c r="Q997" s="2"/>
      <c r="R997" s="2"/>
      <c r="S997" s="2"/>
      <c r="T997" s="2"/>
      <c r="U997" s="2"/>
      <c r="V997" s="2"/>
      <c r="W997" s="2"/>
      <c r="X997" s="2"/>
      <c r="Y997" s="2"/>
      <c r="Z997" s="2"/>
      <c r="AA997" s="7">
        <f t="shared" si="54"/>
        <v>0</v>
      </c>
      <c r="AB997" s="7">
        <f t="shared" si="55"/>
        <v>0</v>
      </c>
      <c r="AC997" s="9"/>
      <c r="AD997" s="9"/>
      <c r="AE997" s="9" t="e">
        <f>IF(#REF!=#REF!,1,0)</f>
        <v>#REF!</v>
      </c>
      <c r="AF997" s="8"/>
      <c r="AG997" s="8"/>
      <c r="AH997" s="8"/>
      <c r="AI997" s="8"/>
    </row>
    <row r="998" spans="2:35" s="3" customFormat="1" x14ac:dyDescent="0.25">
      <c r="B998" s="4" t="e">
        <f>IF(AE998=0,"",1+(MAX(B$7:B997)))</f>
        <v>#REF!</v>
      </c>
      <c r="C998" s="51"/>
      <c r="D998" s="52"/>
      <c r="E998" s="53"/>
      <c r="F998" s="2"/>
      <c r="G998" s="2"/>
      <c r="H998" s="2"/>
      <c r="I998" s="2"/>
      <c r="J998" s="2"/>
      <c r="K998" s="2"/>
      <c r="L998" s="2"/>
      <c r="M998" s="2"/>
      <c r="N998" s="2"/>
      <c r="O998" s="7">
        <f t="shared" si="53"/>
        <v>0</v>
      </c>
      <c r="P998" s="2"/>
      <c r="Q998" s="2"/>
      <c r="R998" s="2"/>
      <c r="S998" s="2"/>
      <c r="T998" s="2"/>
      <c r="U998" s="2"/>
      <c r="V998" s="2"/>
      <c r="W998" s="2"/>
      <c r="X998" s="2"/>
      <c r="Y998" s="2"/>
      <c r="Z998" s="2"/>
      <c r="AA998" s="7">
        <f t="shared" si="54"/>
        <v>0</v>
      </c>
      <c r="AB998" s="7">
        <f t="shared" si="55"/>
        <v>0</v>
      </c>
      <c r="AC998" s="9"/>
      <c r="AD998" s="9"/>
      <c r="AE998" s="9" t="e">
        <f>IF(#REF!=#REF!,1,0)</f>
        <v>#REF!</v>
      </c>
      <c r="AF998" s="8"/>
      <c r="AG998" s="8"/>
      <c r="AH998" s="8"/>
      <c r="AI998" s="8"/>
    </row>
    <row r="999" spans="2:35" s="3" customFormat="1" x14ac:dyDescent="0.25">
      <c r="B999" s="4" t="e">
        <f>IF(AE999=0,"",1+(MAX(B$7:B998)))</f>
        <v>#REF!</v>
      </c>
      <c r="C999" s="51"/>
      <c r="D999" s="52"/>
      <c r="E999" s="53"/>
      <c r="F999" s="2"/>
      <c r="G999" s="2"/>
      <c r="H999" s="2"/>
      <c r="I999" s="2"/>
      <c r="J999" s="2"/>
      <c r="K999" s="2"/>
      <c r="L999" s="2"/>
      <c r="M999" s="2"/>
      <c r="N999" s="2"/>
      <c r="O999" s="7">
        <f t="shared" si="53"/>
        <v>0</v>
      </c>
      <c r="P999" s="2"/>
      <c r="Q999" s="2"/>
      <c r="R999" s="2"/>
      <c r="S999" s="2"/>
      <c r="T999" s="2"/>
      <c r="U999" s="2"/>
      <c r="V999" s="2"/>
      <c r="W999" s="2"/>
      <c r="X999" s="2"/>
      <c r="Y999" s="2"/>
      <c r="Z999" s="2"/>
      <c r="AA999" s="7">
        <f t="shared" si="54"/>
        <v>0</v>
      </c>
      <c r="AB999" s="7">
        <f t="shared" si="55"/>
        <v>0</v>
      </c>
      <c r="AC999" s="9"/>
      <c r="AD999" s="9"/>
      <c r="AE999" s="9" t="e">
        <f>IF(#REF!=#REF!,1,0)</f>
        <v>#REF!</v>
      </c>
      <c r="AF999" s="8"/>
      <c r="AG999" s="8"/>
      <c r="AH999" s="8"/>
      <c r="AI999" s="8"/>
    </row>
    <row r="1000" spans="2:35" s="3" customFormat="1" x14ac:dyDescent="0.25">
      <c r="B1000" s="4" t="e">
        <f>IF(AE1000=0,"",1+(MAX(B$7:B999)))</f>
        <v>#REF!</v>
      </c>
      <c r="C1000" s="51"/>
      <c r="D1000" s="52"/>
      <c r="E1000" s="53"/>
      <c r="F1000" s="2"/>
      <c r="G1000" s="2"/>
      <c r="H1000" s="2"/>
      <c r="I1000" s="2"/>
      <c r="J1000" s="2"/>
      <c r="K1000" s="2"/>
      <c r="L1000" s="2"/>
      <c r="M1000" s="2"/>
      <c r="N1000" s="2"/>
      <c r="O1000" s="7">
        <f t="shared" si="53"/>
        <v>0</v>
      </c>
      <c r="P1000" s="2"/>
      <c r="Q1000" s="2"/>
      <c r="R1000" s="2"/>
      <c r="S1000" s="2"/>
      <c r="T1000" s="2"/>
      <c r="U1000" s="2"/>
      <c r="V1000" s="2"/>
      <c r="W1000" s="2"/>
      <c r="X1000" s="2"/>
      <c r="Y1000" s="2"/>
      <c r="Z1000" s="2"/>
      <c r="AA1000" s="7">
        <f t="shared" si="54"/>
        <v>0</v>
      </c>
      <c r="AB1000" s="7">
        <f t="shared" si="55"/>
        <v>0</v>
      </c>
      <c r="AC1000" s="9"/>
      <c r="AD1000" s="9"/>
      <c r="AE1000" s="9" t="e">
        <f>IF(#REF!=#REF!,1,0)</f>
        <v>#REF!</v>
      </c>
      <c r="AF1000" s="8"/>
      <c r="AG1000" s="8"/>
      <c r="AH1000" s="8"/>
      <c r="AI1000" s="8"/>
    </row>
    <row r="1001" spans="2:35" s="3" customFormat="1" x14ac:dyDescent="0.25">
      <c r="B1001" s="4" t="e">
        <f>IF(AE1001=0,"",1+(MAX(B$7:B1000)))</f>
        <v>#REF!</v>
      </c>
      <c r="C1001" s="51"/>
      <c r="D1001" s="52"/>
      <c r="E1001" s="53"/>
      <c r="F1001" s="2"/>
      <c r="G1001" s="2"/>
      <c r="H1001" s="2"/>
      <c r="I1001" s="2"/>
      <c r="J1001" s="2"/>
      <c r="K1001" s="2"/>
      <c r="L1001" s="2"/>
      <c r="M1001" s="2"/>
      <c r="N1001" s="2"/>
      <c r="O1001" s="7">
        <f t="shared" si="53"/>
        <v>0</v>
      </c>
      <c r="P1001" s="2"/>
      <c r="Q1001" s="2"/>
      <c r="R1001" s="2"/>
      <c r="S1001" s="2"/>
      <c r="T1001" s="2"/>
      <c r="U1001" s="2"/>
      <c r="V1001" s="2"/>
      <c r="W1001" s="2"/>
      <c r="X1001" s="2"/>
      <c r="Y1001" s="2"/>
      <c r="Z1001" s="2"/>
      <c r="AA1001" s="7">
        <f t="shared" si="54"/>
        <v>0</v>
      </c>
      <c r="AB1001" s="7">
        <f t="shared" si="55"/>
        <v>0</v>
      </c>
      <c r="AC1001" s="9"/>
      <c r="AD1001" s="9"/>
      <c r="AE1001" s="9" t="e">
        <f>IF(#REF!=#REF!,1,0)</f>
        <v>#REF!</v>
      </c>
      <c r="AF1001" s="8"/>
      <c r="AG1001" s="8"/>
      <c r="AH1001" s="8"/>
      <c r="AI1001" s="8"/>
    </row>
    <row r="1002" spans="2:35" s="3" customFormat="1" x14ac:dyDescent="0.25">
      <c r="B1002" s="4" t="e">
        <f>IF(AE1002=0,"",1+(MAX(B$7:B1001)))</f>
        <v>#REF!</v>
      </c>
      <c r="C1002" s="51"/>
      <c r="D1002" s="52"/>
      <c r="E1002" s="53"/>
      <c r="F1002" s="2"/>
      <c r="G1002" s="2"/>
      <c r="H1002" s="2"/>
      <c r="I1002" s="2"/>
      <c r="J1002" s="2"/>
      <c r="K1002" s="2"/>
      <c r="L1002" s="2"/>
      <c r="M1002" s="2"/>
      <c r="N1002" s="2"/>
      <c r="O1002" s="7">
        <f t="shared" si="53"/>
        <v>0</v>
      </c>
      <c r="P1002" s="2"/>
      <c r="Q1002" s="2"/>
      <c r="R1002" s="2"/>
      <c r="S1002" s="2"/>
      <c r="T1002" s="2"/>
      <c r="U1002" s="2"/>
      <c r="V1002" s="2"/>
      <c r="W1002" s="2"/>
      <c r="X1002" s="2"/>
      <c r="Y1002" s="2"/>
      <c r="Z1002" s="2"/>
      <c r="AA1002" s="7">
        <f t="shared" si="54"/>
        <v>0</v>
      </c>
      <c r="AB1002" s="7">
        <f t="shared" si="55"/>
        <v>0</v>
      </c>
      <c r="AC1002" s="9"/>
      <c r="AD1002" s="9"/>
      <c r="AE1002" s="9" t="e">
        <f>IF(#REF!=#REF!,1,0)</f>
        <v>#REF!</v>
      </c>
      <c r="AF1002" s="8"/>
      <c r="AG1002" s="8"/>
      <c r="AH1002" s="8"/>
      <c r="AI1002" s="8"/>
    </row>
    <row r="1003" spans="2:35" s="3" customFormat="1" x14ac:dyDescent="0.25">
      <c r="B1003" s="4" t="e">
        <f>IF(AE1003=0,"",1+(MAX(B$7:B1002)))</f>
        <v>#REF!</v>
      </c>
      <c r="C1003" s="51"/>
      <c r="D1003" s="52"/>
      <c r="E1003" s="53"/>
      <c r="F1003" s="2"/>
      <c r="G1003" s="2"/>
      <c r="H1003" s="2"/>
      <c r="I1003" s="2"/>
      <c r="J1003" s="2"/>
      <c r="K1003" s="2"/>
      <c r="L1003" s="2"/>
      <c r="M1003" s="2"/>
      <c r="N1003" s="2"/>
      <c r="O1003" s="7">
        <f t="shared" si="53"/>
        <v>0</v>
      </c>
      <c r="P1003" s="2"/>
      <c r="Q1003" s="2"/>
      <c r="R1003" s="2"/>
      <c r="S1003" s="2"/>
      <c r="T1003" s="2"/>
      <c r="U1003" s="2"/>
      <c r="V1003" s="2"/>
      <c r="W1003" s="2"/>
      <c r="X1003" s="2"/>
      <c r="Y1003" s="2"/>
      <c r="Z1003" s="2"/>
      <c r="AA1003" s="7">
        <f t="shared" si="54"/>
        <v>0</v>
      </c>
      <c r="AB1003" s="7">
        <f t="shared" si="55"/>
        <v>0</v>
      </c>
      <c r="AC1003" s="9"/>
      <c r="AD1003" s="9"/>
      <c r="AE1003" s="9" t="e">
        <f>IF(#REF!=#REF!,1,0)</f>
        <v>#REF!</v>
      </c>
      <c r="AF1003" s="8"/>
      <c r="AG1003" s="8"/>
      <c r="AH1003" s="8"/>
      <c r="AI1003" s="8"/>
    </row>
    <row r="1004" spans="2:35" s="3" customFormat="1" x14ac:dyDescent="0.25">
      <c r="B1004" s="4" t="e">
        <f>IF(AE1004=0,"",1+(MAX(B$7:B1003)))</f>
        <v>#REF!</v>
      </c>
      <c r="C1004" s="51"/>
      <c r="D1004" s="52"/>
      <c r="E1004" s="53"/>
      <c r="F1004" s="2"/>
      <c r="G1004" s="2"/>
      <c r="H1004" s="2"/>
      <c r="I1004" s="2"/>
      <c r="J1004" s="2"/>
      <c r="K1004" s="2"/>
      <c r="L1004" s="2"/>
      <c r="M1004" s="2"/>
      <c r="N1004" s="2"/>
      <c r="O1004" s="7">
        <f t="shared" si="53"/>
        <v>0</v>
      </c>
      <c r="P1004" s="2"/>
      <c r="Q1004" s="2"/>
      <c r="R1004" s="2"/>
      <c r="S1004" s="2"/>
      <c r="T1004" s="2"/>
      <c r="U1004" s="2"/>
      <c r="V1004" s="2"/>
      <c r="W1004" s="2"/>
      <c r="X1004" s="2"/>
      <c r="Y1004" s="2"/>
      <c r="Z1004" s="2"/>
      <c r="AA1004" s="7">
        <f t="shared" si="54"/>
        <v>0</v>
      </c>
      <c r="AB1004" s="7">
        <f t="shared" si="55"/>
        <v>0</v>
      </c>
      <c r="AC1004" s="9"/>
      <c r="AD1004" s="9"/>
      <c r="AE1004" s="9" t="e">
        <f>IF(#REF!=#REF!,1,0)</f>
        <v>#REF!</v>
      </c>
      <c r="AF1004" s="8"/>
      <c r="AG1004" s="8"/>
      <c r="AH1004" s="8"/>
      <c r="AI1004" s="8"/>
    </row>
    <row r="1005" spans="2:35" s="3" customFormat="1" x14ac:dyDescent="0.25">
      <c r="B1005" s="4" t="e">
        <f>IF(AE1005=0,"",1+(MAX(B$7:B1004)))</f>
        <v>#REF!</v>
      </c>
      <c r="C1005" s="51"/>
      <c r="D1005" s="52"/>
      <c r="E1005" s="53"/>
      <c r="F1005" s="2"/>
      <c r="G1005" s="2"/>
      <c r="H1005" s="2"/>
      <c r="I1005" s="2"/>
      <c r="J1005" s="2"/>
      <c r="K1005" s="2"/>
      <c r="L1005" s="2"/>
      <c r="M1005" s="2"/>
      <c r="N1005" s="2"/>
      <c r="O1005" s="7">
        <f t="shared" si="53"/>
        <v>0</v>
      </c>
      <c r="P1005" s="2"/>
      <c r="Q1005" s="2"/>
      <c r="R1005" s="2"/>
      <c r="S1005" s="2"/>
      <c r="T1005" s="2"/>
      <c r="U1005" s="2"/>
      <c r="V1005" s="2"/>
      <c r="W1005" s="2"/>
      <c r="X1005" s="2"/>
      <c r="Y1005" s="2"/>
      <c r="Z1005" s="2"/>
      <c r="AA1005" s="7">
        <f t="shared" si="54"/>
        <v>0</v>
      </c>
      <c r="AB1005" s="7">
        <f t="shared" si="55"/>
        <v>0</v>
      </c>
      <c r="AC1005" s="9"/>
      <c r="AD1005" s="9"/>
      <c r="AE1005" s="9" t="e">
        <f>IF(#REF!=#REF!,1,0)</f>
        <v>#REF!</v>
      </c>
      <c r="AF1005" s="8"/>
      <c r="AG1005" s="8"/>
      <c r="AH1005" s="8"/>
      <c r="AI1005" s="8"/>
    </row>
    <row r="1006" spans="2:35" s="3" customFormat="1" x14ac:dyDescent="0.25">
      <c r="B1006" s="4" t="e">
        <f>IF(AE1006=0,"",1+(MAX(B$7:B1005)))</f>
        <v>#REF!</v>
      </c>
      <c r="C1006" s="51"/>
      <c r="D1006" s="52"/>
      <c r="E1006" s="53"/>
      <c r="F1006" s="2"/>
      <c r="G1006" s="2"/>
      <c r="H1006" s="2"/>
      <c r="I1006" s="2"/>
      <c r="J1006" s="2"/>
      <c r="K1006" s="2"/>
      <c r="L1006" s="2"/>
      <c r="M1006" s="2"/>
      <c r="N1006" s="2"/>
      <c r="O1006" s="7">
        <f t="shared" si="53"/>
        <v>0</v>
      </c>
      <c r="P1006" s="2"/>
      <c r="Q1006" s="2"/>
      <c r="R1006" s="2"/>
      <c r="S1006" s="2"/>
      <c r="T1006" s="2"/>
      <c r="U1006" s="2"/>
      <c r="V1006" s="2"/>
      <c r="W1006" s="2"/>
      <c r="X1006" s="2"/>
      <c r="Y1006" s="2"/>
      <c r="Z1006" s="2"/>
      <c r="AA1006" s="7">
        <f t="shared" si="54"/>
        <v>0</v>
      </c>
      <c r="AB1006" s="7">
        <f t="shared" si="55"/>
        <v>0</v>
      </c>
      <c r="AC1006" s="9"/>
      <c r="AD1006" s="9"/>
      <c r="AE1006" s="9" t="e">
        <f>IF(#REF!=#REF!,1,0)</f>
        <v>#REF!</v>
      </c>
      <c r="AF1006" s="8"/>
      <c r="AG1006" s="8"/>
      <c r="AH1006" s="8"/>
      <c r="AI1006" s="8"/>
    </row>
    <row r="1007" spans="2:35" s="3" customFormat="1" x14ac:dyDescent="0.25">
      <c r="B1007" s="4" t="e">
        <f>IF(AE1007=0,"",1+(MAX(B$7:B1006)))</f>
        <v>#REF!</v>
      </c>
      <c r="C1007" s="51"/>
      <c r="D1007" s="52"/>
      <c r="E1007" s="53"/>
      <c r="F1007" s="2"/>
      <c r="G1007" s="2"/>
      <c r="H1007" s="2"/>
      <c r="I1007" s="2"/>
      <c r="J1007" s="2"/>
      <c r="K1007" s="2"/>
      <c r="L1007" s="2"/>
      <c r="M1007" s="2"/>
      <c r="N1007" s="2"/>
      <c r="O1007" s="7">
        <f t="shared" si="53"/>
        <v>0</v>
      </c>
      <c r="P1007" s="2"/>
      <c r="Q1007" s="2"/>
      <c r="R1007" s="2"/>
      <c r="S1007" s="2"/>
      <c r="T1007" s="2"/>
      <c r="U1007" s="2"/>
      <c r="V1007" s="2"/>
      <c r="W1007" s="2"/>
      <c r="X1007" s="2"/>
      <c r="Y1007" s="2"/>
      <c r="Z1007" s="2"/>
      <c r="AA1007" s="7">
        <f t="shared" si="54"/>
        <v>0</v>
      </c>
      <c r="AB1007" s="7">
        <f t="shared" si="55"/>
        <v>0</v>
      </c>
      <c r="AC1007" s="9"/>
      <c r="AD1007" s="9"/>
      <c r="AE1007" s="9" t="e">
        <f>IF(#REF!=#REF!,1,0)</f>
        <v>#REF!</v>
      </c>
      <c r="AF1007" s="8"/>
      <c r="AG1007" s="8"/>
      <c r="AH1007" s="8"/>
      <c r="AI1007" s="8"/>
    </row>
    <row r="1008" spans="2:35" s="3" customFormat="1" x14ac:dyDescent="0.25">
      <c r="B1008" s="4" t="e">
        <f>IF(AE1008=0,"",1+(MAX(B$7:B1007)))</f>
        <v>#REF!</v>
      </c>
      <c r="C1008" s="51"/>
      <c r="D1008" s="52"/>
      <c r="E1008" s="53"/>
      <c r="F1008" s="2"/>
      <c r="G1008" s="2"/>
      <c r="H1008" s="2"/>
      <c r="I1008" s="2"/>
      <c r="J1008" s="2"/>
      <c r="K1008" s="2"/>
      <c r="L1008" s="2"/>
      <c r="M1008" s="2"/>
      <c r="N1008" s="2"/>
      <c r="O1008" s="7">
        <f t="shared" si="53"/>
        <v>0</v>
      </c>
      <c r="P1008" s="2"/>
      <c r="Q1008" s="2"/>
      <c r="R1008" s="2"/>
      <c r="S1008" s="2"/>
      <c r="T1008" s="2"/>
      <c r="U1008" s="2"/>
      <c r="V1008" s="2"/>
      <c r="W1008" s="2"/>
      <c r="X1008" s="2"/>
      <c r="Y1008" s="2"/>
      <c r="Z1008" s="2"/>
      <c r="AA1008" s="7">
        <f t="shared" si="54"/>
        <v>0</v>
      </c>
      <c r="AB1008" s="7">
        <f t="shared" si="55"/>
        <v>0</v>
      </c>
      <c r="AC1008" s="9"/>
      <c r="AD1008" s="9"/>
      <c r="AE1008" s="9" t="e">
        <f>IF(#REF!=#REF!,1,0)</f>
        <v>#REF!</v>
      </c>
      <c r="AF1008" s="8"/>
      <c r="AG1008" s="8"/>
      <c r="AH1008" s="8"/>
      <c r="AI1008" s="8"/>
    </row>
    <row r="1009" spans="2:35" s="3" customFormat="1" x14ac:dyDescent="0.25">
      <c r="B1009" s="4" t="e">
        <f>IF(AE1009=0,"",1+(MAX(B$7:B1008)))</f>
        <v>#REF!</v>
      </c>
      <c r="C1009" s="51"/>
      <c r="D1009" s="52"/>
      <c r="E1009" s="53"/>
      <c r="F1009" s="2"/>
      <c r="G1009" s="2"/>
      <c r="H1009" s="2"/>
      <c r="I1009" s="2"/>
      <c r="J1009" s="2"/>
      <c r="K1009" s="2"/>
      <c r="L1009" s="2"/>
      <c r="M1009" s="2"/>
      <c r="N1009" s="2"/>
      <c r="O1009" s="7">
        <f t="shared" si="53"/>
        <v>0</v>
      </c>
      <c r="P1009" s="2"/>
      <c r="Q1009" s="2"/>
      <c r="R1009" s="2"/>
      <c r="S1009" s="2"/>
      <c r="T1009" s="2"/>
      <c r="U1009" s="2"/>
      <c r="V1009" s="2"/>
      <c r="W1009" s="2"/>
      <c r="X1009" s="2"/>
      <c r="Y1009" s="2"/>
      <c r="Z1009" s="2"/>
      <c r="AA1009" s="7">
        <f t="shared" si="54"/>
        <v>0</v>
      </c>
      <c r="AB1009" s="7">
        <f t="shared" si="55"/>
        <v>0</v>
      </c>
      <c r="AC1009" s="9"/>
      <c r="AD1009" s="9"/>
      <c r="AE1009" s="9" t="e">
        <f>IF(#REF!=#REF!,1,0)</f>
        <v>#REF!</v>
      </c>
      <c r="AF1009" s="8"/>
      <c r="AG1009" s="8"/>
      <c r="AH1009" s="8"/>
      <c r="AI1009" s="8"/>
    </row>
    <row r="1010" spans="2:35" s="3" customFormat="1" x14ac:dyDescent="0.25">
      <c r="B1010" s="4" t="e">
        <f>IF(AE1010=0,"",1+(MAX(B$7:B1009)))</f>
        <v>#REF!</v>
      </c>
      <c r="C1010" s="51"/>
      <c r="D1010" s="52"/>
      <c r="E1010" s="53"/>
      <c r="F1010" s="2"/>
      <c r="G1010" s="2"/>
      <c r="H1010" s="2"/>
      <c r="I1010" s="2"/>
      <c r="J1010" s="2"/>
      <c r="K1010" s="2"/>
      <c r="L1010" s="2"/>
      <c r="M1010" s="2"/>
      <c r="N1010" s="2"/>
      <c r="O1010" s="7">
        <f t="shared" si="53"/>
        <v>0</v>
      </c>
      <c r="P1010" s="2"/>
      <c r="Q1010" s="2"/>
      <c r="R1010" s="2"/>
      <c r="S1010" s="2"/>
      <c r="T1010" s="2"/>
      <c r="U1010" s="2"/>
      <c r="V1010" s="2"/>
      <c r="W1010" s="2"/>
      <c r="X1010" s="2"/>
      <c r="Y1010" s="2"/>
      <c r="Z1010" s="2"/>
      <c r="AA1010" s="7">
        <f t="shared" si="54"/>
        <v>0</v>
      </c>
      <c r="AB1010" s="7">
        <f t="shared" si="55"/>
        <v>0</v>
      </c>
      <c r="AC1010" s="9"/>
      <c r="AD1010" s="9"/>
      <c r="AE1010" s="9" t="e">
        <f>IF(#REF!=#REF!,1,0)</f>
        <v>#REF!</v>
      </c>
      <c r="AF1010" s="8"/>
      <c r="AG1010" s="8"/>
      <c r="AH1010" s="8"/>
      <c r="AI1010" s="8"/>
    </row>
    <row r="1011" spans="2:35" s="3" customFormat="1" x14ac:dyDescent="0.25">
      <c r="B1011" s="4" t="e">
        <f>IF(AE1011=0,"",1+(MAX(B$7:B1010)))</f>
        <v>#REF!</v>
      </c>
      <c r="C1011" s="51"/>
      <c r="D1011" s="52"/>
      <c r="E1011" s="53"/>
      <c r="F1011" s="2"/>
      <c r="G1011" s="2"/>
      <c r="H1011" s="2"/>
      <c r="I1011" s="2"/>
      <c r="J1011" s="2"/>
      <c r="K1011" s="2"/>
      <c r="L1011" s="2"/>
      <c r="M1011" s="2"/>
      <c r="N1011" s="2"/>
      <c r="O1011" s="7">
        <f t="shared" si="53"/>
        <v>0</v>
      </c>
      <c r="P1011" s="2"/>
      <c r="Q1011" s="2"/>
      <c r="R1011" s="2"/>
      <c r="S1011" s="2"/>
      <c r="T1011" s="2"/>
      <c r="U1011" s="2"/>
      <c r="V1011" s="2"/>
      <c r="W1011" s="2"/>
      <c r="X1011" s="2"/>
      <c r="Y1011" s="2"/>
      <c r="Z1011" s="2"/>
      <c r="AA1011" s="7">
        <f t="shared" si="54"/>
        <v>0</v>
      </c>
      <c r="AB1011" s="7">
        <f t="shared" si="55"/>
        <v>0</v>
      </c>
      <c r="AC1011" s="9"/>
      <c r="AD1011" s="9"/>
      <c r="AE1011" s="9" t="e">
        <f>IF(#REF!=#REF!,1,0)</f>
        <v>#REF!</v>
      </c>
      <c r="AF1011" s="8"/>
      <c r="AG1011" s="8"/>
      <c r="AH1011" s="8"/>
      <c r="AI1011" s="8"/>
    </row>
    <row r="1012" spans="2:35" s="3" customFormat="1" x14ac:dyDescent="0.25">
      <c r="B1012" s="4" t="e">
        <f>IF(AE1012=0,"",1+(MAX(B$7:B1011)))</f>
        <v>#REF!</v>
      </c>
      <c r="C1012" s="51"/>
      <c r="D1012" s="52"/>
      <c r="E1012" s="53"/>
      <c r="F1012" s="2"/>
      <c r="G1012" s="2"/>
      <c r="H1012" s="2"/>
      <c r="I1012" s="2"/>
      <c r="J1012" s="2"/>
      <c r="K1012" s="2"/>
      <c r="L1012" s="2"/>
      <c r="M1012" s="2"/>
      <c r="N1012" s="2"/>
      <c r="O1012" s="7">
        <f t="shared" si="53"/>
        <v>0</v>
      </c>
      <c r="P1012" s="2"/>
      <c r="Q1012" s="2"/>
      <c r="R1012" s="2"/>
      <c r="S1012" s="2"/>
      <c r="T1012" s="2"/>
      <c r="U1012" s="2"/>
      <c r="V1012" s="2"/>
      <c r="W1012" s="2"/>
      <c r="X1012" s="2"/>
      <c r="Y1012" s="2"/>
      <c r="Z1012" s="2"/>
      <c r="AA1012" s="7">
        <f t="shared" si="54"/>
        <v>0</v>
      </c>
      <c r="AB1012" s="7">
        <f t="shared" si="55"/>
        <v>0</v>
      </c>
      <c r="AC1012" s="9"/>
      <c r="AD1012" s="9"/>
      <c r="AE1012" s="9" t="e">
        <f>IF(#REF!=#REF!,1,0)</f>
        <v>#REF!</v>
      </c>
      <c r="AF1012" s="8"/>
      <c r="AG1012" s="8"/>
      <c r="AH1012" s="8"/>
      <c r="AI1012" s="8"/>
    </row>
    <row r="1013" spans="2:35" s="3" customFormat="1" x14ac:dyDescent="0.25">
      <c r="B1013" s="4" t="e">
        <f>IF(AE1013=0,"",1+(MAX(B$7:B1012)))</f>
        <v>#REF!</v>
      </c>
      <c r="C1013" s="51"/>
      <c r="D1013" s="52"/>
      <c r="E1013" s="53"/>
      <c r="F1013" s="2"/>
      <c r="G1013" s="2"/>
      <c r="H1013" s="2"/>
      <c r="I1013" s="2"/>
      <c r="J1013" s="2"/>
      <c r="K1013" s="2"/>
      <c r="L1013" s="2"/>
      <c r="M1013" s="2"/>
      <c r="N1013" s="2"/>
      <c r="O1013" s="7">
        <f t="shared" si="53"/>
        <v>0</v>
      </c>
      <c r="P1013" s="2"/>
      <c r="Q1013" s="2"/>
      <c r="R1013" s="2"/>
      <c r="S1013" s="2"/>
      <c r="T1013" s="2"/>
      <c r="U1013" s="2"/>
      <c r="V1013" s="2"/>
      <c r="W1013" s="2"/>
      <c r="X1013" s="2"/>
      <c r="Y1013" s="2"/>
      <c r="Z1013" s="2"/>
      <c r="AA1013" s="7">
        <f t="shared" si="54"/>
        <v>0</v>
      </c>
      <c r="AB1013" s="7">
        <f t="shared" si="55"/>
        <v>0</v>
      </c>
      <c r="AC1013" s="9"/>
      <c r="AD1013" s="9"/>
      <c r="AE1013" s="9" t="e">
        <f>IF(#REF!=#REF!,1,0)</f>
        <v>#REF!</v>
      </c>
      <c r="AF1013" s="8"/>
      <c r="AG1013" s="8"/>
      <c r="AH1013" s="8"/>
      <c r="AI1013" s="8"/>
    </row>
    <row r="1014" spans="2:35" s="3" customFormat="1" x14ac:dyDescent="0.25">
      <c r="B1014" s="4" t="e">
        <f>IF(AE1014=0,"",1+(MAX(B$7:B1013)))</f>
        <v>#REF!</v>
      </c>
      <c r="C1014" s="51"/>
      <c r="D1014" s="52"/>
      <c r="E1014" s="53"/>
      <c r="F1014" s="2"/>
      <c r="G1014" s="2"/>
      <c r="H1014" s="2"/>
      <c r="I1014" s="2"/>
      <c r="J1014" s="2"/>
      <c r="K1014" s="2"/>
      <c r="L1014" s="2"/>
      <c r="M1014" s="2"/>
      <c r="N1014" s="2"/>
      <c r="O1014" s="7">
        <f t="shared" si="53"/>
        <v>0</v>
      </c>
      <c r="P1014" s="2"/>
      <c r="Q1014" s="2"/>
      <c r="R1014" s="2"/>
      <c r="S1014" s="2"/>
      <c r="T1014" s="2"/>
      <c r="U1014" s="2"/>
      <c r="V1014" s="2"/>
      <c r="W1014" s="2"/>
      <c r="X1014" s="2"/>
      <c r="Y1014" s="2"/>
      <c r="Z1014" s="2"/>
      <c r="AA1014" s="7">
        <f t="shared" si="54"/>
        <v>0</v>
      </c>
      <c r="AB1014" s="7">
        <f t="shared" si="55"/>
        <v>0</v>
      </c>
      <c r="AC1014" s="9"/>
      <c r="AD1014" s="9"/>
      <c r="AE1014" s="9" t="e">
        <f>IF(#REF!=#REF!,1,0)</f>
        <v>#REF!</v>
      </c>
      <c r="AF1014" s="8"/>
      <c r="AG1014" s="8"/>
      <c r="AH1014" s="8"/>
      <c r="AI1014" s="8"/>
    </row>
    <row r="1015" spans="2:35" s="3" customFormat="1" x14ac:dyDescent="0.25">
      <c r="B1015" s="4" t="e">
        <f>IF(AE1015=0,"",1+(MAX(B$7:B1014)))</f>
        <v>#REF!</v>
      </c>
      <c r="C1015" s="51"/>
      <c r="D1015" s="52"/>
      <c r="E1015" s="53"/>
      <c r="F1015" s="2"/>
      <c r="G1015" s="2"/>
      <c r="H1015" s="2"/>
      <c r="I1015" s="2"/>
      <c r="J1015" s="2"/>
      <c r="K1015" s="2"/>
      <c r="L1015" s="2"/>
      <c r="M1015" s="2"/>
      <c r="N1015" s="2"/>
      <c r="O1015" s="7">
        <f t="shared" si="53"/>
        <v>0</v>
      </c>
      <c r="P1015" s="2"/>
      <c r="Q1015" s="2"/>
      <c r="R1015" s="2"/>
      <c r="S1015" s="2"/>
      <c r="T1015" s="2"/>
      <c r="U1015" s="2"/>
      <c r="V1015" s="2"/>
      <c r="W1015" s="2"/>
      <c r="X1015" s="2"/>
      <c r="Y1015" s="2"/>
      <c r="Z1015" s="2"/>
      <c r="AA1015" s="7">
        <f t="shared" si="54"/>
        <v>0</v>
      </c>
      <c r="AB1015" s="7">
        <f t="shared" si="55"/>
        <v>0</v>
      </c>
      <c r="AC1015" s="9"/>
      <c r="AD1015" s="9"/>
      <c r="AE1015" s="9" t="e">
        <f>IF(#REF!=#REF!,1,0)</f>
        <v>#REF!</v>
      </c>
      <c r="AF1015" s="8"/>
      <c r="AG1015" s="8"/>
      <c r="AH1015" s="8"/>
      <c r="AI1015" s="8"/>
    </row>
    <row r="1016" spans="2:35" s="3" customFormat="1" x14ac:dyDescent="0.25">
      <c r="B1016" s="4" t="e">
        <f>IF(AE1016=0,"",1+(MAX(B$7:B1015)))</f>
        <v>#REF!</v>
      </c>
      <c r="C1016" s="51"/>
      <c r="D1016" s="52"/>
      <c r="E1016" s="53"/>
      <c r="F1016" s="2"/>
      <c r="G1016" s="2"/>
      <c r="H1016" s="2"/>
      <c r="I1016" s="2"/>
      <c r="J1016" s="2"/>
      <c r="K1016" s="2"/>
      <c r="L1016" s="2"/>
      <c r="M1016" s="2"/>
      <c r="N1016" s="2"/>
      <c r="O1016" s="7">
        <f t="shared" si="53"/>
        <v>0</v>
      </c>
      <c r="P1016" s="2"/>
      <c r="Q1016" s="2"/>
      <c r="R1016" s="2"/>
      <c r="S1016" s="2"/>
      <c r="T1016" s="2"/>
      <c r="U1016" s="2"/>
      <c r="V1016" s="2"/>
      <c r="W1016" s="2"/>
      <c r="X1016" s="2"/>
      <c r="Y1016" s="2"/>
      <c r="Z1016" s="2"/>
      <c r="AA1016" s="7">
        <f t="shared" si="54"/>
        <v>0</v>
      </c>
      <c r="AB1016" s="7">
        <f t="shared" si="55"/>
        <v>0</v>
      </c>
      <c r="AC1016" s="9"/>
      <c r="AD1016" s="9"/>
      <c r="AE1016" s="9" t="e">
        <f>IF(#REF!=#REF!,1,0)</f>
        <v>#REF!</v>
      </c>
      <c r="AF1016" s="8"/>
      <c r="AG1016" s="8"/>
      <c r="AH1016" s="8"/>
      <c r="AI1016" s="8"/>
    </row>
    <row r="1017" spans="2:35" s="3" customFormat="1" x14ac:dyDescent="0.25">
      <c r="B1017" s="4" t="e">
        <f>IF(AE1017=0,"",1+(MAX(B$7:B1016)))</f>
        <v>#REF!</v>
      </c>
      <c r="C1017" s="51"/>
      <c r="D1017" s="52"/>
      <c r="E1017" s="53"/>
      <c r="F1017" s="2"/>
      <c r="G1017" s="2"/>
      <c r="H1017" s="2"/>
      <c r="I1017" s="2"/>
      <c r="J1017" s="2"/>
      <c r="K1017" s="2"/>
      <c r="L1017" s="2"/>
      <c r="M1017" s="2"/>
      <c r="N1017" s="2"/>
      <c r="O1017" s="7">
        <f t="shared" si="53"/>
        <v>0</v>
      </c>
      <c r="P1017" s="2"/>
      <c r="Q1017" s="2"/>
      <c r="R1017" s="2"/>
      <c r="S1017" s="2"/>
      <c r="T1017" s="2"/>
      <c r="U1017" s="2"/>
      <c r="V1017" s="2"/>
      <c r="W1017" s="2"/>
      <c r="X1017" s="2"/>
      <c r="Y1017" s="2"/>
      <c r="Z1017" s="2"/>
      <c r="AA1017" s="7">
        <f t="shared" si="54"/>
        <v>0</v>
      </c>
      <c r="AB1017" s="7">
        <f t="shared" si="55"/>
        <v>0</v>
      </c>
      <c r="AC1017" s="9"/>
      <c r="AD1017" s="9"/>
      <c r="AE1017" s="9" t="e">
        <f>IF(#REF!=#REF!,1,0)</f>
        <v>#REF!</v>
      </c>
      <c r="AF1017" s="8"/>
      <c r="AG1017" s="8"/>
      <c r="AH1017" s="8"/>
      <c r="AI1017" s="8"/>
    </row>
    <row r="1018" spans="2:35" s="3" customFormat="1" x14ac:dyDescent="0.25">
      <c r="B1018" s="4" t="e">
        <f>IF(AE1018=0,"",1+(MAX(B$7:B1017)))</f>
        <v>#REF!</v>
      </c>
      <c r="C1018" s="51"/>
      <c r="D1018" s="52"/>
      <c r="E1018" s="53"/>
      <c r="F1018" s="2"/>
      <c r="G1018" s="2"/>
      <c r="H1018" s="2"/>
      <c r="I1018" s="2"/>
      <c r="J1018" s="2"/>
      <c r="K1018" s="2"/>
      <c r="L1018" s="2"/>
      <c r="M1018" s="2"/>
      <c r="N1018" s="2"/>
      <c r="O1018" s="7">
        <f t="shared" si="53"/>
        <v>0</v>
      </c>
      <c r="P1018" s="2"/>
      <c r="Q1018" s="2"/>
      <c r="R1018" s="2"/>
      <c r="S1018" s="2"/>
      <c r="T1018" s="2"/>
      <c r="U1018" s="2"/>
      <c r="V1018" s="2"/>
      <c r="W1018" s="2"/>
      <c r="X1018" s="2"/>
      <c r="Y1018" s="2"/>
      <c r="Z1018" s="2"/>
      <c r="AA1018" s="7">
        <f t="shared" si="54"/>
        <v>0</v>
      </c>
      <c r="AB1018" s="7">
        <f t="shared" si="55"/>
        <v>0</v>
      </c>
      <c r="AC1018" s="9"/>
      <c r="AD1018" s="9"/>
      <c r="AE1018" s="9" t="e">
        <f>IF(#REF!=#REF!,1,0)</f>
        <v>#REF!</v>
      </c>
      <c r="AF1018" s="8"/>
      <c r="AG1018" s="8"/>
      <c r="AH1018" s="8"/>
      <c r="AI1018" s="8"/>
    </row>
    <row r="1019" spans="2:35" s="3" customFormat="1" x14ac:dyDescent="0.25">
      <c r="B1019" s="4" t="e">
        <f>IF(AE1019=0,"",1+(MAX(B$7:B1018)))</f>
        <v>#REF!</v>
      </c>
      <c r="C1019" s="51"/>
      <c r="D1019" s="52"/>
      <c r="E1019" s="53"/>
      <c r="F1019" s="2"/>
      <c r="G1019" s="2"/>
      <c r="H1019" s="2"/>
      <c r="I1019" s="2"/>
      <c r="J1019" s="2"/>
      <c r="K1019" s="2"/>
      <c r="L1019" s="2"/>
      <c r="M1019" s="2"/>
      <c r="N1019" s="2"/>
      <c r="O1019" s="7">
        <f t="shared" si="53"/>
        <v>0</v>
      </c>
      <c r="P1019" s="2"/>
      <c r="Q1019" s="2"/>
      <c r="R1019" s="2"/>
      <c r="S1019" s="2"/>
      <c r="T1019" s="2"/>
      <c r="U1019" s="2"/>
      <c r="V1019" s="2"/>
      <c r="W1019" s="2"/>
      <c r="X1019" s="2"/>
      <c r="Y1019" s="2"/>
      <c r="Z1019" s="2"/>
      <c r="AA1019" s="7">
        <f t="shared" si="54"/>
        <v>0</v>
      </c>
      <c r="AB1019" s="7">
        <f t="shared" si="55"/>
        <v>0</v>
      </c>
      <c r="AC1019" s="9"/>
      <c r="AD1019" s="9"/>
      <c r="AE1019" s="9" t="e">
        <f>IF(#REF!=#REF!,1,0)</f>
        <v>#REF!</v>
      </c>
      <c r="AF1019" s="8"/>
      <c r="AG1019" s="8"/>
      <c r="AH1019" s="8"/>
      <c r="AI1019" s="8"/>
    </row>
    <row r="1020" spans="2:35" s="3" customFormat="1" x14ac:dyDescent="0.25">
      <c r="B1020" s="4" t="e">
        <f>IF(AE1020=0,"",1+(MAX(B$7:B1019)))</f>
        <v>#REF!</v>
      </c>
      <c r="C1020" s="51"/>
      <c r="D1020" s="52"/>
      <c r="E1020" s="53"/>
      <c r="F1020" s="2"/>
      <c r="G1020" s="2"/>
      <c r="H1020" s="2"/>
      <c r="I1020" s="2"/>
      <c r="J1020" s="2"/>
      <c r="K1020" s="2"/>
      <c r="L1020" s="2"/>
      <c r="M1020" s="2"/>
      <c r="N1020" s="2"/>
      <c r="O1020" s="7">
        <f t="shared" si="53"/>
        <v>0</v>
      </c>
      <c r="P1020" s="2"/>
      <c r="Q1020" s="2"/>
      <c r="R1020" s="2"/>
      <c r="S1020" s="2"/>
      <c r="T1020" s="2"/>
      <c r="U1020" s="2"/>
      <c r="V1020" s="2"/>
      <c r="W1020" s="2"/>
      <c r="X1020" s="2"/>
      <c r="Y1020" s="2"/>
      <c r="Z1020" s="2"/>
      <c r="AA1020" s="7">
        <f t="shared" si="54"/>
        <v>0</v>
      </c>
      <c r="AB1020" s="7">
        <f t="shared" si="55"/>
        <v>0</v>
      </c>
      <c r="AC1020" s="9"/>
      <c r="AD1020" s="9"/>
      <c r="AE1020" s="9" t="e">
        <f>IF(#REF!=#REF!,1,0)</f>
        <v>#REF!</v>
      </c>
      <c r="AF1020" s="8"/>
      <c r="AG1020" s="8"/>
      <c r="AH1020" s="8"/>
      <c r="AI1020" s="8"/>
    </row>
    <row r="1021" spans="2:35" s="3" customFormat="1" x14ac:dyDescent="0.25">
      <c r="B1021" s="4" t="e">
        <f>IF(AE1021=0,"",1+(MAX(B$7:B1020)))</f>
        <v>#REF!</v>
      </c>
      <c r="C1021" s="51"/>
      <c r="D1021" s="52"/>
      <c r="E1021" s="53"/>
      <c r="F1021" s="2"/>
      <c r="G1021" s="2"/>
      <c r="H1021" s="2"/>
      <c r="I1021" s="2"/>
      <c r="J1021" s="2"/>
      <c r="K1021" s="2"/>
      <c r="L1021" s="2"/>
      <c r="M1021" s="2"/>
      <c r="N1021" s="2"/>
      <c r="O1021" s="7">
        <f t="shared" si="53"/>
        <v>0</v>
      </c>
      <c r="P1021" s="2"/>
      <c r="Q1021" s="2"/>
      <c r="R1021" s="2"/>
      <c r="S1021" s="2"/>
      <c r="T1021" s="2"/>
      <c r="U1021" s="2"/>
      <c r="V1021" s="2"/>
      <c r="W1021" s="2"/>
      <c r="X1021" s="2"/>
      <c r="Y1021" s="2"/>
      <c r="Z1021" s="2"/>
      <c r="AA1021" s="7">
        <f t="shared" si="54"/>
        <v>0</v>
      </c>
      <c r="AB1021" s="7">
        <f t="shared" si="55"/>
        <v>0</v>
      </c>
      <c r="AC1021" s="9"/>
      <c r="AD1021" s="9"/>
      <c r="AE1021" s="9" t="e">
        <f>IF(#REF!=#REF!,1,0)</f>
        <v>#REF!</v>
      </c>
      <c r="AF1021" s="8"/>
      <c r="AG1021" s="8"/>
      <c r="AH1021" s="8"/>
      <c r="AI1021" s="8"/>
    </row>
    <row r="1022" spans="2:35" s="3" customFormat="1" x14ac:dyDescent="0.25">
      <c r="B1022" s="4" t="e">
        <f>IF(AE1022=0,"",1+(MAX(B$7:B1021)))</f>
        <v>#REF!</v>
      </c>
      <c r="C1022" s="51"/>
      <c r="D1022" s="52"/>
      <c r="E1022" s="53"/>
      <c r="F1022" s="2"/>
      <c r="G1022" s="2"/>
      <c r="H1022" s="2"/>
      <c r="I1022" s="2"/>
      <c r="J1022" s="2"/>
      <c r="K1022" s="2"/>
      <c r="L1022" s="2"/>
      <c r="M1022" s="2"/>
      <c r="N1022" s="2"/>
      <c r="O1022" s="7">
        <f t="shared" si="53"/>
        <v>0</v>
      </c>
      <c r="P1022" s="2"/>
      <c r="Q1022" s="2"/>
      <c r="R1022" s="2"/>
      <c r="S1022" s="2"/>
      <c r="T1022" s="2"/>
      <c r="U1022" s="2"/>
      <c r="V1022" s="2"/>
      <c r="W1022" s="2"/>
      <c r="X1022" s="2"/>
      <c r="Y1022" s="2"/>
      <c r="Z1022" s="2"/>
      <c r="AA1022" s="7">
        <f t="shared" si="54"/>
        <v>0</v>
      </c>
      <c r="AB1022" s="7">
        <f t="shared" si="55"/>
        <v>0</v>
      </c>
      <c r="AC1022" s="9"/>
      <c r="AD1022" s="9"/>
      <c r="AE1022" s="9" t="e">
        <f>IF(#REF!=#REF!,1,0)</f>
        <v>#REF!</v>
      </c>
      <c r="AF1022" s="8"/>
      <c r="AG1022" s="8"/>
      <c r="AH1022" s="8"/>
      <c r="AI1022" s="8"/>
    </row>
    <row r="1023" spans="2:35" s="3" customFormat="1" x14ac:dyDescent="0.25">
      <c r="B1023" s="4" t="e">
        <f>IF(AE1023=0,"",1+(MAX(B$7:B1022)))</f>
        <v>#REF!</v>
      </c>
      <c r="C1023" s="51"/>
      <c r="D1023" s="52"/>
      <c r="E1023" s="53"/>
      <c r="F1023" s="2"/>
      <c r="G1023" s="2"/>
      <c r="H1023" s="2"/>
      <c r="I1023" s="2"/>
      <c r="J1023" s="2"/>
      <c r="K1023" s="2"/>
      <c r="L1023" s="2"/>
      <c r="M1023" s="2"/>
      <c r="N1023" s="2"/>
      <c r="O1023" s="7">
        <f t="shared" si="53"/>
        <v>0</v>
      </c>
      <c r="P1023" s="2"/>
      <c r="Q1023" s="2"/>
      <c r="R1023" s="2"/>
      <c r="S1023" s="2"/>
      <c r="T1023" s="2"/>
      <c r="U1023" s="2"/>
      <c r="V1023" s="2"/>
      <c r="W1023" s="2"/>
      <c r="X1023" s="2"/>
      <c r="Y1023" s="2"/>
      <c r="Z1023" s="2"/>
      <c r="AA1023" s="7">
        <f t="shared" si="54"/>
        <v>0</v>
      </c>
      <c r="AB1023" s="7">
        <f t="shared" si="55"/>
        <v>0</v>
      </c>
      <c r="AC1023" s="9"/>
      <c r="AD1023" s="9"/>
      <c r="AE1023" s="9" t="e">
        <f>IF(#REF!=#REF!,1,0)</f>
        <v>#REF!</v>
      </c>
      <c r="AF1023" s="8"/>
      <c r="AG1023" s="8"/>
      <c r="AH1023" s="8"/>
      <c r="AI1023" s="8"/>
    </row>
    <row r="1024" spans="2:35" s="3" customFormat="1" x14ac:dyDescent="0.25">
      <c r="B1024" s="4" t="e">
        <f>IF(AE1024=0,"",1+(MAX(B$7:B1023)))</f>
        <v>#REF!</v>
      </c>
      <c r="C1024" s="51"/>
      <c r="D1024" s="52"/>
      <c r="E1024" s="53"/>
      <c r="F1024" s="2"/>
      <c r="G1024" s="2"/>
      <c r="H1024" s="2"/>
      <c r="I1024" s="2"/>
      <c r="J1024" s="2"/>
      <c r="K1024" s="2"/>
      <c r="L1024" s="2"/>
      <c r="M1024" s="2"/>
      <c r="N1024" s="2"/>
      <c r="O1024" s="7">
        <f t="shared" si="53"/>
        <v>0</v>
      </c>
      <c r="P1024" s="2"/>
      <c r="Q1024" s="2"/>
      <c r="R1024" s="2"/>
      <c r="S1024" s="2"/>
      <c r="T1024" s="2"/>
      <c r="U1024" s="2"/>
      <c r="V1024" s="2"/>
      <c r="W1024" s="2"/>
      <c r="X1024" s="2"/>
      <c r="Y1024" s="2"/>
      <c r="Z1024" s="2"/>
      <c r="AA1024" s="7">
        <f t="shared" si="54"/>
        <v>0</v>
      </c>
      <c r="AB1024" s="7">
        <f t="shared" si="55"/>
        <v>0</v>
      </c>
      <c r="AC1024" s="9"/>
      <c r="AD1024" s="9"/>
      <c r="AE1024" s="9" t="e">
        <f>IF(#REF!=#REF!,1,0)</f>
        <v>#REF!</v>
      </c>
      <c r="AF1024" s="8"/>
      <c r="AG1024" s="8"/>
      <c r="AH1024" s="8"/>
      <c r="AI1024" s="8"/>
    </row>
    <row r="1025" spans="2:35" s="3" customFormat="1" x14ac:dyDescent="0.25">
      <c r="B1025" s="4" t="e">
        <f>IF(AE1025=0,"",1+(MAX(B$7:B1024)))</f>
        <v>#REF!</v>
      </c>
      <c r="C1025" s="51"/>
      <c r="D1025" s="52"/>
      <c r="E1025" s="53"/>
      <c r="F1025" s="2"/>
      <c r="G1025" s="2"/>
      <c r="H1025" s="2"/>
      <c r="I1025" s="2"/>
      <c r="J1025" s="2"/>
      <c r="K1025" s="2"/>
      <c r="L1025" s="2"/>
      <c r="M1025" s="2"/>
      <c r="N1025" s="2"/>
      <c r="O1025" s="7">
        <f t="shared" si="53"/>
        <v>0</v>
      </c>
      <c r="P1025" s="2"/>
      <c r="Q1025" s="2"/>
      <c r="R1025" s="2"/>
      <c r="S1025" s="2"/>
      <c r="T1025" s="2"/>
      <c r="U1025" s="2"/>
      <c r="V1025" s="2"/>
      <c r="W1025" s="2"/>
      <c r="X1025" s="2"/>
      <c r="Y1025" s="2"/>
      <c r="Z1025" s="2"/>
      <c r="AA1025" s="7">
        <f t="shared" si="54"/>
        <v>0</v>
      </c>
      <c r="AB1025" s="7">
        <f t="shared" si="55"/>
        <v>0</v>
      </c>
      <c r="AC1025" s="9"/>
      <c r="AD1025" s="9"/>
      <c r="AE1025" s="9" t="e">
        <f>IF(#REF!=#REF!,1,0)</f>
        <v>#REF!</v>
      </c>
      <c r="AF1025" s="8"/>
      <c r="AG1025" s="8"/>
      <c r="AH1025" s="8"/>
      <c r="AI1025" s="8"/>
    </row>
    <row r="1026" spans="2:35" s="3" customFormat="1" x14ac:dyDescent="0.25">
      <c r="B1026" s="4" t="e">
        <f>IF(AE1026=0,"",1+(MAX(B$7:B1025)))</f>
        <v>#REF!</v>
      </c>
      <c r="C1026" s="51"/>
      <c r="D1026" s="52"/>
      <c r="E1026" s="53"/>
      <c r="F1026" s="2"/>
      <c r="G1026" s="2"/>
      <c r="H1026" s="2"/>
      <c r="I1026" s="2"/>
      <c r="J1026" s="2"/>
      <c r="K1026" s="2"/>
      <c r="L1026" s="2"/>
      <c r="M1026" s="2"/>
      <c r="N1026" s="2"/>
      <c r="O1026" s="7">
        <f t="shared" si="53"/>
        <v>0</v>
      </c>
      <c r="P1026" s="2"/>
      <c r="Q1026" s="2"/>
      <c r="R1026" s="2"/>
      <c r="S1026" s="2"/>
      <c r="T1026" s="2"/>
      <c r="U1026" s="2"/>
      <c r="V1026" s="2"/>
      <c r="W1026" s="2"/>
      <c r="X1026" s="2"/>
      <c r="Y1026" s="2"/>
      <c r="Z1026" s="2"/>
      <c r="AA1026" s="7">
        <f t="shared" si="54"/>
        <v>0</v>
      </c>
      <c r="AB1026" s="7">
        <f t="shared" si="55"/>
        <v>0</v>
      </c>
      <c r="AC1026" s="9"/>
      <c r="AD1026" s="9"/>
      <c r="AE1026" s="9" t="e">
        <f>IF(#REF!=#REF!,1,0)</f>
        <v>#REF!</v>
      </c>
      <c r="AF1026" s="8"/>
      <c r="AG1026" s="8"/>
      <c r="AH1026" s="8"/>
      <c r="AI1026" s="8"/>
    </row>
    <row r="1027" spans="2:35" s="3" customFormat="1" x14ac:dyDescent="0.25">
      <c r="B1027" s="4" t="e">
        <f>IF(AE1027=0,"",1+(MAX(B$7:B1026)))</f>
        <v>#REF!</v>
      </c>
      <c r="C1027" s="51"/>
      <c r="D1027" s="52"/>
      <c r="E1027" s="53"/>
      <c r="F1027" s="2"/>
      <c r="G1027" s="2"/>
      <c r="H1027" s="2"/>
      <c r="I1027" s="2"/>
      <c r="J1027" s="2"/>
      <c r="K1027" s="2"/>
      <c r="L1027" s="2"/>
      <c r="M1027" s="2"/>
      <c r="N1027" s="2"/>
      <c r="O1027" s="7">
        <f t="shared" si="53"/>
        <v>0</v>
      </c>
      <c r="P1027" s="2"/>
      <c r="Q1027" s="2"/>
      <c r="R1027" s="2"/>
      <c r="S1027" s="2"/>
      <c r="T1027" s="2"/>
      <c r="U1027" s="2"/>
      <c r="V1027" s="2"/>
      <c r="W1027" s="2"/>
      <c r="X1027" s="2"/>
      <c r="Y1027" s="2"/>
      <c r="Z1027" s="2"/>
      <c r="AA1027" s="7">
        <f t="shared" si="54"/>
        <v>0</v>
      </c>
      <c r="AB1027" s="7">
        <f t="shared" si="55"/>
        <v>0</v>
      </c>
      <c r="AC1027" s="9"/>
      <c r="AD1027" s="9"/>
      <c r="AE1027" s="9" t="e">
        <f>IF(#REF!=#REF!,1,0)</f>
        <v>#REF!</v>
      </c>
      <c r="AF1027" s="8"/>
      <c r="AG1027" s="8"/>
      <c r="AH1027" s="8"/>
      <c r="AI1027" s="8"/>
    </row>
    <row r="1028" spans="2:35" s="3" customFormat="1" x14ac:dyDescent="0.25">
      <c r="B1028" s="4" t="e">
        <f>IF(AE1028=0,"",1+(MAX(B$7:B1027)))</f>
        <v>#REF!</v>
      </c>
      <c r="C1028" s="51"/>
      <c r="D1028" s="52"/>
      <c r="E1028" s="53"/>
      <c r="F1028" s="2"/>
      <c r="G1028" s="2"/>
      <c r="H1028" s="2"/>
      <c r="I1028" s="2"/>
      <c r="J1028" s="2"/>
      <c r="K1028" s="2"/>
      <c r="L1028" s="2"/>
      <c r="M1028" s="2"/>
      <c r="N1028" s="2"/>
      <c r="O1028" s="7">
        <f t="shared" si="53"/>
        <v>0</v>
      </c>
      <c r="P1028" s="2"/>
      <c r="Q1028" s="2"/>
      <c r="R1028" s="2"/>
      <c r="S1028" s="2"/>
      <c r="T1028" s="2"/>
      <c r="U1028" s="2"/>
      <c r="V1028" s="2"/>
      <c r="W1028" s="2"/>
      <c r="X1028" s="2"/>
      <c r="Y1028" s="2"/>
      <c r="Z1028" s="2"/>
      <c r="AA1028" s="7">
        <f t="shared" si="54"/>
        <v>0</v>
      </c>
      <c r="AB1028" s="7">
        <f t="shared" si="55"/>
        <v>0</v>
      </c>
      <c r="AC1028" s="9"/>
      <c r="AD1028" s="9"/>
      <c r="AE1028" s="9" t="e">
        <f>IF(#REF!=#REF!,1,0)</f>
        <v>#REF!</v>
      </c>
      <c r="AF1028" s="8"/>
      <c r="AG1028" s="8"/>
      <c r="AH1028" s="8"/>
      <c r="AI1028" s="8"/>
    </row>
    <row r="1029" spans="2:35" s="3" customFormat="1" x14ac:dyDescent="0.25">
      <c r="B1029" s="4" t="e">
        <f>IF(AE1029=0,"",1+(MAX(B$7:B1028)))</f>
        <v>#REF!</v>
      </c>
      <c r="C1029" s="51"/>
      <c r="D1029" s="52"/>
      <c r="E1029" s="53"/>
      <c r="F1029" s="2"/>
      <c r="G1029" s="2"/>
      <c r="H1029" s="2"/>
      <c r="I1029" s="2"/>
      <c r="J1029" s="2"/>
      <c r="K1029" s="2"/>
      <c r="L1029" s="2"/>
      <c r="M1029" s="2"/>
      <c r="N1029" s="2"/>
      <c r="O1029" s="7">
        <f t="shared" si="53"/>
        <v>0</v>
      </c>
      <c r="P1029" s="2"/>
      <c r="Q1029" s="2"/>
      <c r="R1029" s="2"/>
      <c r="S1029" s="2"/>
      <c r="T1029" s="2"/>
      <c r="U1029" s="2"/>
      <c r="V1029" s="2"/>
      <c r="W1029" s="2"/>
      <c r="X1029" s="2"/>
      <c r="Y1029" s="2"/>
      <c r="Z1029" s="2"/>
      <c r="AA1029" s="7">
        <f t="shared" si="54"/>
        <v>0</v>
      </c>
      <c r="AB1029" s="7">
        <f t="shared" si="55"/>
        <v>0</v>
      </c>
      <c r="AC1029" s="9"/>
      <c r="AD1029" s="9"/>
      <c r="AE1029" s="9" t="e">
        <f>IF(#REF!=#REF!,1,0)</f>
        <v>#REF!</v>
      </c>
      <c r="AF1029" s="8"/>
      <c r="AG1029" s="8"/>
      <c r="AH1029" s="8"/>
      <c r="AI1029" s="8"/>
    </row>
    <row r="1030" spans="2:35" x14ac:dyDescent="0.25">
      <c r="B1030" s="62" t="e">
        <f>IF(AE1030=0,"",1+(MAX(B$7:B1029)))</f>
        <v>#REF!</v>
      </c>
      <c r="C1030" s="51"/>
      <c r="D1030" s="52"/>
      <c r="E1030" s="53"/>
      <c r="F1030" s="63"/>
      <c r="G1030" s="63"/>
      <c r="H1030" s="63"/>
      <c r="I1030" s="63"/>
      <c r="J1030" s="63"/>
      <c r="K1030" s="63"/>
      <c r="L1030" s="63"/>
      <c r="M1030" s="63"/>
      <c r="N1030" s="63"/>
      <c r="O1030" s="64">
        <f t="shared" si="53"/>
        <v>0</v>
      </c>
      <c r="P1030" s="63"/>
      <c r="Q1030" s="63"/>
      <c r="R1030" s="63"/>
      <c r="S1030" s="63"/>
      <c r="T1030" s="63"/>
      <c r="U1030" s="63"/>
      <c r="V1030" s="63"/>
      <c r="W1030" s="63"/>
      <c r="X1030" s="63"/>
      <c r="Y1030" s="63"/>
      <c r="Z1030" s="63"/>
      <c r="AA1030" s="64">
        <f t="shared" si="54"/>
        <v>0</v>
      </c>
      <c r="AB1030" s="64">
        <f t="shared" si="55"/>
        <v>0</v>
      </c>
      <c r="AE1030" s="65" t="e">
        <f>IF(#REF!=#REF!,1,0)</f>
        <v>#REF!</v>
      </c>
    </row>
    <row r="1031" spans="2:35" x14ac:dyDescent="0.25">
      <c r="B1031" s="62" t="e">
        <f>IF(AE1031=0,"",1+(MAX(B$7:B1030)))</f>
        <v>#REF!</v>
      </c>
      <c r="C1031" s="51"/>
      <c r="D1031" s="52"/>
      <c r="E1031" s="53"/>
      <c r="F1031" s="63"/>
      <c r="G1031" s="63"/>
      <c r="H1031" s="63"/>
      <c r="I1031" s="63"/>
      <c r="J1031" s="63"/>
      <c r="K1031" s="63"/>
      <c r="L1031" s="63"/>
      <c r="M1031" s="63"/>
      <c r="N1031" s="63"/>
      <c r="O1031" s="64">
        <f t="shared" si="53"/>
        <v>0</v>
      </c>
      <c r="P1031" s="63"/>
      <c r="Q1031" s="63"/>
      <c r="R1031" s="63"/>
      <c r="S1031" s="63"/>
      <c r="T1031" s="63"/>
      <c r="U1031" s="63"/>
      <c r="V1031" s="63"/>
      <c r="W1031" s="63"/>
      <c r="X1031" s="63"/>
      <c r="Y1031" s="63"/>
      <c r="Z1031" s="63"/>
      <c r="AA1031" s="64">
        <f t="shared" si="54"/>
        <v>0</v>
      </c>
      <c r="AB1031" s="64">
        <f t="shared" si="55"/>
        <v>0</v>
      </c>
      <c r="AE1031" s="65" t="e">
        <f>IF(#REF!=#REF!,1,0)</f>
        <v>#REF!</v>
      </c>
    </row>
    <row r="1032" spans="2:35" x14ac:dyDescent="0.25">
      <c r="B1032" s="62" t="e">
        <f>IF(AE1032=0,"",1+(MAX(B$7:B1031)))</f>
        <v>#REF!</v>
      </c>
      <c r="C1032" s="51"/>
      <c r="D1032" s="52"/>
      <c r="E1032" s="53"/>
      <c r="F1032" s="63"/>
      <c r="G1032" s="63"/>
      <c r="H1032" s="63"/>
      <c r="I1032" s="63"/>
      <c r="J1032" s="63"/>
      <c r="K1032" s="63"/>
      <c r="L1032" s="63"/>
      <c r="M1032" s="63"/>
      <c r="N1032" s="63"/>
      <c r="O1032" s="64">
        <f t="shared" si="53"/>
        <v>0</v>
      </c>
      <c r="P1032" s="63"/>
      <c r="Q1032" s="63"/>
      <c r="R1032" s="63"/>
      <c r="S1032" s="63"/>
      <c r="T1032" s="63"/>
      <c r="U1032" s="63"/>
      <c r="V1032" s="63"/>
      <c r="W1032" s="63"/>
      <c r="X1032" s="63"/>
      <c r="Y1032" s="63"/>
      <c r="Z1032" s="63"/>
      <c r="AA1032" s="64">
        <f t="shared" si="54"/>
        <v>0</v>
      </c>
      <c r="AB1032" s="64">
        <f t="shared" si="55"/>
        <v>0</v>
      </c>
      <c r="AE1032" s="65" t="e">
        <f>IF(#REF!=#REF!,1,0)</f>
        <v>#REF!</v>
      </c>
    </row>
    <row r="1033" spans="2:35" x14ac:dyDescent="0.25">
      <c r="B1033" s="62" t="e">
        <f>IF(AE1033=0,"",1+(MAX(B$7:B1032)))</f>
        <v>#REF!</v>
      </c>
      <c r="C1033" s="51"/>
      <c r="D1033" s="52"/>
      <c r="E1033" s="53"/>
      <c r="F1033" s="63"/>
      <c r="G1033" s="63"/>
      <c r="H1033" s="63"/>
      <c r="I1033" s="63"/>
      <c r="J1033" s="63"/>
      <c r="K1033" s="63"/>
      <c r="L1033" s="63"/>
      <c r="M1033" s="63"/>
      <c r="N1033" s="63"/>
      <c r="O1033" s="64">
        <f t="shared" si="53"/>
        <v>0</v>
      </c>
      <c r="P1033" s="63"/>
      <c r="Q1033" s="63"/>
      <c r="R1033" s="63"/>
      <c r="S1033" s="63"/>
      <c r="T1033" s="63"/>
      <c r="U1033" s="63"/>
      <c r="V1033" s="63"/>
      <c r="W1033" s="63"/>
      <c r="X1033" s="63"/>
      <c r="Y1033" s="63"/>
      <c r="Z1033" s="63"/>
      <c r="AA1033" s="64">
        <f t="shared" si="54"/>
        <v>0</v>
      </c>
      <c r="AB1033" s="64">
        <f t="shared" si="55"/>
        <v>0</v>
      </c>
      <c r="AE1033" s="65" t="e">
        <f>IF(#REF!=#REF!,1,0)</f>
        <v>#REF!</v>
      </c>
    </row>
    <row r="1034" spans="2:35" x14ac:dyDescent="0.25">
      <c r="B1034" s="62" t="e">
        <f>IF(AE1034=0,"",1+(MAX(B$7:B1033)))</f>
        <v>#REF!</v>
      </c>
      <c r="C1034" s="51"/>
      <c r="D1034" s="52"/>
      <c r="E1034" s="53"/>
      <c r="F1034" s="63"/>
      <c r="G1034" s="63"/>
      <c r="H1034" s="63"/>
      <c r="I1034" s="63"/>
      <c r="J1034" s="63"/>
      <c r="K1034" s="63"/>
      <c r="L1034" s="63"/>
      <c r="M1034" s="63"/>
      <c r="N1034" s="63"/>
      <c r="O1034" s="64">
        <f t="shared" si="53"/>
        <v>0</v>
      </c>
      <c r="P1034" s="63"/>
      <c r="Q1034" s="63"/>
      <c r="R1034" s="63"/>
      <c r="S1034" s="63"/>
      <c r="T1034" s="63"/>
      <c r="U1034" s="63"/>
      <c r="V1034" s="63"/>
      <c r="W1034" s="63"/>
      <c r="X1034" s="63"/>
      <c r="Y1034" s="63"/>
      <c r="Z1034" s="63"/>
      <c r="AA1034" s="64">
        <f t="shared" si="54"/>
        <v>0</v>
      </c>
      <c r="AB1034" s="64">
        <f t="shared" si="55"/>
        <v>0</v>
      </c>
      <c r="AE1034" s="65" t="e">
        <f>IF(#REF!=#REF!,1,0)</f>
        <v>#REF!</v>
      </c>
    </row>
    <row r="1035" spans="2:35" x14ac:dyDescent="0.25">
      <c r="B1035" s="62" t="e">
        <f>IF(AE1035=0,"",1+(MAX(B$7:B1034)))</f>
        <v>#REF!</v>
      </c>
      <c r="C1035" s="51"/>
      <c r="D1035" s="52"/>
      <c r="E1035" s="53"/>
      <c r="F1035" s="63"/>
      <c r="G1035" s="63"/>
      <c r="H1035" s="63"/>
      <c r="I1035" s="63"/>
      <c r="J1035" s="63"/>
      <c r="K1035" s="63"/>
      <c r="L1035" s="63"/>
      <c r="M1035" s="63"/>
      <c r="N1035" s="63"/>
      <c r="O1035" s="64">
        <f t="shared" si="53"/>
        <v>0</v>
      </c>
      <c r="P1035" s="63"/>
      <c r="Q1035" s="63"/>
      <c r="R1035" s="63"/>
      <c r="S1035" s="63"/>
      <c r="T1035" s="63"/>
      <c r="U1035" s="63"/>
      <c r="V1035" s="63"/>
      <c r="W1035" s="63"/>
      <c r="X1035" s="63"/>
      <c r="Y1035" s="63"/>
      <c r="Z1035" s="63"/>
      <c r="AA1035" s="64">
        <f t="shared" si="54"/>
        <v>0</v>
      </c>
      <c r="AB1035" s="64">
        <f t="shared" si="55"/>
        <v>0</v>
      </c>
      <c r="AE1035" s="65" t="e">
        <f>IF(#REF!=#REF!,1,0)</f>
        <v>#REF!</v>
      </c>
    </row>
    <row r="1036" spans="2:35" x14ac:dyDescent="0.25">
      <c r="B1036" s="62" t="e">
        <f>IF(AE1036=0,"",1+(MAX(B$7:B1035)))</f>
        <v>#REF!</v>
      </c>
      <c r="C1036" s="51"/>
      <c r="D1036" s="52"/>
      <c r="E1036" s="53"/>
      <c r="F1036" s="63"/>
      <c r="G1036" s="63"/>
      <c r="H1036" s="63"/>
      <c r="I1036" s="63"/>
      <c r="J1036" s="63"/>
      <c r="K1036" s="63"/>
      <c r="L1036" s="63"/>
      <c r="M1036" s="63"/>
      <c r="N1036" s="63"/>
      <c r="O1036" s="64">
        <f t="shared" si="53"/>
        <v>0</v>
      </c>
      <c r="P1036" s="63"/>
      <c r="Q1036" s="63"/>
      <c r="R1036" s="63"/>
      <c r="S1036" s="63"/>
      <c r="T1036" s="63"/>
      <c r="U1036" s="63"/>
      <c r="V1036" s="63"/>
      <c r="W1036" s="63"/>
      <c r="X1036" s="63"/>
      <c r="Y1036" s="63"/>
      <c r="Z1036" s="63"/>
      <c r="AA1036" s="64">
        <f t="shared" si="54"/>
        <v>0</v>
      </c>
      <c r="AB1036" s="64">
        <f t="shared" si="55"/>
        <v>0</v>
      </c>
      <c r="AE1036" s="65" t="e">
        <f>IF(#REF!=#REF!,1,0)</f>
        <v>#REF!</v>
      </c>
    </row>
    <row r="1037" spans="2:35" x14ac:dyDescent="0.25">
      <c r="B1037" s="62" t="e">
        <f>IF(AE1037=0,"",1+(MAX(B$7:B1036)))</f>
        <v>#REF!</v>
      </c>
      <c r="C1037" s="51"/>
      <c r="D1037" s="52"/>
      <c r="E1037" s="53"/>
      <c r="F1037" s="63"/>
      <c r="G1037" s="63"/>
      <c r="H1037" s="63"/>
      <c r="I1037" s="63"/>
      <c r="J1037" s="63"/>
      <c r="K1037" s="63"/>
      <c r="L1037" s="63"/>
      <c r="M1037" s="63"/>
      <c r="N1037" s="63"/>
      <c r="O1037" s="64">
        <f t="shared" si="53"/>
        <v>0</v>
      </c>
      <c r="P1037" s="63"/>
      <c r="Q1037" s="63"/>
      <c r="R1037" s="63"/>
      <c r="S1037" s="63"/>
      <c r="T1037" s="63"/>
      <c r="U1037" s="63"/>
      <c r="V1037" s="63"/>
      <c r="W1037" s="63"/>
      <c r="X1037" s="63"/>
      <c r="Y1037" s="63"/>
      <c r="Z1037" s="63"/>
      <c r="AA1037" s="64">
        <f t="shared" si="54"/>
        <v>0</v>
      </c>
      <c r="AB1037" s="64">
        <f t="shared" si="55"/>
        <v>0</v>
      </c>
      <c r="AE1037" s="65" t="e">
        <f>IF(#REF!=#REF!,1,0)</f>
        <v>#REF!</v>
      </c>
    </row>
    <row r="1038" spans="2:35" x14ac:dyDescent="0.25">
      <c r="C1038" s="51"/>
      <c r="D1038" s="52"/>
      <c r="E1038" s="53"/>
      <c r="F1038" s="10">
        <f t="shared" ref="F1038:W1038" si="56">SUMIF($B$7:$B$1037,"&gt;0",F7:F1037)</f>
        <v>378455</v>
      </c>
      <c r="G1038" s="10">
        <f t="shared" si="56"/>
        <v>244637</v>
      </c>
      <c r="H1038" s="10">
        <f t="shared" si="56"/>
        <v>32652</v>
      </c>
      <c r="I1038" s="10">
        <f t="shared" si="56"/>
        <v>0</v>
      </c>
      <c r="J1038" s="10">
        <f t="shared" si="56"/>
        <v>0</v>
      </c>
      <c r="K1038" s="10">
        <f t="shared" si="56"/>
        <v>6774</v>
      </c>
      <c r="L1038" s="10">
        <f t="shared" si="56"/>
        <v>0</v>
      </c>
      <c r="M1038" s="10">
        <f t="shared" si="56"/>
        <v>0</v>
      </c>
      <c r="N1038" s="10">
        <f t="shared" si="56"/>
        <v>0</v>
      </c>
      <c r="O1038" s="10">
        <f t="shared" si="56"/>
        <v>662518</v>
      </c>
      <c r="P1038" s="10">
        <f t="shared" si="56"/>
        <v>36000</v>
      </c>
      <c r="Q1038" s="10">
        <f t="shared" si="56"/>
        <v>64170</v>
      </c>
      <c r="R1038" s="10">
        <f t="shared" si="56"/>
        <v>6146</v>
      </c>
      <c r="S1038" s="10">
        <f t="shared" si="56"/>
        <v>0</v>
      </c>
      <c r="T1038" s="10">
        <f t="shared" si="56"/>
        <v>5304</v>
      </c>
      <c r="U1038" s="10">
        <f t="shared" si="56"/>
        <v>0</v>
      </c>
      <c r="V1038" s="10">
        <f t="shared" si="56"/>
        <v>0</v>
      </c>
      <c r="W1038" s="10">
        <f t="shared" si="56"/>
        <v>0</v>
      </c>
      <c r="X1038" s="10"/>
      <c r="Y1038" s="10">
        <f>SUMIF($B$7:$B$1037,"&gt;0",Y7:Y1037)</f>
        <v>252.9</v>
      </c>
      <c r="Z1038" s="10">
        <f>SUMIF($B$7:$B$1037,"&gt;0",Z7:Z1037)</f>
        <v>0</v>
      </c>
      <c r="AA1038" s="10">
        <f>SUMIF($B$7:$B$1037,"&gt;0",AA7:AA1037)</f>
        <v>123872.9</v>
      </c>
      <c r="AB1038" s="10">
        <f>SUMIF($B$7:$B$1037,"&gt;0",AB7:AB1037)</f>
        <v>538645.1</v>
      </c>
    </row>
    <row r="1039" spans="2:35" x14ac:dyDescent="0.25">
      <c r="C1039" s="51"/>
      <c r="D1039" s="52"/>
      <c r="E1039" s="53"/>
      <c r="F1039" s="63"/>
      <c r="G1039" s="63"/>
      <c r="H1039" s="63"/>
      <c r="I1039" s="63"/>
      <c r="J1039" s="63"/>
      <c r="K1039" s="63"/>
      <c r="L1039" s="63"/>
      <c r="M1039" s="63"/>
      <c r="N1039" s="63"/>
      <c r="O1039" s="63"/>
      <c r="P1039" s="63"/>
      <c r="Q1039" s="63"/>
      <c r="R1039" s="63"/>
      <c r="S1039" s="63"/>
      <c r="T1039" s="63"/>
      <c r="U1039" s="63"/>
      <c r="V1039" s="63"/>
      <c r="W1039" s="63"/>
      <c r="X1039" s="63"/>
      <c r="Y1039" s="63"/>
      <c r="Z1039" s="63"/>
      <c r="AA1039" s="63"/>
      <c r="AB1039" s="63"/>
    </row>
    <row r="1040" spans="2:35" x14ac:dyDescent="0.25">
      <c r="C1040" s="51"/>
      <c r="D1040" s="52"/>
      <c r="E1040" s="53"/>
      <c r="F1040" s="63"/>
      <c r="G1040" s="63"/>
      <c r="H1040" s="63"/>
      <c r="I1040" s="63"/>
      <c r="J1040" s="63"/>
      <c r="K1040" s="63"/>
      <c r="L1040" s="63"/>
      <c r="M1040" s="63"/>
      <c r="N1040" s="63"/>
      <c r="O1040" s="63"/>
      <c r="P1040" s="63"/>
      <c r="Q1040" s="63"/>
      <c r="R1040" s="63"/>
      <c r="S1040" s="63"/>
      <c r="T1040" s="63"/>
      <c r="U1040" s="63"/>
      <c r="V1040" s="63"/>
      <c r="W1040" s="63"/>
      <c r="X1040" s="63"/>
      <c r="Y1040" s="63"/>
      <c r="Z1040" s="63"/>
      <c r="AA1040" s="63"/>
      <c r="AB1040" s="63"/>
    </row>
    <row r="1041" spans="3:28" x14ac:dyDescent="0.25">
      <c r="C1041" s="51"/>
      <c r="D1041" s="52"/>
      <c r="E1041" s="53"/>
      <c r="F1041" s="63"/>
      <c r="G1041" s="63"/>
      <c r="H1041" s="63"/>
      <c r="I1041" s="63"/>
      <c r="J1041" s="63"/>
      <c r="K1041" s="63"/>
      <c r="L1041" s="63"/>
      <c r="M1041" s="63"/>
      <c r="N1041" s="63"/>
      <c r="O1041" s="63"/>
      <c r="P1041" s="63"/>
      <c r="Q1041" s="63"/>
      <c r="R1041" s="63"/>
      <c r="S1041" s="63"/>
      <c r="T1041" s="63"/>
      <c r="U1041" s="63"/>
      <c r="V1041" s="63"/>
      <c r="W1041" s="63"/>
      <c r="X1041" s="63"/>
      <c r="Y1041" s="63"/>
      <c r="Z1041" s="63"/>
      <c r="AA1041" s="63"/>
      <c r="AB1041" s="63"/>
    </row>
    <row r="1042" spans="3:28" x14ac:dyDescent="0.25">
      <c r="C1042" s="51"/>
      <c r="D1042" s="52"/>
      <c r="E1042" s="53"/>
      <c r="F1042" s="63"/>
      <c r="G1042" s="63"/>
      <c r="H1042" s="63"/>
      <c r="I1042" s="63"/>
      <c r="J1042" s="63"/>
      <c r="K1042" s="63"/>
      <c r="L1042" s="63"/>
      <c r="M1042" s="63"/>
      <c r="N1042" s="63"/>
      <c r="O1042" s="63"/>
      <c r="P1042" s="63"/>
      <c r="Q1042" s="63"/>
      <c r="R1042" s="63"/>
      <c r="S1042" s="63"/>
      <c r="T1042" s="63"/>
      <c r="U1042" s="63"/>
      <c r="V1042" s="63"/>
      <c r="W1042" s="63"/>
      <c r="X1042" s="63"/>
      <c r="Y1042" s="63"/>
      <c r="Z1042" s="63"/>
      <c r="AA1042" s="63"/>
      <c r="AB1042" s="63"/>
    </row>
    <row r="1043" spans="3:28" x14ac:dyDescent="0.25">
      <c r="C1043" s="51"/>
      <c r="D1043" s="52"/>
      <c r="E1043" s="53"/>
      <c r="F1043" s="63"/>
      <c r="G1043" s="63"/>
      <c r="H1043" s="63"/>
      <c r="I1043" s="63"/>
      <c r="J1043" s="63"/>
      <c r="K1043" s="63"/>
      <c r="L1043" s="63"/>
      <c r="M1043" s="63"/>
      <c r="N1043" s="63"/>
      <c r="O1043" s="63"/>
      <c r="P1043" s="63"/>
      <c r="Q1043" s="63"/>
      <c r="R1043" s="63"/>
      <c r="S1043" s="63"/>
      <c r="T1043" s="63"/>
      <c r="U1043" s="63"/>
      <c r="V1043" s="63"/>
      <c r="W1043" s="63"/>
      <c r="X1043" s="63"/>
      <c r="Y1043" s="63"/>
      <c r="Z1043" s="63"/>
      <c r="AA1043" s="63"/>
      <c r="AB1043" s="63"/>
    </row>
    <row r="1044" spans="3:28" x14ac:dyDescent="0.25">
      <c r="C1044" s="51"/>
      <c r="D1044" s="52"/>
      <c r="E1044" s="53"/>
      <c r="F1044" s="63"/>
      <c r="G1044" s="63"/>
      <c r="H1044" s="63"/>
      <c r="I1044" s="63"/>
      <c r="J1044" s="63"/>
      <c r="K1044" s="63"/>
      <c r="L1044" s="63"/>
      <c r="M1044" s="63"/>
      <c r="N1044" s="63"/>
      <c r="O1044" s="63"/>
      <c r="P1044" s="63"/>
      <c r="Q1044" s="63"/>
      <c r="R1044" s="63"/>
      <c r="S1044" s="63"/>
      <c r="T1044" s="63"/>
      <c r="U1044" s="63"/>
      <c r="V1044" s="63"/>
      <c r="W1044" s="63"/>
      <c r="X1044" s="63"/>
      <c r="Y1044" s="63"/>
      <c r="Z1044" s="63"/>
      <c r="AA1044" s="63"/>
      <c r="AB1044" s="63"/>
    </row>
    <row r="1045" spans="3:28" x14ac:dyDescent="0.25">
      <c r="C1045" s="51"/>
      <c r="D1045" s="52"/>
      <c r="E1045" s="53"/>
      <c r="F1045" s="63"/>
      <c r="G1045" s="63"/>
      <c r="H1045" s="63"/>
      <c r="I1045" s="63"/>
      <c r="J1045" s="63"/>
      <c r="K1045" s="63"/>
      <c r="L1045" s="63"/>
      <c r="M1045" s="63"/>
      <c r="N1045" s="63"/>
      <c r="O1045" s="63"/>
      <c r="P1045" s="63"/>
      <c r="Q1045" s="63"/>
      <c r="R1045" s="63"/>
      <c r="S1045" s="63"/>
      <c r="T1045" s="63"/>
      <c r="U1045" s="63"/>
      <c r="V1045" s="63"/>
      <c r="W1045" s="63"/>
      <c r="X1045" s="63"/>
      <c r="Y1045" s="63"/>
      <c r="Z1045" s="63"/>
      <c r="AA1045" s="63"/>
      <c r="AB1045" s="63"/>
    </row>
    <row r="1046" spans="3:28" x14ac:dyDescent="0.25">
      <c r="C1046" s="51"/>
      <c r="D1046" s="52"/>
      <c r="E1046" s="53"/>
      <c r="F1046" s="63"/>
      <c r="G1046" s="63"/>
      <c r="H1046" s="63"/>
      <c r="I1046" s="63"/>
      <c r="J1046" s="63"/>
      <c r="K1046" s="63"/>
      <c r="L1046" s="63"/>
      <c r="M1046" s="63"/>
      <c r="N1046" s="63"/>
      <c r="O1046" s="63"/>
      <c r="P1046" s="63"/>
      <c r="Q1046" s="63"/>
      <c r="R1046" s="63"/>
      <c r="S1046" s="63"/>
      <c r="T1046" s="63"/>
      <c r="U1046" s="63"/>
      <c r="V1046" s="63"/>
      <c r="W1046" s="63"/>
      <c r="X1046" s="63"/>
      <c r="Y1046" s="63"/>
      <c r="Z1046" s="63"/>
      <c r="AA1046" s="63"/>
      <c r="AB1046" s="63"/>
    </row>
    <row r="1047" spans="3:28" x14ac:dyDescent="0.25">
      <c r="C1047" s="51"/>
      <c r="D1047" s="52"/>
      <c r="E1047" s="53"/>
      <c r="F1047" s="63"/>
      <c r="G1047" s="63"/>
      <c r="H1047" s="63"/>
      <c r="I1047" s="63"/>
      <c r="J1047" s="63"/>
      <c r="K1047" s="63"/>
      <c r="L1047" s="63"/>
      <c r="M1047" s="63"/>
      <c r="N1047" s="63"/>
      <c r="O1047" s="63"/>
      <c r="P1047" s="63"/>
      <c r="Q1047" s="63"/>
      <c r="R1047" s="63"/>
      <c r="S1047" s="63"/>
      <c r="T1047" s="63"/>
      <c r="U1047" s="63"/>
      <c r="V1047" s="63"/>
      <c r="W1047" s="63"/>
      <c r="X1047" s="63"/>
      <c r="Y1047" s="63"/>
      <c r="Z1047" s="63"/>
      <c r="AA1047" s="63"/>
      <c r="AB1047" s="63"/>
    </row>
    <row r="1048" spans="3:28" x14ac:dyDescent="0.25">
      <c r="C1048" s="51"/>
      <c r="D1048" s="52"/>
      <c r="E1048" s="53"/>
      <c r="F1048" s="63"/>
      <c r="G1048" s="63"/>
      <c r="H1048" s="63"/>
      <c r="I1048" s="63"/>
      <c r="J1048" s="63"/>
      <c r="K1048" s="63"/>
      <c r="L1048" s="63"/>
      <c r="M1048" s="63"/>
      <c r="N1048" s="63"/>
      <c r="O1048" s="63"/>
      <c r="P1048" s="63"/>
      <c r="Q1048" s="63"/>
      <c r="R1048" s="63"/>
      <c r="S1048" s="63"/>
      <c r="T1048" s="63"/>
      <c r="U1048" s="63"/>
      <c r="V1048" s="63"/>
      <c r="W1048" s="63"/>
      <c r="X1048" s="63"/>
      <c r="Y1048" s="63"/>
      <c r="Z1048" s="63"/>
      <c r="AA1048" s="63"/>
      <c r="AB1048" s="63"/>
    </row>
    <row r="1049" spans="3:28" x14ac:dyDescent="0.25">
      <c r="C1049" s="51"/>
      <c r="D1049" s="52"/>
      <c r="E1049" s="53"/>
      <c r="F1049" s="63"/>
      <c r="G1049" s="63"/>
      <c r="H1049" s="63"/>
      <c r="I1049" s="63"/>
      <c r="J1049" s="63"/>
      <c r="K1049" s="63"/>
      <c r="L1049" s="63"/>
      <c r="M1049" s="63"/>
      <c r="N1049" s="63"/>
      <c r="O1049" s="63"/>
      <c r="P1049" s="63"/>
      <c r="Q1049" s="63"/>
      <c r="R1049" s="63"/>
      <c r="S1049" s="63"/>
      <c r="T1049" s="63"/>
      <c r="U1049" s="63"/>
      <c r="V1049" s="63"/>
      <c r="W1049" s="63"/>
      <c r="X1049" s="63"/>
      <c r="Y1049" s="63"/>
      <c r="Z1049" s="63"/>
      <c r="AA1049" s="63"/>
      <c r="AB1049" s="63"/>
    </row>
    <row r="1050" spans="3:28" x14ac:dyDescent="0.25">
      <c r="C1050" s="51"/>
      <c r="D1050" s="52"/>
      <c r="E1050" s="53"/>
      <c r="F1050" s="63"/>
      <c r="G1050" s="63"/>
      <c r="H1050" s="63"/>
      <c r="I1050" s="63"/>
      <c r="J1050" s="63"/>
      <c r="K1050" s="63"/>
      <c r="L1050" s="63"/>
      <c r="M1050" s="63"/>
      <c r="N1050" s="63"/>
      <c r="O1050" s="63"/>
      <c r="P1050" s="63"/>
      <c r="Q1050" s="63"/>
      <c r="R1050" s="63"/>
      <c r="S1050" s="63"/>
      <c r="T1050" s="63"/>
      <c r="U1050" s="63"/>
      <c r="V1050" s="63"/>
      <c r="W1050" s="63"/>
      <c r="X1050" s="63"/>
      <c r="Y1050" s="63"/>
      <c r="Z1050" s="63"/>
      <c r="AA1050" s="63"/>
      <c r="AB1050" s="63"/>
    </row>
    <row r="1051" spans="3:28" x14ac:dyDescent="0.25">
      <c r="C1051" s="51"/>
      <c r="D1051" s="52"/>
      <c r="E1051" s="53"/>
      <c r="F1051" s="63"/>
      <c r="G1051" s="63"/>
      <c r="H1051" s="63"/>
      <c r="I1051" s="63"/>
      <c r="J1051" s="63"/>
      <c r="K1051" s="63"/>
      <c r="L1051" s="63"/>
      <c r="M1051" s="63"/>
      <c r="N1051" s="63"/>
      <c r="O1051" s="63"/>
      <c r="P1051" s="63"/>
      <c r="Q1051" s="63"/>
      <c r="R1051" s="63"/>
      <c r="S1051" s="63"/>
      <c r="T1051" s="63"/>
      <c r="U1051" s="63"/>
      <c r="V1051" s="63"/>
      <c r="W1051" s="63"/>
      <c r="X1051" s="63"/>
      <c r="Y1051" s="63"/>
      <c r="Z1051" s="63"/>
      <c r="AA1051" s="63"/>
      <c r="AB1051" s="63"/>
    </row>
    <row r="1052" spans="3:28" x14ac:dyDescent="0.25">
      <c r="C1052" s="51"/>
      <c r="D1052" s="52"/>
      <c r="E1052" s="53"/>
      <c r="F1052" s="63"/>
      <c r="G1052" s="63"/>
      <c r="H1052" s="63"/>
      <c r="I1052" s="63"/>
      <c r="J1052" s="63"/>
      <c r="K1052" s="63"/>
      <c r="L1052" s="63"/>
      <c r="M1052" s="63"/>
      <c r="N1052" s="63"/>
      <c r="O1052" s="63"/>
      <c r="P1052" s="63"/>
      <c r="Q1052" s="63"/>
      <c r="R1052" s="63"/>
      <c r="S1052" s="63"/>
      <c r="T1052" s="63"/>
      <c r="U1052" s="63"/>
      <c r="V1052" s="63"/>
      <c r="W1052" s="63"/>
      <c r="X1052" s="63"/>
      <c r="Y1052" s="63"/>
      <c r="Z1052" s="63"/>
      <c r="AA1052" s="63"/>
      <c r="AB1052" s="63"/>
    </row>
    <row r="1053" spans="3:28" x14ac:dyDescent="0.25">
      <c r="C1053" s="51"/>
      <c r="D1053" s="52"/>
      <c r="E1053" s="53"/>
      <c r="F1053" s="63"/>
      <c r="G1053" s="63"/>
      <c r="H1053" s="63"/>
      <c r="I1053" s="63"/>
      <c r="J1053" s="63"/>
      <c r="K1053" s="63"/>
      <c r="L1053" s="63"/>
      <c r="M1053" s="63"/>
      <c r="N1053" s="63"/>
      <c r="O1053" s="63"/>
      <c r="P1053" s="63"/>
      <c r="Q1053" s="63"/>
      <c r="R1053" s="63"/>
      <c r="S1053" s="63"/>
      <c r="T1053" s="63"/>
      <c r="U1053" s="63"/>
      <c r="V1053" s="63"/>
      <c r="W1053" s="63"/>
      <c r="X1053" s="63"/>
      <c r="Y1053" s="63"/>
      <c r="Z1053" s="63"/>
      <c r="AA1053" s="63"/>
      <c r="AB1053" s="63"/>
    </row>
    <row r="1054" spans="3:28" x14ac:dyDescent="0.25">
      <c r="C1054" s="51"/>
      <c r="D1054" s="52"/>
      <c r="E1054" s="53"/>
      <c r="F1054" s="63"/>
      <c r="G1054" s="63"/>
      <c r="H1054" s="63"/>
      <c r="I1054" s="63"/>
      <c r="J1054" s="63"/>
      <c r="K1054" s="63"/>
      <c r="L1054" s="63"/>
      <c r="M1054" s="63"/>
      <c r="N1054" s="63"/>
      <c r="O1054" s="63"/>
      <c r="P1054" s="63"/>
      <c r="Q1054" s="63"/>
      <c r="R1054" s="63"/>
      <c r="S1054" s="63"/>
      <c r="T1054" s="63"/>
      <c r="U1054" s="63"/>
      <c r="V1054" s="63"/>
      <c r="W1054" s="63"/>
      <c r="X1054" s="63"/>
      <c r="Y1054" s="63"/>
      <c r="Z1054" s="63"/>
      <c r="AA1054" s="63"/>
      <c r="AB1054" s="63"/>
    </row>
    <row r="1055" spans="3:28" x14ac:dyDescent="0.25">
      <c r="C1055" s="51"/>
      <c r="D1055" s="52"/>
      <c r="E1055" s="53"/>
      <c r="F1055" s="63"/>
      <c r="G1055" s="63"/>
      <c r="H1055" s="63"/>
      <c r="I1055" s="63"/>
      <c r="J1055" s="63"/>
      <c r="K1055" s="63"/>
      <c r="L1055" s="63"/>
      <c r="M1055" s="63"/>
      <c r="N1055" s="63"/>
      <c r="O1055" s="63"/>
      <c r="P1055" s="63"/>
      <c r="Q1055" s="63"/>
      <c r="R1055" s="63"/>
      <c r="S1055" s="63"/>
      <c r="T1055" s="63"/>
      <c r="U1055" s="63"/>
      <c r="V1055" s="63"/>
      <c r="W1055" s="63"/>
      <c r="X1055" s="63"/>
      <c r="Y1055" s="63"/>
      <c r="Z1055" s="63"/>
      <c r="AA1055" s="63"/>
      <c r="AB1055" s="63"/>
    </row>
    <row r="1056" spans="3:28" x14ac:dyDescent="0.25">
      <c r="C1056" s="51"/>
      <c r="D1056" s="52"/>
      <c r="E1056" s="53"/>
      <c r="F1056" s="63"/>
      <c r="G1056" s="63"/>
      <c r="H1056" s="63"/>
      <c r="I1056" s="63"/>
      <c r="J1056" s="63"/>
      <c r="K1056" s="63"/>
      <c r="L1056" s="63"/>
      <c r="M1056" s="63"/>
      <c r="N1056" s="63"/>
      <c r="O1056" s="63"/>
      <c r="P1056" s="63"/>
      <c r="Q1056" s="63"/>
      <c r="R1056" s="63"/>
      <c r="S1056" s="63"/>
      <c r="T1056" s="63"/>
      <c r="U1056" s="63"/>
      <c r="V1056" s="63"/>
      <c r="W1056" s="63"/>
      <c r="X1056" s="63"/>
      <c r="Y1056" s="63"/>
      <c r="Z1056" s="63"/>
      <c r="AA1056" s="63"/>
      <c r="AB1056" s="63"/>
    </row>
    <row r="1057" spans="3:28" x14ac:dyDescent="0.25">
      <c r="C1057" s="51"/>
      <c r="D1057" s="52"/>
      <c r="E1057" s="53"/>
      <c r="F1057" s="63"/>
      <c r="G1057" s="63"/>
      <c r="H1057" s="63"/>
      <c r="I1057" s="63"/>
      <c r="J1057" s="63"/>
      <c r="K1057" s="63"/>
      <c r="L1057" s="63"/>
      <c r="M1057" s="63"/>
      <c r="N1057" s="63"/>
      <c r="O1057" s="63"/>
      <c r="P1057" s="63"/>
      <c r="Q1057" s="63"/>
      <c r="R1057" s="63"/>
      <c r="S1057" s="63"/>
      <c r="T1057" s="63"/>
      <c r="U1057" s="63"/>
      <c r="V1057" s="63"/>
      <c r="W1057" s="63"/>
      <c r="X1057" s="63"/>
      <c r="Y1057" s="63"/>
      <c r="Z1057" s="63"/>
      <c r="AA1057" s="63"/>
      <c r="AB1057" s="63"/>
    </row>
    <row r="1058" spans="3:28" x14ac:dyDescent="0.25">
      <c r="C1058" s="51"/>
      <c r="D1058" s="52"/>
      <c r="E1058" s="53"/>
      <c r="F1058" s="63"/>
      <c r="G1058" s="63"/>
      <c r="H1058" s="63"/>
      <c r="I1058" s="63"/>
      <c r="J1058" s="63"/>
      <c r="K1058" s="63"/>
      <c r="L1058" s="63"/>
      <c r="M1058" s="63"/>
      <c r="N1058" s="63"/>
      <c r="O1058" s="63"/>
      <c r="P1058" s="63"/>
      <c r="Q1058" s="63"/>
      <c r="R1058" s="63"/>
      <c r="S1058" s="63"/>
      <c r="T1058" s="63"/>
      <c r="U1058" s="63"/>
      <c r="V1058" s="63"/>
      <c r="W1058" s="63"/>
      <c r="X1058" s="63"/>
      <c r="Y1058" s="63"/>
      <c r="Z1058" s="63"/>
      <c r="AA1058" s="63"/>
      <c r="AB1058" s="63"/>
    </row>
    <row r="1059" spans="3:28" x14ac:dyDescent="0.25">
      <c r="C1059" s="51"/>
      <c r="D1059" s="52"/>
      <c r="E1059" s="53"/>
      <c r="F1059" s="63"/>
      <c r="G1059" s="63"/>
      <c r="H1059" s="63"/>
      <c r="I1059" s="63"/>
      <c r="J1059" s="63"/>
      <c r="K1059" s="63"/>
      <c r="L1059" s="63"/>
      <c r="M1059" s="63"/>
      <c r="N1059" s="63"/>
      <c r="O1059" s="63"/>
      <c r="P1059" s="63"/>
      <c r="Q1059" s="63"/>
      <c r="R1059" s="63"/>
      <c r="S1059" s="63"/>
      <c r="T1059" s="63"/>
      <c r="U1059" s="63"/>
      <c r="V1059" s="63"/>
      <c r="W1059" s="63"/>
      <c r="X1059" s="63"/>
      <c r="Y1059" s="63"/>
      <c r="Z1059" s="63"/>
      <c r="AA1059" s="63"/>
      <c r="AB1059" s="63"/>
    </row>
    <row r="1060" spans="3:28" x14ac:dyDescent="0.25">
      <c r="C1060" s="51"/>
      <c r="D1060" s="52"/>
      <c r="E1060" s="53"/>
      <c r="F1060" s="63"/>
      <c r="G1060" s="63"/>
      <c r="H1060" s="63"/>
      <c r="I1060" s="63"/>
      <c r="J1060" s="63"/>
      <c r="K1060" s="63"/>
      <c r="L1060" s="63"/>
      <c r="M1060" s="63"/>
      <c r="N1060" s="63"/>
      <c r="O1060" s="63"/>
      <c r="P1060" s="63"/>
      <c r="Q1060" s="63"/>
      <c r="R1060" s="63"/>
      <c r="S1060" s="63"/>
      <c r="T1060" s="63"/>
      <c r="U1060" s="63"/>
      <c r="V1060" s="63"/>
      <c r="W1060" s="63"/>
      <c r="X1060" s="63"/>
      <c r="Y1060" s="63"/>
      <c r="Z1060" s="63"/>
      <c r="AA1060" s="63"/>
      <c r="AB1060" s="63"/>
    </row>
    <row r="1061" spans="3:28" x14ac:dyDescent="0.25">
      <c r="C1061" s="51"/>
      <c r="D1061" s="52"/>
      <c r="E1061" s="53"/>
      <c r="F1061" s="63"/>
      <c r="G1061" s="63"/>
      <c r="H1061" s="63"/>
      <c r="I1061" s="63"/>
      <c r="J1061" s="63"/>
      <c r="K1061" s="63"/>
      <c r="L1061" s="63"/>
      <c r="M1061" s="63"/>
      <c r="N1061" s="63"/>
      <c r="O1061" s="63"/>
      <c r="P1061" s="63"/>
      <c r="Q1061" s="63"/>
      <c r="R1061" s="63"/>
      <c r="S1061" s="63"/>
      <c r="T1061" s="63"/>
      <c r="U1061" s="63"/>
      <c r="V1061" s="63"/>
      <c r="W1061" s="63"/>
      <c r="X1061" s="63"/>
      <c r="Y1061" s="63"/>
      <c r="Z1061" s="63"/>
      <c r="AA1061" s="63"/>
      <c r="AB1061" s="63"/>
    </row>
    <row r="1062" spans="3:28" x14ac:dyDescent="0.25">
      <c r="C1062" s="51"/>
      <c r="D1062" s="52"/>
      <c r="E1062" s="53"/>
      <c r="F1062" s="63"/>
      <c r="G1062" s="63"/>
      <c r="H1062" s="63"/>
      <c r="I1062" s="63"/>
      <c r="J1062" s="63"/>
      <c r="K1062" s="63"/>
      <c r="L1062" s="63"/>
      <c r="M1062" s="63"/>
      <c r="N1062" s="63"/>
      <c r="O1062" s="63"/>
      <c r="P1062" s="63"/>
      <c r="Q1062" s="63"/>
      <c r="R1062" s="63"/>
      <c r="S1062" s="63"/>
      <c r="T1062" s="63"/>
      <c r="U1062" s="63"/>
      <c r="V1062" s="63"/>
      <c r="W1062" s="63"/>
      <c r="X1062" s="63"/>
      <c r="Y1062" s="63"/>
      <c r="Z1062" s="63"/>
      <c r="AA1062" s="63"/>
      <c r="AB1062" s="63"/>
    </row>
    <row r="1063" spans="3:28" x14ac:dyDescent="0.25">
      <c r="C1063" s="51"/>
      <c r="D1063" s="52"/>
      <c r="E1063" s="53"/>
      <c r="F1063" s="63"/>
      <c r="G1063" s="63"/>
      <c r="H1063" s="63"/>
      <c r="I1063" s="63"/>
      <c r="J1063" s="63"/>
      <c r="K1063" s="63"/>
      <c r="L1063" s="63"/>
      <c r="M1063" s="63"/>
      <c r="N1063" s="63"/>
      <c r="O1063" s="63"/>
      <c r="P1063" s="63"/>
      <c r="Q1063" s="63"/>
      <c r="R1063" s="63"/>
      <c r="S1063" s="63"/>
      <c r="T1063" s="63"/>
      <c r="U1063" s="63"/>
      <c r="V1063" s="63"/>
      <c r="W1063" s="63"/>
      <c r="X1063" s="63"/>
      <c r="Y1063" s="63"/>
      <c r="Z1063" s="63"/>
      <c r="AA1063" s="63"/>
      <c r="AB1063" s="63"/>
    </row>
    <row r="1064" spans="3:28" x14ac:dyDescent="0.25">
      <c r="C1064" s="51"/>
      <c r="D1064" s="52"/>
      <c r="E1064" s="53"/>
      <c r="F1064" s="63"/>
      <c r="G1064" s="63"/>
      <c r="H1064" s="63"/>
      <c r="I1064" s="63"/>
      <c r="J1064" s="63"/>
      <c r="K1064" s="63"/>
      <c r="L1064" s="63"/>
      <c r="M1064" s="63"/>
      <c r="N1064" s="63"/>
      <c r="O1064" s="63"/>
      <c r="P1064" s="63"/>
      <c r="Q1064" s="63"/>
      <c r="R1064" s="63"/>
      <c r="S1064" s="63"/>
      <c r="T1064" s="63"/>
      <c r="U1064" s="63"/>
      <c r="V1064" s="63"/>
      <c r="W1064" s="63"/>
      <c r="X1064" s="63"/>
      <c r="Y1064" s="63"/>
      <c r="Z1064" s="63"/>
      <c r="AA1064" s="63"/>
      <c r="AB1064" s="63"/>
    </row>
    <row r="1065" spans="3:28" x14ac:dyDescent="0.25">
      <c r="C1065" s="51"/>
      <c r="D1065" s="52"/>
      <c r="E1065" s="53"/>
      <c r="F1065" s="63"/>
      <c r="G1065" s="63"/>
      <c r="H1065" s="63"/>
      <c r="I1065" s="63"/>
      <c r="J1065" s="63"/>
      <c r="K1065" s="63"/>
      <c r="L1065" s="63"/>
      <c r="M1065" s="63"/>
      <c r="N1065" s="63"/>
      <c r="O1065" s="63"/>
      <c r="P1065" s="63"/>
      <c r="Q1065" s="63"/>
      <c r="R1065" s="63"/>
      <c r="S1065" s="63"/>
      <c r="T1065" s="63"/>
      <c r="U1065" s="63"/>
      <c r="V1065" s="63"/>
      <c r="W1065" s="63"/>
      <c r="X1065" s="63"/>
      <c r="Y1065" s="63"/>
      <c r="Z1065" s="63"/>
      <c r="AA1065" s="63"/>
      <c r="AB1065" s="63"/>
    </row>
    <row r="1066" spans="3:28" x14ac:dyDescent="0.25">
      <c r="C1066" s="51"/>
      <c r="D1066" s="52"/>
      <c r="E1066" s="53"/>
      <c r="F1066" s="63"/>
      <c r="G1066" s="63"/>
      <c r="H1066" s="63"/>
      <c r="I1066" s="63"/>
      <c r="J1066" s="63"/>
      <c r="K1066" s="63"/>
      <c r="L1066" s="63"/>
      <c r="M1066" s="63"/>
      <c r="N1066" s="63"/>
      <c r="O1066" s="63"/>
      <c r="P1066" s="63"/>
      <c r="Q1066" s="63"/>
      <c r="R1066" s="63"/>
      <c r="S1066" s="63"/>
      <c r="T1066" s="63"/>
      <c r="U1066" s="63"/>
      <c r="V1066" s="63"/>
      <c r="W1066" s="63"/>
      <c r="X1066" s="63"/>
      <c r="Y1066" s="63"/>
      <c r="Z1066" s="63"/>
      <c r="AA1066" s="63"/>
      <c r="AB1066" s="63"/>
    </row>
    <row r="1067" spans="3:28" x14ac:dyDescent="0.25">
      <c r="C1067" s="51"/>
      <c r="D1067" s="52"/>
      <c r="E1067" s="53"/>
      <c r="F1067" s="63"/>
      <c r="G1067" s="63"/>
      <c r="H1067" s="63"/>
      <c r="I1067" s="63"/>
      <c r="J1067" s="63"/>
      <c r="K1067" s="63"/>
      <c r="L1067" s="63"/>
      <c r="M1067" s="63"/>
      <c r="N1067" s="63"/>
      <c r="O1067" s="63"/>
      <c r="P1067" s="63"/>
      <c r="Q1067" s="63"/>
      <c r="R1067" s="63"/>
      <c r="S1067" s="63"/>
      <c r="T1067" s="63"/>
      <c r="U1067" s="63"/>
      <c r="V1067" s="63"/>
      <c r="W1067" s="63"/>
      <c r="X1067" s="63"/>
      <c r="Y1067" s="63"/>
      <c r="Z1067" s="63"/>
      <c r="AA1067" s="63"/>
      <c r="AB1067" s="63"/>
    </row>
    <row r="1068" spans="3:28" x14ac:dyDescent="0.25">
      <c r="C1068" s="51"/>
      <c r="D1068" s="52"/>
      <c r="E1068" s="53"/>
      <c r="F1068" s="63"/>
      <c r="G1068" s="63"/>
      <c r="H1068" s="63"/>
      <c r="I1068" s="63"/>
      <c r="J1068" s="63"/>
      <c r="K1068" s="63"/>
      <c r="L1068" s="63"/>
      <c r="M1068" s="63"/>
      <c r="N1068" s="63"/>
      <c r="O1068" s="63"/>
      <c r="P1068" s="63"/>
      <c r="Q1068" s="63"/>
      <c r="R1068" s="63"/>
      <c r="S1068" s="63"/>
      <c r="T1068" s="63"/>
      <c r="U1068" s="63"/>
      <c r="V1068" s="63"/>
      <c r="W1068" s="63"/>
      <c r="X1068" s="63"/>
      <c r="Y1068" s="63"/>
      <c r="Z1068" s="63"/>
      <c r="AA1068" s="63"/>
      <c r="AB1068" s="63"/>
    </row>
    <row r="1069" spans="3:28" x14ac:dyDescent="0.25">
      <c r="C1069" s="51"/>
      <c r="D1069" s="52"/>
      <c r="E1069" s="53"/>
      <c r="F1069" s="63"/>
      <c r="G1069" s="63"/>
      <c r="H1069" s="63"/>
      <c r="I1069" s="63"/>
      <c r="J1069" s="63"/>
      <c r="K1069" s="63"/>
      <c r="L1069" s="63"/>
      <c r="M1069" s="63"/>
      <c r="N1069" s="63"/>
      <c r="O1069" s="63"/>
      <c r="P1069" s="63"/>
      <c r="Q1069" s="63"/>
      <c r="R1069" s="63"/>
      <c r="S1069" s="63"/>
      <c r="T1069" s="63"/>
      <c r="U1069" s="63"/>
      <c r="V1069" s="63"/>
      <c r="W1069" s="63"/>
      <c r="X1069" s="63"/>
      <c r="Y1069" s="63"/>
      <c r="Z1069" s="63"/>
      <c r="AA1069" s="63"/>
      <c r="AB1069" s="63"/>
    </row>
    <row r="1070" spans="3:28" x14ac:dyDescent="0.25">
      <c r="C1070" s="51"/>
      <c r="D1070" s="52"/>
      <c r="E1070" s="53"/>
      <c r="F1070" s="63"/>
      <c r="G1070" s="63"/>
      <c r="H1070" s="63"/>
      <c r="I1070" s="63"/>
      <c r="J1070" s="63"/>
      <c r="K1070" s="63"/>
      <c r="L1070" s="63"/>
      <c r="M1070" s="63"/>
      <c r="N1070" s="63"/>
      <c r="O1070" s="63"/>
      <c r="P1070" s="63"/>
      <c r="Q1070" s="63"/>
      <c r="R1070" s="63"/>
      <c r="S1070" s="63"/>
      <c r="T1070" s="63"/>
      <c r="U1070" s="63"/>
      <c r="V1070" s="63"/>
      <c r="W1070" s="63"/>
      <c r="X1070" s="63"/>
      <c r="Y1070" s="63"/>
      <c r="Z1070" s="63"/>
      <c r="AA1070" s="63"/>
      <c r="AB1070" s="63"/>
    </row>
    <row r="1071" spans="3:28" x14ac:dyDescent="0.25">
      <c r="C1071" s="51"/>
      <c r="D1071" s="52"/>
      <c r="E1071" s="53"/>
      <c r="F1071" s="63"/>
      <c r="G1071" s="63"/>
      <c r="H1071" s="63"/>
      <c r="I1071" s="63"/>
      <c r="J1071" s="63"/>
      <c r="K1071" s="63"/>
      <c r="L1071" s="63"/>
      <c r="M1071" s="63"/>
      <c r="N1071" s="63"/>
      <c r="O1071" s="63"/>
      <c r="P1071" s="63"/>
      <c r="Q1071" s="63"/>
      <c r="R1071" s="63"/>
      <c r="S1071" s="63"/>
      <c r="T1071" s="63"/>
      <c r="U1071" s="63"/>
      <c r="V1071" s="63"/>
      <c r="W1071" s="63"/>
      <c r="X1071" s="63"/>
      <c r="Y1071" s="63"/>
      <c r="Z1071" s="63"/>
      <c r="AA1071" s="63"/>
      <c r="AB1071" s="63"/>
    </row>
    <row r="1072" spans="3:28" x14ac:dyDescent="0.25">
      <c r="C1072" s="51"/>
      <c r="D1072" s="52"/>
      <c r="E1072" s="53"/>
      <c r="F1072" s="63"/>
      <c r="G1072" s="63"/>
      <c r="H1072" s="63"/>
      <c r="I1072" s="63"/>
      <c r="J1072" s="63"/>
      <c r="K1072" s="63"/>
      <c r="L1072" s="63"/>
      <c r="M1072" s="63"/>
      <c r="N1072" s="63"/>
      <c r="O1072" s="63"/>
      <c r="P1072" s="63"/>
      <c r="Q1072" s="63"/>
      <c r="R1072" s="63"/>
      <c r="S1072" s="63"/>
      <c r="T1072" s="63"/>
      <c r="U1072" s="63"/>
      <c r="V1072" s="63"/>
      <c r="W1072" s="63"/>
      <c r="X1072" s="63"/>
      <c r="Y1072" s="63"/>
      <c r="Z1072" s="63"/>
      <c r="AA1072" s="63"/>
      <c r="AB1072" s="63"/>
    </row>
    <row r="1073" spans="3:28" x14ac:dyDescent="0.25">
      <c r="C1073" s="51"/>
      <c r="D1073" s="52"/>
      <c r="E1073" s="53"/>
      <c r="F1073" s="63"/>
      <c r="G1073" s="63"/>
      <c r="H1073" s="63"/>
      <c r="I1073" s="63"/>
      <c r="J1073" s="63"/>
      <c r="K1073" s="63"/>
      <c r="L1073" s="63"/>
      <c r="M1073" s="63"/>
      <c r="N1073" s="63"/>
      <c r="O1073" s="63"/>
      <c r="P1073" s="63"/>
      <c r="Q1073" s="63"/>
      <c r="R1073" s="63"/>
      <c r="S1073" s="63"/>
      <c r="T1073" s="63"/>
      <c r="U1073" s="63"/>
      <c r="V1073" s="63"/>
      <c r="W1073" s="63"/>
      <c r="X1073" s="63"/>
      <c r="Y1073" s="63"/>
      <c r="Z1073" s="63"/>
      <c r="AA1073" s="63"/>
      <c r="AB1073" s="63"/>
    </row>
    <row r="1074" spans="3:28" x14ac:dyDescent="0.25">
      <c r="C1074" s="51"/>
      <c r="D1074" s="52"/>
      <c r="E1074" s="53"/>
      <c r="F1074" s="63"/>
      <c r="G1074" s="63"/>
      <c r="H1074" s="63"/>
      <c r="I1074" s="63"/>
      <c r="J1074" s="63"/>
      <c r="K1074" s="63"/>
      <c r="L1074" s="63"/>
      <c r="M1074" s="63"/>
      <c r="N1074" s="63"/>
      <c r="O1074" s="63"/>
      <c r="P1074" s="63"/>
      <c r="Q1074" s="63"/>
      <c r="R1074" s="63"/>
      <c r="S1074" s="63"/>
      <c r="T1074" s="63"/>
      <c r="U1074" s="63"/>
      <c r="V1074" s="63"/>
      <c r="W1074" s="63"/>
      <c r="X1074" s="63"/>
      <c r="Y1074" s="63"/>
      <c r="Z1074" s="63"/>
      <c r="AA1074" s="63"/>
      <c r="AB1074" s="63"/>
    </row>
    <row r="1075" spans="3:28" x14ac:dyDescent="0.25">
      <c r="C1075" s="51"/>
      <c r="D1075" s="52"/>
      <c r="E1075" s="53"/>
      <c r="F1075" s="63"/>
      <c r="G1075" s="63"/>
      <c r="H1075" s="63"/>
      <c r="I1075" s="63"/>
      <c r="J1075" s="63"/>
      <c r="K1075" s="63"/>
      <c r="L1075" s="63"/>
      <c r="M1075" s="63"/>
      <c r="N1075" s="63"/>
      <c r="O1075" s="63"/>
      <c r="P1075" s="63"/>
      <c r="Q1075" s="63"/>
      <c r="R1075" s="63"/>
      <c r="S1075" s="63"/>
      <c r="T1075" s="63"/>
      <c r="U1075" s="63"/>
      <c r="V1075" s="63"/>
      <c r="W1075" s="63"/>
      <c r="X1075" s="63"/>
      <c r="Y1075" s="63"/>
      <c r="Z1075" s="63"/>
      <c r="AA1075" s="63"/>
      <c r="AB1075" s="63"/>
    </row>
    <row r="1076" spans="3:28" x14ac:dyDescent="0.25">
      <c r="C1076" s="51"/>
      <c r="D1076" s="52"/>
      <c r="E1076" s="53"/>
      <c r="F1076" s="63"/>
      <c r="G1076" s="63"/>
      <c r="H1076" s="63"/>
      <c r="I1076" s="63"/>
      <c r="J1076" s="63"/>
      <c r="K1076" s="63"/>
      <c r="L1076" s="63"/>
      <c r="M1076" s="63"/>
      <c r="N1076" s="63"/>
      <c r="O1076" s="63"/>
      <c r="P1076" s="63"/>
      <c r="Q1076" s="63"/>
      <c r="R1076" s="63"/>
      <c r="S1076" s="63"/>
      <c r="T1076" s="63"/>
      <c r="U1076" s="63"/>
      <c r="V1076" s="63"/>
      <c r="W1076" s="63"/>
      <c r="X1076" s="63"/>
      <c r="Y1076" s="63"/>
      <c r="Z1076" s="63"/>
      <c r="AA1076" s="63"/>
      <c r="AB1076" s="63"/>
    </row>
    <row r="1077" spans="3:28" x14ac:dyDescent="0.25">
      <c r="C1077" s="51"/>
      <c r="D1077" s="52"/>
      <c r="E1077" s="53"/>
      <c r="F1077" s="63"/>
      <c r="G1077" s="63"/>
      <c r="H1077" s="63"/>
      <c r="I1077" s="63"/>
      <c r="J1077" s="63"/>
      <c r="K1077" s="63"/>
      <c r="L1077" s="63"/>
      <c r="M1077" s="63"/>
      <c r="N1077" s="63"/>
      <c r="O1077" s="63"/>
      <c r="P1077" s="63"/>
      <c r="Q1077" s="63"/>
      <c r="R1077" s="63"/>
      <c r="S1077" s="63"/>
      <c r="T1077" s="63"/>
      <c r="U1077" s="63"/>
      <c r="V1077" s="63"/>
      <c r="W1077" s="63"/>
      <c r="X1077" s="63"/>
      <c r="Y1077" s="63"/>
      <c r="Z1077" s="63"/>
      <c r="AA1077" s="63"/>
      <c r="AB1077" s="63"/>
    </row>
    <row r="1078" spans="3:28" x14ac:dyDescent="0.25">
      <c r="C1078" s="51"/>
      <c r="D1078" s="52"/>
      <c r="E1078" s="53"/>
      <c r="F1078" s="63"/>
      <c r="G1078" s="63"/>
      <c r="H1078" s="63"/>
      <c r="I1078" s="63"/>
      <c r="J1078" s="63"/>
      <c r="K1078" s="63"/>
      <c r="L1078" s="63"/>
      <c r="M1078" s="63"/>
      <c r="N1078" s="63"/>
      <c r="O1078" s="63"/>
      <c r="P1078" s="63"/>
      <c r="Q1078" s="63"/>
      <c r="R1078" s="63"/>
      <c r="S1078" s="63"/>
      <c r="T1078" s="63"/>
      <c r="U1078" s="63"/>
      <c r="V1078" s="63"/>
      <c r="W1078" s="63"/>
      <c r="X1078" s="63"/>
      <c r="Y1078" s="63"/>
      <c r="Z1078" s="63"/>
      <c r="AA1078" s="63"/>
      <c r="AB1078" s="63"/>
    </row>
    <row r="1079" spans="3:28" x14ac:dyDescent="0.25">
      <c r="C1079" s="51"/>
      <c r="D1079" s="52"/>
      <c r="E1079" s="53"/>
      <c r="F1079" s="63"/>
      <c r="G1079" s="63"/>
      <c r="H1079" s="63"/>
      <c r="I1079" s="63"/>
      <c r="J1079" s="63"/>
      <c r="K1079" s="63"/>
      <c r="L1079" s="63"/>
      <c r="M1079" s="63"/>
      <c r="N1079" s="63"/>
      <c r="O1079" s="63"/>
      <c r="P1079" s="63"/>
      <c r="Q1079" s="63"/>
      <c r="R1079" s="63"/>
      <c r="S1079" s="63"/>
      <c r="T1079" s="63"/>
      <c r="U1079" s="63"/>
      <c r="V1079" s="63"/>
      <c r="W1079" s="63"/>
      <c r="X1079" s="63"/>
      <c r="Y1079" s="63"/>
      <c r="Z1079" s="63"/>
      <c r="AA1079" s="63"/>
      <c r="AB1079" s="63"/>
    </row>
    <row r="1080" spans="3:28" x14ac:dyDescent="0.25">
      <c r="C1080" s="51"/>
      <c r="D1080" s="52"/>
      <c r="E1080" s="53"/>
      <c r="F1080" s="63"/>
      <c r="G1080" s="63"/>
      <c r="H1080" s="63"/>
      <c r="I1080" s="63"/>
      <c r="J1080" s="63"/>
      <c r="K1080" s="63"/>
      <c r="L1080" s="63"/>
      <c r="M1080" s="63"/>
      <c r="N1080" s="63"/>
      <c r="O1080" s="63"/>
      <c r="P1080" s="63"/>
      <c r="Q1080" s="63"/>
      <c r="R1080" s="63"/>
      <c r="S1080" s="63"/>
      <c r="T1080" s="63"/>
      <c r="U1080" s="63"/>
      <c r="V1080" s="63"/>
      <c r="W1080" s="63"/>
      <c r="X1080" s="63"/>
      <c r="Y1080" s="63"/>
      <c r="Z1080" s="63"/>
      <c r="AA1080" s="63"/>
      <c r="AB1080" s="63"/>
    </row>
    <row r="1081" spans="3:28" x14ac:dyDescent="0.25">
      <c r="C1081" s="51"/>
      <c r="D1081" s="52"/>
      <c r="E1081" s="53"/>
      <c r="F1081" s="63"/>
      <c r="G1081" s="63"/>
      <c r="H1081" s="63"/>
      <c r="I1081" s="63"/>
      <c r="J1081" s="63"/>
      <c r="K1081" s="63"/>
      <c r="L1081" s="63"/>
      <c r="M1081" s="63"/>
      <c r="N1081" s="63"/>
      <c r="O1081" s="63"/>
      <c r="P1081" s="63"/>
      <c r="Q1081" s="63"/>
      <c r="R1081" s="63"/>
      <c r="S1081" s="63"/>
      <c r="T1081" s="63"/>
      <c r="U1081" s="63"/>
      <c r="V1081" s="63"/>
      <c r="W1081" s="63"/>
      <c r="X1081" s="63"/>
      <c r="Y1081" s="63"/>
      <c r="Z1081" s="63"/>
      <c r="AA1081" s="63"/>
      <c r="AB1081" s="63"/>
    </row>
    <row r="1082" spans="3:28" x14ac:dyDescent="0.25">
      <c r="C1082" s="51"/>
      <c r="D1082" s="52"/>
      <c r="E1082" s="53"/>
      <c r="F1082" s="63"/>
      <c r="G1082" s="63"/>
      <c r="H1082" s="63"/>
      <c r="I1082" s="63"/>
      <c r="J1082" s="63"/>
      <c r="K1082" s="63"/>
      <c r="L1082" s="63"/>
      <c r="M1082" s="63"/>
      <c r="N1082" s="63"/>
      <c r="O1082" s="63"/>
      <c r="P1082" s="63"/>
      <c r="Q1082" s="63"/>
      <c r="R1082" s="63"/>
      <c r="S1082" s="63"/>
      <c r="T1082" s="63"/>
      <c r="U1082" s="63"/>
      <c r="V1082" s="63"/>
      <c r="W1082" s="63"/>
      <c r="X1082" s="63"/>
      <c r="Y1082" s="63"/>
      <c r="Z1082" s="63"/>
      <c r="AA1082" s="63"/>
      <c r="AB1082" s="63"/>
    </row>
    <row r="1083" spans="3:28" x14ac:dyDescent="0.25">
      <c r="C1083" s="51"/>
      <c r="D1083" s="52"/>
      <c r="E1083" s="53"/>
      <c r="F1083" s="63"/>
      <c r="G1083" s="63"/>
      <c r="H1083" s="63"/>
      <c r="I1083" s="63"/>
      <c r="J1083" s="63"/>
      <c r="K1083" s="63"/>
      <c r="L1083" s="63"/>
      <c r="M1083" s="63"/>
      <c r="N1083" s="63"/>
      <c r="O1083" s="63"/>
      <c r="P1083" s="63"/>
      <c r="Q1083" s="63"/>
      <c r="R1083" s="63"/>
      <c r="S1083" s="63"/>
      <c r="T1083" s="63"/>
      <c r="U1083" s="63"/>
      <c r="V1083" s="63"/>
      <c r="W1083" s="63"/>
      <c r="X1083" s="63"/>
      <c r="Y1083" s="63"/>
      <c r="Z1083" s="63"/>
      <c r="AA1083" s="63"/>
      <c r="AB1083" s="63"/>
    </row>
    <row r="1084" spans="3:28" x14ac:dyDescent="0.25">
      <c r="C1084" s="51"/>
      <c r="D1084" s="52"/>
      <c r="E1084" s="53"/>
      <c r="F1084" s="63"/>
      <c r="G1084" s="63"/>
      <c r="H1084" s="63"/>
      <c r="I1084" s="63"/>
      <c r="J1084" s="63"/>
      <c r="K1084" s="63"/>
      <c r="L1084" s="63"/>
      <c r="M1084" s="63"/>
      <c r="N1084" s="63"/>
      <c r="O1084" s="63"/>
      <c r="P1084" s="63"/>
      <c r="Q1084" s="63"/>
      <c r="R1084" s="63"/>
      <c r="S1084" s="63"/>
      <c r="T1084" s="63"/>
      <c r="U1084" s="63"/>
      <c r="V1084" s="63"/>
      <c r="W1084" s="63"/>
      <c r="X1084" s="63"/>
      <c r="Y1084" s="63"/>
      <c r="Z1084" s="63"/>
      <c r="AA1084" s="63"/>
      <c r="AB1084" s="63"/>
    </row>
    <row r="1085" spans="3:28" x14ac:dyDescent="0.25">
      <c r="C1085" s="51"/>
      <c r="D1085" s="52"/>
      <c r="E1085" s="53"/>
      <c r="F1085" s="63"/>
      <c r="G1085" s="63"/>
      <c r="H1085" s="63"/>
      <c r="I1085" s="63"/>
      <c r="J1085" s="63"/>
      <c r="K1085" s="63"/>
      <c r="L1085" s="63"/>
      <c r="M1085" s="63"/>
      <c r="N1085" s="63"/>
      <c r="O1085" s="63"/>
      <c r="P1085" s="63"/>
      <c r="Q1085" s="63"/>
      <c r="R1085" s="63"/>
      <c r="S1085" s="63"/>
      <c r="T1085" s="63"/>
      <c r="U1085" s="63"/>
      <c r="V1085" s="63"/>
      <c r="W1085" s="63"/>
      <c r="X1085" s="63"/>
      <c r="Y1085" s="63"/>
      <c r="Z1085" s="63"/>
      <c r="AA1085" s="63"/>
      <c r="AB1085" s="63"/>
    </row>
    <row r="1086" spans="3:28" x14ac:dyDescent="0.25">
      <c r="C1086" s="51"/>
      <c r="D1086" s="52"/>
      <c r="E1086" s="53"/>
      <c r="F1086" s="63"/>
      <c r="G1086" s="63"/>
      <c r="H1086" s="63"/>
      <c r="I1086" s="63"/>
      <c r="J1086" s="63"/>
      <c r="K1086" s="63"/>
      <c r="L1086" s="63"/>
      <c r="M1086" s="63"/>
      <c r="N1086" s="63"/>
      <c r="O1086" s="63"/>
      <c r="P1086" s="63"/>
      <c r="Q1086" s="63"/>
      <c r="R1086" s="63"/>
      <c r="S1086" s="63"/>
      <c r="T1086" s="63"/>
      <c r="U1086" s="63"/>
      <c r="V1086" s="63"/>
      <c r="W1086" s="63"/>
      <c r="X1086" s="63"/>
      <c r="Y1086" s="63"/>
      <c r="Z1086" s="63"/>
      <c r="AA1086" s="63"/>
      <c r="AB1086" s="63"/>
    </row>
    <row r="1087" spans="3:28" x14ac:dyDescent="0.25">
      <c r="C1087" s="51"/>
      <c r="D1087" s="52"/>
      <c r="E1087" s="53"/>
      <c r="F1087" s="63"/>
      <c r="G1087" s="63"/>
      <c r="H1087" s="63"/>
      <c r="I1087" s="63"/>
      <c r="J1087" s="63"/>
      <c r="K1087" s="63"/>
      <c r="L1087" s="63"/>
      <c r="M1087" s="63"/>
      <c r="N1087" s="63"/>
      <c r="O1087" s="63"/>
      <c r="P1087" s="63"/>
      <c r="Q1087" s="63"/>
      <c r="R1087" s="63"/>
      <c r="S1087" s="63"/>
      <c r="T1087" s="63"/>
      <c r="U1087" s="63"/>
      <c r="V1087" s="63"/>
      <c r="W1087" s="63"/>
      <c r="X1087" s="63"/>
      <c r="Y1087" s="63"/>
      <c r="Z1087" s="63"/>
      <c r="AA1087" s="63"/>
      <c r="AB1087" s="63"/>
    </row>
    <row r="1088" spans="3:28" x14ac:dyDescent="0.25">
      <c r="C1088" s="51"/>
      <c r="D1088" s="52"/>
      <c r="E1088" s="53"/>
      <c r="F1088" s="63"/>
      <c r="G1088" s="63"/>
      <c r="H1088" s="63"/>
      <c r="I1088" s="63"/>
      <c r="J1088" s="63"/>
      <c r="K1088" s="63"/>
      <c r="L1088" s="63"/>
      <c r="M1088" s="63"/>
      <c r="N1088" s="63"/>
      <c r="O1088" s="63"/>
      <c r="P1088" s="63"/>
      <c r="Q1088" s="63"/>
      <c r="R1088" s="63"/>
      <c r="S1088" s="63"/>
      <c r="T1088" s="63"/>
      <c r="U1088" s="63"/>
      <c r="V1088" s="63"/>
      <c r="W1088" s="63"/>
      <c r="X1088" s="63"/>
      <c r="Y1088" s="63"/>
      <c r="Z1088" s="63"/>
      <c r="AA1088" s="63"/>
      <c r="AB1088" s="63"/>
    </row>
    <row r="1089" spans="3:28" x14ac:dyDescent="0.25">
      <c r="C1089" s="51"/>
      <c r="D1089" s="52"/>
      <c r="E1089" s="53"/>
      <c r="F1089" s="63"/>
      <c r="G1089" s="63"/>
      <c r="H1089" s="63"/>
      <c r="I1089" s="63"/>
      <c r="J1089" s="63"/>
      <c r="K1089" s="63"/>
      <c r="L1089" s="63"/>
      <c r="M1089" s="63"/>
      <c r="N1089" s="63"/>
      <c r="O1089" s="63"/>
      <c r="P1089" s="63"/>
      <c r="Q1089" s="63"/>
      <c r="R1089" s="63"/>
      <c r="S1089" s="63"/>
      <c r="T1089" s="63"/>
      <c r="U1089" s="63"/>
      <c r="V1089" s="63"/>
      <c r="W1089" s="63"/>
      <c r="X1089" s="63"/>
      <c r="Y1089" s="63"/>
      <c r="Z1089" s="63"/>
      <c r="AA1089" s="63"/>
      <c r="AB1089" s="63"/>
    </row>
    <row r="1090" spans="3:28" x14ac:dyDescent="0.25">
      <c r="C1090" s="51"/>
      <c r="D1090" s="52"/>
      <c r="E1090" s="53"/>
      <c r="F1090" s="63"/>
      <c r="G1090" s="63"/>
      <c r="H1090" s="63"/>
      <c r="I1090" s="63"/>
      <c r="J1090" s="63"/>
      <c r="K1090" s="63"/>
      <c r="L1090" s="63"/>
      <c r="M1090" s="63"/>
      <c r="N1090" s="63"/>
      <c r="O1090" s="63"/>
      <c r="P1090" s="63"/>
      <c r="Q1090" s="63"/>
      <c r="R1090" s="63"/>
      <c r="S1090" s="63"/>
      <c r="T1090" s="63"/>
      <c r="U1090" s="63"/>
      <c r="V1090" s="63"/>
      <c r="W1090" s="63"/>
      <c r="X1090" s="63"/>
      <c r="Y1090" s="63"/>
      <c r="Z1090" s="63"/>
      <c r="AA1090" s="63"/>
      <c r="AB1090" s="63"/>
    </row>
    <row r="1091" spans="3:28" x14ac:dyDescent="0.25">
      <c r="C1091" s="51"/>
      <c r="D1091" s="52"/>
      <c r="E1091" s="53"/>
      <c r="F1091" s="63"/>
      <c r="G1091" s="63"/>
      <c r="H1091" s="63"/>
      <c r="I1091" s="63"/>
      <c r="J1091" s="63"/>
      <c r="K1091" s="63"/>
      <c r="L1091" s="63"/>
      <c r="M1091" s="63"/>
      <c r="N1091" s="63"/>
      <c r="O1091" s="63"/>
      <c r="P1091" s="63"/>
      <c r="Q1091" s="63"/>
      <c r="R1091" s="63"/>
      <c r="S1091" s="63"/>
      <c r="T1091" s="63"/>
      <c r="U1091" s="63"/>
      <c r="V1091" s="63"/>
      <c r="W1091" s="63"/>
      <c r="X1091" s="63"/>
      <c r="Y1091" s="63"/>
      <c r="Z1091" s="63"/>
      <c r="AA1091" s="63"/>
      <c r="AB1091" s="63"/>
    </row>
    <row r="1092" spans="3:28" x14ac:dyDescent="0.25">
      <c r="C1092" s="51"/>
      <c r="D1092" s="52"/>
      <c r="E1092" s="53"/>
      <c r="F1092" s="63"/>
      <c r="G1092" s="63"/>
      <c r="H1092" s="63"/>
      <c r="I1092" s="63"/>
      <c r="J1092" s="63"/>
      <c r="K1092" s="63"/>
      <c r="L1092" s="63"/>
      <c r="M1092" s="63"/>
      <c r="N1092" s="63"/>
      <c r="O1092" s="63"/>
      <c r="P1092" s="63"/>
      <c r="Q1092" s="63"/>
      <c r="R1092" s="63"/>
      <c r="S1092" s="63"/>
      <c r="T1092" s="63"/>
      <c r="U1092" s="63"/>
      <c r="V1092" s="63"/>
      <c r="W1092" s="63"/>
      <c r="X1092" s="63"/>
      <c r="Y1092" s="63"/>
      <c r="Z1092" s="63"/>
      <c r="AA1092" s="63"/>
      <c r="AB1092" s="63"/>
    </row>
    <row r="1093" spans="3:28" x14ac:dyDescent="0.25">
      <c r="C1093" s="51"/>
      <c r="D1093" s="52"/>
      <c r="E1093" s="53"/>
      <c r="F1093" s="63"/>
      <c r="G1093" s="63"/>
      <c r="H1093" s="63"/>
      <c r="I1093" s="63"/>
      <c r="J1093" s="63"/>
      <c r="K1093" s="63"/>
      <c r="L1093" s="63"/>
      <c r="M1093" s="63"/>
      <c r="N1093" s="63"/>
      <c r="O1093" s="63"/>
      <c r="P1093" s="63"/>
      <c r="Q1093" s="63"/>
      <c r="R1093" s="63"/>
      <c r="S1093" s="63"/>
      <c r="T1093" s="63"/>
      <c r="U1093" s="63"/>
      <c r="V1093" s="63"/>
      <c r="W1093" s="63"/>
      <c r="X1093" s="63"/>
      <c r="Y1093" s="63"/>
      <c r="Z1093" s="63"/>
      <c r="AA1093" s="63"/>
      <c r="AB1093" s="63"/>
    </row>
    <row r="1094" spans="3:28" x14ac:dyDescent="0.25">
      <c r="C1094" s="51"/>
      <c r="D1094" s="52"/>
      <c r="E1094" s="53"/>
      <c r="F1094" s="63"/>
      <c r="G1094" s="63"/>
      <c r="H1094" s="63"/>
      <c r="I1094" s="63"/>
      <c r="J1094" s="63"/>
      <c r="K1094" s="63"/>
      <c r="L1094" s="63"/>
      <c r="M1094" s="63"/>
      <c r="N1094" s="63"/>
      <c r="O1094" s="63"/>
      <c r="P1094" s="63"/>
      <c r="Q1094" s="63"/>
      <c r="R1094" s="63"/>
      <c r="S1094" s="63"/>
      <c r="T1094" s="63"/>
      <c r="U1094" s="63"/>
      <c r="V1094" s="63"/>
      <c r="W1094" s="63"/>
      <c r="X1094" s="63"/>
      <c r="Y1094" s="63"/>
      <c r="Z1094" s="63"/>
      <c r="AA1094" s="63"/>
      <c r="AB1094" s="63"/>
    </row>
    <row r="1095" spans="3:28" x14ac:dyDescent="0.25">
      <c r="C1095" s="51"/>
      <c r="D1095" s="52"/>
      <c r="E1095" s="53"/>
      <c r="F1095" s="63"/>
      <c r="G1095" s="63"/>
      <c r="H1095" s="63"/>
      <c r="I1095" s="63"/>
      <c r="J1095" s="63"/>
      <c r="K1095" s="63"/>
      <c r="L1095" s="63"/>
      <c r="M1095" s="63"/>
      <c r="N1095" s="63"/>
      <c r="O1095" s="63"/>
      <c r="P1095" s="63"/>
      <c r="Q1095" s="63"/>
      <c r="R1095" s="63"/>
      <c r="S1095" s="63"/>
      <c r="T1095" s="63"/>
      <c r="U1095" s="63"/>
      <c r="V1095" s="63"/>
      <c r="W1095" s="63"/>
      <c r="X1095" s="63"/>
      <c r="Y1095" s="63"/>
      <c r="Z1095" s="63"/>
      <c r="AA1095" s="63"/>
      <c r="AB1095" s="63"/>
    </row>
    <row r="1096" spans="3:28" x14ac:dyDescent="0.25">
      <c r="C1096" s="51"/>
      <c r="D1096" s="52"/>
      <c r="E1096" s="53"/>
      <c r="F1096" s="63"/>
      <c r="G1096" s="63"/>
      <c r="H1096" s="63"/>
      <c r="I1096" s="63"/>
      <c r="J1096" s="63"/>
      <c r="K1096" s="63"/>
      <c r="L1096" s="63"/>
      <c r="M1096" s="63"/>
      <c r="N1096" s="63"/>
      <c r="O1096" s="63"/>
      <c r="P1096" s="63"/>
      <c r="Q1096" s="63"/>
      <c r="R1096" s="63"/>
      <c r="S1096" s="63"/>
      <c r="T1096" s="63"/>
      <c r="U1096" s="63"/>
      <c r="V1096" s="63"/>
      <c r="W1096" s="63"/>
      <c r="X1096" s="63"/>
      <c r="Y1096" s="63"/>
      <c r="Z1096" s="63"/>
      <c r="AA1096" s="63"/>
      <c r="AB1096" s="63"/>
    </row>
    <row r="1097" spans="3:28" x14ac:dyDescent="0.25">
      <c r="C1097" s="51"/>
      <c r="D1097" s="52"/>
      <c r="E1097" s="53"/>
      <c r="F1097" s="63"/>
      <c r="G1097" s="63"/>
      <c r="H1097" s="63"/>
      <c r="I1097" s="63"/>
      <c r="J1097" s="63"/>
      <c r="K1097" s="63"/>
      <c r="L1097" s="63"/>
      <c r="M1097" s="63"/>
      <c r="N1097" s="63"/>
      <c r="O1097" s="63"/>
      <c r="P1097" s="63"/>
      <c r="Q1097" s="63"/>
      <c r="R1097" s="63"/>
      <c r="S1097" s="63"/>
      <c r="T1097" s="63"/>
      <c r="U1097" s="63"/>
      <c r="V1097" s="63"/>
      <c r="W1097" s="63"/>
      <c r="X1097" s="63"/>
      <c r="Y1097" s="63"/>
      <c r="Z1097" s="63"/>
      <c r="AA1097" s="63"/>
      <c r="AB1097" s="63"/>
    </row>
    <row r="1098" spans="3:28" x14ac:dyDescent="0.25">
      <c r="C1098" s="51"/>
      <c r="D1098" s="52"/>
      <c r="E1098" s="53"/>
      <c r="F1098" s="63"/>
      <c r="G1098" s="63"/>
      <c r="H1098" s="63"/>
      <c r="I1098" s="63"/>
      <c r="J1098" s="63"/>
      <c r="K1098" s="63"/>
      <c r="L1098" s="63"/>
      <c r="M1098" s="63"/>
      <c r="N1098" s="63"/>
      <c r="O1098" s="63"/>
      <c r="P1098" s="63"/>
      <c r="Q1098" s="63"/>
      <c r="R1098" s="63"/>
      <c r="S1098" s="63"/>
      <c r="T1098" s="63"/>
      <c r="U1098" s="63"/>
      <c r="V1098" s="63"/>
      <c r="W1098" s="63"/>
      <c r="X1098" s="63"/>
      <c r="Y1098" s="63"/>
      <c r="Z1098" s="63"/>
      <c r="AA1098" s="63"/>
      <c r="AB1098" s="63"/>
    </row>
    <row r="1099" spans="3:28" x14ac:dyDescent="0.25">
      <c r="C1099" s="51"/>
      <c r="D1099" s="52"/>
      <c r="E1099" s="53"/>
      <c r="F1099" s="63"/>
      <c r="G1099" s="63"/>
      <c r="H1099" s="63"/>
      <c r="I1099" s="63"/>
      <c r="J1099" s="63"/>
      <c r="K1099" s="63"/>
      <c r="L1099" s="63"/>
      <c r="M1099" s="63"/>
      <c r="N1099" s="63"/>
      <c r="O1099" s="63"/>
      <c r="P1099" s="63"/>
      <c r="Q1099" s="63"/>
      <c r="R1099" s="63"/>
      <c r="S1099" s="63"/>
      <c r="T1099" s="63"/>
      <c r="U1099" s="63"/>
      <c r="V1099" s="63"/>
      <c r="W1099" s="63"/>
      <c r="X1099" s="63"/>
      <c r="Y1099" s="63"/>
      <c r="Z1099" s="63"/>
      <c r="AA1099" s="63"/>
      <c r="AB1099" s="63"/>
    </row>
    <row r="1100" spans="3:28" x14ac:dyDescent="0.25">
      <c r="C1100" s="51"/>
      <c r="D1100" s="52"/>
      <c r="E1100" s="53"/>
      <c r="F1100" s="63"/>
      <c r="G1100" s="63"/>
      <c r="H1100" s="63"/>
      <c r="I1100" s="63"/>
      <c r="J1100" s="63"/>
      <c r="K1100" s="63"/>
      <c r="L1100" s="63"/>
      <c r="M1100" s="63"/>
      <c r="N1100" s="63"/>
      <c r="O1100" s="63"/>
      <c r="P1100" s="63"/>
      <c r="Q1100" s="63"/>
      <c r="R1100" s="63"/>
      <c r="S1100" s="63"/>
      <c r="T1100" s="63"/>
      <c r="U1100" s="63"/>
      <c r="V1100" s="63"/>
      <c r="W1100" s="63"/>
      <c r="X1100" s="63"/>
      <c r="Y1100" s="63"/>
      <c r="Z1100" s="63"/>
      <c r="AA1100" s="63"/>
      <c r="AB1100" s="63"/>
    </row>
    <row r="1101" spans="3:28" x14ac:dyDescent="0.25">
      <c r="C1101" s="51"/>
      <c r="D1101" s="52"/>
      <c r="E1101" s="53"/>
      <c r="F1101" s="63"/>
      <c r="G1101" s="63"/>
      <c r="H1101" s="63"/>
      <c r="I1101" s="63"/>
      <c r="J1101" s="63"/>
      <c r="K1101" s="63"/>
      <c r="L1101" s="63"/>
      <c r="M1101" s="63"/>
      <c r="N1101" s="63"/>
      <c r="O1101" s="63"/>
      <c r="P1101" s="63"/>
      <c r="Q1101" s="63"/>
      <c r="R1101" s="63"/>
      <c r="S1101" s="63"/>
      <c r="T1101" s="63"/>
      <c r="U1101" s="63"/>
      <c r="V1101" s="63"/>
      <c r="W1101" s="63"/>
      <c r="X1101" s="63"/>
      <c r="Y1101" s="63"/>
      <c r="Z1101" s="63"/>
      <c r="AA1101" s="63"/>
      <c r="AB1101" s="63"/>
    </row>
    <row r="1102" spans="3:28" x14ac:dyDescent="0.25">
      <c r="C1102" s="51"/>
      <c r="D1102" s="52"/>
      <c r="E1102" s="53"/>
      <c r="F1102" s="63"/>
      <c r="G1102" s="63"/>
      <c r="H1102" s="63"/>
      <c r="I1102" s="63"/>
      <c r="J1102" s="63"/>
      <c r="K1102" s="63"/>
      <c r="L1102" s="63"/>
      <c r="M1102" s="63"/>
      <c r="N1102" s="63"/>
      <c r="O1102" s="63"/>
      <c r="P1102" s="63"/>
      <c r="Q1102" s="63"/>
      <c r="R1102" s="63"/>
      <c r="S1102" s="63"/>
      <c r="T1102" s="63"/>
      <c r="U1102" s="63"/>
      <c r="V1102" s="63"/>
      <c r="W1102" s="63"/>
      <c r="X1102" s="63"/>
      <c r="Y1102" s="63"/>
      <c r="Z1102" s="63"/>
      <c r="AA1102" s="63"/>
      <c r="AB1102" s="63"/>
    </row>
    <row r="1103" spans="3:28" x14ac:dyDescent="0.25">
      <c r="C1103" s="51"/>
      <c r="D1103" s="52"/>
      <c r="E1103" s="53"/>
      <c r="F1103" s="63"/>
      <c r="G1103" s="63"/>
      <c r="H1103" s="63"/>
      <c r="I1103" s="63"/>
      <c r="J1103" s="63"/>
      <c r="K1103" s="63"/>
      <c r="L1103" s="63"/>
      <c r="M1103" s="63"/>
      <c r="N1103" s="63"/>
      <c r="O1103" s="63"/>
      <c r="P1103" s="63"/>
      <c r="Q1103" s="63"/>
      <c r="R1103" s="63"/>
      <c r="S1103" s="63"/>
      <c r="T1103" s="63"/>
      <c r="U1103" s="63"/>
      <c r="V1103" s="63"/>
      <c r="W1103" s="63"/>
      <c r="X1103" s="63"/>
      <c r="Y1103" s="63"/>
      <c r="Z1103" s="63"/>
      <c r="AA1103" s="63"/>
      <c r="AB1103" s="63"/>
    </row>
    <row r="1104" spans="3:28" x14ac:dyDescent="0.25">
      <c r="C1104" s="51"/>
      <c r="D1104" s="52"/>
      <c r="E1104" s="53"/>
      <c r="F1104" s="63"/>
      <c r="G1104" s="63"/>
      <c r="H1104" s="63"/>
      <c r="I1104" s="63"/>
      <c r="J1104" s="63"/>
      <c r="K1104" s="63"/>
      <c r="L1104" s="63"/>
      <c r="M1104" s="63"/>
      <c r="N1104" s="63"/>
      <c r="O1104" s="63"/>
      <c r="P1104" s="63"/>
      <c r="Q1104" s="63"/>
      <c r="R1104" s="63"/>
      <c r="S1104" s="63"/>
      <c r="T1104" s="63"/>
      <c r="U1104" s="63"/>
      <c r="V1104" s="63"/>
      <c r="W1104" s="63"/>
      <c r="X1104" s="63"/>
      <c r="Y1104" s="63"/>
      <c r="Z1104" s="63"/>
      <c r="AA1104" s="63"/>
      <c r="AB1104" s="63"/>
    </row>
    <row r="1105" spans="3:28" x14ac:dyDescent="0.25">
      <c r="C1105" s="51"/>
      <c r="D1105" s="52"/>
      <c r="E1105" s="53"/>
      <c r="F1105" s="63"/>
      <c r="G1105" s="63"/>
      <c r="H1105" s="63"/>
      <c r="I1105" s="63"/>
      <c r="J1105" s="63"/>
      <c r="K1105" s="63"/>
      <c r="L1105" s="63"/>
      <c r="M1105" s="63"/>
      <c r="N1105" s="63"/>
      <c r="O1105" s="63"/>
      <c r="P1105" s="63"/>
      <c r="Q1105" s="63"/>
      <c r="R1105" s="63"/>
      <c r="S1105" s="63"/>
      <c r="T1105" s="63"/>
      <c r="U1105" s="63"/>
      <c r="V1105" s="63"/>
      <c r="W1105" s="63"/>
      <c r="X1105" s="63"/>
      <c r="Y1105" s="63"/>
      <c r="Z1105" s="63"/>
      <c r="AA1105" s="63"/>
      <c r="AB1105" s="63"/>
    </row>
    <row r="1106" spans="3:28" x14ac:dyDescent="0.25">
      <c r="C1106" s="51"/>
      <c r="D1106" s="52"/>
      <c r="E1106" s="53"/>
      <c r="F1106" s="63"/>
      <c r="G1106" s="63"/>
      <c r="H1106" s="63"/>
      <c r="I1106" s="63"/>
      <c r="J1106" s="63"/>
      <c r="K1106" s="63"/>
      <c r="L1106" s="63"/>
      <c r="M1106" s="63"/>
      <c r="N1106" s="63"/>
      <c r="O1106" s="63"/>
      <c r="P1106" s="63"/>
      <c r="Q1106" s="63"/>
      <c r="R1106" s="63"/>
      <c r="S1106" s="63"/>
      <c r="T1106" s="63"/>
      <c r="U1106" s="63"/>
      <c r="V1106" s="63"/>
      <c r="W1106" s="63"/>
      <c r="X1106" s="63"/>
      <c r="Y1106" s="63"/>
      <c r="Z1106" s="63"/>
      <c r="AA1106" s="63"/>
      <c r="AB1106" s="63"/>
    </row>
    <row r="1107" spans="3:28" x14ac:dyDescent="0.25">
      <c r="C1107" s="51"/>
      <c r="D1107" s="52"/>
      <c r="E1107" s="53"/>
      <c r="F1107" s="63"/>
      <c r="G1107" s="63"/>
      <c r="H1107" s="63"/>
      <c r="I1107" s="63"/>
      <c r="J1107" s="63"/>
      <c r="K1107" s="63"/>
      <c r="L1107" s="63"/>
      <c r="M1107" s="63"/>
      <c r="N1107" s="63"/>
      <c r="O1107" s="63"/>
      <c r="P1107" s="63"/>
      <c r="Q1107" s="63"/>
      <c r="R1107" s="63"/>
      <c r="S1107" s="63"/>
      <c r="T1107" s="63"/>
      <c r="U1107" s="63"/>
      <c r="V1107" s="63"/>
      <c r="W1107" s="63"/>
      <c r="X1107" s="63"/>
      <c r="Y1107" s="63"/>
      <c r="Z1107" s="63"/>
      <c r="AA1107" s="63"/>
      <c r="AB1107" s="63"/>
    </row>
    <row r="1108" spans="3:28" x14ac:dyDescent="0.25">
      <c r="C1108" s="51"/>
      <c r="D1108" s="52"/>
      <c r="E1108" s="53"/>
      <c r="F1108" s="63"/>
      <c r="G1108" s="63"/>
      <c r="H1108" s="63"/>
      <c r="I1108" s="63"/>
      <c r="J1108" s="63"/>
      <c r="K1108" s="63"/>
      <c r="L1108" s="63"/>
      <c r="M1108" s="63"/>
      <c r="N1108" s="63"/>
      <c r="O1108" s="63"/>
      <c r="P1108" s="63"/>
      <c r="Q1108" s="63"/>
      <c r="R1108" s="63"/>
      <c r="S1108" s="63"/>
      <c r="T1108" s="63"/>
      <c r="U1108" s="63"/>
      <c r="V1108" s="63"/>
      <c r="W1108" s="63"/>
      <c r="X1108" s="63"/>
      <c r="Y1108" s="63"/>
      <c r="Z1108" s="63"/>
      <c r="AA1108" s="63"/>
      <c r="AB1108" s="63"/>
    </row>
    <row r="1109" spans="3:28" x14ac:dyDescent="0.25">
      <c r="C1109" s="51"/>
      <c r="D1109" s="52"/>
      <c r="E1109" s="53"/>
      <c r="F1109" s="63"/>
      <c r="G1109" s="63"/>
      <c r="H1109" s="63"/>
      <c r="I1109" s="63"/>
      <c r="J1109" s="63"/>
      <c r="K1109" s="63"/>
      <c r="L1109" s="63"/>
      <c r="M1109" s="63"/>
      <c r="N1109" s="63"/>
      <c r="O1109" s="63"/>
      <c r="P1109" s="63"/>
      <c r="Q1109" s="63"/>
      <c r="R1109" s="63"/>
      <c r="S1109" s="63"/>
      <c r="T1109" s="63"/>
      <c r="U1109" s="63"/>
      <c r="V1109" s="63"/>
      <c r="W1109" s="63"/>
      <c r="X1109" s="63"/>
      <c r="Y1109" s="63"/>
      <c r="Z1109" s="63"/>
      <c r="AA1109" s="63"/>
      <c r="AB1109" s="63"/>
    </row>
    <row r="1110" spans="3:28" x14ac:dyDescent="0.25">
      <c r="C1110" s="51"/>
      <c r="D1110" s="52"/>
      <c r="E1110" s="53"/>
      <c r="F1110" s="63"/>
      <c r="G1110" s="63"/>
      <c r="H1110" s="63"/>
      <c r="I1110" s="63"/>
      <c r="J1110" s="63"/>
      <c r="K1110" s="63"/>
      <c r="L1110" s="63"/>
      <c r="M1110" s="63"/>
      <c r="N1110" s="63"/>
      <c r="O1110" s="63"/>
      <c r="P1110" s="63"/>
      <c r="Q1110" s="63"/>
      <c r="R1110" s="63"/>
      <c r="S1110" s="63"/>
      <c r="T1110" s="63"/>
      <c r="U1110" s="63"/>
      <c r="V1110" s="63"/>
      <c r="W1110" s="63"/>
      <c r="X1110" s="63"/>
      <c r="Y1110" s="63"/>
      <c r="Z1110" s="63"/>
      <c r="AA1110" s="63"/>
      <c r="AB1110" s="63"/>
    </row>
    <row r="1111" spans="3:28" x14ac:dyDescent="0.25">
      <c r="C1111" s="51"/>
      <c r="D1111" s="52"/>
      <c r="E1111" s="53"/>
      <c r="F1111" s="63"/>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row>
    <row r="1112" spans="3:28" x14ac:dyDescent="0.25">
      <c r="C1112" s="51"/>
      <c r="D1112" s="52"/>
      <c r="E1112" s="53"/>
      <c r="F1112" s="63"/>
      <c r="G1112" s="63"/>
      <c r="H1112" s="63"/>
      <c r="I1112" s="63"/>
      <c r="J1112" s="63"/>
      <c r="K1112" s="63"/>
      <c r="L1112" s="63"/>
      <c r="M1112" s="63"/>
      <c r="N1112" s="63"/>
      <c r="O1112" s="63"/>
      <c r="P1112" s="63"/>
      <c r="Q1112" s="63"/>
      <c r="R1112" s="63"/>
      <c r="S1112" s="63"/>
      <c r="T1112" s="63"/>
      <c r="U1112" s="63"/>
      <c r="V1112" s="63"/>
      <c r="W1112" s="63"/>
      <c r="X1112" s="63"/>
      <c r="Y1112" s="63"/>
      <c r="Z1112" s="63"/>
      <c r="AA1112" s="63"/>
      <c r="AB1112" s="63"/>
    </row>
    <row r="1113" spans="3:28" x14ac:dyDescent="0.25">
      <c r="C1113" s="51"/>
      <c r="D1113" s="52"/>
      <c r="E1113" s="53"/>
      <c r="F1113" s="63"/>
      <c r="G1113" s="63"/>
      <c r="H1113" s="63"/>
      <c r="I1113" s="63"/>
      <c r="J1113" s="63"/>
      <c r="K1113" s="63"/>
      <c r="L1113" s="63"/>
      <c r="M1113" s="63"/>
      <c r="N1113" s="63"/>
      <c r="O1113" s="63"/>
      <c r="P1113" s="63"/>
      <c r="Q1113" s="63"/>
      <c r="R1113" s="63"/>
      <c r="S1113" s="63"/>
      <c r="T1113" s="63"/>
      <c r="U1113" s="63"/>
      <c r="V1113" s="63"/>
      <c r="W1113" s="63"/>
      <c r="X1113" s="63"/>
      <c r="Y1113" s="63"/>
      <c r="Z1113" s="63"/>
      <c r="AA1113" s="63"/>
      <c r="AB1113" s="63"/>
    </row>
    <row r="1114" spans="3:28" x14ac:dyDescent="0.25">
      <c r="C1114" s="51"/>
      <c r="D1114" s="52"/>
      <c r="E1114" s="53"/>
      <c r="F1114" s="63"/>
      <c r="G1114" s="63"/>
      <c r="H1114" s="63"/>
      <c r="I1114" s="63"/>
      <c r="J1114" s="63"/>
      <c r="K1114" s="63"/>
      <c r="L1114" s="63"/>
      <c r="M1114" s="63"/>
      <c r="N1114" s="63"/>
      <c r="O1114" s="63"/>
      <c r="P1114" s="63"/>
      <c r="Q1114" s="63"/>
      <c r="R1114" s="63"/>
      <c r="S1114" s="63"/>
      <c r="T1114" s="63"/>
      <c r="U1114" s="63"/>
      <c r="V1114" s="63"/>
      <c r="W1114" s="63"/>
      <c r="X1114" s="63"/>
      <c r="Y1114" s="63"/>
      <c r="Z1114" s="63"/>
      <c r="AA1114" s="63"/>
      <c r="AB1114" s="63"/>
    </row>
    <row r="1115" spans="3:28" x14ac:dyDescent="0.25">
      <c r="C1115" s="51"/>
      <c r="D1115" s="52"/>
      <c r="E1115" s="53"/>
      <c r="F1115" s="63"/>
      <c r="G1115" s="63"/>
      <c r="H1115" s="63"/>
      <c r="I1115" s="63"/>
      <c r="J1115" s="63"/>
      <c r="K1115" s="63"/>
      <c r="L1115" s="63"/>
      <c r="M1115" s="63"/>
      <c r="N1115" s="63"/>
      <c r="O1115" s="63"/>
      <c r="P1115" s="63"/>
      <c r="Q1115" s="63"/>
      <c r="R1115" s="63"/>
      <c r="S1115" s="63"/>
      <c r="T1115" s="63"/>
      <c r="U1115" s="63"/>
      <c r="V1115" s="63"/>
      <c r="W1115" s="63"/>
      <c r="X1115" s="63"/>
      <c r="Y1115" s="63"/>
      <c r="Z1115" s="63"/>
      <c r="AA1115" s="63"/>
      <c r="AB1115" s="63"/>
    </row>
    <row r="1116" spans="3:28" x14ac:dyDescent="0.25">
      <c r="C1116" s="51"/>
      <c r="D1116" s="52"/>
      <c r="E1116" s="53"/>
      <c r="F1116" s="63"/>
      <c r="G1116" s="63"/>
      <c r="H1116" s="63"/>
      <c r="I1116" s="63"/>
      <c r="J1116" s="63"/>
      <c r="K1116" s="63"/>
      <c r="L1116" s="63"/>
      <c r="M1116" s="63"/>
      <c r="N1116" s="63"/>
      <c r="O1116" s="63"/>
      <c r="P1116" s="63"/>
      <c r="Q1116" s="63"/>
      <c r="R1116" s="63"/>
      <c r="S1116" s="63"/>
      <c r="T1116" s="63"/>
      <c r="U1116" s="63"/>
      <c r="V1116" s="63"/>
      <c r="W1116" s="63"/>
      <c r="X1116" s="63"/>
      <c r="Y1116" s="63"/>
      <c r="Z1116" s="63"/>
      <c r="AA1116" s="63"/>
      <c r="AB1116" s="63"/>
    </row>
    <row r="1117" spans="3:28" x14ac:dyDescent="0.25">
      <c r="C1117" s="51"/>
      <c r="D1117" s="52"/>
      <c r="E1117" s="53"/>
      <c r="F1117" s="63"/>
      <c r="G1117" s="63"/>
      <c r="H1117" s="63"/>
      <c r="I1117" s="63"/>
      <c r="J1117" s="63"/>
      <c r="K1117" s="63"/>
      <c r="L1117" s="63"/>
      <c r="M1117" s="63"/>
      <c r="N1117" s="63"/>
      <c r="O1117" s="63"/>
      <c r="P1117" s="63"/>
      <c r="Q1117" s="63"/>
      <c r="R1117" s="63"/>
      <c r="S1117" s="63"/>
      <c r="T1117" s="63"/>
      <c r="U1117" s="63"/>
      <c r="V1117" s="63"/>
      <c r="W1117" s="63"/>
      <c r="X1117" s="63"/>
      <c r="Y1117" s="63"/>
      <c r="Z1117" s="63"/>
      <c r="AA1117" s="63"/>
      <c r="AB1117" s="63"/>
    </row>
    <row r="1118" spans="3:28" x14ac:dyDescent="0.25">
      <c r="C1118" s="51"/>
      <c r="D1118" s="52"/>
      <c r="E1118" s="53"/>
      <c r="F1118" s="63"/>
      <c r="G1118" s="63"/>
      <c r="H1118" s="63"/>
      <c r="I1118" s="63"/>
      <c r="J1118" s="63"/>
      <c r="K1118" s="63"/>
      <c r="L1118" s="63"/>
      <c r="M1118" s="63"/>
      <c r="N1118" s="63"/>
      <c r="O1118" s="63"/>
      <c r="P1118" s="63"/>
      <c r="Q1118" s="63"/>
      <c r="R1118" s="63"/>
      <c r="S1118" s="63"/>
      <c r="T1118" s="63"/>
      <c r="U1118" s="63"/>
      <c r="V1118" s="63"/>
      <c r="W1118" s="63"/>
      <c r="X1118" s="63"/>
      <c r="Y1118" s="63"/>
      <c r="Z1118" s="63"/>
      <c r="AA1118" s="63"/>
      <c r="AB1118" s="63"/>
    </row>
    <row r="1119" spans="3:28" x14ac:dyDescent="0.25">
      <c r="C1119" s="51"/>
      <c r="D1119" s="52"/>
      <c r="E1119" s="53"/>
      <c r="F1119" s="63"/>
      <c r="G1119" s="63"/>
      <c r="H1119" s="63"/>
      <c r="I1119" s="63"/>
      <c r="J1119" s="63"/>
      <c r="K1119" s="63"/>
      <c r="L1119" s="63"/>
      <c r="M1119" s="63"/>
      <c r="N1119" s="63"/>
      <c r="O1119" s="63"/>
      <c r="P1119" s="63"/>
      <c r="Q1119" s="63"/>
      <c r="R1119" s="63"/>
      <c r="S1119" s="63"/>
      <c r="T1119" s="63"/>
      <c r="U1119" s="63"/>
      <c r="V1119" s="63"/>
      <c r="W1119" s="63"/>
      <c r="X1119" s="63"/>
      <c r="Y1119" s="63"/>
      <c r="Z1119" s="63"/>
      <c r="AA1119" s="63"/>
      <c r="AB1119" s="63"/>
    </row>
    <row r="1120" spans="3:28" x14ac:dyDescent="0.25">
      <c r="C1120" s="51"/>
      <c r="D1120" s="52"/>
      <c r="E1120" s="53"/>
      <c r="F1120" s="63"/>
      <c r="G1120" s="63"/>
      <c r="H1120" s="63"/>
      <c r="I1120" s="63"/>
      <c r="J1120" s="63"/>
      <c r="K1120" s="63"/>
      <c r="L1120" s="63"/>
      <c r="M1120" s="63"/>
      <c r="N1120" s="63"/>
      <c r="O1120" s="63"/>
      <c r="P1120" s="63"/>
      <c r="Q1120" s="63"/>
      <c r="R1120" s="63"/>
      <c r="S1120" s="63"/>
      <c r="T1120" s="63"/>
      <c r="U1120" s="63"/>
      <c r="V1120" s="63"/>
      <c r="W1120" s="63"/>
      <c r="X1120" s="63"/>
      <c r="Y1120" s="63"/>
      <c r="Z1120" s="63"/>
      <c r="AA1120" s="63"/>
      <c r="AB1120" s="63"/>
    </row>
    <row r="1121" spans="3:28" x14ac:dyDescent="0.25">
      <c r="C1121" s="51"/>
      <c r="D1121" s="52"/>
      <c r="E1121" s="53"/>
      <c r="F1121" s="63"/>
      <c r="G1121" s="63"/>
      <c r="H1121" s="63"/>
      <c r="I1121" s="63"/>
      <c r="J1121" s="63"/>
      <c r="K1121" s="63"/>
      <c r="L1121" s="63"/>
      <c r="M1121" s="63"/>
      <c r="N1121" s="63"/>
      <c r="O1121" s="63"/>
      <c r="P1121" s="63"/>
      <c r="Q1121" s="63"/>
      <c r="R1121" s="63"/>
      <c r="S1121" s="63"/>
      <c r="T1121" s="63"/>
      <c r="U1121" s="63"/>
      <c r="V1121" s="63"/>
      <c r="W1121" s="63"/>
      <c r="X1121" s="63"/>
      <c r="Y1121" s="63"/>
      <c r="Z1121" s="63"/>
      <c r="AA1121" s="63"/>
      <c r="AB1121" s="63"/>
    </row>
    <row r="1122" spans="3:28" x14ac:dyDescent="0.25">
      <c r="C1122" s="51"/>
      <c r="D1122" s="52"/>
      <c r="E1122" s="53"/>
      <c r="F1122" s="63"/>
      <c r="G1122" s="63"/>
      <c r="H1122" s="63"/>
      <c r="I1122" s="63"/>
      <c r="J1122" s="63"/>
      <c r="K1122" s="63"/>
      <c r="L1122" s="63"/>
      <c r="M1122" s="63"/>
      <c r="N1122" s="63"/>
      <c r="O1122" s="63"/>
      <c r="P1122" s="63"/>
      <c r="Q1122" s="63"/>
      <c r="R1122" s="63"/>
      <c r="S1122" s="63"/>
      <c r="T1122" s="63"/>
      <c r="U1122" s="63"/>
      <c r="V1122" s="63"/>
      <c r="W1122" s="63"/>
      <c r="X1122" s="63"/>
      <c r="Y1122" s="63"/>
      <c r="Z1122" s="63"/>
      <c r="AA1122" s="63"/>
      <c r="AB1122" s="63"/>
    </row>
    <row r="1123" spans="3:28" x14ac:dyDescent="0.25">
      <c r="C1123" s="51"/>
      <c r="D1123" s="52"/>
      <c r="E1123" s="53"/>
      <c r="F1123" s="63"/>
      <c r="G1123" s="63"/>
      <c r="H1123" s="63"/>
      <c r="I1123" s="63"/>
      <c r="J1123" s="63"/>
      <c r="K1123" s="63"/>
      <c r="L1123" s="63"/>
      <c r="M1123" s="63"/>
      <c r="N1123" s="63"/>
      <c r="O1123" s="63"/>
      <c r="P1123" s="63"/>
      <c r="Q1123" s="63"/>
      <c r="R1123" s="63"/>
      <c r="S1123" s="63"/>
      <c r="T1123" s="63"/>
      <c r="U1123" s="63"/>
      <c r="V1123" s="63"/>
      <c r="W1123" s="63"/>
      <c r="X1123" s="63"/>
      <c r="Y1123" s="63"/>
      <c r="Z1123" s="63"/>
      <c r="AA1123" s="63"/>
      <c r="AB1123" s="63"/>
    </row>
    <row r="1124" spans="3:28" x14ac:dyDescent="0.25">
      <c r="C1124" s="51"/>
      <c r="D1124" s="52"/>
      <c r="E1124" s="53"/>
      <c r="F1124" s="63"/>
      <c r="G1124" s="63"/>
      <c r="H1124" s="63"/>
      <c r="I1124" s="63"/>
      <c r="J1124" s="63"/>
      <c r="K1124" s="63"/>
      <c r="L1124" s="63"/>
      <c r="M1124" s="63"/>
      <c r="N1124" s="63"/>
      <c r="O1124" s="63"/>
      <c r="P1124" s="63"/>
      <c r="Q1124" s="63"/>
      <c r="R1124" s="63"/>
      <c r="S1124" s="63"/>
      <c r="T1124" s="63"/>
      <c r="U1124" s="63"/>
      <c r="V1124" s="63"/>
      <c r="W1124" s="63"/>
      <c r="X1124" s="63"/>
      <c r="Y1124" s="63"/>
      <c r="Z1124" s="63"/>
      <c r="AA1124" s="63"/>
      <c r="AB1124" s="63"/>
    </row>
    <row r="1125" spans="3:28" x14ac:dyDescent="0.25">
      <c r="C1125" s="51"/>
      <c r="D1125" s="52"/>
      <c r="E1125" s="53"/>
      <c r="F1125" s="63"/>
      <c r="G1125" s="63"/>
      <c r="H1125" s="63"/>
      <c r="I1125" s="63"/>
      <c r="J1125" s="63"/>
      <c r="K1125" s="63"/>
      <c r="L1125" s="63"/>
      <c r="M1125" s="63"/>
      <c r="N1125" s="63"/>
      <c r="O1125" s="63"/>
      <c r="P1125" s="63"/>
      <c r="Q1125" s="63"/>
      <c r="R1125" s="63"/>
      <c r="S1125" s="63"/>
      <c r="T1125" s="63"/>
      <c r="U1125" s="63"/>
      <c r="V1125" s="63"/>
      <c r="W1125" s="63"/>
      <c r="X1125" s="63"/>
      <c r="Y1125" s="63"/>
      <c r="Z1125" s="63"/>
      <c r="AA1125" s="63"/>
      <c r="AB1125" s="63"/>
    </row>
    <row r="1126" spans="3:28" x14ac:dyDescent="0.25">
      <c r="C1126" s="51"/>
      <c r="D1126" s="52"/>
      <c r="E1126" s="53"/>
      <c r="F1126" s="63"/>
      <c r="G1126" s="63"/>
      <c r="H1126" s="63"/>
      <c r="I1126" s="63"/>
      <c r="J1126" s="63"/>
      <c r="K1126" s="63"/>
      <c r="L1126" s="63"/>
      <c r="M1126" s="63"/>
      <c r="N1126" s="63"/>
      <c r="O1126" s="63"/>
      <c r="P1126" s="63"/>
      <c r="Q1126" s="63"/>
      <c r="R1126" s="63"/>
      <c r="S1126" s="63"/>
      <c r="T1126" s="63"/>
      <c r="U1126" s="63"/>
      <c r="V1126" s="63"/>
      <c r="W1126" s="63"/>
      <c r="X1126" s="63"/>
      <c r="Y1126" s="63"/>
      <c r="Z1126" s="63"/>
      <c r="AA1126" s="63"/>
      <c r="AB1126" s="63"/>
    </row>
    <row r="1127" spans="3:28" x14ac:dyDescent="0.25">
      <c r="C1127" s="51"/>
      <c r="D1127" s="52"/>
      <c r="E1127" s="53"/>
      <c r="F1127" s="63"/>
      <c r="G1127" s="63"/>
      <c r="H1127" s="63"/>
      <c r="I1127" s="63"/>
      <c r="J1127" s="63"/>
      <c r="K1127" s="63"/>
      <c r="L1127" s="63"/>
      <c r="M1127" s="63"/>
      <c r="N1127" s="63"/>
      <c r="O1127" s="63"/>
      <c r="P1127" s="63"/>
      <c r="Q1127" s="63"/>
      <c r="R1127" s="63"/>
      <c r="S1127" s="63"/>
      <c r="T1127" s="63"/>
      <c r="U1127" s="63"/>
      <c r="V1127" s="63"/>
      <c r="W1127" s="63"/>
      <c r="X1127" s="63"/>
      <c r="Y1127" s="63"/>
      <c r="Z1127" s="63"/>
      <c r="AA1127" s="63"/>
      <c r="AB1127" s="63"/>
    </row>
    <row r="1128" spans="3:28" x14ac:dyDescent="0.25">
      <c r="C1128" s="51"/>
      <c r="D1128" s="52"/>
      <c r="E1128" s="53"/>
      <c r="F1128" s="63"/>
      <c r="G1128" s="63"/>
      <c r="H1128" s="63"/>
      <c r="I1128" s="63"/>
      <c r="J1128" s="63"/>
      <c r="K1128" s="63"/>
      <c r="L1128" s="63"/>
      <c r="M1128" s="63"/>
      <c r="N1128" s="63"/>
      <c r="O1128" s="63"/>
      <c r="P1128" s="63"/>
      <c r="Q1128" s="63"/>
      <c r="R1128" s="63"/>
      <c r="S1128" s="63"/>
      <c r="T1128" s="63"/>
      <c r="U1128" s="63"/>
      <c r="V1128" s="63"/>
      <c r="W1128" s="63"/>
      <c r="X1128" s="63"/>
      <c r="Y1128" s="63"/>
      <c r="Z1128" s="63"/>
      <c r="AA1128" s="63"/>
      <c r="AB1128" s="63"/>
    </row>
    <row r="1129" spans="3:28" x14ac:dyDescent="0.25">
      <c r="C1129" s="51"/>
      <c r="D1129" s="52"/>
      <c r="E1129" s="53"/>
      <c r="F1129" s="63"/>
      <c r="G1129" s="63"/>
      <c r="H1129" s="63"/>
      <c r="I1129" s="63"/>
      <c r="J1129" s="63"/>
      <c r="K1129" s="63"/>
      <c r="L1129" s="63"/>
      <c r="M1129" s="63"/>
      <c r="N1129" s="63"/>
      <c r="O1129" s="63"/>
      <c r="P1129" s="63"/>
      <c r="Q1129" s="63"/>
      <c r="R1129" s="63"/>
      <c r="S1129" s="63"/>
      <c r="T1129" s="63"/>
      <c r="U1129" s="63"/>
      <c r="V1129" s="63"/>
      <c r="W1129" s="63"/>
      <c r="X1129" s="63"/>
      <c r="Y1129" s="63"/>
      <c r="Z1129" s="63"/>
      <c r="AA1129" s="63"/>
      <c r="AB1129" s="63"/>
    </row>
    <row r="1130" spans="3:28" x14ac:dyDescent="0.25">
      <c r="C1130" s="51"/>
      <c r="D1130" s="52"/>
      <c r="E1130" s="53"/>
      <c r="F1130" s="63"/>
      <c r="G1130" s="63"/>
      <c r="H1130" s="63"/>
      <c r="I1130" s="63"/>
      <c r="J1130" s="63"/>
      <c r="K1130" s="63"/>
      <c r="L1130" s="63"/>
      <c r="M1130" s="63"/>
      <c r="N1130" s="63"/>
      <c r="O1130" s="63"/>
      <c r="P1130" s="63"/>
      <c r="Q1130" s="63"/>
      <c r="R1130" s="63"/>
      <c r="S1130" s="63"/>
      <c r="T1130" s="63"/>
      <c r="U1130" s="63"/>
      <c r="V1130" s="63"/>
      <c r="W1130" s="63"/>
      <c r="X1130" s="63"/>
      <c r="Y1130" s="63"/>
      <c r="Z1130" s="63"/>
      <c r="AA1130" s="63"/>
      <c r="AB1130" s="63"/>
    </row>
    <row r="1131" spans="3:28" x14ac:dyDescent="0.25">
      <c r="C1131" s="51"/>
      <c r="D1131" s="52"/>
      <c r="E1131" s="53"/>
      <c r="F1131" s="63"/>
      <c r="G1131" s="63"/>
      <c r="H1131" s="63"/>
      <c r="I1131" s="63"/>
      <c r="J1131" s="63"/>
      <c r="K1131" s="63"/>
      <c r="L1131" s="63"/>
      <c r="M1131" s="63"/>
      <c r="N1131" s="63"/>
      <c r="O1131" s="63"/>
      <c r="P1131" s="63"/>
      <c r="Q1131" s="63"/>
      <c r="R1131" s="63"/>
      <c r="S1131" s="63"/>
      <c r="T1131" s="63"/>
      <c r="U1131" s="63"/>
      <c r="V1131" s="63"/>
      <c r="W1131" s="63"/>
      <c r="X1131" s="63"/>
      <c r="Y1131" s="63"/>
      <c r="Z1131" s="63"/>
      <c r="AA1131" s="63"/>
      <c r="AB1131" s="63"/>
    </row>
    <row r="1132" spans="3:28" x14ac:dyDescent="0.25">
      <c r="C1132" s="51"/>
      <c r="D1132" s="52"/>
      <c r="E1132" s="53"/>
      <c r="F1132" s="63"/>
      <c r="G1132" s="63"/>
      <c r="H1132" s="63"/>
      <c r="I1132" s="63"/>
      <c r="J1132" s="63"/>
      <c r="K1132" s="63"/>
      <c r="L1132" s="63"/>
      <c r="M1132" s="63"/>
      <c r="N1132" s="63"/>
      <c r="O1132" s="63"/>
      <c r="P1132" s="63"/>
      <c r="Q1132" s="63"/>
      <c r="R1132" s="63"/>
      <c r="S1132" s="63"/>
      <c r="T1132" s="63"/>
      <c r="U1132" s="63"/>
      <c r="V1132" s="63"/>
      <c r="W1132" s="63"/>
      <c r="X1132" s="63"/>
      <c r="Y1132" s="63"/>
      <c r="Z1132" s="63"/>
      <c r="AA1132" s="63"/>
      <c r="AB1132" s="63"/>
    </row>
    <row r="1133" spans="3:28" x14ac:dyDescent="0.25">
      <c r="C1133" s="51"/>
      <c r="D1133" s="52"/>
      <c r="E1133" s="53"/>
      <c r="F1133" s="63"/>
      <c r="G1133" s="63"/>
      <c r="H1133" s="63"/>
      <c r="I1133" s="63"/>
      <c r="J1133" s="63"/>
      <c r="K1133" s="63"/>
      <c r="L1133" s="63"/>
      <c r="M1133" s="63"/>
      <c r="N1133" s="63"/>
      <c r="O1133" s="63"/>
      <c r="P1133" s="63"/>
      <c r="Q1133" s="63"/>
      <c r="R1133" s="63"/>
      <c r="S1133" s="63"/>
      <c r="T1133" s="63"/>
      <c r="U1133" s="63"/>
      <c r="V1133" s="63"/>
      <c r="W1133" s="63"/>
      <c r="X1133" s="63"/>
      <c r="Y1133" s="63"/>
      <c r="Z1133" s="63"/>
      <c r="AA1133" s="63"/>
      <c r="AB1133" s="63"/>
    </row>
    <row r="1134" spans="3:28" x14ac:dyDescent="0.25">
      <c r="C1134" s="51"/>
      <c r="D1134" s="52"/>
      <c r="E1134" s="53"/>
      <c r="F1134" s="63"/>
      <c r="G1134" s="63"/>
      <c r="H1134" s="63"/>
      <c r="I1134" s="63"/>
      <c r="J1134" s="63"/>
      <c r="K1134" s="63"/>
      <c r="L1134" s="63"/>
      <c r="M1134" s="63"/>
      <c r="N1134" s="63"/>
      <c r="O1134" s="63"/>
      <c r="P1134" s="63"/>
      <c r="Q1134" s="63"/>
      <c r="R1134" s="63"/>
      <c r="S1134" s="63"/>
      <c r="T1134" s="63"/>
      <c r="U1134" s="63"/>
      <c r="V1134" s="63"/>
      <c r="W1134" s="63"/>
      <c r="X1134" s="63"/>
      <c r="Y1134" s="63"/>
      <c r="Z1134" s="63"/>
      <c r="AA1134" s="63"/>
      <c r="AB1134" s="63"/>
    </row>
    <row r="1135" spans="3:28" x14ac:dyDescent="0.25">
      <c r="C1135" s="51"/>
      <c r="D1135" s="52"/>
      <c r="E1135" s="53"/>
      <c r="F1135" s="63"/>
      <c r="G1135" s="63"/>
      <c r="H1135" s="63"/>
      <c r="I1135" s="63"/>
      <c r="J1135" s="63"/>
      <c r="K1135" s="63"/>
      <c r="L1135" s="63"/>
      <c r="M1135" s="63"/>
      <c r="N1135" s="63"/>
      <c r="O1135" s="63"/>
      <c r="P1135" s="63"/>
      <c r="Q1135" s="63"/>
      <c r="R1135" s="63"/>
      <c r="S1135" s="63"/>
      <c r="T1135" s="63"/>
      <c r="U1135" s="63"/>
      <c r="V1135" s="63"/>
      <c r="W1135" s="63"/>
      <c r="X1135" s="63"/>
      <c r="Y1135" s="63"/>
      <c r="Z1135" s="63"/>
      <c r="AA1135" s="63"/>
      <c r="AB1135" s="63"/>
    </row>
    <row r="1136" spans="3:28" x14ac:dyDescent="0.25">
      <c r="C1136" s="51"/>
      <c r="D1136" s="52"/>
      <c r="E1136" s="53"/>
      <c r="F1136" s="63"/>
      <c r="G1136" s="63"/>
      <c r="H1136" s="63"/>
      <c r="I1136" s="63"/>
      <c r="J1136" s="63"/>
      <c r="K1136" s="63"/>
      <c r="L1136" s="63"/>
      <c r="M1136" s="63"/>
      <c r="N1136" s="63"/>
      <c r="O1136" s="63"/>
      <c r="P1136" s="63"/>
      <c r="Q1136" s="63"/>
      <c r="R1136" s="63"/>
      <c r="S1136" s="63"/>
      <c r="T1136" s="63"/>
      <c r="U1136" s="63"/>
      <c r="V1136" s="63"/>
      <c r="W1136" s="63"/>
      <c r="X1136" s="63"/>
      <c r="Y1136" s="63"/>
      <c r="Z1136" s="63"/>
      <c r="AA1136" s="63"/>
      <c r="AB1136" s="63"/>
    </row>
    <row r="1137" spans="3:28" x14ac:dyDescent="0.25">
      <c r="C1137" s="51"/>
      <c r="D1137" s="52"/>
      <c r="E1137" s="53"/>
      <c r="F1137" s="63"/>
      <c r="G1137" s="63"/>
      <c r="H1137" s="63"/>
      <c r="I1137" s="63"/>
      <c r="J1137" s="63"/>
      <c r="K1137" s="63"/>
      <c r="L1137" s="63"/>
      <c r="M1137" s="63"/>
      <c r="N1137" s="63"/>
      <c r="O1137" s="63"/>
      <c r="P1137" s="63"/>
      <c r="Q1137" s="63"/>
      <c r="R1137" s="63"/>
      <c r="S1137" s="63"/>
      <c r="T1137" s="63"/>
      <c r="U1137" s="63"/>
      <c r="V1137" s="63"/>
      <c r="W1137" s="63"/>
      <c r="X1137" s="63"/>
      <c r="Y1137" s="63"/>
      <c r="Z1137" s="63"/>
      <c r="AA1137" s="63"/>
      <c r="AB1137" s="63"/>
    </row>
  </sheetData>
  <sheetProtection algorithmName="SHA-512" hashValue="jOsA3lbn1tgZK6y7jyfz25j/gNGaFV+7D49DtdBFsHrkezbCwyPhjJ+wcpujfC3ZyhfLihNlJ00NScMn521gxg==" saltValue="61baAGwQvzltdJF/X2oKUw==" spinCount="100000" sheet="1" formatCells="0" formatColumns="0" formatRows="0" insertColumns="0" insertRows="0" insertHyperlinks="0" deleteColumns="0" deleteRows="0" sort="0" autoFilter="0" pivotTables="0"/>
  <protectedRanges>
    <protectedRange sqref="AC6:AD22" name="Range4"/>
    <protectedRange sqref="C23:C24 C6:E22" name="Range1"/>
    <protectedRange sqref="G23:H26 F6:L6 N6 F7:N18 F19:L22 N19:N22 M19:M26" name="Range2"/>
    <protectedRange sqref="P21:W22 P20:R20 T20:W20 P19:W19 P8:P18 S8:S14 Y19:Z22 X19:X26 P6:Z7 T8:Z18 M6" name="Range3"/>
    <protectedRange sqref="C23:E26" name="Range5"/>
    <protectedRange sqref="F23:F26 I23:L26 N23:N26" name="Range6"/>
    <protectedRange sqref="P23:W26 Y23:Z26" name="Range7"/>
  </protectedRanges>
  <mergeCells count="23">
    <mergeCell ref="B2:D3"/>
    <mergeCell ref="B1:D1"/>
    <mergeCell ref="E1:J1"/>
    <mergeCell ref="S5:S6"/>
    <mergeCell ref="AA43:AD43"/>
    <mergeCell ref="C5:C6"/>
    <mergeCell ref="B5:B6"/>
    <mergeCell ref="D5:D6"/>
    <mergeCell ref="AC5:AC6"/>
    <mergeCell ref="AD5:AD6"/>
    <mergeCell ref="AA5:AA6"/>
    <mergeCell ref="AB5:AB6"/>
    <mergeCell ref="M5:M6"/>
    <mergeCell ref="H44:I44"/>
    <mergeCell ref="E3:F3"/>
    <mergeCell ref="I3:O3"/>
    <mergeCell ref="K43:S43"/>
    <mergeCell ref="T43:Z43"/>
    <mergeCell ref="K5:K6"/>
    <mergeCell ref="E5:E6"/>
    <mergeCell ref="G5:G6"/>
    <mergeCell ref="H5:H6"/>
    <mergeCell ref="O5:O6"/>
  </mergeCells>
  <conditionalFormatting sqref="S51">
    <cfRule type="colorScale" priority="20">
      <colorScale>
        <cfvo type="min"/>
        <cfvo type="percentile" val="50"/>
        <cfvo type="max"/>
        <color rgb="FFF8696B"/>
        <color rgb="FFFCFCFF"/>
        <color rgb="FF5A8AC6"/>
      </colorScale>
    </cfRule>
  </conditionalFormatting>
  <conditionalFormatting sqref="M44:S85">
    <cfRule type="colorScale" priority="19">
      <colorScale>
        <cfvo type="min"/>
        <cfvo type="percentile" val="50"/>
        <cfvo type="max"/>
        <color rgb="FFF8696B"/>
        <color rgb="FFFCFCFF"/>
        <color rgb="FF5A8AC6"/>
      </colorScale>
    </cfRule>
  </conditionalFormatting>
  <conditionalFormatting sqref="M44:S45 M46:P85 R46:S85">
    <cfRule type="colorScale" priority="18">
      <colorScale>
        <cfvo type="min"/>
        <cfvo type="percentile" val="50"/>
        <cfvo type="max"/>
        <color rgb="FFF8696B"/>
        <color rgb="FFFCFCFF"/>
        <color rgb="FF63BE7B"/>
      </colorScale>
    </cfRule>
  </conditionalFormatting>
  <conditionalFormatting sqref="T44:Z85">
    <cfRule type="colorScale" priority="16">
      <colorScale>
        <cfvo type="min"/>
        <cfvo type="percentile" val="50"/>
        <cfvo type="max"/>
        <color rgb="FFF8696B"/>
        <color rgb="FFFCFCFF"/>
        <color rgb="FF5A8AC6"/>
      </colorScale>
    </cfRule>
  </conditionalFormatting>
  <conditionalFormatting sqref="T44:Z85">
    <cfRule type="colorScale" priority="15">
      <colorScale>
        <cfvo type="min"/>
        <cfvo type="percentile" val="50"/>
        <cfvo type="max"/>
        <color rgb="FFF8696B"/>
        <color rgb="FFFCFCFF"/>
        <color rgb="FF63BE7B"/>
      </colorScale>
    </cfRule>
  </conditionalFormatting>
  <conditionalFormatting sqref="AA44:AD68">
    <cfRule type="colorScale" priority="14">
      <colorScale>
        <cfvo type="min"/>
        <cfvo type="percentile" val="50"/>
        <cfvo type="max"/>
        <color rgb="FFF8696B"/>
        <color rgb="FFFCFCFF"/>
        <color rgb="FF5A8AC6"/>
      </colorScale>
    </cfRule>
  </conditionalFormatting>
  <conditionalFormatting sqref="AA44:AD68">
    <cfRule type="colorScale" priority="13">
      <colorScale>
        <cfvo type="min"/>
        <cfvo type="percentile" val="50"/>
        <cfvo type="max"/>
        <color rgb="FFF8696B"/>
        <color rgb="FFFCFCFF"/>
        <color rgb="FF63BE7B"/>
      </colorScale>
    </cfRule>
  </conditionalFormatting>
  <conditionalFormatting sqref="K44:L85">
    <cfRule type="colorScale" priority="12">
      <colorScale>
        <cfvo type="min"/>
        <cfvo type="percentile" val="50"/>
        <cfvo type="max"/>
        <color rgb="FFF8696B"/>
        <color rgb="FFFCFCFF"/>
        <color rgb="FF5A8AC6"/>
      </colorScale>
    </cfRule>
  </conditionalFormatting>
  <conditionalFormatting sqref="K44:L85">
    <cfRule type="colorScale" priority="11">
      <colorScale>
        <cfvo type="min"/>
        <cfvo type="percentile" val="50"/>
        <cfvo type="max"/>
        <color rgb="FFF8696B"/>
        <color rgb="FFFCFCFF"/>
        <color rgb="FF63BE7B"/>
      </colorScale>
    </cfRule>
  </conditionalFormatting>
  <conditionalFormatting sqref="S52">
    <cfRule type="colorScale" priority="10">
      <colorScale>
        <cfvo type="min"/>
        <cfvo type="percentile" val="50"/>
        <cfvo type="max"/>
        <color rgb="FFF8696B"/>
        <color rgb="FFFCFCFF"/>
        <color rgb="FF5A8AC6"/>
      </colorScale>
    </cfRule>
  </conditionalFormatting>
  <conditionalFormatting sqref="I67:I85">
    <cfRule type="colorScale" priority="9">
      <colorScale>
        <cfvo type="min"/>
        <cfvo type="percentile" val="50"/>
        <cfvo type="max"/>
        <color rgb="FFF8696B"/>
        <color rgb="FFFCFCFF"/>
        <color rgb="FF5A8AC6"/>
      </colorScale>
    </cfRule>
  </conditionalFormatting>
  <conditionalFormatting sqref="I67:I85">
    <cfRule type="colorScale" priority="8">
      <colorScale>
        <cfvo type="min"/>
        <cfvo type="percentile" val="50"/>
        <cfvo type="max"/>
        <color rgb="FFF8696B"/>
        <color rgb="FFFCFCFF"/>
        <color rgb="FF63BE7B"/>
      </colorScale>
    </cfRule>
  </conditionalFormatting>
  <conditionalFormatting sqref="G67:H85">
    <cfRule type="colorScale" priority="6">
      <colorScale>
        <cfvo type="min"/>
        <cfvo type="percentile" val="50"/>
        <cfvo type="max"/>
        <color rgb="FFF8696B"/>
        <color rgb="FFFCFCFF"/>
        <color rgb="FF5A8AC6"/>
      </colorScale>
    </cfRule>
  </conditionalFormatting>
  <conditionalFormatting sqref="G67:H85">
    <cfRule type="colorScale" priority="5">
      <colorScale>
        <cfvo type="min"/>
        <cfvo type="percentile" val="50"/>
        <cfvo type="max"/>
        <color rgb="FFF8696B"/>
        <color rgb="FFFCFCFF"/>
        <color rgb="FF63BE7B"/>
      </colorScale>
    </cfRule>
  </conditionalFormatting>
  <conditionalFormatting sqref="J67:J85">
    <cfRule type="colorScale" priority="3">
      <colorScale>
        <cfvo type="min"/>
        <cfvo type="percentile" val="50"/>
        <cfvo type="max"/>
        <color rgb="FFF8696B"/>
        <color rgb="FFFCFCFF"/>
        <color rgb="FF5A8AC6"/>
      </colorScale>
    </cfRule>
  </conditionalFormatting>
  <conditionalFormatting sqref="J67:J85">
    <cfRule type="colorScale" priority="2">
      <colorScale>
        <cfvo type="min"/>
        <cfvo type="percentile" val="50"/>
        <cfvo type="max"/>
        <color rgb="FFF8696B"/>
        <color rgb="FFFCFCFF"/>
        <color rgb="FF63BE7B"/>
      </colorScale>
    </cfRule>
  </conditionalFormatting>
  <dataValidations count="1">
    <dataValidation type="list" allowBlank="1" showInputMessage="1" showErrorMessage="1" sqref="E3:F3">
      <formula1>$AS$5:$AS$30</formula1>
    </dataValidation>
  </dataValidations>
  <pageMargins left="0.7" right="0.7" top="0.75" bottom="0.75" header="0.3" footer="0.3"/>
  <pageSetup paperSize="5" orientation="landscape" verticalDpi="300" r:id="rId1"/>
  <customProperties>
    <customPr name="DVSECTIONID" r:id="rId2"/>
  </customPropertie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O1077"/>
  <sheetViews>
    <sheetView topLeftCell="B1" zoomScale="90" zoomScaleNormal="90" workbookViewId="0">
      <selection activeCell="H20" sqref="H20"/>
    </sheetView>
  </sheetViews>
  <sheetFormatPr defaultRowHeight="15" x14ac:dyDescent="0.25"/>
  <cols>
    <col min="1" max="1" width="16.7109375" customWidth="1" collapsed="1"/>
    <col min="3" max="4" width="9.140625" hidden="1" customWidth="1" collapsed="1"/>
    <col min="5" max="5" width="51" style="20" customWidth="1" collapsed="1"/>
    <col min="6" max="6" width="12.42578125" style="20" customWidth="1" collapsed="1"/>
    <col min="7" max="7" width="21.85546875" customWidth="1" collapsed="1"/>
    <col min="8" max="8" width="95.85546875" customWidth="1" collapsed="1"/>
    <col min="9" max="9" width="22.42578125" customWidth="1" collapsed="1"/>
    <col min="40" max="41" width="9.140625" hidden="1" customWidth="1" collapsed="1"/>
  </cols>
  <sheetData>
    <row r="1" spans="1:40" ht="7.5" customHeight="1" x14ac:dyDescent="0.25">
      <c r="A1" s="68"/>
      <c r="B1" s="68"/>
      <c r="C1" s="68"/>
      <c r="D1" s="68"/>
      <c r="E1" s="67"/>
      <c r="F1" s="67"/>
      <c r="G1" s="67"/>
      <c r="H1" s="67"/>
      <c r="I1" s="67"/>
      <c r="J1" s="67"/>
      <c r="K1" s="67"/>
      <c r="L1" s="67"/>
      <c r="M1" s="67"/>
      <c r="N1" s="67"/>
      <c r="O1" s="67"/>
      <c r="P1" s="67"/>
      <c r="Q1" s="67"/>
      <c r="R1" s="67"/>
      <c r="S1" s="67"/>
      <c r="T1" s="67"/>
      <c r="U1" s="67"/>
      <c r="V1" s="67"/>
      <c r="W1" s="67"/>
      <c r="X1" s="67"/>
      <c r="Y1" s="67"/>
      <c r="Z1" s="68"/>
      <c r="AA1" s="68"/>
      <c r="AB1" s="68"/>
      <c r="AC1" s="68"/>
      <c r="AD1" s="68"/>
      <c r="AE1" s="68"/>
      <c r="AF1" s="68"/>
      <c r="AG1" s="20"/>
      <c r="AH1" s="20"/>
    </row>
    <row r="2" spans="1:40" ht="24.95" customHeight="1" x14ac:dyDescent="0.25">
      <c r="A2" s="68"/>
      <c r="B2" s="68"/>
      <c r="C2" s="68"/>
      <c r="D2" s="68"/>
      <c r="E2" s="538" t="s">
        <v>62</v>
      </c>
      <c r="F2" s="538"/>
      <c r="G2" s="538"/>
      <c r="H2" s="538"/>
      <c r="I2" s="538"/>
      <c r="J2" s="67"/>
      <c r="K2" s="67"/>
      <c r="L2" s="67"/>
      <c r="M2" s="67"/>
      <c r="N2" s="67"/>
      <c r="O2" s="67"/>
      <c r="P2" s="67"/>
      <c r="Q2" s="67"/>
      <c r="R2" s="67"/>
      <c r="S2" s="67"/>
      <c r="T2" s="67"/>
      <c r="U2" s="67"/>
      <c r="V2" s="67"/>
      <c r="W2" s="67"/>
      <c r="X2" s="67"/>
      <c r="Y2" s="67"/>
      <c r="Z2" s="67"/>
      <c r="AA2" s="67"/>
      <c r="AB2" s="67"/>
      <c r="AC2" s="68"/>
      <c r="AD2" s="68"/>
      <c r="AE2" s="68"/>
      <c r="AF2" s="68"/>
      <c r="AG2" s="20"/>
      <c r="AH2" s="20"/>
    </row>
    <row r="3" spans="1:40" ht="21" customHeight="1" x14ac:dyDescent="0.25">
      <c r="A3" s="68"/>
      <c r="B3" s="68"/>
      <c r="C3" s="68"/>
      <c r="D3" s="68"/>
      <c r="E3" s="539" t="s">
        <v>357</v>
      </c>
      <c r="F3" s="539"/>
      <c r="G3" s="539"/>
      <c r="H3" s="539"/>
      <c r="I3" s="539"/>
      <c r="J3" s="67"/>
      <c r="K3" s="67"/>
      <c r="L3" s="67"/>
      <c r="M3" s="67"/>
      <c r="N3" s="67"/>
      <c r="O3" s="67"/>
      <c r="P3" s="67"/>
      <c r="Q3" s="67"/>
      <c r="R3" s="67"/>
      <c r="S3" s="67"/>
      <c r="T3" s="67"/>
      <c r="U3" s="67"/>
      <c r="V3" s="67"/>
      <c r="W3" s="67"/>
      <c r="X3" s="67"/>
      <c r="Y3" s="67"/>
      <c r="Z3" s="67"/>
      <c r="AA3" s="67"/>
      <c r="AB3" s="67"/>
      <c r="AC3" s="68"/>
      <c r="AD3" s="68"/>
      <c r="AE3" s="68"/>
      <c r="AF3" s="68"/>
      <c r="AG3" s="416"/>
      <c r="AH3" s="20"/>
      <c r="AN3" s="270" t="s">
        <v>482</v>
      </c>
    </row>
    <row r="4" spans="1:40" ht="22.5" customHeight="1" x14ac:dyDescent="0.25">
      <c r="A4" s="68"/>
      <c r="B4" s="68"/>
      <c r="C4" s="68"/>
      <c r="D4" s="68"/>
      <c r="E4" s="539"/>
      <c r="F4" s="539"/>
      <c r="G4" s="539"/>
      <c r="H4" s="539"/>
      <c r="I4" s="539"/>
      <c r="J4" s="67"/>
      <c r="K4" s="67"/>
      <c r="L4" s="67"/>
      <c r="M4" s="67"/>
      <c r="N4" s="67"/>
      <c r="O4" s="67"/>
      <c r="P4" s="67"/>
      <c r="Q4" s="67"/>
      <c r="R4" s="67"/>
      <c r="S4" s="67"/>
      <c r="T4" s="67"/>
      <c r="U4" s="67"/>
      <c r="V4" s="67"/>
      <c r="W4" s="67"/>
      <c r="X4" s="67"/>
      <c r="Y4" s="67"/>
      <c r="Z4" s="67"/>
      <c r="AA4" s="67"/>
      <c r="AB4" s="67"/>
      <c r="AC4" s="68"/>
      <c r="AD4" s="68"/>
      <c r="AE4" s="68"/>
      <c r="AF4" s="68"/>
      <c r="AG4" s="416"/>
      <c r="AH4" s="20"/>
      <c r="AN4" s="270" t="s">
        <v>301</v>
      </c>
    </row>
    <row r="5" spans="1:40" ht="42" customHeight="1" x14ac:dyDescent="0.25">
      <c r="A5" s="68"/>
      <c r="B5" s="68"/>
      <c r="C5" s="68"/>
      <c r="D5" s="68"/>
      <c r="E5" s="417" t="s">
        <v>483</v>
      </c>
      <c r="F5" s="418" t="s">
        <v>301</v>
      </c>
      <c r="G5" s="344" t="str">
        <f>IF(AND(F5=""),"0",IF(AND(F5=AN4),"0",G32))</f>
        <v>0</v>
      </c>
      <c r="H5" s="250" t="s">
        <v>387</v>
      </c>
      <c r="I5" s="254"/>
      <c r="J5" s="67"/>
      <c r="K5" s="67"/>
      <c r="L5" s="67"/>
      <c r="M5" s="67"/>
      <c r="N5" s="67"/>
      <c r="O5" s="67"/>
      <c r="P5" s="67"/>
      <c r="Q5" s="67"/>
      <c r="R5" s="67"/>
      <c r="S5" s="67"/>
      <c r="T5" s="67"/>
      <c r="U5" s="67"/>
      <c r="V5" s="67"/>
      <c r="W5" s="67"/>
      <c r="X5" s="67"/>
      <c r="Y5" s="67"/>
      <c r="Z5" s="67"/>
      <c r="AA5" s="67"/>
      <c r="AB5" s="67"/>
      <c r="AC5" s="68"/>
      <c r="AD5" s="68"/>
      <c r="AE5" s="68"/>
      <c r="AF5" s="68"/>
      <c r="AG5" s="20"/>
      <c r="AH5" s="20"/>
    </row>
    <row r="6" spans="1:40" ht="21" customHeight="1" x14ac:dyDescent="0.25">
      <c r="A6" s="68"/>
      <c r="B6" s="68"/>
      <c r="C6" s="68"/>
      <c r="D6" s="68"/>
      <c r="E6" s="541" t="s">
        <v>327</v>
      </c>
      <c r="F6" s="542"/>
      <c r="G6" s="254"/>
      <c r="H6" s="251" t="s">
        <v>359</v>
      </c>
      <c r="I6" s="254"/>
      <c r="J6" s="67"/>
      <c r="K6" s="67"/>
      <c r="L6" s="67"/>
      <c r="M6" s="67"/>
      <c r="N6" s="67"/>
      <c r="O6" s="67"/>
      <c r="P6" s="67"/>
      <c r="Q6" s="67"/>
      <c r="R6" s="67"/>
      <c r="S6" s="67"/>
      <c r="T6" s="67"/>
      <c r="U6" s="67"/>
      <c r="V6" s="67"/>
      <c r="W6" s="67"/>
      <c r="X6" s="67"/>
      <c r="Y6" s="67"/>
      <c r="Z6" s="67"/>
      <c r="AA6" s="67"/>
      <c r="AB6" s="67"/>
      <c r="AC6" s="68"/>
      <c r="AD6" s="68"/>
      <c r="AE6" s="68"/>
      <c r="AF6" s="68"/>
      <c r="AG6" s="20"/>
      <c r="AH6" s="20"/>
    </row>
    <row r="7" spans="1:40" ht="21" customHeight="1" x14ac:dyDescent="0.25">
      <c r="A7" s="68"/>
      <c r="B7" s="68"/>
      <c r="C7" s="68"/>
      <c r="D7" s="68"/>
      <c r="E7" s="543" t="s">
        <v>328</v>
      </c>
      <c r="F7" s="544"/>
      <c r="G7" s="254"/>
      <c r="H7" s="250" t="s">
        <v>372</v>
      </c>
      <c r="I7" s="254"/>
      <c r="J7" s="67"/>
      <c r="K7" s="67"/>
      <c r="L7" s="67"/>
      <c r="M7" s="67"/>
      <c r="N7" s="67"/>
      <c r="O7" s="67"/>
      <c r="P7" s="67"/>
      <c r="Q7" s="67"/>
      <c r="R7" s="67"/>
      <c r="S7" s="67"/>
      <c r="T7" s="67"/>
      <c r="U7" s="67"/>
      <c r="V7" s="67"/>
      <c r="W7" s="67"/>
      <c r="X7" s="67"/>
      <c r="Y7" s="67"/>
      <c r="Z7" s="67"/>
      <c r="AA7" s="67"/>
      <c r="AB7" s="67"/>
      <c r="AC7" s="68"/>
      <c r="AD7" s="68"/>
      <c r="AE7" s="68"/>
      <c r="AF7" s="68"/>
      <c r="AG7" s="20"/>
      <c r="AH7" s="20"/>
    </row>
    <row r="8" spans="1:40" ht="21" customHeight="1" x14ac:dyDescent="0.25">
      <c r="A8" s="68"/>
      <c r="B8" s="68"/>
      <c r="C8" s="68"/>
      <c r="D8" s="68"/>
      <c r="E8" s="545" t="s">
        <v>323</v>
      </c>
      <c r="F8" s="546"/>
      <c r="G8" s="254"/>
      <c r="H8" s="253" t="s">
        <v>360</v>
      </c>
      <c r="I8" s="254"/>
      <c r="J8" s="67"/>
      <c r="K8" s="67"/>
      <c r="L8" s="67"/>
      <c r="M8" s="67"/>
      <c r="N8" s="67"/>
      <c r="O8" s="67"/>
      <c r="P8" s="67"/>
      <c r="Q8" s="67"/>
      <c r="R8" s="67"/>
      <c r="S8" s="67"/>
      <c r="T8" s="67"/>
      <c r="U8" s="67"/>
      <c r="V8" s="67"/>
      <c r="W8" s="67"/>
      <c r="X8" s="67"/>
      <c r="Y8" s="67"/>
      <c r="Z8" s="67"/>
      <c r="AA8" s="67"/>
      <c r="AB8" s="67"/>
      <c r="AC8" s="68"/>
      <c r="AD8" s="68"/>
      <c r="AE8" s="68"/>
      <c r="AF8" s="68"/>
      <c r="AG8" s="20"/>
      <c r="AH8" s="20"/>
    </row>
    <row r="9" spans="1:40" ht="22.5" customHeight="1" x14ac:dyDescent="0.25">
      <c r="A9" s="68"/>
      <c r="B9" s="68"/>
      <c r="C9" s="68"/>
      <c r="D9" s="68"/>
      <c r="E9" s="543" t="s">
        <v>324</v>
      </c>
      <c r="F9" s="544"/>
      <c r="G9" s="254"/>
      <c r="H9" s="250" t="s">
        <v>361</v>
      </c>
      <c r="I9" s="254"/>
      <c r="J9" s="67"/>
      <c r="K9" s="67"/>
      <c r="L9" s="67"/>
      <c r="M9" s="67"/>
      <c r="N9" s="67"/>
      <c r="O9" s="67"/>
      <c r="P9" s="67"/>
      <c r="Q9" s="67"/>
      <c r="R9" s="67"/>
      <c r="S9" s="67"/>
      <c r="T9" s="67"/>
      <c r="U9" s="67"/>
      <c r="V9" s="67"/>
      <c r="W9" s="67"/>
      <c r="X9" s="67"/>
      <c r="Y9" s="67"/>
      <c r="Z9" s="67"/>
      <c r="AA9" s="67"/>
      <c r="AB9" s="67"/>
      <c r="AC9" s="68"/>
      <c r="AD9" s="68"/>
      <c r="AE9" s="68"/>
      <c r="AF9" s="68"/>
      <c r="AG9" s="20"/>
      <c r="AH9" s="20"/>
    </row>
    <row r="10" spans="1:40" ht="21" customHeight="1" x14ac:dyDescent="0.25">
      <c r="A10" s="68"/>
      <c r="B10" s="68"/>
      <c r="C10" s="68"/>
      <c r="D10" s="68"/>
      <c r="E10" s="545" t="s">
        <v>480</v>
      </c>
      <c r="F10" s="546"/>
      <c r="G10" s="254"/>
      <c r="H10" s="251" t="s">
        <v>373</v>
      </c>
      <c r="I10" s="254"/>
      <c r="J10" s="67"/>
      <c r="K10" s="67"/>
      <c r="L10" s="67"/>
      <c r="M10" s="67"/>
      <c r="N10" s="67"/>
      <c r="O10" s="67"/>
      <c r="P10" s="67"/>
      <c r="Q10" s="67"/>
      <c r="R10" s="67"/>
      <c r="S10" s="67"/>
      <c r="T10" s="67"/>
      <c r="U10" s="67"/>
      <c r="V10" s="67"/>
      <c r="W10" s="67"/>
      <c r="X10" s="67"/>
      <c r="Y10" s="67"/>
      <c r="Z10" s="67"/>
      <c r="AA10" s="67"/>
      <c r="AB10" s="67"/>
      <c r="AC10" s="68"/>
      <c r="AD10" s="68"/>
      <c r="AE10" s="68"/>
      <c r="AF10" s="68"/>
      <c r="AG10" s="20"/>
      <c r="AH10" s="20"/>
    </row>
    <row r="11" spans="1:40" ht="21" customHeight="1" x14ac:dyDescent="0.25">
      <c r="A11" s="68"/>
      <c r="B11" s="68"/>
      <c r="C11" s="68"/>
      <c r="D11" s="68"/>
      <c r="E11" s="543" t="s">
        <v>481</v>
      </c>
      <c r="F11" s="544"/>
      <c r="G11" s="254"/>
      <c r="H11" s="250" t="s">
        <v>362</v>
      </c>
      <c r="I11" s="254"/>
      <c r="J11" s="67"/>
      <c r="K11" s="67"/>
      <c r="L11" s="67"/>
      <c r="M11" s="67"/>
      <c r="N11" s="67"/>
      <c r="O11" s="67"/>
      <c r="P11" s="67"/>
      <c r="Q11" s="67"/>
      <c r="R11" s="67"/>
      <c r="S11" s="67"/>
      <c r="T11" s="67"/>
      <c r="U11" s="67"/>
      <c r="V11" s="67"/>
      <c r="W11" s="67"/>
      <c r="X11" s="67"/>
      <c r="Y11" s="67"/>
      <c r="Z11" s="67"/>
      <c r="AA11" s="67"/>
      <c r="AB11" s="67"/>
      <c r="AC11" s="68"/>
      <c r="AD11" s="68"/>
      <c r="AE11" s="68"/>
      <c r="AF11" s="68"/>
      <c r="AG11" s="20"/>
      <c r="AH11" s="20"/>
    </row>
    <row r="12" spans="1:40" ht="21" customHeight="1" x14ac:dyDescent="0.25">
      <c r="A12" s="68"/>
      <c r="B12" s="68"/>
      <c r="C12" s="68"/>
      <c r="D12" s="68"/>
      <c r="E12" s="252" t="s">
        <v>329</v>
      </c>
      <c r="F12" s="252"/>
      <c r="G12" s="254">
        <v>16304</v>
      </c>
      <c r="H12" s="251" t="s">
        <v>363</v>
      </c>
      <c r="I12" s="254"/>
      <c r="J12" s="67"/>
      <c r="K12" s="67"/>
      <c r="L12" s="67"/>
      <c r="M12" s="67"/>
      <c r="N12" s="67"/>
      <c r="O12" s="67"/>
      <c r="P12" s="67"/>
      <c r="Q12" s="67"/>
      <c r="R12" s="67"/>
      <c r="S12" s="67"/>
      <c r="T12" s="67"/>
      <c r="U12" s="67"/>
      <c r="V12" s="67"/>
      <c r="W12" s="67"/>
      <c r="X12" s="67"/>
      <c r="Y12" s="67"/>
      <c r="Z12" s="67"/>
      <c r="AA12" s="67"/>
      <c r="AB12" s="67"/>
      <c r="AC12" s="68"/>
      <c r="AD12" s="68"/>
      <c r="AE12" s="68"/>
      <c r="AF12" s="68"/>
      <c r="AG12" s="20"/>
      <c r="AH12" s="20"/>
    </row>
    <row r="13" spans="1:40" ht="21" customHeight="1" x14ac:dyDescent="0.25">
      <c r="A13" s="68"/>
      <c r="B13" s="68"/>
      <c r="C13" s="68"/>
      <c r="D13" s="68"/>
      <c r="E13" s="249" t="s">
        <v>330</v>
      </c>
      <c r="F13" s="249"/>
      <c r="G13" s="254">
        <v>29100</v>
      </c>
      <c r="H13" s="250" t="s">
        <v>364</v>
      </c>
      <c r="I13" s="254"/>
      <c r="J13" s="67"/>
      <c r="K13" s="67"/>
      <c r="L13" s="67"/>
      <c r="M13" s="67"/>
      <c r="N13" s="67"/>
      <c r="O13" s="67"/>
      <c r="P13" s="67"/>
      <c r="Q13" s="67"/>
      <c r="R13" s="67"/>
      <c r="S13" s="67"/>
      <c r="T13" s="67"/>
      <c r="U13" s="67"/>
      <c r="V13" s="67"/>
      <c r="W13" s="67"/>
      <c r="X13" s="67"/>
      <c r="Y13" s="67"/>
      <c r="Z13" s="67"/>
      <c r="AA13" s="67"/>
      <c r="AB13" s="67"/>
      <c r="AC13" s="68"/>
      <c r="AD13" s="68"/>
      <c r="AE13" s="68"/>
      <c r="AF13" s="68"/>
      <c r="AG13" s="20"/>
      <c r="AH13" s="20"/>
    </row>
    <row r="14" spans="1:40" ht="21" customHeight="1" x14ac:dyDescent="0.25">
      <c r="A14" s="68"/>
      <c r="B14" s="68"/>
      <c r="C14" s="68"/>
      <c r="D14" s="68"/>
      <c r="E14" s="252" t="s">
        <v>331</v>
      </c>
      <c r="F14" s="252"/>
      <c r="G14" s="254"/>
      <c r="H14" s="251" t="s">
        <v>365</v>
      </c>
      <c r="I14" s="254"/>
      <c r="J14" s="67"/>
      <c r="K14" s="67"/>
      <c r="L14" s="67"/>
      <c r="M14" s="67"/>
      <c r="N14" s="67"/>
      <c r="O14" s="67"/>
      <c r="P14" s="67"/>
      <c r="Q14" s="67"/>
      <c r="R14" s="67"/>
      <c r="S14" s="67"/>
      <c r="T14" s="67"/>
      <c r="U14" s="67"/>
      <c r="V14" s="67"/>
      <c r="W14" s="67"/>
      <c r="X14" s="67"/>
      <c r="Y14" s="67"/>
      <c r="Z14" s="67"/>
      <c r="AA14" s="67"/>
      <c r="AB14" s="67"/>
      <c r="AC14" s="68"/>
      <c r="AD14" s="68"/>
      <c r="AE14" s="68"/>
      <c r="AF14" s="68"/>
      <c r="AG14" s="20"/>
      <c r="AH14" s="20"/>
    </row>
    <row r="15" spans="1:40" ht="21" customHeight="1" x14ac:dyDescent="0.25">
      <c r="A15" s="68"/>
      <c r="B15" s="68"/>
      <c r="C15" s="68"/>
      <c r="D15" s="68"/>
      <c r="E15" s="249" t="s">
        <v>325</v>
      </c>
      <c r="F15" s="249"/>
      <c r="G15" s="254"/>
      <c r="H15" s="250" t="s">
        <v>366</v>
      </c>
      <c r="I15" s="254">
        <v>9900</v>
      </c>
      <c r="J15" s="67"/>
      <c r="K15" s="67"/>
      <c r="L15" s="67"/>
      <c r="M15" s="67"/>
      <c r="N15" s="67"/>
      <c r="O15" s="67"/>
      <c r="P15" s="67"/>
      <c r="Q15" s="67"/>
      <c r="R15" s="67"/>
      <c r="S15" s="67"/>
      <c r="T15" s="67"/>
      <c r="U15" s="67"/>
      <c r="V15" s="67"/>
      <c r="W15" s="67"/>
      <c r="X15" s="67"/>
      <c r="Y15" s="67"/>
      <c r="Z15" s="67"/>
      <c r="AA15" s="67"/>
      <c r="AB15" s="67"/>
      <c r="AC15" s="68"/>
      <c r="AD15" s="68"/>
      <c r="AE15" s="68"/>
      <c r="AF15" s="68"/>
      <c r="AG15" s="20"/>
      <c r="AH15" s="20"/>
    </row>
    <row r="16" spans="1:40" ht="21" customHeight="1" x14ac:dyDescent="0.25">
      <c r="A16" s="68"/>
      <c r="B16" s="68"/>
      <c r="C16" s="68"/>
      <c r="D16" s="68"/>
      <c r="E16" s="252" t="s">
        <v>332</v>
      </c>
      <c r="F16" s="252"/>
      <c r="G16" s="254"/>
      <c r="H16" s="251" t="s">
        <v>367</v>
      </c>
      <c r="I16" s="254"/>
      <c r="J16" s="67"/>
      <c r="K16" s="67"/>
      <c r="L16" s="67"/>
      <c r="M16" s="67"/>
      <c r="N16" s="67"/>
      <c r="O16" s="67"/>
      <c r="P16" s="67"/>
      <c r="Q16" s="67"/>
      <c r="R16" s="67"/>
      <c r="S16" s="67"/>
      <c r="T16" s="67"/>
      <c r="U16" s="67"/>
      <c r="V16" s="67"/>
      <c r="W16" s="67"/>
      <c r="X16" s="67"/>
      <c r="Y16" s="67"/>
      <c r="Z16" s="67"/>
      <c r="AA16" s="67"/>
      <c r="AB16" s="67"/>
      <c r="AC16" s="68"/>
      <c r="AD16" s="68"/>
      <c r="AE16" s="68"/>
      <c r="AF16" s="68"/>
      <c r="AG16" s="20"/>
      <c r="AH16" s="20"/>
    </row>
    <row r="17" spans="1:34" ht="21" customHeight="1" x14ac:dyDescent="0.25">
      <c r="A17" s="68"/>
      <c r="B17" s="68"/>
      <c r="C17" s="68"/>
      <c r="D17" s="68"/>
      <c r="E17" s="249" t="s">
        <v>326</v>
      </c>
      <c r="F17" s="249"/>
      <c r="G17" s="254"/>
      <c r="H17" s="250" t="s">
        <v>368</v>
      </c>
      <c r="I17" s="254"/>
      <c r="J17" s="67"/>
      <c r="K17" s="67"/>
      <c r="L17" s="67"/>
      <c r="M17" s="67"/>
      <c r="N17" s="67"/>
      <c r="O17" s="67"/>
      <c r="P17" s="67"/>
      <c r="Q17" s="67"/>
      <c r="R17" s="67"/>
      <c r="S17" s="67"/>
      <c r="T17" s="67"/>
      <c r="U17" s="67"/>
      <c r="V17" s="67"/>
      <c r="W17" s="67"/>
      <c r="X17" s="67"/>
      <c r="Y17" s="67"/>
      <c r="Z17" s="67"/>
      <c r="AA17" s="67"/>
      <c r="AB17" s="67"/>
      <c r="AC17" s="68"/>
      <c r="AD17" s="68"/>
      <c r="AE17" s="68"/>
      <c r="AF17" s="68"/>
      <c r="AG17" s="20"/>
      <c r="AH17" s="20"/>
    </row>
    <row r="18" spans="1:34" ht="21" customHeight="1" x14ac:dyDescent="0.25">
      <c r="A18" s="68"/>
      <c r="B18" s="68"/>
      <c r="C18" s="68"/>
      <c r="D18" s="68"/>
      <c r="E18" s="252" t="s">
        <v>333</v>
      </c>
      <c r="F18" s="252"/>
      <c r="G18" s="254"/>
      <c r="H18" s="251" t="s">
        <v>369</v>
      </c>
      <c r="I18" s="254"/>
      <c r="J18" s="67"/>
      <c r="K18" s="67"/>
      <c r="L18" s="67"/>
      <c r="M18" s="67"/>
      <c r="N18" s="67"/>
      <c r="O18" s="67"/>
      <c r="P18" s="67"/>
      <c r="Q18" s="67"/>
      <c r="R18" s="67"/>
      <c r="S18" s="67"/>
      <c r="T18" s="67"/>
      <c r="U18" s="67"/>
      <c r="V18" s="67"/>
      <c r="W18" s="67"/>
      <c r="X18" s="67"/>
      <c r="Y18" s="67"/>
      <c r="Z18" s="67"/>
      <c r="AA18" s="67"/>
      <c r="AB18" s="67"/>
      <c r="AC18" s="68"/>
      <c r="AD18" s="68"/>
      <c r="AE18" s="68"/>
      <c r="AF18" s="68"/>
      <c r="AG18" s="20"/>
      <c r="AH18" s="20"/>
    </row>
    <row r="19" spans="1:34" ht="18.75" x14ac:dyDescent="0.25">
      <c r="A19" s="68"/>
      <c r="B19" s="68"/>
      <c r="C19" s="68"/>
      <c r="D19" s="68"/>
      <c r="E19" s="249" t="s">
        <v>358</v>
      </c>
      <c r="F19" s="249"/>
      <c r="G19" s="254"/>
      <c r="H19" s="250" t="s">
        <v>370</v>
      </c>
      <c r="I19" s="254"/>
      <c r="J19" s="67"/>
      <c r="K19" s="67"/>
      <c r="L19" s="67"/>
      <c r="M19" s="67"/>
      <c r="N19" s="67"/>
      <c r="O19" s="67"/>
      <c r="P19" s="67"/>
      <c r="Q19" s="67"/>
      <c r="R19" s="67"/>
      <c r="S19" s="67"/>
      <c r="T19" s="67"/>
      <c r="U19" s="67"/>
      <c r="V19" s="67"/>
      <c r="W19" s="67"/>
      <c r="X19" s="67"/>
      <c r="Y19" s="67"/>
      <c r="Z19" s="67"/>
      <c r="AA19" s="67"/>
      <c r="AB19" s="67"/>
      <c r="AC19" s="68"/>
      <c r="AD19" s="68"/>
      <c r="AE19" s="68"/>
      <c r="AF19" s="68"/>
      <c r="AG19" s="20"/>
      <c r="AH19" s="20"/>
    </row>
    <row r="20" spans="1:34" ht="18.75" x14ac:dyDescent="0.25">
      <c r="A20" s="68"/>
      <c r="B20" s="68"/>
      <c r="C20" s="68"/>
      <c r="D20" s="68"/>
      <c r="E20" s="252" t="s">
        <v>334</v>
      </c>
      <c r="F20" s="252"/>
      <c r="G20" s="255"/>
      <c r="H20" s="251" t="s">
        <v>371</v>
      </c>
      <c r="I20" s="427"/>
      <c r="J20" s="67"/>
      <c r="K20" s="67"/>
      <c r="L20" s="67"/>
      <c r="M20" s="67"/>
      <c r="N20" s="67"/>
      <c r="O20" s="67"/>
      <c r="P20" s="67"/>
      <c r="Q20" s="67"/>
      <c r="R20" s="67"/>
      <c r="S20" s="67"/>
      <c r="T20" s="67"/>
      <c r="U20" s="67"/>
      <c r="V20" s="67"/>
      <c r="W20" s="67"/>
      <c r="X20" s="67"/>
      <c r="Y20" s="67"/>
      <c r="Z20" s="67"/>
      <c r="AA20" s="67"/>
      <c r="AB20" s="67"/>
      <c r="AC20" s="68"/>
      <c r="AD20" s="68"/>
      <c r="AE20" s="68"/>
      <c r="AF20" s="68"/>
      <c r="AG20" s="20"/>
      <c r="AH20" s="20"/>
    </row>
    <row r="21" spans="1:34" ht="21.75" customHeight="1" x14ac:dyDescent="0.25">
      <c r="A21" s="67"/>
      <c r="B21" s="67"/>
      <c r="C21" s="67"/>
      <c r="D21" s="67"/>
      <c r="E21" s="67"/>
      <c r="F21" s="67"/>
      <c r="G21" s="67"/>
      <c r="H21" s="426"/>
      <c r="I21" s="428"/>
      <c r="J21" s="67"/>
      <c r="K21" s="67"/>
      <c r="L21" s="67"/>
      <c r="M21" s="67"/>
      <c r="N21" s="67"/>
      <c r="O21" s="67"/>
      <c r="P21" s="67"/>
      <c r="Q21" s="67"/>
      <c r="R21" s="67"/>
      <c r="S21" s="67"/>
      <c r="T21" s="67"/>
      <c r="U21" s="67"/>
      <c r="V21" s="67"/>
      <c r="W21" s="67"/>
      <c r="X21" s="67"/>
      <c r="Y21" s="67"/>
      <c r="Z21" s="67"/>
      <c r="AA21" s="67"/>
      <c r="AB21" s="67"/>
      <c r="AC21" s="67"/>
      <c r="AD21" s="67"/>
      <c r="AE21" s="67"/>
      <c r="AF21" s="67"/>
      <c r="AG21" s="15"/>
      <c r="AH21" s="15"/>
    </row>
    <row r="22" spans="1:34" s="270" customFormat="1"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5"/>
      <c r="AH22" s="15"/>
    </row>
    <row r="23" spans="1:34" ht="24" customHeight="1" x14ac:dyDescent="0.25">
      <c r="A23" s="67"/>
      <c r="B23" s="67"/>
      <c r="C23" s="67"/>
      <c r="D23" s="67"/>
      <c r="E23" s="67"/>
      <c r="F23" s="67"/>
      <c r="G23" s="359" t="s">
        <v>463</v>
      </c>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5"/>
      <c r="AH23" s="15"/>
    </row>
    <row r="24" spans="1:34" ht="19.5" customHeight="1" thickBot="1" x14ac:dyDescent="0.3">
      <c r="A24" s="357"/>
      <c r="B24" s="357"/>
      <c r="C24" s="357"/>
      <c r="D24" s="357"/>
      <c r="E24" s="357"/>
      <c r="F24" s="357"/>
      <c r="G24" s="357"/>
      <c r="H24" s="35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5"/>
      <c r="AH24" s="15"/>
    </row>
    <row r="25" spans="1:34" ht="34.5" customHeight="1" x14ac:dyDescent="0.25">
      <c r="A25" s="535" t="s">
        <v>415</v>
      </c>
      <c r="B25" s="536"/>
      <c r="C25" s="536"/>
      <c r="D25" s="536"/>
      <c r="E25" s="536"/>
      <c r="F25" s="536"/>
      <c r="G25" s="536"/>
      <c r="H25" s="537"/>
      <c r="I25" s="234"/>
      <c r="J25" s="234"/>
      <c r="K25" s="67"/>
      <c r="L25" s="67"/>
      <c r="M25" s="67"/>
      <c r="N25" s="67"/>
      <c r="O25" s="67"/>
      <c r="P25" s="67"/>
      <c r="Q25" s="67"/>
      <c r="R25" s="67"/>
      <c r="S25" s="67"/>
      <c r="T25" s="67"/>
      <c r="U25" s="67"/>
      <c r="V25" s="67"/>
      <c r="W25" s="67"/>
      <c r="X25" s="67"/>
      <c r="Y25" s="67"/>
      <c r="Z25" s="67"/>
      <c r="AA25" s="67"/>
      <c r="AB25" s="67"/>
      <c r="AC25" s="67"/>
      <c r="AD25" s="67"/>
      <c r="AE25" s="67"/>
      <c r="AF25" s="67"/>
      <c r="AG25" s="15"/>
      <c r="AH25" s="15"/>
    </row>
    <row r="26" spans="1:34" ht="21" customHeight="1" x14ac:dyDescent="0.25">
      <c r="A26" s="348" t="s">
        <v>390</v>
      </c>
      <c r="B26" s="235" t="s">
        <v>391</v>
      </c>
      <c r="C26" s="236" t="s">
        <v>392</v>
      </c>
      <c r="D26" s="236" t="s">
        <v>4</v>
      </c>
      <c r="E26" s="237" t="s">
        <v>414</v>
      </c>
      <c r="F26" s="237"/>
      <c r="G26" s="238"/>
      <c r="H26" s="349"/>
      <c r="I26" s="238"/>
      <c r="J26" s="236"/>
      <c r="K26" s="67"/>
      <c r="L26" s="67"/>
      <c r="M26" s="67"/>
      <c r="N26" s="67"/>
      <c r="O26" s="67"/>
      <c r="P26" s="67"/>
      <c r="Q26" s="67"/>
      <c r="R26" s="67"/>
      <c r="S26" s="67"/>
      <c r="T26" s="67"/>
      <c r="U26" s="67"/>
      <c r="V26" s="67"/>
      <c r="W26" s="67"/>
      <c r="X26" s="67"/>
      <c r="Y26" s="67"/>
      <c r="Z26" s="67"/>
      <c r="AA26" s="67"/>
      <c r="AB26" s="67"/>
      <c r="AC26" s="67"/>
      <c r="AD26" s="67"/>
      <c r="AE26" s="67"/>
      <c r="AF26" s="67"/>
      <c r="AG26" s="15"/>
      <c r="AH26" s="15"/>
    </row>
    <row r="27" spans="1:34" ht="21" customHeight="1" x14ac:dyDescent="0.25">
      <c r="A27" s="350" t="s">
        <v>393</v>
      </c>
      <c r="B27" s="264" t="s">
        <v>394</v>
      </c>
      <c r="C27" s="236">
        <f>IF(B27="Y",'GA55 Summry'!C6+ROUND((132%*'GA55 Summry'!C6),0),"0")</f>
        <v>45472</v>
      </c>
      <c r="D27" s="236">
        <f>IF(B27="Y",'GA55 Summry'!E6,"0")</f>
        <v>1960</v>
      </c>
      <c r="E27" s="238"/>
      <c r="F27" s="238"/>
      <c r="G27" s="238"/>
      <c r="H27" s="349"/>
      <c r="I27" s="238"/>
      <c r="J27" s="236"/>
      <c r="K27" s="67"/>
      <c r="L27" s="67"/>
      <c r="M27" s="67"/>
      <c r="N27" s="67"/>
      <c r="O27" s="67"/>
      <c r="P27" s="67"/>
      <c r="Q27" s="67"/>
      <c r="R27" s="67"/>
      <c r="S27" s="67"/>
      <c r="T27" s="67"/>
      <c r="U27" s="67"/>
      <c r="V27" s="67"/>
      <c r="W27" s="67"/>
      <c r="X27" s="67"/>
      <c r="Y27" s="67"/>
      <c r="Z27" s="67"/>
      <c r="AA27" s="67"/>
      <c r="AB27" s="67"/>
      <c r="AC27" s="67"/>
      <c r="AD27" s="67"/>
      <c r="AE27" s="67"/>
      <c r="AF27" s="67"/>
      <c r="AG27" s="15"/>
      <c r="AH27" s="15"/>
    </row>
    <row r="28" spans="1:34" ht="21" customHeight="1" x14ac:dyDescent="0.25">
      <c r="A28" s="350" t="s">
        <v>395</v>
      </c>
      <c r="B28" s="264" t="s">
        <v>394</v>
      </c>
      <c r="C28" s="236">
        <f>IF(B28="Y",'GA55 Summry'!C7+ROUND((136%*'GA55 Summry'!C7),0),"0")</f>
        <v>46256</v>
      </c>
      <c r="D28" s="236">
        <f>IF(B28="Y",'GA55 Summry'!E7,"0")</f>
        <v>1960</v>
      </c>
      <c r="E28" s="540" t="s">
        <v>396</v>
      </c>
      <c r="F28" s="540"/>
      <c r="G28" s="540"/>
      <c r="H28" s="351"/>
      <c r="I28" s="239"/>
      <c r="J28" s="236"/>
      <c r="K28" s="67"/>
      <c r="L28" s="67"/>
      <c r="M28" s="67"/>
      <c r="N28" s="67"/>
      <c r="O28" s="67"/>
      <c r="P28" s="67"/>
      <c r="Q28" s="67"/>
      <c r="R28" s="67"/>
      <c r="S28" s="67"/>
      <c r="T28" s="67"/>
      <c r="U28" s="67"/>
      <c r="V28" s="67"/>
      <c r="W28" s="67"/>
      <c r="X28" s="67"/>
      <c r="Y28" s="67"/>
      <c r="Z28" s="67"/>
      <c r="AA28" s="67"/>
      <c r="AB28" s="67"/>
      <c r="AC28" s="67"/>
      <c r="AD28" s="67"/>
      <c r="AE28" s="67"/>
      <c r="AF28" s="67"/>
      <c r="AG28" s="15"/>
      <c r="AH28" s="15"/>
    </row>
    <row r="29" spans="1:34" ht="21" customHeight="1" x14ac:dyDescent="0.25">
      <c r="A29" s="350" t="s">
        <v>397</v>
      </c>
      <c r="B29" s="264" t="s">
        <v>394</v>
      </c>
      <c r="C29" s="236">
        <f>IF(B29="Y",'GA55 Summry'!C8+ROUND((136%*'GA55 Summry'!C8),0),"0")</f>
        <v>46256</v>
      </c>
      <c r="D29" s="236">
        <f>IF(B29="Y",'GA55 Summry'!E8,"0")</f>
        <v>1960</v>
      </c>
      <c r="E29" s="239"/>
      <c r="F29" s="239"/>
      <c r="G29" s="239"/>
      <c r="H29" s="360" t="s">
        <v>464</v>
      </c>
      <c r="I29" s="239"/>
      <c r="J29" s="236"/>
      <c r="K29" s="67"/>
      <c r="L29" s="67"/>
      <c r="M29" s="67"/>
      <c r="N29" s="67"/>
      <c r="O29" s="67"/>
      <c r="P29" s="67"/>
      <c r="Q29" s="67"/>
      <c r="R29" s="67"/>
      <c r="S29" s="67"/>
      <c r="T29" s="67"/>
      <c r="U29" s="67"/>
      <c r="V29" s="67"/>
      <c r="W29" s="67"/>
      <c r="X29" s="67"/>
      <c r="Y29" s="67"/>
      <c r="Z29" s="67"/>
      <c r="AA29" s="67"/>
      <c r="AB29" s="67"/>
      <c r="AC29" s="67"/>
      <c r="AD29" s="67"/>
      <c r="AE29" s="67"/>
      <c r="AF29" s="67"/>
      <c r="AG29" s="15"/>
      <c r="AH29" s="15"/>
    </row>
    <row r="30" spans="1:34" ht="21" customHeight="1" x14ac:dyDescent="0.25">
      <c r="A30" s="350" t="s">
        <v>398</v>
      </c>
      <c r="B30" s="264" t="s">
        <v>394</v>
      </c>
      <c r="C30" s="236">
        <f>IF(B30="Y",'GA55 Summry'!C9+ROUND((136%*'GA55 Summry'!C9),0),"0")</f>
        <v>46256</v>
      </c>
      <c r="D30" s="236">
        <f>IF(B30="Y",'GA55 Summry'!E9,"0")</f>
        <v>1960</v>
      </c>
      <c r="E30" s="236"/>
      <c r="F30" s="236"/>
      <c r="G30" s="236"/>
      <c r="H30" s="529" t="s">
        <v>489</v>
      </c>
      <c r="I30" s="347"/>
      <c r="J30" s="347"/>
      <c r="K30" s="347"/>
      <c r="L30" s="347"/>
      <c r="M30" s="347"/>
      <c r="N30" s="67"/>
      <c r="O30" s="67"/>
      <c r="P30" s="67"/>
      <c r="Q30" s="67"/>
      <c r="R30" s="67"/>
      <c r="S30" s="67"/>
      <c r="T30" s="67"/>
      <c r="U30" s="67"/>
      <c r="V30" s="67"/>
      <c r="W30" s="67"/>
      <c r="X30" s="67"/>
      <c r="Y30" s="67"/>
      <c r="Z30" s="67"/>
      <c r="AA30" s="67"/>
      <c r="AB30" s="67"/>
      <c r="AC30" s="67"/>
      <c r="AD30" s="67"/>
      <c r="AE30" s="67"/>
      <c r="AF30" s="67"/>
      <c r="AG30" s="15"/>
      <c r="AH30" s="15"/>
    </row>
    <row r="31" spans="1:34" ht="21" customHeight="1" x14ac:dyDescent="0.4">
      <c r="A31" s="350" t="s">
        <v>399</v>
      </c>
      <c r="B31" s="264" t="s">
        <v>394</v>
      </c>
      <c r="C31" s="236">
        <f>IF(B31="Y",'GA55 Summry'!C10+ROUND((136%*'GA55 Summry'!C10),0),"0")</f>
        <v>47648</v>
      </c>
      <c r="D31" s="236">
        <f>IF(B31="Y",'GA55 Summry'!E10,"0")</f>
        <v>2019</v>
      </c>
      <c r="E31" s="532" t="s">
        <v>407</v>
      </c>
      <c r="F31" s="532"/>
      <c r="G31" s="233">
        <f>G37</f>
        <v>7680</v>
      </c>
      <c r="H31" s="529"/>
      <c r="I31" s="347"/>
      <c r="J31" s="347"/>
      <c r="K31" s="347"/>
      <c r="L31" s="347"/>
      <c r="M31" s="347"/>
      <c r="N31" s="67"/>
      <c r="O31" s="67"/>
      <c r="P31" s="67"/>
      <c r="Q31" s="67"/>
      <c r="R31" s="67"/>
      <c r="S31" s="67"/>
      <c r="T31" s="67"/>
      <c r="U31" s="67"/>
      <c r="V31" s="67"/>
      <c r="W31" s="67"/>
      <c r="X31" s="67"/>
      <c r="Y31" s="67"/>
      <c r="Z31" s="67"/>
      <c r="AA31" s="67"/>
      <c r="AB31" s="67"/>
      <c r="AC31" s="67"/>
      <c r="AD31" s="67"/>
      <c r="AE31" s="67"/>
      <c r="AF31" s="67"/>
      <c r="AG31" s="15"/>
      <c r="AH31" s="15"/>
    </row>
    <row r="32" spans="1:34" ht="21" customHeight="1" x14ac:dyDescent="0.35">
      <c r="A32" s="350" t="s">
        <v>400</v>
      </c>
      <c r="B32" s="264" t="s">
        <v>394</v>
      </c>
      <c r="C32" s="236">
        <f>IF(B32="Y",'GA55 Summry'!C11+ROUND((136%*'GA55 Summry'!C11),0),"0")</f>
        <v>47648</v>
      </c>
      <c r="D32" s="236">
        <f>IF(B32="Y",'GA55 Summry'!E11,"0")</f>
        <v>2019</v>
      </c>
      <c r="E32" s="533" t="s">
        <v>408</v>
      </c>
      <c r="F32" s="533"/>
      <c r="G32" s="362">
        <f>IF((G31*12)&gt;C39*10%, MIN(ROUND(G31*12-(C39)*10%,0),G35),0)</f>
        <v>32650</v>
      </c>
      <c r="H32" s="530" t="s">
        <v>465</v>
      </c>
      <c r="I32" s="232"/>
      <c r="J32" s="236"/>
      <c r="K32" s="67"/>
      <c r="L32" s="67"/>
      <c r="M32" s="67"/>
      <c r="N32" s="67"/>
      <c r="O32" s="67"/>
      <c r="P32" s="67"/>
      <c r="Q32" s="67"/>
      <c r="R32" s="67"/>
      <c r="S32" s="67"/>
      <c r="T32" s="67"/>
      <c r="U32" s="67"/>
      <c r="V32" s="67"/>
      <c r="W32" s="67"/>
      <c r="X32" s="67"/>
      <c r="Y32" s="67"/>
      <c r="Z32" s="67"/>
      <c r="AA32" s="67"/>
      <c r="AB32" s="67"/>
      <c r="AC32" s="67"/>
      <c r="AD32" s="67"/>
      <c r="AE32" s="67"/>
      <c r="AF32" s="67"/>
      <c r="AG32" s="15"/>
      <c r="AH32" s="15"/>
    </row>
    <row r="33" spans="1:34" ht="21" customHeight="1" x14ac:dyDescent="0.25">
      <c r="A33" s="350" t="s">
        <v>401</v>
      </c>
      <c r="B33" s="264" t="s">
        <v>394</v>
      </c>
      <c r="C33" s="236">
        <f>IF(B33="Y",'GA55 Summry'!C12+ROUND((136%*'GA55 Summry'!C12),0),"0")</f>
        <v>47648</v>
      </c>
      <c r="D33" s="236">
        <f>IF(B33="Y",'GA55 Summry'!E12,"0")</f>
        <v>2019</v>
      </c>
      <c r="E33" s="240"/>
      <c r="F33" s="240"/>
      <c r="G33" s="236"/>
      <c r="H33" s="530"/>
      <c r="I33" s="236"/>
      <c r="J33" s="236"/>
      <c r="K33" s="67"/>
      <c r="L33" s="67"/>
      <c r="M33" s="67"/>
      <c r="N33" s="67"/>
      <c r="O33" s="67"/>
      <c r="P33" s="67"/>
      <c r="Q33" s="67"/>
      <c r="R33" s="67"/>
      <c r="S33" s="67"/>
      <c r="T33" s="67"/>
      <c r="U33" s="67"/>
      <c r="V33" s="67"/>
      <c r="W33" s="67"/>
      <c r="X33" s="67"/>
      <c r="Y33" s="67"/>
      <c r="Z33" s="67"/>
      <c r="AA33" s="67"/>
      <c r="AB33" s="67"/>
      <c r="AC33" s="67"/>
      <c r="AD33" s="67"/>
      <c r="AE33" s="67"/>
      <c r="AF33" s="67"/>
      <c r="AG33" s="15"/>
      <c r="AH33" s="15"/>
    </row>
    <row r="34" spans="1:34" ht="21" customHeight="1" x14ac:dyDescent="0.25">
      <c r="A34" s="350" t="s">
        <v>402</v>
      </c>
      <c r="B34" s="264" t="s">
        <v>394</v>
      </c>
      <c r="C34" s="236">
        <f>IF(B34="Y",'GA55 Summry'!C13+ROUND((139%*'GA55 Summry'!C13),0),"0")</f>
        <v>48254</v>
      </c>
      <c r="D34" s="236">
        <f>IF(B34="Y",'GA55 Summry'!E13,"0")</f>
        <v>2019</v>
      </c>
      <c r="E34" s="240"/>
      <c r="F34" s="240"/>
      <c r="G34" s="236"/>
      <c r="H34" s="352"/>
      <c r="I34" s="236"/>
      <c r="J34" s="236"/>
      <c r="K34" s="67"/>
      <c r="L34" s="67"/>
      <c r="M34" s="67"/>
      <c r="N34" s="67"/>
      <c r="O34" s="67"/>
      <c r="P34" s="67"/>
      <c r="Q34" s="67"/>
      <c r="R34" s="67"/>
      <c r="S34" s="67"/>
      <c r="T34" s="67"/>
      <c r="U34" s="67"/>
      <c r="V34" s="67"/>
      <c r="W34" s="67"/>
      <c r="X34" s="67"/>
      <c r="Y34" s="67"/>
      <c r="Z34" s="67"/>
      <c r="AA34" s="67"/>
      <c r="AB34" s="67"/>
      <c r="AC34" s="67"/>
      <c r="AD34" s="67"/>
      <c r="AE34" s="67"/>
      <c r="AF34" s="67"/>
      <c r="AG34" s="15"/>
      <c r="AH34" s="15"/>
    </row>
    <row r="35" spans="1:34" ht="21" customHeight="1" x14ac:dyDescent="0.35">
      <c r="A35" s="350" t="s">
        <v>403</v>
      </c>
      <c r="B35" s="264" t="s">
        <v>394</v>
      </c>
      <c r="C35" s="236">
        <f>IF(B35="Y",'GA55 Summry'!C14+ROUND((5%*'GA55 Summry'!C14),0),"0")</f>
        <v>54915</v>
      </c>
      <c r="D35" s="236">
        <f>IF(B35="Y",'GA55 Summry'!E14,"0")</f>
        <v>4184</v>
      </c>
      <c r="E35" s="534" t="s">
        <v>409</v>
      </c>
      <c r="F35" s="534"/>
      <c r="G35" s="241">
        <f>D39</f>
        <v>32652</v>
      </c>
      <c r="H35" s="429" t="s">
        <v>488</v>
      </c>
      <c r="I35" s="242"/>
      <c r="J35" s="236"/>
      <c r="K35" s="67"/>
      <c r="L35" s="67"/>
      <c r="M35" s="67"/>
      <c r="N35" s="67"/>
      <c r="O35" s="67"/>
      <c r="P35" s="67"/>
      <c r="Q35" s="67"/>
      <c r="R35" s="67"/>
      <c r="S35" s="67"/>
      <c r="T35" s="67"/>
      <c r="U35" s="67"/>
      <c r="V35" s="67"/>
      <c r="W35" s="67"/>
      <c r="X35" s="67"/>
      <c r="Y35" s="67"/>
      <c r="Z35" s="67"/>
      <c r="AA35" s="67"/>
      <c r="AB35" s="67"/>
      <c r="AC35" s="67"/>
      <c r="AD35" s="67"/>
      <c r="AE35" s="67"/>
      <c r="AF35" s="67"/>
      <c r="AG35" s="15"/>
      <c r="AH35" s="15"/>
    </row>
    <row r="36" spans="1:34" ht="21" customHeight="1" x14ac:dyDescent="0.3">
      <c r="A36" s="350" t="s">
        <v>404</v>
      </c>
      <c r="B36" s="264" t="s">
        <v>394</v>
      </c>
      <c r="C36" s="236">
        <f>IF(B36="Y",'GA55 Summry'!C15+ROUND((5%*'GA55 Summry'!C15),0),"0")</f>
        <v>54915</v>
      </c>
      <c r="D36" s="236">
        <f>IF(B36="Y",'GA55 Summry'!E15,"0")</f>
        <v>4184</v>
      </c>
      <c r="E36" s="527" t="s">
        <v>410</v>
      </c>
      <c r="F36" s="527"/>
      <c r="G36" s="243">
        <f>ROUND(((10%*C39)+D39),0)</f>
        <v>92162</v>
      </c>
      <c r="H36" s="361" t="s">
        <v>475</v>
      </c>
      <c r="I36" s="244"/>
      <c r="J36" s="236"/>
      <c r="K36" s="67"/>
      <c r="L36" s="67"/>
      <c r="M36" s="67"/>
      <c r="N36" s="67"/>
      <c r="O36" s="67"/>
      <c r="P36" s="67"/>
      <c r="Q36" s="67"/>
      <c r="R36" s="67"/>
      <c r="S36" s="67"/>
      <c r="T36" s="67"/>
      <c r="U36" s="67"/>
      <c r="V36" s="67"/>
      <c r="W36" s="67"/>
      <c r="X36" s="67"/>
      <c r="Y36" s="67"/>
      <c r="Z36" s="67"/>
      <c r="AA36" s="67"/>
      <c r="AB36" s="67"/>
      <c r="AC36" s="67"/>
      <c r="AD36" s="67"/>
      <c r="AE36" s="67"/>
      <c r="AF36" s="67"/>
      <c r="AG36" s="15"/>
      <c r="AH36" s="15"/>
    </row>
    <row r="37" spans="1:34" ht="21" customHeight="1" x14ac:dyDescent="0.3">
      <c r="A37" s="350" t="s">
        <v>405</v>
      </c>
      <c r="B37" s="264" t="s">
        <v>394</v>
      </c>
      <c r="C37" s="236">
        <f>IF(B37="Y",'GA55 Summry'!C16+ROUND((5%*'GA55 Summry'!C16),0),"0")</f>
        <v>54915</v>
      </c>
      <c r="D37" s="236">
        <f>IF(B37="Y",'GA55 Summry'!E16,"0")</f>
        <v>4184</v>
      </c>
      <c r="E37" s="528" t="s">
        <v>411</v>
      </c>
      <c r="F37" s="528"/>
      <c r="G37" s="245">
        <f>ROUND(G36/B39, 0)</f>
        <v>7680</v>
      </c>
      <c r="H37" s="531" t="s">
        <v>466</v>
      </c>
      <c r="I37" s="236"/>
      <c r="J37" s="236"/>
      <c r="K37" s="67"/>
      <c r="L37" s="67"/>
      <c r="M37" s="67"/>
      <c r="N37" s="67"/>
      <c r="O37" s="67"/>
      <c r="P37" s="67"/>
      <c r="Q37" s="67"/>
      <c r="R37" s="67"/>
      <c r="S37" s="67"/>
      <c r="T37" s="67"/>
      <c r="U37" s="67"/>
      <c r="V37" s="67"/>
      <c r="W37" s="67"/>
      <c r="X37" s="67"/>
      <c r="Y37" s="67"/>
      <c r="Z37" s="67"/>
      <c r="AA37" s="67"/>
      <c r="AB37" s="67"/>
      <c r="AC37" s="67"/>
      <c r="AD37" s="67"/>
      <c r="AE37" s="67"/>
      <c r="AF37" s="67"/>
      <c r="AG37" s="15"/>
      <c r="AH37" s="15"/>
    </row>
    <row r="38" spans="1:34" ht="21" customHeight="1" x14ac:dyDescent="0.25">
      <c r="A38" s="350" t="s">
        <v>406</v>
      </c>
      <c r="B38" s="264" t="s">
        <v>394</v>
      </c>
      <c r="C38" s="236">
        <f>IF(B38="Y",'GA55 Summry'!C17+ROUND((5%*'GA55 Summry'!C17),0),"0")</f>
        <v>54915</v>
      </c>
      <c r="D38" s="236">
        <f>IF(B38="Y",'GA55 Summry'!E17,"0")</f>
        <v>4184</v>
      </c>
      <c r="E38" s="256"/>
      <c r="F38" s="256"/>
      <c r="G38" s="256"/>
      <c r="H38" s="531"/>
      <c r="I38" s="256"/>
      <c r="J38" s="256"/>
      <c r="K38" s="67"/>
      <c r="L38" s="67"/>
      <c r="M38" s="67"/>
      <c r="N38" s="67"/>
      <c r="O38" s="67"/>
      <c r="P38" s="67"/>
      <c r="Q38" s="67"/>
      <c r="R38" s="67"/>
      <c r="S38" s="67"/>
      <c r="T38" s="67"/>
      <c r="U38" s="67"/>
      <c r="V38" s="67"/>
      <c r="W38" s="67"/>
      <c r="X38" s="67"/>
      <c r="Y38" s="67"/>
      <c r="Z38" s="67"/>
      <c r="AA38" s="67"/>
      <c r="AB38" s="67"/>
      <c r="AC38" s="67"/>
      <c r="AD38" s="67"/>
      <c r="AE38" s="67"/>
      <c r="AF38" s="67"/>
      <c r="AG38" s="15"/>
      <c r="AH38" s="15"/>
    </row>
    <row r="39" spans="1:34" ht="22.5" customHeight="1" thickBot="1" x14ac:dyDescent="0.3">
      <c r="A39" s="353" t="s">
        <v>412</v>
      </c>
      <c r="B39" s="354">
        <f>COUNTIF(B27:B38, "Y")</f>
        <v>12</v>
      </c>
      <c r="C39" s="355">
        <f>ROUND((SUM(C27:C38)),0)</f>
        <v>595098</v>
      </c>
      <c r="D39" s="355">
        <f>ROUND((SUM(D27:D38)),0)</f>
        <v>32652</v>
      </c>
      <c r="E39" s="363" t="s">
        <v>467</v>
      </c>
      <c r="F39" s="363"/>
      <c r="G39" s="355"/>
      <c r="H39" s="356"/>
      <c r="I39" s="236"/>
      <c r="J39" s="236"/>
      <c r="K39" s="67"/>
      <c r="L39" s="67"/>
      <c r="M39" s="67"/>
      <c r="N39" s="67"/>
      <c r="O39" s="67"/>
      <c r="P39" s="67"/>
      <c r="Q39" s="67"/>
      <c r="R39" s="67"/>
      <c r="S39" s="67"/>
      <c r="T39" s="67"/>
      <c r="U39" s="67"/>
      <c r="V39" s="67"/>
      <c r="W39" s="67"/>
      <c r="X39" s="67"/>
      <c r="Y39" s="67"/>
      <c r="Z39" s="67"/>
      <c r="AA39" s="67"/>
      <c r="AB39" s="67"/>
      <c r="AC39" s="67"/>
      <c r="AD39" s="67"/>
      <c r="AE39" s="67"/>
      <c r="AF39" s="67"/>
      <c r="AG39" s="15"/>
      <c r="AH39" s="15"/>
    </row>
    <row r="40" spans="1:34" x14ac:dyDescent="0.25">
      <c r="A40" s="358"/>
      <c r="B40" s="358"/>
      <c r="C40" s="358"/>
      <c r="D40" s="358"/>
      <c r="E40" s="358"/>
      <c r="F40" s="358"/>
      <c r="G40" s="358"/>
      <c r="H40" s="358"/>
      <c r="I40" s="246"/>
      <c r="J40" s="246"/>
      <c r="K40" s="67"/>
      <c r="L40" s="67"/>
      <c r="M40" s="67"/>
      <c r="N40" s="67"/>
      <c r="O40" s="67"/>
      <c r="P40" s="67"/>
      <c r="Q40" s="67"/>
      <c r="R40" s="67"/>
      <c r="S40" s="67"/>
      <c r="T40" s="67"/>
      <c r="U40" s="67"/>
      <c r="V40" s="67"/>
      <c r="W40" s="67"/>
      <c r="X40" s="67"/>
      <c r="Y40" s="67"/>
      <c r="Z40" s="67"/>
      <c r="AA40" s="67"/>
      <c r="AB40" s="67"/>
      <c r="AC40" s="67"/>
      <c r="AD40" s="67"/>
      <c r="AE40" s="67"/>
      <c r="AF40" s="67"/>
      <c r="AG40" s="15"/>
      <c r="AH40" s="15"/>
    </row>
    <row r="41" spans="1:34" ht="18.75" x14ac:dyDescent="0.25">
      <c r="A41" s="246"/>
      <c r="B41" s="246"/>
      <c r="C41" s="246"/>
      <c r="D41" s="246"/>
      <c r="E41" s="247" t="s">
        <v>413</v>
      </c>
      <c r="F41" s="247"/>
      <c r="G41" s="248">
        <f>IF((G31*12)&gt;('GA55 Summry'!C26+'GA55 Summry'!D26)*10%, MIN(ROUND(G31*12-('GA55 Summry'!C26+'GA55 Summry'!D26)*10%,0),G35),0)</f>
        <v>29851</v>
      </c>
      <c r="H41" s="246"/>
      <c r="I41" s="246"/>
      <c r="J41" s="246"/>
      <c r="K41" s="67"/>
      <c r="L41" s="67"/>
      <c r="M41" s="67"/>
      <c r="N41" s="67"/>
      <c r="O41" s="67"/>
      <c r="P41" s="67"/>
      <c r="Q41" s="67"/>
      <c r="R41" s="67"/>
      <c r="S41" s="67"/>
      <c r="T41" s="67"/>
      <c r="U41" s="67"/>
      <c r="V41" s="67"/>
      <c r="W41" s="67"/>
      <c r="X41" s="67"/>
      <c r="Y41" s="67"/>
      <c r="Z41" s="67"/>
      <c r="AA41" s="67"/>
      <c r="AB41" s="67"/>
      <c r="AC41" s="67"/>
      <c r="AD41" s="67"/>
      <c r="AE41" s="67"/>
      <c r="AF41" s="67"/>
      <c r="AG41" s="15"/>
      <c r="AH41" s="15"/>
    </row>
    <row r="42" spans="1:34" x14ac:dyDescent="0.2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5"/>
      <c r="AH42" s="15"/>
    </row>
    <row r="43" spans="1:34" x14ac:dyDescent="0.2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5"/>
      <c r="AH43" s="15"/>
    </row>
    <row r="44" spans="1:34" x14ac:dyDescent="0.25">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15"/>
      <c r="AH44" s="15"/>
    </row>
    <row r="45" spans="1:34" x14ac:dyDescent="0.2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15"/>
      <c r="AH45" s="15"/>
    </row>
    <row r="46" spans="1:34" x14ac:dyDescent="0.25">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5"/>
      <c r="AH46" s="15"/>
    </row>
    <row r="47" spans="1:34" x14ac:dyDescent="0.2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5"/>
      <c r="AH47" s="15"/>
    </row>
    <row r="48" spans="1:34" x14ac:dyDescent="0.2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5"/>
      <c r="AH48" s="15"/>
    </row>
    <row r="49" spans="1:34" x14ac:dyDescent="0.2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15"/>
      <c r="AH49" s="15"/>
    </row>
    <row r="50" spans="1:34" x14ac:dyDescent="0.2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15"/>
      <c r="AH50" s="15"/>
    </row>
    <row r="51" spans="1:34" x14ac:dyDescent="0.2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15"/>
      <c r="AH51" s="15"/>
    </row>
    <row r="52" spans="1:34"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15"/>
      <c r="AH52" s="15"/>
    </row>
    <row r="53" spans="1:34" x14ac:dyDescent="0.2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15"/>
      <c r="AH53" s="15"/>
    </row>
    <row r="54" spans="1:34" x14ac:dyDescent="0.2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5"/>
      <c r="AH54" s="15"/>
    </row>
    <row r="55" spans="1:34"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15"/>
      <c r="AH55" s="15"/>
    </row>
    <row r="56" spans="1:34"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15"/>
      <c r="AH56" s="15"/>
    </row>
    <row r="57" spans="1:34"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15"/>
      <c r="AH57" s="15"/>
    </row>
    <row r="58" spans="1:34"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5"/>
      <c r="AH58" s="15"/>
    </row>
    <row r="59" spans="1:34"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5"/>
      <c r="AH59" s="15"/>
    </row>
    <row r="60" spans="1:34"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5"/>
      <c r="AH60" s="15"/>
    </row>
    <row r="61" spans="1:34"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5"/>
      <c r="AH61" s="15"/>
    </row>
    <row r="62" spans="1:34"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5"/>
      <c r="AH62" s="15"/>
    </row>
    <row r="63" spans="1:34"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5"/>
      <c r="AH63" s="15"/>
    </row>
    <row r="64" spans="1:34"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5"/>
      <c r="AH64" s="15"/>
    </row>
    <row r="65" spans="1:34"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5"/>
      <c r="AH65" s="15"/>
    </row>
    <row r="66" spans="1:34"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15"/>
      <c r="AH66" s="15"/>
    </row>
    <row r="67" spans="1:34"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15"/>
      <c r="AH67" s="15"/>
    </row>
    <row r="68" spans="1:34"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15"/>
      <c r="AH68" s="15"/>
    </row>
    <row r="69" spans="1:34"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5"/>
      <c r="AH69" s="15"/>
    </row>
    <row r="70" spans="1:34"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5"/>
      <c r="AH70" s="15"/>
    </row>
    <row r="71" spans="1:34"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15"/>
      <c r="AH71" s="15"/>
    </row>
    <row r="72" spans="1:34"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15"/>
      <c r="AH72" s="15"/>
    </row>
    <row r="73" spans="1:34"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15"/>
      <c r="AH73" s="15"/>
    </row>
    <row r="74" spans="1:34"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15"/>
      <c r="AH74" s="15"/>
    </row>
    <row r="75" spans="1:34"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15"/>
      <c r="AH75" s="15"/>
    </row>
    <row r="76" spans="1:34"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15"/>
      <c r="AH76" s="15"/>
    </row>
    <row r="77" spans="1:34"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15"/>
      <c r="AH77" s="15"/>
    </row>
    <row r="78" spans="1:34"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15"/>
      <c r="AH78" s="15"/>
    </row>
    <row r="79" spans="1:34"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15"/>
      <c r="AH79" s="15"/>
    </row>
    <row r="80" spans="1:34"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15"/>
      <c r="AH80" s="15"/>
    </row>
    <row r="81" spans="1:34"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15"/>
      <c r="AH81" s="15"/>
    </row>
    <row r="82" spans="1:34"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15"/>
      <c r="AH82" s="15"/>
    </row>
    <row r="83" spans="1:34"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15"/>
      <c r="AH83" s="15"/>
    </row>
    <row r="84" spans="1:34"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15"/>
      <c r="AH84" s="15"/>
    </row>
    <row r="85" spans="1:34"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5"/>
      <c r="AH85" s="15"/>
    </row>
    <row r="86" spans="1:34"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15"/>
      <c r="AH86" s="15"/>
    </row>
    <row r="87" spans="1:34"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15"/>
      <c r="AH87" s="15"/>
    </row>
    <row r="88" spans="1:34"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5"/>
      <c r="AH88" s="15"/>
    </row>
    <row r="89" spans="1:34"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5"/>
      <c r="AH89" s="15"/>
    </row>
    <row r="90" spans="1:34"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15"/>
      <c r="AH90" s="15"/>
    </row>
    <row r="91" spans="1:34"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5"/>
      <c r="AH91" s="15"/>
    </row>
    <row r="92" spans="1:34"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15"/>
      <c r="AH92" s="15"/>
    </row>
    <row r="93" spans="1:34"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15"/>
      <c r="AH93" s="15"/>
    </row>
    <row r="94" spans="1:34"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5"/>
      <c r="AH94" s="15"/>
    </row>
    <row r="95" spans="1:34"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5"/>
      <c r="AH95" s="15"/>
    </row>
    <row r="96" spans="1:34"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15"/>
      <c r="AH96" s="15"/>
    </row>
    <row r="97" spans="1:34"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15"/>
      <c r="AH97" s="15"/>
    </row>
    <row r="98" spans="1:34"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15"/>
      <c r="AH98" s="15"/>
    </row>
    <row r="99" spans="1:34"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15"/>
      <c r="AH99" s="15"/>
    </row>
    <row r="100" spans="1:34"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15"/>
      <c r="AH100" s="15"/>
    </row>
    <row r="101" spans="1:34"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15"/>
      <c r="AH101" s="15"/>
    </row>
    <row r="102" spans="1:34"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5"/>
      <c r="AH102" s="15"/>
    </row>
    <row r="103" spans="1:34"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5"/>
      <c r="AH103" s="15"/>
    </row>
    <row r="104" spans="1:34"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5"/>
      <c r="AH104" s="15"/>
    </row>
    <row r="105" spans="1:34"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15"/>
      <c r="AH105" s="15"/>
    </row>
    <row r="106" spans="1:34"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15"/>
      <c r="AH106" s="15"/>
    </row>
    <row r="107" spans="1:34"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15"/>
      <c r="AH107" s="15"/>
    </row>
    <row r="108" spans="1:34"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15"/>
      <c r="AH108" s="15"/>
    </row>
    <row r="109" spans="1:34"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15"/>
      <c r="AH109" s="15"/>
    </row>
    <row r="110" spans="1:34"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5"/>
      <c r="AH110" s="15"/>
    </row>
    <row r="111" spans="1:34"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15"/>
      <c r="AH111" s="15"/>
    </row>
    <row r="112" spans="1:34"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15"/>
      <c r="AH112" s="15"/>
    </row>
    <row r="113" spans="1:34"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15"/>
      <c r="AH113" s="15"/>
    </row>
    <row r="114" spans="1:34"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5"/>
      <c r="AH114" s="15"/>
    </row>
    <row r="115" spans="1:34"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5"/>
      <c r="AH115" s="15"/>
    </row>
    <row r="116" spans="1:34"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5"/>
      <c r="AH116" s="15"/>
    </row>
    <row r="117" spans="1:34"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5"/>
      <c r="AH117" s="15"/>
    </row>
    <row r="118" spans="1:34"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5"/>
      <c r="AH118" s="15"/>
    </row>
    <row r="119" spans="1:34"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5"/>
      <c r="AH119" s="15"/>
    </row>
    <row r="120" spans="1:34"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5"/>
      <c r="AH120" s="15"/>
    </row>
    <row r="121" spans="1:34"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5"/>
      <c r="AH121" s="15"/>
    </row>
    <row r="122" spans="1:34"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5"/>
      <c r="AH122" s="15"/>
    </row>
    <row r="123" spans="1:34"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5"/>
      <c r="AH123" s="15"/>
    </row>
    <row r="124" spans="1:34"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15"/>
      <c r="AH124" s="15"/>
    </row>
    <row r="125" spans="1:34"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15"/>
      <c r="AH125" s="15"/>
    </row>
    <row r="126" spans="1:34"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15"/>
      <c r="AH126" s="15"/>
    </row>
    <row r="127" spans="1:34"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15"/>
      <c r="AH127" s="15"/>
    </row>
    <row r="128" spans="1:34"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15"/>
      <c r="AH128" s="15"/>
    </row>
    <row r="129" spans="1:34"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15"/>
      <c r="AH129" s="15"/>
    </row>
    <row r="130" spans="1:34"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15"/>
      <c r="AH130" s="15"/>
    </row>
    <row r="131" spans="1:34"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15"/>
      <c r="AH131" s="15"/>
    </row>
    <row r="132" spans="1:34"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15"/>
      <c r="AH132" s="15"/>
    </row>
    <row r="133" spans="1:34"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15"/>
      <c r="AH133" s="15"/>
    </row>
    <row r="134" spans="1:34"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15"/>
      <c r="AH134" s="15"/>
    </row>
    <row r="135" spans="1:34"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15"/>
      <c r="AH135" s="15"/>
    </row>
    <row r="136" spans="1:34"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15"/>
      <c r="AH136" s="15"/>
    </row>
    <row r="137" spans="1:34"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15"/>
      <c r="AH137" s="15"/>
    </row>
    <row r="138" spans="1:34"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15"/>
      <c r="AH138" s="15"/>
    </row>
    <row r="139" spans="1:34"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15"/>
      <c r="AH139" s="15"/>
    </row>
    <row r="140" spans="1:34"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15"/>
      <c r="AH140" s="15"/>
    </row>
    <row r="141" spans="1:34"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15"/>
      <c r="AH141" s="15"/>
    </row>
    <row r="142" spans="1:34"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15"/>
      <c r="AH142" s="15"/>
    </row>
    <row r="143" spans="1:34"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15"/>
      <c r="AH143" s="15"/>
    </row>
    <row r="144" spans="1:34"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15"/>
      <c r="AH144" s="15"/>
    </row>
    <row r="145" spans="1:34"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15"/>
      <c r="AH145" s="15"/>
    </row>
    <row r="146" spans="1:34"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15"/>
      <c r="AH146" s="15"/>
    </row>
    <row r="147" spans="1:34"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15"/>
      <c r="AH147" s="15"/>
    </row>
    <row r="148" spans="1:34"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15"/>
      <c r="AH148" s="15"/>
    </row>
    <row r="149" spans="1:34"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15"/>
      <c r="AH149" s="15"/>
    </row>
    <row r="150" spans="1:34"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15"/>
      <c r="AH150" s="15"/>
    </row>
    <row r="151" spans="1:34"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15"/>
      <c r="AH151" s="15"/>
    </row>
    <row r="152" spans="1:34"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15"/>
      <c r="AH152" s="15"/>
    </row>
    <row r="153" spans="1:34"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15"/>
      <c r="AH153" s="15"/>
    </row>
    <row r="154" spans="1:34"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15"/>
      <c r="AH154" s="15"/>
    </row>
    <row r="155" spans="1:34"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15"/>
      <c r="AH155" s="15"/>
    </row>
    <row r="156" spans="1:34"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15"/>
      <c r="AH156" s="15"/>
    </row>
    <row r="157" spans="1:34"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15"/>
      <c r="AH157" s="15"/>
    </row>
    <row r="158" spans="1:34"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15"/>
      <c r="AH158" s="15"/>
    </row>
    <row r="159" spans="1:34"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15"/>
      <c r="AH159" s="15"/>
    </row>
    <row r="160" spans="1:34"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15"/>
      <c r="AH160" s="15"/>
    </row>
    <row r="161" spans="1:34"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15"/>
      <c r="AH161" s="15"/>
    </row>
    <row r="162" spans="1:34"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15"/>
      <c r="AH162" s="15"/>
    </row>
    <row r="163" spans="1:34"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15"/>
      <c r="AH163" s="15"/>
    </row>
    <row r="164" spans="1:34"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15"/>
      <c r="AH164" s="15"/>
    </row>
    <row r="165" spans="1:34"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15"/>
      <c r="AH165" s="15"/>
    </row>
    <row r="166" spans="1:34"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15"/>
      <c r="AH166" s="15"/>
    </row>
    <row r="167" spans="1:34"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15"/>
      <c r="AH167" s="15"/>
    </row>
    <row r="168" spans="1:34"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15"/>
      <c r="AH168" s="15"/>
    </row>
    <row r="169" spans="1:34"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15"/>
      <c r="AH169" s="15"/>
    </row>
    <row r="170" spans="1:34"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15"/>
      <c r="AH170" s="15"/>
    </row>
    <row r="171" spans="1:34"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15"/>
      <c r="AH171" s="15"/>
    </row>
    <row r="172" spans="1:34"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15"/>
      <c r="AH172" s="15"/>
    </row>
    <row r="173" spans="1:34"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15"/>
      <c r="AH173" s="15"/>
    </row>
    <row r="174" spans="1:34"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15"/>
      <c r="AH174" s="15"/>
    </row>
    <row r="175" spans="1:34"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15"/>
      <c r="AH175" s="15"/>
    </row>
    <row r="176" spans="1:34"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15"/>
      <c r="AH176" s="15"/>
    </row>
    <row r="177" spans="1:34"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15"/>
      <c r="AH177" s="15"/>
    </row>
    <row r="178" spans="1:34"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15"/>
      <c r="AH178" s="15"/>
    </row>
    <row r="179" spans="1:34"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15"/>
      <c r="AH179" s="15"/>
    </row>
    <row r="180" spans="1:34"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15"/>
      <c r="AH180" s="15"/>
    </row>
    <row r="181" spans="1:34"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15"/>
      <c r="AH181" s="15"/>
    </row>
    <row r="182" spans="1:34"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15"/>
      <c r="AH182" s="15"/>
    </row>
    <row r="183" spans="1:34"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15"/>
      <c r="AH183" s="15"/>
    </row>
    <row r="184" spans="1:34"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15"/>
      <c r="AH184" s="15"/>
    </row>
    <row r="185" spans="1:34"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15"/>
      <c r="AH185" s="15"/>
    </row>
    <row r="186" spans="1:34"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15"/>
      <c r="AH186" s="15"/>
    </row>
    <row r="187" spans="1:34"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15"/>
      <c r="AH187" s="15"/>
    </row>
    <row r="188" spans="1:34"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15"/>
      <c r="AH188" s="15"/>
    </row>
    <row r="189" spans="1:34"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15"/>
      <c r="AH189" s="15"/>
    </row>
    <row r="190" spans="1:34"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15"/>
      <c r="AH190" s="15"/>
    </row>
    <row r="191" spans="1:34" x14ac:dyDescent="0.2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15"/>
      <c r="AH191" s="15"/>
    </row>
    <row r="192" spans="1:34" x14ac:dyDescent="0.25">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15"/>
      <c r="AH192" s="15"/>
    </row>
    <row r="193" spans="1:34" x14ac:dyDescent="0.2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15"/>
      <c r="AH193" s="15"/>
    </row>
    <row r="194" spans="1:34" x14ac:dyDescent="0.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15"/>
      <c r="AH194" s="15"/>
    </row>
    <row r="195" spans="1:34" x14ac:dyDescent="0.2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15"/>
      <c r="AH195" s="15"/>
    </row>
    <row r="196" spans="1:34" x14ac:dyDescent="0.2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15"/>
      <c r="AH196" s="15"/>
    </row>
    <row r="197" spans="1:34" x14ac:dyDescent="0.25">
      <c r="A197" s="6"/>
      <c r="B197" s="6"/>
      <c r="C197" s="6"/>
      <c r="D197" s="6"/>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row>
    <row r="198" spans="1:34" x14ac:dyDescent="0.25">
      <c r="A198" s="6"/>
      <c r="B198" s="6"/>
      <c r="C198" s="6"/>
      <c r="D198" s="6"/>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row>
    <row r="199" spans="1:34" x14ac:dyDescent="0.25">
      <c r="A199" s="6"/>
      <c r="B199" s="6"/>
      <c r="C199" s="6"/>
      <c r="D199" s="6"/>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row>
    <row r="200" spans="1:34" x14ac:dyDescent="0.25">
      <c r="A200" s="6"/>
      <c r="B200" s="6"/>
      <c r="C200" s="6"/>
      <c r="D200" s="6"/>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row>
    <row r="201" spans="1:34" x14ac:dyDescent="0.25">
      <c r="A201" s="6"/>
      <c r="B201" s="6"/>
      <c r="C201" s="6"/>
      <c r="D201" s="6"/>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row>
    <row r="202" spans="1:34" x14ac:dyDescent="0.25">
      <c r="A202" s="6"/>
      <c r="B202" s="6"/>
      <c r="C202" s="6"/>
      <c r="D202" s="6"/>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row>
    <row r="203" spans="1:34" x14ac:dyDescent="0.25">
      <c r="A203" s="6"/>
      <c r="B203" s="6"/>
      <c r="C203" s="6"/>
      <c r="D203" s="6"/>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row>
    <row r="204" spans="1:34" x14ac:dyDescent="0.25">
      <c r="A204" s="6"/>
      <c r="B204" s="6"/>
      <c r="C204" s="6"/>
      <c r="D204" s="6"/>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row>
    <row r="205" spans="1:34" x14ac:dyDescent="0.25">
      <c r="A205" s="6"/>
      <c r="B205" s="6"/>
      <c r="C205" s="6"/>
      <c r="D205" s="6"/>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row>
    <row r="206" spans="1:34" x14ac:dyDescent="0.25">
      <c r="A206" s="6"/>
      <c r="B206" s="6"/>
      <c r="C206" s="6"/>
      <c r="D206" s="6"/>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row>
    <row r="207" spans="1:34" x14ac:dyDescent="0.25">
      <c r="A207" s="6"/>
      <c r="B207" s="6"/>
      <c r="C207" s="6"/>
      <c r="D207" s="6"/>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row>
    <row r="208" spans="1:34" x14ac:dyDescent="0.25">
      <c r="A208" s="6"/>
      <c r="B208" s="6"/>
      <c r="C208" s="6"/>
      <c r="D208" s="6"/>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row>
    <row r="209" spans="1:34" x14ac:dyDescent="0.25">
      <c r="A209" s="6"/>
      <c r="B209" s="6"/>
      <c r="C209" s="6"/>
      <c r="D209" s="6"/>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row>
    <row r="210" spans="1:34" x14ac:dyDescent="0.25">
      <c r="A210" s="6"/>
      <c r="B210" s="6"/>
      <c r="C210" s="6"/>
      <c r="D210" s="6"/>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row>
    <row r="211" spans="1:34" x14ac:dyDescent="0.25">
      <c r="A211" s="6"/>
      <c r="B211" s="6"/>
      <c r="C211" s="6"/>
      <c r="D211" s="6"/>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row>
    <row r="212" spans="1:34" x14ac:dyDescent="0.25">
      <c r="A212" s="6"/>
      <c r="B212" s="6"/>
      <c r="C212" s="6"/>
      <c r="D212" s="6"/>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row>
    <row r="213" spans="1:34" x14ac:dyDescent="0.25">
      <c r="A213" s="6"/>
      <c r="B213" s="6"/>
      <c r="C213" s="6"/>
      <c r="D213" s="6"/>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row>
    <row r="214" spans="1:34" x14ac:dyDescent="0.25">
      <c r="A214" s="6"/>
      <c r="B214" s="6"/>
      <c r="C214" s="6"/>
      <c r="D214" s="6"/>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row>
    <row r="215" spans="1:34" x14ac:dyDescent="0.25">
      <c r="A215" s="6"/>
      <c r="B215" s="6"/>
      <c r="C215" s="6"/>
      <c r="D215" s="6"/>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row>
    <row r="216" spans="1:34" x14ac:dyDescent="0.25">
      <c r="A216" s="6"/>
      <c r="B216" s="6"/>
      <c r="C216" s="6"/>
      <c r="D216" s="6"/>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row>
    <row r="217" spans="1:34" x14ac:dyDescent="0.25">
      <c r="A217" s="6"/>
      <c r="B217" s="6"/>
      <c r="C217" s="6"/>
      <c r="D217" s="6"/>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row>
    <row r="218" spans="1:34" x14ac:dyDescent="0.25">
      <c r="A218" s="6"/>
      <c r="B218" s="6"/>
      <c r="C218" s="6"/>
      <c r="D218" s="6"/>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row>
    <row r="219" spans="1:34" x14ac:dyDescent="0.25">
      <c r="A219" s="6"/>
      <c r="B219" s="6"/>
      <c r="C219" s="6"/>
      <c r="D219" s="6"/>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row>
    <row r="220" spans="1:34" x14ac:dyDescent="0.25">
      <c r="A220" s="6"/>
      <c r="B220" s="6"/>
      <c r="C220" s="6"/>
      <c r="D220" s="6"/>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row>
    <row r="221" spans="1:34" x14ac:dyDescent="0.25">
      <c r="A221" s="6"/>
      <c r="B221" s="6"/>
      <c r="C221" s="6"/>
      <c r="D221" s="6"/>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row>
    <row r="222" spans="1:34" x14ac:dyDescent="0.25">
      <c r="A222" s="6"/>
      <c r="B222" s="6"/>
      <c r="C222" s="6"/>
      <c r="D222" s="6"/>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row>
    <row r="223" spans="1:34" x14ac:dyDescent="0.25">
      <c r="A223" s="6"/>
      <c r="B223" s="6"/>
      <c r="C223" s="6"/>
      <c r="D223" s="6"/>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row>
    <row r="224" spans="1:34" x14ac:dyDescent="0.25">
      <c r="A224" s="6"/>
      <c r="B224" s="6"/>
      <c r="C224" s="6"/>
      <c r="D224" s="6"/>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row>
    <row r="225" spans="1:34" x14ac:dyDescent="0.25">
      <c r="A225" s="6"/>
      <c r="B225" s="6"/>
      <c r="C225" s="6"/>
      <c r="D225" s="6"/>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row>
    <row r="226" spans="1:34" x14ac:dyDescent="0.25">
      <c r="A226" s="6"/>
      <c r="B226" s="6"/>
      <c r="C226" s="6"/>
      <c r="D226" s="6"/>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row>
    <row r="227" spans="1:34" x14ac:dyDescent="0.25">
      <c r="A227" s="6"/>
      <c r="B227" s="6"/>
      <c r="C227" s="6"/>
      <c r="D227" s="6"/>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row>
    <row r="228" spans="1:34" x14ac:dyDescent="0.25">
      <c r="A228" s="6"/>
      <c r="B228" s="6"/>
      <c r="C228" s="6"/>
      <c r="D228" s="6"/>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row>
    <row r="229" spans="1:34" x14ac:dyDescent="0.25">
      <c r="A229" s="6"/>
      <c r="B229" s="6"/>
      <c r="C229" s="6"/>
      <c r="D229" s="6"/>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row>
    <row r="230" spans="1:34" x14ac:dyDescent="0.25">
      <c r="A230" s="6"/>
      <c r="B230" s="6"/>
      <c r="C230" s="6"/>
      <c r="D230" s="6"/>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row>
    <row r="231" spans="1:34" x14ac:dyDescent="0.25">
      <c r="A231" s="6"/>
      <c r="B231" s="6"/>
      <c r="C231" s="6"/>
      <c r="D231" s="6"/>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row>
    <row r="232" spans="1:34" x14ac:dyDescent="0.25">
      <c r="A232" s="6"/>
      <c r="B232" s="6"/>
      <c r="C232" s="6"/>
      <c r="D232" s="6"/>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row>
    <row r="233" spans="1:34" x14ac:dyDescent="0.25">
      <c r="A233" s="6"/>
      <c r="B233" s="6"/>
      <c r="C233" s="6"/>
      <c r="D233" s="6"/>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row>
    <row r="234" spans="1:34" x14ac:dyDescent="0.25">
      <c r="A234" s="6"/>
      <c r="B234" s="6"/>
      <c r="C234" s="6"/>
      <c r="D234" s="6"/>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row>
    <row r="235" spans="1:34" x14ac:dyDescent="0.25">
      <c r="A235" s="6"/>
      <c r="B235" s="6"/>
      <c r="C235" s="6"/>
      <c r="D235" s="6"/>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row>
    <row r="236" spans="1:34" x14ac:dyDescent="0.25">
      <c r="A236" s="6"/>
      <c r="B236" s="6"/>
      <c r="C236" s="6"/>
      <c r="D236" s="6"/>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row>
    <row r="237" spans="1:34" x14ac:dyDescent="0.25">
      <c r="A237" s="6"/>
      <c r="B237" s="6"/>
      <c r="C237" s="6"/>
      <c r="D237" s="6"/>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row>
    <row r="238" spans="1:34" x14ac:dyDescent="0.25">
      <c r="A238" s="6"/>
      <c r="B238" s="6"/>
      <c r="C238" s="6"/>
      <c r="D238" s="6"/>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row>
    <row r="239" spans="1:34" x14ac:dyDescent="0.25">
      <c r="A239" s="6"/>
      <c r="B239" s="6"/>
      <c r="C239" s="6"/>
      <c r="D239" s="6"/>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row>
    <row r="240" spans="1:34" x14ac:dyDescent="0.25">
      <c r="A240" s="6"/>
      <c r="B240" s="6"/>
      <c r="C240" s="6"/>
      <c r="D240" s="6"/>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row>
    <row r="241" spans="1:34" x14ac:dyDescent="0.25">
      <c r="A241" s="6"/>
      <c r="B241" s="6"/>
      <c r="C241" s="6"/>
      <c r="D241" s="6"/>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row>
    <row r="242" spans="1:34" x14ac:dyDescent="0.25">
      <c r="A242" s="6"/>
      <c r="B242" s="6"/>
      <c r="C242" s="6"/>
      <c r="D242" s="6"/>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row>
    <row r="243" spans="1:34" x14ac:dyDescent="0.25">
      <c r="A243" s="6"/>
      <c r="B243" s="6"/>
      <c r="C243" s="6"/>
      <c r="D243" s="6"/>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row>
    <row r="244" spans="1:34" x14ac:dyDescent="0.25">
      <c r="A244" s="6"/>
      <c r="B244" s="6"/>
      <c r="C244" s="6"/>
      <c r="D244" s="6"/>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row>
    <row r="245" spans="1:34" x14ac:dyDescent="0.25">
      <c r="A245" s="6"/>
      <c r="B245" s="6"/>
      <c r="C245" s="6"/>
      <c r="D245" s="6"/>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row>
    <row r="246" spans="1:34" x14ac:dyDescent="0.25">
      <c r="A246" s="6"/>
      <c r="B246" s="6"/>
      <c r="C246" s="6"/>
      <c r="D246" s="6"/>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row>
    <row r="247" spans="1:34" x14ac:dyDescent="0.25">
      <c r="A247" s="6"/>
      <c r="B247" s="6"/>
      <c r="C247" s="6"/>
      <c r="D247" s="6"/>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row>
    <row r="248" spans="1:34" x14ac:dyDescent="0.25">
      <c r="A248" s="6"/>
      <c r="B248" s="6"/>
      <c r="C248" s="6"/>
      <c r="D248" s="6"/>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row>
    <row r="249" spans="1:34" x14ac:dyDescent="0.25">
      <c r="A249" s="6"/>
      <c r="B249" s="6"/>
      <c r="C249" s="6"/>
      <c r="D249" s="6"/>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row>
    <row r="250" spans="1:34" x14ac:dyDescent="0.25">
      <c r="A250" s="6"/>
      <c r="B250" s="6"/>
      <c r="C250" s="6"/>
      <c r="D250" s="6"/>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row>
    <row r="251" spans="1:34" x14ac:dyDescent="0.25">
      <c r="A251" s="6"/>
      <c r="B251" s="6"/>
      <c r="C251" s="6"/>
      <c r="D251" s="6"/>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row>
    <row r="252" spans="1:34" x14ac:dyDescent="0.25">
      <c r="A252" s="6"/>
      <c r="B252" s="6"/>
      <c r="C252" s="6"/>
      <c r="D252" s="6"/>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row>
    <row r="253" spans="1:34" x14ac:dyDescent="0.25">
      <c r="A253" s="6"/>
      <c r="B253" s="6"/>
      <c r="C253" s="6"/>
      <c r="D253" s="6"/>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row>
    <row r="254" spans="1:34" x14ac:dyDescent="0.25">
      <c r="A254" s="6"/>
      <c r="B254" s="6"/>
      <c r="C254" s="6"/>
      <c r="D254" s="6"/>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row>
    <row r="255" spans="1:34" x14ac:dyDescent="0.25">
      <c r="A255" s="6"/>
      <c r="B255" s="6"/>
      <c r="C255" s="6"/>
      <c r="D255" s="6"/>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row>
    <row r="256" spans="1:34" x14ac:dyDescent="0.25">
      <c r="A256" s="6"/>
      <c r="B256" s="6"/>
      <c r="C256" s="6"/>
      <c r="D256" s="6"/>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row>
    <row r="257" spans="1:34" x14ac:dyDescent="0.25">
      <c r="A257" s="6"/>
      <c r="B257" s="6"/>
      <c r="C257" s="6"/>
      <c r="D257" s="6"/>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row>
    <row r="258" spans="1:34" x14ac:dyDescent="0.25">
      <c r="A258" s="6"/>
      <c r="B258" s="6"/>
      <c r="C258" s="6"/>
      <c r="D258" s="6"/>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row>
    <row r="259" spans="1:34" x14ac:dyDescent="0.25">
      <c r="A259" s="6"/>
      <c r="B259" s="6"/>
      <c r="C259" s="6"/>
      <c r="D259" s="6"/>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row>
    <row r="260" spans="1:34" x14ac:dyDescent="0.25">
      <c r="A260" s="6"/>
      <c r="B260" s="6"/>
      <c r="C260" s="6"/>
      <c r="D260" s="6"/>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row>
    <row r="261" spans="1:34" x14ac:dyDescent="0.25">
      <c r="A261" s="6"/>
      <c r="B261" s="6"/>
      <c r="C261" s="6"/>
      <c r="D261" s="6"/>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row>
    <row r="262" spans="1:34" x14ac:dyDescent="0.25">
      <c r="A262" s="6"/>
      <c r="B262" s="6"/>
      <c r="C262" s="6"/>
      <c r="D262" s="6"/>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row>
    <row r="263" spans="1:34" x14ac:dyDescent="0.25">
      <c r="A263" s="6"/>
      <c r="B263" s="6"/>
      <c r="C263" s="6"/>
      <c r="D263" s="6"/>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row>
    <row r="264" spans="1:34" x14ac:dyDescent="0.25">
      <c r="A264" s="6"/>
      <c r="B264" s="6"/>
      <c r="C264" s="6"/>
      <c r="D264" s="6"/>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row>
    <row r="265" spans="1:34" x14ac:dyDescent="0.25">
      <c r="A265" s="6"/>
      <c r="B265" s="6"/>
      <c r="C265" s="6"/>
      <c r="D265" s="6"/>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row>
    <row r="266" spans="1:34" x14ac:dyDescent="0.25">
      <c r="A266" s="6"/>
      <c r="B266" s="6"/>
      <c r="C266" s="6"/>
      <c r="D266" s="6"/>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row>
    <row r="267" spans="1:34" x14ac:dyDescent="0.25">
      <c r="A267" s="6"/>
      <c r="B267" s="6"/>
      <c r="C267" s="6"/>
      <c r="D267" s="6"/>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row>
    <row r="268" spans="1:34" x14ac:dyDescent="0.25">
      <c r="A268" s="6"/>
      <c r="B268" s="6"/>
      <c r="C268" s="6"/>
      <c r="D268" s="6"/>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row>
    <row r="269" spans="1:34" x14ac:dyDescent="0.25">
      <c r="A269" s="6"/>
      <c r="B269" s="6"/>
      <c r="C269" s="6"/>
      <c r="D269" s="6"/>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row>
    <row r="270" spans="1:34" x14ac:dyDescent="0.25">
      <c r="A270" s="6"/>
      <c r="B270" s="6"/>
      <c r="C270" s="6"/>
      <c r="D270" s="6"/>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row>
    <row r="271" spans="1:34" x14ac:dyDescent="0.25">
      <c r="A271" s="6"/>
      <c r="B271" s="6"/>
      <c r="C271" s="6"/>
      <c r="D271" s="6"/>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row>
    <row r="272" spans="1:34" x14ac:dyDescent="0.25">
      <c r="A272" s="6"/>
      <c r="B272" s="6"/>
      <c r="C272" s="6"/>
      <c r="D272" s="6"/>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row>
    <row r="273" spans="1:34" x14ac:dyDescent="0.25">
      <c r="A273" s="6"/>
      <c r="B273" s="6"/>
      <c r="C273" s="6"/>
      <c r="D273" s="6"/>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row>
    <row r="274" spans="1:34" x14ac:dyDescent="0.25">
      <c r="A274" s="6"/>
      <c r="B274" s="6"/>
      <c r="C274" s="6"/>
      <c r="D274" s="6"/>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row>
    <row r="275" spans="1:34" x14ac:dyDescent="0.25">
      <c r="A275" s="6"/>
      <c r="B275" s="6"/>
      <c r="C275" s="6"/>
      <c r="D275" s="6"/>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row>
    <row r="276" spans="1:34" x14ac:dyDescent="0.25">
      <c r="A276" s="6"/>
      <c r="B276" s="6"/>
      <c r="C276" s="6"/>
      <c r="D276" s="6"/>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row>
    <row r="277" spans="1:34" x14ac:dyDescent="0.25">
      <c r="A277" s="6"/>
      <c r="B277" s="6"/>
      <c r="C277" s="6"/>
      <c r="D277" s="6"/>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row>
    <row r="278" spans="1:34" x14ac:dyDescent="0.25">
      <c r="A278" s="6"/>
      <c r="B278" s="6"/>
      <c r="C278" s="6"/>
      <c r="D278" s="6"/>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row>
    <row r="279" spans="1:34" x14ac:dyDescent="0.25">
      <c r="A279" s="6"/>
      <c r="B279" s="6"/>
      <c r="C279" s="6"/>
      <c r="D279" s="6"/>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row>
    <row r="280" spans="1:34" x14ac:dyDescent="0.25">
      <c r="A280" s="6"/>
      <c r="B280" s="6"/>
      <c r="C280" s="6"/>
      <c r="D280" s="6"/>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row>
    <row r="281" spans="1:34" x14ac:dyDescent="0.25">
      <c r="A281" s="6"/>
      <c r="B281" s="6"/>
      <c r="C281" s="6"/>
      <c r="D281" s="6"/>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row>
    <row r="282" spans="1:34" x14ac:dyDescent="0.25">
      <c r="A282" s="6"/>
      <c r="B282" s="6"/>
      <c r="C282" s="6"/>
      <c r="D282" s="6"/>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row>
    <row r="283" spans="1:34" x14ac:dyDescent="0.25">
      <c r="A283" s="6"/>
      <c r="B283" s="6"/>
      <c r="C283" s="6"/>
      <c r="D283" s="6"/>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row>
    <row r="284" spans="1:34" x14ac:dyDescent="0.25">
      <c r="A284" s="6"/>
      <c r="B284" s="6"/>
      <c r="C284" s="6"/>
      <c r="D284" s="6"/>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row>
    <row r="285" spans="1:34" x14ac:dyDescent="0.25">
      <c r="A285" s="6"/>
      <c r="B285" s="6"/>
      <c r="C285" s="6"/>
      <c r="D285" s="6"/>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row>
    <row r="286" spans="1:34" x14ac:dyDescent="0.25">
      <c r="A286" s="6"/>
      <c r="B286" s="6"/>
      <c r="C286" s="6"/>
      <c r="D286" s="6"/>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row>
    <row r="287" spans="1:34" x14ac:dyDescent="0.25">
      <c r="A287" s="6"/>
      <c r="B287" s="6"/>
      <c r="C287" s="6"/>
      <c r="D287" s="6"/>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row>
    <row r="288" spans="1:34" x14ac:dyDescent="0.25">
      <c r="A288" s="6"/>
      <c r="B288" s="6"/>
      <c r="C288" s="6"/>
      <c r="D288" s="6"/>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row>
    <row r="289" spans="1:34" x14ac:dyDescent="0.25">
      <c r="A289" s="6"/>
      <c r="B289" s="6"/>
      <c r="C289" s="6"/>
      <c r="D289" s="6"/>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row>
    <row r="290" spans="1:34" x14ac:dyDescent="0.25">
      <c r="A290" s="6"/>
      <c r="B290" s="6"/>
      <c r="C290" s="6"/>
      <c r="D290" s="6"/>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row>
    <row r="291" spans="1:34" x14ac:dyDescent="0.25">
      <c r="A291" s="6"/>
      <c r="B291" s="6"/>
      <c r="C291" s="6"/>
      <c r="D291" s="6"/>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row>
    <row r="292" spans="1:34" x14ac:dyDescent="0.25">
      <c r="A292" s="6"/>
      <c r="B292" s="6"/>
      <c r="C292" s="6"/>
      <c r="D292" s="6"/>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row>
    <row r="293" spans="1:34" x14ac:dyDescent="0.25">
      <c r="A293" s="6"/>
      <c r="B293" s="6"/>
      <c r="C293" s="6"/>
      <c r="D293" s="6"/>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row>
    <row r="294" spans="1:34" x14ac:dyDescent="0.25">
      <c r="A294" s="6"/>
      <c r="B294" s="6"/>
      <c r="C294" s="6"/>
      <c r="D294" s="6"/>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row>
    <row r="295" spans="1:34" x14ac:dyDescent="0.25">
      <c r="A295" s="6"/>
      <c r="B295" s="6"/>
      <c r="C295" s="6"/>
      <c r="D295" s="6"/>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row>
    <row r="296" spans="1:34" x14ac:dyDescent="0.25">
      <c r="A296" s="6"/>
      <c r="B296" s="6"/>
      <c r="C296" s="6"/>
      <c r="D296" s="6"/>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row>
    <row r="297" spans="1:34" x14ac:dyDescent="0.25">
      <c r="A297" s="6"/>
      <c r="B297" s="6"/>
      <c r="C297" s="6"/>
      <c r="D297" s="6"/>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row>
    <row r="298" spans="1:34" x14ac:dyDescent="0.25">
      <c r="A298" s="6"/>
      <c r="B298" s="6"/>
      <c r="C298" s="6"/>
      <c r="D298" s="6"/>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row>
    <row r="299" spans="1:34" x14ac:dyDescent="0.25">
      <c r="A299" s="6"/>
      <c r="B299" s="6"/>
      <c r="C299" s="6"/>
      <c r="D299" s="6"/>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row>
    <row r="300" spans="1:34" x14ac:dyDescent="0.25">
      <c r="A300" s="6"/>
      <c r="B300" s="6"/>
      <c r="C300" s="6"/>
      <c r="D300" s="6"/>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row>
    <row r="301" spans="1:34" x14ac:dyDescent="0.25">
      <c r="A301" s="6"/>
      <c r="B301" s="6"/>
      <c r="C301" s="6"/>
      <c r="D301" s="6"/>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row>
    <row r="302" spans="1:34" x14ac:dyDescent="0.25">
      <c r="A302" s="6"/>
      <c r="B302" s="6"/>
      <c r="C302" s="6"/>
      <c r="D302" s="6"/>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row>
    <row r="303" spans="1:34" x14ac:dyDescent="0.25">
      <c r="A303" s="6"/>
      <c r="B303" s="6"/>
      <c r="C303" s="6"/>
      <c r="D303" s="6"/>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row>
    <row r="304" spans="1:34" x14ac:dyDescent="0.25">
      <c r="A304" s="6"/>
      <c r="B304" s="6"/>
      <c r="C304" s="6"/>
      <c r="D304" s="6"/>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row>
    <row r="305" spans="1:34" x14ac:dyDescent="0.25">
      <c r="A305" s="6"/>
      <c r="B305" s="6"/>
      <c r="C305" s="6"/>
      <c r="D305" s="6"/>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row>
    <row r="306" spans="1:34" x14ac:dyDescent="0.25">
      <c r="A306" s="6"/>
      <c r="B306" s="6"/>
      <c r="C306" s="6"/>
      <c r="D306" s="6"/>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row>
    <row r="307" spans="1:34" x14ac:dyDescent="0.25">
      <c r="A307" s="6"/>
      <c r="B307" s="6"/>
      <c r="C307" s="6"/>
      <c r="D307" s="6"/>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row>
    <row r="308" spans="1:34" x14ac:dyDescent="0.25">
      <c r="A308" s="6"/>
      <c r="B308" s="6"/>
      <c r="C308" s="6"/>
      <c r="D308" s="6"/>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row>
    <row r="309" spans="1:34" x14ac:dyDescent="0.25">
      <c r="A309" s="6"/>
      <c r="B309" s="6"/>
      <c r="C309" s="6"/>
      <c r="D309" s="6"/>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row>
    <row r="310" spans="1:34" x14ac:dyDescent="0.25">
      <c r="A310" s="6"/>
      <c r="B310" s="6"/>
      <c r="C310" s="6"/>
      <c r="D310" s="6"/>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row>
    <row r="311" spans="1:34" x14ac:dyDescent="0.25">
      <c r="A311" s="6"/>
      <c r="B311" s="6"/>
      <c r="C311" s="6"/>
      <c r="D311" s="6"/>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row>
    <row r="312" spans="1:34" x14ac:dyDescent="0.25">
      <c r="A312" s="6"/>
      <c r="B312" s="6"/>
      <c r="C312" s="6"/>
      <c r="D312" s="6"/>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row>
    <row r="313" spans="1:34" x14ac:dyDescent="0.25">
      <c r="A313" s="6"/>
      <c r="B313" s="6"/>
      <c r="C313" s="6"/>
      <c r="D313" s="6"/>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row>
    <row r="314" spans="1:34" x14ac:dyDescent="0.25">
      <c r="A314" s="6"/>
      <c r="B314" s="6"/>
      <c r="C314" s="6"/>
      <c r="D314" s="6"/>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row>
    <row r="315" spans="1:34" x14ac:dyDescent="0.25">
      <c r="A315" s="6"/>
      <c r="B315" s="6"/>
      <c r="C315" s="6"/>
      <c r="D315" s="6"/>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row>
    <row r="316" spans="1:34" x14ac:dyDescent="0.25">
      <c r="A316" s="6"/>
      <c r="B316" s="6"/>
      <c r="C316" s="6"/>
      <c r="D316" s="6"/>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row>
    <row r="317" spans="1:34" x14ac:dyDescent="0.25">
      <c r="A317" s="6"/>
      <c r="B317" s="6"/>
      <c r="C317" s="6"/>
      <c r="D317" s="6"/>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row>
    <row r="318" spans="1:34" x14ac:dyDescent="0.25">
      <c r="A318" s="6"/>
      <c r="B318" s="6"/>
      <c r="C318" s="6"/>
      <c r="D318" s="6"/>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row>
    <row r="319" spans="1:34" x14ac:dyDescent="0.25">
      <c r="A319" s="6"/>
      <c r="B319" s="6"/>
      <c r="C319" s="6"/>
      <c r="D319" s="6"/>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row>
    <row r="320" spans="1:34" x14ac:dyDescent="0.25">
      <c r="A320" s="6"/>
      <c r="B320" s="6"/>
      <c r="C320" s="6"/>
      <c r="D320" s="6"/>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row>
    <row r="321" spans="1:34" x14ac:dyDescent="0.25">
      <c r="A321" s="6"/>
      <c r="B321" s="6"/>
      <c r="C321" s="6"/>
      <c r="D321" s="6"/>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row>
    <row r="322" spans="1:34" x14ac:dyDescent="0.25">
      <c r="A322" s="6"/>
      <c r="B322" s="6"/>
      <c r="C322" s="6"/>
      <c r="D322" s="6"/>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row>
    <row r="323" spans="1:34" x14ac:dyDescent="0.25">
      <c r="A323" s="6"/>
      <c r="B323" s="6"/>
      <c r="C323" s="6"/>
      <c r="D323" s="6"/>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row>
    <row r="324" spans="1:34" x14ac:dyDescent="0.25">
      <c r="A324" s="6"/>
      <c r="B324" s="6"/>
      <c r="C324" s="6"/>
      <c r="D324" s="6"/>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row>
    <row r="325" spans="1:34" x14ac:dyDescent="0.25">
      <c r="A325" s="6"/>
      <c r="B325" s="6"/>
      <c r="C325" s="6"/>
      <c r="D325" s="6"/>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row>
    <row r="326" spans="1:34" x14ac:dyDescent="0.25">
      <c r="A326" s="6"/>
      <c r="B326" s="6"/>
      <c r="C326" s="6"/>
      <c r="D326" s="6"/>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row>
    <row r="327" spans="1:34" x14ac:dyDescent="0.25">
      <c r="A327" s="6"/>
      <c r="B327" s="6"/>
      <c r="C327" s="6"/>
      <c r="D327" s="6"/>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row>
    <row r="328" spans="1:34" x14ac:dyDescent="0.25">
      <c r="A328" s="6"/>
      <c r="B328" s="6"/>
      <c r="C328" s="6"/>
      <c r="D328" s="6"/>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row>
    <row r="329" spans="1:34" x14ac:dyDescent="0.25">
      <c r="A329" s="6"/>
      <c r="B329" s="6"/>
      <c r="C329" s="6"/>
      <c r="D329" s="6"/>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row>
    <row r="330" spans="1:34" x14ac:dyDescent="0.25">
      <c r="A330" s="6"/>
      <c r="B330" s="6"/>
      <c r="C330" s="6"/>
      <c r="D330" s="6"/>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row>
    <row r="331" spans="1:34" x14ac:dyDescent="0.25">
      <c r="A331" s="6"/>
      <c r="B331" s="6"/>
      <c r="C331" s="6"/>
      <c r="D331" s="6"/>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row>
    <row r="332" spans="1:34" x14ac:dyDescent="0.25">
      <c r="A332" s="6"/>
      <c r="B332" s="6"/>
      <c r="C332" s="6"/>
      <c r="D332" s="6"/>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row>
    <row r="333" spans="1:34" x14ac:dyDescent="0.25">
      <c r="A333" s="6"/>
      <c r="B333" s="6"/>
      <c r="C333" s="6"/>
      <c r="D333" s="6"/>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row>
    <row r="334" spans="1:34" x14ac:dyDescent="0.25">
      <c r="A334" s="6"/>
      <c r="B334" s="6"/>
      <c r="C334" s="6"/>
      <c r="D334" s="6"/>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row>
    <row r="335" spans="1:34" x14ac:dyDescent="0.25">
      <c r="A335" s="6"/>
      <c r="B335" s="6"/>
      <c r="C335" s="6"/>
      <c r="D335" s="6"/>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row>
    <row r="336" spans="1:34" x14ac:dyDescent="0.25">
      <c r="A336" s="6"/>
      <c r="B336" s="6"/>
      <c r="C336" s="6"/>
      <c r="D336" s="6"/>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row>
    <row r="337" spans="7:34" x14ac:dyDescent="0.25">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row>
    <row r="338" spans="7:34" x14ac:dyDescent="0.25">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row>
    <row r="339" spans="7:34" x14ac:dyDescent="0.25">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row>
    <row r="340" spans="7:34" x14ac:dyDescent="0.25">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row>
    <row r="341" spans="7:34" x14ac:dyDescent="0.25">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row>
    <row r="342" spans="7:34" x14ac:dyDescent="0.25">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row>
    <row r="343" spans="7:34" x14ac:dyDescent="0.25">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row>
    <row r="344" spans="7:34" x14ac:dyDescent="0.25">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row>
    <row r="345" spans="7:34" x14ac:dyDescent="0.25">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row>
    <row r="346" spans="7:34" x14ac:dyDescent="0.25">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row>
    <row r="347" spans="7:34" x14ac:dyDescent="0.25">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row>
    <row r="348" spans="7:34" x14ac:dyDescent="0.25">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row>
    <row r="349" spans="7:34" x14ac:dyDescent="0.25">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row>
    <row r="350" spans="7:34" x14ac:dyDescent="0.25">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row>
    <row r="351" spans="7:34" x14ac:dyDescent="0.25">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row>
    <row r="352" spans="7:34" x14ac:dyDescent="0.25">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row>
    <row r="353" spans="7:34" x14ac:dyDescent="0.25">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row>
    <row r="354" spans="7:34" x14ac:dyDescent="0.25">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row>
    <row r="355" spans="7:34" x14ac:dyDescent="0.25">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row>
    <row r="356" spans="7:34" x14ac:dyDescent="0.25">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row>
    <row r="357" spans="7:34" x14ac:dyDescent="0.25">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row>
    <row r="358" spans="7:34" x14ac:dyDescent="0.25">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row>
    <row r="359" spans="7:34" x14ac:dyDescent="0.25">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row>
    <row r="360" spans="7:34" x14ac:dyDescent="0.25">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row>
    <row r="361" spans="7:34" x14ac:dyDescent="0.25">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row>
    <row r="362" spans="7:34" x14ac:dyDescent="0.25">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row>
    <row r="363" spans="7:34" x14ac:dyDescent="0.25">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row>
    <row r="364" spans="7:34" x14ac:dyDescent="0.25">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row>
    <row r="365" spans="7:34" x14ac:dyDescent="0.25">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row>
    <row r="366" spans="7:34" x14ac:dyDescent="0.25">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row>
    <row r="367" spans="7:34" x14ac:dyDescent="0.25">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row>
    <row r="368" spans="7:34" x14ac:dyDescent="0.25">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row>
    <row r="369" spans="7:34" x14ac:dyDescent="0.25">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row>
    <row r="370" spans="7:34" x14ac:dyDescent="0.25">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row>
    <row r="371" spans="7:34" x14ac:dyDescent="0.25">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row>
    <row r="372" spans="7:34" x14ac:dyDescent="0.25">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row>
    <row r="373" spans="7:34" x14ac:dyDescent="0.25">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row>
    <row r="374" spans="7:34" x14ac:dyDescent="0.25">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row>
    <row r="375" spans="7:34" x14ac:dyDescent="0.25">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row>
    <row r="376" spans="7:34" x14ac:dyDescent="0.25">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row>
    <row r="377" spans="7:34" x14ac:dyDescent="0.25">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row>
    <row r="378" spans="7:34" x14ac:dyDescent="0.25">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row>
    <row r="379" spans="7:34" x14ac:dyDescent="0.25">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row>
    <row r="380" spans="7:34" x14ac:dyDescent="0.25">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row>
    <row r="381" spans="7:34" x14ac:dyDescent="0.25">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row>
    <row r="382" spans="7:34" x14ac:dyDescent="0.25">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row>
    <row r="383" spans="7:34" x14ac:dyDescent="0.25">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row>
    <row r="384" spans="7:34" x14ac:dyDescent="0.25">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row>
    <row r="385" spans="7:34" x14ac:dyDescent="0.25">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row>
    <row r="386" spans="7:34" x14ac:dyDescent="0.25">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row>
    <row r="387" spans="7:34" x14ac:dyDescent="0.25">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row>
    <row r="388" spans="7:34" x14ac:dyDescent="0.25">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row>
    <row r="389" spans="7:34" x14ac:dyDescent="0.25">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row>
    <row r="390" spans="7:34" x14ac:dyDescent="0.25">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row>
    <row r="391" spans="7:34" x14ac:dyDescent="0.25">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row>
    <row r="392" spans="7:34" x14ac:dyDescent="0.25">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row>
    <row r="393" spans="7:34" x14ac:dyDescent="0.25">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row>
    <row r="394" spans="7:34" x14ac:dyDescent="0.25">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row>
    <row r="395" spans="7:34" x14ac:dyDescent="0.25">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row>
    <row r="396" spans="7:34" x14ac:dyDescent="0.25">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row>
    <row r="397" spans="7:34" x14ac:dyDescent="0.25">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row>
    <row r="398" spans="7:34" x14ac:dyDescent="0.25">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row>
    <row r="399" spans="7:34" x14ac:dyDescent="0.25">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row>
    <row r="400" spans="7:34" x14ac:dyDescent="0.25">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row>
    <row r="401" spans="7:34" x14ac:dyDescent="0.25">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row>
    <row r="402" spans="7:34" x14ac:dyDescent="0.25">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row>
    <row r="403" spans="7:34" x14ac:dyDescent="0.25">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row>
    <row r="404" spans="7:34" x14ac:dyDescent="0.25">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row>
    <row r="405" spans="7:34" x14ac:dyDescent="0.25">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row>
    <row r="406" spans="7:34" x14ac:dyDescent="0.25">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row>
    <row r="407" spans="7:34" x14ac:dyDescent="0.25">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row>
    <row r="408" spans="7:34" x14ac:dyDescent="0.25">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row>
    <row r="409" spans="7:34" x14ac:dyDescent="0.25">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row>
    <row r="410" spans="7:34" x14ac:dyDescent="0.25">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row>
    <row r="411" spans="7:34" x14ac:dyDescent="0.25">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row>
    <row r="412" spans="7:34" x14ac:dyDescent="0.25">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row>
    <row r="413" spans="7:34" x14ac:dyDescent="0.25">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row>
    <row r="414" spans="7:34" x14ac:dyDescent="0.25">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row>
    <row r="415" spans="7:34" x14ac:dyDescent="0.25">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row>
    <row r="416" spans="7:34" x14ac:dyDescent="0.25">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row>
    <row r="417" spans="7:34" x14ac:dyDescent="0.25">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row>
    <row r="418" spans="7:34" x14ac:dyDescent="0.25">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row>
    <row r="419" spans="7:34" x14ac:dyDescent="0.25">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row>
    <row r="420" spans="7:34" x14ac:dyDescent="0.25">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row>
    <row r="421" spans="7:34" x14ac:dyDescent="0.25">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row>
    <row r="422" spans="7:34" x14ac:dyDescent="0.25">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row>
    <row r="423" spans="7:34" x14ac:dyDescent="0.25">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row>
    <row r="424" spans="7:34" x14ac:dyDescent="0.25">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row>
    <row r="425" spans="7:34" x14ac:dyDescent="0.25">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row>
    <row r="426" spans="7:34" x14ac:dyDescent="0.25">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row>
    <row r="427" spans="7:34" x14ac:dyDescent="0.25">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row>
    <row r="428" spans="7:34" x14ac:dyDescent="0.25">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row>
    <row r="429" spans="7:34" x14ac:dyDescent="0.25">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row>
    <row r="430" spans="7:34" x14ac:dyDescent="0.25">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row>
    <row r="431" spans="7:34" x14ac:dyDescent="0.25">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row>
    <row r="432" spans="7:34" x14ac:dyDescent="0.25">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row>
    <row r="433" spans="7:34" x14ac:dyDescent="0.25">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row>
    <row r="434" spans="7:34" x14ac:dyDescent="0.25">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row>
    <row r="435" spans="7:34" x14ac:dyDescent="0.25">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row>
    <row r="436" spans="7:34" x14ac:dyDescent="0.25">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row>
    <row r="437" spans="7:34" x14ac:dyDescent="0.25">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row>
    <row r="438" spans="7:34" x14ac:dyDescent="0.25">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row>
    <row r="439" spans="7:34" x14ac:dyDescent="0.25">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row>
    <row r="440" spans="7:34" x14ac:dyDescent="0.25">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row>
    <row r="441" spans="7:34" x14ac:dyDescent="0.25">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row>
    <row r="442" spans="7:34" x14ac:dyDescent="0.25">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row>
    <row r="443" spans="7:34" x14ac:dyDescent="0.25">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row>
    <row r="444" spans="7:34" x14ac:dyDescent="0.25">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row>
    <row r="445" spans="7:34" x14ac:dyDescent="0.25">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row>
    <row r="446" spans="7:34" x14ac:dyDescent="0.25">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row>
    <row r="447" spans="7:34" x14ac:dyDescent="0.25">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row>
    <row r="448" spans="7:34" x14ac:dyDescent="0.25">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row>
    <row r="449" spans="7:34" x14ac:dyDescent="0.25">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row>
    <row r="450" spans="7:34" x14ac:dyDescent="0.25">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row>
    <row r="451" spans="7:34" x14ac:dyDescent="0.25">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row>
    <row r="452" spans="7:34" x14ac:dyDescent="0.25">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row>
    <row r="453" spans="7:34" x14ac:dyDescent="0.25">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row>
    <row r="454" spans="7:34" x14ac:dyDescent="0.25">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row>
    <row r="455" spans="7:34" x14ac:dyDescent="0.25">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row>
    <row r="456" spans="7:34" x14ac:dyDescent="0.25">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row>
    <row r="457" spans="7:34" x14ac:dyDescent="0.25">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row>
    <row r="458" spans="7:34" x14ac:dyDescent="0.25">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row>
    <row r="459" spans="7:34" x14ac:dyDescent="0.25">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row>
    <row r="460" spans="7:34" x14ac:dyDescent="0.25">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row>
    <row r="461" spans="7:34" x14ac:dyDescent="0.25">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row>
    <row r="462" spans="7:34" x14ac:dyDescent="0.25">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row>
    <row r="463" spans="7:34" x14ac:dyDescent="0.25">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row>
    <row r="464" spans="7:34" x14ac:dyDescent="0.25">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row>
    <row r="465" spans="7:34" x14ac:dyDescent="0.25">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row>
    <row r="466" spans="7:34" x14ac:dyDescent="0.25">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row>
    <row r="467" spans="7:34" x14ac:dyDescent="0.25">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row>
    <row r="468" spans="7:34" x14ac:dyDescent="0.25">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row>
    <row r="469" spans="7:34" x14ac:dyDescent="0.25">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row>
    <row r="470" spans="7:34" x14ac:dyDescent="0.25">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row>
    <row r="471" spans="7:34" x14ac:dyDescent="0.25">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row>
    <row r="472" spans="7:34" x14ac:dyDescent="0.25">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row>
    <row r="473" spans="7:34" x14ac:dyDescent="0.25">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row>
    <row r="474" spans="7:34" x14ac:dyDescent="0.25">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row>
    <row r="475" spans="7:34" x14ac:dyDescent="0.25">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row>
    <row r="476" spans="7:34" x14ac:dyDescent="0.25">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row>
    <row r="477" spans="7:34" x14ac:dyDescent="0.25">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row>
    <row r="478" spans="7:34" x14ac:dyDescent="0.25">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row>
    <row r="479" spans="7:34" x14ac:dyDescent="0.25">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row>
    <row r="480" spans="7:34" x14ac:dyDescent="0.25">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row>
    <row r="481" spans="7:34" x14ac:dyDescent="0.25">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row>
    <row r="482" spans="7:34" x14ac:dyDescent="0.25">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row>
    <row r="483" spans="7:34" x14ac:dyDescent="0.25">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row>
    <row r="484" spans="7:34" x14ac:dyDescent="0.25">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row>
    <row r="485" spans="7:34" x14ac:dyDescent="0.25">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row>
    <row r="486" spans="7:34" x14ac:dyDescent="0.25">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row>
    <row r="487" spans="7:34" x14ac:dyDescent="0.25">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row>
    <row r="488" spans="7:34" x14ac:dyDescent="0.25">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row>
    <row r="489" spans="7:34" x14ac:dyDescent="0.25">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row>
    <row r="490" spans="7:34" x14ac:dyDescent="0.25">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row>
    <row r="491" spans="7:34" x14ac:dyDescent="0.25">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row>
    <row r="492" spans="7:34" x14ac:dyDescent="0.25">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row>
    <row r="493" spans="7:34" x14ac:dyDescent="0.25">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row>
    <row r="494" spans="7:34" x14ac:dyDescent="0.25">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row>
    <row r="495" spans="7:34" x14ac:dyDescent="0.25">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row>
    <row r="496" spans="7:34" x14ac:dyDescent="0.25">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row>
    <row r="497" spans="7:34" x14ac:dyDescent="0.25">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row>
    <row r="498" spans="7:34" x14ac:dyDescent="0.25">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row>
    <row r="499" spans="7:34" x14ac:dyDescent="0.25">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row>
    <row r="500" spans="7:34" x14ac:dyDescent="0.25">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row>
    <row r="501" spans="7:34" x14ac:dyDescent="0.25">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row>
    <row r="502" spans="7:34" x14ac:dyDescent="0.25">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row>
    <row r="503" spans="7:34" x14ac:dyDescent="0.25">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row>
    <row r="504" spans="7:34" x14ac:dyDescent="0.25">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row>
    <row r="505" spans="7:34" x14ac:dyDescent="0.25">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row>
    <row r="506" spans="7:34" x14ac:dyDescent="0.25">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row>
    <row r="507" spans="7:34" x14ac:dyDescent="0.25">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row>
    <row r="508" spans="7:34" x14ac:dyDescent="0.25">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row>
    <row r="509" spans="7:34" x14ac:dyDescent="0.25">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row>
    <row r="510" spans="7:34" x14ac:dyDescent="0.25">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row>
    <row r="511" spans="7:34" x14ac:dyDescent="0.25">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row>
    <row r="512" spans="7:34" x14ac:dyDescent="0.25">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row>
    <row r="513" spans="7:34" x14ac:dyDescent="0.25">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row>
    <row r="514" spans="7:34" x14ac:dyDescent="0.25">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row>
    <row r="515" spans="7:34" x14ac:dyDescent="0.25">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row>
    <row r="516" spans="7:34" x14ac:dyDescent="0.25">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row>
    <row r="517" spans="7:34" x14ac:dyDescent="0.25">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row>
    <row r="518" spans="7:34" x14ac:dyDescent="0.25">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row>
    <row r="519" spans="7:34" x14ac:dyDescent="0.25">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row>
    <row r="520" spans="7:34" x14ac:dyDescent="0.25">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row>
    <row r="521" spans="7:34" x14ac:dyDescent="0.25">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row>
    <row r="522" spans="7:34" x14ac:dyDescent="0.25">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row>
    <row r="523" spans="7:34" x14ac:dyDescent="0.25">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row>
    <row r="524" spans="7:34" x14ac:dyDescent="0.25">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row>
    <row r="525" spans="7:34" x14ac:dyDescent="0.25">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row>
    <row r="526" spans="7:34" x14ac:dyDescent="0.25">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row>
    <row r="527" spans="7:34" x14ac:dyDescent="0.25">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row>
    <row r="528" spans="7:34" x14ac:dyDescent="0.25">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row>
    <row r="529" spans="7:34" x14ac:dyDescent="0.25">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row>
    <row r="530" spans="7:34" x14ac:dyDescent="0.25">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row>
    <row r="531" spans="7:34" x14ac:dyDescent="0.25">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row>
    <row r="532" spans="7:34" x14ac:dyDescent="0.25">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row>
    <row r="533" spans="7:34" x14ac:dyDescent="0.25">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row>
    <row r="534" spans="7:34" x14ac:dyDescent="0.25">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row>
    <row r="535" spans="7:34" x14ac:dyDescent="0.25">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row>
    <row r="536" spans="7:34" x14ac:dyDescent="0.25">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row>
    <row r="537" spans="7:34" x14ac:dyDescent="0.25">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row>
    <row r="538" spans="7:34" x14ac:dyDescent="0.25">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row>
    <row r="539" spans="7:34" x14ac:dyDescent="0.25">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row>
    <row r="540" spans="7:34" x14ac:dyDescent="0.25">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row>
    <row r="541" spans="7:34" x14ac:dyDescent="0.25">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row>
    <row r="542" spans="7:34" x14ac:dyDescent="0.25">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row>
    <row r="543" spans="7:34" x14ac:dyDescent="0.25">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row>
    <row r="544" spans="7:34" x14ac:dyDescent="0.25">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row>
    <row r="545" spans="7:34" x14ac:dyDescent="0.25">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row>
    <row r="546" spans="7:34" x14ac:dyDescent="0.25">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row>
    <row r="547" spans="7:34" x14ac:dyDescent="0.25">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row>
    <row r="548" spans="7:34" x14ac:dyDescent="0.25">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row>
    <row r="549" spans="7:34" x14ac:dyDescent="0.25">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row>
    <row r="550" spans="7:34" x14ac:dyDescent="0.25">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row>
    <row r="551" spans="7:34" x14ac:dyDescent="0.25">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row>
    <row r="552" spans="7:34" x14ac:dyDescent="0.25">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row>
    <row r="553" spans="7:34" x14ac:dyDescent="0.25">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row>
    <row r="554" spans="7:34" x14ac:dyDescent="0.25">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row>
    <row r="555" spans="7:34" x14ac:dyDescent="0.25">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row>
    <row r="556" spans="7:34" x14ac:dyDescent="0.25">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row>
    <row r="557" spans="7:34" x14ac:dyDescent="0.25">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row>
    <row r="558" spans="7:34" x14ac:dyDescent="0.25">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row>
    <row r="559" spans="7:34" x14ac:dyDescent="0.25">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row>
    <row r="560" spans="7:34" x14ac:dyDescent="0.25">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row>
    <row r="561" spans="7:34" x14ac:dyDescent="0.25">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row>
    <row r="562" spans="7:34" x14ac:dyDescent="0.25">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row>
    <row r="563" spans="7:34" x14ac:dyDescent="0.25">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row>
    <row r="564" spans="7:34" x14ac:dyDescent="0.25">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row>
    <row r="565" spans="7:34" x14ac:dyDescent="0.25">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row>
    <row r="566" spans="7:34" x14ac:dyDescent="0.25">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row>
    <row r="567" spans="7:34" x14ac:dyDescent="0.25">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row>
    <row r="568" spans="7:34" x14ac:dyDescent="0.25">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row>
    <row r="569" spans="7:34" x14ac:dyDescent="0.25">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row>
    <row r="570" spans="7:34" x14ac:dyDescent="0.25">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row>
    <row r="571" spans="7:34" x14ac:dyDescent="0.25">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row>
    <row r="572" spans="7:34" x14ac:dyDescent="0.25">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row>
    <row r="573" spans="7:34" x14ac:dyDescent="0.25">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row>
    <row r="574" spans="7:34" x14ac:dyDescent="0.25">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row>
    <row r="575" spans="7:34" x14ac:dyDescent="0.25">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row>
    <row r="576" spans="7:34" x14ac:dyDescent="0.25">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row>
    <row r="577" spans="7:34" x14ac:dyDescent="0.25">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row>
    <row r="578" spans="7:34" x14ac:dyDescent="0.25">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row>
    <row r="579" spans="7:34" x14ac:dyDescent="0.25">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row>
    <row r="580" spans="7:34" x14ac:dyDescent="0.25">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row>
    <row r="581" spans="7:34" x14ac:dyDescent="0.25">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row>
    <row r="582" spans="7:34" x14ac:dyDescent="0.25">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row>
    <row r="583" spans="7:34" x14ac:dyDescent="0.25">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row>
    <row r="584" spans="7:34" x14ac:dyDescent="0.25">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row>
    <row r="585" spans="7:34" x14ac:dyDescent="0.25">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row>
    <row r="586" spans="7:34" x14ac:dyDescent="0.25">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row>
    <row r="587" spans="7:34" x14ac:dyDescent="0.25">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row>
    <row r="588" spans="7:34" x14ac:dyDescent="0.25">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row>
    <row r="589" spans="7:34" x14ac:dyDescent="0.25">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row>
    <row r="590" spans="7:34" x14ac:dyDescent="0.25">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row>
    <row r="591" spans="7:34" x14ac:dyDescent="0.25">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row>
    <row r="592" spans="7:34" x14ac:dyDescent="0.25">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row>
    <row r="593" spans="7:34" x14ac:dyDescent="0.25">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row>
    <row r="594" spans="7:34" x14ac:dyDescent="0.25">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row>
    <row r="595" spans="7:34" x14ac:dyDescent="0.25">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row>
    <row r="596" spans="7:34" x14ac:dyDescent="0.25">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row>
    <row r="597" spans="7:34" x14ac:dyDescent="0.25">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row>
    <row r="598" spans="7:34" x14ac:dyDescent="0.25">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row>
    <row r="599" spans="7:34" x14ac:dyDescent="0.25">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row>
    <row r="600" spans="7:34" x14ac:dyDescent="0.25">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row>
    <row r="601" spans="7:34" x14ac:dyDescent="0.25">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row>
    <row r="602" spans="7:34" x14ac:dyDescent="0.25">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row>
    <row r="603" spans="7:34" x14ac:dyDescent="0.25">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row>
    <row r="604" spans="7:34" x14ac:dyDescent="0.25">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row>
    <row r="605" spans="7:34" x14ac:dyDescent="0.25">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row>
    <row r="606" spans="7:34" x14ac:dyDescent="0.25">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row>
    <row r="607" spans="7:34" x14ac:dyDescent="0.25">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row>
    <row r="608" spans="7:34" x14ac:dyDescent="0.25">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row>
    <row r="609" spans="7:34" x14ac:dyDescent="0.25">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row>
    <row r="610" spans="7:34" x14ac:dyDescent="0.25">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row>
    <row r="611" spans="7:34" x14ac:dyDescent="0.25">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row>
    <row r="612" spans="7:34" x14ac:dyDescent="0.25">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row>
    <row r="613" spans="7:34" x14ac:dyDescent="0.25">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row>
    <row r="614" spans="7:34" x14ac:dyDescent="0.25">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row>
    <row r="615" spans="7:34" x14ac:dyDescent="0.25">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row>
    <row r="616" spans="7:34" x14ac:dyDescent="0.25">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row>
    <row r="617" spans="7:34" x14ac:dyDescent="0.25">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row>
    <row r="618" spans="7:34" x14ac:dyDescent="0.25">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row>
    <row r="619" spans="7:34" x14ac:dyDescent="0.25">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row>
    <row r="620" spans="7:34" x14ac:dyDescent="0.25">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row>
    <row r="621" spans="7:34" x14ac:dyDescent="0.25">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row>
    <row r="622" spans="7:34" x14ac:dyDescent="0.25">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row>
    <row r="623" spans="7:34" x14ac:dyDescent="0.25">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row>
    <row r="624" spans="7:34" x14ac:dyDescent="0.25">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row>
    <row r="625" spans="7:34" x14ac:dyDescent="0.25">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row>
    <row r="626" spans="7:34" x14ac:dyDescent="0.25">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row>
    <row r="627" spans="7:34" x14ac:dyDescent="0.25">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row>
    <row r="628" spans="7:34" x14ac:dyDescent="0.25">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row>
    <row r="629" spans="7:34" x14ac:dyDescent="0.25">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row>
    <row r="630" spans="7:34" x14ac:dyDescent="0.25">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row>
    <row r="631" spans="7:34" x14ac:dyDescent="0.25">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row>
    <row r="632" spans="7:34" x14ac:dyDescent="0.25">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row>
    <row r="633" spans="7:34" x14ac:dyDescent="0.25">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row>
    <row r="634" spans="7:34" x14ac:dyDescent="0.25">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row>
    <row r="635" spans="7:34" x14ac:dyDescent="0.25">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row>
    <row r="636" spans="7:34" x14ac:dyDescent="0.25">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row>
    <row r="637" spans="7:34" x14ac:dyDescent="0.25">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row>
    <row r="638" spans="7:34" x14ac:dyDescent="0.25">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row>
    <row r="639" spans="7:34" x14ac:dyDescent="0.25">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row>
    <row r="640" spans="7:34" x14ac:dyDescent="0.25">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row>
    <row r="641" spans="7:34" x14ac:dyDescent="0.25">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row>
    <row r="642" spans="7:34" x14ac:dyDescent="0.25">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row>
    <row r="643" spans="7:34" x14ac:dyDescent="0.25">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row>
    <row r="644" spans="7:34" x14ac:dyDescent="0.25">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row>
    <row r="645" spans="7:34" x14ac:dyDescent="0.25">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row>
    <row r="646" spans="7:34" x14ac:dyDescent="0.25">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row>
    <row r="647" spans="7:34" x14ac:dyDescent="0.25">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row>
    <row r="648" spans="7:34" x14ac:dyDescent="0.25">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row>
    <row r="649" spans="7:34" x14ac:dyDescent="0.25">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row>
    <row r="650" spans="7:34" x14ac:dyDescent="0.25">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row>
    <row r="651" spans="7:34" x14ac:dyDescent="0.25">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row>
    <row r="652" spans="7:34" x14ac:dyDescent="0.25">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row>
    <row r="653" spans="7:34" x14ac:dyDescent="0.25">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row>
    <row r="654" spans="7:34" x14ac:dyDescent="0.25">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row>
    <row r="655" spans="7:34" x14ac:dyDescent="0.25">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row>
    <row r="656" spans="7:34" x14ac:dyDescent="0.25">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row>
    <row r="657" spans="7:34" x14ac:dyDescent="0.25">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row>
    <row r="658" spans="7:34" x14ac:dyDescent="0.25">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row>
    <row r="659" spans="7:34" x14ac:dyDescent="0.25">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row>
    <row r="660" spans="7:34" x14ac:dyDescent="0.25">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row>
    <row r="661" spans="7:34" x14ac:dyDescent="0.25">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row>
    <row r="662" spans="7:34" x14ac:dyDescent="0.25">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row>
    <row r="663" spans="7:34" x14ac:dyDescent="0.25">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row>
    <row r="664" spans="7:34" x14ac:dyDescent="0.25">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row>
    <row r="665" spans="7:34" x14ac:dyDescent="0.25">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row>
    <row r="666" spans="7:34" x14ac:dyDescent="0.25">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row>
    <row r="667" spans="7:34" x14ac:dyDescent="0.25">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row>
    <row r="668" spans="7:34" x14ac:dyDescent="0.25">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row>
    <row r="669" spans="7:34" x14ac:dyDescent="0.25">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row>
    <row r="670" spans="7:34" x14ac:dyDescent="0.25">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row>
    <row r="671" spans="7:34" x14ac:dyDescent="0.25">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row>
    <row r="672" spans="7:34" x14ac:dyDescent="0.25">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row>
    <row r="673" spans="7:34" x14ac:dyDescent="0.25">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row>
    <row r="674" spans="7:34" x14ac:dyDescent="0.25">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row>
    <row r="675" spans="7:34" x14ac:dyDescent="0.25">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row>
    <row r="676" spans="7:34" x14ac:dyDescent="0.25">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row>
    <row r="677" spans="7:34" x14ac:dyDescent="0.25">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row>
    <row r="678" spans="7:34" x14ac:dyDescent="0.25">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row>
    <row r="679" spans="7:34" x14ac:dyDescent="0.25">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row>
    <row r="680" spans="7:34" x14ac:dyDescent="0.25">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row>
    <row r="681" spans="7:34" x14ac:dyDescent="0.25">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row>
    <row r="682" spans="7:34" x14ac:dyDescent="0.25">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row>
    <row r="683" spans="7:34" x14ac:dyDescent="0.25">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row>
    <row r="684" spans="7:34" x14ac:dyDescent="0.25">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row>
    <row r="685" spans="7:34" x14ac:dyDescent="0.25">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row>
    <row r="686" spans="7:34" x14ac:dyDescent="0.25">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row>
    <row r="687" spans="7:34" x14ac:dyDescent="0.25">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row>
    <row r="688" spans="7:34" x14ac:dyDescent="0.25">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row>
    <row r="689" spans="7:34" x14ac:dyDescent="0.25">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row>
    <row r="690" spans="7:34" x14ac:dyDescent="0.25">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row>
    <row r="691" spans="7:34" x14ac:dyDescent="0.25">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row>
    <row r="692" spans="7:34" x14ac:dyDescent="0.25">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row>
    <row r="693" spans="7:34" x14ac:dyDescent="0.25">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row>
    <row r="694" spans="7:34" x14ac:dyDescent="0.25">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row>
    <row r="695" spans="7:34" x14ac:dyDescent="0.25">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row>
    <row r="696" spans="7:34" x14ac:dyDescent="0.25">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row>
    <row r="697" spans="7:34" x14ac:dyDescent="0.25">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row>
    <row r="698" spans="7:34" x14ac:dyDescent="0.25">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row>
    <row r="699" spans="7:34" x14ac:dyDescent="0.25">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row>
    <row r="700" spans="7:34" x14ac:dyDescent="0.25">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row>
    <row r="701" spans="7:34" x14ac:dyDescent="0.25">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row>
    <row r="702" spans="7:34" x14ac:dyDescent="0.25">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row>
    <row r="703" spans="7:34" x14ac:dyDescent="0.25">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row>
    <row r="704" spans="7:34" x14ac:dyDescent="0.25">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row>
    <row r="705" spans="7:34" x14ac:dyDescent="0.25">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row>
    <row r="706" spans="7:34" x14ac:dyDescent="0.25">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row>
    <row r="707" spans="7:34" x14ac:dyDescent="0.25">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row>
    <row r="708" spans="7:34" x14ac:dyDescent="0.25">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row>
    <row r="709" spans="7:34" x14ac:dyDescent="0.25">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row>
    <row r="710" spans="7:34" x14ac:dyDescent="0.25">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row>
    <row r="711" spans="7:34" x14ac:dyDescent="0.25">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row>
    <row r="712" spans="7:34" x14ac:dyDescent="0.25">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row>
    <row r="713" spans="7:34" x14ac:dyDescent="0.25">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row>
    <row r="714" spans="7:34" x14ac:dyDescent="0.25">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row>
    <row r="715" spans="7:34" x14ac:dyDescent="0.25">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row>
    <row r="716" spans="7:34" x14ac:dyDescent="0.25">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row>
    <row r="717" spans="7:34" x14ac:dyDescent="0.25">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row>
    <row r="718" spans="7:34" x14ac:dyDescent="0.25">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row>
    <row r="719" spans="7:34" x14ac:dyDescent="0.25">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row>
    <row r="720" spans="7:34" x14ac:dyDescent="0.25">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row>
    <row r="721" spans="7:34" x14ac:dyDescent="0.25">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row>
    <row r="722" spans="7:34" x14ac:dyDescent="0.25">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row>
    <row r="723" spans="7:34" x14ac:dyDescent="0.25">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row>
    <row r="724" spans="7:34" x14ac:dyDescent="0.25">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row>
    <row r="725" spans="7:34" x14ac:dyDescent="0.25">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row>
    <row r="726" spans="7:34" x14ac:dyDescent="0.25">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row>
    <row r="727" spans="7:34" x14ac:dyDescent="0.25">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row>
    <row r="728" spans="7:34" x14ac:dyDescent="0.25">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row>
    <row r="729" spans="7:34" x14ac:dyDescent="0.25">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row>
    <row r="730" spans="7:34" x14ac:dyDescent="0.25">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row>
    <row r="731" spans="7:34" x14ac:dyDescent="0.25">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row>
    <row r="732" spans="7:34" x14ac:dyDescent="0.25">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row>
    <row r="733" spans="7:34" x14ac:dyDescent="0.25">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row>
    <row r="734" spans="7:34" x14ac:dyDescent="0.25">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row>
    <row r="735" spans="7:34" x14ac:dyDescent="0.25">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row>
    <row r="736" spans="7:34" x14ac:dyDescent="0.25">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row>
    <row r="737" spans="7:34" x14ac:dyDescent="0.25">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row>
    <row r="738" spans="7:34" x14ac:dyDescent="0.25">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row>
    <row r="739" spans="7:34" x14ac:dyDescent="0.25">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row>
    <row r="740" spans="7:34" x14ac:dyDescent="0.25">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row>
    <row r="741" spans="7:34" x14ac:dyDescent="0.25">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row>
    <row r="742" spans="7:34" x14ac:dyDescent="0.25">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row>
    <row r="743" spans="7:34" x14ac:dyDescent="0.25">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row>
    <row r="744" spans="7:34" x14ac:dyDescent="0.25">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row>
    <row r="745" spans="7:34" x14ac:dyDescent="0.25">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row>
    <row r="746" spans="7:34" x14ac:dyDescent="0.25">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row>
    <row r="747" spans="7:34" x14ac:dyDescent="0.25">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row>
    <row r="748" spans="7:34" x14ac:dyDescent="0.25">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row>
    <row r="749" spans="7:34" x14ac:dyDescent="0.25">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row>
    <row r="750" spans="7:34" x14ac:dyDescent="0.25">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row>
    <row r="751" spans="7:34" x14ac:dyDescent="0.25">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row>
    <row r="752" spans="7:34" x14ac:dyDescent="0.25">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row>
    <row r="753" spans="7:34" x14ac:dyDescent="0.25">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row>
    <row r="754" spans="7:34" x14ac:dyDescent="0.25">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row>
    <row r="755" spans="7:34" x14ac:dyDescent="0.25">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row>
    <row r="756" spans="7:34" x14ac:dyDescent="0.25">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row>
    <row r="757" spans="7:34" x14ac:dyDescent="0.25">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row>
    <row r="758" spans="7:34" x14ac:dyDescent="0.25">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row>
    <row r="759" spans="7:34" x14ac:dyDescent="0.25">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row>
    <row r="760" spans="7:34" x14ac:dyDescent="0.25">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row>
    <row r="761" spans="7:34" x14ac:dyDescent="0.25">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row>
    <row r="762" spans="7:34" x14ac:dyDescent="0.25">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row>
    <row r="763" spans="7:34" x14ac:dyDescent="0.25">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row>
    <row r="764" spans="7:34" x14ac:dyDescent="0.25">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row>
    <row r="765" spans="7:34" x14ac:dyDescent="0.25">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row>
    <row r="766" spans="7:34" x14ac:dyDescent="0.25">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row>
    <row r="767" spans="7:34" x14ac:dyDescent="0.25">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row>
    <row r="768" spans="7:34" x14ac:dyDescent="0.25">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row>
    <row r="769" spans="7:34" x14ac:dyDescent="0.25">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row>
    <row r="770" spans="7:34" x14ac:dyDescent="0.25">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row>
    <row r="771" spans="7:34" x14ac:dyDescent="0.25">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row>
    <row r="772" spans="7:34" x14ac:dyDescent="0.25">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row>
    <row r="773" spans="7:34" x14ac:dyDescent="0.25">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row>
    <row r="774" spans="7:34" x14ac:dyDescent="0.25">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row>
    <row r="775" spans="7:34" x14ac:dyDescent="0.25">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row>
    <row r="776" spans="7:34" x14ac:dyDescent="0.25">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row>
    <row r="777" spans="7:34" x14ac:dyDescent="0.25">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row>
    <row r="778" spans="7:34" x14ac:dyDescent="0.25">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row>
    <row r="779" spans="7:34" x14ac:dyDescent="0.25">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row>
    <row r="780" spans="7:34" x14ac:dyDescent="0.25">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row>
    <row r="781" spans="7:34" x14ac:dyDescent="0.25">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row>
    <row r="782" spans="7:34" x14ac:dyDescent="0.25">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row>
    <row r="783" spans="7:34" x14ac:dyDescent="0.25">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row>
    <row r="784" spans="7:34" x14ac:dyDescent="0.25">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row>
    <row r="785" spans="7:34" x14ac:dyDescent="0.25">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row>
    <row r="786" spans="7:34" x14ac:dyDescent="0.25">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row>
    <row r="787" spans="7:34" x14ac:dyDescent="0.25">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row>
    <row r="788" spans="7:34" x14ac:dyDescent="0.25">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row>
    <row r="789" spans="7:34" x14ac:dyDescent="0.25">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row>
    <row r="790" spans="7:34" x14ac:dyDescent="0.25">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row>
    <row r="791" spans="7:34" x14ac:dyDescent="0.25">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row>
    <row r="792" spans="7:34" x14ac:dyDescent="0.25">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row>
    <row r="793" spans="7:34" x14ac:dyDescent="0.25">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row>
    <row r="794" spans="7:34" x14ac:dyDescent="0.25">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row>
    <row r="795" spans="7:34" x14ac:dyDescent="0.25">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row>
    <row r="796" spans="7:34" x14ac:dyDescent="0.25">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row>
    <row r="797" spans="7:34" x14ac:dyDescent="0.25">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row>
    <row r="798" spans="7:34" x14ac:dyDescent="0.25">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row>
    <row r="799" spans="7:34" x14ac:dyDescent="0.25">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row>
    <row r="800" spans="7:34" x14ac:dyDescent="0.25">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row>
    <row r="801" spans="7:34" x14ac:dyDescent="0.25">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row>
    <row r="802" spans="7:34" x14ac:dyDescent="0.25">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row>
    <row r="803" spans="7:34" x14ac:dyDescent="0.25">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row>
    <row r="804" spans="7:34" x14ac:dyDescent="0.25">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row>
    <row r="805" spans="7:34" x14ac:dyDescent="0.25">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row>
    <row r="806" spans="7:34" x14ac:dyDescent="0.25">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row>
    <row r="807" spans="7:34" x14ac:dyDescent="0.25">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row>
    <row r="808" spans="7:34" x14ac:dyDescent="0.25">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row>
    <row r="809" spans="7:34" x14ac:dyDescent="0.25">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row>
    <row r="810" spans="7:34" x14ac:dyDescent="0.25">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row>
    <row r="811" spans="7:34" x14ac:dyDescent="0.25">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row>
    <row r="812" spans="7:34" x14ac:dyDescent="0.25">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row>
    <row r="813" spans="7:34" x14ac:dyDescent="0.25">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row>
    <row r="814" spans="7:34" x14ac:dyDescent="0.25">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row>
    <row r="815" spans="7:34" x14ac:dyDescent="0.25">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row>
    <row r="816" spans="7:34" x14ac:dyDescent="0.25">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row>
    <row r="817" spans="7:34" x14ac:dyDescent="0.25">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row>
    <row r="818" spans="7:34" x14ac:dyDescent="0.25">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row>
    <row r="819" spans="7:34" x14ac:dyDescent="0.25">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row>
    <row r="820" spans="7:34" x14ac:dyDescent="0.25">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row>
    <row r="821" spans="7:34" x14ac:dyDescent="0.25">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row>
    <row r="822" spans="7:34" x14ac:dyDescent="0.25">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row>
    <row r="823" spans="7:34" x14ac:dyDescent="0.25">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row>
    <row r="824" spans="7:34" x14ac:dyDescent="0.25">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row>
    <row r="825" spans="7:34" x14ac:dyDescent="0.25">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row>
    <row r="826" spans="7:34" x14ac:dyDescent="0.25">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row>
    <row r="827" spans="7:34" x14ac:dyDescent="0.25">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row>
    <row r="828" spans="7:34" x14ac:dyDescent="0.25">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row>
    <row r="829" spans="7:34" x14ac:dyDescent="0.25">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row>
    <row r="830" spans="7:34" x14ac:dyDescent="0.25">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row>
    <row r="831" spans="7:34" x14ac:dyDescent="0.25">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row>
    <row r="832" spans="7:34" x14ac:dyDescent="0.25">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row>
    <row r="833" spans="7:34" x14ac:dyDescent="0.25">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row>
    <row r="834" spans="7:34" x14ac:dyDescent="0.25">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row>
    <row r="835" spans="7:34" x14ac:dyDescent="0.25">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row>
    <row r="836" spans="7:34" x14ac:dyDescent="0.25">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row>
    <row r="837" spans="7:34" x14ac:dyDescent="0.25">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row>
    <row r="838" spans="7:34" x14ac:dyDescent="0.25">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row>
    <row r="839" spans="7:34" x14ac:dyDescent="0.25">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row>
    <row r="840" spans="7:34" x14ac:dyDescent="0.25">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row>
    <row r="841" spans="7:34" x14ac:dyDescent="0.25">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row>
    <row r="842" spans="7:34" x14ac:dyDescent="0.25">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row>
    <row r="843" spans="7:34" x14ac:dyDescent="0.25">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row>
    <row r="844" spans="7:34" x14ac:dyDescent="0.25">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row>
    <row r="845" spans="7:34" x14ac:dyDescent="0.25">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row>
    <row r="846" spans="7:34" x14ac:dyDescent="0.25">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row>
    <row r="847" spans="7:34" x14ac:dyDescent="0.25">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row>
    <row r="848" spans="7:34" x14ac:dyDescent="0.25">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row>
    <row r="849" spans="7:34" x14ac:dyDescent="0.25">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row>
    <row r="850" spans="7:34" x14ac:dyDescent="0.25">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row>
    <row r="851" spans="7:34" x14ac:dyDescent="0.25">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row>
    <row r="852" spans="7:34" x14ac:dyDescent="0.25">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row>
    <row r="853" spans="7:34" x14ac:dyDescent="0.25">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row>
    <row r="854" spans="7:34" x14ac:dyDescent="0.25">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row>
    <row r="855" spans="7:34" x14ac:dyDescent="0.25">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row>
    <row r="856" spans="7:34" x14ac:dyDescent="0.25">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row>
    <row r="857" spans="7:34" x14ac:dyDescent="0.25">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row>
    <row r="858" spans="7:34" x14ac:dyDescent="0.25">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row>
    <row r="859" spans="7:34" x14ac:dyDescent="0.25">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row>
    <row r="860" spans="7:34" x14ac:dyDescent="0.25">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row>
    <row r="861" spans="7:34" x14ac:dyDescent="0.25">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row>
    <row r="862" spans="7:34" x14ac:dyDescent="0.25">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row>
    <row r="863" spans="7:34" x14ac:dyDescent="0.25">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row>
    <row r="864" spans="7:34" x14ac:dyDescent="0.25">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row>
    <row r="865" spans="7:34" x14ac:dyDescent="0.25">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row>
    <row r="866" spans="7:34" x14ac:dyDescent="0.25">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row>
    <row r="867" spans="7:34" x14ac:dyDescent="0.25">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row>
    <row r="868" spans="7:34" x14ac:dyDescent="0.25">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row>
    <row r="869" spans="7:34" x14ac:dyDescent="0.25">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row>
    <row r="870" spans="7:34" x14ac:dyDescent="0.25">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row>
    <row r="871" spans="7:34" x14ac:dyDescent="0.25">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row>
    <row r="872" spans="7:34" x14ac:dyDescent="0.25">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row>
    <row r="873" spans="7:34" x14ac:dyDescent="0.25">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row>
    <row r="874" spans="7:34" x14ac:dyDescent="0.25">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row>
    <row r="875" spans="7:34" x14ac:dyDescent="0.25">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row>
    <row r="876" spans="7:34" x14ac:dyDescent="0.25">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row>
    <row r="877" spans="7:34" x14ac:dyDescent="0.25">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row>
    <row r="878" spans="7:34" x14ac:dyDescent="0.25">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row>
    <row r="879" spans="7:34" x14ac:dyDescent="0.25">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row>
    <row r="880" spans="7:34" x14ac:dyDescent="0.25">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row>
    <row r="881" spans="7:34" x14ac:dyDescent="0.25">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row>
    <row r="882" spans="7:34" x14ac:dyDescent="0.25">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row>
    <row r="883" spans="7:34" x14ac:dyDescent="0.25">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row>
    <row r="884" spans="7:34" x14ac:dyDescent="0.25">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row>
    <row r="885" spans="7:34" x14ac:dyDescent="0.25">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row>
    <row r="886" spans="7:34" x14ac:dyDescent="0.25">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row>
    <row r="887" spans="7:34" x14ac:dyDescent="0.25">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row>
    <row r="888" spans="7:34" x14ac:dyDescent="0.25">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row>
    <row r="889" spans="7:34" x14ac:dyDescent="0.25">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row>
    <row r="890" spans="7:34" x14ac:dyDescent="0.25">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row>
    <row r="891" spans="7:34" x14ac:dyDescent="0.25">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row>
    <row r="892" spans="7:34" x14ac:dyDescent="0.25">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row>
    <row r="893" spans="7:34" x14ac:dyDescent="0.25">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row>
    <row r="894" spans="7:34" x14ac:dyDescent="0.25">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row>
    <row r="895" spans="7:34" x14ac:dyDescent="0.25">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row>
    <row r="896" spans="7:34" x14ac:dyDescent="0.25">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row>
    <row r="897" spans="7:34" x14ac:dyDescent="0.25">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row>
    <row r="898" spans="7:34" x14ac:dyDescent="0.25">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row>
    <row r="899" spans="7:34" x14ac:dyDescent="0.25">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row>
    <row r="900" spans="7:34" x14ac:dyDescent="0.25">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row>
    <row r="901" spans="7:34" x14ac:dyDescent="0.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row>
    <row r="902" spans="7:34" x14ac:dyDescent="0.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row>
    <row r="903" spans="7:34" x14ac:dyDescent="0.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row>
    <row r="904" spans="7:34" x14ac:dyDescent="0.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row>
    <row r="905" spans="7:34" x14ac:dyDescent="0.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row>
    <row r="906" spans="7:34" x14ac:dyDescent="0.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row>
    <row r="907" spans="7:34" x14ac:dyDescent="0.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row>
    <row r="908" spans="7:34" x14ac:dyDescent="0.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row>
    <row r="909" spans="7:34" x14ac:dyDescent="0.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row>
    <row r="910" spans="7:34" x14ac:dyDescent="0.25">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row>
    <row r="911" spans="7:34" x14ac:dyDescent="0.25">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row>
    <row r="912" spans="7:34" x14ac:dyDescent="0.25">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row>
    <row r="913" spans="7:34" x14ac:dyDescent="0.25">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row>
    <row r="914" spans="7:34" x14ac:dyDescent="0.25">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row>
    <row r="915" spans="7:34" x14ac:dyDescent="0.25">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row>
    <row r="916" spans="7:34" x14ac:dyDescent="0.25">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row>
    <row r="917" spans="7:34" x14ac:dyDescent="0.25">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row>
    <row r="918" spans="7:34" x14ac:dyDescent="0.25">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row>
    <row r="919" spans="7:34" x14ac:dyDescent="0.25">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row>
    <row r="920" spans="7:34" x14ac:dyDescent="0.25">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row>
    <row r="921" spans="7:34" x14ac:dyDescent="0.25">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row>
    <row r="922" spans="7:34" x14ac:dyDescent="0.25">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row>
    <row r="923" spans="7:34" x14ac:dyDescent="0.25">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row>
    <row r="924" spans="7:34" x14ac:dyDescent="0.25">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row>
    <row r="925" spans="7:34" x14ac:dyDescent="0.25">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row>
    <row r="926" spans="7:34" x14ac:dyDescent="0.25">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row>
    <row r="927" spans="7:34" x14ac:dyDescent="0.25">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row>
    <row r="928" spans="7:34" x14ac:dyDescent="0.25">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row>
    <row r="929" spans="7:34" x14ac:dyDescent="0.25">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row>
    <row r="930" spans="7:34" x14ac:dyDescent="0.25">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row>
    <row r="931" spans="7:34" x14ac:dyDescent="0.25">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row>
    <row r="932" spans="7:34" x14ac:dyDescent="0.25">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row>
    <row r="933" spans="7:34" x14ac:dyDescent="0.25">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row>
    <row r="934" spans="7:34" x14ac:dyDescent="0.25">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row>
    <row r="935" spans="7:34" x14ac:dyDescent="0.25">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row>
    <row r="936" spans="7:34" x14ac:dyDescent="0.25">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row>
    <row r="937" spans="7:34" x14ac:dyDescent="0.25">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row>
    <row r="938" spans="7:34" x14ac:dyDescent="0.25">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row>
    <row r="939" spans="7:34" x14ac:dyDescent="0.25">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row>
    <row r="940" spans="7:34" x14ac:dyDescent="0.25">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row>
    <row r="941" spans="7:34" x14ac:dyDescent="0.25">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row>
    <row r="942" spans="7:34" x14ac:dyDescent="0.25">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row>
    <row r="943" spans="7:34" x14ac:dyDescent="0.25">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row>
    <row r="944" spans="7:34" x14ac:dyDescent="0.25">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row>
    <row r="945" spans="7:34" x14ac:dyDescent="0.25">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row>
    <row r="946" spans="7:34" x14ac:dyDescent="0.25">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row>
    <row r="947" spans="7:34" x14ac:dyDescent="0.25">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row>
    <row r="948" spans="7:34" x14ac:dyDescent="0.25">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row>
    <row r="949" spans="7:34" x14ac:dyDescent="0.25">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row>
    <row r="950" spans="7:34" x14ac:dyDescent="0.25">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row>
    <row r="951" spans="7:34" x14ac:dyDescent="0.25">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row>
    <row r="952" spans="7:34" x14ac:dyDescent="0.25">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row>
    <row r="953" spans="7:34" x14ac:dyDescent="0.25">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row>
    <row r="954" spans="7:34" x14ac:dyDescent="0.25">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row>
    <row r="955" spans="7:34" x14ac:dyDescent="0.25">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row>
    <row r="956" spans="7:34" x14ac:dyDescent="0.25">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c r="AG956" s="20"/>
      <c r="AH956" s="20"/>
    </row>
    <row r="957" spans="7:34" x14ac:dyDescent="0.25">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row>
    <row r="958" spans="7:34" x14ac:dyDescent="0.25">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row>
    <row r="959" spans="7:34" x14ac:dyDescent="0.25">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row>
    <row r="960" spans="7:34" x14ac:dyDescent="0.25">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row>
    <row r="961" spans="7:34" x14ac:dyDescent="0.25">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row>
    <row r="962" spans="7:34" x14ac:dyDescent="0.25">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row>
    <row r="963" spans="7:34" x14ac:dyDescent="0.25">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row>
    <row r="964" spans="7:34" x14ac:dyDescent="0.25">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row>
    <row r="965" spans="7:34" x14ac:dyDescent="0.25">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row>
    <row r="966" spans="7:34" x14ac:dyDescent="0.25">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row>
    <row r="967" spans="7:34" x14ac:dyDescent="0.25">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row>
    <row r="968" spans="7:34" x14ac:dyDescent="0.25">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row>
    <row r="969" spans="7:34" x14ac:dyDescent="0.25">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row>
    <row r="970" spans="7:34" x14ac:dyDescent="0.25">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row>
    <row r="971" spans="7:34" x14ac:dyDescent="0.25">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row>
    <row r="972" spans="7:34" x14ac:dyDescent="0.25">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row>
    <row r="973" spans="7:34" x14ac:dyDescent="0.25">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row>
    <row r="974" spans="7:34" x14ac:dyDescent="0.25">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row>
    <row r="975" spans="7:34" x14ac:dyDescent="0.25">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row>
    <row r="976" spans="7:34" x14ac:dyDescent="0.25">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row>
    <row r="977" spans="7:34" x14ac:dyDescent="0.25">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row>
    <row r="978" spans="7:34" x14ac:dyDescent="0.25">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row>
    <row r="979" spans="7:34" x14ac:dyDescent="0.25">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row>
    <row r="980" spans="7:34" x14ac:dyDescent="0.25">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row>
    <row r="981" spans="7:34" x14ac:dyDescent="0.25">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row>
    <row r="982" spans="7:34" x14ac:dyDescent="0.25">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row>
    <row r="983" spans="7:34" x14ac:dyDescent="0.25">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row>
    <row r="984" spans="7:34" x14ac:dyDescent="0.25">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row>
    <row r="985" spans="7:34" x14ac:dyDescent="0.25">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row>
    <row r="986" spans="7:34" x14ac:dyDescent="0.25">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row>
    <row r="987" spans="7:34" x14ac:dyDescent="0.25">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row>
    <row r="988" spans="7:34" x14ac:dyDescent="0.25">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row>
    <row r="989" spans="7:34" x14ac:dyDescent="0.25">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row>
    <row r="990" spans="7:34" x14ac:dyDescent="0.25">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row>
    <row r="991" spans="7:34" x14ac:dyDescent="0.25">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row>
    <row r="992" spans="7:34" x14ac:dyDescent="0.25">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row>
    <row r="993" spans="7:34" x14ac:dyDescent="0.25">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row>
    <row r="994" spans="7:34" x14ac:dyDescent="0.25">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row>
    <row r="995" spans="7:34" x14ac:dyDescent="0.25">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row>
    <row r="996" spans="7:34" x14ac:dyDescent="0.25">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row>
    <row r="997" spans="7:34" x14ac:dyDescent="0.25">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row>
    <row r="998" spans="7:34" x14ac:dyDescent="0.25">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row>
    <row r="999" spans="7:34" x14ac:dyDescent="0.25">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row>
    <row r="1000" spans="7:34" x14ac:dyDescent="0.25">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row>
    <row r="1001" spans="7:34" x14ac:dyDescent="0.25">
      <c r="G1001" s="20"/>
      <c r="H1001" s="20"/>
      <c r="I1001" s="20"/>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row>
    <row r="1002" spans="7:34" x14ac:dyDescent="0.25">
      <c r="G1002" s="20"/>
      <c r="H1002" s="20"/>
      <c r="I1002" s="20"/>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20"/>
      <c r="AH1002" s="20"/>
    </row>
    <row r="1003" spans="7:34" x14ac:dyDescent="0.25">
      <c r="G1003" s="20"/>
      <c r="H1003" s="20"/>
      <c r="I1003" s="20"/>
      <c r="J1003" s="20"/>
      <c r="K1003" s="20"/>
      <c r="L1003" s="20"/>
      <c r="M1003" s="20"/>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row>
    <row r="1004" spans="7:34" x14ac:dyDescent="0.25">
      <c r="G1004" s="20"/>
      <c r="H1004" s="20"/>
      <c r="I1004" s="20"/>
      <c r="J1004" s="20"/>
      <c r="K1004" s="20"/>
      <c r="L1004" s="20"/>
      <c r="M1004" s="20"/>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row>
    <row r="1005" spans="7:34" x14ac:dyDescent="0.25">
      <c r="G1005" s="20"/>
      <c r="H1005" s="20"/>
      <c r="I1005" s="20"/>
      <c r="J1005" s="20"/>
      <c r="K1005" s="20"/>
      <c r="L1005" s="20"/>
      <c r="M1005" s="20"/>
      <c r="N1005" s="20"/>
      <c r="O1005" s="20"/>
      <c r="P1005" s="20"/>
      <c r="Q1005" s="20"/>
      <c r="R1005" s="20"/>
      <c r="S1005" s="20"/>
      <c r="T1005" s="20"/>
      <c r="U1005" s="20"/>
      <c r="V1005" s="20"/>
      <c r="W1005" s="20"/>
      <c r="X1005" s="20"/>
      <c r="Y1005" s="20"/>
      <c r="Z1005" s="20"/>
      <c r="AA1005" s="20"/>
      <c r="AB1005" s="20"/>
      <c r="AC1005" s="20"/>
      <c r="AD1005" s="20"/>
      <c r="AE1005" s="20"/>
      <c r="AF1005" s="20"/>
      <c r="AG1005" s="20"/>
      <c r="AH1005" s="20"/>
    </row>
    <row r="1006" spans="7:34" x14ac:dyDescent="0.25">
      <c r="G1006" s="20"/>
      <c r="H1006" s="20"/>
      <c r="I1006" s="20"/>
      <c r="J1006" s="20"/>
      <c r="K1006" s="20"/>
      <c r="L1006" s="20"/>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row>
    <row r="1007" spans="7:34" x14ac:dyDescent="0.25">
      <c r="G1007" s="20"/>
      <c r="H1007" s="20"/>
      <c r="I1007" s="20"/>
      <c r="J1007" s="20"/>
      <c r="K1007" s="20"/>
      <c r="L1007" s="20"/>
      <c r="M1007" s="20"/>
      <c r="N1007" s="20"/>
      <c r="O1007" s="20"/>
      <c r="P1007" s="20"/>
      <c r="Q1007" s="20"/>
      <c r="R1007" s="20"/>
      <c r="S1007" s="20"/>
      <c r="T1007" s="20"/>
      <c r="U1007" s="20"/>
      <c r="V1007" s="20"/>
      <c r="W1007" s="20"/>
      <c r="X1007" s="20"/>
      <c r="Y1007" s="20"/>
      <c r="Z1007" s="20"/>
      <c r="AA1007" s="20"/>
      <c r="AB1007" s="20"/>
      <c r="AC1007" s="20"/>
      <c r="AD1007" s="20"/>
      <c r="AE1007" s="20"/>
      <c r="AF1007" s="20"/>
      <c r="AG1007" s="20"/>
      <c r="AH1007" s="20"/>
    </row>
    <row r="1008" spans="7:34" x14ac:dyDescent="0.25">
      <c r="G1008" s="20"/>
      <c r="H1008" s="20"/>
      <c r="I1008" s="20"/>
      <c r="J1008" s="20"/>
      <c r="K1008" s="20"/>
      <c r="L1008" s="20"/>
      <c r="M1008" s="20"/>
      <c r="N1008" s="20"/>
      <c r="O1008" s="20"/>
      <c r="P1008" s="20"/>
      <c r="Q1008" s="20"/>
      <c r="R1008" s="20"/>
      <c r="S1008" s="20"/>
      <c r="T1008" s="20"/>
      <c r="U1008" s="20"/>
      <c r="V1008" s="20"/>
      <c r="W1008" s="20"/>
      <c r="X1008" s="20"/>
      <c r="Y1008" s="20"/>
      <c r="Z1008" s="20"/>
      <c r="AA1008" s="20"/>
      <c r="AB1008" s="20"/>
      <c r="AC1008" s="20"/>
      <c r="AD1008" s="20"/>
      <c r="AE1008" s="20"/>
      <c r="AF1008" s="20"/>
      <c r="AG1008" s="20"/>
      <c r="AH1008" s="20"/>
    </row>
    <row r="1009" spans="7:34" x14ac:dyDescent="0.25">
      <c r="G1009" s="20"/>
      <c r="H1009" s="20"/>
      <c r="I1009" s="20"/>
      <c r="J1009" s="20"/>
      <c r="K1009" s="20"/>
      <c r="L1009" s="20"/>
      <c r="M1009" s="20"/>
      <c r="N1009" s="20"/>
      <c r="O1009" s="20"/>
      <c r="P1009" s="20"/>
      <c r="Q1009" s="20"/>
      <c r="R1009" s="20"/>
      <c r="S1009" s="20"/>
      <c r="T1009" s="20"/>
      <c r="U1009" s="20"/>
      <c r="V1009" s="20"/>
      <c r="W1009" s="20"/>
      <c r="X1009" s="20"/>
      <c r="Y1009" s="20"/>
      <c r="Z1009" s="20"/>
      <c r="AA1009" s="20"/>
      <c r="AB1009" s="20"/>
      <c r="AC1009" s="20"/>
      <c r="AD1009" s="20"/>
      <c r="AE1009" s="20"/>
      <c r="AF1009" s="20"/>
      <c r="AG1009" s="20"/>
      <c r="AH1009" s="20"/>
    </row>
    <row r="1010" spans="7:34" x14ac:dyDescent="0.25">
      <c r="G1010" s="20"/>
      <c r="H1010" s="20"/>
      <c r="I1010" s="20"/>
      <c r="J1010" s="20"/>
      <c r="K1010" s="20"/>
      <c r="L1010" s="20"/>
      <c r="M1010" s="20"/>
      <c r="N1010" s="20"/>
      <c r="O1010" s="20"/>
      <c r="P1010" s="20"/>
      <c r="Q1010" s="20"/>
      <c r="R1010" s="20"/>
      <c r="S1010" s="20"/>
      <c r="T1010" s="20"/>
      <c r="U1010" s="20"/>
      <c r="V1010" s="20"/>
      <c r="W1010" s="20"/>
      <c r="X1010" s="20"/>
      <c r="Y1010" s="20"/>
      <c r="Z1010" s="20"/>
      <c r="AA1010" s="20"/>
      <c r="AB1010" s="20"/>
      <c r="AC1010" s="20"/>
      <c r="AD1010" s="20"/>
      <c r="AE1010" s="20"/>
      <c r="AF1010" s="20"/>
      <c r="AG1010" s="20"/>
      <c r="AH1010" s="20"/>
    </row>
    <row r="1011" spans="7:34" x14ac:dyDescent="0.25">
      <c r="G1011" s="20"/>
      <c r="H1011" s="20"/>
      <c r="I1011" s="20"/>
      <c r="J1011" s="20"/>
      <c r="K1011" s="20"/>
      <c r="L1011" s="20"/>
      <c r="M1011" s="20"/>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row>
    <row r="1012" spans="7:34" x14ac:dyDescent="0.25">
      <c r="G1012" s="20"/>
      <c r="H1012" s="20"/>
      <c r="I1012" s="20"/>
      <c r="J1012" s="20"/>
      <c r="K1012" s="20"/>
      <c r="L1012" s="20"/>
      <c r="M1012" s="20"/>
      <c r="N1012" s="20"/>
      <c r="O1012" s="20"/>
      <c r="P1012" s="20"/>
      <c r="Q1012" s="20"/>
      <c r="R1012" s="20"/>
      <c r="S1012" s="20"/>
      <c r="T1012" s="20"/>
      <c r="U1012" s="20"/>
      <c r="V1012" s="20"/>
      <c r="W1012" s="20"/>
      <c r="X1012" s="20"/>
      <c r="Y1012" s="20"/>
      <c r="Z1012" s="20"/>
      <c r="AA1012" s="20"/>
      <c r="AB1012" s="20"/>
      <c r="AC1012" s="20"/>
      <c r="AD1012" s="20"/>
      <c r="AE1012" s="20"/>
      <c r="AF1012" s="20"/>
      <c r="AG1012" s="20"/>
      <c r="AH1012" s="20"/>
    </row>
    <row r="1013" spans="7:34" x14ac:dyDescent="0.25">
      <c r="G1013" s="20"/>
      <c r="H1013" s="20"/>
      <c r="I1013" s="20"/>
      <c r="J1013" s="20"/>
      <c r="K1013" s="20"/>
      <c r="L1013" s="20"/>
      <c r="M1013" s="20"/>
      <c r="N1013" s="20"/>
      <c r="O1013" s="20"/>
      <c r="P1013" s="20"/>
      <c r="Q1013" s="20"/>
      <c r="R1013" s="20"/>
      <c r="S1013" s="20"/>
      <c r="T1013" s="20"/>
      <c r="U1013" s="20"/>
      <c r="V1013" s="20"/>
      <c r="W1013" s="20"/>
      <c r="X1013" s="20"/>
      <c r="Y1013" s="20"/>
      <c r="Z1013" s="20"/>
      <c r="AA1013" s="20"/>
      <c r="AB1013" s="20"/>
      <c r="AC1013" s="20"/>
      <c r="AD1013" s="20"/>
      <c r="AE1013" s="20"/>
      <c r="AF1013" s="20"/>
      <c r="AG1013" s="20"/>
      <c r="AH1013" s="20"/>
    </row>
    <row r="1014" spans="7:34" x14ac:dyDescent="0.25">
      <c r="G1014" s="20"/>
      <c r="H1014" s="20"/>
      <c r="I1014" s="20"/>
      <c r="J1014" s="20"/>
      <c r="K1014" s="20"/>
      <c r="L1014" s="20"/>
      <c r="M1014" s="20"/>
      <c r="N1014" s="20"/>
      <c r="O1014" s="20"/>
      <c r="P1014" s="20"/>
      <c r="Q1014" s="20"/>
      <c r="R1014" s="20"/>
      <c r="S1014" s="20"/>
      <c r="T1014" s="20"/>
      <c r="U1014" s="20"/>
      <c r="V1014" s="20"/>
      <c r="W1014" s="20"/>
      <c r="X1014" s="20"/>
      <c r="Y1014" s="20"/>
      <c r="Z1014" s="20"/>
      <c r="AA1014" s="20"/>
      <c r="AB1014" s="20"/>
      <c r="AC1014" s="20"/>
      <c r="AD1014" s="20"/>
      <c r="AE1014" s="20"/>
      <c r="AF1014" s="20"/>
      <c r="AG1014" s="20"/>
      <c r="AH1014" s="20"/>
    </row>
    <row r="1015" spans="7:34" x14ac:dyDescent="0.25">
      <c r="G1015" s="20"/>
      <c r="H1015" s="20"/>
      <c r="I1015" s="20"/>
      <c r="J1015" s="20"/>
      <c r="K1015" s="20"/>
      <c r="L1015" s="20"/>
      <c r="M1015" s="20"/>
      <c r="N1015" s="20"/>
      <c r="O1015" s="20"/>
      <c r="P1015" s="20"/>
      <c r="Q1015" s="20"/>
      <c r="R1015" s="20"/>
      <c r="S1015" s="20"/>
      <c r="T1015" s="20"/>
      <c r="U1015" s="20"/>
      <c r="V1015" s="20"/>
      <c r="W1015" s="20"/>
      <c r="X1015" s="20"/>
      <c r="Y1015" s="20"/>
      <c r="Z1015" s="20"/>
      <c r="AA1015" s="20"/>
      <c r="AB1015" s="20"/>
      <c r="AC1015" s="20"/>
      <c r="AD1015" s="20"/>
      <c r="AE1015" s="20"/>
      <c r="AF1015" s="20"/>
      <c r="AG1015" s="20"/>
      <c r="AH1015" s="20"/>
    </row>
    <row r="1016" spans="7:34" x14ac:dyDescent="0.25">
      <c r="G1016" s="20"/>
      <c r="H1016" s="20"/>
      <c r="I1016" s="20"/>
      <c r="J1016" s="20"/>
      <c r="K1016" s="20"/>
      <c r="L1016" s="20"/>
      <c r="M1016" s="20"/>
      <c r="N1016" s="20"/>
      <c r="O1016" s="20"/>
      <c r="P1016" s="20"/>
      <c r="Q1016" s="20"/>
      <c r="R1016" s="20"/>
      <c r="S1016" s="20"/>
      <c r="T1016" s="20"/>
      <c r="U1016" s="20"/>
      <c r="V1016" s="20"/>
      <c r="W1016" s="20"/>
      <c r="X1016" s="20"/>
      <c r="Y1016" s="20"/>
      <c r="Z1016" s="20"/>
      <c r="AA1016" s="20"/>
      <c r="AB1016" s="20"/>
      <c r="AC1016" s="20"/>
      <c r="AD1016" s="20"/>
      <c r="AE1016" s="20"/>
      <c r="AF1016" s="20"/>
      <c r="AG1016" s="20"/>
      <c r="AH1016" s="20"/>
    </row>
    <row r="1017" spans="7:34" x14ac:dyDescent="0.25">
      <c r="G1017" s="20"/>
      <c r="H1017" s="20"/>
      <c r="I1017" s="20"/>
      <c r="J1017" s="20"/>
      <c r="K1017" s="20"/>
      <c r="L1017" s="20"/>
      <c r="M1017" s="20"/>
      <c r="N1017" s="20"/>
      <c r="O1017" s="20"/>
      <c r="P1017" s="20"/>
      <c r="Q1017" s="20"/>
      <c r="R1017" s="20"/>
      <c r="S1017" s="20"/>
      <c r="T1017" s="20"/>
      <c r="U1017" s="20"/>
      <c r="V1017" s="20"/>
      <c r="W1017" s="20"/>
      <c r="X1017" s="20"/>
      <c r="Y1017" s="20"/>
      <c r="Z1017" s="20"/>
      <c r="AA1017" s="20"/>
      <c r="AB1017" s="20"/>
      <c r="AC1017" s="20"/>
      <c r="AD1017" s="20"/>
      <c r="AE1017" s="20"/>
      <c r="AF1017" s="20"/>
      <c r="AG1017" s="20"/>
      <c r="AH1017" s="20"/>
    </row>
    <row r="1018" spans="7:34" x14ac:dyDescent="0.25">
      <c r="G1018" s="20"/>
      <c r="H1018" s="20"/>
      <c r="I1018" s="20"/>
      <c r="J1018" s="20"/>
      <c r="K1018" s="20"/>
      <c r="L1018" s="20"/>
      <c r="M1018" s="20"/>
      <c r="N1018" s="20"/>
      <c r="O1018" s="20"/>
      <c r="P1018" s="20"/>
      <c r="Q1018" s="20"/>
      <c r="R1018" s="20"/>
      <c r="S1018" s="20"/>
      <c r="T1018" s="20"/>
      <c r="U1018" s="20"/>
      <c r="V1018" s="20"/>
      <c r="W1018" s="20"/>
      <c r="X1018" s="20"/>
      <c r="Y1018" s="20"/>
      <c r="Z1018" s="20"/>
      <c r="AA1018" s="20"/>
      <c r="AB1018" s="20"/>
      <c r="AC1018" s="20"/>
      <c r="AD1018" s="20"/>
      <c r="AE1018" s="20"/>
      <c r="AF1018" s="20"/>
      <c r="AG1018" s="20"/>
      <c r="AH1018" s="20"/>
    </row>
    <row r="1019" spans="7:34" x14ac:dyDescent="0.25">
      <c r="G1019" s="20"/>
      <c r="H1019" s="20"/>
      <c r="I1019" s="20"/>
      <c r="J1019" s="20"/>
      <c r="K1019" s="20"/>
      <c r="L1019" s="20"/>
      <c r="M1019" s="20"/>
      <c r="N1019" s="20"/>
      <c r="O1019" s="20"/>
      <c r="P1019" s="20"/>
      <c r="Q1019" s="20"/>
      <c r="R1019" s="20"/>
      <c r="S1019" s="20"/>
      <c r="T1019" s="20"/>
      <c r="U1019" s="20"/>
      <c r="V1019" s="20"/>
      <c r="W1019" s="20"/>
      <c r="X1019" s="20"/>
      <c r="Y1019" s="20"/>
      <c r="Z1019" s="20"/>
      <c r="AA1019" s="20"/>
      <c r="AB1019" s="20"/>
      <c r="AC1019" s="20"/>
      <c r="AD1019" s="20"/>
      <c r="AE1019" s="20"/>
      <c r="AF1019" s="20"/>
      <c r="AG1019" s="20"/>
      <c r="AH1019" s="20"/>
    </row>
    <row r="1020" spans="7:34" x14ac:dyDescent="0.25">
      <c r="G1020" s="20"/>
      <c r="H1020" s="20"/>
      <c r="I1020" s="20"/>
      <c r="J1020" s="20"/>
      <c r="K1020" s="20"/>
      <c r="L1020" s="20"/>
      <c r="M1020" s="20"/>
      <c r="N1020" s="20"/>
      <c r="O1020" s="20"/>
      <c r="P1020" s="20"/>
      <c r="Q1020" s="20"/>
      <c r="R1020" s="20"/>
      <c r="S1020" s="20"/>
      <c r="T1020" s="20"/>
      <c r="U1020" s="20"/>
      <c r="V1020" s="20"/>
      <c r="W1020" s="20"/>
      <c r="X1020" s="20"/>
      <c r="Y1020" s="20"/>
      <c r="Z1020" s="20"/>
      <c r="AA1020" s="20"/>
      <c r="AB1020" s="20"/>
      <c r="AC1020" s="20"/>
      <c r="AD1020" s="20"/>
      <c r="AE1020" s="20"/>
      <c r="AF1020" s="20"/>
      <c r="AG1020" s="20"/>
      <c r="AH1020" s="20"/>
    </row>
    <row r="1021" spans="7:34" x14ac:dyDescent="0.25">
      <c r="G1021" s="20"/>
      <c r="H1021" s="20"/>
      <c r="I1021" s="20"/>
      <c r="J1021" s="20"/>
      <c r="K1021" s="20"/>
      <c r="L1021" s="20"/>
      <c r="M1021" s="20"/>
      <c r="N1021" s="20"/>
      <c r="O1021" s="20"/>
      <c r="P1021" s="20"/>
      <c r="Q1021" s="20"/>
      <c r="R1021" s="20"/>
      <c r="S1021" s="20"/>
      <c r="T1021" s="20"/>
      <c r="U1021" s="20"/>
      <c r="V1021" s="20"/>
      <c r="W1021" s="20"/>
      <c r="X1021" s="20"/>
      <c r="Y1021" s="20"/>
      <c r="Z1021" s="20"/>
      <c r="AA1021" s="20"/>
      <c r="AB1021" s="20"/>
      <c r="AC1021" s="20"/>
      <c r="AD1021" s="20"/>
      <c r="AE1021" s="20"/>
      <c r="AF1021" s="20"/>
      <c r="AG1021" s="20"/>
      <c r="AH1021" s="20"/>
    </row>
    <row r="1022" spans="7:34" x14ac:dyDescent="0.25">
      <c r="G1022" s="20"/>
      <c r="H1022" s="20"/>
      <c r="I1022" s="20"/>
      <c r="J1022" s="20"/>
      <c r="K1022" s="20"/>
      <c r="L1022" s="20"/>
      <c r="M1022" s="20"/>
      <c r="N1022" s="20"/>
      <c r="O1022" s="20"/>
      <c r="P1022" s="20"/>
      <c r="Q1022" s="20"/>
      <c r="R1022" s="20"/>
      <c r="S1022" s="20"/>
      <c r="T1022" s="20"/>
      <c r="U1022" s="20"/>
      <c r="V1022" s="20"/>
      <c r="W1022" s="20"/>
      <c r="X1022" s="20"/>
      <c r="Y1022" s="20"/>
      <c r="Z1022" s="20"/>
      <c r="AA1022" s="20"/>
      <c r="AB1022" s="20"/>
      <c r="AC1022" s="20"/>
      <c r="AD1022" s="20"/>
      <c r="AE1022" s="20"/>
      <c r="AF1022" s="20"/>
      <c r="AG1022" s="20"/>
      <c r="AH1022" s="20"/>
    </row>
    <row r="1023" spans="7:34" x14ac:dyDescent="0.25">
      <c r="G1023" s="20"/>
      <c r="H1023" s="20"/>
      <c r="I1023" s="20"/>
      <c r="J1023" s="20"/>
      <c r="K1023" s="20"/>
      <c r="L1023" s="20"/>
      <c r="M1023" s="20"/>
      <c r="N1023" s="20"/>
      <c r="O1023" s="20"/>
      <c r="P1023" s="20"/>
      <c r="Q1023" s="20"/>
      <c r="R1023" s="20"/>
      <c r="S1023" s="20"/>
      <c r="T1023" s="20"/>
      <c r="U1023" s="20"/>
      <c r="V1023" s="20"/>
      <c r="W1023" s="20"/>
      <c r="X1023" s="20"/>
      <c r="Y1023" s="20"/>
      <c r="Z1023" s="20"/>
      <c r="AA1023" s="20"/>
      <c r="AB1023" s="20"/>
      <c r="AC1023" s="20"/>
      <c r="AD1023" s="20"/>
      <c r="AE1023" s="20"/>
      <c r="AF1023" s="20"/>
      <c r="AG1023" s="20"/>
      <c r="AH1023" s="20"/>
    </row>
    <row r="1024" spans="7:34" x14ac:dyDescent="0.25">
      <c r="G1024" s="20"/>
      <c r="H1024" s="20"/>
      <c r="I1024" s="20"/>
      <c r="J1024" s="20"/>
      <c r="K1024" s="20"/>
      <c r="L1024" s="20"/>
      <c r="M1024" s="20"/>
      <c r="N1024" s="20"/>
      <c r="O1024" s="20"/>
      <c r="P1024" s="20"/>
      <c r="Q1024" s="20"/>
      <c r="R1024" s="20"/>
      <c r="S1024" s="20"/>
      <c r="T1024" s="20"/>
      <c r="U1024" s="20"/>
      <c r="V1024" s="20"/>
      <c r="W1024" s="20"/>
      <c r="X1024" s="20"/>
      <c r="Y1024" s="20"/>
      <c r="Z1024" s="20"/>
      <c r="AA1024" s="20"/>
      <c r="AB1024" s="20"/>
      <c r="AC1024" s="20"/>
      <c r="AD1024" s="20"/>
      <c r="AE1024" s="20"/>
      <c r="AF1024" s="20"/>
      <c r="AG1024" s="20"/>
      <c r="AH1024" s="20"/>
    </row>
    <row r="1025" spans="7:34" x14ac:dyDescent="0.25">
      <c r="G1025" s="20"/>
      <c r="H1025" s="20"/>
      <c r="I1025" s="20"/>
      <c r="J1025" s="20"/>
      <c r="K1025" s="20"/>
      <c r="L1025" s="20"/>
      <c r="M1025" s="20"/>
      <c r="N1025" s="20"/>
      <c r="O1025" s="20"/>
      <c r="P1025" s="20"/>
      <c r="Q1025" s="20"/>
      <c r="R1025" s="20"/>
      <c r="S1025" s="20"/>
      <c r="T1025" s="20"/>
      <c r="U1025" s="20"/>
      <c r="V1025" s="20"/>
      <c r="W1025" s="20"/>
      <c r="X1025" s="20"/>
      <c r="Y1025" s="20"/>
      <c r="Z1025" s="20"/>
      <c r="AA1025" s="20"/>
      <c r="AB1025" s="20"/>
      <c r="AC1025" s="20"/>
      <c r="AD1025" s="20"/>
      <c r="AE1025" s="20"/>
      <c r="AF1025" s="20"/>
      <c r="AG1025" s="20"/>
      <c r="AH1025" s="20"/>
    </row>
    <row r="1026" spans="7:34" x14ac:dyDescent="0.25">
      <c r="G1026" s="20"/>
      <c r="H1026" s="20"/>
      <c r="I1026" s="20"/>
      <c r="J1026" s="20"/>
      <c r="K1026" s="20"/>
      <c r="L1026" s="20"/>
      <c r="M1026" s="20"/>
      <c r="N1026" s="20"/>
      <c r="O1026" s="20"/>
      <c r="P1026" s="20"/>
      <c r="Q1026" s="20"/>
      <c r="R1026" s="20"/>
      <c r="S1026" s="20"/>
      <c r="T1026" s="20"/>
      <c r="U1026" s="20"/>
      <c r="V1026" s="20"/>
      <c r="W1026" s="20"/>
      <c r="X1026" s="20"/>
      <c r="Y1026" s="20"/>
      <c r="Z1026" s="20"/>
      <c r="AA1026" s="20"/>
      <c r="AB1026" s="20"/>
      <c r="AC1026" s="20"/>
      <c r="AD1026" s="20"/>
      <c r="AE1026" s="20"/>
      <c r="AF1026" s="20"/>
      <c r="AG1026" s="20"/>
      <c r="AH1026" s="20"/>
    </row>
    <row r="1027" spans="7:34" x14ac:dyDescent="0.25">
      <c r="G1027" s="20"/>
      <c r="H1027" s="20"/>
      <c r="I1027" s="20"/>
      <c r="J1027" s="20"/>
      <c r="K1027" s="20"/>
      <c r="L1027" s="20"/>
      <c r="M1027" s="20"/>
      <c r="N1027" s="20"/>
      <c r="O1027" s="20"/>
      <c r="P1027" s="20"/>
      <c r="Q1027" s="20"/>
      <c r="R1027" s="20"/>
      <c r="S1027" s="20"/>
      <c r="T1027" s="20"/>
      <c r="U1027" s="20"/>
      <c r="V1027" s="20"/>
      <c r="W1027" s="20"/>
      <c r="X1027" s="20"/>
      <c r="Y1027" s="20"/>
      <c r="Z1027" s="20"/>
      <c r="AA1027" s="20"/>
      <c r="AB1027" s="20"/>
      <c r="AC1027" s="20"/>
      <c r="AD1027" s="20"/>
      <c r="AE1027" s="20"/>
      <c r="AF1027" s="20"/>
      <c r="AG1027" s="20"/>
      <c r="AH1027" s="20"/>
    </row>
    <row r="1028" spans="7:34" x14ac:dyDescent="0.25">
      <c r="G1028" s="20"/>
      <c r="H1028" s="20"/>
      <c r="I1028" s="20"/>
      <c r="J1028" s="20"/>
      <c r="K1028" s="20"/>
      <c r="L1028" s="20"/>
      <c r="M1028" s="20"/>
      <c r="N1028" s="20"/>
      <c r="O1028" s="20"/>
      <c r="P1028" s="20"/>
      <c r="Q1028" s="20"/>
      <c r="R1028" s="20"/>
      <c r="S1028" s="20"/>
      <c r="T1028" s="20"/>
      <c r="U1028" s="20"/>
      <c r="V1028" s="20"/>
      <c r="W1028" s="20"/>
      <c r="X1028" s="20"/>
      <c r="Y1028" s="20"/>
      <c r="Z1028" s="20"/>
      <c r="AA1028" s="20"/>
      <c r="AB1028" s="20"/>
      <c r="AC1028" s="20"/>
      <c r="AD1028" s="20"/>
      <c r="AE1028" s="20"/>
      <c r="AF1028" s="20"/>
      <c r="AG1028" s="20"/>
      <c r="AH1028" s="20"/>
    </row>
    <row r="1029" spans="7:34" x14ac:dyDescent="0.25">
      <c r="G1029" s="20"/>
      <c r="H1029" s="20"/>
      <c r="I1029" s="20"/>
      <c r="J1029" s="20"/>
      <c r="K1029" s="20"/>
      <c r="L1029" s="20"/>
      <c r="M1029" s="20"/>
      <c r="N1029" s="20"/>
      <c r="O1029" s="20"/>
      <c r="P1029" s="20"/>
      <c r="Q1029" s="20"/>
      <c r="R1029" s="20"/>
      <c r="S1029" s="20"/>
      <c r="T1029" s="20"/>
      <c r="U1029" s="20"/>
      <c r="V1029" s="20"/>
      <c r="W1029" s="20"/>
      <c r="X1029" s="20"/>
      <c r="Y1029" s="20"/>
      <c r="Z1029" s="20"/>
      <c r="AA1029" s="20"/>
      <c r="AB1029" s="20"/>
      <c r="AC1029" s="20"/>
      <c r="AD1029" s="20"/>
      <c r="AE1029" s="20"/>
      <c r="AF1029" s="20"/>
      <c r="AG1029" s="20"/>
      <c r="AH1029" s="20"/>
    </row>
    <row r="1030" spans="7:34" x14ac:dyDescent="0.25">
      <c r="G1030" s="20"/>
      <c r="H1030" s="20"/>
      <c r="I1030" s="20"/>
      <c r="J1030" s="20"/>
      <c r="K1030" s="20"/>
      <c r="L1030" s="20"/>
      <c r="M1030" s="20"/>
      <c r="N1030" s="20"/>
      <c r="O1030" s="20"/>
      <c r="P1030" s="20"/>
      <c r="Q1030" s="20"/>
      <c r="R1030" s="20"/>
      <c r="S1030" s="20"/>
      <c r="T1030" s="20"/>
      <c r="U1030" s="20"/>
      <c r="V1030" s="20"/>
      <c r="W1030" s="20"/>
      <c r="X1030" s="20"/>
      <c r="Y1030" s="20"/>
      <c r="Z1030" s="20"/>
      <c r="AA1030" s="20"/>
      <c r="AB1030" s="20"/>
      <c r="AC1030" s="20"/>
      <c r="AD1030" s="20"/>
      <c r="AE1030" s="20"/>
      <c r="AF1030" s="20"/>
      <c r="AG1030" s="20"/>
      <c r="AH1030" s="20"/>
    </row>
    <row r="1031" spans="7:34" x14ac:dyDescent="0.25">
      <c r="G1031" s="20"/>
      <c r="H1031" s="20"/>
      <c r="I1031" s="20"/>
      <c r="J1031" s="20"/>
      <c r="K1031" s="20"/>
      <c r="L1031" s="20"/>
      <c r="M1031" s="20"/>
      <c r="N1031" s="20"/>
      <c r="O1031" s="20"/>
      <c r="P1031" s="20"/>
      <c r="Q1031" s="20"/>
      <c r="R1031" s="20"/>
      <c r="S1031" s="20"/>
      <c r="T1031" s="20"/>
      <c r="U1031" s="20"/>
      <c r="V1031" s="20"/>
      <c r="W1031" s="20"/>
      <c r="X1031" s="20"/>
      <c r="Y1031" s="20"/>
      <c r="Z1031" s="20"/>
      <c r="AA1031" s="20"/>
      <c r="AB1031" s="20"/>
      <c r="AC1031" s="20"/>
      <c r="AD1031" s="20"/>
      <c r="AE1031" s="20"/>
      <c r="AF1031" s="20"/>
      <c r="AG1031" s="20"/>
      <c r="AH1031" s="20"/>
    </row>
    <row r="1032" spans="7:34" x14ac:dyDescent="0.25">
      <c r="G1032" s="20"/>
      <c r="H1032" s="20"/>
      <c r="I1032" s="20"/>
      <c r="J1032" s="20"/>
      <c r="K1032" s="20"/>
      <c r="L1032" s="20"/>
      <c r="M1032" s="20"/>
      <c r="N1032" s="20"/>
      <c r="O1032" s="20"/>
      <c r="P1032" s="20"/>
      <c r="Q1032" s="20"/>
      <c r="R1032" s="20"/>
      <c r="S1032" s="20"/>
      <c r="T1032" s="20"/>
      <c r="U1032" s="20"/>
      <c r="V1032" s="20"/>
      <c r="W1032" s="20"/>
      <c r="X1032" s="20"/>
      <c r="Y1032" s="20"/>
      <c r="Z1032" s="20"/>
      <c r="AA1032" s="20"/>
      <c r="AB1032" s="20"/>
      <c r="AC1032" s="20"/>
      <c r="AD1032" s="20"/>
      <c r="AE1032" s="20"/>
      <c r="AF1032" s="20"/>
      <c r="AG1032" s="20"/>
      <c r="AH1032" s="20"/>
    </row>
    <row r="1033" spans="7:34" x14ac:dyDescent="0.25">
      <c r="G1033" s="20"/>
      <c r="H1033" s="20"/>
      <c r="I1033" s="20"/>
      <c r="J1033" s="20"/>
      <c r="K1033" s="20"/>
      <c r="L1033" s="20"/>
      <c r="M1033" s="20"/>
      <c r="N1033" s="20"/>
      <c r="O1033" s="20"/>
      <c r="P1033" s="20"/>
      <c r="Q1033" s="20"/>
      <c r="R1033" s="20"/>
      <c r="S1033" s="20"/>
      <c r="T1033" s="20"/>
      <c r="U1033" s="20"/>
      <c r="V1033" s="20"/>
      <c r="W1033" s="20"/>
      <c r="X1033" s="20"/>
      <c r="Y1033" s="20"/>
      <c r="Z1033" s="20"/>
      <c r="AA1033" s="20"/>
      <c r="AB1033" s="20"/>
      <c r="AC1033" s="20"/>
      <c r="AD1033" s="20"/>
      <c r="AE1033" s="20"/>
      <c r="AF1033" s="20"/>
      <c r="AG1033" s="20"/>
      <c r="AH1033" s="20"/>
    </row>
    <row r="1034" spans="7:34" x14ac:dyDescent="0.25">
      <c r="G1034" s="20"/>
      <c r="H1034" s="20"/>
      <c r="I1034" s="20"/>
      <c r="J1034" s="20"/>
      <c r="K1034" s="20"/>
      <c r="L1034" s="20"/>
      <c r="M1034" s="20"/>
      <c r="N1034" s="20"/>
      <c r="O1034" s="20"/>
      <c r="P1034" s="20"/>
      <c r="Q1034" s="20"/>
      <c r="R1034" s="20"/>
      <c r="S1034" s="20"/>
      <c r="T1034" s="20"/>
      <c r="U1034" s="20"/>
      <c r="V1034" s="20"/>
      <c r="W1034" s="20"/>
      <c r="X1034" s="20"/>
      <c r="Y1034" s="20"/>
      <c r="Z1034" s="20"/>
      <c r="AA1034" s="20"/>
      <c r="AB1034" s="20"/>
      <c r="AC1034" s="20"/>
      <c r="AD1034" s="20"/>
      <c r="AE1034" s="20"/>
      <c r="AF1034" s="20"/>
      <c r="AG1034" s="20"/>
      <c r="AH1034" s="20"/>
    </row>
    <row r="1035" spans="7:34" x14ac:dyDescent="0.25">
      <c r="G1035" s="20"/>
      <c r="H1035" s="20"/>
      <c r="I1035" s="20"/>
      <c r="J1035" s="20"/>
      <c r="K1035" s="20"/>
      <c r="L1035" s="20"/>
      <c r="M1035" s="20"/>
      <c r="N1035" s="20"/>
      <c r="O1035" s="20"/>
      <c r="P1035" s="20"/>
      <c r="Q1035" s="20"/>
      <c r="R1035" s="20"/>
      <c r="S1035" s="20"/>
      <c r="T1035" s="20"/>
      <c r="U1035" s="20"/>
      <c r="V1035" s="20"/>
      <c r="W1035" s="20"/>
      <c r="X1035" s="20"/>
      <c r="Y1035" s="20"/>
      <c r="Z1035" s="20"/>
      <c r="AA1035" s="20"/>
      <c r="AB1035" s="20"/>
      <c r="AC1035" s="20"/>
      <c r="AD1035" s="20"/>
      <c r="AE1035" s="20"/>
      <c r="AF1035" s="20"/>
      <c r="AG1035" s="20"/>
      <c r="AH1035" s="20"/>
    </row>
    <row r="1036" spans="7:34" x14ac:dyDescent="0.25">
      <c r="G1036" s="20"/>
      <c r="H1036" s="20"/>
      <c r="I1036" s="20"/>
      <c r="J1036" s="20"/>
      <c r="K1036" s="20"/>
      <c r="L1036" s="20"/>
      <c r="M1036" s="20"/>
      <c r="N1036" s="20"/>
      <c r="O1036" s="20"/>
      <c r="P1036" s="20"/>
      <c r="Q1036" s="20"/>
      <c r="R1036" s="20"/>
      <c r="S1036" s="20"/>
      <c r="T1036" s="20"/>
      <c r="U1036" s="20"/>
      <c r="V1036" s="20"/>
      <c r="W1036" s="20"/>
      <c r="X1036" s="20"/>
      <c r="Y1036" s="20"/>
      <c r="Z1036" s="20"/>
      <c r="AA1036" s="20"/>
      <c r="AB1036" s="20"/>
      <c r="AC1036" s="20"/>
      <c r="AD1036" s="20"/>
      <c r="AE1036" s="20"/>
      <c r="AF1036" s="20"/>
      <c r="AG1036" s="20"/>
      <c r="AH1036" s="20"/>
    </row>
    <row r="1037" spans="7:34" x14ac:dyDescent="0.25">
      <c r="G1037" s="20"/>
      <c r="H1037" s="20"/>
      <c r="I1037" s="20"/>
      <c r="J1037" s="20"/>
      <c r="K1037" s="20"/>
      <c r="L1037" s="20"/>
      <c r="M1037" s="20"/>
      <c r="N1037" s="20"/>
      <c r="O1037" s="20"/>
      <c r="P1037" s="20"/>
      <c r="Q1037" s="20"/>
      <c r="R1037" s="20"/>
      <c r="S1037" s="20"/>
      <c r="T1037" s="20"/>
      <c r="U1037" s="20"/>
      <c r="V1037" s="20"/>
      <c r="W1037" s="20"/>
      <c r="X1037" s="20"/>
      <c r="Y1037" s="20"/>
      <c r="Z1037" s="20"/>
      <c r="AA1037" s="20"/>
      <c r="AB1037" s="20"/>
      <c r="AC1037" s="20"/>
      <c r="AD1037" s="20"/>
      <c r="AE1037" s="20"/>
      <c r="AF1037" s="20"/>
      <c r="AG1037" s="20"/>
      <c r="AH1037" s="20"/>
    </row>
    <row r="1038" spans="7:34" x14ac:dyDescent="0.25">
      <c r="G1038" s="20"/>
      <c r="H1038" s="20"/>
      <c r="I1038" s="20"/>
      <c r="J1038" s="20"/>
      <c r="K1038" s="20"/>
      <c r="L1038" s="20"/>
      <c r="M1038" s="20"/>
      <c r="N1038" s="20"/>
      <c r="O1038" s="20"/>
      <c r="P1038" s="20"/>
      <c r="Q1038" s="20"/>
      <c r="R1038" s="20"/>
      <c r="S1038" s="20"/>
      <c r="T1038" s="20"/>
      <c r="U1038" s="20"/>
      <c r="V1038" s="20"/>
      <c r="W1038" s="20"/>
      <c r="X1038" s="20"/>
      <c r="Y1038" s="20"/>
      <c r="Z1038" s="20"/>
      <c r="AA1038" s="20"/>
      <c r="AB1038" s="20"/>
      <c r="AC1038" s="20"/>
      <c r="AD1038" s="20"/>
      <c r="AE1038" s="20"/>
      <c r="AF1038" s="20"/>
      <c r="AG1038" s="20"/>
      <c r="AH1038" s="20"/>
    </row>
    <row r="1039" spans="7:34" x14ac:dyDescent="0.25">
      <c r="G1039" s="20"/>
      <c r="H1039" s="20"/>
      <c r="I1039" s="20"/>
      <c r="J1039" s="20"/>
      <c r="K1039" s="20"/>
      <c r="L1039" s="20"/>
      <c r="M1039" s="20"/>
      <c r="N1039" s="20"/>
      <c r="O1039" s="20"/>
      <c r="P1039" s="20"/>
      <c r="Q1039" s="20"/>
      <c r="R1039" s="20"/>
      <c r="S1039" s="20"/>
      <c r="T1039" s="20"/>
      <c r="U1039" s="20"/>
      <c r="V1039" s="20"/>
      <c r="W1039" s="20"/>
      <c r="X1039" s="20"/>
      <c r="Y1039" s="20"/>
      <c r="Z1039" s="20"/>
      <c r="AA1039" s="20"/>
      <c r="AB1039" s="20"/>
      <c r="AC1039" s="20"/>
      <c r="AD1039" s="20"/>
      <c r="AE1039" s="20"/>
      <c r="AF1039" s="20"/>
      <c r="AG1039" s="20"/>
      <c r="AH1039" s="20"/>
    </row>
    <row r="1040" spans="7:34" x14ac:dyDescent="0.25">
      <c r="G1040" s="20"/>
      <c r="H1040" s="20"/>
      <c r="I1040" s="20"/>
      <c r="J1040" s="20"/>
      <c r="K1040" s="20"/>
      <c r="L1040" s="20"/>
      <c r="M1040" s="20"/>
      <c r="N1040" s="20"/>
      <c r="O1040" s="20"/>
      <c r="P1040" s="20"/>
      <c r="Q1040" s="20"/>
      <c r="R1040" s="20"/>
      <c r="S1040" s="20"/>
      <c r="T1040" s="20"/>
      <c r="U1040" s="20"/>
      <c r="V1040" s="20"/>
      <c r="W1040" s="20"/>
      <c r="X1040" s="20"/>
      <c r="Y1040" s="20"/>
      <c r="Z1040" s="20"/>
      <c r="AA1040" s="20"/>
      <c r="AB1040" s="20"/>
      <c r="AC1040" s="20"/>
      <c r="AD1040" s="20"/>
      <c r="AE1040" s="20"/>
      <c r="AF1040" s="20"/>
      <c r="AG1040" s="20"/>
      <c r="AH1040" s="20"/>
    </row>
    <row r="1041" spans="7:34" x14ac:dyDescent="0.25">
      <c r="G1041" s="20"/>
      <c r="H1041" s="20"/>
      <c r="I1041" s="20"/>
      <c r="J1041" s="20"/>
      <c r="K1041" s="20"/>
      <c r="L1041" s="20"/>
      <c r="M1041" s="20"/>
      <c r="N1041" s="20"/>
      <c r="O1041" s="20"/>
      <c r="P1041" s="20"/>
      <c r="Q1041" s="20"/>
      <c r="R1041" s="20"/>
      <c r="S1041" s="20"/>
      <c r="T1041" s="20"/>
      <c r="U1041" s="20"/>
      <c r="V1041" s="20"/>
      <c r="W1041" s="20"/>
      <c r="X1041" s="20"/>
      <c r="Y1041" s="20"/>
      <c r="Z1041" s="20"/>
      <c r="AA1041" s="20"/>
      <c r="AB1041" s="20"/>
      <c r="AC1041" s="20"/>
      <c r="AD1041" s="20"/>
      <c r="AE1041" s="20"/>
      <c r="AF1041" s="20"/>
      <c r="AG1041" s="20"/>
      <c r="AH1041" s="20"/>
    </row>
    <row r="1042" spans="7:34" x14ac:dyDescent="0.25">
      <c r="G1042" s="20"/>
      <c r="H1042" s="20"/>
      <c r="I1042" s="20"/>
      <c r="J1042" s="20"/>
      <c r="K1042" s="20"/>
      <c r="L1042" s="20"/>
      <c r="M1042" s="20"/>
      <c r="N1042" s="20"/>
      <c r="O1042" s="20"/>
      <c r="P1042" s="20"/>
      <c r="Q1042" s="20"/>
      <c r="R1042" s="20"/>
      <c r="S1042" s="20"/>
      <c r="T1042" s="20"/>
      <c r="U1042" s="20"/>
      <c r="V1042" s="20"/>
      <c r="W1042" s="20"/>
      <c r="X1042" s="20"/>
      <c r="Y1042" s="20"/>
      <c r="Z1042" s="20"/>
      <c r="AA1042" s="20"/>
      <c r="AB1042" s="20"/>
      <c r="AC1042" s="20"/>
      <c r="AD1042" s="20"/>
      <c r="AE1042" s="20"/>
      <c r="AF1042" s="20"/>
      <c r="AG1042" s="20"/>
      <c r="AH1042" s="20"/>
    </row>
    <row r="1043" spans="7:34" x14ac:dyDescent="0.25">
      <c r="G1043" s="20"/>
      <c r="H1043" s="20"/>
      <c r="I1043" s="20"/>
      <c r="J1043" s="20"/>
      <c r="K1043" s="20"/>
      <c r="L1043" s="20"/>
      <c r="M1043" s="20"/>
      <c r="N1043" s="20"/>
      <c r="O1043" s="20"/>
      <c r="P1043" s="20"/>
      <c r="Q1043" s="20"/>
      <c r="R1043" s="20"/>
      <c r="S1043" s="20"/>
      <c r="T1043" s="20"/>
      <c r="U1043" s="20"/>
      <c r="V1043" s="20"/>
      <c r="W1043" s="20"/>
      <c r="X1043" s="20"/>
      <c r="Y1043" s="20"/>
      <c r="Z1043" s="20"/>
      <c r="AA1043" s="20"/>
      <c r="AB1043" s="20"/>
      <c r="AC1043" s="20"/>
      <c r="AD1043" s="20"/>
      <c r="AE1043" s="20"/>
      <c r="AF1043" s="20"/>
      <c r="AG1043" s="20"/>
      <c r="AH1043" s="20"/>
    </row>
    <row r="1044" spans="7:34" x14ac:dyDescent="0.25">
      <c r="G1044" s="20"/>
      <c r="H1044" s="20"/>
      <c r="I1044" s="20"/>
      <c r="J1044" s="20"/>
      <c r="K1044" s="20"/>
      <c r="L1044" s="20"/>
      <c r="M1044" s="20"/>
      <c r="N1044" s="20"/>
      <c r="O1044" s="20"/>
      <c r="P1044" s="20"/>
      <c r="Q1044" s="20"/>
      <c r="R1044" s="20"/>
      <c r="S1044" s="20"/>
      <c r="T1044" s="20"/>
      <c r="U1044" s="20"/>
      <c r="V1044" s="20"/>
      <c r="W1044" s="20"/>
      <c r="X1044" s="20"/>
      <c r="Y1044" s="20"/>
      <c r="Z1044" s="20"/>
      <c r="AA1044" s="20"/>
      <c r="AB1044" s="20"/>
      <c r="AC1044" s="20"/>
      <c r="AD1044" s="20"/>
      <c r="AE1044" s="20"/>
      <c r="AF1044" s="20"/>
      <c r="AG1044" s="20"/>
      <c r="AH1044" s="20"/>
    </row>
    <row r="1045" spans="7:34" x14ac:dyDescent="0.25">
      <c r="G1045" s="20"/>
      <c r="H1045" s="20"/>
      <c r="I1045" s="20"/>
      <c r="J1045" s="20"/>
      <c r="K1045" s="20"/>
      <c r="L1045" s="20"/>
      <c r="M1045" s="20"/>
      <c r="N1045" s="20"/>
      <c r="O1045" s="20"/>
      <c r="P1045" s="20"/>
      <c r="Q1045" s="20"/>
      <c r="R1045" s="20"/>
      <c r="S1045" s="20"/>
      <c r="T1045" s="20"/>
      <c r="U1045" s="20"/>
      <c r="V1045" s="20"/>
      <c r="W1045" s="20"/>
      <c r="X1045" s="20"/>
      <c r="Y1045" s="20"/>
      <c r="Z1045" s="20"/>
      <c r="AA1045" s="20"/>
      <c r="AB1045" s="20"/>
      <c r="AC1045" s="20"/>
      <c r="AD1045" s="20"/>
      <c r="AE1045" s="20"/>
      <c r="AF1045" s="20"/>
      <c r="AG1045" s="20"/>
      <c r="AH1045" s="20"/>
    </row>
    <row r="1046" spans="7:34" x14ac:dyDescent="0.25">
      <c r="G1046" s="20"/>
      <c r="H1046" s="20"/>
      <c r="I1046" s="20"/>
      <c r="J1046" s="20"/>
      <c r="K1046" s="20"/>
      <c r="L1046" s="20"/>
      <c r="M1046" s="20"/>
      <c r="N1046" s="20"/>
      <c r="O1046" s="20"/>
      <c r="P1046" s="20"/>
      <c r="Q1046" s="20"/>
      <c r="R1046" s="20"/>
      <c r="S1046" s="20"/>
      <c r="T1046" s="20"/>
      <c r="U1046" s="20"/>
      <c r="V1046" s="20"/>
      <c r="W1046" s="20"/>
      <c r="X1046" s="20"/>
      <c r="Y1046" s="20"/>
      <c r="Z1046" s="20"/>
      <c r="AA1046" s="20"/>
      <c r="AB1046" s="20"/>
      <c r="AC1046" s="20"/>
      <c r="AD1046" s="20"/>
      <c r="AE1046" s="20"/>
      <c r="AF1046" s="20"/>
      <c r="AG1046" s="20"/>
      <c r="AH1046" s="20"/>
    </row>
    <row r="1047" spans="7:34" x14ac:dyDescent="0.25">
      <c r="G1047" s="20"/>
      <c r="H1047" s="20"/>
      <c r="I1047" s="20"/>
      <c r="J1047" s="20"/>
      <c r="K1047" s="20"/>
      <c r="L1047" s="20"/>
      <c r="M1047" s="20"/>
      <c r="N1047" s="20"/>
      <c r="O1047" s="20"/>
      <c r="P1047" s="20"/>
      <c r="Q1047" s="20"/>
      <c r="R1047" s="20"/>
      <c r="S1047" s="20"/>
      <c r="T1047" s="20"/>
      <c r="U1047" s="20"/>
      <c r="V1047" s="20"/>
      <c r="W1047" s="20"/>
      <c r="X1047" s="20"/>
      <c r="Y1047" s="20"/>
      <c r="Z1047" s="20"/>
      <c r="AA1047" s="20"/>
      <c r="AB1047" s="20"/>
      <c r="AC1047" s="20"/>
      <c r="AD1047" s="20"/>
      <c r="AE1047" s="20"/>
      <c r="AF1047" s="20"/>
      <c r="AG1047" s="20"/>
      <c r="AH1047" s="20"/>
    </row>
    <row r="1048" spans="7:34" x14ac:dyDescent="0.25">
      <c r="G1048" s="20"/>
      <c r="H1048" s="20"/>
      <c r="I1048" s="20"/>
      <c r="J1048" s="20"/>
      <c r="K1048" s="20"/>
      <c r="L1048" s="20"/>
      <c r="M1048" s="20"/>
      <c r="N1048" s="20"/>
      <c r="O1048" s="20"/>
      <c r="P1048" s="20"/>
      <c r="Q1048" s="20"/>
      <c r="R1048" s="20"/>
      <c r="S1048" s="20"/>
      <c r="T1048" s="20"/>
      <c r="U1048" s="20"/>
      <c r="V1048" s="20"/>
      <c r="W1048" s="20"/>
      <c r="X1048" s="20"/>
      <c r="Y1048" s="20"/>
      <c r="Z1048" s="20"/>
      <c r="AA1048" s="20"/>
      <c r="AB1048" s="20"/>
      <c r="AC1048" s="20"/>
      <c r="AD1048" s="20"/>
      <c r="AE1048" s="20"/>
      <c r="AF1048" s="20"/>
      <c r="AG1048" s="20"/>
      <c r="AH1048" s="20"/>
    </row>
    <row r="1049" spans="7:34" x14ac:dyDescent="0.25">
      <c r="G1049" s="20"/>
      <c r="H1049" s="20"/>
      <c r="I1049" s="20"/>
      <c r="J1049" s="20"/>
      <c r="K1049" s="20"/>
      <c r="L1049" s="20"/>
      <c r="M1049" s="20"/>
      <c r="N1049" s="20"/>
      <c r="O1049" s="20"/>
      <c r="P1049" s="20"/>
      <c r="Q1049" s="20"/>
      <c r="R1049" s="20"/>
      <c r="S1049" s="20"/>
      <c r="T1049" s="20"/>
      <c r="U1049" s="20"/>
      <c r="V1049" s="20"/>
      <c r="W1049" s="20"/>
      <c r="X1049" s="20"/>
      <c r="Y1049" s="20"/>
      <c r="Z1049" s="20"/>
      <c r="AA1049" s="20"/>
      <c r="AB1049" s="20"/>
      <c r="AC1049" s="20"/>
      <c r="AD1049" s="20"/>
      <c r="AE1049" s="20"/>
      <c r="AF1049" s="20"/>
      <c r="AG1049" s="20"/>
      <c r="AH1049" s="20"/>
    </row>
    <row r="1050" spans="7:34" x14ac:dyDescent="0.25">
      <c r="G1050" s="20"/>
      <c r="H1050" s="20"/>
      <c r="I1050" s="20"/>
      <c r="J1050" s="20"/>
      <c r="K1050" s="20"/>
      <c r="L1050" s="20"/>
      <c r="M1050" s="20"/>
      <c r="N1050" s="20"/>
      <c r="O1050" s="20"/>
      <c r="P1050" s="20"/>
      <c r="Q1050" s="20"/>
      <c r="R1050" s="20"/>
      <c r="S1050" s="20"/>
      <c r="T1050" s="20"/>
      <c r="U1050" s="20"/>
      <c r="V1050" s="20"/>
      <c r="W1050" s="20"/>
      <c r="X1050" s="20"/>
      <c r="Y1050" s="20"/>
      <c r="Z1050" s="20"/>
      <c r="AA1050" s="20"/>
      <c r="AB1050" s="20"/>
      <c r="AC1050" s="20"/>
      <c r="AD1050" s="20"/>
      <c r="AE1050" s="20"/>
      <c r="AF1050" s="20"/>
      <c r="AG1050" s="20"/>
      <c r="AH1050" s="20"/>
    </row>
    <row r="1051" spans="7:34" x14ac:dyDescent="0.25">
      <c r="G1051" s="20"/>
      <c r="H1051" s="20"/>
      <c r="I1051" s="20"/>
      <c r="J1051" s="20"/>
      <c r="K1051" s="20"/>
      <c r="L1051" s="20"/>
      <c r="M1051" s="20"/>
      <c r="N1051" s="20"/>
      <c r="O1051" s="20"/>
      <c r="P1051" s="20"/>
      <c r="Q1051" s="20"/>
      <c r="R1051" s="20"/>
      <c r="S1051" s="20"/>
      <c r="T1051" s="20"/>
      <c r="U1051" s="20"/>
      <c r="V1051" s="20"/>
      <c r="W1051" s="20"/>
      <c r="X1051" s="20"/>
      <c r="Y1051" s="20"/>
      <c r="Z1051" s="20"/>
      <c r="AA1051" s="20"/>
      <c r="AB1051" s="20"/>
      <c r="AC1051" s="20"/>
      <c r="AD1051" s="20"/>
      <c r="AE1051" s="20"/>
      <c r="AF1051" s="20"/>
      <c r="AG1051" s="20"/>
      <c r="AH1051" s="20"/>
    </row>
    <row r="1052" spans="7:34" x14ac:dyDescent="0.25">
      <c r="G1052" s="20"/>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row>
    <row r="1053" spans="7:34" x14ac:dyDescent="0.25">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row>
    <row r="1054" spans="7:34" x14ac:dyDescent="0.25">
      <c r="G1054" s="20"/>
      <c r="H1054" s="20"/>
      <c r="I1054" s="20"/>
      <c r="J1054" s="20"/>
      <c r="K1054" s="20"/>
      <c r="L1054" s="20"/>
      <c r="M1054" s="20"/>
      <c r="N1054" s="20"/>
      <c r="O1054" s="20"/>
      <c r="P1054" s="20"/>
      <c r="Q1054" s="20"/>
      <c r="R1054" s="20"/>
      <c r="S1054" s="20"/>
      <c r="T1054" s="20"/>
      <c r="U1054" s="20"/>
      <c r="V1054" s="20"/>
      <c r="W1054" s="20"/>
      <c r="X1054" s="20"/>
      <c r="Y1054" s="20"/>
      <c r="Z1054" s="20"/>
      <c r="AA1054" s="20"/>
      <c r="AB1054" s="20"/>
      <c r="AC1054" s="20"/>
      <c r="AD1054" s="20"/>
      <c r="AE1054" s="20"/>
      <c r="AF1054" s="20"/>
      <c r="AG1054" s="20"/>
      <c r="AH1054" s="20"/>
    </row>
    <row r="1055" spans="7:34" x14ac:dyDescent="0.25">
      <c r="G1055" s="20"/>
      <c r="H1055" s="20"/>
      <c r="I1055" s="20"/>
      <c r="J1055" s="20"/>
      <c r="K1055" s="20"/>
      <c r="L1055" s="20"/>
      <c r="M1055" s="20"/>
      <c r="N1055" s="20"/>
      <c r="O1055" s="20"/>
      <c r="P1055" s="20"/>
      <c r="Q1055" s="20"/>
      <c r="R1055" s="20"/>
      <c r="S1055" s="20"/>
      <c r="T1055" s="20"/>
      <c r="U1055" s="20"/>
      <c r="V1055" s="20"/>
      <c r="W1055" s="20"/>
      <c r="X1055" s="20"/>
      <c r="Y1055" s="20"/>
      <c r="Z1055" s="20"/>
      <c r="AA1055" s="20"/>
      <c r="AB1055" s="20"/>
      <c r="AC1055" s="20"/>
      <c r="AD1055" s="20"/>
      <c r="AE1055" s="20"/>
      <c r="AF1055" s="20"/>
      <c r="AG1055" s="20"/>
      <c r="AH1055" s="20"/>
    </row>
    <row r="1056" spans="7:34" x14ac:dyDescent="0.25">
      <c r="G1056" s="20"/>
      <c r="H1056" s="20"/>
      <c r="I1056" s="20"/>
      <c r="J1056" s="20"/>
      <c r="K1056" s="20"/>
      <c r="L1056" s="20"/>
      <c r="M1056" s="20"/>
      <c r="N1056" s="20"/>
      <c r="O1056" s="20"/>
      <c r="P1056" s="20"/>
      <c r="Q1056" s="20"/>
      <c r="R1056" s="20"/>
      <c r="S1056" s="20"/>
      <c r="T1056" s="20"/>
      <c r="U1056" s="20"/>
      <c r="V1056" s="20"/>
      <c r="W1056" s="20"/>
      <c r="X1056" s="20"/>
      <c r="Y1056" s="20"/>
      <c r="Z1056" s="20"/>
      <c r="AA1056" s="20"/>
      <c r="AB1056" s="20"/>
      <c r="AC1056" s="20"/>
      <c r="AD1056" s="20"/>
      <c r="AE1056" s="20"/>
      <c r="AF1056" s="20"/>
      <c r="AG1056" s="20"/>
      <c r="AH1056" s="20"/>
    </row>
    <row r="1057" spans="7:34" x14ac:dyDescent="0.25">
      <c r="G1057" s="20"/>
      <c r="H1057" s="20"/>
      <c r="I1057" s="20"/>
      <c r="J1057" s="20"/>
      <c r="K1057" s="20"/>
      <c r="L1057" s="20"/>
      <c r="M1057" s="20"/>
      <c r="N1057" s="20"/>
      <c r="O1057" s="20"/>
      <c r="P1057" s="20"/>
      <c r="Q1057" s="20"/>
      <c r="R1057" s="20"/>
      <c r="S1057" s="20"/>
      <c r="T1057" s="20"/>
      <c r="U1057" s="20"/>
      <c r="V1057" s="20"/>
      <c r="W1057" s="20"/>
      <c r="X1057" s="20"/>
      <c r="Y1057" s="20"/>
      <c r="Z1057" s="20"/>
      <c r="AA1057" s="20"/>
      <c r="AB1057" s="20"/>
      <c r="AC1057" s="20"/>
      <c r="AD1057" s="20"/>
      <c r="AE1057" s="20"/>
      <c r="AF1057" s="20"/>
      <c r="AG1057" s="20"/>
      <c r="AH1057" s="20"/>
    </row>
    <row r="1058" spans="7:34" x14ac:dyDescent="0.25">
      <c r="G1058" s="20"/>
      <c r="H1058" s="20"/>
      <c r="I1058" s="20"/>
      <c r="J1058" s="20"/>
      <c r="K1058" s="20"/>
      <c r="L1058" s="20"/>
      <c r="M1058" s="20"/>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row>
    <row r="1059" spans="7:34" x14ac:dyDescent="0.25">
      <c r="G1059" s="20"/>
      <c r="H1059" s="20"/>
      <c r="I1059" s="20"/>
      <c r="J1059" s="20"/>
      <c r="K1059" s="20"/>
      <c r="L1059" s="20"/>
      <c r="M1059" s="20"/>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row>
    <row r="1060" spans="7:34" x14ac:dyDescent="0.25">
      <c r="G1060" s="20"/>
      <c r="H1060" s="20"/>
      <c r="I1060" s="20"/>
      <c r="J1060" s="20"/>
      <c r="K1060" s="20"/>
      <c r="L1060" s="20"/>
      <c r="M1060" s="20"/>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row>
    <row r="1061" spans="7:34" x14ac:dyDescent="0.25">
      <c r="G1061" s="20"/>
      <c r="H1061" s="20"/>
      <c r="I1061" s="20"/>
      <c r="J1061" s="20"/>
      <c r="K1061" s="20"/>
      <c r="L1061" s="20"/>
      <c r="M1061" s="20"/>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row>
    <row r="1062" spans="7:34" x14ac:dyDescent="0.25">
      <c r="G1062" s="20"/>
      <c r="H1062" s="20"/>
      <c r="I1062" s="20"/>
      <c r="J1062" s="20"/>
      <c r="K1062" s="20"/>
      <c r="L1062" s="20"/>
      <c r="M1062" s="20"/>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row>
    <row r="1063" spans="7:34" x14ac:dyDescent="0.25">
      <c r="G1063" s="20"/>
      <c r="H1063" s="20"/>
      <c r="I1063" s="20"/>
      <c r="J1063" s="20"/>
      <c r="K1063" s="20"/>
      <c r="L1063" s="20"/>
      <c r="M1063" s="20"/>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row>
    <row r="1064" spans="7:34" x14ac:dyDescent="0.25">
      <c r="G1064" s="20"/>
      <c r="H1064" s="20"/>
      <c r="I1064" s="20"/>
      <c r="J1064" s="20"/>
      <c r="K1064" s="20"/>
      <c r="L1064" s="20"/>
      <c r="M1064" s="20"/>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row>
    <row r="1065" spans="7:34" x14ac:dyDescent="0.25">
      <c r="G1065" s="20"/>
      <c r="H1065" s="20"/>
      <c r="I1065" s="20"/>
      <c r="J1065" s="20"/>
      <c r="K1065" s="20"/>
      <c r="L1065" s="20"/>
      <c r="M1065" s="20"/>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row>
    <row r="1066" spans="7:34" x14ac:dyDescent="0.25">
      <c r="G1066" s="20"/>
      <c r="H1066" s="20"/>
      <c r="I1066" s="20"/>
      <c r="J1066" s="20"/>
      <c r="K1066" s="20"/>
      <c r="L1066" s="20"/>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row>
    <row r="1067" spans="7:34" x14ac:dyDescent="0.25">
      <c r="G1067" s="20"/>
      <c r="H1067" s="20"/>
      <c r="I1067" s="20"/>
      <c r="J1067" s="20"/>
      <c r="K1067" s="20"/>
      <c r="L1067" s="20"/>
      <c r="M1067" s="20"/>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row>
    <row r="1068" spans="7:34" x14ac:dyDescent="0.25">
      <c r="G1068" s="20"/>
      <c r="H1068" s="20"/>
      <c r="I1068" s="20"/>
      <c r="J1068" s="20"/>
      <c r="K1068" s="20"/>
      <c r="L1068" s="20"/>
      <c r="M1068" s="20"/>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row>
    <row r="1069" spans="7:34" x14ac:dyDescent="0.25">
      <c r="G1069" s="20"/>
      <c r="H1069" s="20"/>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row>
    <row r="1070" spans="7:34" x14ac:dyDescent="0.25">
      <c r="G1070" s="20"/>
      <c r="H1070" s="20"/>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row>
    <row r="1071" spans="7:34" x14ac:dyDescent="0.25">
      <c r="G1071" s="20"/>
      <c r="H1071" s="20"/>
      <c r="I1071" s="20"/>
      <c r="J1071" s="20"/>
      <c r="K1071" s="20"/>
      <c r="L1071" s="20"/>
      <c r="M1071" s="20"/>
      <c r="N1071" s="20"/>
      <c r="O1071" s="20"/>
      <c r="P1071" s="20"/>
      <c r="Q1071" s="20"/>
      <c r="R1071" s="20"/>
      <c r="S1071" s="20"/>
      <c r="T1071" s="20"/>
      <c r="U1071" s="20"/>
      <c r="V1071" s="20"/>
      <c r="W1071" s="20"/>
      <c r="X1071" s="20"/>
      <c r="Y1071" s="20"/>
      <c r="Z1071" s="20"/>
      <c r="AA1071" s="20"/>
      <c r="AB1071" s="20"/>
      <c r="AC1071" s="20"/>
      <c r="AD1071" s="20"/>
      <c r="AE1071" s="20"/>
      <c r="AF1071" s="20"/>
      <c r="AG1071" s="20"/>
      <c r="AH1071" s="20"/>
    </row>
    <row r="1072" spans="7:34" x14ac:dyDescent="0.25">
      <c r="G1072" s="20"/>
      <c r="H1072" s="20"/>
      <c r="I1072" s="20"/>
      <c r="J1072" s="20"/>
      <c r="K1072" s="20"/>
      <c r="L1072" s="20"/>
      <c r="M1072" s="20"/>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row>
    <row r="1073" spans="7:34" x14ac:dyDescent="0.25">
      <c r="G1073" s="20"/>
      <c r="H1073" s="20"/>
      <c r="I1073" s="20"/>
      <c r="J1073" s="20"/>
      <c r="K1073" s="20"/>
      <c r="L1073" s="20"/>
      <c r="M1073" s="20"/>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row>
    <row r="1074" spans="7:34" x14ac:dyDescent="0.25">
      <c r="G1074" s="20"/>
      <c r="H1074" s="20"/>
      <c r="I1074" s="20"/>
      <c r="J1074" s="20"/>
      <c r="K1074" s="20"/>
      <c r="L1074" s="20"/>
      <c r="M1074" s="20"/>
      <c r="N1074" s="20"/>
      <c r="O1074" s="20"/>
      <c r="P1074" s="20"/>
      <c r="Q1074" s="20"/>
      <c r="R1074" s="20"/>
      <c r="S1074" s="20"/>
      <c r="T1074" s="20"/>
      <c r="U1074" s="20"/>
      <c r="V1074" s="20"/>
      <c r="W1074" s="20"/>
      <c r="X1074" s="20"/>
      <c r="Y1074" s="20"/>
      <c r="Z1074" s="20"/>
      <c r="AA1074" s="20"/>
      <c r="AB1074" s="20"/>
      <c r="AC1074" s="20"/>
      <c r="AD1074" s="20"/>
      <c r="AE1074" s="20"/>
      <c r="AF1074" s="20"/>
      <c r="AG1074" s="20"/>
      <c r="AH1074" s="20"/>
    </row>
    <row r="1075" spans="7:34" x14ac:dyDescent="0.25">
      <c r="G1075" s="20"/>
      <c r="H1075" s="20"/>
      <c r="I1075" s="20"/>
      <c r="J1075" s="20"/>
      <c r="K1075" s="20"/>
      <c r="L1075" s="20"/>
      <c r="M1075" s="20"/>
      <c r="N1075" s="20"/>
      <c r="O1075" s="20"/>
      <c r="P1075" s="20"/>
      <c r="Q1075" s="20"/>
      <c r="R1075" s="20"/>
      <c r="S1075" s="20"/>
      <c r="T1075" s="20"/>
      <c r="U1075" s="20"/>
      <c r="V1075" s="20"/>
      <c r="W1075" s="20"/>
      <c r="X1075" s="20"/>
      <c r="Y1075" s="20"/>
      <c r="Z1075" s="20"/>
      <c r="AA1075" s="20"/>
      <c r="AB1075" s="20"/>
      <c r="AC1075" s="20"/>
      <c r="AD1075" s="20"/>
      <c r="AE1075" s="20"/>
      <c r="AF1075" s="20"/>
      <c r="AG1075" s="20"/>
      <c r="AH1075" s="20"/>
    </row>
    <row r="1076" spans="7:34" x14ac:dyDescent="0.25">
      <c r="G1076" s="20"/>
      <c r="H1076" s="20"/>
      <c r="I1076" s="20"/>
      <c r="J1076" s="20"/>
      <c r="K1076" s="20"/>
      <c r="L1076" s="20"/>
      <c r="M1076" s="20"/>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row>
    <row r="1077" spans="7:34" x14ac:dyDescent="0.25">
      <c r="G1077" s="20"/>
      <c r="H1077" s="20"/>
      <c r="I1077" s="20"/>
      <c r="J1077" s="20"/>
      <c r="K1077" s="20"/>
      <c r="L1077" s="20"/>
      <c r="M1077" s="20"/>
      <c r="N1077" s="20"/>
      <c r="O1077" s="20"/>
      <c r="P1077" s="20"/>
      <c r="Q1077" s="20"/>
      <c r="R1077" s="20"/>
      <c r="S1077" s="20"/>
      <c r="T1077" s="20"/>
      <c r="U1077" s="20"/>
      <c r="V1077" s="20"/>
      <c r="W1077" s="20"/>
      <c r="X1077" s="20"/>
      <c r="Y1077" s="20"/>
      <c r="Z1077" s="20"/>
      <c r="AA1077" s="20"/>
      <c r="AB1077" s="20"/>
      <c r="AC1077" s="20"/>
      <c r="AD1077" s="20"/>
      <c r="AE1077" s="20"/>
      <c r="AF1077" s="20"/>
      <c r="AG1077" s="20"/>
      <c r="AH1077" s="20"/>
    </row>
  </sheetData>
  <sheetProtection algorithmName="SHA-512" hashValue="gC7I0X4fnwEwXqRO2PNe39Rregp2V/DD6RCK3fVcE4MQMNg2q0bX90GmT2SL4+BVAklPpB3pUqaGQJpHdu3+lw==" saltValue="knwjM7641tQfY0pCWSEB4A==" spinCount="100000" sheet="1" formatCells="0" formatColumns="0" formatRows="0" insertColumns="0" insertRows="0" insertHyperlinks="0" deleteColumns="0" deleteRows="0" sort="0" autoFilter="0" pivotTables="0"/>
  <mergeCells count="18">
    <mergeCell ref="A25:H25"/>
    <mergeCell ref="E2:I2"/>
    <mergeCell ref="E3:I4"/>
    <mergeCell ref="E28:G28"/>
    <mergeCell ref="E6:F6"/>
    <mergeCell ref="E7:F7"/>
    <mergeCell ref="E8:F8"/>
    <mergeCell ref="E9:F9"/>
    <mergeCell ref="E10:F10"/>
    <mergeCell ref="E11:F11"/>
    <mergeCell ref="E36:F36"/>
    <mergeCell ref="E37:F37"/>
    <mergeCell ref="H30:H31"/>
    <mergeCell ref="H32:H33"/>
    <mergeCell ref="H37:H38"/>
    <mergeCell ref="E31:F31"/>
    <mergeCell ref="E32:F32"/>
    <mergeCell ref="E35:F35"/>
  </mergeCells>
  <dataValidations count="3">
    <dataValidation operator="lessThanOrEqual" allowBlank="1" showInputMessage="1" showErrorMessage="1" errorTitle="Sorry...!!! Not Allow" error="HRA Rebate Permissible up to Actual HRA Recieved" sqref="I32 G32"/>
    <dataValidation type="list" allowBlank="1" showInputMessage="1" showErrorMessage="1" sqref="B27:B38">
      <formula1>"Y,N"</formula1>
    </dataValidation>
    <dataValidation type="list" allowBlank="1" showInputMessage="1" showErrorMessage="1" sqref="F5">
      <formula1>$AN$3:$AN$5</formula1>
    </dataValidation>
  </dataValidations>
  <pageMargins left="0.7" right="0.7" top="0.75" bottom="0.75" header="0.3" footer="0.3"/>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1:CK31"/>
  <sheetViews>
    <sheetView workbookViewId="0">
      <selection activeCell="B5" sqref="B5"/>
    </sheetView>
  </sheetViews>
  <sheetFormatPr defaultRowHeight="15.75" x14ac:dyDescent="0.25"/>
  <cols>
    <col min="1" max="1" width="4" style="5" customWidth="1" collapsed="1"/>
    <col min="2" max="2" width="13.85546875" style="5" customWidth="1" collapsed="1"/>
    <col min="3" max="3" width="8.28515625" style="5" customWidth="1" collapsed="1"/>
    <col min="4" max="4" width="7.28515625" style="5" customWidth="1" collapsed="1"/>
    <col min="5" max="5" width="7.85546875" style="5" customWidth="1" collapsed="1"/>
    <col min="6" max="6" width="6.85546875" style="5" customWidth="1" collapsed="1"/>
    <col min="7" max="7" width="5.42578125" style="5" customWidth="1" collapsed="1"/>
    <col min="8" max="8" width="5.28515625" style="5" customWidth="1" collapsed="1"/>
    <col min="9" max="9" width="6.28515625" style="5" customWidth="1" collapsed="1"/>
    <col min="10" max="10" width="6.42578125" style="5" customWidth="1" collapsed="1"/>
    <col min="11" max="11" width="5.85546875" style="5" customWidth="1" collapsed="1"/>
    <col min="12" max="12" width="7.5703125" style="5" customWidth="1" collapsed="1"/>
    <col min="13" max="13" width="5.28515625" style="5" customWidth="1" collapsed="1"/>
    <col min="14" max="14" width="5.42578125" style="5" customWidth="1" collapsed="1"/>
    <col min="15" max="15" width="5.28515625" style="5" customWidth="1" collapsed="1"/>
    <col min="16" max="16" width="5.5703125" style="5" customWidth="1" collapsed="1"/>
    <col min="17" max="17" width="5.7109375" style="5" customWidth="1" collapsed="1"/>
    <col min="18" max="20" width="5.28515625" style="5" customWidth="1" collapsed="1"/>
    <col min="21" max="21" width="6" style="5" customWidth="1" collapsed="1"/>
    <col min="22" max="23" width="5.7109375" style="5" customWidth="1" collapsed="1"/>
    <col min="24" max="24" width="8.28515625" style="5" customWidth="1" collapsed="1"/>
    <col min="25" max="25" width="8.7109375" style="163" customWidth="1" collapsed="1"/>
    <col min="26" max="26" width="6.42578125" style="163" customWidth="1" collapsed="1"/>
    <col min="27" max="27" width="6.7109375" style="6" customWidth="1" collapsed="1"/>
    <col min="28" max="30" width="9.140625" style="6" customWidth="1" collapsed="1"/>
    <col min="31" max="31" width="22.5703125" style="5" customWidth="1" collapsed="1"/>
    <col min="32" max="32" width="9.140625" style="6" customWidth="1" collapsed="1"/>
    <col min="33" max="33" width="10.85546875" style="6" customWidth="1" collapsed="1"/>
    <col min="34" max="49" width="9.140625" style="6" customWidth="1" collapsed="1"/>
    <col min="50" max="50" width="11.28515625" style="6" customWidth="1" collapsed="1"/>
    <col min="51" max="87" width="9.140625" style="6" customWidth="1" collapsed="1"/>
    <col min="88" max="88" width="8.5703125" style="6" customWidth="1" collapsed="1"/>
    <col min="89" max="89" width="9.140625" style="6" hidden="1" customWidth="1" collapsed="1"/>
    <col min="90" max="274" width="9.140625" style="6" customWidth="1" collapsed="1"/>
    <col min="275" max="16384" width="9.140625" style="6" collapsed="1"/>
  </cols>
  <sheetData>
    <row r="1" spans="1:89" ht="21.75" customHeight="1" thickBot="1" x14ac:dyDescent="0.3">
      <c r="V1" s="548" t="s">
        <v>291</v>
      </c>
      <c r="W1" s="548"/>
      <c r="X1" s="548"/>
      <c r="Y1" s="567" t="str">
        <f>PROPER(IF(Master!H16="","",Master!H16))</f>
        <v/>
      </c>
      <c r="Z1" s="567"/>
      <c r="AA1" s="567"/>
    </row>
    <row r="2" spans="1:89" s="147" customFormat="1" ht="23.1" customHeight="1" x14ac:dyDescent="0.25">
      <c r="A2" s="561" t="s">
        <v>270</v>
      </c>
      <c r="B2" s="560"/>
      <c r="C2" s="560"/>
      <c r="D2" s="549" t="str">
        <f>UPPER(IF(Master!D10="","",Master!D10))</f>
        <v>ROOPARAM</v>
      </c>
      <c r="E2" s="549"/>
      <c r="F2" s="549"/>
      <c r="G2" s="549"/>
      <c r="H2" s="549"/>
      <c r="I2" s="560" t="s">
        <v>269</v>
      </c>
      <c r="J2" s="560"/>
      <c r="K2" s="560"/>
      <c r="L2" s="559" t="str">
        <f>UPPER(IF(Master!H10="","",Master!H10))</f>
        <v>HEAD MASTER</v>
      </c>
      <c r="M2" s="559"/>
      <c r="N2" s="559"/>
      <c r="O2" s="559"/>
      <c r="P2" s="560" t="s">
        <v>268</v>
      </c>
      <c r="Q2" s="560"/>
      <c r="R2" s="560"/>
      <c r="S2" s="560"/>
      <c r="T2" s="559" t="str">
        <f>UPPER(IF(Master!D11="","",Master!D11))</f>
        <v>G.U.P.S. UDESHI KUAA</v>
      </c>
      <c r="U2" s="559"/>
      <c r="V2" s="559"/>
      <c r="W2" s="559"/>
      <c r="X2" s="559"/>
      <c r="Y2" s="559"/>
      <c r="Z2" s="557" t="s">
        <v>19</v>
      </c>
      <c r="AA2" s="558"/>
      <c r="AE2" s="148"/>
    </row>
    <row r="3" spans="1:89" s="147" customFormat="1" ht="23.1" customHeight="1" x14ac:dyDescent="0.25">
      <c r="A3" s="562" t="s">
        <v>271</v>
      </c>
      <c r="B3" s="563"/>
      <c r="C3" s="552" t="str">
        <f>UPPER(IF(Master!D13="","",Master!D13))</f>
        <v>ADTPC7867R</v>
      </c>
      <c r="D3" s="552"/>
      <c r="E3" s="552"/>
      <c r="F3" s="91" t="s">
        <v>88</v>
      </c>
      <c r="G3" s="552" t="str">
        <f>IF(AND(Master!H14=""),"",Master!H14)</f>
        <v/>
      </c>
      <c r="H3" s="552"/>
      <c r="I3" s="552"/>
      <c r="J3" s="99" t="s">
        <v>7</v>
      </c>
      <c r="K3" s="553">
        <f>IF(AND(J3=""),"",IF(AND(J3=CH3),Master!H15,IF(AND(J3=CH4),Master!D14,"")))</f>
        <v>980060</v>
      </c>
      <c r="L3" s="553"/>
      <c r="M3" s="553"/>
      <c r="N3" s="570" t="s">
        <v>272</v>
      </c>
      <c r="O3" s="570"/>
      <c r="P3" s="570"/>
      <c r="Q3" s="553" t="str">
        <f>IF(AND(Master!D15=""),"",Master!D15)</f>
        <v/>
      </c>
      <c r="R3" s="553"/>
      <c r="S3" s="553"/>
      <c r="T3" s="553"/>
      <c r="U3" s="553"/>
      <c r="V3" s="554" t="s">
        <v>158</v>
      </c>
      <c r="W3" s="554"/>
      <c r="X3" s="554"/>
      <c r="Y3" s="550">
        <f>IF(AND(Master!D16=""),"",Master!D16)</f>
        <v>51046657419</v>
      </c>
      <c r="Z3" s="550"/>
      <c r="AA3" s="551"/>
      <c r="AE3" s="148"/>
      <c r="CG3" s="147" t="str">
        <f>Master!I2</f>
        <v>NO</v>
      </c>
      <c r="CH3" s="147" t="s">
        <v>157</v>
      </c>
    </row>
    <row r="4" spans="1:89" s="149" customFormat="1" ht="18.75" customHeight="1" x14ac:dyDescent="0.3">
      <c r="A4" s="571" t="s">
        <v>17</v>
      </c>
      <c r="B4" s="565"/>
      <c r="C4" s="565"/>
      <c r="D4" s="565"/>
      <c r="E4" s="565"/>
      <c r="F4" s="565"/>
      <c r="G4" s="565"/>
      <c r="H4" s="565"/>
      <c r="I4" s="565"/>
      <c r="J4" s="565"/>
      <c r="K4" s="565"/>
      <c r="L4" s="572"/>
      <c r="M4" s="564" t="s">
        <v>18</v>
      </c>
      <c r="N4" s="565"/>
      <c r="O4" s="565"/>
      <c r="P4" s="565"/>
      <c r="Q4" s="565"/>
      <c r="R4" s="565"/>
      <c r="S4" s="565"/>
      <c r="T4" s="565"/>
      <c r="U4" s="565"/>
      <c r="V4" s="565"/>
      <c r="W4" s="565"/>
      <c r="X4" s="565"/>
      <c r="Y4" s="566" t="str">
        <f>IF(AND(Bills!AB5=""),"",Bills!AB5)</f>
        <v>NET PAY</v>
      </c>
      <c r="Z4" s="568" t="str">
        <f>IF(AND(Bills!AC5=""),"",Bills!AC5)</f>
        <v>TV.NO.</v>
      </c>
      <c r="AA4" s="569" t="str">
        <f>IF(AND(Bills!AD5=""),"",Bills!AD5)</f>
        <v>Enc.  DATE</v>
      </c>
      <c r="AE4" s="150"/>
      <c r="CH4" s="149" t="s">
        <v>7</v>
      </c>
    </row>
    <row r="5" spans="1:89" s="151" customFormat="1" ht="47.25" customHeight="1" x14ac:dyDescent="0.2">
      <c r="A5" s="80" t="str">
        <f>IF(AND(Bills!B5=""),"",Bills!B5)</f>
        <v>S.N.</v>
      </c>
      <c r="B5" s="78" t="str">
        <f>IF(AND(Bills!C5=""),"",Bills!C5)</f>
        <v>Month</v>
      </c>
      <c r="C5" s="78" t="str">
        <f>IF(AND(Bills!F5=""),"",Bills!F5)</f>
        <v>Basic with Grade Pay</v>
      </c>
      <c r="D5" s="78" t="str">
        <f>IF(AND(Bills!G5=""),"",Bills!G5)</f>
        <v>DA</v>
      </c>
      <c r="E5" s="78" t="str">
        <f>IF(AND(Bills!H5=""),"",Bills!H5)</f>
        <v>HRA</v>
      </c>
      <c r="F5" s="78" t="str">
        <f>IF(AND(Bills!I5=""),"",Bills!I5)</f>
        <v>Wash All.</v>
      </c>
      <c r="G5" s="78" t="str">
        <f>IF(AND(Bills!J5=""),"",Bills!J5)</f>
        <v>Handi. All.</v>
      </c>
      <c r="H5" s="78" t="str">
        <f>IF(AND(Bills!K5=""),"",Bills!K5)</f>
        <v>Bonus</v>
      </c>
      <c r="I5" s="78" t="str">
        <f>IF(AND(Bills!L5=""),"",Bills!L5)</f>
        <v>CCA</v>
      </c>
      <c r="J5" s="78" t="str">
        <f>IF(AND(Bills!M5=""),"",Bills!M5)</f>
        <v>N.P.S. By Govt.</v>
      </c>
      <c r="K5" s="78" t="str">
        <f>IF(AND(Bills!N5=""),"",Bills!N5)</f>
        <v/>
      </c>
      <c r="L5" s="78" t="str">
        <f>IF(AND(Bills!O5=""),"",Bills!O5)</f>
        <v>TOTAL</v>
      </c>
      <c r="M5" s="78" t="str">
        <f>IF(AND(Bills!P5=""),"",Bills!P5)</f>
        <v>SI</v>
      </c>
      <c r="N5" s="78" t="str">
        <f>IF(AND(Bills!Q5=""),"",Bills!Q5)</f>
        <v>GPF</v>
      </c>
      <c r="O5" s="78" t="str">
        <f>IF(AND(Bills!R5=""),"",Bills!R5)</f>
        <v>RPMF</v>
      </c>
      <c r="P5" s="78" t="str">
        <f>IF(AND(Bills!S5=""),"",Bills!S5)</f>
        <v>N.P.S. By SELF</v>
      </c>
      <c r="Q5" s="78" t="str">
        <f>IF(AND(Bills!T5=""),"",Bills!T5)</f>
        <v>L.I.C.</v>
      </c>
      <c r="R5" s="78" t="str">
        <f>IF(AND(Bills!U5=""),"",Bills!U5)</f>
        <v>S.I. LOAN</v>
      </c>
      <c r="S5" s="78" t="str">
        <f>IF(AND(Bills!V5=""),"",Bills!V5)</f>
        <v>GPF LOAN</v>
      </c>
      <c r="T5" s="78" t="str">
        <f>IF(AND(Bills!W5=""),"",Bills!W5)</f>
        <v>Home Loan</v>
      </c>
      <c r="U5" s="78" t="str">
        <f>IF(AND(Bills!X5=""),"",Bills!X5)</f>
        <v>Income Tax</v>
      </c>
      <c r="V5" s="78" t="str">
        <f>IF(AND(Bills!Y5=""),"",Bills!Y5)</f>
        <v>G.I. + S. Tax</v>
      </c>
      <c r="W5" s="78" t="str">
        <f>IF(AND(Bills!Z5=""),"",Bills!Z5)</f>
        <v>OTHER</v>
      </c>
      <c r="X5" s="81" t="str">
        <f>IF(AND(Bills!AA5=""),"",Bills!AA5)</f>
        <v>Total Ded.</v>
      </c>
      <c r="Y5" s="566"/>
      <c r="Z5" s="568"/>
      <c r="AA5" s="569"/>
      <c r="AE5" s="152"/>
    </row>
    <row r="6" spans="1:89" ht="22.5" customHeight="1" x14ac:dyDescent="0.25">
      <c r="A6" s="71">
        <v>1</v>
      </c>
      <c r="B6" s="72">
        <f>IF(AND(Bills!C7=""),"",Bills!C7)</f>
        <v>42795</v>
      </c>
      <c r="C6" s="87">
        <f>IF(AND(Bills!F7=""),"",Bills!F7)</f>
        <v>19600</v>
      </c>
      <c r="D6" s="87">
        <f>IF(AND(Bills!G7=""),"",Bills!G7)</f>
        <v>25872</v>
      </c>
      <c r="E6" s="87">
        <f>IF(AND(Bills!H7=""),"",Bills!H7)</f>
        <v>1960</v>
      </c>
      <c r="F6" s="87" t="str">
        <f>IF(AND(Bills!I7=""),"",Bills!I7)</f>
        <v/>
      </c>
      <c r="G6" s="87" t="str">
        <f>IF(AND(Bills!J7=""),"",Bills!J7)</f>
        <v/>
      </c>
      <c r="H6" s="87" t="str">
        <f>IF(AND(Bills!K7=""),"",Bills!K7)</f>
        <v/>
      </c>
      <c r="I6" s="87" t="str">
        <f>IF(AND(Bills!L7=""),"",Bills!L7)</f>
        <v/>
      </c>
      <c r="J6" s="87" t="str">
        <f>IF(AND(Bills!M7=""),"",Bills!M7)</f>
        <v/>
      </c>
      <c r="K6" s="87" t="str">
        <f>IF(AND(Bills!N7=""),"",Bills!N7)</f>
        <v/>
      </c>
      <c r="L6" s="87">
        <f>IF(AND(Bills!O7=""),"",Bills!O7)</f>
        <v>47432</v>
      </c>
      <c r="M6" s="87">
        <f>IF(AND(Bills!P7=""),"",Bills!P7)</f>
        <v>3000</v>
      </c>
      <c r="N6" s="87">
        <f>IF(AND(Bills!Q7=""),"",Bills!Q7)</f>
        <v>5000</v>
      </c>
      <c r="O6" s="87">
        <f>IF(AND(Bills!R7=""),"",Bills!R7)</f>
        <v>496</v>
      </c>
      <c r="P6" s="87" t="str">
        <f>IF(AND(Bills!S7=""),"",Bills!S7)</f>
        <v/>
      </c>
      <c r="Q6" s="87">
        <f>IF(AND(Bills!T7=""),"",Bills!T7)</f>
        <v>442</v>
      </c>
      <c r="R6" s="87" t="str">
        <f>IF(AND(Bills!U7=""),"",Bills!U7)</f>
        <v/>
      </c>
      <c r="S6" s="87" t="str">
        <f>IF(AND(Bills!V7=""),"",Bills!V7)</f>
        <v/>
      </c>
      <c r="T6" s="87" t="str">
        <f>IF(AND(Bills!W7=""),"",Bills!W7)</f>
        <v/>
      </c>
      <c r="U6" s="87" t="str">
        <f>IF(AND(Bills!X7=""),"",Bills!X7)</f>
        <v/>
      </c>
      <c r="V6" s="87" t="str">
        <f>IF(AND(Bills!Y7=""),"",Bills!Y7)</f>
        <v/>
      </c>
      <c r="W6" s="87" t="str">
        <f>IF(AND(Bills!Z7=""),"",Bills!Z7)</f>
        <v/>
      </c>
      <c r="X6" s="87">
        <f>IF(AND(Bills!AA7=""),"",Bills!AA7)</f>
        <v>8938</v>
      </c>
      <c r="Y6" s="70">
        <f>IF(AND(Bills!AB7=""),"",Bills!AB7)</f>
        <v>38494</v>
      </c>
      <c r="Z6" s="76" t="str">
        <f>IF(AND(Bills!AC7=""),"",Bills!AC7)</f>
        <v/>
      </c>
      <c r="AA6" s="77" t="str">
        <f>IF(AND(Bills!AD7=""),"",Bills!AD7)</f>
        <v/>
      </c>
      <c r="CK6" s="6" t="s">
        <v>7</v>
      </c>
    </row>
    <row r="7" spans="1:89" ht="20.100000000000001" customHeight="1" x14ac:dyDescent="0.25">
      <c r="A7" s="71">
        <v>2</v>
      </c>
      <c r="B7" s="72">
        <f>IF(AND(Bills!C8=""),"",Bills!C8)</f>
        <v>42826</v>
      </c>
      <c r="C7" s="87">
        <f>IF(AND(Bills!F8=""),"",Bills!F8)</f>
        <v>19600</v>
      </c>
      <c r="D7" s="87">
        <f>IF(AND(Bills!G8=""),"",Bills!G8)</f>
        <v>26656</v>
      </c>
      <c r="E7" s="87">
        <f>IF(AND(Bills!H8=""),"",Bills!H8)</f>
        <v>1960</v>
      </c>
      <c r="F7" s="87" t="str">
        <f>IF(AND(Bills!I8=""),"",Bills!I8)</f>
        <v/>
      </c>
      <c r="G7" s="87" t="str">
        <f>IF(AND(Bills!J8=""),"",Bills!J8)</f>
        <v/>
      </c>
      <c r="H7" s="87" t="str">
        <f>IF(AND(Bills!K8=""),"",Bills!K8)</f>
        <v/>
      </c>
      <c r="I7" s="87" t="str">
        <f>IF(AND(Bills!L8=""),"",Bills!L8)</f>
        <v/>
      </c>
      <c r="J7" s="87" t="str">
        <f>IF(AND(Bills!M8=""),"",Bills!M8)</f>
        <v/>
      </c>
      <c r="K7" s="87" t="str">
        <f>IF(AND(Bills!N8=""),"",Bills!N8)</f>
        <v/>
      </c>
      <c r="L7" s="87">
        <f>IF(AND(Bills!O8=""),"",Bills!O8)</f>
        <v>48216</v>
      </c>
      <c r="M7" s="87">
        <f>IF(AND(Bills!P8=""),"",Bills!P8)</f>
        <v>3000</v>
      </c>
      <c r="N7" s="87">
        <f>IF(AND(Bills!Q8=""),"",Bills!Q8)</f>
        <v>5000</v>
      </c>
      <c r="O7" s="87">
        <f>IF(AND(Bills!R8=""),"",Bills!R8)</f>
        <v>496</v>
      </c>
      <c r="P7" s="87" t="str">
        <f>IF(AND(Bills!S8=""),"",Bills!S8)</f>
        <v/>
      </c>
      <c r="Q7" s="87">
        <f>IF(AND(Bills!T8=""),"",Bills!T8)</f>
        <v>442</v>
      </c>
      <c r="R7" s="87" t="str">
        <f>IF(AND(Bills!U8=""),"",Bills!U8)</f>
        <v/>
      </c>
      <c r="S7" s="87" t="str">
        <f>IF(AND(Bills!V8=""),"",Bills!V8)</f>
        <v/>
      </c>
      <c r="T7" s="87" t="str">
        <f>IF(AND(Bills!W8=""),"",Bills!W8)</f>
        <v/>
      </c>
      <c r="U7" s="87" t="str">
        <f>IF(AND(Bills!X8=""),"",Bills!X8)</f>
        <v/>
      </c>
      <c r="V7" s="87">
        <f>IF(AND(Bills!Y8=""),"",Bills!Y8)</f>
        <v>252.9</v>
      </c>
      <c r="W7" s="87" t="str">
        <f>IF(AND(Bills!Z8=""),"",Bills!Z8)</f>
        <v/>
      </c>
      <c r="X7" s="87">
        <f>IF(AND(Bills!AA8=""),"",Bills!AA8)</f>
        <v>9190.9</v>
      </c>
      <c r="Y7" s="70">
        <f>IF(AND(Bills!AB8=""),"",Bills!AB8)</f>
        <v>39025.1</v>
      </c>
      <c r="Z7" s="76" t="str">
        <f>IF(AND(Bills!AC8=""),"",Bills!AC8)</f>
        <v/>
      </c>
      <c r="AA7" s="77" t="str">
        <f>IF(AND(Bills!AD8=""),"",Bills!AD8)</f>
        <v/>
      </c>
      <c r="CK7" s="6" t="s">
        <v>156</v>
      </c>
    </row>
    <row r="8" spans="1:89" ht="20.100000000000001" customHeight="1" x14ac:dyDescent="0.25">
      <c r="A8" s="71">
        <v>3</v>
      </c>
      <c r="B8" s="72">
        <f>IF(AND(Bills!C9=""),"",Bills!C9)</f>
        <v>42856</v>
      </c>
      <c r="C8" s="87">
        <f>IF(AND(Bills!F9=""),"",Bills!F9)</f>
        <v>19600</v>
      </c>
      <c r="D8" s="87">
        <f>IF(AND(Bills!G9=""),"",Bills!G9)</f>
        <v>26656</v>
      </c>
      <c r="E8" s="87">
        <f>IF(AND(Bills!H9=""),"",Bills!H9)</f>
        <v>1960</v>
      </c>
      <c r="F8" s="87" t="str">
        <f>IF(AND(Bills!I9=""),"",Bills!I9)</f>
        <v/>
      </c>
      <c r="G8" s="87" t="str">
        <f>IF(AND(Bills!J9=""),"",Bills!J9)</f>
        <v/>
      </c>
      <c r="H8" s="87" t="str">
        <f>IF(AND(Bills!K9=""),"",Bills!K9)</f>
        <v/>
      </c>
      <c r="I8" s="87" t="str">
        <f>IF(AND(Bills!L9=""),"",Bills!L9)</f>
        <v/>
      </c>
      <c r="J8" s="87" t="str">
        <f>IF(AND(Bills!M9=""),"",Bills!M9)</f>
        <v/>
      </c>
      <c r="K8" s="87" t="str">
        <f>IF(AND(Bills!N9=""),"",Bills!N9)</f>
        <v/>
      </c>
      <c r="L8" s="87">
        <f>IF(AND(Bills!O9=""),"",Bills!O9)</f>
        <v>48216</v>
      </c>
      <c r="M8" s="87">
        <f>IF(AND(Bills!P9=""),"",Bills!P9)</f>
        <v>3000</v>
      </c>
      <c r="N8" s="87">
        <f>IF(AND(Bills!Q9=""),"",Bills!Q9)</f>
        <v>5000</v>
      </c>
      <c r="O8" s="87">
        <f>IF(AND(Bills!R9=""),"",Bills!R9)</f>
        <v>511</v>
      </c>
      <c r="P8" s="87" t="str">
        <f>IF(AND(Bills!S9=""),"",Bills!S9)</f>
        <v/>
      </c>
      <c r="Q8" s="87">
        <f>IF(AND(Bills!T9=""),"",Bills!T9)</f>
        <v>442</v>
      </c>
      <c r="R8" s="87" t="str">
        <f>IF(AND(Bills!U9=""),"",Bills!U9)</f>
        <v/>
      </c>
      <c r="S8" s="87" t="str">
        <f>IF(AND(Bills!V9=""),"",Bills!V9)</f>
        <v/>
      </c>
      <c r="T8" s="87" t="str">
        <f>IF(AND(Bills!W9=""),"",Bills!W9)</f>
        <v/>
      </c>
      <c r="U8" s="87" t="str">
        <f>IF(AND(Bills!X9=""),"",Bills!X9)</f>
        <v/>
      </c>
      <c r="V8" s="87" t="str">
        <f>IF(AND(Bills!Y9=""),"",Bills!Y9)</f>
        <v/>
      </c>
      <c r="W8" s="87" t="str">
        <f>IF(AND(Bills!Z9=""),"",Bills!Z9)</f>
        <v/>
      </c>
      <c r="X8" s="87">
        <f>IF(AND(Bills!AA9=""),"",Bills!AA9)</f>
        <v>8953</v>
      </c>
      <c r="Y8" s="70">
        <f>IF(AND(Bills!AB9=""),"",Bills!AB9)</f>
        <v>39263</v>
      </c>
      <c r="Z8" s="76" t="str">
        <f>IF(AND(Bills!AC9=""),"",Bills!AC9)</f>
        <v/>
      </c>
      <c r="AA8" s="77" t="str">
        <f>IF(AND(Bills!AD9=""),"",Bills!AD9)</f>
        <v/>
      </c>
      <c r="CK8" s="6" t="s">
        <v>157</v>
      </c>
    </row>
    <row r="9" spans="1:89" ht="20.100000000000001" customHeight="1" x14ac:dyDescent="0.25">
      <c r="A9" s="71">
        <v>4</v>
      </c>
      <c r="B9" s="72">
        <f>IF(AND(Bills!C10=""),"",Bills!C10)</f>
        <v>42887</v>
      </c>
      <c r="C9" s="87">
        <f>IF(AND(Bills!F10=""),"",Bills!F10)</f>
        <v>19600</v>
      </c>
      <c r="D9" s="87">
        <f>IF(AND(Bills!G10=""),"",Bills!G10)</f>
        <v>26656</v>
      </c>
      <c r="E9" s="87">
        <f>IF(AND(Bills!H10=""),"",Bills!H10)</f>
        <v>1960</v>
      </c>
      <c r="F9" s="87" t="str">
        <f>IF(AND(Bills!I10=""),"",Bills!I10)</f>
        <v/>
      </c>
      <c r="G9" s="87" t="str">
        <f>IF(AND(Bills!J10=""),"",Bills!J10)</f>
        <v/>
      </c>
      <c r="H9" s="87" t="str">
        <f>IF(AND(Bills!K10=""),"",Bills!K10)</f>
        <v/>
      </c>
      <c r="I9" s="87" t="str">
        <f>IF(AND(Bills!L10=""),"",Bills!L10)</f>
        <v/>
      </c>
      <c r="J9" s="87" t="str">
        <f>IF(AND(Bills!M10=""),"",Bills!M10)</f>
        <v/>
      </c>
      <c r="K9" s="87" t="str">
        <f>IF(AND(Bills!N10=""),"",Bills!N10)</f>
        <v/>
      </c>
      <c r="L9" s="87">
        <f>IF(AND(Bills!O10=""),"",Bills!O10)</f>
        <v>48216</v>
      </c>
      <c r="M9" s="87">
        <f>IF(AND(Bills!P10=""),"",Bills!P10)</f>
        <v>3000</v>
      </c>
      <c r="N9" s="87">
        <f>IF(AND(Bills!Q10=""),"",Bills!Q10)</f>
        <v>5000</v>
      </c>
      <c r="O9" s="87">
        <f>IF(AND(Bills!R10=""),"",Bills!R10)</f>
        <v>511</v>
      </c>
      <c r="P9" s="87" t="str">
        <f>IF(AND(Bills!S10=""),"",Bills!S10)</f>
        <v/>
      </c>
      <c r="Q9" s="87">
        <f>IF(AND(Bills!T10=""),"",Bills!T10)</f>
        <v>442</v>
      </c>
      <c r="R9" s="87" t="str">
        <f>IF(AND(Bills!U10=""),"",Bills!U10)</f>
        <v/>
      </c>
      <c r="S9" s="87" t="str">
        <f>IF(AND(Bills!V10=""),"",Bills!V10)</f>
        <v/>
      </c>
      <c r="T9" s="87" t="str">
        <f>IF(AND(Bills!W10=""),"",Bills!W10)</f>
        <v/>
      </c>
      <c r="U9" s="87" t="str">
        <f>IF(AND(Bills!X10=""),"",Bills!X10)</f>
        <v/>
      </c>
      <c r="V9" s="87" t="str">
        <f>IF(AND(Bills!Y10=""),"",Bills!Y10)</f>
        <v/>
      </c>
      <c r="W9" s="87" t="str">
        <f>IF(AND(Bills!Z10=""),"",Bills!Z10)</f>
        <v/>
      </c>
      <c r="X9" s="87">
        <f>IF(AND(Bills!AA10=""),"",Bills!AA10)</f>
        <v>8953</v>
      </c>
      <c r="Y9" s="70">
        <f>IF(AND(Bills!AB10=""),"",Bills!AB10)</f>
        <v>39263</v>
      </c>
      <c r="Z9" s="76" t="str">
        <f>IF(AND(Bills!AC10=""),"",Bills!AC10)</f>
        <v/>
      </c>
      <c r="AA9" s="77" t="str">
        <f>IF(AND(Bills!AD10=""),"",Bills!AD10)</f>
        <v/>
      </c>
      <c r="AD9" s="6" t="str">
        <f>IF(AND(CG3=""),"",IF(AND(CG3=CH3),Master!H15,IF(AND(CG3=CH4),Master!D14,"")))</f>
        <v/>
      </c>
    </row>
    <row r="10" spans="1:89" ht="20.100000000000001" customHeight="1" x14ac:dyDescent="0.25">
      <c r="A10" s="71">
        <v>5</v>
      </c>
      <c r="B10" s="72">
        <f>IF(AND(Bills!C11=""),"",Bills!C11)</f>
        <v>42917</v>
      </c>
      <c r="C10" s="87">
        <f>IF(AND(Bills!F11=""),"",Bills!F11)</f>
        <v>20190</v>
      </c>
      <c r="D10" s="87">
        <f>IF(AND(Bills!G11=""),"",Bills!G11)</f>
        <v>27458</v>
      </c>
      <c r="E10" s="87">
        <f>IF(AND(Bills!H11=""),"",Bills!H11)</f>
        <v>2019</v>
      </c>
      <c r="F10" s="87" t="str">
        <f>IF(AND(Bills!I11=""),"",Bills!I11)</f>
        <v/>
      </c>
      <c r="G10" s="87" t="str">
        <f>IF(AND(Bills!J11=""),"",Bills!J11)</f>
        <v/>
      </c>
      <c r="H10" s="87" t="str">
        <f>IF(AND(Bills!K11=""),"",Bills!K11)</f>
        <v/>
      </c>
      <c r="I10" s="87" t="str">
        <f>IF(AND(Bills!L11=""),"",Bills!L11)</f>
        <v/>
      </c>
      <c r="J10" s="87" t="str">
        <f>IF(AND(Bills!M11=""),"",Bills!M11)</f>
        <v/>
      </c>
      <c r="K10" s="87" t="str">
        <f>IF(AND(Bills!N11=""),"",Bills!N11)</f>
        <v/>
      </c>
      <c r="L10" s="87">
        <f>IF(AND(Bills!O11=""),"",Bills!O11)</f>
        <v>49667</v>
      </c>
      <c r="M10" s="87">
        <f>IF(AND(Bills!P11=""),"",Bills!P11)</f>
        <v>3000</v>
      </c>
      <c r="N10" s="87">
        <f>IF(AND(Bills!Q11=""),"",Bills!Q11)</f>
        <v>5000</v>
      </c>
      <c r="O10" s="87">
        <f>IF(AND(Bills!R11=""),"",Bills!R11)</f>
        <v>511</v>
      </c>
      <c r="P10" s="87" t="str">
        <f>IF(AND(Bills!S11=""),"",Bills!S11)</f>
        <v/>
      </c>
      <c r="Q10" s="87">
        <f>IF(AND(Bills!T11=""),"",Bills!T11)</f>
        <v>442</v>
      </c>
      <c r="R10" s="87" t="str">
        <f>IF(AND(Bills!U11=""),"",Bills!U11)</f>
        <v/>
      </c>
      <c r="S10" s="87" t="str">
        <f>IF(AND(Bills!V11=""),"",Bills!V11)</f>
        <v/>
      </c>
      <c r="T10" s="87" t="str">
        <f>IF(AND(Bills!W11=""),"",Bills!W11)</f>
        <v/>
      </c>
      <c r="U10" s="87">
        <f>IF(AND(Bills!X11=""),"",Bills!X11)</f>
        <v>1500</v>
      </c>
      <c r="V10" s="87" t="str">
        <f>IF(AND(Bills!Y11=""),"",Bills!Y11)</f>
        <v/>
      </c>
      <c r="W10" s="87" t="str">
        <f>IF(AND(Bills!Z11=""),"",Bills!Z11)</f>
        <v/>
      </c>
      <c r="X10" s="87">
        <f>IF(AND(Bills!AA11=""),"",Bills!AA11)</f>
        <v>10453</v>
      </c>
      <c r="Y10" s="70">
        <f>IF(AND(Bills!AB11=""),"",Bills!AB11)</f>
        <v>39214</v>
      </c>
      <c r="Z10" s="76" t="str">
        <f>IF(AND(Bills!AC11=""),"",Bills!AC11)</f>
        <v/>
      </c>
      <c r="AA10" s="77" t="str">
        <f>IF(AND(Bills!AD11=""),"",Bills!AD11)</f>
        <v/>
      </c>
    </row>
    <row r="11" spans="1:89" ht="20.100000000000001" customHeight="1" x14ac:dyDescent="0.25">
      <c r="A11" s="71">
        <v>6</v>
      </c>
      <c r="B11" s="72">
        <f>IF(AND(Bills!C12=""),"",Bills!C12)</f>
        <v>42948</v>
      </c>
      <c r="C11" s="87">
        <f>IF(AND(Bills!F12=""),"",Bills!F12)</f>
        <v>20190</v>
      </c>
      <c r="D11" s="87">
        <f>IF(AND(Bills!G12=""),"",Bills!G12)</f>
        <v>27458</v>
      </c>
      <c r="E11" s="87">
        <f>IF(AND(Bills!H12=""),"",Bills!H12)</f>
        <v>2019</v>
      </c>
      <c r="F11" s="87" t="str">
        <f>IF(AND(Bills!I12=""),"",Bills!I12)</f>
        <v/>
      </c>
      <c r="G11" s="87" t="str">
        <f>IF(AND(Bills!J12=""),"",Bills!J12)</f>
        <v/>
      </c>
      <c r="H11" s="87" t="str">
        <f>IF(AND(Bills!K12=""),"",Bills!K12)</f>
        <v/>
      </c>
      <c r="I11" s="87" t="str">
        <f>IF(AND(Bills!L12=""),"",Bills!L12)</f>
        <v/>
      </c>
      <c r="J11" s="87" t="str">
        <f>IF(AND(Bills!M12=""),"",Bills!M12)</f>
        <v/>
      </c>
      <c r="K11" s="87" t="str">
        <f>IF(AND(Bills!N12=""),"",Bills!N12)</f>
        <v/>
      </c>
      <c r="L11" s="87">
        <f>IF(AND(Bills!O12=""),"",Bills!O12)</f>
        <v>49667</v>
      </c>
      <c r="M11" s="87">
        <f>IF(AND(Bills!P12=""),"",Bills!P12)</f>
        <v>3000</v>
      </c>
      <c r="N11" s="87">
        <f>IF(AND(Bills!Q12=""),"",Bills!Q12)</f>
        <v>5000</v>
      </c>
      <c r="O11" s="87">
        <f>IF(AND(Bills!R12=""),"",Bills!R12)</f>
        <v>511</v>
      </c>
      <c r="P11" s="87" t="str">
        <f>IF(AND(Bills!S12=""),"",Bills!S12)</f>
        <v/>
      </c>
      <c r="Q11" s="87">
        <f>IF(AND(Bills!T12=""),"",Bills!T12)</f>
        <v>442</v>
      </c>
      <c r="R11" s="87" t="str">
        <f>IF(AND(Bills!U12=""),"",Bills!U12)</f>
        <v/>
      </c>
      <c r="S11" s="87" t="str">
        <f>IF(AND(Bills!V12=""),"",Bills!V12)</f>
        <v/>
      </c>
      <c r="T11" s="87" t="str">
        <f>IF(AND(Bills!W12=""),"",Bills!W12)</f>
        <v/>
      </c>
      <c r="U11" s="87">
        <f>IF(AND(Bills!X12=""),"",Bills!X12)</f>
        <v>1500</v>
      </c>
      <c r="V11" s="87" t="str">
        <f>IF(AND(Bills!Y12=""),"",Bills!Y12)</f>
        <v/>
      </c>
      <c r="W11" s="87" t="str">
        <f>IF(AND(Bills!Z12=""),"",Bills!Z12)</f>
        <v/>
      </c>
      <c r="X11" s="87">
        <f>IF(AND(Bills!AA12=""),"",Bills!AA12)</f>
        <v>10453</v>
      </c>
      <c r="Y11" s="70">
        <f>IF(AND(Bills!AB12=""),"",Bills!AB12)</f>
        <v>39214</v>
      </c>
      <c r="Z11" s="76" t="str">
        <f>IF(AND(Bills!AC12=""),"",Bills!AC12)</f>
        <v/>
      </c>
      <c r="AA11" s="77" t="str">
        <f>IF(AND(Bills!AD12=""),"",Bills!AD12)</f>
        <v/>
      </c>
    </row>
    <row r="12" spans="1:89" ht="20.100000000000001" customHeight="1" x14ac:dyDescent="0.25">
      <c r="A12" s="71">
        <v>7</v>
      </c>
      <c r="B12" s="72">
        <f>IF(AND(Bills!C13=""),"",Bills!C13)</f>
        <v>42979</v>
      </c>
      <c r="C12" s="87">
        <f>IF(AND(Bills!F13=""),"",Bills!F13)</f>
        <v>20190</v>
      </c>
      <c r="D12" s="87">
        <f>IF(AND(Bills!G13=""),"",Bills!G13)</f>
        <v>27458</v>
      </c>
      <c r="E12" s="87">
        <f>IF(AND(Bills!H13=""),"",Bills!H13)</f>
        <v>2019</v>
      </c>
      <c r="F12" s="87" t="str">
        <f>IF(AND(Bills!I13=""),"",Bills!I13)</f>
        <v/>
      </c>
      <c r="G12" s="87" t="str">
        <f>IF(AND(Bills!J13=""),"",Bills!J13)</f>
        <v/>
      </c>
      <c r="H12" s="87" t="str">
        <f>IF(AND(Bills!K13=""),"",Bills!K13)</f>
        <v/>
      </c>
      <c r="I12" s="87" t="str">
        <f>IF(AND(Bills!L13=""),"",Bills!L13)</f>
        <v/>
      </c>
      <c r="J12" s="87" t="str">
        <f>IF(AND(Bills!M13=""),"",Bills!M13)</f>
        <v/>
      </c>
      <c r="K12" s="87" t="str">
        <f>IF(AND(Bills!N13=""),"",Bills!N13)</f>
        <v/>
      </c>
      <c r="L12" s="87">
        <f>IF(AND(Bills!O13=""),"",Bills!O13)</f>
        <v>49667</v>
      </c>
      <c r="M12" s="87">
        <f>IF(AND(Bills!P13=""),"",Bills!P13)</f>
        <v>3000</v>
      </c>
      <c r="N12" s="87">
        <f>IF(AND(Bills!Q13=""),"",Bills!Q13)</f>
        <v>5000</v>
      </c>
      <c r="O12" s="87">
        <f>IF(AND(Bills!R13=""),"",Bills!R13)</f>
        <v>511</v>
      </c>
      <c r="P12" s="87" t="str">
        <f>IF(AND(Bills!S13=""),"",Bills!S13)</f>
        <v/>
      </c>
      <c r="Q12" s="87">
        <f>IF(AND(Bills!T13=""),"",Bills!T13)</f>
        <v>442</v>
      </c>
      <c r="R12" s="87" t="str">
        <f>IF(AND(Bills!U13=""),"",Bills!U13)</f>
        <v/>
      </c>
      <c r="S12" s="87" t="str">
        <f>IF(AND(Bills!V13=""),"",Bills!V13)</f>
        <v/>
      </c>
      <c r="T12" s="87" t="str">
        <f>IF(AND(Bills!W13=""),"",Bills!W13)</f>
        <v/>
      </c>
      <c r="U12" s="87">
        <f>IF(AND(Bills!X13=""),"",Bills!X13)</f>
        <v>1500</v>
      </c>
      <c r="V12" s="87" t="str">
        <f>IF(AND(Bills!Y13=""),"",Bills!Y13)</f>
        <v/>
      </c>
      <c r="W12" s="87" t="str">
        <f>IF(AND(Bills!Z13=""),"",Bills!Z13)</f>
        <v/>
      </c>
      <c r="X12" s="87">
        <f>IF(AND(Bills!AA13=""),"",Bills!AA13)</f>
        <v>10453</v>
      </c>
      <c r="Y12" s="70">
        <f>IF(AND(Bills!AB13=""),"",Bills!AB13)</f>
        <v>39214</v>
      </c>
      <c r="Z12" s="76" t="str">
        <f>IF(AND(Bills!AC13=""),"",Bills!AC13)</f>
        <v/>
      </c>
      <c r="AA12" s="77" t="str">
        <f>IF(AND(Bills!AD13=""),"",Bills!AD13)</f>
        <v/>
      </c>
    </row>
    <row r="13" spans="1:89" ht="20.100000000000001" customHeight="1" x14ac:dyDescent="0.25">
      <c r="A13" s="71">
        <v>8</v>
      </c>
      <c r="B13" s="72">
        <f>IF(AND(Bills!C14=""),"",Bills!C14)</f>
        <v>43009</v>
      </c>
      <c r="C13" s="87">
        <f>IF(AND(Bills!F14=""),"",Bills!F14)</f>
        <v>20190</v>
      </c>
      <c r="D13" s="87">
        <f>IF(AND(Bills!G14=""),"",Bills!G14)</f>
        <v>28064</v>
      </c>
      <c r="E13" s="87">
        <f>IF(AND(Bills!H14=""),"",Bills!H14)</f>
        <v>2019</v>
      </c>
      <c r="F13" s="87" t="str">
        <f>IF(AND(Bills!I14=""),"",Bills!I14)</f>
        <v/>
      </c>
      <c r="G13" s="87" t="str">
        <f>IF(AND(Bills!J14=""),"",Bills!J14)</f>
        <v/>
      </c>
      <c r="H13" s="87" t="str">
        <f>IF(AND(Bills!K14=""),"",Bills!K14)</f>
        <v/>
      </c>
      <c r="I13" s="87" t="str">
        <f>IF(AND(Bills!L14=""),"",Bills!L14)</f>
        <v/>
      </c>
      <c r="J13" s="87" t="str">
        <f>IF(AND(Bills!M14=""),"",Bills!M14)</f>
        <v/>
      </c>
      <c r="K13" s="87" t="str">
        <f>IF(AND(Bills!N14=""),"",Bills!N14)</f>
        <v/>
      </c>
      <c r="L13" s="87">
        <f>IF(AND(Bills!O14=""),"",Bills!O14)</f>
        <v>50273</v>
      </c>
      <c r="M13" s="87">
        <f>IF(AND(Bills!P14=""),"",Bills!P14)</f>
        <v>3000</v>
      </c>
      <c r="N13" s="87">
        <f>IF(AND(Bills!Q14=""),"",Bills!Q14)</f>
        <v>5000</v>
      </c>
      <c r="O13" s="87">
        <f>IF(AND(Bills!R14=""),"",Bills!R14)</f>
        <v>511</v>
      </c>
      <c r="P13" s="87" t="str">
        <f>IF(AND(Bills!S14=""),"",Bills!S14)</f>
        <v/>
      </c>
      <c r="Q13" s="87">
        <f>IF(AND(Bills!T14=""),"",Bills!T14)</f>
        <v>442</v>
      </c>
      <c r="R13" s="87" t="str">
        <f>IF(AND(Bills!U14=""),"",Bills!U14)</f>
        <v/>
      </c>
      <c r="S13" s="87" t="str">
        <f>IF(AND(Bills!V14=""),"",Bills!V14)</f>
        <v/>
      </c>
      <c r="T13" s="87" t="str">
        <f>IF(AND(Bills!W14=""),"",Bills!W14)</f>
        <v/>
      </c>
      <c r="U13" s="87">
        <f>IF(AND(Bills!X14=""),"",Bills!X14)</f>
        <v>1500</v>
      </c>
      <c r="V13" s="87" t="str">
        <f>IF(AND(Bills!Y14=""),"",Bills!Y14)</f>
        <v/>
      </c>
      <c r="W13" s="87" t="str">
        <f>IF(AND(Bills!Z14=""),"",Bills!Z14)</f>
        <v/>
      </c>
      <c r="X13" s="87">
        <f>IF(AND(Bills!AA14=""),"",Bills!AA14)</f>
        <v>10453</v>
      </c>
      <c r="Y13" s="70">
        <f>IF(AND(Bills!AB14=""),"",Bills!AB14)</f>
        <v>39820</v>
      </c>
      <c r="Z13" s="76" t="str">
        <f>IF(AND(Bills!AC14=""),"",Bills!AC14)</f>
        <v/>
      </c>
      <c r="AA13" s="77" t="str">
        <f>IF(AND(Bills!AD14=""),"",Bills!AD14)</f>
        <v/>
      </c>
    </row>
    <row r="14" spans="1:89" ht="20.100000000000001" customHeight="1" x14ac:dyDescent="0.25">
      <c r="A14" s="71">
        <v>9</v>
      </c>
      <c r="B14" s="72">
        <f>IF(AND(Bills!C15=""),"",Bills!C15)</f>
        <v>43040</v>
      </c>
      <c r="C14" s="87">
        <f>IF(AND(Bills!F15=""),"",Bills!F15)</f>
        <v>52300</v>
      </c>
      <c r="D14" s="87">
        <f>IF(AND(Bills!G15=""),"",Bills!G15)</f>
        <v>2615</v>
      </c>
      <c r="E14" s="87">
        <f>IF(AND(Bills!H15=""),"",Bills!H15)</f>
        <v>4184</v>
      </c>
      <c r="F14" s="87" t="str">
        <f>IF(AND(Bills!I15=""),"",Bills!I15)</f>
        <v/>
      </c>
      <c r="G14" s="87" t="str">
        <f>IF(AND(Bills!J15=""),"",Bills!J15)</f>
        <v/>
      </c>
      <c r="H14" s="87" t="str">
        <f>IF(AND(Bills!K15=""),"",Bills!K15)</f>
        <v/>
      </c>
      <c r="I14" s="87" t="str">
        <f>IF(AND(Bills!L15=""),"",Bills!L15)</f>
        <v/>
      </c>
      <c r="J14" s="87" t="str">
        <f>IF(AND(Bills!M15=""),"",Bills!M15)</f>
        <v/>
      </c>
      <c r="K14" s="87" t="str">
        <f>IF(AND(Bills!N15=""),"",Bills!N15)</f>
        <v/>
      </c>
      <c r="L14" s="87">
        <f>IF(AND(Bills!O15=""),"",Bills!O15)</f>
        <v>59099</v>
      </c>
      <c r="M14" s="87">
        <f>IF(AND(Bills!P15=""),"",Bills!P15)</f>
        <v>3000</v>
      </c>
      <c r="N14" s="87">
        <f>IF(AND(Bills!Q15=""),"",Bills!Q15)</f>
        <v>5000</v>
      </c>
      <c r="O14" s="87">
        <f>IF(AND(Bills!R15=""),"",Bills!R15)</f>
        <v>522</v>
      </c>
      <c r="P14" s="87" t="str">
        <f>IF(AND(Bills!S15=""),"",Bills!S15)</f>
        <v/>
      </c>
      <c r="Q14" s="87">
        <f>IF(AND(Bills!T15=""),"",Bills!T15)</f>
        <v>442</v>
      </c>
      <c r="R14" s="87" t="str">
        <f>IF(AND(Bills!U15=""),"",Bills!U15)</f>
        <v/>
      </c>
      <c r="S14" s="87" t="str">
        <f>IF(AND(Bills!V15=""),"",Bills!V15)</f>
        <v/>
      </c>
      <c r="T14" s="87" t="str">
        <f>IF(AND(Bills!W15=""),"",Bills!W15)</f>
        <v/>
      </c>
      <c r="U14" s="87">
        <f>IF(AND(Bills!X15=""),"",Bills!X15)</f>
        <v>1500</v>
      </c>
      <c r="V14" s="87" t="str">
        <f>IF(AND(Bills!Y15=""),"",Bills!Y15)</f>
        <v/>
      </c>
      <c r="W14" s="87" t="str">
        <f>IF(AND(Bills!Z15=""),"",Bills!Z15)</f>
        <v/>
      </c>
      <c r="X14" s="87">
        <f>IF(AND(Bills!AA15=""),"",Bills!AA15)</f>
        <v>10464</v>
      </c>
      <c r="Y14" s="70">
        <f>IF(AND(Bills!AB15=""),"",Bills!AB15)</f>
        <v>48635</v>
      </c>
      <c r="Z14" s="76" t="str">
        <f>IF(AND(Bills!AC15=""),"",Bills!AC15)</f>
        <v/>
      </c>
      <c r="AA14" s="77" t="str">
        <f>IF(AND(Bills!AD15=""),"",Bills!AD15)</f>
        <v/>
      </c>
      <c r="AD14" s="153" t="str">
        <f>IF(AND(CG3=""),"",IF(AND(CG3="YES"),CH3,IF(AND(CG3="NO"),CH4,"")))</f>
        <v>GPF</v>
      </c>
    </row>
    <row r="15" spans="1:89" ht="20.100000000000001" customHeight="1" x14ac:dyDescent="0.25">
      <c r="A15" s="71">
        <v>10</v>
      </c>
      <c r="B15" s="72">
        <f>IF(AND(Bills!C16=""),"",Bills!C16)</f>
        <v>43070</v>
      </c>
      <c r="C15" s="87">
        <f>IF(AND(Bills!F16=""),"",Bills!F16)</f>
        <v>52300</v>
      </c>
      <c r="D15" s="87">
        <f>IF(AND(Bills!G16=""),"",Bills!G16)</f>
        <v>2615</v>
      </c>
      <c r="E15" s="87">
        <f>IF(AND(Bills!H16=""),"",Bills!H16)</f>
        <v>4184</v>
      </c>
      <c r="F15" s="87" t="str">
        <f>IF(AND(Bills!I16=""),"",Bills!I16)</f>
        <v/>
      </c>
      <c r="G15" s="87" t="str">
        <f>IF(AND(Bills!J16=""),"",Bills!J16)</f>
        <v/>
      </c>
      <c r="H15" s="87" t="str">
        <f>IF(AND(Bills!K16=""),"",Bills!K16)</f>
        <v/>
      </c>
      <c r="I15" s="87" t="str">
        <f>IF(AND(Bills!L16=""),"",Bills!L16)</f>
        <v/>
      </c>
      <c r="J15" s="87" t="str">
        <f>IF(AND(Bills!M16=""),"",Bills!M16)</f>
        <v/>
      </c>
      <c r="K15" s="87" t="str">
        <f>IF(AND(Bills!N16=""),"",Bills!N16)</f>
        <v/>
      </c>
      <c r="L15" s="87">
        <f>IF(AND(Bills!O16=""),"",Bills!O16)</f>
        <v>59099</v>
      </c>
      <c r="M15" s="87">
        <f>IF(AND(Bills!P16=""),"",Bills!P16)</f>
        <v>3000</v>
      </c>
      <c r="N15" s="87">
        <f>IF(AND(Bills!Q16=""),"",Bills!Q16)</f>
        <v>5000</v>
      </c>
      <c r="O15" s="87">
        <f>IF(AND(Bills!R16=""),"",Bills!R16)</f>
        <v>522</v>
      </c>
      <c r="P15" s="87" t="str">
        <f>IF(AND(Bills!S16=""),"",Bills!S16)</f>
        <v/>
      </c>
      <c r="Q15" s="87">
        <f>IF(AND(Bills!T16=""),"",Bills!T16)</f>
        <v>442</v>
      </c>
      <c r="R15" s="87" t="str">
        <f>IF(AND(Bills!U16=""),"",Bills!U16)</f>
        <v/>
      </c>
      <c r="S15" s="87" t="str">
        <f>IF(AND(Bills!V16=""),"",Bills!V16)</f>
        <v/>
      </c>
      <c r="T15" s="87" t="str">
        <f>IF(AND(Bills!W16=""),"",Bills!W16)</f>
        <v/>
      </c>
      <c r="U15" s="87">
        <f>IF(AND(Bills!X16=""),"",Bills!X16)</f>
        <v>1500</v>
      </c>
      <c r="V15" s="87" t="str">
        <f>IF(AND(Bills!Y16=""),"",Bills!Y16)</f>
        <v/>
      </c>
      <c r="W15" s="87" t="str">
        <f>IF(AND(Bills!Z16=""),"",Bills!Z16)</f>
        <v/>
      </c>
      <c r="X15" s="87">
        <f>IF(AND(Bills!AA16=""),"",Bills!AA16)</f>
        <v>10464</v>
      </c>
      <c r="Y15" s="70">
        <f>IF(AND(Bills!AB16=""),"",Bills!AB16)</f>
        <v>48635</v>
      </c>
      <c r="Z15" s="76" t="str">
        <f>IF(AND(Bills!AC16=""),"",Bills!AC16)</f>
        <v/>
      </c>
      <c r="AA15" s="77" t="str">
        <f>IF(AND(Bills!AD16=""),"",Bills!AD16)</f>
        <v/>
      </c>
    </row>
    <row r="16" spans="1:89" ht="20.100000000000001" customHeight="1" x14ac:dyDescent="0.25">
      <c r="A16" s="71">
        <v>11</v>
      </c>
      <c r="B16" s="72">
        <f>IF(AND(Bills!C17=""),"",Bills!C17)</f>
        <v>43101</v>
      </c>
      <c r="C16" s="87">
        <f>IF(AND(Bills!F17=""),"",Bills!F17)</f>
        <v>52300</v>
      </c>
      <c r="D16" s="87">
        <f>IF(AND(Bills!G17=""),"",Bills!G17)</f>
        <v>2615</v>
      </c>
      <c r="E16" s="87">
        <f>IF(AND(Bills!H17=""),"",Bills!H17)</f>
        <v>4184</v>
      </c>
      <c r="F16" s="87" t="str">
        <f>IF(AND(Bills!I17=""),"",Bills!I17)</f>
        <v/>
      </c>
      <c r="G16" s="87" t="str">
        <f>IF(AND(Bills!J17=""),"",Bills!J17)</f>
        <v/>
      </c>
      <c r="H16" s="87" t="str">
        <f>IF(AND(Bills!K17=""),"",Bills!K17)</f>
        <v/>
      </c>
      <c r="I16" s="87" t="str">
        <f>IF(AND(Bills!L17=""),"",Bills!L17)</f>
        <v/>
      </c>
      <c r="J16" s="87" t="str">
        <f>IF(AND(Bills!M17=""),"",Bills!M17)</f>
        <v/>
      </c>
      <c r="K16" s="87" t="str">
        <f>IF(AND(Bills!N17=""),"",Bills!N17)</f>
        <v/>
      </c>
      <c r="L16" s="87">
        <f>IF(AND(Bills!O17=""),"",Bills!O17)</f>
        <v>59099</v>
      </c>
      <c r="M16" s="87">
        <f>IF(AND(Bills!P17=""),"",Bills!P17)</f>
        <v>3000</v>
      </c>
      <c r="N16" s="87">
        <f>IF(AND(Bills!Q17=""),"",Bills!Q17)</f>
        <v>5000</v>
      </c>
      <c r="O16" s="87">
        <f>IF(AND(Bills!R17=""),"",Bills!R17)</f>
        <v>522</v>
      </c>
      <c r="P16" s="87" t="str">
        <f>IF(AND(Bills!S17=""),"",Bills!S17)</f>
        <v/>
      </c>
      <c r="Q16" s="87">
        <f>IF(AND(Bills!T17=""),"",Bills!T17)</f>
        <v>442</v>
      </c>
      <c r="R16" s="87" t="str">
        <f>IF(AND(Bills!U17=""),"",Bills!U17)</f>
        <v/>
      </c>
      <c r="S16" s="87" t="str">
        <f>IF(AND(Bills!V17=""),"",Bills!V17)</f>
        <v/>
      </c>
      <c r="T16" s="87" t="str">
        <f>IF(AND(Bills!W17=""),"",Bills!W17)</f>
        <v/>
      </c>
      <c r="U16" s="87">
        <f>IF(AND(Bills!X17=""),"",Bills!X17)</f>
        <v>1500</v>
      </c>
      <c r="V16" s="87" t="str">
        <f>IF(AND(Bills!Y17=""),"",Bills!Y17)</f>
        <v/>
      </c>
      <c r="W16" s="87" t="str">
        <f>IF(AND(Bills!Z17=""),"",Bills!Z17)</f>
        <v/>
      </c>
      <c r="X16" s="87">
        <f>IF(AND(Bills!AA17=""),"",Bills!AA17)</f>
        <v>10464</v>
      </c>
      <c r="Y16" s="70">
        <f>IF(AND(Bills!AB17=""),"",Bills!AB17)</f>
        <v>48635</v>
      </c>
      <c r="Z16" s="76" t="str">
        <f>IF(AND(Bills!AC17=""),"",Bills!AC17)</f>
        <v/>
      </c>
      <c r="AA16" s="77" t="str">
        <f>IF(AND(Bills!AD17=""),"",Bills!AD17)</f>
        <v/>
      </c>
    </row>
    <row r="17" spans="1:27" ht="20.100000000000001" customHeight="1" x14ac:dyDescent="0.25">
      <c r="A17" s="71">
        <v>12</v>
      </c>
      <c r="B17" s="72">
        <f>IF(AND(Bills!C18=""),"",Bills!C18)</f>
        <v>43132</v>
      </c>
      <c r="C17" s="87">
        <f>IF(AND(Bills!F18=""),"",Bills!F18)</f>
        <v>52300</v>
      </c>
      <c r="D17" s="87">
        <f>IF(AND(Bills!G18=""),"",Bills!G18)</f>
        <v>2615</v>
      </c>
      <c r="E17" s="87">
        <f>IF(AND(Bills!H18=""),"",Bills!H18)</f>
        <v>4184</v>
      </c>
      <c r="F17" s="87" t="str">
        <f>IF(AND(Bills!I18=""),"",Bills!I18)</f>
        <v/>
      </c>
      <c r="G17" s="87" t="str">
        <f>IF(AND(Bills!J18=""),"",Bills!J18)</f>
        <v/>
      </c>
      <c r="H17" s="87" t="str">
        <f>IF(AND(Bills!K18=""),"",Bills!K18)</f>
        <v/>
      </c>
      <c r="I17" s="87" t="str">
        <f>IF(AND(Bills!L18=""),"",Bills!L18)</f>
        <v/>
      </c>
      <c r="J17" s="87" t="str">
        <f>IF(AND(Bills!M18=""),"",Bills!M18)</f>
        <v/>
      </c>
      <c r="K17" s="87" t="str">
        <f>IF(AND(Bills!N18=""),"",Bills!N18)</f>
        <v/>
      </c>
      <c r="L17" s="87">
        <f>IF(AND(Bills!O18=""),"",Bills!O18)</f>
        <v>59099</v>
      </c>
      <c r="M17" s="87">
        <f>IF(AND(Bills!P18=""),"",Bills!P18)</f>
        <v>3000</v>
      </c>
      <c r="N17" s="87">
        <f>IF(AND(Bills!Q18=""),"",Bills!Q18)</f>
        <v>5000</v>
      </c>
      <c r="O17" s="87">
        <f>IF(AND(Bills!R18=""),"",Bills!R18)</f>
        <v>522</v>
      </c>
      <c r="P17" s="87" t="str">
        <f>IF(AND(Bills!S18=""),"",Bills!S18)</f>
        <v/>
      </c>
      <c r="Q17" s="87">
        <f>IF(AND(Bills!T18=""),"",Bills!T18)</f>
        <v>442</v>
      </c>
      <c r="R17" s="87" t="str">
        <f>IF(AND(Bills!U18=""),"",Bills!U18)</f>
        <v/>
      </c>
      <c r="S17" s="87" t="str">
        <f>IF(AND(Bills!V18=""),"",Bills!V18)</f>
        <v/>
      </c>
      <c r="T17" s="87" t="str">
        <f>IF(AND(Bills!W18=""),"",Bills!W18)</f>
        <v/>
      </c>
      <c r="U17" s="87">
        <f>IF(AND(Bills!X18=""),"",Bills!X18)</f>
        <v>1500</v>
      </c>
      <c r="V17" s="87" t="str">
        <f>IF(AND(Bills!Y18=""),"",Bills!Y18)</f>
        <v/>
      </c>
      <c r="W17" s="87" t="str">
        <f>IF(AND(Bills!Z18=""),"",Bills!Z18)</f>
        <v/>
      </c>
      <c r="X17" s="87">
        <f>IF(AND(Bills!AA18=""),"",Bills!AA18)</f>
        <v>10464</v>
      </c>
      <c r="Y17" s="70">
        <f>IF(AND(Bills!AB18=""),"",Bills!AB18)</f>
        <v>48635</v>
      </c>
      <c r="Z17" s="76" t="str">
        <f>IF(AND(Bills!AC18=""),"",Bills!AC18)</f>
        <v/>
      </c>
      <c r="AA17" s="77" t="str">
        <f>IF(AND(Bills!AD18=""),"",Bills!AD18)</f>
        <v/>
      </c>
    </row>
    <row r="18" spans="1:27" ht="20.100000000000001" customHeight="1" x14ac:dyDescent="0.25">
      <c r="A18" s="71">
        <v>13</v>
      </c>
      <c r="B18" s="72" t="str">
        <f>IF(AND(Bills!C19=""),"",Bills!C19)</f>
        <v>Bonus</v>
      </c>
      <c r="C18" s="87" t="str">
        <f>IF(AND(Bills!F19=""),"",Bills!F19)</f>
        <v/>
      </c>
      <c r="D18" s="87" t="str">
        <f>IF(AND(Bills!G19=""),"",Bills!G19)</f>
        <v/>
      </c>
      <c r="E18" s="87" t="str">
        <f>IF(AND(Bills!H19=""),"",Bills!H19)</f>
        <v/>
      </c>
      <c r="F18" s="87" t="str">
        <f>IF(AND(Bills!I19=""),"",Bills!I19)</f>
        <v/>
      </c>
      <c r="G18" s="87" t="str">
        <f>IF(AND(Bills!J19=""),"",Bills!J19)</f>
        <v/>
      </c>
      <c r="H18" s="87">
        <f>IF(AND(Bills!K19=""),"",Bills!K19)</f>
        <v>6774</v>
      </c>
      <c r="I18" s="87" t="str">
        <f>IF(AND(Bills!L19=""),"",Bills!L19)</f>
        <v/>
      </c>
      <c r="J18" s="87" t="str">
        <f>IF(AND(Bills!M19=""),"",Bills!M19)</f>
        <v/>
      </c>
      <c r="K18" s="87" t="str">
        <f>IF(AND(Bills!N19=""),"",Bills!N19)</f>
        <v/>
      </c>
      <c r="L18" s="87">
        <f>IF(AND(Bills!O19=""),"",Bills!O19)</f>
        <v>6774</v>
      </c>
      <c r="M18" s="87" t="str">
        <f>IF(AND(Bills!P19=""),"",Bills!P19)</f>
        <v/>
      </c>
      <c r="N18" s="87" t="str">
        <f>IF(AND(Bills!Q19=""),"",Bills!Q19)</f>
        <v/>
      </c>
      <c r="O18" s="87" t="str">
        <f>IF(AND(Bills!R19=""),"",Bills!R19)</f>
        <v/>
      </c>
      <c r="P18" s="87" t="str">
        <f>IF(AND(Bills!S19=""),"",Bills!S19)</f>
        <v/>
      </c>
      <c r="Q18" s="87" t="str">
        <f>IF(AND(Bills!T19=""),"",Bills!T19)</f>
        <v/>
      </c>
      <c r="R18" s="87" t="str">
        <f>IF(AND(Bills!U19=""),"",Bills!U19)</f>
        <v/>
      </c>
      <c r="S18" s="87" t="str">
        <f>IF(AND(Bills!V19=""),"",Bills!V19)</f>
        <v/>
      </c>
      <c r="T18" s="87" t="str">
        <f>IF(AND(Bills!W19=""),"",Bills!W19)</f>
        <v/>
      </c>
      <c r="U18" s="87" t="str">
        <f>IF(AND(Bills!X19=""),"",Bills!X19)</f>
        <v/>
      </c>
      <c r="V18" s="87" t="str">
        <f>IF(AND(Bills!Y19=""),"",Bills!Y19)</f>
        <v/>
      </c>
      <c r="W18" s="87" t="str">
        <f>IF(AND(Bills!Z19=""),"",Bills!Z19)</f>
        <v/>
      </c>
      <c r="X18" s="87">
        <f>IF(AND(Bills!AA19=""),"",Bills!AA19)</f>
        <v>0</v>
      </c>
      <c r="Y18" s="70">
        <f>IF(AND(Bills!AB19=""),"",Bills!AB19)</f>
        <v>6774</v>
      </c>
      <c r="Z18" s="76" t="str">
        <f>IF(AND(Bills!AC19=""),"",Bills!AC19)</f>
        <v/>
      </c>
      <c r="AA18" s="77" t="str">
        <f>IF(AND(Bills!AD19=""),"",Bills!AD19)</f>
        <v/>
      </c>
    </row>
    <row r="19" spans="1:27" ht="24" customHeight="1" x14ac:dyDescent="0.25">
      <c r="A19" s="71">
        <v>14</v>
      </c>
      <c r="B19" s="224" t="str">
        <f>IF(AND(Bills!C20=""),"",Bills!C20)</f>
        <v>Arrer (Jan.17-Mar.17)</v>
      </c>
      <c r="C19" s="87" t="str">
        <f>IF(AND(Bills!F20=""),"",Bills!F20)</f>
        <v/>
      </c>
      <c r="D19" s="87">
        <f>IF(AND(Bills!G20=""),"",Bills!G20)</f>
        <v>2352</v>
      </c>
      <c r="E19" s="87" t="str">
        <f>IF(AND(Bills!H20=""),"",Bills!H20)</f>
        <v/>
      </c>
      <c r="F19" s="87" t="str">
        <f>IF(AND(Bills!I20=""),"",Bills!I20)</f>
        <v/>
      </c>
      <c r="G19" s="87" t="str">
        <f>IF(AND(Bills!J20=""),"",Bills!J20)</f>
        <v/>
      </c>
      <c r="H19" s="87" t="str">
        <f>IF(AND(Bills!K20=""),"",Bills!K20)</f>
        <v/>
      </c>
      <c r="I19" s="87" t="str">
        <f>IF(AND(Bills!L20=""),"",Bills!L20)</f>
        <v/>
      </c>
      <c r="J19" s="87" t="str">
        <f>IF(AND(Bills!M20=""),"",Bills!M20)</f>
        <v/>
      </c>
      <c r="K19" s="87" t="str">
        <f>IF(AND(Bills!N20=""),"",Bills!N20)</f>
        <v/>
      </c>
      <c r="L19" s="87">
        <f>IF(AND(Bills!O20=""),"",Bills!O20)</f>
        <v>2352</v>
      </c>
      <c r="M19" s="87" t="str">
        <f>IF(AND(Bills!P20=""),"",Bills!P20)</f>
        <v/>
      </c>
      <c r="N19" s="87">
        <f>IF(AND(Bills!Q20=""),"",Bills!Q20)</f>
        <v>2352</v>
      </c>
      <c r="O19" s="87" t="str">
        <f>IF(AND(Bills!R20=""),"",Bills!R20)</f>
        <v/>
      </c>
      <c r="P19" s="87" t="str">
        <f>IF(AND(Bills!S20=""),"",Bills!S20)</f>
        <v/>
      </c>
      <c r="Q19" s="87" t="str">
        <f>IF(AND(Bills!T20=""),"",Bills!T20)</f>
        <v/>
      </c>
      <c r="R19" s="87" t="str">
        <f>IF(AND(Bills!U20=""),"",Bills!U20)</f>
        <v/>
      </c>
      <c r="S19" s="87" t="str">
        <f>IF(AND(Bills!V20=""),"",Bills!V20)</f>
        <v/>
      </c>
      <c r="T19" s="87" t="str">
        <f>IF(AND(Bills!W20=""),"",Bills!W20)</f>
        <v/>
      </c>
      <c r="U19" s="87" t="str">
        <f>IF(AND(Bills!X20=""),"",Bills!X20)</f>
        <v/>
      </c>
      <c r="V19" s="87" t="str">
        <f>IF(AND(Bills!Y20=""),"",Bills!Y20)</f>
        <v/>
      </c>
      <c r="W19" s="87" t="str">
        <f>IF(AND(Bills!Z20=""),"",Bills!Z20)</f>
        <v/>
      </c>
      <c r="X19" s="87">
        <f>IF(AND(Bills!AA20=""),"",Bills!AA20)</f>
        <v>2352</v>
      </c>
      <c r="Y19" s="70">
        <f>IF(AND(Bills!AB20=""),"",Bills!AB20)</f>
        <v>0</v>
      </c>
      <c r="Z19" s="76" t="str">
        <f>IF(AND(Bills!AC20=""),"",Bills!AC20)</f>
        <v/>
      </c>
      <c r="AA19" s="77" t="str">
        <f>IF(AND(Bills!AD20=""),"",Bills!AD20)</f>
        <v/>
      </c>
    </row>
    <row r="20" spans="1:27" ht="24" customHeight="1" x14ac:dyDescent="0.25">
      <c r="A20" s="71">
        <v>15</v>
      </c>
      <c r="B20" s="224" t="str">
        <f>IF(AND(Bills!C21=""),"",Bills!C21)</f>
        <v>Arrer (Jul.17-sep.17)</v>
      </c>
      <c r="C20" s="87" t="str">
        <f>IF(AND(Bills!F21=""),"",Bills!F21)</f>
        <v/>
      </c>
      <c r="D20" s="87">
        <f>IF(AND(Bills!G21=""),"",Bills!G21)</f>
        <v>1818</v>
      </c>
      <c r="E20" s="87" t="str">
        <f>IF(AND(Bills!H21=""),"",Bills!H21)</f>
        <v/>
      </c>
      <c r="F20" s="87" t="str">
        <f>IF(AND(Bills!I21=""),"",Bills!I21)</f>
        <v/>
      </c>
      <c r="G20" s="87" t="str">
        <f>IF(AND(Bills!J21=""),"",Bills!J21)</f>
        <v/>
      </c>
      <c r="H20" s="87" t="str">
        <f>IF(AND(Bills!K21=""),"",Bills!K21)</f>
        <v/>
      </c>
      <c r="I20" s="87" t="str">
        <f>IF(AND(Bills!L21=""),"",Bills!L21)</f>
        <v/>
      </c>
      <c r="J20" s="87" t="str">
        <f>IF(AND(Bills!M21=""),"",Bills!M21)</f>
        <v/>
      </c>
      <c r="K20" s="87" t="str">
        <f>IF(AND(Bills!N21=""),"",Bills!N21)</f>
        <v/>
      </c>
      <c r="L20" s="87">
        <f>IF(AND(Bills!O21=""),"",Bills!O21)</f>
        <v>1818</v>
      </c>
      <c r="M20" s="87" t="str">
        <f>IF(AND(Bills!P21=""),"",Bills!P21)</f>
        <v/>
      </c>
      <c r="N20" s="87">
        <f>IF(AND(Bills!Q21=""),"",Bills!Q21)</f>
        <v>1818</v>
      </c>
      <c r="O20" s="87" t="str">
        <f>IF(AND(Bills!R21=""),"",Bills!R21)</f>
        <v/>
      </c>
      <c r="P20" s="87" t="str">
        <f>IF(AND(Bills!S21=""),"",Bills!S21)</f>
        <v/>
      </c>
      <c r="Q20" s="87" t="str">
        <f>IF(AND(Bills!T21=""),"",Bills!T21)</f>
        <v/>
      </c>
      <c r="R20" s="87" t="str">
        <f>IF(AND(Bills!U21=""),"",Bills!U21)</f>
        <v/>
      </c>
      <c r="S20" s="87" t="str">
        <f>IF(AND(Bills!V21=""),"",Bills!V21)</f>
        <v/>
      </c>
      <c r="T20" s="87" t="str">
        <f>IF(AND(Bills!W21=""),"",Bills!W21)</f>
        <v/>
      </c>
      <c r="U20" s="87" t="str">
        <f>IF(AND(Bills!X21=""),"",Bills!X21)</f>
        <v/>
      </c>
      <c r="V20" s="87" t="str">
        <f>IF(AND(Bills!Y21=""),"",Bills!Y21)</f>
        <v/>
      </c>
      <c r="W20" s="87" t="str">
        <f>IF(AND(Bills!Z21=""),"",Bills!Z21)</f>
        <v/>
      </c>
      <c r="X20" s="87">
        <f>IF(AND(Bills!AA21=""),"",Bills!AA21)</f>
        <v>1818</v>
      </c>
      <c r="Y20" s="70">
        <f>IF(AND(Bills!AB21=""),"",Bills!AB21)</f>
        <v>0</v>
      </c>
      <c r="Z20" s="76" t="str">
        <f>IF(AND(Bills!AC21=""),"",Bills!AC21)</f>
        <v/>
      </c>
      <c r="AA20" s="77" t="str">
        <f>IF(AND(Bills!AD21=""),"",Bills!AD21)</f>
        <v/>
      </c>
    </row>
    <row r="21" spans="1:27" ht="21" customHeight="1" x14ac:dyDescent="0.25">
      <c r="A21" s="71">
        <v>16</v>
      </c>
      <c r="B21" s="72" t="str">
        <f>IF(AND(Bills!C22=""),"",Bills!C22)</f>
        <v>Surrender</v>
      </c>
      <c r="C21" s="87">
        <f>IF(AND(Bills!F22=""),"",Bills!F22)</f>
        <v>10095</v>
      </c>
      <c r="D21" s="87">
        <f>IF(AND(Bills!G22=""),"",Bills!G22)</f>
        <v>13729</v>
      </c>
      <c r="E21" s="87" t="str">
        <f>IF(AND(Bills!H22=""),"",Bills!H22)</f>
        <v/>
      </c>
      <c r="F21" s="87" t="str">
        <f>IF(AND(Bills!I22=""),"",Bills!I22)</f>
        <v/>
      </c>
      <c r="G21" s="87" t="str">
        <f>IF(AND(Bills!J22=""),"",Bills!J22)</f>
        <v/>
      </c>
      <c r="H21" s="87" t="str">
        <f>IF(AND(Bills!K22=""),"",Bills!K22)</f>
        <v/>
      </c>
      <c r="I21" s="87" t="str">
        <f>IF(AND(Bills!L22=""),"",Bills!L22)</f>
        <v/>
      </c>
      <c r="J21" s="87" t="str">
        <f>IF(AND(Bills!M22=""),"",Bills!M22)</f>
        <v/>
      </c>
      <c r="K21" s="87" t="str">
        <f>IF(AND(Bills!N22=""),"",Bills!N22)</f>
        <v/>
      </c>
      <c r="L21" s="134">
        <f>IF(AND(Bills!O22=""),"",Bills!O22)</f>
        <v>23824</v>
      </c>
      <c r="M21" s="87" t="str">
        <f>IF(AND(Bills!P22=""),"",Bills!P22)</f>
        <v/>
      </c>
      <c r="N21" s="87" t="str">
        <f>IF(AND(Bills!Q22=""),"",Bills!Q22)</f>
        <v/>
      </c>
      <c r="O21" s="87" t="str">
        <f>IF(AND(Bills!R22=""),"",Bills!R22)</f>
        <v/>
      </c>
      <c r="P21" s="87" t="str">
        <f>IF(AND(Bills!S22=""),"",Bills!S22)</f>
        <v/>
      </c>
      <c r="Q21" s="87" t="str">
        <f>IF(AND(Bills!T22=""),"",Bills!T22)</f>
        <v/>
      </c>
      <c r="R21" s="87" t="str">
        <f>IF(AND(Bills!U22=""),"",Bills!U22)</f>
        <v/>
      </c>
      <c r="S21" s="87" t="str">
        <f>IF(AND(Bills!V22=""),"",Bills!V22)</f>
        <v/>
      </c>
      <c r="T21" s="87" t="str">
        <f>IF(AND(Bills!W22=""),"",Bills!W22)</f>
        <v/>
      </c>
      <c r="U21" s="87" t="str">
        <f>IF(AND(Bills!X22=""),"",Bills!X22)</f>
        <v/>
      </c>
      <c r="V21" s="87" t="str">
        <f>IF(AND(Bills!Y22=""),"",Bills!Y22)</f>
        <v/>
      </c>
      <c r="W21" s="87" t="str">
        <f>IF(AND(Bills!Z22=""),"",Bills!Z22)</f>
        <v/>
      </c>
      <c r="X21" s="87">
        <f>IF(AND(Bills!AA22=""),"",Bills!AA22)</f>
        <v>0</v>
      </c>
      <c r="Y21" s="135">
        <f>IF(AND(Bills!AB22=""),"",Bills!AB22)</f>
        <v>23824</v>
      </c>
      <c r="Z21" s="76" t="str">
        <f>IF(AND(Bills!AC22=""),"",Bills!AC22)</f>
        <v/>
      </c>
      <c r="AA21" s="77" t="str">
        <f>IF(AND(Bills!AD22=""),"",Bills!AD22)</f>
        <v/>
      </c>
    </row>
    <row r="22" spans="1:27" ht="18.75" customHeight="1" x14ac:dyDescent="0.25">
      <c r="A22" s="71">
        <v>17</v>
      </c>
      <c r="B22" s="72" t="str">
        <f>IF(AND(Bills!C23=""),"",Bills!C23)</f>
        <v>Fixation Arrear</v>
      </c>
      <c r="C22" s="87" t="str">
        <f>IF(AND(Bills!F23=""),"",Bills!F23)</f>
        <v/>
      </c>
      <c r="D22" s="87" t="str">
        <f>IF(AND(Bills!G23=""),"",Bills!G23)</f>
        <v/>
      </c>
      <c r="E22" s="87" t="str">
        <f>IF(AND(Bills!H23=""),"",Bills!H23)</f>
        <v/>
      </c>
      <c r="F22" s="87" t="str">
        <f>IF(AND(Bills!I23=""),"",Bills!I23)</f>
        <v/>
      </c>
      <c r="G22" s="87" t="str">
        <f>IF(AND(Bills!J23=""),"",Bills!J23)</f>
        <v/>
      </c>
      <c r="H22" s="87" t="str">
        <f>IF(AND(Bills!K23=""),"",Bills!K23)</f>
        <v/>
      </c>
      <c r="I22" s="87" t="str">
        <f>IF(AND(Bills!L23=""),"",Bills!L23)</f>
        <v/>
      </c>
      <c r="J22" s="87" t="str">
        <f>IF(AND(Bills!M23=""),"",Bills!M23)</f>
        <v/>
      </c>
      <c r="K22" s="87" t="str">
        <f>IF(AND(Bills!N23=""),"",Bills!N23)</f>
        <v/>
      </c>
      <c r="L22" s="87">
        <f>IF(AND(Bills!O23=""),"",Bills!O23)</f>
        <v>0</v>
      </c>
      <c r="M22" s="87" t="str">
        <f>IF(AND(Bills!P23=""),"",Bills!P23)</f>
        <v/>
      </c>
      <c r="N22" s="87" t="str">
        <f>IF(AND(Bills!Q23=""),"",Bills!Q23)</f>
        <v/>
      </c>
      <c r="O22" s="87" t="str">
        <f>IF(AND(Bills!R23=""),"",Bills!R23)</f>
        <v/>
      </c>
      <c r="P22" s="87" t="str">
        <f>IF(AND(Bills!S23=""),"",Bills!S23)</f>
        <v/>
      </c>
      <c r="Q22" s="87" t="str">
        <f>IF(AND(Bills!T23=""),"",Bills!T23)</f>
        <v/>
      </c>
      <c r="R22" s="87" t="str">
        <f>IF(AND(Bills!U23=""),"",Bills!U23)</f>
        <v/>
      </c>
      <c r="S22" s="87" t="str">
        <f>IF(AND(Bills!V23=""),"",Bills!V23)</f>
        <v/>
      </c>
      <c r="T22" s="87" t="str">
        <f>IF(AND(Bills!W23=""),"",Bills!W23)</f>
        <v/>
      </c>
      <c r="U22" s="87" t="str">
        <f>IF(AND(Bills!X23=""),"",Bills!X23)</f>
        <v/>
      </c>
      <c r="V22" s="87" t="str">
        <f>IF(AND(Bills!Y23=""),"",Bills!Y23)</f>
        <v/>
      </c>
      <c r="W22" s="87" t="str">
        <f>IF(AND(Bills!Z23=""),"",Bills!Z23)</f>
        <v/>
      </c>
      <c r="X22" s="87">
        <f>IF(AND(Bills!AA23=""),"",Bills!AA23)</f>
        <v>0</v>
      </c>
      <c r="Y22" s="70">
        <f>IF(AND(Bills!AB23=""),"",Bills!AB23)</f>
        <v>0</v>
      </c>
      <c r="Z22" s="76" t="str">
        <f>IF(AND(Bills!AC23=""),"",Bills!AC23)</f>
        <v/>
      </c>
      <c r="AA22" s="77" t="str">
        <f>IF(AND(Bills!AD23=""),"",Bills!AD23)</f>
        <v/>
      </c>
    </row>
    <row r="23" spans="1:27" ht="17.25" customHeight="1" x14ac:dyDescent="0.25">
      <c r="A23" s="71">
        <v>18</v>
      </c>
      <c r="B23" s="72" t="str">
        <f>IF(AND(Bills!C24=""),"",Bills!C24)</f>
        <v>Salary Arrear</v>
      </c>
      <c r="C23" s="87" t="str">
        <f>IF(AND(Bills!F24=""),"",Bills!F24)</f>
        <v/>
      </c>
      <c r="D23" s="87" t="str">
        <f>IF(AND(Bills!G24=""),"",Bills!G24)</f>
        <v/>
      </c>
      <c r="E23" s="87" t="str">
        <f>IF(AND(Bills!H24=""),"",Bills!H24)</f>
        <v/>
      </c>
      <c r="F23" s="87" t="str">
        <f>IF(AND(Bills!I24=""),"",Bills!I24)</f>
        <v/>
      </c>
      <c r="G23" s="87" t="str">
        <f>IF(AND(Bills!J24=""),"",Bills!J24)</f>
        <v/>
      </c>
      <c r="H23" s="87" t="str">
        <f>IF(AND(Bills!K24=""),"",Bills!K24)</f>
        <v/>
      </c>
      <c r="I23" s="87" t="str">
        <f>IF(AND(Bills!L24=""),"",Bills!L24)</f>
        <v/>
      </c>
      <c r="J23" s="87" t="str">
        <f>IF(AND(Bills!M24=""),"",Bills!M24)</f>
        <v/>
      </c>
      <c r="K23" s="87" t="str">
        <f>IF(AND(Bills!N24=""),"",Bills!N24)</f>
        <v/>
      </c>
      <c r="L23" s="87">
        <f>IF(AND(Bills!O24=""),"",Bills!O24)</f>
        <v>0</v>
      </c>
      <c r="M23" s="87" t="str">
        <f>IF(AND(Bills!P24=""),"",Bills!P24)</f>
        <v/>
      </c>
      <c r="N23" s="87" t="str">
        <f>IF(AND(Bills!Q24=""),"",Bills!Q24)</f>
        <v/>
      </c>
      <c r="O23" s="87" t="str">
        <f>IF(AND(Bills!R24=""),"",Bills!R24)</f>
        <v/>
      </c>
      <c r="P23" s="87" t="str">
        <f>IF(AND(Bills!S24=""),"",Bills!S24)</f>
        <v/>
      </c>
      <c r="Q23" s="87" t="str">
        <f>IF(AND(Bills!T24=""),"",Bills!T24)</f>
        <v/>
      </c>
      <c r="R23" s="87" t="str">
        <f>IF(AND(Bills!U24=""),"",Bills!U24)</f>
        <v/>
      </c>
      <c r="S23" s="87" t="str">
        <f>IF(AND(Bills!V24=""),"",Bills!V24)</f>
        <v/>
      </c>
      <c r="T23" s="87" t="str">
        <f>IF(AND(Bills!W24=""),"",Bills!W24)</f>
        <v/>
      </c>
      <c r="U23" s="87" t="str">
        <f>IF(AND(Bills!X24=""),"",Bills!X24)</f>
        <v/>
      </c>
      <c r="V23" s="87" t="str">
        <f>IF(AND(Bills!Y24=""),"",Bills!Y24)</f>
        <v/>
      </c>
      <c r="W23" s="87" t="str">
        <f>IF(AND(Bills!Z24=""),"",Bills!Z24)</f>
        <v/>
      </c>
      <c r="X23" s="87">
        <f>IF(AND(Bills!AA24=""),"",Bills!AA24)</f>
        <v>0</v>
      </c>
      <c r="Y23" s="70">
        <f>IF(AND(Bills!AB24=""),"",Bills!AB24)</f>
        <v>0</v>
      </c>
      <c r="Z23" s="76" t="str">
        <f>IF(AND(Bills!AC24=""),"",Bills!AC24)</f>
        <v/>
      </c>
      <c r="AA23" s="77" t="str">
        <f>IF(AND(Bills!AD24=""),"",Bills!AD24)</f>
        <v/>
      </c>
    </row>
    <row r="24" spans="1:27" ht="17.25" customHeight="1" x14ac:dyDescent="0.25">
      <c r="A24" s="71">
        <v>19</v>
      </c>
      <c r="B24" s="72" t="str">
        <f>IF(AND(Bills!C25=""),"",Bills!C25)</f>
        <v>OTHER</v>
      </c>
      <c r="C24" s="87" t="str">
        <f>IF(AND(Bills!F25=""),"",Bills!F25)</f>
        <v/>
      </c>
      <c r="D24" s="87" t="str">
        <f>IF(AND(Bills!G25=""),"",Bills!G25)</f>
        <v/>
      </c>
      <c r="E24" s="87" t="str">
        <f>IF(AND(Bills!H25=""),"",Bills!H25)</f>
        <v/>
      </c>
      <c r="F24" s="87" t="str">
        <f>IF(AND(Bills!I25=""),"",Bills!I25)</f>
        <v/>
      </c>
      <c r="G24" s="87" t="str">
        <f>IF(AND(Bills!J25=""),"",Bills!J25)</f>
        <v/>
      </c>
      <c r="H24" s="87" t="str">
        <f>IF(AND(Bills!K25=""),"",Bills!K25)</f>
        <v/>
      </c>
      <c r="I24" s="87" t="str">
        <f>IF(AND(Bills!L25=""),"",Bills!L25)</f>
        <v/>
      </c>
      <c r="J24" s="87" t="str">
        <f>IF(AND(Bills!M25=""),"",Bills!M25)</f>
        <v/>
      </c>
      <c r="K24" s="87" t="str">
        <f>IF(AND(Bills!N25=""),"",Bills!N25)</f>
        <v/>
      </c>
      <c r="L24" s="87">
        <f>IF(AND(Bills!O25=""),"",Bills!O25)</f>
        <v>0</v>
      </c>
      <c r="M24" s="87" t="str">
        <f>IF(AND(Bills!P25=""),"",Bills!P25)</f>
        <v/>
      </c>
      <c r="N24" s="87" t="str">
        <f>IF(AND(Bills!Q25=""),"",Bills!Q25)</f>
        <v/>
      </c>
      <c r="O24" s="87" t="str">
        <f>IF(AND(Bills!R25=""),"",Bills!R25)</f>
        <v/>
      </c>
      <c r="P24" s="87" t="str">
        <f>IF(AND(Bills!S25=""),"",Bills!S25)</f>
        <v/>
      </c>
      <c r="Q24" s="87" t="str">
        <f>IF(AND(Bills!T25=""),"",Bills!T25)</f>
        <v/>
      </c>
      <c r="R24" s="87" t="str">
        <f>IF(AND(Bills!U25=""),"",Bills!U25)</f>
        <v/>
      </c>
      <c r="S24" s="87" t="str">
        <f>IF(AND(Bills!V25=""),"",Bills!V25)</f>
        <v/>
      </c>
      <c r="T24" s="87" t="str">
        <f>IF(AND(Bills!W25=""),"",Bills!W25)</f>
        <v/>
      </c>
      <c r="U24" s="87" t="str">
        <f>IF(AND(Bills!X25=""),"",Bills!X25)</f>
        <v/>
      </c>
      <c r="V24" s="87" t="str">
        <f>IF(AND(Bills!Y25=""),"",Bills!Y25)</f>
        <v/>
      </c>
      <c r="W24" s="87" t="str">
        <f>IF(AND(Bills!Z25=""),"",Bills!Z25)</f>
        <v/>
      </c>
      <c r="X24" s="87">
        <f>IF(AND(Bills!AA25=""),"",Bills!AA25)</f>
        <v>0</v>
      </c>
      <c r="Y24" s="70">
        <f>IF(AND(Bills!AB25=""),"",Bills!AB25)</f>
        <v>0</v>
      </c>
      <c r="Z24" s="76" t="str">
        <f>IF(AND(Bills!AC25=""),"",Bills!AC25)</f>
        <v/>
      </c>
      <c r="AA24" s="77" t="str">
        <f>IF(AND(Bills!AD25=""),"",Bills!AD25)</f>
        <v/>
      </c>
    </row>
    <row r="25" spans="1:27" ht="20.100000000000001" customHeight="1" x14ac:dyDescent="0.25">
      <c r="A25" s="71">
        <v>20</v>
      </c>
      <c r="B25" s="72" t="str">
        <f>IF(AND(Bills!C26=""),"",Bills!C26)</f>
        <v/>
      </c>
      <c r="C25" s="87" t="str">
        <f>IF(AND(Bills!F26=""),"",Bills!F26)</f>
        <v/>
      </c>
      <c r="D25" s="87" t="str">
        <f>IF(AND(Bills!G26=""),"",Bills!G26)</f>
        <v/>
      </c>
      <c r="E25" s="87" t="str">
        <f>IF(AND(Bills!H26=""),"",Bills!H26)</f>
        <v/>
      </c>
      <c r="F25" s="87" t="str">
        <f>IF(AND(Bills!I26=""),"",Bills!I26)</f>
        <v/>
      </c>
      <c r="G25" s="87" t="str">
        <f>IF(AND(Bills!J26=""),"",Bills!J26)</f>
        <v/>
      </c>
      <c r="H25" s="87" t="str">
        <f>IF(AND(Bills!K26=""),"",Bills!K26)</f>
        <v/>
      </c>
      <c r="I25" s="87" t="str">
        <f>IF(AND(Bills!L26=""),"",Bills!L26)</f>
        <v/>
      </c>
      <c r="J25" s="87" t="str">
        <f>IF(AND(Bills!M26=""),"",Bills!M26)</f>
        <v/>
      </c>
      <c r="K25" s="87" t="str">
        <f>IF(AND(Bills!N26=""),"",Bills!N26)</f>
        <v/>
      </c>
      <c r="L25" s="87" t="str">
        <f>IF(AND(Bills!O26=""),"",Bills!O26)</f>
        <v/>
      </c>
      <c r="M25" s="87" t="str">
        <f>IF(AND(Bills!P26=""),"",Bills!P26)</f>
        <v/>
      </c>
      <c r="N25" s="87" t="str">
        <f>IF(AND(Bills!Q26=""),"",Bills!Q26)</f>
        <v/>
      </c>
      <c r="O25" s="87" t="str">
        <f>IF(AND(Bills!R26=""),"",Bills!R26)</f>
        <v/>
      </c>
      <c r="P25" s="87" t="str">
        <f>IF(AND(Bills!S26=""),"",Bills!S26)</f>
        <v/>
      </c>
      <c r="Q25" s="87" t="str">
        <f>IF(AND(Bills!T26=""),"",Bills!T26)</f>
        <v/>
      </c>
      <c r="R25" s="87" t="str">
        <f>IF(AND(Bills!U26=""),"",Bills!U26)</f>
        <v/>
      </c>
      <c r="S25" s="87" t="str">
        <f>IF(AND(Bills!V26=""),"",Bills!V26)</f>
        <v/>
      </c>
      <c r="T25" s="87" t="str">
        <f>IF(AND(Bills!W26=""),"",Bills!W26)</f>
        <v/>
      </c>
      <c r="U25" s="87" t="str">
        <f>IF(AND(Bills!X26=""),"",Bills!X26)</f>
        <v/>
      </c>
      <c r="V25" s="87" t="str">
        <f>IF(AND(Bills!Y26=""),"",Bills!Y26)</f>
        <v/>
      </c>
      <c r="W25" s="87" t="str">
        <f>IF(AND(Bills!Z26=""),"",Bills!Z26)</f>
        <v/>
      </c>
      <c r="X25" s="87" t="str">
        <f>IF(AND(Bills!AA26=""),"",Bills!AA26)</f>
        <v/>
      </c>
      <c r="Y25" s="70" t="str">
        <f>IF(AND(Bills!AB26=""),"",Bills!AB26)</f>
        <v/>
      </c>
      <c r="Z25" s="76" t="str">
        <f>IF(AND(Bills!AC26=""),"",Bills!AC26)</f>
        <v/>
      </c>
      <c r="AA25" s="77" t="str">
        <f>IF(AND(Bills!AD26=""),"",Bills!AD26)</f>
        <v/>
      </c>
    </row>
    <row r="26" spans="1:27" ht="28.5" customHeight="1" x14ac:dyDescent="0.25">
      <c r="A26" s="73"/>
      <c r="B26" s="230" t="s">
        <v>159</v>
      </c>
      <c r="C26" s="69">
        <f>IF(AND($D$2=""),"",SUM(C6:C25))</f>
        <v>378455</v>
      </c>
      <c r="D26" s="69">
        <f>IF(AND($D$2=""),"",SUM(D6:D25))</f>
        <v>244637</v>
      </c>
      <c r="E26" s="69">
        <f>IF(AND($D$2=""),"",SUM(E6:E25))</f>
        <v>32652</v>
      </c>
      <c r="F26" s="69">
        <f t="shared" ref="F26:Y26" si="0">IF(AND($D$2=""),"",SUM(F6:F25))</f>
        <v>0</v>
      </c>
      <c r="G26" s="69">
        <f t="shared" si="0"/>
        <v>0</v>
      </c>
      <c r="H26" s="69">
        <f t="shared" si="0"/>
        <v>6774</v>
      </c>
      <c r="I26" s="69">
        <f t="shared" si="0"/>
        <v>0</v>
      </c>
      <c r="J26" s="69">
        <f>IF(AND($D$2=""),"",SUM(J6:J25))</f>
        <v>0</v>
      </c>
      <c r="K26" s="69">
        <f t="shared" si="0"/>
        <v>0</v>
      </c>
      <c r="L26" s="69">
        <f t="shared" si="0"/>
        <v>662518</v>
      </c>
      <c r="M26" s="69">
        <f t="shared" si="0"/>
        <v>36000</v>
      </c>
      <c r="N26" s="69">
        <f t="shared" si="0"/>
        <v>64170</v>
      </c>
      <c r="O26" s="69">
        <f t="shared" si="0"/>
        <v>6146</v>
      </c>
      <c r="P26" s="69">
        <f t="shared" si="0"/>
        <v>0</v>
      </c>
      <c r="Q26" s="69">
        <f t="shared" si="0"/>
        <v>5304</v>
      </c>
      <c r="R26" s="69">
        <f t="shared" si="0"/>
        <v>0</v>
      </c>
      <c r="S26" s="69">
        <f t="shared" si="0"/>
        <v>0</v>
      </c>
      <c r="T26" s="69">
        <f t="shared" si="0"/>
        <v>0</v>
      </c>
      <c r="U26" s="69">
        <f t="shared" si="0"/>
        <v>12000</v>
      </c>
      <c r="V26" s="69">
        <f t="shared" si="0"/>
        <v>252.9</v>
      </c>
      <c r="W26" s="69">
        <f t="shared" si="0"/>
        <v>0</v>
      </c>
      <c r="X26" s="79">
        <f>IF(AND($D$2=""),"",SUM(X6:X25))</f>
        <v>123872.9</v>
      </c>
      <c r="Y26" s="69">
        <f t="shared" si="0"/>
        <v>538645.1</v>
      </c>
      <c r="Z26" s="74"/>
      <c r="AA26" s="75"/>
    </row>
    <row r="27" spans="1:27" ht="36" customHeight="1" x14ac:dyDescent="0.25">
      <c r="A27" s="154"/>
      <c r="B27" s="155"/>
      <c r="C27" s="155"/>
      <c r="D27" s="155"/>
      <c r="E27" s="155"/>
      <c r="F27" s="155"/>
      <c r="G27" s="155"/>
      <c r="H27" s="155"/>
      <c r="I27" s="155"/>
      <c r="J27" s="155"/>
      <c r="K27" s="155"/>
      <c r="L27" s="155"/>
      <c r="M27" s="155"/>
      <c r="N27" s="155"/>
      <c r="O27" s="155"/>
      <c r="P27" s="156"/>
      <c r="Q27" s="156"/>
      <c r="R27" s="156"/>
      <c r="S27" s="156"/>
      <c r="T27" s="156"/>
      <c r="U27" s="156"/>
      <c r="V27" s="156"/>
      <c r="W27" s="156"/>
      <c r="X27" s="156"/>
      <c r="Y27" s="156"/>
      <c r="Z27" s="156"/>
      <c r="AA27" s="17"/>
    </row>
    <row r="28" spans="1:27" ht="20.25" customHeight="1" x14ac:dyDescent="0.25">
      <c r="A28" s="154"/>
      <c r="B28" s="155"/>
      <c r="C28" s="555" t="str">
        <f>UPPER(IF(Master!D10="","",Master!D10))</f>
        <v>ROOPARAM</v>
      </c>
      <c r="D28" s="555"/>
      <c r="E28" s="555"/>
      <c r="F28" s="555"/>
      <c r="G28" s="555"/>
      <c r="H28" s="555"/>
      <c r="I28" s="155"/>
      <c r="J28" s="155"/>
      <c r="K28" s="155"/>
      <c r="L28" s="155"/>
      <c r="M28" s="155"/>
      <c r="N28" s="155"/>
      <c r="O28" s="155"/>
      <c r="P28" s="156"/>
      <c r="Q28" s="156"/>
      <c r="R28" s="556" t="str">
        <f>IF(AND(Master!D18=""),"",CONCATENATE("( ",UPPER( Master!D18), " )",))</f>
        <v>( NAHAR SINGH RATHORE )</v>
      </c>
      <c r="S28" s="556"/>
      <c r="T28" s="556"/>
      <c r="U28" s="556"/>
      <c r="V28" s="556"/>
      <c r="W28" s="556"/>
      <c r="X28" s="556"/>
      <c r="Y28" s="556"/>
      <c r="Z28" s="157"/>
      <c r="AA28" s="17"/>
    </row>
    <row r="29" spans="1:27" ht="21" customHeight="1" thickBot="1" x14ac:dyDescent="0.3">
      <c r="A29" s="158"/>
      <c r="B29" s="159"/>
      <c r="C29" s="159"/>
      <c r="D29" s="548" t="s">
        <v>278</v>
      </c>
      <c r="E29" s="548"/>
      <c r="F29" s="548"/>
      <c r="G29" s="548"/>
      <c r="H29" s="160"/>
      <c r="I29" s="160"/>
      <c r="J29" s="160"/>
      <c r="K29" s="159"/>
      <c r="L29" s="159"/>
      <c r="M29" s="159"/>
      <c r="N29" s="159"/>
      <c r="O29" s="159"/>
      <c r="P29" s="161"/>
      <c r="Q29" s="161"/>
      <c r="R29" s="547" t="s">
        <v>279</v>
      </c>
      <c r="S29" s="547"/>
      <c r="T29" s="547"/>
      <c r="U29" s="547"/>
      <c r="V29" s="547"/>
      <c r="W29" s="547"/>
      <c r="X29" s="547"/>
      <c r="Y29" s="547"/>
      <c r="Z29" s="162"/>
      <c r="AA29" s="18"/>
    </row>
    <row r="30" spans="1:27" ht="15" x14ac:dyDescent="0.25">
      <c r="Y30" s="5"/>
      <c r="Z30" s="5"/>
    </row>
    <row r="31" spans="1:27" ht="15" x14ac:dyDescent="0.25">
      <c r="Y31" s="5"/>
      <c r="Z31" s="5"/>
    </row>
  </sheetData>
  <sheetProtection algorithmName="SHA-512" hashValue="D5Mo/rhbVYGpN2615laBfIAWmF5eJDqLWQn2dim1/WdA13VabEN8QJ5CFzb8YlI4XQLy1puKZQBnqxF0r1duEg==" saltValue="y3yXFnaXKs+mXS6Gzomw1g==" spinCount="100000" sheet="1" formatCells="0" formatColumns="0" formatRows="0" insertColumns="0" insertRows="0" insertHyperlinks="0" deleteColumns="0" deleteRows="0" sort="0" autoFilter="0" pivotTables="0"/>
  <mergeCells count="26">
    <mergeCell ref="A3:B3"/>
    <mergeCell ref="M4:X4"/>
    <mergeCell ref="Y4:Y5"/>
    <mergeCell ref="Y1:AA1"/>
    <mergeCell ref="Z4:Z5"/>
    <mergeCell ref="AA4:AA5"/>
    <mergeCell ref="V1:X1"/>
    <mergeCell ref="K3:M3"/>
    <mergeCell ref="N3:P3"/>
    <mergeCell ref="A4:L4"/>
    <mergeCell ref="R29:Y29"/>
    <mergeCell ref="D29:G29"/>
    <mergeCell ref="D2:H2"/>
    <mergeCell ref="Y3:AA3"/>
    <mergeCell ref="C3:E3"/>
    <mergeCell ref="G3:I3"/>
    <mergeCell ref="Q3:U3"/>
    <mergeCell ref="V3:X3"/>
    <mergeCell ref="C28:H28"/>
    <mergeCell ref="R28:Y28"/>
    <mergeCell ref="Z2:AA2"/>
    <mergeCell ref="T2:Y2"/>
    <mergeCell ref="P2:S2"/>
    <mergeCell ref="L2:O2"/>
    <mergeCell ref="I2:K2"/>
    <mergeCell ref="A2:C2"/>
  </mergeCells>
  <dataValidations count="1">
    <dataValidation type="list" allowBlank="1" showInputMessage="1" showErrorMessage="1" sqref="J3">
      <formula1>$CH$3:$CH$5</formula1>
    </dataValidation>
  </dataValidations>
  <pageMargins left="0.45" right="0.2" top="0.5" bottom="0.5" header="0.3" footer="0.3"/>
  <pageSetup paperSize="9" scale="80" orientation="landscape" verticalDpi="300" r:id="rId1"/>
  <customProperties>
    <customPr name="DVSECTION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251"/>
  <sheetViews>
    <sheetView workbookViewId="0">
      <selection activeCell="CY251" sqref="CY251"/>
    </sheetView>
  </sheetViews>
  <sheetFormatPr defaultRowHeight="15" x14ac:dyDescent="0.25"/>
  <sheetData>
    <row r="1" spans="1:256" x14ac:dyDescent="0.25">
      <c r="A1" t="e">
        <f>IF(Master!#REF!,"AAAAAG7sOAA=",0)</f>
        <v>#REF!</v>
      </c>
      <c r="B1" t="e">
        <f>AND(Master!#REF!,"AAAAAG7sOAE=")</f>
        <v>#REF!</v>
      </c>
      <c r="C1" t="e">
        <f>AND(Master!#REF!,"AAAAAG7sOAI=")</f>
        <v>#REF!</v>
      </c>
      <c r="D1" t="e">
        <f>AND(Master!#REF!,"AAAAAG7sOAM=")</f>
        <v>#REF!</v>
      </c>
      <c r="E1" t="e">
        <f>AND(Master!#REF!,"AAAAAG7sOAQ=")</f>
        <v>#REF!</v>
      </c>
      <c r="F1" t="e">
        <f>AND(Master!#REF!,"AAAAAG7sOAU=")</f>
        <v>#REF!</v>
      </c>
      <c r="G1" t="e">
        <f>AND(Master!#REF!,"AAAAAG7sOAY=")</f>
        <v>#REF!</v>
      </c>
      <c r="H1" t="e">
        <f>AND(Master!#REF!,"AAAAAG7sOAc=")</f>
        <v>#REF!</v>
      </c>
      <c r="I1" t="e">
        <f>AND(Master!#REF!,"AAAAAG7sOAg=")</f>
        <v>#REF!</v>
      </c>
      <c r="J1" t="e">
        <f>AND(Master!#REF!,"AAAAAG7sOAk=")</f>
        <v>#REF!</v>
      </c>
      <c r="K1" t="e">
        <f>AND(Master!#REF!,"AAAAAG7sOAo=")</f>
        <v>#REF!</v>
      </c>
      <c r="L1" t="e">
        <f>AND(Master!#REF!,"AAAAAG7sOAs=")</f>
        <v>#REF!</v>
      </c>
      <c r="M1" t="e">
        <f>AND(Master!#REF!,"AAAAAG7sOAw=")</f>
        <v>#REF!</v>
      </c>
      <c r="N1" t="e">
        <f>AND(Master!#REF!,"AAAAAG7sOA0=")</f>
        <v>#REF!</v>
      </c>
      <c r="O1" t="e">
        <f>AND(Master!#REF!,"AAAAAG7sOA4=")</f>
        <v>#REF!</v>
      </c>
      <c r="P1" t="e">
        <f>AND(Master!#REF!,"AAAAAG7sOA8=")</f>
        <v>#REF!</v>
      </c>
      <c r="Q1" t="e">
        <f>AND(Master!#REF!,"AAAAAG7sOBA=")</f>
        <v>#REF!</v>
      </c>
      <c r="R1" t="e">
        <f>AND(Master!#REF!,"AAAAAG7sOBE=")</f>
        <v>#REF!</v>
      </c>
      <c r="S1" t="e">
        <f>AND(Master!#REF!,"AAAAAG7sOBI=")</f>
        <v>#REF!</v>
      </c>
      <c r="T1" t="e">
        <f>AND(Master!#REF!,"AAAAAG7sOBM=")</f>
        <v>#REF!</v>
      </c>
      <c r="U1" t="e">
        <f>AND(Master!#REF!,"AAAAAG7sOBQ=")</f>
        <v>#REF!</v>
      </c>
      <c r="V1" t="e">
        <f>AND(Master!#REF!,"AAAAAG7sOBU=")</f>
        <v>#REF!</v>
      </c>
      <c r="W1" t="e">
        <f>AND(Master!#REF!,"AAAAAG7sOBY=")</f>
        <v>#REF!</v>
      </c>
      <c r="X1" t="e">
        <f>AND(Master!#REF!,"AAAAAG7sOBc=")</f>
        <v>#REF!</v>
      </c>
      <c r="Y1" t="e">
        <f>IF(Master!#REF!,"AAAAAG7sOBg=",0)</f>
        <v>#REF!</v>
      </c>
      <c r="Z1" t="e">
        <f>AND(Master!#REF!,"AAAAAG7sOBk=")</f>
        <v>#REF!</v>
      </c>
      <c r="AA1" t="e">
        <f>AND(Master!#REF!,"AAAAAG7sOBo=")</f>
        <v>#REF!</v>
      </c>
      <c r="AB1" t="e">
        <f>AND(Master!#REF!,"AAAAAG7sOBs=")</f>
        <v>#REF!</v>
      </c>
      <c r="AC1" t="e">
        <f>AND(Master!#REF!,"AAAAAG7sOBw=")</f>
        <v>#REF!</v>
      </c>
      <c r="AD1" t="e">
        <f>AND(Master!#REF!,"AAAAAG7sOB0=")</f>
        <v>#REF!</v>
      </c>
      <c r="AE1" t="e">
        <f>AND(Master!#REF!,"AAAAAG7sOB4=")</f>
        <v>#REF!</v>
      </c>
      <c r="AF1" t="e">
        <f>AND(Master!#REF!,"AAAAAG7sOB8=")</f>
        <v>#REF!</v>
      </c>
      <c r="AG1" t="e">
        <f>AND(Master!#REF!,"AAAAAG7sOCA=")</f>
        <v>#REF!</v>
      </c>
      <c r="AH1" t="e">
        <f>AND(Master!#REF!,"AAAAAG7sOCE=")</f>
        <v>#REF!</v>
      </c>
      <c r="AI1" t="e">
        <f>AND(Master!#REF!,"AAAAAG7sOCI=")</f>
        <v>#REF!</v>
      </c>
      <c r="AJ1" t="e">
        <f>AND(Master!#REF!,"AAAAAG7sOCM=")</f>
        <v>#REF!</v>
      </c>
      <c r="AK1" t="e">
        <f>AND(Master!#REF!,"AAAAAG7sOCQ=")</f>
        <v>#REF!</v>
      </c>
      <c r="AL1" t="e">
        <f>AND(Master!#REF!,"AAAAAG7sOCU=")</f>
        <v>#REF!</v>
      </c>
      <c r="AM1" t="e">
        <f>AND(Master!#REF!,"AAAAAG7sOCY=")</f>
        <v>#REF!</v>
      </c>
      <c r="AN1" t="e">
        <f>AND(Master!#REF!,"AAAAAG7sOCc=")</f>
        <v>#REF!</v>
      </c>
      <c r="AO1" t="e">
        <f>AND(Master!#REF!,"AAAAAG7sOCg=")</f>
        <v>#REF!</v>
      </c>
      <c r="AP1" t="e">
        <f>AND(Master!#REF!,"AAAAAG7sOCk=")</f>
        <v>#REF!</v>
      </c>
      <c r="AQ1" t="e">
        <f>AND(Master!#REF!,"AAAAAG7sOCo=")</f>
        <v>#REF!</v>
      </c>
      <c r="AR1" t="e">
        <f>AND(Master!#REF!,"AAAAAG7sOCs=")</f>
        <v>#REF!</v>
      </c>
      <c r="AS1" t="e">
        <f>AND(Master!#REF!,"AAAAAG7sOCw=")</f>
        <v>#REF!</v>
      </c>
      <c r="AT1" t="e">
        <f>AND(Master!#REF!,"AAAAAG7sOC0=")</f>
        <v>#REF!</v>
      </c>
      <c r="AU1" t="e">
        <f>AND(Master!#REF!,"AAAAAG7sOC4=")</f>
        <v>#REF!</v>
      </c>
      <c r="AV1" t="e">
        <f>AND(Master!#REF!,"AAAAAG7sOC8=")</f>
        <v>#REF!</v>
      </c>
      <c r="AW1" t="e">
        <f>IF(Master!#REF!,"AAAAAG7sODA=",0)</f>
        <v>#REF!</v>
      </c>
      <c r="AX1" t="e">
        <f>AND(Master!#REF!,"AAAAAG7sODE=")</f>
        <v>#REF!</v>
      </c>
      <c r="AY1" t="e">
        <f>AND(Master!#REF!,"AAAAAG7sODI=")</f>
        <v>#REF!</v>
      </c>
      <c r="AZ1" t="e">
        <f>AND(Master!#REF!,"AAAAAG7sODM=")</f>
        <v>#REF!</v>
      </c>
      <c r="BA1" t="e">
        <f>AND(Master!#REF!,"AAAAAG7sODQ=")</f>
        <v>#REF!</v>
      </c>
      <c r="BB1" t="e">
        <f>AND(Master!#REF!,"AAAAAG7sODU=")</f>
        <v>#REF!</v>
      </c>
      <c r="BC1" t="e">
        <f>AND(Master!#REF!,"AAAAAG7sODY=")</f>
        <v>#REF!</v>
      </c>
      <c r="BD1" t="e">
        <f>AND(Master!#REF!,"AAAAAG7sODc=")</f>
        <v>#REF!</v>
      </c>
      <c r="BE1" t="e">
        <f>AND(Master!#REF!,"AAAAAG7sODg=")</f>
        <v>#REF!</v>
      </c>
      <c r="BF1" t="e">
        <f>AND(Master!#REF!,"AAAAAG7sODk=")</f>
        <v>#REF!</v>
      </c>
      <c r="BG1" t="e">
        <f>AND(Master!#REF!,"AAAAAG7sODo=")</f>
        <v>#REF!</v>
      </c>
      <c r="BH1" t="e">
        <f>AND(Master!#REF!,"AAAAAG7sODs=")</f>
        <v>#REF!</v>
      </c>
      <c r="BI1" t="e">
        <f>AND(Master!#REF!,"AAAAAG7sODw=")</f>
        <v>#REF!</v>
      </c>
      <c r="BJ1" t="e">
        <f>AND(Master!#REF!,"AAAAAG7sOD0=")</f>
        <v>#REF!</v>
      </c>
      <c r="BK1" t="e">
        <f>AND(Master!#REF!,"AAAAAG7sOD4=")</f>
        <v>#REF!</v>
      </c>
      <c r="BL1" t="e">
        <f>AND(Master!#REF!,"AAAAAG7sOD8=")</f>
        <v>#REF!</v>
      </c>
      <c r="BM1" t="e">
        <f>AND(Master!#REF!,"AAAAAG7sOEA=")</f>
        <v>#REF!</v>
      </c>
      <c r="BN1" t="e">
        <f>AND(Master!#REF!,"AAAAAG7sOEE=")</f>
        <v>#REF!</v>
      </c>
      <c r="BO1" t="e">
        <f>AND(Master!#REF!,"AAAAAG7sOEI=")</f>
        <v>#REF!</v>
      </c>
      <c r="BP1" t="e">
        <f>AND(Master!#REF!,"AAAAAG7sOEM=")</f>
        <v>#REF!</v>
      </c>
      <c r="BQ1" t="e">
        <f>AND(Master!#REF!,"AAAAAG7sOEQ=")</f>
        <v>#REF!</v>
      </c>
      <c r="BR1" t="e">
        <f>AND(Master!#REF!,"AAAAAG7sOEU=")</f>
        <v>#REF!</v>
      </c>
      <c r="BS1" t="e">
        <f>AND(Master!#REF!,"AAAAAG7sOEY=")</f>
        <v>#REF!</v>
      </c>
      <c r="BT1" t="e">
        <f>AND(Master!#REF!,"AAAAAG7sOEc=")</f>
        <v>#REF!</v>
      </c>
      <c r="BU1" t="e">
        <f>IF(Master!#REF!,"AAAAAG7sOEg=",0)</f>
        <v>#REF!</v>
      </c>
      <c r="BV1" t="e">
        <f>AND(Master!#REF!,"AAAAAG7sOEk=")</f>
        <v>#REF!</v>
      </c>
      <c r="BW1" t="e">
        <f>AND(Master!#REF!,"AAAAAG7sOEo=")</f>
        <v>#REF!</v>
      </c>
      <c r="BX1" t="e">
        <f>AND(Master!#REF!,"AAAAAG7sOEs=")</f>
        <v>#REF!</v>
      </c>
      <c r="BY1" t="e">
        <f>AND(Master!#REF!,"AAAAAG7sOEw=")</f>
        <v>#REF!</v>
      </c>
      <c r="BZ1" t="e">
        <f>AND(Master!#REF!,"AAAAAG7sOE0=")</f>
        <v>#REF!</v>
      </c>
      <c r="CA1" t="e">
        <f>AND(Master!#REF!,"AAAAAG7sOE4=")</f>
        <v>#REF!</v>
      </c>
      <c r="CB1" t="e">
        <f>AND(Master!#REF!,"AAAAAG7sOE8=")</f>
        <v>#REF!</v>
      </c>
      <c r="CC1" t="e">
        <f>AND(Master!#REF!,"AAAAAG7sOFA=")</f>
        <v>#REF!</v>
      </c>
      <c r="CD1" t="e">
        <f>AND(Master!#REF!,"AAAAAG7sOFE=")</f>
        <v>#REF!</v>
      </c>
      <c r="CE1" t="e">
        <f>AND(Master!#REF!,"AAAAAG7sOFI=")</f>
        <v>#REF!</v>
      </c>
      <c r="CF1" t="e">
        <f>AND(Master!#REF!,"AAAAAG7sOFM=")</f>
        <v>#REF!</v>
      </c>
      <c r="CG1" t="e">
        <f>AND(Master!#REF!,"AAAAAG7sOFQ=")</f>
        <v>#REF!</v>
      </c>
      <c r="CH1" t="e">
        <f>AND(Master!#REF!,"AAAAAG7sOFU=")</f>
        <v>#REF!</v>
      </c>
      <c r="CI1" t="e">
        <f>AND(Master!#REF!,"AAAAAG7sOFY=")</f>
        <v>#REF!</v>
      </c>
      <c r="CJ1" t="e">
        <f>AND(Master!#REF!,"AAAAAG7sOFc=")</f>
        <v>#REF!</v>
      </c>
      <c r="CK1" t="e">
        <f>AND(Master!#REF!,"AAAAAG7sOFg=")</f>
        <v>#REF!</v>
      </c>
      <c r="CL1" t="e">
        <f>AND(Master!#REF!,"AAAAAG7sOFk=")</f>
        <v>#REF!</v>
      </c>
      <c r="CM1" t="e">
        <f>AND(Master!#REF!,"AAAAAG7sOFo=")</f>
        <v>#REF!</v>
      </c>
      <c r="CN1" t="e">
        <f>AND(Master!#REF!,"AAAAAG7sOFs=")</f>
        <v>#REF!</v>
      </c>
      <c r="CO1" t="e">
        <f>AND(Master!#REF!,"AAAAAG7sOFw=")</f>
        <v>#REF!</v>
      </c>
      <c r="CP1" t="e">
        <f>AND(Master!#REF!,"AAAAAG7sOF0=")</f>
        <v>#REF!</v>
      </c>
      <c r="CQ1" t="e">
        <f>AND(Master!#REF!,"AAAAAG7sOF4=")</f>
        <v>#REF!</v>
      </c>
      <c r="CR1" t="e">
        <f>AND(Master!#REF!,"AAAAAG7sOF8=")</f>
        <v>#REF!</v>
      </c>
      <c r="CS1" t="e">
        <f>IF(Master!#REF!,"AAAAAG7sOGA=",0)</f>
        <v>#REF!</v>
      </c>
      <c r="CT1" t="e">
        <f>AND(Master!#REF!,"AAAAAG7sOGE=")</f>
        <v>#REF!</v>
      </c>
      <c r="CU1" t="e">
        <f>AND(Master!#REF!,"AAAAAG7sOGI=")</f>
        <v>#REF!</v>
      </c>
      <c r="CV1" t="e">
        <f>AND(Master!#REF!,"AAAAAG7sOGM=")</f>
        <v>#REF!</v>
      </c>
      <c r="CW1" t="e">
        <f>AND(Master!#REF!,"AAAAAG7sOGQ=")</f>
        <v>#REF!</v>
      </c>
      <c r="CX1" t="e">
        <f>AND(Master!#REF!,"AAAAAG7sOGU=")</f>
        <v>#REF!</v>
      </c>
      <c r="CY1" t="e">
        <f>AND(Master!#REF!,"AAAAAG7sOGY=")</f>
        <v>#REF!</v>
      </c>
      <c r="CZ1" t="e">
        <f>AND(Master!#REF!,"AAAAAG7sOGc=")</f>
        <v>#REF!</v>
      </c>
      <c r="DA1" t="e">
        <f>AND(Master!#REF!,"AAAAAG7sOGg=")</f>
        <v>#REF!</v>
      </c>
      <c r="DB1" t="e">
        <f>AND(Master!#REF!,"AAAAAG7sOGk=")</f>
        <v>#REF!</v>
      </c>
      <c r="DC1" t="e">
        <f>AND(Master!#REF!,"AAAAAG7sOGo=")</f>
        <v>#REF!</v>
      </c>
      <c r="DD1" t="e">
        <f>AND(Master!#REF!,"AAAAAG7sOGs=")</f>
        <v>#REF!</v>
      </c>
      <c r="DE1" t="e">
        <f>AND(Master!#REF!,"AAAAAG7sOGw=")</f>
        <v>#REF!</v>
      </c>
      <c r="DF1" t="e">
        <f>AND(Master!#REF!,"AAAAAG7sOG0=")</f>
        <v>#REF!</v>
      </c>
      <c r="DG1" t="e">
        <f>AND(Master!#REF!,"AAAAAG7sOG4=")</f>
        <v>#REF!</v>
      </c>
      <c r="DH1" t="e">
        <f>AND(Master!#REF!,"AAAAAG7sOG8=")</f>
        <v>#REF!</v>
      </c>
      <c r="DI1" t="e">
        <f>AND(Master!#REF!,"AAAAAG7sOHA=")</f>
        <v>#REF!</v>
      </c>
      <c r="DJ1" t="e">
        <f>AND(Master!#REF!,"AAAAAG7sOHE=")</f>
        <v>#REF!</v>
      </c>
      <c r="DK1" t="e">
        <f>AND(Master!#REF!,"AAAAAG7sOHI=")</f>
        <v>#REF!</v>
      </c>
      <c r="DL1" t="e">
        <f>AND(Master!#REF!,"AAAAAG7sOHM=")</f>
        <v>#REF!</v>
      </c>
      <c r="DM1" t="e">
        <f>AND(Master!#REF!,"AAAAAG7sOHQ=")</f>
        <v>#REF!</v>
      </c>
      <c r="DN1" t="e">
        <f>AND(Master!#REF!,"AAAAAG7sOHU=")</f>
        <v>#REF!</v>
      </c>
      <c r="DO1" t="e">
        <f>AND(Master!#REF!,"AAAAAG7sOHY=")</f>
        <v>#REF!</v>
      </c>
      <c r="DP1" t="e">
        <f>AND(Master!#REF!,"AAAAAG7sOHc=")</f>
        <v>#REF!</v>
      </c>
      <c r="DQ1" t="e">
        <f>IF(Master!#REF!,"AAAAAG7sOHg=",0)</f>
        <v>#REF!</v>
      </c>
      <c r="DR1" t="e">
        <f>AND(Master!#REF!,"AAAAAG7sOHk=")</f>
        <v>#REF!</v>
      </c>
      <c r="DS1" t="e">
        <f>AND(Master!#REF!,"AAAAAG7sOHo=")</f>
        <v>#REF!</v>
      </c>
      <c r="DT1" t="e">
        <f>AND(Master!#REF!,"AAAAAG7sOHs=")</f>
        <v>#REF!</v>
      </c>
      <c r="DU1" t="e">
        <f>AND(Master!#REF!,"AAAAAG7sOHw=")</f>
        <v>#REF!</v>
      </c>
      <c r="DV1" t="e">
        <f>AND(Master!#REF!,"AAAAAG7sOH0=")</f>
        <v>#REF!</v>
      </c>
      <c r="DW1" t="e">
        <f>AND(Master!#REF!,"AAAAAG7sOH4=")</f>
        <v>#REF!</v>
      </c>
      <c r="DX1" t="e">
        <f>AND(Master!#REF!,"AAAAAG7sOH8=")</f>
        <v>#REF!</v>
      </c>
      <c r="DY1" t="e">
        <f>AND(Master!#REF!,"AAAAAG7sOIA=")</f>
        <v>#REF!</v>
      </c>
      <c r="DZ1" t="e">
        <f>AND(Master!#REF!,"AAAAAG7sOIE=")</f>
        <v>#REF!</v>
      </c>
      <c r="EA1" t="e">
        <f>AND(Master!#REF!,"AAAAAG7sOII=")</f>
        <v>#REF!</v>
      </c>
      <c r="EB1" t="e">
        <f>AND(Master!#REF!,"AAAAAG7sOIM=")</f>
        <v>#REF!</v>
      </c>
      <c r="EC1" t="e">
        <f>AND(Master!#REF!,"AAAAAG7sOIQ=")</f>
        <v>#REF!</v>
      </c>
      <c r="ED1" t="e">
        <f>AND(Master!#REF!,"AAAAAG7sOIU=")</f>
        <v>#REF!</v>
      </c>
      <c r="EE1" t="e">
        <f>AND(Master!#REF!,"AAAAAG7sOIY=")</f>
        <v>#REF!</v>
      </c>
      <c r="EF1" t="e">
        <f>AND(Master!#REF!,"AAAAAG7sOIc=")</f>
        <v>#REF!</v>
      </c>
      <c r="EG1" t="e">
        <f>AND(Master!#REF!,"AAAAAG7sOIg=")</f>
        <v>#REF!</v>
      </c>
      <c r="EH1" t="e">
        <f>AND(Master!#REF!,"AAAAAG7sOIk=")</f>
        <v>#REF!</v>
      </c>
      <c r="EI1" t="e">
        <f>AND(Master!#REF!,"AAAAAG7sOIo=")</f>
        <v>#REF!</v>
      </c>
      <c r="EJ1" t="e">
        <f>AND(Master!#REF!,"AAAAAG7sOIs=")</f>
        <v>#REF!</v>
      </c>
      <c r="EK1" t="e">
        <f>AND(Master!#REF!,"AAAAAG7sOIw=")</f>
        <v>#REF!</v>
      </c>
      <c r="EL1" t="e">
        <f>AND(Master!#REF!,"AAAAAG7sOI0=")</f>
        <v>#REF!</v>
      </c>
      <c r="EM1" t="e">
        <f>AND(Master!#REF!,"AAAAAG7sOI4=")</f>
        <v>#REF!</v>
      </c>
      <c r="EN1" t="e">
        <f>AND(Master!#REF!,"AAAAAG7sOI8=")</f>
        <v>#REF!</v>
      </c>
      <c r="EO1" t="e">
        <f>IF(Master!#REF!,"AAAAAG7sOJA=",0)</f>
        <v>#REF!</v>
      </c>
      <c r="EP1" t="e">
        <f>AND(Master!#REF!,"AAAAAG7sOJE=")</f>
        <v>#REF!</v>
      </c>
      <c r="EQ1" t="e">
        <f>AND(Master!#REF!,"AAAAAG7sOJI=")</f>
        <v>#REF!</v>
      </c>
      <c r="ER1" t="e">
        <f>AND(Master!#REF!,"AAAAAG7sOJM=")</f>
        <v>#REF!</v>
      </c>
      <c r="ES1" t="e">
        <f>AND(Master!#REF!,"AAAAAG7sOJQ=")</f>
        <v>#REF!</v>
      </c>
      <c r="ET1" t="e">
        <f>AND(Master!#REF!,"AAAAAG7sOJU=")</f>
        <v>#REF!</v>
      </c>
      <c r="EU1" t="e">
        <f>AND(Master!#REF!,"AAAAAG7sOJY=")</f>
        <v>#REF!</v>
      </c>
      <c r="EV1" t="e">
        <f>AND(Master!#REF!,"AAAAAG7sOJc=")</f>
        <v>#REF!</v>
      </c>
      <c r="EW1" t="e">
        <f>AND(Master!#REF!,"AAAAAG7sOJg=")</f>
        <v>#REF!</v>
      </c>
      <c r="EX1" t="e">
        <f>AND(Master!#REF!,"AAAAAG7sOJk=")</f>
        <v>#REF!</v>
      </c>
      <c r="EY1" t="e">
        <f>AND(Master!#REF!,"AAAAAG7sOJo=")</f>
        <v>#REF!</v>
      </c>
      <c r="EZ1" t="e">
        <f>AND(Master!#REF!,"AAAAAG7sOJs=")</f>
        <v>#REF!</v>
      </c>
      <c r="FA1" t="e">
        <f>AND(Master!#REF!,"AAAAAG7sOJw=")</f>
        <v>#REF!</v>
      </c>
      <c r="FB1" t="e">
        <f>AND(Master!#REF!,"AAAAAG7sOJ0=")</f>
        <v>#REF!</v>
      </c>
      <c r="FC1" t="e">
        <f>AND(Master!#REF!,"AAAAAG7sOJ4=")</f>
        <v>#REF!</v>
      </c>
      <c r="FD1" t="e">
        <f>AND(Master!#REF!,"AAAAAG7sOJ8=")</f>
        <v>#REF!</v>
      </c>
      <c r="FE1" t="e">
        <f>AND(Master!#REF!,"AAAAAG7sOKA=")</f>
        <v>#REF!</v>
      </c>
      <c r="FF1" t="e">
        <f>AND(Master!#REF!,"AAAAAG7sOKE=")</f>
        <v>#REF!</v>
      </c>
      <c r="FG1" t="e">
        <f>AND(Master!#REF!,"AAAAAG7sOKI=")</f>
        <v>#REF!</v>
      </c>
      <c r="FH1" t="e">
        <f>AND(Master!#REF!,"AAAAAG7sOKM=")</f>
        <v>#REF!</v>
      </c>
      <c r="FI1" t="e">
        <f>AND(Master!#REF!,"AAAAAG7sOKQ=")</f>
        <v>#REF!</v>
      </c>
      <c r="FJ1" t="e">
        <f>AND(Master!#REF!,"AAAAAG7sOKU=")</f>
        <v>#REF!</v>
      </c>
      <c r="FK1" t="e">
        <f>AND(Master!#REF!,"AAAAAG7sOKY=")</f>
        <v>#REF!</v>
      </c>
      <c r="FL1" t="e">
        <f>AND(Master!#REF!,"AAAAAG7sOKc=")</f>
        <v>#REF!</v>
      </c>
      <c r="FM1" t="e">
        <f>IF(Master!#REF!,"AAAAAG7sOKg=",0)</f>
        <v>#REF!</v>
      </c>
      <c r="FN1" t="e">
        <f>AND(Master!#REF!,"AAAAAG7sOKk=")</f>
        <v>#REF!</v>
      </c>
      <c r="FO1" t="e">
        <f>AND(Master!#REF!,"AAAAAG7sOKo=")</f>
        <v>#REF!</v>
      </c>
      <c r="FP1" t="e">
        <f>AND(Master!#REF!,"AAAAAG7sOKs=")</f>
        <v>#REF!</v>
      </c>
      <c r="FQ1" t="e">
        <f>AND(Master!#REF!,"AAAAAG7sOKw=")</f>
        <v>#REF!</v>
      </c>
      <c r="FR1" t="e">
        <f>AND(Master!#REF!,"AAAAAG7sOK0=")</f>
        <v>#REF!</v>
      </c>
      <c r="FS1" t="e">
        <f>AND(Master!#REF!,"AAAAAG7sOK4=")</f>
        <v>#REF!</v>
      </c>
      <c r="FT1" t="e">
        <f>AND(Master!#REF!,"AAAAAG7sOK8=")</f>
        <v>#REF!</v>
      </c>
      <c r="FU1" t="e">
        <f>AND(Master!#REF!,"AAAAAG7sOLA=")</f>
        <v>#REF!</v>
      </c>
      <c r="FV1" t="e">
        <f>AND(Master!#REF!,"AAAAAG7sOLE=")</f>
        <v>#REF!</v>
      </c>
      <c r="FW1" t="e">
        <f>AND(Master!#REF!,"AAAAAG7sOLI=")</f>
        <v>#REF!</v>
      </c>
      <c r="FX1" t="e">
        <f>AND(Master!#REF!,"AAAAAG7sOLM=")</f>
        <v>#REF!</v>
      </c>
      <c r="FY1" t="e">
        <f>AND(Master!#REF!,"AAAAAG7sOLQ=")</f>
        <v>#REF!</v>
      </c>
      <c r="FZ1" t="e">
        <f>AND(Master!#REF!,"AAAAAG7sOLU=")</f>
        <v>#REF!</v>
      </c>
      <c r="GA1" t="e">
        <f>AND(Master!#REF!,"AAAAAG7sOLY=")</f>
        <v>#REF!</v>
      </c>
      <c r="GB1" t="e">
        <f>AND(Master!#REF!,"AAAAAG7sOLc=")</f>
        <v>#REF!</v>
      </c>
      <c r="GC1" t="e">
        <f>AND(Master!#REF!,"AAAAAG7sOLg=")</f>
        <v>#REF!</v>
      </c>
      <c r="GD1" t="e">
        <f>AND(Master!#REF!,"AAAAAG7sOLk=")</f>
        <v>#REF!</v>
      </c>
      <c r="GE1" t="e">
        <f>AND(Master!#REF!,"AAAAAG7sOLo=")</f>
        <v>#REF!</v>
      </c>
      <c r="GF1" t="e">
        <f>AND(Master!#REF!,"AAAAAG7sOLs=")</f>
        <v>#REF!</v>
      </c>
      <c r="GG1" t="e">
        <f>AND(Master!#REF!,"AAAAAG7sOLw=")</f>
        <v>#REF!</v>
      </c>
      <c r="GH1" t="e">
        <f>AND(Master!#REF!,"AAAAAG7sOL0=")</f>
        <v>#REF!</v>
      </c>
      <c r="GI1" t="e">
        <f>AND(Master!#REF!,"AAAAAG7sOL4=")</f>
        <v>#REF!</v>
      </c>
      <c r="GJ1" t="e">
        <f>AND(Master!#REF!,"AAAAAG7sOL8=")</f>
        <v>#REF!</v>
      </c>
      <c r="GK1" t="e">
        <f>IF(Master!#REF!,"AAAAAG7sOMA=",0)</f>
        <v>#REF!</v>
      </c>
      <c r="GL1" t="e">
        <f>AND(Master!#REF!,"AAAAAG7sOME=")</f>
        <v>#REF!</v>
      </c>
      <c r="GM1" t="e">
        <f>AND(Master!#REF!,"AAAAAG7sOMI=")</f>
        <v>#REF!</v>
      </c>
      <c r="GN1" t="e">
        <f>AND(Master!#REF!,"AAAAAG7sOMM=")</f>
        <v>#REF!</v>
      </c>
      <c r="GO1" t="e">
        <f>AND(Master!#REF!,"AAAAAG7sOMQ=")</f>
        <v>#REF!</v>
      </c>
      <c r="GP1" t="e">
        <f>AND(Master!#REF!,"AAAAAG7sOMU=")</f>
        <v>#REF!</v>
      </c>
      <c r="GQ1" t="e">
        <f>AND(Master!#REF!,"AAAAAG7sOMY=")</f>
        <v>#REF!</v>
      </c>
      <c r="GR1" t="e">
        <f>AND(Master!#REF!,"AAAAAG7sOMc=")</f>
        <v>#REF!</v>
      </c>
      <c r="GS1" t="e">
        <f>AND(Master!#REF!,"AAAAAG7sOMg=")</f>
        <v>#REF!</v>
      </c>
      <c r="GT1" t="e">
        <f>AND(Master!#REF!,"AAAAAG7sOMk=")</f>
        <v>#REF!</v>
      </c>
      <c r="GU1" t="e">
        <f>AND(Master!#REF!,"AAAAAG7sOMo=")</f>
        <v>#REF!</v>
      </c>
      <c r="GV1" t="e">
        <f>AND(Master!#REF!,"AAAAAG7sOMs=")</f>
        <v>#REF!</v>
      </c>
      <c r="GW1" t="e">
        <f>AND(Master!#REF!,"AAAAAG7sOMw=")</f>
        <v>#REF!</v>
      </c>
      <c r="GX1" t="e">
        <f>AND(Master!#REF!,"AAAAAG7sOM0=")</f>
        <v>#REF!</v>
      </c>
      <c r="GY1" t="e">
        <f>AND(Master!#REF!,"AAAAAG7sOM4=")</f>
        <v>#REF!</v>
      </c>
      <c r="GZ1" t="e">
        <f>AND(Master!#REF!,"AAAAAG7sOM8=")</f>
        <v>#REF!</v>
      </c>
      <c r="HA1" t="e">
        <f>AND(Master!#REF!,"AAAAAG7sONA=")</f>
        <v>#REF!</v>
      </c>
      <c r="HB1" t="e">
        <f>AND(Master!#REF!,"AAAAAG7sONE=")</f>
        <v>#REF!</v>
      </c>
      <c r="HC1" t="e">
        <f>AND(Master!#REF!,"AAAAAG7sONI=")</f>
        <v>#REF!</v>
      </c>
      <c r="HD1" t="e">
        <f>AND(Master!#REF!,"AAAAAG7sONM=")</f>
        <v>#REF!</v>
      </c>
      <c r="HE1" t="e">
        <f>AND(Master!#REF!,"AAAAAG7sONQ=")</f>
        <v>#REF!</v>
      </c>
      <c r="HF1" t="e">
        <f>AND(Master!#REF!,"AAAAAG7sONU=")</f>
        <v>#REF!</v>
      </c>
      <c r="HG1" t="e">
        <f>AND(Master!#REF!,"AAAAAG7sONY=")</f>
        <v>#REF!</v>
      </c>
      <c r="HH1" t="e">
        <f>AND(Master!#REF!,"AAAAAG7sONc=")</f>
        <v>#REF!</v>
      </c>
      <c r="HI1" t="e">
        <f>IF(Master!#REF!,"AAAAAG7sONg=",0)</f>
        <v>#REF!</v>
      </c>
      <c r="HJ1" t="e">
        <f>AND(Master!#REF!,"AAAAAG7sONk=")</f>
        <v>#REF!</v>
      </c>
      <c r="HK1" t="e">
        <f>AND(Master!#REF!,"AAAAAG7sONo=")</f>
        <v>#REF!</v>
      </c>
      <c r="HL1" t="e">
        <f>AND(Master!#REF!,"AAAAAG7sONs=")</f>
        <v>#REF!</v>
      </c>
      <c r="HM1" t="e">
        <f>AND(Master!#REF!,"AAAAAG7sONw=")</f>
        <v>#REF!</v>
      </c>
      <c r="HN1" t="e">
        <f>AND(Master!#REF!,"AAAAAG7sON0=")</f>
        <v>#REF!</v>
      </c>
      <c r="HO1" t="e">
        <f>AND(Master!#REF!,"AAAAAG7sON4=")</f>
        <v>#REF!</v>
      </c>
      <c r="HP1" t="e">
        <f>AND(Master!#REF!,"AAAAAG7sON8=")</f>
        <v>#REF!</v>
      </c>
      <c r="HQ1" t="e">
        <f>AND(Master!#REF!,"AAAAAG7sOOA=")</f>
        <v>#REF!</v>
      </c>
      <c r="HR1" t="e">
        <f>AND(Master!#REF!,"AAAAAG7sOOE=")</f>
        <v>#REF!</v>
      </c>
      <c r="HS1" t="e">
        <f>AND(Master!#REF!,"AAAAAG7sOOI=")</f>
        <v>#REF!</v>
      </c>
      <c r="HT1" t="e">
        <f>AND(Master!#REF!,"AAAAAG7sOOM=")</f>
        <v>#REF!</v>
      </c>
      <c r="HU1" t="e">
        <f>AND(Master!#REF!,"AAAAAG7sOOQ=")</f>
        <v>#REF!</v>
      </c>
      <c r="HV1" t="e">
        <f>AND(Master!#REF!,"AAAAAG7sOOU=")</f>
        <v>#REF!</v>
      </c>
      <c r="HW1" t="e">
        <f>AND(Master!#REF!,"AAAAAG7sOOY=")</f>
        <v>#REF!</v>
      </c>
      <c r="HX1" t="e">
        <f>AND(Master!#REF!,"AAAAAG7sOOc=")</f>
        <v>#REF!</v>
      </c>
      <c r="HY1" t="e">
        <f>AND(Master!#REF!,"AAAAAG7sOOg=")</f>
        <v>#REF!</v>
      </c>
      <c r="HZ1" t="e">
        <f>AND(Master!#REF!,"AAAAAG7sOOk=")</f>
        <v>#REF!</v>
      </c>
      <c r="IA1" t="e">
        <f>AND(Master!#REF!,"AAAAAG7sOOo=")</f>
        <v>#REF!</v>
      </c>
      <c r="IB1" t="e">
        <f>AND(Master!#REF!,"AAAAAG7sOOs=")</f>
        <v>#REF!</v>
      </c>
      <c r="IC1" t="e">
        <f>AND(Master!#REF!,"AAAAAG7sOOw=")</f>
        <v>#REF!</v>
      </c>
      <c r="ID1" t="e">
        <f>AND(Master!#REF!,"AAAAAG7sOO0=")</f>
        <v>#REF!</v>
      </c>
      <c r="IE1" t="e">
        <f>AND(Master!#REF!,"AAAAAG7sOO4=")</f>
        <v>#REF!</v>
      </c>
      <c r="IF1" t="e">
        <f>AND(Master!#REF!,"AAAAAG7sOO8=")</f>
        <v>#REF!</v>
      </c>
      <c r="IG1" t="e">
        <f>IF(Master!#REF!,"AAAAAG7sOPA=",0)</f>
        <v>#REF!</v>
      </c>
      <c r="IH1" t="e">
        <f>AND(Master!#REF!,"AAAAAG7sOPE=")</f>
        <v>#REF!</v>
      </c>
      <c r="II1" t="e">
        <f>AND(Master!#REF!,"AAAAAG7sOPI=")</f>
        <v>#REF!</v>
      </c>
      <c r="IJ1" t="e">
        <f>AND(Master!#REF!,"AAAAAG7sOPM=")</f>
        <v>#REF!</v>
      </c>
      <c r="IK1" t="e">
        <f>AND(Master!#REF!,"AAAAAG7sOPQ=")</f>
        <v>#REF!</v>
      </c>
      <c r="IL1" t="e">
        <f>AND(Master!#REF!,"AAAAAG7sOPU=")</f>
        <v>#REF!</v>
      </c>
      <c r="IM1" t="e">
        <f>AND(Master!#REF!,"AAAAAG7sOPY=")</f>
        <v>#REF!</v>
      </c>
      <c r="IN1" t="e">
        <f>AND(Master!#REF!,"AAAAAG7sOPc=")</f>
        <v>#REF!</v>
      </c>
      <c r="IO1" t="e">
        <f>AND(Master!#REF!,"AAAAAG7sOPg=")</f>
        <v>#REF!</v>
      </c>
      <c r="IP1" t="e">
        <f>AND(Master!#REF!,"AAAAAG7sOPk=")</f>
        <v>#REF!</v>
      </c>
      <c r="IQ1" t="e">
        <f>AND(Master!#REF!,"AAAAAG7sOPo=")</f>
        <v>#REF!</v>
      </c>
      <c r="IR1" t="e">
        <f>AND(Master!#REF!,"AAAAAG7sOPs=")</f>
        <v>#REF!</v>
      </c>
      <c r="IS1" t="e">
        <f>AND(Master!#REF!,"AAAAAG7sOPw=")</f>
        <v>#REF!</v>
      </c>
      <c r="IT1" t="e">
        <f>AND(Master!#REF!,"AAAAAG7sOP0=")</f>
        <v>#REF!</v>
      </c>
      <c r="IU1" t="e">
        <f>AND(Master!#REF!,"AAAAAG7sOP4=")</f>
        <v>#REF!</v>
      </c>
      <c r="IV1" t="e">
        <f>AND(Master!#REF!,"AAAAAG7sOP8=")</f>
        <v>#REF!</v>
      </c>
    </row>
    <row r="2" spans="1:256" x14ac:dyDescent="0.25">
      <c r="A2" t="e">
        <f>AND(Master!#REF!,"AAAAAG7pMgA=")</f>
        <v>#REF!</v>
      </c>
      <c r="B2" t="e">
        <f>AND(Master!#REF!,"AAAAAG7pMgE=")</f>
        <v>#REF!</v>
      </c>
      <c r="C2" t="e">
        <f>AND(Master!#REF!,"AAAAAG7pMgI=")</f>
        <v>#REF!</v>
      </c>
      <c r="D2" t="e">
        <f>AND(Master!#REF!,"AAAAAG7pMgM=")</f>
        <v>#REF!</v>
      </c>
      <c r="E2" t="e">
        <f>AND(Master!#REF!,"AAAAAG7pMgQ=")</f>
        <v>#REF!</v>
      </c>
      <c r="F2" t="e">
        <f>AND(Master!#REF!,"AAAAAG7pMgU=")</f>
        <v>#REF!</v>
      </c>
      <c r="G2" t="e">
        <f>AND(Master!#REF!,"AAAAAG7pMgY=")</f>
        <v>#REF!</v>
      </c>
      <c r="H2" t="e">
        <f>AND(Master!#REF!,"AAAAAG7pMgc=")</f>
        <v>#REF!</v>
      </c>
      <c r="I2" t="e">
        <f>IF(Master!#REF!,"AAAAAG7pMgg=",0)</f>
        <v>#REF!</v>
      </c>
      <c r="J2" t="e">
        <f>AND(Master!#REF!,"AAAAAG7pMgk=")</f>
        <v>#REF!</v>
      </c>
      <c r="K2" t="e">
        <f>AND(Master!#REF!,"AAAAAG7pMgo=")</f>
        <v>#REF!</v>
      </c>
      <c r="L2" t="e">
        <f>AND(Master!#REF!,"AAAAAG7pMgs=")</f>
        <v>#REF!</v>
      </c>
      <c r="M2" t="e">
        <f>AND(Master!#REF!,"AAAAAG7pMgw=")</f>
        <v>#REF!</v>
      </c>
      <c r="N2" t="e">
        <f>AND(Master!#REF!,"AAAAAG7pMg0=")</f>
        <v>#REF!</v>
      </c>
      <c r="O2" t="e">
        <f>AND(Master!#REF!,"AAAAAG7pMg4=")</f>
        <v>#REF!</v>
      </c>
      <c r="P2" t="e">
        <f>AND(Master!#REF!,"AAAAAG7pMg8=")</f>
        <v>#REF!</v>
      </c>
      <c r="Q2" t="e">
        <f>AND(Master!#REF!,"AAAAAG7pMhA=")</f>
        <v>#REF!</v>
      </c>
      <c r="R2" t="e">
        <f>AND(Master!#REF!,"AAAAAG7pMhE=")</f>
        <v>#REF!</v>
      </c>
      <c r="S2" t="e">
        <f>AND(Master!#REF!,"AAAAAG7pMhI=")</f>
        <v>#REF!</v>
      </c>
      <c r="T2" t="e">
        <f>AND(Master!#REF!,"AAAAAG7pMhM=")</f>
        <v>#REF!</v>
      </c>
      <c r="U2" t="e">
        <f>AND(Master!#REF!,"AAAAAG7pMhQ=")</f>
        <v>#REF!</v>
      </c>
      <c r="V2" t="e">
        <f>AND(Master!#REF!,"AAAAAG7pMhU=")</f>
        <v>#REF!</v>
      </c>
      <c r="W2" t="e">
        <f>AND(Master!#REF!,"AAAAAG7pMhY=")</f>
        <v>#REF!</v>
      </c>
      <c r="X2" t="e">
        <f>AND(Master!#REF!,"AAAAAG7pMhc=")</f>
        <v>#REF!</v>
      </c>
      <c r="Y2" t="e">
        <f>AND(Master!#REF!,"AAAAAG7pMhg=")</f>
        <v>#REF!</v>
      </c>
      <c r="Z2" t="e">
        <f>AND(Master!#REF!,"AAAAAG7pMhk=")</f>
        <v>#REF!</v>
      </c>
      <c r="AA2" t="e">
        <f>AND(Master!#REF!,"AAAAAG7pMho=")</f>
        <v>#REF!</v>
      </c>
      <c r="AB2" t="e">
        <f>AND(Master!#REF!,"AAAAAG7pMhs=")</f>
        <v>#REF!</v>
      </c>
      <c r="AC2" t="e">
        <f>AND(Master!#REF!,"AAAAAG7pMhw=")</f>
        <v>#REF!</v>
      </c>
      <c r="AD2" t="e">
        <f>AND(Master!#REF!,"AAAAAG7pMh0=")</f>
        <v>#REF!</v>
      </c>
      <c r="AE2" t="e">
        <f>AND(Master!#REF!,"AAAAAG7pMh4=")</f>
        <v>#REF!</v>
      </c>
      <c r="AF2" t="e">
        <f>AND(Master!#REF!,"AAAAAG7pMh8=")</f>
        <v>#REF!</v>
      </c>
      <c r="AG2" t="e">
        <f>IF(Master!#REF!,"AAAAAG7pMiA=",0)</f>
        <v>#REF!</v>
      </c>
      <c r="AH2" t="e">
        <f>AND(Master!#REF!,"AAAAAG7pMiE=")</f>
        <v>#REF!</v>
      </c>
      <c r="AI2" t="e">
        <f>AND(Master!#REF!,"AAAAAG7pMiI=")</f>
        <v>#REF!</v>
      </c>
      <c r="AJ2" t="e">
        <f>AND(Master!#REF!,"AAAAAG7pMiM=")</f>
        <v>#REF!</v>
      </c>
      <c r="AK2" t="e">
        <f>AND(Master!#REF!,"AAAAAG7pMiQ=")</f>
        <v>#REF!</v>
      </c>
      <c r="AL2" t="e">
        <f>AND(Master!#REF!,"AAAAAG7pMiU=")</f>
        <v>#REF!</v>
      </c>
      <c r="AM2" t="e">
        <f>AND(Master!#REF!,"AAAAAG7pMiY=")</f>
        <v>#REF!</v>
      </c>
      <c r="AN2" t="e">
        <f>AND(Master!#REF!,"AAAAAG7pMic=")</f>
        <v>#REF!</v>
      </c>
      <c r="AO2" t="e">
        <f>AND(Master!#REF!,"AAAAAG7pMig=")</f>
        <v>#REF!</v>
      </c>
      <c r="AP2" t="e">
        <f>AND(Master!#REF!,"AAAAAG7pMik=")</f>
        <v>#REF!</v>
      </c>
      <c r="AQ2" t="e">
        <f>AND(Master!#REF!,"AAAAAG7pMio=")</f>
        <v>#REF!</v>
      </c>
      <c r="AR2" t="e">
        <f>AND(Master!#REF!,"AAAAAG7pMis=")</f>
        <v>#REF!</v>
      </c>
      <c r="AS2" t="e">
        <f>AND(Master!#REF!,"AAAAAG7pMiw=")</f>
        <v>#REF!</v>
      </c>
      <c r="AT2" t="e">
        <f>AND(Master!#REF!,"AAAAAG7pMi0=")</f>
        <v>#REF!</v>
      </c>
      <c r="AU2" t="e">
        <f>AND(Master!#REF!,"AAAAAG7pMi4=")</f>
        <v>#REF!</v>
      </c>
      <c r="AV2" t="e">
        <f>AND(Master!#REF!,"AAAAAG7pMi8=")</f>
        <v>#REF!</v>
      </c>
      <c r="AW2" t="e">
        <f>AND(Master!#REF!,"AAAAAG7pMjA=")</f>
        <v>#REF!</v>
      </c>
      <c r="AX2" t="e">
        <f>AND(Master!#REF!,"AAAAAG7pMjE=")</f>
        <v>#REF!</v>
      </c>
      <c r="AY2" t="e">
        <f>AND(Master!#REF!,"AAAAAG7pMjI=")</f>
        <v>#REF!</v>
      </c>
      <c r="AZ2" t="e">
        <f>AND(Master!#REF!,"AAAAAG7pMjM=")</f>
        <v>#REF!</v>
      </c>
      <c r="BA2" t="e">
        <f>AND(Master!#REF!,"AAAAAG7pMjQ=")</f>
        <v>#REF!</v>
      </c>
      <c r="BB2" t="e">
        <f>AND(Master!#REF!,"AAAAAG7pMjU=")</f>
        <v>#REF!</v>
      </c>
      <c r="BC2" t="e">
        <f>AND(Master!#REF!,"AAAAAG7pMjY=")</f>
        <v>#REF!</v>
      </c>
      <c r="BD2" t="e">
        <f>AND(Master!#REF!,"AAAAAG7pMjc=")</f>
        <v>#REF!</v>
      </c>
      <c r="BE2" t="e">
        <f>IF(Master!#REF!,"AAAAAG7pMjg=",0)</f>
        <v>#REF!</v>
      </c>
      <c r="BF2" t="e">
        <f>AND(Master!#REF!,"AAAAAG7pMjk=")</f>
        <v>#REF!</v>
      </c>
      <c r="BG2" t="e">
        <f>AND(Master!#REF!,"AAAAAG7pMjo=")</f>
        <v>#REF!</v>
      </c>
      <c r="BH2" t="e">
        <f>AND(Master!#REF!,"AAAAAG7pMjs=")</f>
        <v>#REF!</v>
      </c>
      <c r="BI2" t="e">
        <f>AND(Master!#REF!,"AAAAAG7pMjw=")</f>
        <v>#REF!</v>
      </c>
      <c r="BJ2" t="e">
        <f>AND(Master!#REF!,"AAAAAG7pMj0=")</f>
        <v>#REF!</v>
      </c>
      <c r="BK2" t="e">
        <f>AND(Master!#REF!,"AAAAAG7pMj4=")</f>
        <v>#REF!</v>
      </c>
      <c r="BL2" t="e">
        <f>AND(Master!#REF!,"AAAAAG7pMj8=")</f>
        <v>#REF!</v>
      </c>
      <c r="BM2" t="e">
        <f>AND(Master!#REF!,"AAAAAG7pMkA=")</f>
        <v>#REF!</v>
      </c>
      <c r="BN2" t="e">
        <f>AND(Master!#REF!,"AAAAAG7pMkE=")</f>
        <v>#REF!</v>
      </c>
      <c r="BO2" t="e">
        <f>AND(Master!#REF!,"AAAAAG7pMkI=")</f>
        <v>#REF!</v>
      </c>
      <c r="BP2" t="e">
        <f>AND(Master!#REF!,"AAAAAG7pMkM=")</f>
        <v>#REF!</v>
      </c>
      <c r="BQ2" t="e">
        <f>AND(Master!#REF!,"AAAAAG7pMkQ=")</f>
        <v>#REF!</v>
      </c>
      <c r="BR2" t="e">
        <f>AND(Master!#REF!,"AAAAAG7pMkU=")</f>
        <v>#REF!</v>
      </c>
      <c r="BS2" t="e">
        <f>AND(Master!#REF!,"AAAAAG7pMkY=")</f>
        <v>#REF!</v>
      </c>
      <c r="BT2" t="e">
        <f>AND(Master!#REF!,"AAAAAG7pMkc=")</f>
        <v>#REF!</v>
      </c>
      <c r="BU2" t="e">
        <f>AND(Master!#REF!,"AAAAAG7pMkg=")</f>
        <v>#REF!</v>
      </c>
      <c r="BV2" t="e">
        <f>AND(Master!#REF!,"AAAAAG7pMkk=")</f>
        <v>#REF!</v>
      </c>
      <c r="BW2" t="e">
        <f>AND(Master!#REF!,"AAAAAG7pMko=")</f>
        <v>#REF!</v>
      </c>
      <c r="BX2" t="e">
        <f>AND(Master!#REF!,"AAAAAG7pMks=")</f>
        <v>#REF!</v>
      </c>
      <c r="BY2" t="e">
        <f>AND(Master!#REF!,"AAAAAG7pMkw=")</f>
        <v>#REF!</v>
      </c>
      <c r="BZ2" t="e">
        <f>AND(Master!#REF!,"AAAAAG7pMk0=")</f>
        <v>#REF!</v>
      </c>
      <c r="CA2" t="e">
        <f>AND(Master!#REF!,"AAAAAG7pMk4=")</f>
        <v>#REF!</v>
      </c>
      <c r="CB2" t="e">
        <f>AND(Master!#REF!,"AAAAAG7pMk8=")</f>
        <v>#REF!</v>
      </c>
      <c r="CC2" t="e">
        <f>IF(Master!#REF!,"AAAAAG7pMlA=",0)</f>
        <v>#REF!</v>
      </c>
      <c r="CD2" t="e">
        <f>AND(Master!#REF!,"AAAAAG7pMlE=")</f>
        <v>#REF!</v>
      </c>
      <c r="CE2" t="e">
        <f>AND(Master!#REF!,"AAAAAG7pMlI=")</f>
        <v>#REF!</v>
      </c>
      <c r="CF2" t="e">
        <f>AND(Master!#REF!,"AAAAAG7pMlM=")</f>
        <v>#REF!</v>
      </c>
      <c r="CG2" t="e">
        <f>AND(Master!#REF!,"AAAAAG7pMlQ=")</f>
        <v>#REF!</v>
      </c>
      <c r="CH2" t="e">
        <f>AND(Master!#REF!,"AAAAAG7pMlU=")</f>
        <v>#REF!</v>
      </c>
      <c r="CI2" t="e">
        <f>AND(Master!#REF!,"AAAAAG7pMlY=")</f>
        <v>#REF!</v>
      </c>
      <c r="CJ2" t="e">
        <f>AND(Master!#REF!,"AAAAAG7pMlc=")</f>
        <v>#REF!</v>
      </c>
      <c r="CK2" t="e">
        <f>AND(Master!#REF!,"AAAAAG7pMlg=")</f>
        <v>#REF!</v>
      </c>
      <c r="CL2" t="e">
        <f>AND(Master!#REF!,"AAAAAG7pMlk=")</f>
        <v>#REF!</v>
      </c>
      <c r="CM2" t="e">
        <f>AND(Master!#REF!,"AAAAAG7pMlo=")</f>
        <v>#REF!</v>
      </c>
      <c r="CN2" t="e">
        <f>AND(Master!#REF!,"AAAAAG7pMls=")</f>
        <v>#REF!</v>
      </c>
      <c r="CO2" t="e">
        <f>AND(Master!#REF!,"AAAAAG7pMlw=")</f>
        <v>#REF!</v>
      </c>
      <c r="CP2" t="e">
        <f>AND(Master!#REF!,"AAAAAG7pMl0=")</f>
        <v>#REF!</v>
      </c>
      <c r="CQ2" t="e">
        <f>AND(Master!#REF!,"AAAAAG7pMl4=")</f>
        <v>#REF!</v>
      </c>
      <c r="CR2" t="e">
        <f>AND(Master!#REF!,"AAAAAG7pMl8=")</f>
        <v>#REF!</v>
      </c>
      <c r="CS2" t="e">
        <f>AND(Master!#REF!,"AAAAAG7pMmA=")</f>
        <v>#REF!</v>
      </c>
      <c r="CT2" t="e">
        <f>AND(Master!#REF!,"AAAAAG7pMmE=")</f>
        <v>#REF!</v>
      </c>
      <c r="CU2" t="e">
        <f>AND(Master!#REF!,"AAAAAG7pMmI=")</f>
        <v>#REF!</v>
      </c>
      <c r="CV2" t="e">
        <f>AND(Master!#REF!,"AAAAAG7pMmM=")</f>
        <v>#REF!</v>
      </c>
      <c r="CW2" t="e">
        <f>AND(Master!#REF!,"AAAAAG7pMmQ=")</f>
        <v>#REF!</v>
      </c>
      <c r="CX2" t="e">
        <f>AND(Master!#REF!,"AAAAAG7pMmU=")</f>
        <v>#REF!</v>
      </c>
      <c r="CY2" t="e">
        <f>AND(Master!#REF!,"AAAAAG7pMmY=")</f>
        <v>#REF!</v>
      </c>
      <c r="CZ2" t="e">
        <f>AND(Master!#REF!,"AAAAAG7pMmc=")</f>
        <v>#REF!</v>
      </c>
      <c r="DA2" t="e">
        <f>IF(Master!#REF!,"AAAAAG7pMmg=",0)</f>
        <v>#REF!</v>
      </c>
      <c r="DB2" t="e">
        <f>AND(Master!#REF!,"AAAAAG7pMmk=")</f>
        <v>#REF!</v>
      </c>
      <c r="DC2" t="e">
        <f>AND(Master!#REF!,"AAAAAG7pMmo=")</f>
        <v>#REF!</v>
      </c>
      <c r="DD2" t="e">
        <f>AND(Master!#REF!,"AAAAAG7pMms=")</f>
        <v>#REF!</v>
      </c>
      <c r="DE2" t="e">
        <f>AND(Master!#REF!,"AAAAAG7pMmw=")</f>
        <v>#REF!</v>
      </c>
      <c r="DF2" t="e">
        <f>AND(Master!#REF!,"AAAAAG7pMm0=")</f>
        <v>#REF!</v>
      </c>
      <c r="DG2" t="e">
        <f>AND(Master!#REF!,"AAAAAG7pMm4=")</f>
        <v>#REF!</v>
      </c>
      <c r="DH2" t="e">
        <f>AND(Master!#REF!,"AAAAAG7pMm8=")</f>
        <v>#REF!</v>
      </c>
      <c r="DI2" t="e">
        <f>AND(Master!#REF!,"AAAAAG7pMnA=")</f>
        <v>#REF!</v>
      </c>
      <c r="DJ2" t="e">
        <f>AND(Master!#REF!,"AAAAAG7pMnE=")</f>
        <v>#REF!</v>
      </c>
      <c r="DK2" t="e">
        <f>AND(Master!#REF!,"AAAAAG7pMnI=")</f>
        <v>#REF!</v>
      </c>
      <c r="DL2" t="e">
        <f>AND(Master!#REF!,"AAAAAG7pMnM=")</f>
        <v>#REF!</v>
      </c>
      <c r="DM2" t="e">
        <f>AND(Master!#REF!,"AAAAAG7pMnQ=")</f>
        <v>#REF!</v>
      </c>
      <c r="DN2" t="e">
        <f>AND(Master!#REF!,"AAAAAG7pMnU=")</f>
        <v>#REF!</v>
      </c>
      <c r="DO2" t="e">
        <f>AND(Master!#REF!,"AAAAAG7pMnY=")</f>
        <v>#REF!</v>
      </c>
      <c r="DP2" t="e">
        <f>AND(Master!#REF!,"AAAAAG7pMnc=")</f>
        <v>#REF!</v>
      </c>
      <c r="DQ2" t="e">
        <f>AND(Master!#REF!,"AAAAAG7pMng=")</f>
        <v>#REF!</v>
      </c>
      <c r="DR2" t="e">
        <f>AND(Master!#REF!,"AAAAAG7pMnk=")</f>
        <v>#REF!</v>
      </c>
      <c r="DS2" t="e">
        <f>AND(Master!#REF!,"AAAAAG7pMno=")</f>
        <v>#REF!</v>
      </c>
      <c r="DT2" t="e">
        <f>AND(Master!#REF!,"AAAAAG7pMns=")</f>
        <v>#REF!</v>
      </c>
      <c r="DU2" t="e">
        <f>AND(Master!#REF!,"AAAAAG7pMnw=")</f>
        <v>#REF!</v>
      </c>
      <c r="DV2" t="e">
        <f>AND(Master!#REF!,"AAAAAG7pMn0=")</f>
        <v>#REF!</v>
      </c>
      <c r="DW2" t="e">
        <f>AND(Master!#REF!,"AAAAAG7pMn4=")</f>
        <v>#REF!</v>
      </c>
      <c r="DX2" t="e">
        <f>AND(Master!#REF!,"AAAAAG7pMn8=")</f>
        <v>#REF!</v>
      </c>
      <c r="DY2" t="e">
        <f>IF(Master!#REF!,"AAAAAG7pMoA=",0)</f>
        <v>#REF!</v>
      </c>
      <c r="DZ2" t="e">
        <f>AND(Master!#REF!,"AAAAAG7pMoE=")</f>
        <v>#REF!</v>
      </c>
      <c r="EA2" t="e">
        <f>AND(Master!#REF!,"AAAAAG7pMoI=")</f>
        <v>#REF!</v>
      </c>
      <c r="EB2" t="e">
        <f>AND(Master!#REF!,"AAAAAG7pMoM=")</f>
        <v>#REF!</v>
      </c>
      <c r="EC2" t="e">
        <f>AND(Master!#REF!,"AAAAAG7pMoQ=")</f>
        <v>#REF!</v>
      </c>
      <c r="ED2" t="e">
        <f>AND(Master!#REF!,"AAAAAG7pMoU=")</f>
        <v>#REF!</v>
      </c>
      <c r="EE2" t="e">
        <f>AND(Master!#REF!,"AAAAAG7pMoY=")</f>
        <v>#REF!</v>
      </c>
      <c r="EF2" t="e">
        <f>AND(Master!#REF!,"AAAAAG7pMoc=")</f>
        <v>#REF!</v>
      </c>
      <c r="EG2" t="e">
        <f>AND(Master!#REF!,"AAAAAG7pMog=")</f>
        <v>#REF!</v>
      </c>
      <c r="EH2" t="e">
        <f>AND(Master!#REF!,"AAAAAG7pMok=")</f>
        <v>#REF!</v>
      </c>
      <c r="EI2" t="e">
        <f>AND(Master!#REF!,"AAAAAG7pMoo=")</f>
        <v>#REF!</v>
      </c>
      <c r="EJ2" t="e">
        <f>AND(Master!#REF!,"AAAAAG7pMos=")</f>
        <v>#REF!</v>
      </c>
      <c r="EK2" t="e">
        <f>AND(Master!#REF!,"AAAAAG7pMow=")</f>
        <v>#REF!</v>
      </c>
      <c r="EL2" t="e">
        <f>AND(Master!#REF!,"AAAAAG7pMo0=")</f>
        <v>#REF!</v>
      </c>
      <c r="EM2" t="e">
        <f>AND(Master!#REF!,"AAAAAG7pMo4=")</f>
        <v>#REF!</v>
      </c>
      <c r="EN2" t="e">
        <f>AND(Master!#REF!,"AAAAAG7pMo8=")</f>
        <v>#REF!</v>
      </c>
      <c r="EO2" t="e">
        <f>AND(Master!#REF!,"AAAAAG7pMpA=")</f>
        <v>#REF!</v>
      </c>
      <c r="EP2" t="e">
        <f>AND(Master!#REF!,"AAAAAG7pMpE=")</f>
        <v>#REF!</v>
      </c>
      <c r="EQ2" t="e">
        <f>AND(Master!#REF!,"AAAAAG7pMpI=")</f>
        <v>#REF!</v>
      </c>
      <c r="ER2" t="e">
        <f>AND(Master!#REF!,"AAAAAG7pMpM=")</f>
        <v>#REF!</v>
      </c>
      <c r="ES2" t="e">
        <f>AND(Master!#REF!,"AAAAAG7pMpQ=")</f>
        <v>#REF!</v>
      </c>
      <c r="ET2" t="e">
        <f>AND(Master!#REF!,"AAAAAG7pMpU=")</f>
        <v>#REF!</v>
      </c>
      <c r="EU2" t="e">
        <f>AND(Master!#REF!,"AAAAAG7pMpY=")</f>
        <v>#REF!</v>
      </c>
      <c r="EV2" t="e">
        <f>AND(Master!#REF!,"AAAAAG7pMpc=")</f>
        <v>#REF!</v>
      </c>
      <c r="EW2" t="e">
        <f>IF(Master!#REF!,"AAAAAG7pMpg=",0)</f>
        <v>#REF!</v>
      </c>
      <c r="EX2" t="e">
        <f>AND(Master!#REF!,"AAAAAG7pMpk=")</f>
        <v>#REF!</v>
      </c>
      <c r="EY2" t="e">
        <f>AND(Master!#REF!,"AAAAAG7pMpo=")</f>
        <v>#REF!</v>
      </c>
      <c r="EZ2" t="e">
        <f>AND(Master!#REF!,"AAAAAG7pMps=")</f>
        <v>#REF!</v>
      </c>
      <c r="FA2" t="e">
        <f>AND(Master!#REF!,"AAAAAG7pMpw=")</f>
        <v>#REF!</v>
      </c>
      <c r="FB2" t="e">
        <f>AND(Master!#REF!,"AAAAAG7pMp0=")</f>
        <v>#REF!</v>
      </c>
      <c r="FC2" t="e">
        <f>AND(Master!#REF!,"AAAAAG7pMp4=")</f>
        <v>#REF!</v>
      </c>
      <c r="FD2" t="e">
        <f>AND(Master!#REF!,"AAAAAG7pMp8=")</f>
        <v>#REF!</v>
      </c>
      <c r="FE2" t="e">
        <f>AND(Master!#REF!,"AAAAAG7pMqA=")</f>
        <v>#REF!</v>
      </c>
      <c r="FF2" t="e">
        <f>AND(Master!#REF!,"AAAAAG7pMqE=")</f>
        <v>#REF!</v>
      </c>
      <c r="FG2" t="e">
        <f>AND(Master!#REF!,"AAAAAG7pMqI=")</f>
        <v>#REF!</v>
      </c>
      <c r="FH2" t="e">
        <f>AND(Master!#REF!,"AAAAAG7pMqM=")</f>
        <v>#REF!</v>
      </c>
      <c r="FI2" t="e">
        <f>AND(Master!#REF!,"AAAAAG7pMqQ=")</f>
        <v>#REF!</v>
      </c>
      <c r="FJ2" t="e">
        <f>AND(Master!#REF!,"AAAAAG7pMqU=")</f>
        <v>#REF!</v>
      </c>
      <c r="FK2" t="e">
        <f>AND(Master!#REF!,"AAAAAG7pMqY=")</f>
        <v>#REF!</v>
      </c>
      <c r="FL2" t="e">
        <f>AND(Master!#REF!,"AAAAAG7pMqc=")</f>
        <v>#REF!</v>
      </c>
      <c r="FM2" t="e">
        <f>AND(Master!#REF!,"AAAAAG7pMqg=")</f>
        <v>#REF!</v>
      </c>
      <c r="FN2" t="e">
        <f>AND(Master!#REF!,"AAAAAG7pMqk=")</f>
        <v>#REF!</v>
      </c>
      <c r="FO2" t="e">
        <f>AND(Master!#REF!,"AAAAAG7pMqo=")</f>
        <v>#REF!</v>
      </c>
      <c r="FP2" t="e">
        <f>AND(Master!#REF!,"AAAAAG7pMqs=")</f>
        <v>#REF!</v>
      </c>
      <c r="FQ2" t="e">
        <f>AND(Master!#REF!,"AAAAAG7pMqw=")</f>
        <v>#REF!</v>
      </c>
      <c r="FR2" t="e">
        <f>AND(Master!#REF!,"AAAAAG7pMq0=")</f>
        <v>#REF!</v>
      </c>
      <c r="FS2" t="e">
        <f>AND(Master!#REF!,"AAAAAG7pMq4=")</f>
        <v>#REF!</v>
      </c>
      <c r="FT2" t="e">
        <f>AND(Master!#REF!,"AAAAAG7pMq8=")</f>
        <v>#REF!</v>
      </c>
      <c r="FU2" t="e">
        <f>IF(Master!#REF!,"AAAAAG7pMrA=",0)</f>
        <v>#REF!</v>
      </c>
      <c r="FV2" t="e">
        <f>AND(Master!#REF!,"AAAAAG7pMrE=")</f>
        <v>#REF!</v>
      </c>
      <c r="FW2" t="e">
        <f>AND(Master!#REF!,"AAAAAG7pMrI=")</f>
        <v>#REF!</v>
      </c>
      <c r="FX2" t="e">
        <f>AND(Master!#REF!,"AAAAAG7pMrM=")</f>
        <v>#REF!</v>
      </c>
      <c r="FY2" t="e">
        <f>AND(Master!#REF!,"AAAAAG7pMrQ=")</f>
        <v>#REF!</v>
      </c>
      <c r="FZ2" t="e">
        <f>AND(Master!#REF!,"AAAAAG7pMrU=")</f>
        <v>#REF!</v>
      </c>
      <c r="GA2" t="e">
        <f>AND(Master!#REF!,"AAAAAG7pMrY=")</f>
        <v>#REF!</v>
      </c>
      <c r="GB2" t="e">
        <f>AND(Master!#REF!,"AAAAAG7pMrc=")</f>
        <v>#REF!</v>
      </c>
      <c r="GC2" t="e">
        <f>AND(Master!#REF!,"AAAAAG7pMrg=")</f>
        <v>#REF!</v>
      </c>
      <c r="GD2" t="e">
        <f>AND(Master!#REF!,"AAAAAG7pMrk=")</f>
        <v>#REF!</v>
      </c>
      <c r="GE2" t="e">
        <f>AND(Master!#REF!,"AAAAAG7pMro=")</f>
        <v>#REF!</v>
      </c>
      <c r="GF2" t="e">
        <f>AND(Master!#REF!,"AAAAAG7pMrs=")</f>
        <v>#REF!</v>
      </c>
      <c r="GG2" t="e">
        <f>AND(Master!#REF!,"AAAAAG7pMrw=")</f>
        <v>#REF!</v>
      </c>
      <c r="GH2" t="e">
        <f>AND(Master!#REF!,"AAAAAG7pMr0=")</f>
        <v>#REF!</v>
      </c>
      <c r="GI2" t="e">
        <f>AND(Master!#REF!,"AAAAAG7pMr4=")</f>
        <v>#REF!</v>
      </c>
      <c r="GJ2" t="e">
        <f>AND(Master!#REF!,"AAAAAG7pMr8=")</f>
        <v>#REF!</v>
      </c>
      <c r="GK2" t="e">
        <f>AND(Master!#REF!,"AAAAAG7pMsA=")</f>
        <v>#REF!</v>
      </c>
      <c r="GL2" t="e">
        <f>AND(Master!#REF!,"AAAAAG7pMsE=")</f>
        <v>#REF!</v>
      </c>
      <c r="GM2" t="e">
        <f>AND(Master!#REF!,"AAAAAG7pMsI=")</f>
        <v>#REF!</v>
      </c>
      <c r="GN2" t="e">
        <f>AND(Master!#REF!,"AAAAAG7pMsM=")</f>
        <v>#REF!</v>
      </c>
      <c r="GO2" t="e">
        <f>AND(Master!#REF!,"AAAAAG7pMsQ=")</f>
        <v>#REF!</v>
      </c>
      <c r="GP2" t="e">
        <f>AND(Master!#REF!,"AAAAAG7pMsU=")</f>
        <v>#REF!</v>
      </c>
      <c r="GQ2" t="e">
        <f>AND(Master!#REF!,"AAAAAG7pMsY=")</f>
        <v>#REF!</v>
      </c>
      <c r="GR2" t="e">
        <f>AND(Master!#REF!,"AAAAAG7pMsc=")</f>
        <v>#REF!</v>
      </c>
      <c r="GS2" t="e">
        <f>IF(Master!#REF!,"AAAAAG7pMsg=",0)</f>
        <v>#REF!</v>
      </c>
      <c r="GT2" t="e">
        <f>AND(Master!#REF!,"AAAAAG7pMsk=")</f>
        <v>#REF!</v>
      </c>
      <c r="GU2" t="e">
        <f>AND(Master!#REF!,"AAAAAG7pMso=")</f>
        <v>#REF!</v>
      </c>
      <c r="GV2" t="e">
        <f>AND(Master!#REF!,"AAAAAG7pMss=")</f>
        <v>#REF!</v>
      </c>
      <c r="GW2" t="e">
        <f>AND(Master!#REF!,"AAAAAG7pMsw=")</f>
        <v>#REF!</v>
      </c>
      <c r="GX2" t="e">
        <f>AND(Master!#REF!,"AAAAAG7pMs0=")</f>
        <v>#REF!</v>
      </c>
      <c r="GY2" t="e">
        <f>AND(Master!#REF!,"AAAAAG7pMs4=")</f>
        <v>#REF!</v>
      </c>
      <c r="GZ2" t="e">
        <f>AND(Master!#REF!,"AAAAAG7pMs8=")</f>
        <v>#REF!</v>
      </c>
      <c r="HA2" t="e">
        <f>AND(Master!#REF!,"AAAAAG7pMtA=")</f>
        <v>#REF!</v>
      </c>
      <c r="HB2" t="e">
        <f>AND(Master!#REF!,"AAAAAG7pMtE=")</f>
        <v>#REF!</v>
      </c>
      <c r="HC2" t="e">
        <f>AND(Master!#REF!,"AAAAAG7pMtI=")</f>
        <v>#REF!</v>
      </c>
      <c r="HD2" t="e">
        <f>AND(Master!#REF!,"AAAAAG7pMtM=")</f>
        <v>#REF!</v>
      </c>
      <c r="HE2" t="e">
        <f>AND(Master!#REF!,"AAAAAG7pMtQ=")</f>
        <v>#REF!</v>
      </c>
      <c r="HF2" t="e">
        <f>AND(Master!#REF!,"AAAAAG7pMtU=")</f>
        <v>#REF!</v>
      </c>
      <c r="HG2" t="e">
        <f>AND(Master!#REF!,"AAAAAG7pMtY=")</f>
        <v>#REF!</v>
      </c>
      <c r="HH2" t="e">
        <f>AND(Master!#REF!,"AAAAAG7pMtc=")</f>
        <v>#REF!</v>
      </c>
      <c r="HI2" t="e">
        <f>AND(Master!#REF!,"AAAAAG7pMtg=")</f>
        <v>#REF!</v>
      </c>
      <c r="HJ2" t="e">
        <f>AND(Master!#REF!,"AAAAAG7pMtk=")</f>
        <v>#REF!</v>
      </c>
      <c r="HK2" t="e">
        <f>AND(Master!#REF!,"AAAAAG7pMto=")</f>
        <v>#REF!</v>
      </c>
      <c r="HL2" t="e">
        <f>AND(Master!#REF!,"AAAAAG7pMts=")</f>
        <v>#REF!</v>
      </c>
      <c r="HM2" t="e">
        <f>AND(Master!#REF!,"AAAAAG7pMtw=")</f>
        <v>#REF!</v>
      </c>
      <c r="HN2" t="e">
        <f>AND(Master!#REF!,"AAAAAG7pMt0=")</f>
        <v>#REF!</v>
      </c>
      <c r="HO2" t="e">
        <f>AND(Master!#REF!,"AAAAAG7pMt4=")</f>
        <v>#REF!</v>
      </c>
      <c r="HP2" t="e">
        <f>AND(Master!#REF!,"AAAAAG7pMt8=")</f>
        <v>#REF!</v>
      </c>
      <c r="HQ2" t="e">
        <f>IF(Master!#REF!,"AAAAAG7pMuA=",0)</f>
        <v>#REF!</v>
      </c>
      <c r="HR2" t="e">
        <f>AND(Master!#REF!,"AAAAAG7pMuE=")</f>
        <v>#REF!</v>
      </c>
      <c r="HS2" t="e">
        <f>AND(Master!#REF!,"AAAAAG7pMuI=")</f>
        <v>#REF!</v>
      </c>
      <c r="HT2" t="e">
        <f>AND(Master!#REF!,"AAAAAG7pMuM=")</f>
        <v>#REF!</v>
      </c>
      <c r="HU2" t="e">
        <f>AND(Master!#REF!,"AAAAAG7pMuQ=")</f>
        <v>#REF!</v>
      </c>
      <c r="HV2" t="e">
        <f>AND(Master!#REF!,"AAAAAG7pMuU=")</f>
        <v>#REF!</v>
      </c>
      <c r="HW2" t="e">
        <f>AND(Master!#REF!,"AAAAAG7pMuY=")</f>
        <v>#REF!</v>
      </c>
      <c r="HX2" t="e">
        <f>AND(Master!#REF!,"AAAAAG7pMuc=")</f>
        <v>#REF!</v>
      </c>
      <c r="HY2" t="e">
        <f>AND(Master!#REF!,"AAAAAG7pMug=")</f>
        <v>#REF!</v>
      </c>
      <c r="HZ2" t="e">
        <f>AND(Master!#REF!,"AAAAAG7pMuk=")</f>
        <v>#REF!</v>
      </c>
      <c r="IA2" t="e">
        <f>AND(Master!#REF!,"AAAAAG7pMuo=")</f>
        <v>#REF!</v>
      </c>
      <c r="IB2" t="e">
        <f>AND(Master!#REF!,"AAAAAG7pMus=")</f>
        <v>#REF!</v>
      </c>
      <c r="IC2" t="e">
        <f>AND(Master!#REF!,"AAAAAG7pMuw=")</f>
        <v>#REF!</v>
      </c>
      <c r="ID2" t="e">
        <f>AND(Master!#REF!,"AAAAAG7pMu0=")</f>
        <v>#REF!</v>
      </c>
      <c r="IE2" t="e">
        <f>AND(Master!#REF!,"AAAAAG7pMu4=")</f>
        <v>#REF!</v>
      </c>
      <c r="IF2" t="e">
        <f>AND(Master!#REF!,"AAAAAG7pMu8=")</f>
        <v>#REF!</v>
      </c>
      <c r="IG2" t="e">
        <f>AND(Master!#REF!,"AAAAAG7pMvA=")</f>
        <v>#REF!</v>
      </c>
      <c r="IH2" t="e">
        <f>AND(Master!#REF!,"AAAAAG7pMvE=")</f>
        <v>#REF!</v>
      </c>
      <c r="II2" t="e">
        <f>AND(Master!#REF!,"AAAAAG7pMvI=")</f>
        <v>#REF!</v>
      </c>
      <c r="IJ2" t="e">
        <f>AND(Master!#REF!,"AAAAAG7pMvM=")</f>
        <v>#REF!</v>
      </c>
      <c r="IK2" t="e">
        <f>AND(Master!#REF!,"AAAAAG7pMvQ=")</f>
        <v>#REF!</v>
      </c>
      <c r="IL2" t="e">
        <f>AND(Master!#REF!,"AAAAAG7pMvU=")</f>
        <v>#REF!</v>
      </c>
      <c r="IM2" t="e">
        <f>AND(Master!#REF!,"AAAAAG7pMvY=")</f>
        <v>#REF!</v>
      </c>
      <c r="IN2" t="e">
        <f>AND(Master!#REF!,"AAAAAG7pMvc=")</f>
        <v>#REF!</v>
      </c>
      <c r="IO2" t="e">
        <f>IF(Master!#REF!,"AAAAAG7pMvg=",0)</f>
        <v>#REF!</v>
      </c>
      <c r="IP2" t="e">
        <f>AND(Master!#REF!,"AAAAAG7pMvk=")</f>
        <v>#REF!</v>
      </c>
      <c r="IQ2" t="e">
        <f>AND(Master!#REF!,"AAAAAG7pMvo=")</f>
        <v>#REF!</v>
      </c>
      <c r="IR2" t="e">
        <f>AND(Master!#REF!,"AAAAAG7pMvs=")</f>
        <v>#REF!</v>
      </c>
      <c r="IS2" t="e">
        <f>AND(Master!#REF!,"AAAAAG7pMvw=")</f>
        <v>#REF!</v>
      </c>
      <c r="IT2" t="e">
        <f>AND(Master!#REF!,"AAAAAG7pMv0=")</f>
        <v>#REF!</v>
      </c>
      <c r="IU2" t="e">
        <f>AND(Master!#REF!,"AAAAAG7pMv4=")</f>
        <v>#REF!</v>
      </c>
      <c r="IV2" t="e">
        <f>AND(Master!#REF!,"AAAAAG7pMv8=")</f>
        <v>#REF!</v>
      </c>
    </row>
    <row r="3" spans="1:256" x14ac:dyDescent="0.25">
      <c r="A3" t="e">
        <f>AND(Master!#REF!,"AAAAACF/6QA=")</f>
        <v>#REF!</v>
      </c>
      <c r="B3" t="e">
        <f>AND(Master!#REF!,"AAAAACF/6QE=")</f>
        <v>#REF!</v>
      </c>
      <c r="C3" t="e">
        <f>AND(Master!#REF!,"AAAAACF/6QI=")</f>
        <v>#REF!</v>
      </c>
      <c r="D3" t="e">
        <f>AND(Master!#REF!,"AAAAACF/6QM=")</f>
        <v>#REF!</v>
      </c>
      <c r="E3" t="e">
        <f>AND(Master!#REF!,"AAAAACF/6QQ=")</f>
        <v>#REF!</v>
      </c>
      <c r="F3" t="e">
        <f>AND(Master!#REF!,"AAAAACF/6QU=")</f>
        <v>#REF!</v>
      </c>
      <c r="G3" t="e">
        <f>AND(Master!#REF!,"AAAAACF/6QY=")</f>
        <v>#REF!</v>
      </c>
      <c r="H3" t="e">
        <f>AND(Master!#REF!,"AAAAACF/6Qc=")</f>
        <v>#REF!</v>
      </c>
      <c r="I3" t="e">
        <f>AND(Master!#REF!,"AAAAACF/6Qg=")</f>
        <v>#REF!</v>
      </c>
      <c r="J3" t="e">
        <f>AND(Master!#REF!,"AAAAACF/6Qk=")</f>
        <v>#REF!</v>
      </c>
      <c r="K3" t="e">
        <f>AND(Master!#REF!,"AAAAACF/6Qo=")</f>
        <v>#REF!</v>
      </c>
      <c r="L3" t="e">
        <f>AND(Master!#REF!,"AAAAACF/6Qs=")</f>
        <v>#REF!</v>
      </c>
      <c r="M3" t="e">
        <f>AND(Master!#REF!,"AAAAACF/6Qw=")</f>
        <v>#REF!</v>
      </c>
      <c r="N3" t="e">
        <f>AND(Master!#REF!,"AAAAACF/6Q0=")</f>
        <v>#REF!</v>
      </c>
      <c r="O3" t="e">
        <f>AND(Master!#REF!,"AAAAACF/6Q4=")</f>
        <v>#REF!</v>
      </c>
      <c r="P3" t="e">
        <f>AND(Master!#REF!,"AAAAACF/6Q8=")</f>
        <v>#REF!</v>
      </c>
      <c r="Q3" t="e">
        <f>IF(Master!#REF!,"AAAAACF/6RA=",0)</f>
        <v>#REF!</v>
      </c>
      <c r="R3" t="e">
        <f>AND(Master!#REF!,"AAAAACF/6RE=")</f>
        <v>#REF!</v>
      </c>
      <c r="S3" t="e">
        <f>AND(Master!#REF!,"AAAAACF/6RI=")</f>
        <v>#REF!</v>
      </c>
      <c r="T3" t="e">
        <f>AND(Master!#REF!,"AAAAACF/6RM=")</f>
        <v>#REF!</v>
      </c>
      <c r="U3" t="e">
        <f>AND(Master!#REF!,"AAAAACF/6RQ=")</f>
        <v>#REF!</v>
      </c>
      <c r="V3" t="e">
        <f>AND(Master!#REF!,"AAAAACF/6RU=")</f>
        <v>#REF!</v>
      </c>
      <c r="W3" t="e">
        <f>AND(Master!#REF!,"AAAAACF/6RY=")</f>
        <v>#REF!</v>
      </c>
      <c r="X3" t="e">
        <f>AND(Master!#REF!,"AAAAACF/6Rc=")</f>
        <v>#REF!</v>
      </c>
      <c r="Y3" t="e">
        <f>AND(Master!#REF!,"AAAAACF/6Rg=")</f>
        <v>#REF!</v>
      </c>
      <c r="Z3" t="e">
        <f>AND(Master!#REF!,"AAAAACF/6Rk=")</f>
        <v>#REF!</v>
      </c>
      <c r="AA3" t="e">
        <f>AND(Master!#REF!,"AAAAACF/6Ro=")</f>
        <v>#REF!</v>
      </c>
      <c r="AB3" t="e">
        <f>AND(Master!#REF!,"AAAAACF/6Rs=")</f>
        <v>#REF!</v>
      </c>
      <c r="AC3" t="e">
        <f>AND(Master!#REF!,"AAAAACF/6Rw=")</f>
        <v>#REF!</v>
      </c>
      <c r="AD3" t="e">
        <f>AND(Master!#REF!,"AAAAACF/6R0=")</f>
        <v>#REF!</v>
      </c>
      <c r="AE3" t="e">
        <f>AND(Master!#REF!,"AAAAACF/6R4=")</f>
        <v>#REF!</v>
      </c>
      <c r="AF3" t="e">
        <f>AND(Master!#REF!,"AAAAACF/6R8=")</f>
        <v>#REF!</v>
      </c>
      <c r="AG3" t="e">
        <f>AND(Master!#REF!,"AAAAACF/6SA=")</f>
        <v>#REF!</v>
      </c>
      <c r="AH3" t="e">
        <f>AND(Master!#REF!,"AAAAACF/6SE=")</f>
        <v>#REF!</v>
      </c>
      <c r="AI3" t="e">
        <f>AND(Master!#REF!,"AAAAACF/6SI=")</f>
        <v>#REF!</v>
      </c>
      <c r="AJ3" t="e">
        <f>AND(Master!#REF!,"AAAAACF/6SM=")</f>
        <v>#REF!</v>
      </c>
      <c r="AK3" t="e">
        <f>AND(Master!#REF!,"AAAAACF/6SQ=")</f>
        <v>#REF!</v>
      </c>
      <c r="AL3" t="e">
        <f>AND(Master!#REF!,"AAAAACF/6SU=")</f>
        <v>#REF!</v>
      </c>
      <c r="AM3" t="e">
        <f>AND(Master!#REF!,"AAAAACF/6SY=")</f>
        <v>#REF!</v>
      </c>
      <c r="AN3" t="e">
        <f>AND(Master!#REF!,"AAAAACF/6Sc=")</f>
        <v>#REF!</v>
      </c>
      <c r="AO3" t="e">
        <f>IF(Master!#REF!,"AAAAACF/6Sg=",0)</f>
        <v>#REF!</v>
      </c>
      <c r="AP3" t="e">
        <f>AND(Master!#REF!,"AAAAACF/6Sk=")</f>
        <v>#REF!</v>
      </c>
      <c r="AQ3" t="e">
        <f>AND(Master!#REF!,"AAAAACF/6So=")</f>
        <v>#REF!</v>
      </c>
      <c r="AR3" t="e">
        <f>AND(Master!#REF!,"AAAAACF/6Ss=")</f>
        <v>#REF!</v>
      </c>
      <c r="AS3" t="e">
        <f>AND(Master!#REF!,"AAAAACF/6Sw=")</f>
        <v>#REF!</v>
      </c>
      <c r="AT3" t="e">
        <f>AND(Master!#REF!,"AAAAACF/6S0=")</f>
        <v>#REF!</v>
      </c>
      <c r="AU3" t="e">
        <f>AND(Master!#REF!,"AAAAACF/6S4=")</f>
        <v>#REF!</v>
      </c>
      <c r="AV3" t="e">
        <f>AND(Master!#REF!,"AAAAACF/6S8=")</f>
        <v>#REF!</v>
      </c>
      <c r="AW3" t="e">
        <f>AND(Master!#REF!,"AAAAACF/6TA=")</f>
        <v>#REF!</v>
      </c>
      <c r="AX3" t="e">
        <f>AND(Master!#REF!,"AAAAACF/6TE=")</f>
        <v>#REF!</v>
      </c>
      <c r="AY3" t="e">
        <f>AND(Master!#REF!,"AAAAACF/6TI=")</f>
        <v>#REF!</v>
      </c>
      <c r="AZ3" t="e">
        <f>AND(Master!#REF!,"AAAAACF/6TM=")</f>
        <v>#REF!</v>
      </c>
      <c r="BA3" t="e">
        <f>AND(Master!#REF!,"AAAAACF/6TQ=")</f>
        <v>#REF!</v>
      </c>
      <c r="BB3" t="e">
        <f>AND(Master!#REF!,"AAAAACF/6TU=")</f>
        <v>#REF!</v>
      </c>
      <c r="BC3" t="e">
        <f>AND(Master!#REF!,"AAAAACF/6TY=")</f>
        <v>#REF!</v>
      </c>
      <c r="BD3" t="e">
        <f>AND(Master!#REF!,"AAAAACF/6Tc=")</f>
        <v>#REF!</v>
      </c>
      <c r="BE3" t="e">
        <f>AND(Master!#REF!,"AAAAACF/6Tg=")</f>
        <v>#REF!</v>
      </c>
      <c r="BF3" t="e">
        <f>AND(Master!#REF!,"AAAAACF/6Tk=")</f>
        <v>#REF!</v>
      </c>
      <c r="BG3" t="e">
        <f>AND(Master!#REF!,"AAAAACF/6To=")</f>
        <v>#REF!</v>
      </c>
      <c r="BH3" t="e">
        <f>AND(Master!#REF!,"AAAAACF/6Ts=")</f>
        <v>#REF!</v>
      </c>
      <c r="BI3" t="e">
        <f>AND(Master!#REF!,"AAAAACF/6Tw=")</f>
        <v>#REF!</v>
      </c>
      <c r="BJ3" t="e">
        <f>AND(Master!#REF!,"AAAAACF/6T0=")</f>
        <v>#REF!</v>
      </c>
      <c r="BK3" t="e">
        <f>AND(Master!#REF!,"AAAAACF/6T4=")</f>
        <v>#REF!</v>
      </c>
      <c r="BL3" t="e">
        <f>AND(Master!#REF!,"AAAAACF/6T8=")</f>
        <v>#REF!</v>
      </c>
      <c r="BM3" t="e">
        <f>IF(Master!#REF!,"AAAAACF/6UA=",0)</f>
        <v>#REF!</v>
      </c>
      <c r="BN3" t="e">
        <f>AND(Master!#REF!,"AAAAACF/6UE=")</f>
        <v>#REF!</v>
      </c>
      <c r="BO3" t="e">
        <f>AND(Master!#REF!,"AAAAACF/6UI=")</f>
        <v>#REF!</v>
      </c>
      <c r="BP3" t="e">
        <f>AND(Master!#REF!,"AAAAACF/6UM=")</f>
        <v>#REF!</v>
      </c>
      <c r="BQ3" t="e">
        <f>AND(Master!#REF!,"AAAAACF/6UQ=")</f>
        <v>#REF!</v>
      </c>
      <c r="BR3" t="e">
        <f>AND(Master!#REF!,"AAAAACF/6UU=")</f>
        <v>#REF!</v>
      </c>
      <c r="BS3" t="e">
        <f>AND(Master!#REF!,"AAAAACF/6UY=")</f>
        <v>#REF!</v>
      </c>
      <c r="BT3" t="e">
        <f>AND(Master!#REF!,"AAAAACF/6Uc=")</f>
        <v>#REF!</v>
      </c>
      <c r="BU3" t="e">
        <f>AND(Master!#REF!,"AAAAACF/6Ug=")</f>
        <v>#REF!</v>
      </c>
      <c r="BV3" t="e">
        <f>AND(Master!#REF!,"AAAAACF/6Uk=")</f>
        <v>#REF!</v>
      </c>
      <c r="BW3" t="e">
        <f>AND(Master!#REF!,"AAAAACF/6Uo=")</f>
        <v>#REF!</v>
      </c>
      <c r="BX3" t="e">
        <f>AND(Master!#REF!,"AAAAACF/6Us=")</f>
        <v>#REF!</v>
      </c>
      <c r="BY3" t="e">
        <f>AND(Master!#REF!,"AAAAACF/6Uw=")</f>
        <v>#REF!</v>
      </c>
      <c r="BZ3" t="e">
        <f>AND(Master!#REF!,"AAAAACF/6U0=")</f>
        <v>#REF!</v>
      </c>
      <c r="CA3" t="e">
        <f>AND(Master!#REF!,"AAAAACF/6U4=")</f>
        <v>#REF!</v>
      </c>
      <c r="CB3" t="e">
        <f>AND(Master!#REF!,"AAAAACF/6U8=")</f>
        <v>#REF!</v>
      </c>
      <c r="CC3" t="e">
        <f>AND(Master!#REF!,"AAAAACF/6VA=")</f>
        <v>#REF!</v>
      </c>
      <c r="CD3" t="e">
        <f>AND(Master!#REF!,"AAAAACF/6VE=")</f>
        <v>#REF!</v>
      </c>
      <c r="CE3" t="e">
        <f>AND(Master!#REF!,"AAAAACF/6VI=")</f>
        <v>#REF!</v>
      </c>
      <c r="CF3" t="e">
        <f>AND(Master!#REF!,"AAAAACF/6VM=")</f>
        <v>#REF!</v>
      </c>
      <c r="CG3" t="e">
        <f>AND(Master!#REF!,"AAAAACF/6VQ=")</f>
        <v>#REF!</v>
      </c>
      <c r="CH3" t="e">
        <f>AND(Master!#REF!,"AAAAACF/6VU=")</f>
        <v>#REF!</v>
      </c>
      <c r="CI3" t="e">
        <f>AND(Master!#REF!,"AAAAACF/6VY=")</f>
        <v>#REF!</v>
      </c>
      <c r="CJ3" t="e">
        <f>AND(Master!#REF!,"AAAAACF/6Vc=")</f>
        <v>#REF!</v>
      </c>
      <c r="CK3" t="e">
        <f>IF(Master!#REF!,"AAAAACF/6Vg=",0)</f>
        <v>#REF!</v>
      </c>
      <c r="CL3" t="e">
        <f>AND(Master!#REF!,"AAAAACF/6Vk=")</f>
        <v>#REF!</v>
      </c>
      <c r="CM3" t="e">
        <f>AND(Master!#REF!,"AAAAACF/6Vo=")</f>
        <v>#REF!</v>
      </c>
      <c r="CN3" t="e">
        <f>AND(Master!#REF!,"AAAAACF/6Vs=")</f>
        <v>#REF!</v>
      </c>
      <c r="CO3" t="e">
        <f>AND(Master!#REF!,"AAAAACF/6Vw=")</f>
        <v>#REF!</v>
      </c>
      <c r="CP3" t="e">
        <f>AND(Master!#REF!,"AAAAACF/6V0=")</f>
        <v>#REF!</v>
      </c>
      <c r="CQ3" t="e">
        <f>AND(Master!#REF!,"AAAAACF/6V4=")</f>
        <v>#REF!</v>
      </c>
      <c r="CR3" t="e">
        <f>AND(Master!#REF!,"AAAAACF/6V8=")</f>
        <v>#REF!</v>
      </c>
      <c r="CS3" t="e">
        <f>AND(Master!#REF!,"AAAAACF/6WA=")</f>
        <v>#REF!</v>
      </c>
      <c r="CT3" t="e">
        <f>AND(Master!#REF!,"AAAAACF/6WE=")</f>
        <v>#REF!</v>
      </c>
      <c r="CU3" t="e">
        <f>AND(Master!#REF!,"AAAAACF/6WI=")</f>
        <v>#REF!</v>
      </c>
      <c r="CV3" t="e">
        <f>AND(Master!#REF!,"AAAAACF/6WM=")</f>
        <v>#REF!</v>
      </c>
      <c r="CW3" t="e">
        <f>AND(Master!#REF!,"AAAAACF/6WQ=")</f>
        <v>#REF!</v>
      </c>
      <c r="CX3" t="e">
        <f>AND(Master!#REF!,"AAAAACF/6WU=")</f>
        <v>#REF!</v>
      </c>
      <c r="CY3" t="e">
        <f>AND(Master!#REF!,"AAAAACF/6WY=")</f>
        <v>#REF!</v>
      </c>
      <c r="CZ3" t="e">
        <f>AND(Master!#REF!,"AAAAACF/6Wc=")</f>
        <v>#REF!</v>
      </c>
      <c r="DA3" t="e">
        <f>AND(Master!#REF!,"AAAAACF/6Wg=")</f>
        <v>#REF!</v>
      </c>
      <c r="DB3" t="e">
        <f>AND(Master!#REF!,"AAAAACF/6Wk=")</f>
        <v>#REF!</v>
      </c>
      <c r="DC3" t="e">
        <f>AND(Master!#REF!,"AAAAACF/6Wo=")</f>
        <v>#REF!</v>
      </c>
      <c r="DD3" t="e">
        <f>AND(Master!#REF!,"AAAAACF/6Ws=")</f>
        <v>#REF!</v>
      </c>
      <c r="DE3" t="e">
        <f>AND(Master!#REF!,"AAAAACF/6Ww=")</f>
        <v>#REF!</v>
      </c>
      <c r="DF3" t="e">
        <f>AND(Master!#REF!,"AAAAACF/6W0=")</f>
        <v>#REF!</v>
      </c>
      <c r="DG3" t="e">
        <f>AND(Master!#REF!,"AAAAACF/6W4=")</f>
        <v>#REF!</v>
      </c>
      <c r="DH3" t="e">
        <f>AND(Master!#REF!,"AAAAACF/6W8=")</f>
        <v>#REF!</v>
      </c>
      <c r="DI3" t="e">
        <f>IF(Master!#REF!,"AAAAACF/6XA=",0)</f>
        <v>#REF!</v>
      </c>
      <c r="DJ3" t="e">
        <f>AND(Master!#REF!,"AAAAACF/6XE=")</f>
        <v>#REF!</v>
      </c>
      <c r="DK3" t="e">
        <f>AND(Master!#REF!,"AAAAACF/6XI=")</f>
        <v>#REF!</v>
      </c>
      <c r="DL3" t="e">
        <f>AND(Master!#REF!,"AAAAACF/6XM=")</f>
        <v>#REF!</v>
      </c>
      <c r="DM3" t="e">
        <f>AND(Master!#REF!,"AAAAACF/6XQ=")</f>
        <v>#REF!</v>
      </c>
      <c r="DN3" t="e">
        <f>AND(Master!#REF!,"AAAAACF/6XU=")</f>
        <v>#REF!</v>
      </c>
      <c r="DO3" t="e">
        <f>AND(Master!#REF!,"AAAAACF/6XY=")</f>
        <v>#REF!</v>
      </c>
      <c r="DP3" t="e">
        <f>AND(Master!#REF!,"AAAAACF/6Xc=")</f>
        <v>#REF!</v>
      </c>
      <c r="DQ3" t="e">
        <f>AND(Master!#REF!,"AAAAACF/6Xg=")</f>
        <v>#REF!</v>
      </c>
      <c r="DR3" t="e">
        <f>AND(Master!#REF!,"AAAAACF/6Xk=")</f>
        <v>#REF!</v>
      </c>
      <c r="DS3" t="e">
        <f>AND(Master!#REF!,"AAAAACF/6Xo=")</f>
        <v>#REF!</v>
      </c>
      <c r="DT3" t="e">
        <f>AND(Master!#REF!,"AAAAACF/6Xs=")</f>
        <v>#REF!</v>
      </c>
      <c r="DU3" t="e">
        <f>AND(Master!#REF!,"AAAAACF/6Xw=")</f>
        <v>#REF!</v>
      </c>
      <c r="DV3" t="e">
        <f>AND(Master!#REF!,"AAAAACF/6X0=")</f>
        <v>#REF!</v>
      </c>
      <c r="DW3" t="e">
        <f>AND(Master!#REF!,"AAAAACF/6X4=")</f>
        <v>#REF!</v>
      </c>
      <c r="DX3" t="e">
        <f>AND(Master!#REF!,"AAAAACF/6X8=")</f>
        <v>#REF!</v>
      </c>
      <c r="DY3" t="e">
        <f>AND(Master!#REF!,"AAAAACF/6YA=")</f>
        <v>#REF!</v>
      </c>
      <c r="DZ3" t="e">
        <f>AND(Master!#REF!,"AAAAACF/6YE=")</f>
        <v>#REF!</v>
      </c>
      <c r="EA3" t="e">
        <f>AND(Master!#REF!,"AAAAACF/6YI=")</f>
        <v>#REF!</v>
      </c>
      <c r="EB3" t="e">
        <f>AND(Master!#REF!,"AAAAACF/6YM=")</f>
        <v>#REF!</v>
      </c>
      <c r="EC3" t="e">
        <f>AND(Master!#REF!,"AAAAACF/6YQ=")</f>
        <v>#REF!</v>
      </c>
      <c r="ED3" t="e">
        <f>AND(Master!#REF!,"AAAAACF/6YU=")</f>
        <v>#REF!</v>
      </c>
      <c r="EE3" t="e">
        <f>AND(Master!#REF!,"AAAAACF/6YY=")</f>
        <v>#REF!</v>
      </c>
      <c r="EF3" t="e">
        <f>AND(Master!#REF!,"AAAAACF/6Yc=")</f>
        <v>#REF!</v>
      </c>
      <c r="EG3" t="e">
        <f>IF(Master!#REF!,"AAAAACF/6Yg=",0)</f>
        <v>#REF!</v>
      </c>
      <c r="EH3" t="e">
        <f>AND(Master!#REF!,"AAAAACF/6Yk=")</f>
        <v>#REF!</v>
      </c>
      <c r="EI3" t="e">
        <f>AND(Master!#REF!,"AAAAACF/6Yo=")</f>
        <v>#REF!</v>
      </c>
      <c r="EJ3" t="e">
        <f>AND(Master!#REF!,"AAAAACF/6Ys=")</f>
        <v>#REF!</v>
      </c>
      <c r="EK3" t="e">
        <f>AND(Master!#REF!,"AAAAACF/6Yw=")</f>
        <v>#REF!</v>
      </c>
      <c r="EL3" t="e">
        <f>AND(Master!#REF!,"AAAAACF/6Y0=")</f>
        <v>#REF!</v>
      </c>
      <c r="EM3" t="e">
        <f>AND(Master!#REF!,"AAAAACF/6Y4=")</f>
        <v>#REF!</v>
      </c>
      <c r="EN3" t="e">
        <f>AND(Master!#REF!,"AAAAACF/6Y8=")</f>
        <v>#REF!</v>
      </c>
      <c r="EO3" t="e">
        <f>AND(Master!#REF!,"AAAAACF/6ZA=")</f>
        <v>#REF!</v>
      </c>
      <c r="EP3" t="e">
        <f>AND(Master!#REF!,"AAAAACF/6ZE=")</f>
        <v>#REF!</v>
      </c>
      <c r="EQ3" t="e">
        <f>AND(Master!#REF!,"AAAAACF/6ZI=")</f>
        <v>#REF!</v>
      </c>
      <c r="ER3" t="e">
        <f>AND(Master!#REF!,"AAAAACF/6ZM=")</f>
        <v>#REF!</v>
      </c>
      <c r="ES3" t="e">
        <f>AND(Master!#REF!,"AAAAACF/6ZQ=")</f>
        <v>#REF!</v>
      </c>
      <c r="ET3" t="e">
        <f>AND(Master!#REF!,"AAAAACF/6ZU=")</f>
        <v>#REF!</v>
      </c>
      <c r="EU3" t="e">
        <f>AND(Master!#REF!,"AAAAACF/6ZY=")</f>
        <v>#REF!</v>
      </c>
      <c r="EV3" t="e">
        <f>AND(Master!#REF!,"AAAAACF/6Zc=")</f>
        <v>#REF!</v>
      </c>
      <c r="EW3" t="e">
        <f>AND(Master!#REF!,"AAAAACF/6Zg=")</f>
        <v>#REF!</v>
      </c>
      <c r="EX3" t="e">
        <f>AND(Master!#REF!,"AAAAACF/6Zk=")</f>
        <v>#REF!</v>
      </c>
      <c r="EY3" t="e">
        <f>AND(Master!#REF!,"AAAAACF/6Zo=")</f>
        <v>#REF!</v>
      </c>
      <c r="EZ3" t="e">
        <f>AND(Master!#REF!,"AAAAACF/6Zs=")</f>
        <v>#REF!</v>
      </c>
      <c r="FA3" t="e">
        <f>AND(Master!#REF!,"AAAAACF/6Zw=")</f>
        <v>#REF!</v>
      </c>
      <c r="FB3" t="e">
        <f>AND(Master!#REF!,"AAAAACF/6Z0=")</f>
        <v>#REF!</v>
      </c>
      <c r="FC3" t="e">
        <f>AND(Master!#REF!,"AAAAACF/6Z4=")</f>
        <v>#REF!</v>
      </c>
      <c r="FD3" t="e">
        <f>AND(Master!#REF!,"AAAAACF/6Z8=")</f>
        <v>#REF!</v>
      </c>
      <c r="FE3" t="e">
        <f>IF(Master!#REF!,"AAAAACF/6aA=",0)</f>
        <v>#REF!</v>
      </c>
      <c r="FF3" t="e">
        <f>AND(Master!#REF!,"AAAAACF/6aE=")</f>
        <v>#REF!</v>
      </c>
      <c r="FG3" t="e">
        <f>AND(Master!#REF!,"AAAAACF/6aI=")</f>
        <v>#REF!</v>
      </c>
      <c r="FH3" t="e">
        <f>AND(Master!#REF!,"AAAAACF/6aM=")</f>
        <v>#REF!</v>
      </c>
      <c r="FI3" t="e">
        <f>AND(Master!#REF!,"AAAAACF/6aQ=")</f>
        <v>#REF!</v>
      </c>
      <c r="FJ3" t="e">
        <f>AND(Master!#REF!,"AAAAACF/6aU=")</f>
        <v>#REF!</v>
      </c>
      <c r="FK3" t="e">
        <f>AND(Master!#REF!,"AAAAACF/6aY=")</f>
        <v>#REF!</v>
      </c>
      <c r="FL3" t="e">
        <f>AND(Master!#REF!,"AAAAACF/6ac=")</f>
        <v>#REF!</v>
      </c>
      <c r="FM3" t="e">
        <f>AND(Master!#REF!,"AAAAACF/6ag=")</f>
        <v>#REF!</v>
      </c>
      <c r="FN3" t="e">
        <f>AND(Master!#REF!,"AAAAACF/6ak=")</f>
        <v>#REF!</v>
      </c>
      <c r="FO3" t="e">
        <f>AND(Master!#REF!,"AAAAACF/6ao=")</f>
        <v>#REF!</v>
      </c>
      <c r="FP3" t="e">
        <f>AND(Master!#REF!,"AAAAACF/6as=")</f>
        <v>#REF!</v>
      </c>
      <c r="FQ3" t="e">
        <f>AND(Master!#REF!,"AAAAACF/6aw=")</f>
        <v>#REF!</v>
      </c>
      <c r="FR3" t="e">
        <f>AND(Master!#REF!,"AAAAACF/6a0=")</f>
        <v>#REF!</v>
      </c>
      <c r="FS3" t="e">
        <f>AND(Master!#REF!,"AAAAACF/6a4=")</f>
        <v>#REF!</v>
      </c>
      <c r="FT3" t="e">
        <f>AND(Master!#REF!,"AAAAACF/6a8=")</f>
        <v>#REF!</v>
      </c>
      <c r="FU3" t="e">
        <f>AND(Master!#REF!,"AAAAACF/6bA=")</f>
        <v>#REF!</v>
      </c>
      <c r="FV3" t="e">
        <f>AND(Master!#REF!,"AAAAACF/6bE=")</f>
        <v>#REF!</v>
      </c>
      <c r="FW3" t="e">
        <f>AND(Master!#REF!,"AAAAACF/6bI=")</f>
        <v>#REF!</v>
      </c>
      <c r="FX3" t="e">
        <f>AND(Master!#REF!,"AAAAACF/6bM=")</f>
        <v>#REF!</v>
      </c>
      <c r="FY3" t="e">
        <f>AND(Master!#REF!,"AAAAACF/6bQ=")</f>
        <v>#REF!</v>
      </c>
      <c r="FZ3" t="e">
        <f>AND(Master!#REF!,"AAAAACF/6bU=")</f>
        <v>#REF!</v>
      </c>
      <c r="GA3" t="e">
        <f>AND(Master!#REF!,"AAAAACF/6bY=")</f>
        <v>#REF!</v>
      </c>
      <c r="GB3" t="e">
        <f>AND(Master!#REF!,"AAAAACF/6bc=")</f>
        <v>#REF!</v>
      </c>
      <c r="GC3" t="e">
        <f>IF(Master!#REF!,"AAAAACF/6bg=",0)</f>
        <v>#REF!</v>
      </c>
      <c r="GD3" t="e">
        <f>AND(Master!#REF!,"AAAAACF/6bk=")</f>
        <v>#REF!</v>
      </c>
      <c r="GE3" t="e">
        <f>AND(Master!#REF!,"AAAAACF/6bo=")</f>
        <v>#REF!</v>
      </c>
      <c r="GF3" t="e">
        <f>AND(Master!#REF!,"AAAAACF/6bs=")</f>
        <v>#REF!</v>
      </c>
      <c r="GG3" t="e">
        <f>AND(Master!#REF!,"AAAAACF/6bw=")</f>
        <v>#REF!</v>
      </c>
      <c r="GH3" t="e">
        <f>AND(Master!#REF!,"AAAAACF/6b0=")</f>
        <v>#REF!</v>
      </c>
      <c r="GI3" t="e">
        <f>AND(Master!#REF!,"AAAAACF/6b4=")</f>
        <v>#REF!</v>
      </c>
      <c r="GJ3" t="e">
        <f>AND(Master!#REF!,"AAAAACF/6b8=")</f>
        <v>#REF!</v>
      </c>
      <c r="GK3" t="e">
        <f>AND(Master!#REF!,"AAAAACF/6cA=")</f>
        <v>#REF!</v>
      </c>
      <c r="GL3" t="e">
        <f>AND(Master!#REF!,"AAAAACF/6cE=")</f>
        <v>#REF!</v>
      </c>
      <c r="GM3" t="e">
        <f>AND(Master!#REF!,"AAAAACF/6cI=")</f>
        <v>#REF!</v>
      </c>
      <c r="GN3" t="e">
        <f>AND(Master!#REF!,"AAAAACF/6cM=")</f>
        <v>#REF!</v>
      </c>
      <c r="GO3" t="e">
        <f>AND(Master!#REF!,"AAAAACF/6cQ=")</f>
        <v>#REF!</v>
      </c>
      <c r="GP3" t="e">
        <f>AND(Master!#REF!,"AAAAACF/6cU=")</f>
        <v>#REF!</v>
      </c>
      <c r="GQ3" t="e">
        <f>AND(Master!#REF!,"AAAAACF/6cY=")</f>
        <v>#REF!</v>
      </c>
      <c r="GR3" t="e">
        <f>AND(Master!#REF!,"AAAAACF/6cc=")</f>
        <v>#REF!</v>
      </c>
      <c r="GS3" t="e">
        <f>AND(Master!#REF!,"AAAAACF/6cg=")</f>
        <v>#REF!</v>
      </c>
      <c r="GT3" t="e">
        <f>AND(Master!#REF!,"AAAAACF/6ck=")</f>
        <v>#REF!</v>
      </c>
      <c r="GU3" t="e">
        <f>AND(Master!#REF!,"AAAAACF/6co=")</f>
        <v>#REF!</v>
      </c>
      <c r="GV3" t="e">
        <f>AND(Master!#REF!,"AAAAACF/6cs=")</f>
        <v>#REF!</v>
      </c>
      <c r="GW3" t="e">
        <f>AND(Master!#REF!,"AAAAACF/6cw=")</f>
        <v>#REF!</v>
      </c>
      <c r="GX3" t="e">
        <f>AND(Master!#REF!,"AAAAACF/6c0=")</f>
        <v>#REF!</v>
      </c>
      <c r="GY3" t="e">
        <f>AND(Master!#REF!,"AAAAACF/6c4=")</f>
        <v>#REF!</v>
      </c>
      <c r="GZ3" t="e">
        <f>AND(Master!#REF!,"AAAAACF/6c8=")</f>
        <v>#REF!</v>
      </c>
      <c r="HA3" t="e">
        <f>IF(Master!#REF!,"AAAAACF/6dA=",0)</f>
        <v>#REF!</v>
      </c>
      <c r="HB3" t="e">
        <f>AND(Master!#REF!,"AAAAACF/6dE=")</f>
        <v>#REF!</v>
      </c>
      <c r="HC3" t="e">
        <f>AND(Master!#REF!,"AAAAACF/6dI=")</f>
        <v>#REF!</v>
      </c>
      <c r="HD3" t="e">
        <f>AND(Master!#REF!,"AAAAACF/6dM=")</f>
        <v>#REF!</v>
      </c>
      <c r="HE3" t="e">
        <f>AND(Master!#REF!,"AAAAACF/6dQ=")</f>
        <v>#REF!</v>
      </c>
      <c r="HF3" t="e">
        <f>AND(Master!#REF!,"AAAAACF/6dU=")</f>
        <v>#REF!</v>
      </c>
      <c r="HG3" t="e">
        <f>AND(Master!#REF!,"AAAAACF/6dY=")</f>
        <v>#REF!</v>
      </c>
      <c r="HH3" t="e">
        <f>AND(Master!#REF!,"AAAAACF/6dc=")</f>
        <v>#REF!</v>
      </c>
      <c r="HI3" t="e">
        <f>AND(Master!#REF!,"AAAAACF/6dg=")</f>
        <v>#REF!</v>
      </c>
      <c r="HJ3" t="e">
        <f>AND(Master!#REF!,"AAAAACF/6dk=")</f>
        <v>#REF!</v>
      </c>
      <c r="HK3" t="e">
        <f>AND(Master!#REF!,"AAAAACF/6do=")</f>
        <v>#REF!</v>
      </c>
      <c r="HL3" t="e">
        <f>AND(Master!#REF!,"AAAAACF/6ds=")</f>
        <v>#REF!</v>
      </c>
      <c r="HM3" t="e">
        <f>AND(Master!#REF!,"AAAAACF/6dw=")</f>
        <v>#REF!</v>
      </c>
      <c r="HN3" t="e">
        <f>AND(Master!#REF!,"AAAAACF/6d0=")</f>
        <v>#REF!</v>
      </c>
      <c r="HO3" t="e">
        <f>AND(Master!#REF!,"AAAAACF/6d4=")</f>
        <v>#REF!</v>
      </c>
      <c r="HP3" t="e">
        <f>AND(Master!#REF!,"AAAAACF/6d8=")</f>
        <v>#REF!</v>
      </c>
      <c r="HQ3" t="e">
        <f>AND(Master!#REF!,"AAAAACF/6eA=")</f>
        <v>#REF!</v>
      </c>
      <c r="HR3" t="e">
        <f>AND(Master!#REF!,"AAAAACF/6eE=")</f>
        <v>#REF!</v>
      </c>
      <c r="HS3" t="e">
        <f>AND(Master!#REF!,"AAAAACF/6eI=")</f>
        <v>#REF!</v>
      </c>
      <c r="HT3" t="e">
        <f>AND(Master!#REF!,"AAAAACF/6eM=")</f>
        <v>#REF!</v>
      </c>
      <c r="HU3" t="e">
        <f>AND(Master!#REF!,"AAAAACF/6eQ=")</f>
        <v>#REF!</v>
      </c>
      <c r="HV3" t="e">
        <f>AND(Master!#REF!,"AAAAACF/6eU=")</f>
        <v>#REF!</v>
      </c>
      <c r="HW3" t="e">
        <f>AND(Master!#REF!,"AAAAACF/6eY=")</f>
        <v>#REF!</v>
      </c>
      <c r="HX3" t="e">
        <f>AND(Master!#REF!,"AAAAACF/6ec=")</f>
        <v>#REF!</v>
      </c>
      <c r="HY3" t="e">
        <f>IF(Master!#REF!,"AAAAACF/6eg=",0)</f>
        <v>#REF!</v>
      </c>
      <c r="HZ3" t="e">
        <f>AND(Master!#REF!,"AAAAACF/6ek=")</f>
        <v>#REF!</v>
      </c>
      <c r="IA3" t="e">
        <f>AND(Master!#REF!,"AAAAACF/6eo=")</f>
        <v>#REF!</v>
      </c>
      <c r="IB3" t="e">
        <f>AND(Master!#REF!,"AAAAACF/6es=")</f>
        <v>#REF!</v>
      </c>
      <c r="IC3" t="e">
        <f>AND(Master!#REF!,"AAAAACF/6ew=")</f>
        <v>#REF!</v>
      </c>
      <c r="ID3" t="e">
        <f>AND(Master!#REF!,"AAAAACF/6e0=")</f>
        <v>#REF!</v>
      </c>
      <c r="IE3" t="e">
        <f>AND(Master!#REF!,"AAAAACF/6e4=")</f>
        <v>#REF!</v>
      </c>
      <c r="IF3" t="e">
        <f>AND(Master!#REF!,"AAAAACF/6e8=")</f>
        <v>#REF!</v>
      </c>
      <c r="IG3" t="e">
        <f>AND(Master!#REF!,"AAAAACF/6fA=")</f>
        <v>#REF!</v>
      </c>
      <c r="IH3" t="e">
        <f>AND(Master!#REF!,"AAAAACF/6fE=")</f>
        <v>#REF!</v>
      </c>
      <c r="II3" t="e">
        <f>AND(Master!#REF!,"AAAAACF/6fI=")</f>
        <v>#REF!</v>
      </c>
      <c r="IJ3" t="e">
        <f>AND(Master!#REF!,"AAAAACF/6fM=")</f>
        <v>#REF!</v>
      </c>
      <c r="IK3" t="e">
        <f>AND(Master!#REF!,"AAAAACF/6fQ=")</f>
        <v>#REF!</v>
      </c>
      <c r="IL3" t="e">
        <f>AND(Master!#REF!,"AAAAACF/6fU=")</f>
        <v>#REF!</v>
      </c>
      <c r="IM3" t="e">
        <f>AND(Master!#REF!,"AAAAACF/6fY=")</f>
        <v>#REF!</v>
      </c>
      <c r="IN3" t="e">
        <f>AND(Master!#REF!,"AAAAACF/6fc=")</f>
        <v>#REF!</v>
      </c>
      <c r="IO3" t="e">
        <f>AND(Master!#REF!,"AAAAACF/6fg=")</f>
        <v>#REF!</v>
      </c>
      <c r="IP3" t="e">
        <f>AND(Master!#REF!,"AAAAACF/6fk=")</f>
        <v>#REF!</v>
      </c>
      <c r="IQ3" t="e">
        <f>AND(Master!#REF!,"AAAAACF/6fo=")</f>
        <v>#REF!</v>
      </c>
      <c r="IR3" t="e">
        <f>AND(Master!#REF!,"AAAAACF/6fs=")</f>
        <v>#REF!</v>
      </c>
      <c r="IS3" t="e">
        <f>AND(Master!#REF!,"AAAAACF/6fw=")</f>
        <v>#REF!</v>
      </c>
      <c r="IT3" t="e">
        <f>AND(Master!#REF!,"AAAAACF/6f0=")</f>
        <v>#REF!</v>
      </c>
      <c r="IU3" t="e">
        <f>AND(Master!#REF!,"AAAAACF/6f4=")</f>
        <v>#REF!</v>
      </c>
      <c r="IV3" t="e">
        <f>AND(Master!#REF!,"AAAAACF/6f8=")</f>
        <v>#REF!</v>
      </c>
    </row>
    <row r="4" spans="1:256" x14ac:dyDescent="0.25">
      <c r="A4" t="e">
        <f>IF(Master!#REF!,"AAAAAEn/9gA=",0)</f>
        <v>#REF!</v>
      </c>
      <c r="B4" t="e">
        <f>AND(Master!#REF!,"AAAAAEn/9gE=")</f>
        <v>#REF!</v>
      </c>
      <c r="C4" t="e">
        <f>AND(Master!#REF!,"AAAAAEn/9gI=")</f>
        <v>#REF!</v>
      </c>
      <c r="D4" t="e">
        <f>AND(Master!#REF!,"AAAAAEn/9gM=")</f>
        <v>#REF!</v>
      </c>
      <c r="E4" t="e">
        <f>AND(Master!#REF!,"AAAAAEn/9gQ=")</f>
        <v>#REF!</v>
      </c>
      <c r="F4" t="e">
        <f>AND(Master!#REF!,"AAAAAEn/9gU=")</f>
        <v>#REF!</v>
      </c>
      <c r="G4" t="e">
        <f>AND(Master!#REF!,"AAAAAEn/9gY=")</f>
        <v>#REF!</v>
      </c>
      <c r="H4" t="e">
        <f>AND(Master!#REF!,"AAAAAEn/9gc=")</f>
        <v>#REF!</v>
      </c>
      <c r="I4" t="e">
        <f>AND(Master!#REF!,"AAAAAEn/9gg=")</f>
        <v>#REF!</v>
      </c>
      <c r="J4" t="e">
        <f>AND(Master!#REF!,"AAAAAEn/9gk=")</f>
        <v>#REF!</v>
      </c>
      <c r="K4" t="e">
        <f>AND(Master!#REF!,"AAAAAEn/9go=")</f>
        <v>#REF!</v>
      </c>
      <c r="L4" t="e">
        <f>AND(Master!#REF!,"AAAAAEn/9gs=")</f>
        <v>#REF!</v>
      </c>
      <c r="M4" t="e">
        <f>AND(Master!#REF!,"AAAAAEn/9gw=")</f>
        <v>#REF!</v>
      </c>
      <c r="N4" t="e">
        <f>AND(Master!#REF!,"AAAAAEn/9g0=")</f>
        <v>#REF!</v>
      </c>
      <c r="O4" t="e">
        <f>AND(Master!#REF!,"AAAAAEn/9g4=")</f>
        <v>#REF!</v>
      </c>
      <c r="P4" t="e">
        <f>AND(Master!#REF!,"AAAAAEn/9g8=")</f>
        <v>#REF!</v>
      </c>
      <c r="Q4" t="e">
        <f>AND(Master!#REF!,"AAAAAEn/9hA=")</f>
        <v>#REF!</v>
      </c>
      <c r="R4" t="e">
        <f>AND(Master!#REF!,"AAAAAEn/9hE=")</f>
        <v>#REF!</v>
      </c>
      <c r="S4" t="e">
        <f>AND(Master!#REF!,"AAAAAEn/9hI=")</f>
        <v>#REF!</v>
      </c>
      <c r="T4" t="e">
        <f>AND(Master!#REF!,"AAAAAEn/9hM=")</f>
        <v>#REF!</v>
      </c>
      <c r="U4" t="e">
        <f>AND(Master!#REF!,"AAAAAEn/9hQ=")</f>
        <v>#REF!</v>
      </c>
      <c r="V4" t="e">
        <f>AND(Master!#REF!,"AAAAAEn/9hU=")</f>
        <v>#REF!</v>
      </c>
      <c r="W4" t="e">
        <f>AND(Master!#REF!,"AAAAAEn/9hY=")</f>
        <v>#REF!</v>
      </c>
      <c r="X4" t="e">
        <f>AND(Master!#REF!,"AAAAAEn/9hc=")</f>
        <v>#REF!</v>
      </c>
      <c r="Y4" t="e">
        <f>IF(Master!#REF!,"AAAAAEn/9hg=",0)</f>
        <v>#REF!</v>
      </c>
      <c r="Z4" t="e">
        <f>AND(Master!#REF!,"AAAAAEn/9hk=")</f>
        <v>#REF!</v>
      </c>
      <c r="AA4" t="e">
        <f>AND(Master!#REF!,"AAAAAEn/9ho=")</f>
        <v>#REF!</v>
      </c>
      <c r="AB4" t="e">
        <f>AND(Master!#REF!,"AAAAAEn/9hs=")</f>
        <v>#REF!</v>
      </c>
      <c r="AC4" t="e">
        <f>AND(Master!#REF!,"AAAAAEn/9hw=")</f>
        <v>#REF!</v>
      </c>
      <c r="AD4" t="e">
        <f>AND(Master!#REF!,"AAAAAEn/9h0=")</f>
        <v>#REF!</v>
      </c>
      <c r="AE4" t="e">
        <f>AND(Master!#REF!,"AAAAAEn/9h4=")</f>
        <v>#REF!</v>
      </c>
      <c r="AF4" t="e">
        <f>AND(Master!#REF!,"AAAAAEn/9h8=")</f>
        <v>#REF!</v>
      </c>
      <c r="AG4" t="e">
        <f>AND(Master!#REF!,"AAAAAEn/9iA=")</f>
        <v>#REF!</v>
      </c>
      <c r="AH4" t="e">
        <f>AND(Master!#REF!,"AAAAAEn/9iE=")</f>
        <v>#REF!</v>
      </c>
      <c r="AI4" t="e">
        <f>AND(Master!#REF!,"AAAAAEn/9iI=")</f>
        <v>#REF!</v>
      </c>
      <c r="AJ4" t="e">
        <f>AND(Master!#REF!,"AAAAAEn/9iM=")</f>
        <v>#REF!</v>
      </c>
      <c r="AK4" t="e">
        <f>AND(Master!#REF!,"AAAAAEn/9iQ=")</f>
        <v>#REF!</v>
      </c>
      <c r="AL4" t="e">
        <f>AND(Master!#REF!,"AAAAAEn/9iU=")</f>
        <v>#REF!</v>
      </c>
      <c r="AM4" t="e">
        <f>AND(Master!#REF!,"AAAAAEn/9iY=")</f>
        <v>#REF!</v>
      </c>
      <c r="AN4" t="e">
        <f>AND(Master!#REF!,"AAAAAEn/9ic=")</f>
        <v>#REF!</v>
      </c>
      <c r="AO4" t="e">
        <f>AND(Master!#REF!,"AAAAAEn/9ig=")</f>
        <v>#REF!</v>
      </c>
      <c r="AP4" t="e">
        <f>AND(Master!#REF!,"AAAAAEn/9ik=")</f>
        <v>#REF!</v>
      </c>
      <c r="AQ4" t="e">
        <f>AND(Master!#REF!,"AAAAAEn/9io=")</f>
        <v>#REF!</v>
      </c>
      <c r="AR4" t="e">
        <f>AND(Master!#REF!,"AAAAAEn/9is=")</f>
        <v>#REF!</v>
      </c>
      <c r="AS4" t="e">
        <f>AND(Master!#REF!,"AAAAAEn/9iw=")</f>
        <v>#REF!</v>
      </c>
      <c r="AT4" t="e">
        <f>AND(Master!#REF!,"AAAAAEn/9i0=")</f>
        <v>#REF!</v>
      </c>
      <c r="AU4" t="e">
        <f>AND(Master!#REF!,"AAAAAEn/9i4=")</f>
        <v>#REF!</v>
      </c>
      <c r="AV4" t="e">
        <f>AND(Master!#REF!,"AAAAAEn/9i8=")</f>
        <v>#REF!</v>
      </c>
      <c r="AW4" t="e">
        <f>IF(Master!#REF!,"AAAAAEn/9jA=",0)</f>
        <v>#REF!</v>
      </c>
      <c r="AX4" t="e">
        <f>AND(Master!#REF!,"AAAAAEn/9jE=")</f>
        <v>#REF!</v>
      </c>
      <c r="AY4" t="e">
        <f>AND(Master!#REF!,"AAAAAEn/9jI=")</f>
        <v>#REF!</v>
      </c>
      <c r="AZ4" t="e">
        <f>AND(Master!#REF!,"AAAAAEn/9jM=")</f>
        <v>#REF!</v>
      </c>
      <c r="BA4" t="e">
        <f>AND(Master!#REF!,"AAAAAEn/9jQ=")</f>
        <v>#REF!</v>
      </c>
      <c r="BB4" t="e">
        <f>AND(Master!#REF!,"AAAAAEn/9jU=")</f>
        <v>#REF!</v>
      </c>
      <c r="BC4" t="e">
        <f>AND(Master!#REF!,"AAAAAEn/9jY=")</f>
        <v>#REF!</v>
      </c>
      <c r="BD4" t="e">
        <f>AND(Master!#REF!,"AAAAAEn/9jc=")</f>
        <v>#REF!</v>
      </c>
      <c r="BE4" t="e">
        <f>AND(Master!#REF!,"AAAAAEn/9jg=")</f>
        <v>#REF!</v>
      </c>
      <c r="BF4" t="e">
        <f>AND(Master!#REF!,"AAAAAEn/9jk=")</f>
        <v>#REF!</v>
      </c>
      <c r="BG4" t="e">
        <f>AND(Master!#REF!,"AAAAAEn/9jo=")</f>
        <v>#REF!</v>
      </c>
      <c r="BH4" t="e">
        <f>AND(Master!#REF!,"AAAAAEn/9js=")</f>
        <v>#REF!</v>
      </c>
      <c r="BI4" t="e">
        <f>AND(Master!#REF!,"AAAAAEn/9jw=")</f>
        <v>#REF!</v>
      </c>
      <c r="BJ4" t="e">
        <f>AND(Master!#REF!,"AAAAAEn/9j0=")</f>
        <v>#REF!</v>
      </c>
      <c r="BK4" t="e">
        <f>AND(Master!#REF!,"AAAAAEn/9j4=")</f>
        <v>#REF!</v>
      </c>
      <c r="BL4" t="e">
        <f>AND(Master!#REF!,"AAAAAEn/9j8=")</f>
        <v>#REF!</v>
      </c>
      <c r="BM4" t="e">
        <f>AND(Master!#REF!,"AAAAAEn/9kA=")</f>
        <v>#REF!</v>
      </c>
      <c r="BN4" t="e">
        <f>AND(Master!#REF!,"AAAAAEn/9kE=")</f>
        <v>#REF!</v>
      </c>
      <c r="BO4" t="e">
        <f>AND(Master!#REF!,"AAAAAEn/9kI=")</f>
        <v>#REF!</v>
      </c>
      <c r="BP4" t="e">
        <f>AND(Master!#REF!,"AAAAAEn/9kM=")</f>
        <v>#REF!</v>
      </c>
      <c r="BQ4" t="e">
        <f>AND(Master!#REF!,"AAAAAEn/9kQ=")</f>
        <v>#REF!</v>
      </c>
      <c r="BR4" t="e">
        <f>AND(Master!#REF!,"AAAAAEn/9kU=")</f>
        <v>#REF!</v>
      </c>
      <c r="BS4" t="e">
        <f>AND(Master!#REF!,"AAAAAEn/9kY=")</f>
        <v>#REF!</v>
      </c>
      <c r="BT4" t="e">
        <f>AND(Master!#REF!,"AAAAAEn/9kc=")</f>
        <v>#REF!</v>
      </c>
      <c r="BU4" t="e">
        <f>IF(Master!#REF!,"AAAAAEn/9kg=",0)</f>
        <v>#REF!</v>
      </c>
      <c r="BV4" t="e">
        <f>AND(Master!#REF!,"AAAAAEn/9kk=")</f>
        <v>#REF!</v>
      </c>
      <c r="BW4" t="e">
        <f>AND(Master!#REF!,"AAAAAEn/9ko=")</f>
        <v>#REF!</v>
      </c>
      <c r="BX4" t="e">
        <f>AND(Master!#REF!,"AAAAAEn/9ks=")</f>
        <v>#REF!</v>
      </c>
      <c r="BY4" t="e">
        <f>AND(Master!#REF!,"AAAAAEn/9kw=")</f>
        <v>#REF!</v>
      </c>
      <c r="BZ4" t="e">
        <f>AND(Master!#REF!,"AAAAAEn/9k0=")</f>
        <v>#REF!</v>
      </c>
      <c r="CA4" t="e">
        <f>AND(Master!#REF!,"AAAAAEn/9k4=")</f>
        <v>#REF!</v>
      </c>
      <c r="CB4" t="e">
        <f>AND(Master!#REF!,"AAAAAEn/9k8=")</f>
        <v>#REF!</v>
      </c>
      <c r="CC4" t="e">
        <f>AND(Master!#REF!,"AAAAAEn/9lA=")</f>
        <v>#REF!</v>
      </c>
      <c r="CD4" t="e">
        <f>AND(Master!#REF!,"AAAAAEn/9lE=")</f>
        <v>#REF!</v>
      </c>
      <c r="CE4" t="e">
        <f>AND(Master!#REF!,"AAAAAEn/9lI=")</f>
        <v>#REF!</v>
      </c>
      <c r="CF4" t="e">
        <f>AND(Master!#REF!,"AAAAAEn/9lM=")</f>
        <v>#REF!</v>
      </c>
      <c r="CG4" t="e">
        <f>AND(Master!#REF!,"AAAAAEn/9lQ=")</f>
        <v>#REF!</v>
      </c>
      <c r="CH4" t="e">
        <f>AND(Master!#REF!,"AAAAAEn/9lU=")</f>
        <v>#REF!</v>
      </c>
      <c r="CI4" t="e">
        <f>AND(Master!#REF!,"AAAAAEn/9lY=")</f>
        <v>#REF!</v>
      </c>
      <c r="CJ4" t="e">
        <f>AND(Master!#REF!,"AAAAAEn/9lc=")</f>
        <v>#REF!</v>
      </c>
      <c r="CK4" t="e">
        <f>AND(Master!#REF!,"AAAAAEn/9lg=")</f>
        <v>#REF!</v>
      </c>
      <c r="CL4" t="e">
        <f>AND(Master!#REF!,"AAAAAEn/9lk=")</f>
        <v>#REF!</v>
      </c>
      <c r="CM4" t="e">
        <f>AND(Master!#REF!,"AAAAAEn/9lo=")</f>
        <v>#REF!</v>
      </c>
      <c r="CN4" t="e">
        <f>AND(Master!#REF!,"AAAAAEn/9ls=")</f>
        <v>#REF!</v>
      </c>
      <c r="CO4" t="e">
        <f>AND(Master!#REF!,"AAAAAEn/9lw=")</f>
        <v>#REF!</v>
      </c>
      <c r="CP4" t="e">
        <f>AND(Master!#REF!,"AAAAAEn/9l0=")</f>
        <v>#REF!</v>
      </c>
      <c r="CQ4" t="e">
        <f>AND(Master!#REF!,"AAAAAEn/9l4=")</f>
        <v>#REF!</v>
      </c>
      <c r="CR4" t="e">
        <f>AND(Master!#REF!,"AAAAAEn/9l8=")</f>
        <v>#REF!</v>
      </c>
      <c r="CS4" t="e">
        <f>IF(Master!#REF!,"AAAAAEn/9mA=",0)</f>
        <v>#REF!</v>
      </c>
      <c r="CT4" t="e">
        <f>AND(Master!#REF!,"AAAAAEn/9mE=")</f>
        <v>#REF!</v>
      </c>
      <c r="CU4" t="e">
        <f>AND(Master!#REF!,"AAAAAEn/9mI=")</f>
        <v>#REF!</v>
      </c>
      <c r="CV4" t="e">
        <f>AND(Master!#REF!,"AAAAAEn/9mM=")</f>
        <v>#REF!</v>
      </c>
      <c r="CW4" t="e">
        <f>AND(Master!#REF!,"AAAAAEn/9mQ=")</f>
        <v>#REF!</v>
      </c>
      <c r="CX4" t="e">
        <f>AND(Master!#REF!,"AAAAAEn/9mU=")</f>
        <v>#REF!</v>
      </c>
      <c r="CY4" t="e">
        <f>AND(Master!#REF!,"AAAAAEn/9mY=")</f>
        <v>#REF!</v>
      </c>
      <c r="CZ4" t="e">
        <f>AND(Master!#REF!,"AAAAAEn/9mc=")</f>
        <v>#REF!</v>
      </c>
      <c r="DA4" t="e">
        <f>AND(Master!#REF!,"AAAAAEn/9mg=")</f>
        <v>#REF!</v>
      </c>
      <c r="DB4" t="e">
        <f>AND(Master!#REF!,"AAAAAEn/9mk=")</f>
        <v>#REF!</v>
      </c>
      <c r="DC4" t="e">
        <f>AND(Master!#REF!,"AAAAAEn/9mo=")</f>
        <v>#REF!</v>
      </c>
      <c r="DD4" t="e">
        <f>AND(Master!#REF!,"AAAAAEn/9ms=")</f>
        <v>#REF!</v>
      </c>
      <c r="DE4" t="e">
        <f>AND(Master!#REF!,"AAAAAEn/9mw=")</f>
        <v>#REF!</v>
      </c>
      <c r="DF4" t="e">
        <f>AND(Master!#REF!,"AAAAAEn/9m0=")</f>
        <v>#REF!</v>
      </c>
      <c r="DG4" t="e">
        <f>AND(Master!#REF!,"AAAAAEn/9m4=")</f>
        <v>#REF!</v>
      </c>
      <c r="DH4" t="e">
        <f>AND(Master!#REF!,"AAAAAEn/9m8=")</f>
        <v>#REF!</v>
      </c>
      <c r="DI4" t="e">
        <f>AND(Master!#REF!,"AAAAAEn/9nA=")</f>
        <v>#REF!</v>
      </c>
      <c r="DJ4" t="e">
        <f>AND(Master!#REF!,"AAAAAEn/9nE=")</f>
        <v>#REF!</v>
      </c>
      <c r="DK4" t="e">
        <f>AND(Master!#REF!,"AAAAAEn/9nI=")</f>
        <v>#REF!</v>
      </c>
      <c r="DL4" t="e">
        <f>AND(Master!#REF!,"AAAAAEn/9nM=")</f>
        <v>#REF!</v>
      </c>
      <c r="DM4" t="e">
        <f>AND(Master!#REF!,"AAAAAEn/9nQ=")</f>
        <v>#REF!</v>
      </c>
      <c r="DN4" t="e">
        <f>AND(Master!#REF!,"AAAAAEn/9nU=")</f>
        <v>#REF!</v>
      </c>
      <c r="DO4" t="e">
        <f>AND(Master!#REF!,"AAAAAEn/9nY=")</f>
        <v>#REF!</v>
      </c>
      <c r="DP4" t="e">
        <f>AND(Master!#REF!,"AAAAAEn/9nc=")</f>
        <v>#REF!</v>
      </c>
      <c r="DQ4" t="e">
        <f>IF(Master!#REF!,"AAAAAEn/9ng=",0)</f>
        <v>#REF!</v>
      </c>
      <c r="DR4" t="e">
        <f>AND(Master!#REF!,"AAAAAEn/9nk=")</f>
        <v>#REF!</v>
      </c>
      <c r="DS4" t="e">
        <f>AND(Master!#REF!,"AAAAAEn/9no=")</f>
        <v>#REF!</v>
      </c>
      <c r="DT4" t="e">
        <f>AND(Master!#REF!,"AAAAAEn/9ns=")</f>
        <v>#REF!</v>
      </c>
      <c r="DU4" t="e">
        <f>AND(Master!#REF!,"AAAAAEn/9nw=")</f>
        <v>#REF!</v>
      </c>
      <c r="DV4" t="e">
        <f>AND(Master!#REF!,"AAAAAEn/9n0=")</f>
        <v>#REF!</v>
      </c>
      <c r="DW4" t="e">
        <f>AND(Master!#REF!,"AAAAAEn/9n4=")</f>
        <v>#REF!</v>
      </c>
      <c r="DX4" t="e">
        <f>AND(Master!#REF!,"AAAAAEn/9n8=")</f>
        <v>#REF!</v>
      </c>
      <c r="DY4" t="e">
        <f>AND(Master!#REF!,"AAAAAEn/9oA=")</f>
        <v>#REF!</v>
      </c>
      <c r="DZ4" t="e">
        <f>AND(Master!#REF!,"AAAAAEn/9oE=")</f>
        <v>#REF!</v>
      </c>
      <c r="EA4" t="e">
        <f>AND(Master!#REF!,"AAAAAEn/9oI=")</f>
        <v>#REF!</v>
      </c>
      <c r="EB4" t="e">
        <f>AND(Master!#REF!,"AAAAAEn/9oM=")</f>
        <v>#REF!</v>
      </c>
      <c r="EC4" t="e">
        <f>AND(Master!#REF!,"AAAAAEn/9oQ=")</f>
        <v>#REF!</v>
      </c>
      <c r="ED4" t="e">
        <f>AND(Master!#REF!,"AAAAAEn/9oU=")</f>
        <v>#REF!</v>
      </c>
      <c r="EE4" t="e">
        <f>AND(Master!#REF!,"AAAAAEn/9oY=")</f>
        <v>#REF!</v>
      </c>
      <c r="EF4" t="e">
        <f>AND(Master!#REF!,"AAAAAEn/9oc=")</f>
        <v>#REF!</v>
      </c>
      <c r="EG4" t="e">
        <f>AND(Master!#REF!,"AAAAAEn/9og=")</f>
        <v>#REF!</v>
      </c>
      <c r="EH4" t="e">
        <f>AND(Master!#REF!,"AAAAAEn/9ok=")</f>
        <v>#REF!</v>
      </c>
      <c r="EI4" t="e">
        <f>AND(Master!#REF!,"AAAAAEn/9oo=")</f>
        <v>#REF!</v>
      </c>
      <c r="EJ4" t="e">
        <f>AND(Master!#REF!,"AAAAAEn/9os=")</f>
        <v>#REF!</v>
      </c>
      <c r="EK4" t="e">
        <f>AND(Master!#REF!,"AAAAAEn/9ow=")</f>
        <v>#REF!</v>
      </c>
      <c r="EL4" t="e">
        <f>AND(Master!#REF!,"AAAAAEn/9o0=")</f>
        <v>#REF!</v>
      </c>
      <c r="EM4" t="e">
        <f>AND(Master!#REF!,"AAAAAEn/9o4=")</f>
        <v>#REF!</v>
      </c>
      <c r="EN4" t="e">
        <f>AND(Master!#REF!,"AAAAAEn/9o8=")</f>
        <v>#REF!</v>
      </c>
      <c r="EO4">
        <f>IF(Master!9:9,"AAAAAEn/9pA=",0)</f>
        <v>0</v>
      </c>
      <c r="EP4" t="e">
        <f>AND(Master!C9,"AAAAAEn/9pE=")</f>
        <v>#VALUE!</v>
      </c>
      <c r="EQ4" t="e">
        <f>AND(Master!D9,"AAAAAEn/9pI=")</f>
        <v>#VALUE!</v>
      </c>
      <c r="ER4" t="e">
        <f>AND(Master!F9,"AAAAAEn/9pM=")</f>
        <v>#VALUE!</v>
      </c>
      <c r="ES4" t="e">
        <f>AND(Master!H9,"AAAAAEn/9pQ=")</f>
        <v>#VALUE!</v>
      </c>
      <c r="ET4" t="e">
        <f>AND(Master!J9,"AAAAAEn/9pU=")</f>
        <v>#VALUE!</v>
      </c>
      <c r="EU4" t="e">
        <f>AND(Master!K9,"AAAAAEn/9pY=")</f>
        <v>#VALUE!</v>
      </c>
      <c r="EV4" t="e">
        <f>AND(Master!L9,"AAAAAEn/9pc=")</f>
        <v>#VALUE!</v>
      </c>
      <c r="EW4" t="e">
        <f>AND(Master!M9,"AAAAAEn/9pg=")</f>
        <v>#VALUE!</v>
      </c>
      <c r="EX4" t="e">
        <f>AND(Master!N9,"AAAAAEn/9pk=")</f>
        <v>#VALUE!</v>
      </c>
      <c r="EY4" t="e">
        <f>AND(Master!O9,"AAAAAEn/9po=")</f>
        <v>#VALUE!</v>
      </c>
      <c r="EZ4" t="e">
        <f>AND(Master!P9,"AAAAAEn/9ps=")</f>
        <v>#VALUE!</v>
      </c>
      <c r="FA4" t="e">
        <f>AND(Master!Q9,"AAAAAEn/9pw=")</f>
        <v>#VALUE!</v>
      </c>
      <c r="FB4" t="e">
        <f>AND(Master!R9,"AAAAAEn/9p0=")</f>
        <v>#VALUE!</v>
      </c>
      <c r="FC4" t="e">
        <f>AND(Master!S9,"AAAAAEn/9p4=")</f>
        <v>#VALUE!</v>
      </c>
      <c r="FD4" t="e">
        <f>AND(Master!T9,"AAAAAEn/9p8=")</f>
        <v>#VALUE!</v>
      </c>
      <c r="FE4" t="e">
        <f>AND(Master!U9,"AAAAAEn/9qA=")</f>
        <v>#VALUE!</v>
      </c>
      <c r="FF4" t="e">
        <f>AND(Master!V9,"AAAAAEn/9qE=")</f>
        <v>#VALUE!</v>
      </c>
      <c r="FG4" t="e">
        <f>AND(Master!W9,"AAAAAEn/9qI=")</f>
        <v>#VALUE!</v>
      </c>
      <c r="FH4" t="e">
        <f>AND(Master!X9,"AAAAAEn/9qM=")</f>
        <v>#VALUE!</v>
      </c>
      <c r="FI4" t="e">
        <f>AND(Master!Y9,"AAAAAEn/9qQ=")</f>
        <v>#VALUE!</v>
      </c>
      <c r="FJ4" t="e">
        <f>AND(Master!Z9,"AAAAAEn/9qU=")</f>
        <v>#VALUE!</v>
      </c>
      <c r="FK4" t="e">
        <f>AND(Master!AA9,"AAAAAEn/9qY=")</f>
        <v>#VALUE!</v>
      </c>
      <c r="FL4" t="e">
        <f>AND(Master!AB9,"AAAAAEn/9qc=")</f>
        <v>#VALUE!</v>
      </c>
      <c r="FM4">
        <f>IF(Master!10:10,"AAAAAEn/9qg=",0)</f>
        <v>0</v>
      </c>
      <c r="FN4" t="e">
        <f>AND(Master!C10,"AAAAAEn/9qk=")</f>
        <v>#VALUE!</v>
      </c>
      <c r="FO4" t="e">
        <f>AND(Master!D10,"AAAAAEn/9qo=")</f>
        <v>#VALUE!</v>
      </c>
      <c r="FP4" t="e">
        <f>AND(Master!F10,"AAAAAEn/9qs=")</f>
        <v>#VALUE!</v>
      </c>
      <c r="FQ4" t="e">
        <f>AND(Master!H10,"AAAAAEn/9qw=")</f>
        <v>#VALUE!</v>
      </c>
      <c r="FR4" t="e">
        <f>AND(Master!J10,"AAAAAEn/9q0=")</f>
        <v>#VALUE!</v>
      </c>
      <c r="FS4" t="e">
        <f>AND(Master!K10,"AAAAAEn/9q4=")</f>
        <v>#VALUE!</v>
      </c>
      <c r="FT4" t="e">
        <f>AND(Master!L10,"AAAAAEn/9q8=")</f>
        <v>#VALUE!</v>
      </c>
      <c r="FU4" t="e">
        <f>AND(Master!M10,"AAAAAEn/9rA=")</f>
        <v>#VALUE!</v>
      </c>
      <c r="FV4" t="e">
        <f>AND(Master!N10,"AAAAAEn/9rE=")</f>
        <v>#VALUE!</v>
      </c>
      <c r="FW4" t="e">
        <f>AND(Master!O10,"AAAAAEn/9rI=")</f>
        <v>#VALUE!</v>
      </c>
      <c r="FX4" t="e">
        <f>AND(Master!P10,"AAAAAEn/9rM=")</f>
        <v>#VALUE!</v>
      </c>
      <c r="FY4" t="e">
        <f>AND(Master!Q10,"AAAAAEn/9rQ=")</f>
        <v>#VALUE!</v>
      </c>
      <c r="FZ4" t="e">
        <f>AND(Master!R10,"AAAAAEn/9rU=")</f>
        <v>#VALUE!</v>
      </c>
      <c r="GA4" t="e">
        <f>AND(Master!S10,"AAAAAEn/9rY=")</f>
        <v>#VALUE!</v>
      </c>
      <c r="GB4" t="e">
        <f>AND(Master!T10,"AAAAAEn/9rc=")</f>
        <v>#VALUE!</v>
      </c>
      <c r="GC4" t="e">
        <f>AND(Master!U10,"AAAAAEn/9rg=")</f>
        <v>#VALUE!</v>
      </c>
      <c r="GD4" t="e">
        <f>AND(Master!V10,"AAAAAEn/9rk=")</f>
        <v>#VALUE!</v>
      </c>
      <c r="GE4" t="e">
        <f>AND(Master!W10,"AAAAAEn/9ro=")</f>
        <v>#VALUE!</v>
      </c>
      <c r="GF4" t="e">
        <f>AND(Master!X10,"AAAAAEn/9rs=")</f>
        <v>#VALUE!</v>
      </c>
      <c r="GG4" t="e">
        <f>AND(Master!Y10,"AAAAAEn/9rw=")</f>
        <v>#VALUE!</v>
      </c>
      <c r="GH4" t="e">
        <f>AND(Master!Z10,"AAAAAEn/9r0=")</f>
        <v>#VALUE!</v>
      </c>
      <c r="GI4" t="e">
        <f>AND(Master!AA10,"AAAAAEn/9r4=")</f>
        <v>#VALUE!</v>
      </c>
      <c r="GJ4" t="e">
        <f>AND(Master!AB10,"AAAAAEn/9r8=")</f>
        <v>#VALUE!</v>
      </c>
      <c r="GK4" t="e">
        <f>IF(Master!#REF!,"AAAAAEn/9sA=",0)</f>
        <v>#REF!</v>
      </c>
      <c r="GL4" t="e">
        <f>AND(Master!#REF!,"AAAAAEn/9sE=")</f>
        <v>#REF!</v>
      </c>
      <c r="GM4" t="e">
        <f>AND(Master!#REF!,"AAAAAEn/9sI=")</f>
        <v>#REF!</v>
      </c>
      <c r="GN4" t="e">
        <f>AND(Master!#REF!,"AAAAAEn/9sM=")</f>
        <v>#REF!</v>
      </c>
      <c r="GO4" t="e">
        <f>AND(Master!#REF!,"AAAAAEn/9sQ=")</f>
        <v>#REF!</v>
      </c>
      <c r="GP4" t="e">
        <f>AND(Master!#REF!,"AAAAAEn/9sU=")</f>
        <v>#REF!</v>
      </c>
      <c r="GQ4" t="e">
        <f>AND(Master!#REF!,"AAAAAEn/9sY=")</f>
        <v>#REF!</v>
      </c>
      <c r="GR4" t="e">
        <f>AND(Master!#REF!,"AAAAAEn/9sc=")</f>
        <v>#REF!</v>
      </c>
      <c r="GS4" t="e">
        <f>AND(Master!#REF!,"AAAAAEn/9sg=")</f>
        <v>#REF!</v>
      </c>
      <c r="GT4" t="e">
        <f>AND(Master!#REF!,"AAAAAEn/9sk=")</f>
        <v>#REF!</v>
      </c>
      <c r="GU4" t="e">
        <f>AND(Master!#REF!,"AAAAAEn/9so=")</f>
        <v>#REF!</v>
      </c>
      <c r="GV4" t="e">
        <f>AND(Master!#REF!,"AAAAAEn/9ss=")</f>
        <v>#REF!</v>
      </c>
      <c r="GW4" t="e">
        <f>AND(Master!#REF!,"AAAAAEn/9sw=")</f>
        <v>#REF!</v>
      </c>
      <c r="GX4" t="e">
        <f>AND(Master!#REF!,"AAAAAEn/9s0=")</f>
        <v>#REF!</v>
      </c>
      <c r="GY4" t="e">
        <f>AND(Master!#REF!,"AAAAAEn/9s4=")</f>
        <v>#REF!</v>
      </c>
      <c r="GZ4" t="e">
        <f>AND(Master!#REF!,"AAAAAEn/9s8=")</f>
        <v>#REF!</v>
      </c>
      <c r="HA4" t="e">
        <f>AND(Master!#REF!,"AAAAAEn/9tA=")</f>
        <v>#REF!</v>
      </c>
      <c r="HB4" t="e">
        <f>AND(Master!#REF!,"AAAAAEn/9tE=")</f>
        <v>#REF!</v>
      </c>
      <c r="HC4" t="e">
        <f>AND(Master!#REF!,"AAAAAEn/9tI=")</f>
        <v>#REF!</v>
      </c>
      <c r="HD4" t="e">
        <f>AND(Master!#REF!,"AAAAAEn/9tM=")</f>
        <v>#REF!</v>
      </c>
      <c r="HE4" t="e">
        <f>AND(Master!#REF!,"AAAAAEn/9tQ=")</f>
        <v>#REF!</v>
      </c>
      <c r="HF4" t="e">
        <f>AND(Master!#REF!,"AAAAAEn/9tU=")</f>
        <v>#REF!</v>
      </c>
      <c r="HG4" t="e">
        <f>AND(Master!#REF!,"AAAAAEn/9tY=")</f>
        <v>#REF!</v>
      </c>
      <c r="HH4" t="e">
        <f>AND(Master!#REF!,"AAAAAEn/9tc=")</f>
        <v>#REF!</v>
      </c>
      <c r="HI4">
        <f>IF(Master!12:12,"AAAAAEn/9tg=",0)</f>
        <v>0</v>
      </c>
      <c r="HJ4" t="e">
        <f>AND(Master!C12,"AAAAAEn/9tk=")</f>
        <v>#VALUE!</v>
      </c>
      <c r="HK4" t="e">
        <f>AND(Master!D12,"AAAAAEn/9to=")</f>
        <v>#VALUE!</v>
      </c>
      <c r="HL4" t="e">
        <f>AND(Master!F12,"AAAAAEn/9ts=")</f>
        <v>#VALUE!</v>
      </c>
      <c r="HM4" t="e">
        <f>AND(Master!H12,"AAAAAEn/9tw=")</f>
        <v>#VALUE!</v>
      </c>
      <c r="HN4" t="e">
        <f>AND(Master!J12,"AAAAAEn/9t0=")</f>
        <v>#VALUE!</v>
      </c>
      <c r="HO4" t="e">
        <f>AND(Master!K12,"AAAAAEn/9t4=")</f>
        <v>#VALUE!</v>
      </c>
      <c r="HP4" t="e">
        <f>AND(Master!L12,"AAAAAEn/9t8=")</f>
        <v>#VALUE!</v>
      </c>
      <c r="HQ4" t="e">
        <f>AND(Master!M12,"AAAAAEn/9uA=")</f>
        <v>#VALUE!</v>
      </c>
      <c r="HR4" t="e">
        <f>AND(Master!N12,"AAAAAEn/9uE=")</f>
        <v>#VALUE!</v>
      </c>
      <c r="HS4" t="e">
        <f>AND(Master!O12,"AAAAAEn/9uI=")</f>
        <v>#VALUE!</v>
      </c>
      <c r="HT4" t="e">
        <f>AND(Master!P12,"AAAAAEn/9uM=")</f>
        <v>#VALUE!</v>
      </c>
      <c r="HU4" t="e">
        <f>AND(Master!Q12,"AAAAAEn/9uQ=")</f>
        <v>#VALUE!</v>
      </c>
      <c r="HV4" t="e">
        <f>AND(Master!R12,"AAAAAEn/9uU=")</f>
        <v>#VALUE!</v>
      </c>
      <c r="HW4" t="e">
        <f>AND(Master!S12,"AAAAAEn/9uY=")</f>
        <v>#VALUE!</v>
      </c>
      <c r="HX4" t="e">
        <f>AND(Master!T12,"AAAAAEn/9uc=")</f>
        <v>#VALUE!</v>
      </c>
      <c r="HY4" t="e">
        <f>AND(Master!U12,"AAAAAEn/9ug=")</f>
        <v>#VALUE!</v>
      </c>
      <c r="HZ4" t="e">
        <f>AND(Master!V12,"AAAAAEn/9uk=")</f>
        <v>#VALUE!</v>
      </c>
      <c r="IA4" t="e">
        <f>AND(Master!W12,"AAAAAEn/9uo=")</f>
        <v>#VALUE!</v>
      </c>
      <c r="IB4" t="e">
        <f>AND(Master!X12,"AAAAAEn/9us=")</f>
        <v>#VALUE!</v>
      </c>
      <c r="IC4" t="e">
        <f>AND(Master!Y12,"AAAAAEn/9uw=")</f>
        <v>#VALUE!</v>
      </c>
      <c r="ID4" t="e">
        <f>AND(Master!Z12,"AAAAAEn/9u0=")</f>
        <v>#VALUE!</v>
      </c>
      <c r="IE4" t="e">
        <f>AND(Master!AA12,"AAAAAEn/9u4=")</f>
        <v>#VALUE!</v>
      </c>
      <c r="IF4" t="e">
        <f>AND(Master!AB12,"AAAAAEn/9u8=")</f>
        <v>#VALUE!</v>
      </c>
      <c r="IG4" t="e">
        <f>IF(Master!#REF!,"AAAAAEn/9vA=",0)</f>
        <v>#REF!</v>
      </c>
      <c r="IH4" t="e">
        <f>AND(Master!#REF!,"AAAAAEn/9vE=")</f>
        <v>#REF!</v>
      </c>
      <c r="II4" t="e">
        <f>AND(Master!#REF!,"AAAAAEn/9vI=")</f>
        <v>#REF!</v>
      </c>
      <c r="IJ4" t="e">
        <f>AND(Master!#REF!,"AAAAAEn/9vM=")</f>
        <v>#REF!</v>
      </c>
      <c r="IK4" t="e">
        <f>AND(Master!#REF!,"AAAAAEn/9vQ=")</f>
        <v>#REF!</v>
      </c>
      <c r="IL4" t="e">
        <f>AND(Master!#REF!,"AAAAAEn/9vU=")</f>
        <v>#REF!</v>
      </c>
      <c r="IM4" t="e">
        <f>AND(Master!#REF!,"AAAAAEn/9vY=")</f>
        <v>#REF!</v>
      </c>
      <c r="IN4" t="e">
        <f>AND(Master!#REF!,"AAAAAEn/9vc=")</f>
        <v>#REF!</v>
      </c>
      <c r="IO4" t="e">
        <f>AND(Master!#REF!,"AAAAAEn/9vg=")</f>
        <v>#REF!</v>
      </c>
      <c r="IP4" t="e">
        <f>AND(Master!#REF!,"AAAAAEn/9vk=")</f>
        <v>#REF!</v>
      </c>
      <c r="IQ4" t="e">
        <f>AND(Master!#REF!,"AAAAAEn/9vo=")</f>
        <v>#REF!</v>
      </c>
      <c r="IR4" t="e">
        <f>AND(Master!#REF!,"AAAAAEn/9vs=")</f>
        <v>#REF!</v>
      </c>
      <c r="IS4" t="e">
        <f>AND(Master!#REF!,"AAAAAEn/9vw=")</f>
        <v>#REF!</v>
      </c>
      <c r="IT4" t="e">
        <f>AND(Master!#REF!,"AAAAAEn/9v0=")</f>
        <v>#REF!</v>
      </c>
      <c r="IU4" t="e">
        <f>AND(Master!#REF!,"AAAAAEn/9v4=")</f>
        <v>#REF!</v>
      </c>
      <c r="IV4" t="e">
        <f>AND(Master!#REF!,"AAAAAEn/9v8=")</f>
        <v>#REF!</v>
      </c>
    </row>
    <row r="5" spans="1:256" x14ac:dyDescent="0.25">
      <c r="A5" t="e">
        <f>AND(Master!#REF!,"AAAAABea8wA=")</f>
        <v>#REF!</v>
      </c>
      <c r="B5" t="e">
        <f>AND(Master!#REF!,"AAAAABea8wE=")</f>
        <v>#REF!</v>
      </c>
      <c r="C5" t="e">
        <f>AND(Master!#REF!,"AAAAABea8wI=")</f>
        <v>#REF!</v>
      </c>
      <c r="D5" t="e">
        <f>AND(Master!#REF!,"AAAAABea8wM=")</f>
        <v>#REF!</v>
      </c>
      <c r="E5" t="e">
        <f>AND(Master!#REF!,"AAAAABea8wQ=")</f>
        <v>#REF!</v>
      </c>
      <c r="F5" t="e">
        <f>AND(Master!#REF!,"AAAAABea8wU=")</f>
        <v>#REF!</v>
      </c>
      <c r="G5" t="e">
        <f>AND(Master!#REF!,"AAAAABea8wY=")</f>
        <v>#REF!</v>
      </c>
      <c r="H5" t="e">
        <f>AND(Master!#REF!,"AAAAABea8wc=")</f>
        <v>#REF!</v>
      </c>
      <c r="I5">
        <f>IF(Master!13:13,"AAAAABea8wg=",0)</f>
        <v>0</v>
      </c>
      <c r="J5" t="e">
        <f>AND(Master!C13,"AAAAABea8wk=")</f>
        <v>#VALUE!</v>
      </c>
      <c r="K5" t="e">
        <f>AND(Master!D13,"AAAAABea8wo=")</f>
        <v>#VALUE!</v>
      </c>
      <c r="L5" t="e">
        <f>AND(Master!F13,"AAAAABea8ws=")</f>
        <v>#VALUE!</v>
      </c>
      <c r="M5" t="e">
        <f>AND(Master!H13,"AAAAABea8ww=")</f>
        <v>#VALUE!</v>
      </c>
      <c r="N5" t="e">
        <f>AND(Master!J13,"AAAAABea8w0=")</f>
        <v>#VALUE!</v>
      </c>
      <c r="O5" t="e">
        <f>AND(Master!K13,"AAAAABea8w4=")</f>
        <v>#VALUE!</v>
      </c>
      <c r="P5" t="e">
        <f>AND(Master!L13,"AAAAABea8w8=")</f>
        <v>#VALUE!</v>
      </c>
      <c r="Q5" t="e">
        <f>AND(Master!M13,"AAAAABea8xA=")</f>
        <v>#VALUE!</v>
      </c>
      <c r="R5" t="e">
        <f>AND(Master!N13,"AAAAABea8xE=")</f>
        <v>#VALUE!</v>
      </c>
      <c r="S5" t="e">
        <f>AND(Master!O13,"AAAAABea8xI=")</f>
        <v>#VALUE!</v>
      </c>
      <c r="T5" t="e">
        <f>AND(Master!P13,"AAAAABea8xM=")</f>
        <v>#VALUE!</v>
      </c>
      <c r="U5" t="e">
        <f>AND(Master!Q13,"AAAAABea8xQ=")</f>
        <v>#VALUE!</v>
      </c>
      <c r="V5" t="e">
        <f>AND(Master!R13,"AAAAABea8xU=")</f>
        <v>#VALUE!</v>
      </c>
      <c r="W5" t="e">
        <f>AND(Master!S13,"AAAAABea8xY=")</f>
        <v>#VALUE!</v>
      </c>
      <c r="X5" t="e">
        <f>AND(Master!T13,"AAAAABea8xc=")</f>
        <v>#VALUE!</v>
      </c>
      <c r="Y5" t="e">
        <f>AND(Master!U13,"AAAAABea8xg=")</f>
        <v>#VALUE!</v>
      </c>
      <c r="Z5" t="e">
        <f>AND(Master!V13,"AAAAABea8xk=")</f>
        <v>#VALUE!</v>
      </c>
      <c r="AA5" t="e">
        <f>AND(Master!W13,"AAAAABea8xo=")</f>
        <v>#VALUE!</v>
      </c>
      <c r="AB5" t="e">
        <f>AND(Master!X13,"AAAAABea8xs=")</f>
        <v>#VALUE!</v>
      </c>
      <c r="AC5" t="e">
        <f>AND(Master!Y13,"AAAAABea8xw=")</f>
        <v>#VALUE!</v>
      </c>
      <c r="AD5" t="e">
        <f>AND(Master!Z13,"AAAAABea8x0=")</f>
        <v>#VALUE!</v>
      </c>
      <c r="AE5" t="e">
        <f>AND(Master!AA13,"AAAAABea8x4=")</f>
        <v>#VALUE!</v>
      </c>
      <c r="AF5" t="e">
        <f>AND(Master!AB13,"AAAAABea8x8=")</f>
        <v>#VALUE!</v>
      </c>
      <c r="AG5">
        <f>IF(Master!14:14,"AAAAABea8yA=",0)</f>
        <v>0</v>
      </c>
      <c r="AH5" t="e">
        <f>AND(Master!C14,"AAAAABea8yE=")</f>
        <v>#VALUE!</v>
      </c>
      <c r="AI5" t="e">
        <f>AND(Master!D14,"AAAAABea8yI=")</f>
        <v>#VALUE!</v>
      </c>
      <c r="AJ5" t="e">
        <f>AND(Master!F14,"AAAAABea8yM=")</f>
        <v>#VALUE!</v>
      </c>
      <c r="AK5" t="e">
        <f>AND(Master!H14,"AAAAABea8yQ=")</f>
        <v>#VALUE!</v>
      </c>
      <c r="AL5" t="e">
        <f>AND(Master!J14,"AAAAABea8yU=")</f>
        <v>#VALUE!</v>
      </c>
      <c r="AM5" t="e">
        <f>AND(Master!K14,"AAAAABea8yY=")</f>
        <v>#VALUE!</v>
      </c>
      <c r="AN5" t="e">
        <f>AND(Master!L14,"AAAAABea8yc=")</f>
        <v>#VALUE!</v>
      </c>
      <c r="AO5" t="e">
        <f>AND(Master!M14,"AAAAABea8yg=")</f>
        <v>#VALUE!</v>
      </c>
      <c r="AP5" t="e">
        <f>AND(Master!N14,"AAAAABea8yk=")</f>
        <v>#VALUE!</v>
      </c>
      <c r="AQ5" t="e">
        <f>AND(Master!O14,"AAAAABea8yo=")</f>
        <v>#VALUE!</v>
      </c>
      <c r="AR5" t="e">
        <f>AND(Master!P14,"AAAAABea8ys=")</f>
        <v>#VALUE!</v>
      </c>
      <c r="AS5" t="e">
        <f>AND(Master!Q14,"AAAAABea8yw=")</f>
        <v>#VALUE!</v>
      </c>
      <c r="AT5" t="e">
        <f>AND(Master!R14,"AAAAABea8y0=")</f>
        <v>#VALUE!</v>
      </c>
      <c r="AU5" t="e">
        <f>AND(Master!S14,"AAAAABea8y4=")</f>
        <v>#VALUE!</v>
      </c>
      <c r="AV5" t="e">
        <f>AND(Master!T14,"AAAAABea8y8=")</f>
        <v>#VALUE!</v>
      </c>
      <c r="AW5" t="e">
        <f>AND(Master!U14,"AAAAABea8zA=")</f>
        <v>#VALUE!</v>
      </c>
      <c r="AX5" t="e">
        <f>AND(Master!V14,"AAAAABea8zE=")</f>
        <v>#VALUE!</v>
      </c>
      <c r="AY5" t="e">
        <f>AND(Master!W14,"AAAAABea8zI=")</f>
        <v>#VALUE!</v>
      </c>
      <c r="AZ5" t="e">
        <f>AND(Master!X14,"AAAAABea8zM=")</f>
        <v>#VALUE!</v>
      </c>
      <c r="BA5" t="e">
        <f>AND(Master!Y14,"AAAAABea8zQ=")</f>
        <v>#VALUE!</v>
      </c>
      <c r="BB5" t="e">
        <f>AND(Master!Z14,"AAAAABea8zU=")</f>
        <v>#VALUE!</v>
      </c>
      <c r="BC5" t="e">
        <f>AND(Master!AA14,"AAAAABea8zY=")</f>
        <v>#VALUE!</v>
      </c>
      <c r="BD5" t="e">
        <f>AND(Master!AB14,"AAAAABea8zc=")</f>
        <v>#VALUE!</v>
      </c>
      <c r="BE5" t="e">
        <f>IF(Master!#REF!,"AAAAABea8zg=",0)</f>
        <v>#REF!</v>
      </c>
      <c r="BF5" t="e">
        <f>AND(Master!#REF!,"AAAAABea8zk=")</f>
        <v>#REF!</v>
      </c>
      <c r="BG5" t="e">
        <f>AND(Master!#REF!,"AAAAABea8zo=")</f>
        <v>#REF!</v>
      </c>
      <c r="BH5" t="e">
        <f>AND(Master!#REF!,"AAAAABea8zs=")</f>
        <v>#REF!</v>
      </c>
      <c r="BI5" t="e">
        <f>AND(Master!#REF!,"AAAAABea8zw=")</f>
        <v>#REF!</v>
      </c>
      <c r="BJ5" t="e">
        <f>AND(Master!#REF!,"AAAAABea8z0=")</f>
        <v>#REF!</v>
      </c>
      <c r="BK5" t="e">
        <f>AND(Master!#REF!,"AAAAABea8z4=")</f>
        <v>#REF!</v>
      </c>
      <c r="BL5" t="e">
        <f>AND(Master!#REF!,"AAAAABea8z8=")</f>
        <v>#REF!</v>
      </c>
      <c r="BM5" t="e">
        <f>AND(Master!#REF!,"AAAAABea80A=")</f>
        <v>#REF!</v>
      </c>
      <c r="BN5" t="e">
        <f>AND(Master!#REF!,"AAAAABea80E=")</f>
        <v>#REF!</v>
      </c>
      <c r="BO5" t="e">
        <f>AND(Master!#REF!,"AAAAABea80I=")</f>
        <v>#REF!</v>
      </c>
      <c r="BP5" t="e">
        <f>AND(Master!#REF!,"AAAAABea80M=")</f>
        <v>#REF!</v>
      </c>
      <c r="BQ5" t="e">
        <f>AND(Master!#REF!,"AAAAABea80Q=")</f>
        <v>#REF!</v>
      </c>
      <c r="BR5" t="e">
        <f>AND(Master!#REF!,"AAAAABea80U=")</f>
        <v>#REF!</v>
      </c>
      <c r="BS5" t="e">
        <f>AND(Master!#REF!,"AAAAABea80Y=")</f>
        <v>#REF!</v>
      </c>
      <c r="BT5" t="e">
        <f>AND(Master!#REF!,"AAAAABea80c=")</f>
        <v>#REF!</v>
      </c>
      <c r="BU5" t="e">
        <f>AND(Master!#REF!,"AAAAABea80g=")</f>
        <v>#REF!</v>
      </c>
      <c r="BV5" t="e">
        <f>AND(Master!#REF!,"AAAAABea80k=")</f>
        <v>#REF!</v>
      </c>
      <c r="BW5" t="e">
        <f>AND(Master!#REF!,"AAAAABea80o=")</f>
        <v>#REF!</v>
      </c>
      <c r="BX5" t="e">
        <f>AND(Master!#REF!,"AAAAABea80s=")</f>
        <v>#REF!</v>
      </c>
      <c r="BY5" t="e">
        <f>AND(Master!#REF!,"AAAAABea80w=")</f>
        <v>#REF!</v>
      </c>
      <c r="BZ5" t="e">
        <f>AND(Master!#REF!,"AAAAABea800=")</f>
        <v>#REF!</v>
      </c>
      <c r="CA5" t="e">
        <f>AND(Master!#REF!,"AAAAABea804=")</f>
        <v>#REF!</v>
      </c>
      <c r="CB5" t="e">
        <f>AND(Master!#REF!,"AAAAABea808=")</f>
        <v>#REF!</v>
      </c>
      <c r="CC5">
        <f>IF(Master!15:15,"AAAAABea81A=",0)</f>
        <v>0</v>
      </c>
      <c r="CD5" t="e">
        <f>AND(Master!C15,"AAAAABea81E=")</f>
        <v>#VALUE!</v>
      </c>
      <c r="CE5" t="e">
        <f>AND(Master!D15,"AAAAABea81I=")</f>
        <v>#VALUE!</v>
      </c>
      <c r="CF5" t="e">
        <f>AND(Master!F15,"AAAAABea81M=")</f>
        <v>#VALUE!</v>
      </c>
      <c r="CG5" t="e">
        <f>AND(Master!H15,"AAAAABea81Q=")</f>
        <v>#VALUE!</v>
      </c>
      <c r="CH5" t="e">
        <f>AND(Master!J15,"AAAAABea81U=")</f>
        <v>#VALUE!</v>
      </c>
      <c r="CI5" t="e">
        <f>AND(Master!K15,"AAAAABea81Y=")</f>
        <v>#VALUE!</v>
      </c>
      <c r="CJ5" t="e">
        <f>AND(Master!L15,"AAAAABea81c=")</f>
        <v>#VALUE!</v>
      </c>
      <c r="CK5" t="e">
        <f>AND(Master!M15,"AAAAABea81g=")</f>
        <v>#VALUE!</v>
      </c>
      <c r="CL5" t="e">
        <f>AND(Master!N15,"AAAAABea81k=")</f>
        <v>#VALUE!</v>
      </c>
      <c r="CM5" t="e">
        <f>AND(Master!O15,"AAAAABea81o=")</f>
        <v>#VALUE!</v>
      </c>
      <c r="CN5" t="e">
        <f>AND(Master!P15,"AAAAABea81s=")</f>
        <v>#VALUE!</v>
      </c>
      <c r="CO5" t="e">
        <f>AND(Master!Q15,"AAAAABea81w=")</f>
        <v>#VALUE!</v>
      </c>
      <c r="CP5" t="e">
        <f>AND(Master!R15,"AAAAABea810=")</f>
        <v>#VALUE!</v>
      </c>
      <c r="CQ5" t="e">
        <f>AND(Master!S15,"AAAAABea814=")</f>
        <v>#VALUE!</v>
      </c>
      <c r="CR5" t="e">
        <f>AND(Master!T15,"AAAAABea818=")</f>
        <v>#VALUE!</v>
      </c>
      <c r="CS5" t="e">
        <f>AND(Master!U15,"AAAAABea82A=")</f>
        <v>#VALUE!</v>
      </c>
      <c r="CT5" t="e">
        <f>AND(Master!V15,"AAAAABea82E=")</f>
        <v>#VALUE!</v>
      </c>
      <c r="CU5" t="e">
        <f>AND(Master!W15,"AAAAABea82I=")</f>
        <v>#VALUE!</v>
      </c>
      <c r="CV5" t="e">
        <f>AND(Master!X15,"AAAAABea82M=")</f>
        <v>#VALUE!</v>
      </c>
      <c r="CW5" t="e">
        <f>AND(Master!Y15,"AAAAABea82Q=")</f>
        <v>#VALUE!</v>
      </c>
      <c r="CX5" t="e">
        <f>AND(Master!Z15,"AAAAABea82U=")</f>
        <v>#VALUE!</v>
      </c>
      <c r="CY5" t="e">
        <f>AND(Master!AA15,"AAAAABea82Y=")</f>
        <v>#VALUE!</v>
      </c>
      <c r="CZ5" t="e">
        <f>AND(Master!AB15,"AAAAABea82c=")</f>
        <v>#VALUE!</v>
      </c>
      <c r="DA5" t="e">
        <f>IF(Master!#REF!,"AAAAABea82g=",0)</f>
        <v>#REF!</v>
      </c>
      <c r="DB5" t="e">
        <f>AND(Master!#REF!,"AAAAABea82k=")</f>
        <v>#REF!</v>
      </c>
      <c r="DC5" t="e">
        <f>AND(Master!#REF!,"AAAAABea82o=")</f>
        <v>#REF!</v>
      </c>
      <c r="DD5" t="e">
        <f>AND(Master!#REF!,"AAAAABea82s=")</f>
        <v>#REF!</v>
      </c>
      <c r="DE5" t="e">
        <f>AND(Master!#REF!,"AAAAABea82w=")</f>
        <v>#REF!</v>
      </c>
      <c r="DF5" t="e">
        <f>AND(Master!#REF!,"AAAAABea820=")</f>
        <v>#REF!</v>
      </c>
      <c r="DG5" t="e">
        <f>AND(Master!#REF!,"AAAAABea824=")</f>
        <v>#REF!</v>
      </c>
      <c r="DH5" t="e">
        <f>AND(Master!#REF!,"AAAAABea828=")</f>
        <v>#REF!</v>
      </c>
      <c r="DI5" t="e">
        <f>AND(Master!#REF!,"AAAAABea83A=")</f>
        <v>#REF!</v>
      </c>
      <c r="DJ5" t="e">
        <f>AND(Master!#REF!,"AAAAABea83E=")</f>
        <v>#REF!</v>
      </c>
      <c r="DK5" t="e">
        <f>AND(Master!#REF!,"AAAAABea83I=")</f>
        <v>#REF!</v>
      </c>
      <c r="DL5" t="e">
        <f>AND(Master!#REF!,"AAAAABea83M=")</f>
        <v>#REF!</v>
      </c>
      <c r="DM5" t="e">
        <f>AND(Master!#REF!,"AAAAABea83Q=")</f>
        <v>#REF!</v>
      </c>
      <c r="DN5" t="e">
        <f>AND(Master!#REF!,"AAAAABea83U=")</f>
        <v>#REF!</v>
      </c>
      <c r="DO5" t="e">
        <f>AND(Master!#REF!,"AAAAABea83Y=")</f>
        <v>#REF!</v>
      </c>
      <c r="DP5" t="e">
        <f>AND(Master!#REF!,"AAAAABea83c=")</f>
        <v>#REF!</v>
      </c>
      <c r="DQ5" t="e">
        <f>AND(Master!#REF!,"AAAAABea83g=")</f>
        <v>#REF!</v>
      </c>
      <c r="DR5" t="e">
        <f>AND(Master!#REF!,"AAAAABea83k=")</f>
        <v>#REF!</v>
      </c>
      <c r="DS5" t="e">
        <f>AND(Master!#REF!,"AAAAABea83o=")</f>
        <v>#REF!</v>
      </c>
      <c r="DT5" t="e">
        <f>AND(Master!#REF!,"AAAAABea83s=")</f>
        <v>#REF!</v>
      </c>
      <c r="DU5" t="e">
        <f>AND(Master!#REF!,"AAAAABea83w=")</f>
        <v>#REF!</v>
      </c>
      <c r="DV5" t="e">
        <f>AND(Master!#REF!,"AAAAABea830=")</f>
        <v>#REF!</v>
      </c>
      <c r="DW5" t="e">
        <f>AND(Master!#REF!,"AAAAABea834=")</f>
        <v>#REF!</v>
      </c>
      <c r="DX5" t="e">
        <f>AND(Master!#REF!,"AAAAABea838=")</f>
        <v>#REF!</v>
      </c>
      <c r="DY5">
        <f>IF(Master!16:16,"AAAAABea84A=",0)</f>
        <v>0</v>
      </c>
      <c r="DZ5" t="e">
        <f>AND(Master!C16,"AAAAABea84E=")</f>
        <v>#VALUE!</v>
      </c>
      <c r="EA5" t="e">
        <f>AND(Master!D16,"AAAAABea84I=")</f>
        <v>#VALUE!</v>
      </c>
      <c r="EB5" t="e">
        <f>AND(Master!F16,"AAAAABea84M=")</f>
        <v>#VALUE!</v>
      </c>
      <c r="EC5" t="e">
        <f>AND(Master!H16,"AAAAABea84Q=")</f>
        <v>#VALUE!</v>
      </c>
      <c r="ED5" t="e">
        <f>AND(Master!J16,"AAAAABea84U=")</f>
        <v>#VALUE!</v>
      </c>
      <c r="EE5" t="e">
        <f>AND(Master!K16,"AAAAABea84Y=")</f>
        <v>#VALUE!</v>
      </c>
      <c r="EF5" t="e">
        <f>AND(Master!L16,"AAAAABea84c=")</f>
        <v>#VALUE!</v>
      </c>
      <c r="EG5" t="e">
        <f>AND(Master!M16,"AAAAABea84g=")</f>
        <v>#VALUE!</v>
      </c>
      <c r="EH5" t="e">
        <f>AND(Master!N16,"AAAAABea84k=")</f>
        <v>#VALUE!</v>
      </c>
      <c r="EI5" t="e">
        <f>AND(Master!O16,"AAAAABea84o=")</f>
        <v>#VALUE!</v>
      </c>
      <c r="EJ5" t="e">
        <f>AND(Master!P16,"AAAAABea84s=")</f>
        <v>#VALUE!</v>
      </c>
      <c r="EK5" t="e">
        <f>AND(Master!Q16,"AAAAABea84w=")</f>
        <v>#VALUE!</v>
      </c>
      <c r="EL5" t="e">
        <f>AND(Master!R16,"AAAAABea840=")</f>
        <v>#VALUE!</v>
      </c>
      <c r="EM5" t="e">
        <f>AND(Master!S16,"AAAAABea844=")</f>
        <v>#VALUE!</v>
      </c>
      <c r="EN5" t="e">
        <f>AND(Master!T16,"AAAAABea848=")</f>
        <v>#VALUE!</v>
      </c>
      <c r="EO5" t="e">
        <f>AND(Master!U16,"AAAAABea85A=")</f>
        <v>#VALUE!</v>
      </c>
      <c r="EP5" t="e">
        <f>AND(Master!V16,"AAAAABea85E=")</f>
        <v>#VALUE!</v>
      </c>
      <c r="EQ5" t="e">
        <f>AND(Master!W16,"AAAAABea85I=")</f>
        <v>#VALUE!</v>
      </c>
      <c r="ER5" t="e">
        <f>AND(Master!X16,"AAAAABea85M=")</f>
        <v>#VALUE!</v>
      </c>
      <c r="ES5" t="e">
        <f>AND(Master!Y16,"AAAAABea85Q=")</f>
        <v>#VALUE!</v>
      </c>
      <c r="ET5" t="e">
        <f>AND(Master!Z16,"AAAAABea85U=")</f>
        <v>#VALUE!</v>
      </c>
      <c r="EU5" t="e">
        <f>AND(Master!AA16,"AAAAABea85Y=")</f>
        <v>#VALUE!</v>
      </c>
      <c r="EV5" t="e">
        <f>AND(Master!AB16,"AAAAABea85c=")</f>
        <v>#VALUE!</v>
      </c>
      <c r="EW5" t="e">
        <f>IF(Master!#REF!,"AAAAABea85g=",0)</f>
        <v>#REF!</v>
      </c>
      <c r="EX5" t="e">
        <f>AND(Master!#REF!,"AAAAABea85k=")</f>
        <v>#REF!</v>
      </c>
      <c r="EY5" t="e">
        <f>AND(Master!#REF!,"AAAAABea85o=")</f>
        <v>#REF!</v>
      </c>
      <c r="EZ5" t="e">
        <f>AND(Master!#REF!,"AAAAABea85s=")</f>
        <v>#REF!</v>
      </c>
      <c r="FA5" t="e">
        <f>AND(Master!#REF!,"AAAAABea85w=")</f>
        <v>#REF!</v>
      </c>
      <c r="FB5" t="e">
        <f>AND(Master!#REF!,"AAAAABea850=")</f>
        <v>#REF!</v>
      </c>
      <c r="FC5" t="e">
        <f>AND(Master!#REF!,"AAAAABea854=")</f>
        <v>#REF!</v>
      </c>
      <c r="FD5" t="e">
        <f>AND(Master!#REF!,"AAAAABea858=")</f>
        <v>#REF!</v>
      </c>
      <c r="FE5" t="e">
        <f>AND(Master!#REF!,"AAAAABea86A=")</f>
        <v>#REF!</v>
      </c>
      <c r="FF5" t="e">
        <f>AND(Master!#REF!,"AAAAABea86E=")</f>
        <v>#REF!</v>
      </c>
      <c r="FG5" t="e">
        <f>AND(Master!#REF!,"AAAAABea86I=")</f>
        <v>#REF!</v>
      </c>
      <c r="FH5" t="e">
        <f>AND(Master!#REF!,"AAAAABea86M=")</f>
        <v>#REF!</v>
      </c>
      <c r="FI5" t="e">
        <f>AND(Master!#REF!,"AAAAABea86Q=")</f>
        <v>#REF!</v>
      </c>
      <c r="FJ5" t="e">
        <f>AND(Master!#REF!,"AAAAABea86U=")</f>
        <v>#REF!</v>
      </c>
      <c r="FK5" t="e">
        <f>AND(Master!#REF!,"AAAAABea86Y=")</f>
        <v>#REF!</v>
      </c>
      <c r="FL5" t="e">
        <f>AND(Master!#REF!,"AAAAABea86c=")</f>
        <v>#REF!</v>
      </c>
      <c r="FM5" t="e">
        <f>AND(Master!#REF!,"AAAAABea86g=")</f>
        <v>#REF!</v>
      </c>
      <c r="FN5" t="e">
        <f>AND(Master!#REF!,"AAAAABea86k=")</f>
        <v>#REF!</v>
      </c>
      <c r="FO5" t="e">
        <f>AND(Master!#REF!,"AAAAABea86o=")</f>
        <v>#REF!</v>
      </c>
      <c r="FP5" t="e">
        <f>AND(Master!#REF!,"AAAAABea86s=")</f>
        <v>#REF!</v>
      </c>
      <c r="FQ5" t="e">
        <f>AND(Master!#REF!,"AAAAABea86w=")</f>
        <v>#REF!</v>
      </c>
      <c r="FR5" t="e">
        <f>AND(Master!#REF!,"AAAAABea860=")</f>
        <v>#REF!</v>
      </c>
      <c r="FS5" t="e">
        <f>AND(Master!#REF!,"AAAAABea864=")</f>
        <v>#REF!</v>
      </c>
      <c r="FT5" t="e">
        <f>AND(Master!#REF!,"AAAAABea868=")</f>
        <v>#REF!</v>
      </c>
      <c r="FU5">
        <f>IF(Master!17:17,"AAAAABea87A=",0)</f>
        <v>0</v>
      </c>
      <c r="FV5" t="e">
        <f>AND(Master!C17,"AAAAABea87E=")</f>
        <v>#VALUE!</v>
      </c>
      <c r="FW5" t="e">
        <f>AND(Master!D17,"AAAAABea87I=")</f>
        <v>#VALUE!</v>
      </c>
      <c r="FX5" t="e">
        <f>AND(Master!F17,"AAAAABea87M=")</f>
        <v>#VALUE!</v>
      </c>
      <c r="FY5" t="e">
        <f>AND(Master!H17,"AAAAABea87Q=")</f>
        <v>#VALUE!</v>
      </c>
      <c r="FZ5" t="e">
        <f>AND(Master!J17,"AAAAABea87U=")</f>
        <v>#VALUE!</v>
      </c>
      <c r="GA5" t="e">
        <f>AND(Master!K17,"AAAAABea87Y=")</f>
        <v>#VALUE!</v>
      </c>
      <c r="GB5" t="e">
        <f>AND(Master!L17,"AAAAABea87c=")</f>
        <v>#VALUE!</v>
      </c>
      <c r="GC5" t="e">
        <f>AND(Master!M17,"AAAAABea87g=")</f>
        <v>#VALUE!</v>
      </c>
      <c r="GD5" t="e">
        <f>AND(Master!N17,"AAAAABea87k=")</f>
        <v>#VALUE!</v>
      </c>
      <c r="GE5" t="e">
        <f>AND(Master!O17,"AAAAABea87o=")</f>
        <v>#VALUE!</v>
      </c>
      <c r="GF5" t="e">
        <f>AND(Master!P17,"AAAAABea87s=")</f>
        <v>#VALUE!</v>
      </c>
      <c r="GG5" t="e">
        <f>AND(Master!Q17,"AAAAABea87w=")</f>
        <v>#VALUE!</v>
      </c>
      <c r="GH5" t="e">
        <f>AND(Master!R17,"AAAAABea870=")</f>
        <v>#VALUE!</v>
      </c>
      <c r="GI5" t="e">
        <f>AND(Master!S17,"AAAAABea874=")</f>
        <v>#VALUE!</v>
      </c>
      <c r="GJ5" t="e">
        <f>AND(Master!T17,"AAAAABea878=")</f>
        <v>#VALUE!</v>
      </c>
      <c r="GK5" t="e">
        <f>AND(Master!U17,"AAAAABea88A=")</f>
        <v>#VALUE!</v>
      </c>
      <c r="GL5" t="e">
        <f>AND(Master!V17,"AAAAABea88E=")</f>
        <v>#VALUE!</v>
      </c>
      <c r="GM5" t="e">
        <f>AND(Master!W17,"AAAAABea88I=")</f>
        <v>#VALUE!</v>
      </c>
      <c r="GN5" t="e">
        <f>AND(Master!X17,"AAAAABea88M=")</f>
        <v>#VALUE!</v>
      </c>
      <c r="GO5" t="e">
        <f>AND(Master!Y17,"AAAAABea88Q=")</f>
        <v>#VALUE!</v>
      </c>
      <c r="GP5" t="e">
        <f>AND(Master!Z17,"AAAAABea88U=")</f>
        <v>#VALUE!</v>
      </c>
      <c r="GQ5" t="e">
        <f>AND(Master!AA17,"AAAAABea88Y=")</f>
        <v>#VALUE!</v>
      </c>
      <c r="GR5" t="e">
        <f>AND(Master!AB17,"AAAAABea88c=")</f>
        <v>#VALUE!</v>
      </c>
      <c r="GS5">
        <f>IF(Master!18:18,"AAAAABea88g=",0)</f>
        <v>0</v>
      </c>
      <c r="GT5" t="e">
        <f>AND(Master!C18,"AAAAABea88k=")</f>
        <v>#VALUE!</v>
      </c>
      <c r="GU5" t="e">
        <f>AND(Master!D18,"AAAAABea88o=")</f>
        <v>#VALUE!</v>
      </c>
      <c r="GV5" t="e">
        <f>AND(Master!F18,"AAAAABea88s=")</f>
        <v>#VALUE!</v>
      </c>
      <c r="GW5" t="e">
        <f>AND(Master!H18,"AAAAABea88w=")</f>
        <v>#VALUE!</v>
      </c>
      <c r="GX5" t="e">
        <f>AND(Master!J18,"AAAAABea880=")</f>
        <v>#VALUE!</v>
      </c>
      <c r="GY5" t="e">
        <f>AND(Master!K18,"AAAAABea884=")</f>
        <v>#VALUE!</v>
      </c>
      <c r="GZ5" t="e">
        <f>AND(Master!L18,"AAAAABea888=")</f>
        <v>#VALUE!</v>
      </c>
      <c r="HA5" t="e">
        <f>AND(Master!M18,"AAAAABea89A=")</f>
        <v>#VALUE!</v>
      </c>
      <c r="HB5" t="e">
        <f>AND(Master!N18,"AAAAABea89E=")</f>
        <v>#VALUE!</v>
      </c>
      <c r="HC5" t="e">
        <f>AND(Master!O18,"AAAAABea89I=")</f>
        <v>#VALUE!</v>
      </c>
      <c r="HD5" t="e">
        <f>AND(Master!P18,"AAAAABea89M=")</f>
        <v>#VALUE!</v>
      </c>
      <c r="HE5" t="e">
        <f>AND(Master!Q18,"AAAAABea89Q=")</f>
        <v>#VALUE!</v>
      </c>
      <c r="HF5" t="e">
        <f>AND(Master!R18,"AAAAABea89U=")</f>
        <v>#VALUE!</v>
      </c>
      <c r="HG5" t="e">
        <f>AND(Master!S18,"AAAAABea89Y=")</f>
        <v>#VALUE!</v>
      </c>
      <c r="HH5" t="e">
        <f>AND(Master!T18,"AAAAABea89c=")</f>
        <v>#VALUE!</v>
      </c>
      <c r="HI5" t="e">
        <f>AND(Master!U18,"AAAAABea89g=")</f>
        <v>#VALUE!</v>
      </c>
      <c r="HJ5" t="e">
        <f>AND(Master!V18,"AAAAABea89k=")</f>
        <v>#VALUE!</v>
      </c>
      <c r="HK5" t="e">
        <f>AND(Master!W18,"AAAAABea89o=")</f>
        <v>#VALUE!</v>
      </c>
      <c r="HL5" t="e">
        <f>AND(Master!X18,"AAAAABea89s=")</f>
        <v>#VALUE!</v>
      </c>
      <c r="HM5" t="e">
        <f>AND(Master!Y18,"AAAAABea89w=")</f>
        <v>#VALUE!</v>
      </c>
      <c r="HN5" t="e">
        <f>AND(Master!Z18,"AAAAABea890=")</f>
        <v>#VALUE!</v>
      </c>
      <c r="HO5" t="e">
        <f>AND(Master!AA18,"AAAAABea894=")</f>
        <v>#VALUE!</v>
      </c>
      <c r="HP5" t="e">
        <f>AND(Master!AB18,"AAAAABea898=")</f>
        <v>#VALUE!</v>
      </c>
      <c r="HQ5" t="e">
        <f>IF(Master!#REF!,"AAAAABea8+A=",0)</f>
        <v>#REF!</v>
      </c>
      <c r="HR5" t="e">
        <f>AND(Master!#REF!,"AAAAABea8+E=")</f>
        <v>#REF!</v>
      </c>
      <c r="HS5" t="e">
        <f>AND(Master!#REF!,"AAAAABea8+I=")</f>
        <v>#REF!</v>
      </c>
      <c r="HT5" t="e">
        <f>AND(Master!#REF!,"AAAAABea8+M=")</f>
        <v>#REF!</v>
      </c>
      <c r="HU5" t="e">
        <f>AND(Master!#REF!,"AAAAABea8+Q=")</f>
        <v>#REF!</v>
      </c>
      <c r="HV5" t="e">
        <f>AND(Master!#REF!,"AAAAABea8+U=")</f>
        <v>#REF!</v>
      </c>
      <c r="HW5" t="e">
        <f>AND(Master!#REF!,"AAAAABea8+Y=")</f>
        <v>#REF!</v>
      </c>
      <c r="HX5" t="e">
        <f>AND(Master!#REF!,"AAAAABea8+c=")</f>
        <v>#REF!</v>
      </c>
      <c r="HY5" t="e">
        <f>AND(Master!#REF!,"AAAAABea8+g=")</f>
        <v>#REF!</v>
      </c>
      <c r="HZ5" t="e">
        <f>AND(Master!#REF!,"AAAAABea8+k=")</f>
        <v>#REF!</v>
      </c>
      <c r="IA5" t="e">
        <f>AND(Master!#REF!,"AAAAABea8+o=")</f>
        <v>#REF!</v>
      </c>
      <c r="IB5" t="e">
        <f>AND(Master!#REF!,"AAAAABea8+s=")</f>
        <v>#REF!</v>
      </c>
      <c r="IC5" t="e">
        <f>AND(Master!#REF!,"AAAAABea8+w=")</f>
        <v>#REF!</v>
      </c>
      <c r="ID5" t="e">
        <f>AND(Master!#REF!,"AAAAABea8+0=")</f>
        <v>#REF!</v>
      </c>
      <c r="IE5" t="e">
        <f>AND(Master!#REF!,"AAAAABea8+4=")</f>
        <v>#REF!</v>
      </c>
      <c r="IF5" t="e">
        <f>AND(Master!#REF!,"AAAAABea8+8=")</f>
        <v>#REF!</v>
      </c>
      <c r="IG5" t="e">
        <f>AND(Master!#REF!,"AAAAABea8/A=")</f>
        <v>#REF!</v>
      </c>
      <c r="IH5" t="e">
        <f>AND(Master!#REF!,"AAAAABea8/E=")</f>
        <v>#REF!</v>
      </c>
      <c r="II5" t="e">
        <f>AND(Master!#REF!,"AAAAABea8/I=")</f>
        <v>#REF!</v>
      </c>
      <c r="IJ5" t="e">
        <f>AND(Master!#REF!,"AAAAABea8/M=")</f>
        <v>#REF!</v>
      </c>
      <c r="IK5" t="e">
        <f>AND(Master!#REF!,"AAAAABea8/Q=")</f>
        <v>#REF!</v>
      </c>
      <c r="IL5" t="e">
        <f>AND(Master!#REF!,"AAAAABea8/U=")</f>
        <v>#REF!</v>
      </c>
      <c r="IM5" t="e">
        <f>AND(Master!#REF!,"AAAAABea8/Y=")</f>
        <v>#REF!</v>
      </c>
      <c r="IN5" t="e">
        <f>AND(Master!#REF!,"AAAAABea8/c=")</f>
        <v>#REF!</v>
      </c>
      <c r="IO5" t="e">
        <f>IF(Master!#REF!,"AAAAABea8/g=",0)</f>
        <v>#REF!</v>
      </c>
      <c r="IP5" t="e">
        <f>AND(Master!#REF!,"AAAAABea8/k=")</f>
        <v>#REF!</v>
      </c>
      <c r="IQ5" t="e">
        <f>AND(Master!#REF!,"AAAAABea8/o=")</f>
        <v>#REF!</v>
      </c>
      <c r="IR5" t="e">
        <f>AND(Master!#REF!,"AAAAABea8/s=")</f>
        <v>#REF!</v>
      </c>
      <c r="IS5" t="e">
        <f>AND(Master!#REF!,"AAAAABea8/w=")</f>
        <v>#REF!</v>
      </c>
      <c r="IT5" t="e">
        <f>AND(Master!#REF!,"AAAAABea8/0=")</f>
        <v>#REF!</v>
      </c>
      <c r="IU5" t="e">
        <f>AND(Master!#REF!,"AAAAABea8/4=")</f>
        <v>#REF!</v>
      </c>
      <c r="IV5" t="e">
        <f>AND(Master!#REF!,"AAAAABea8/8=")</f>
        <v>#REF!</v>
      </c>
    </row>
    <row r="6" spans="1:256" x14ac:dyDescent="0.25">
      <c r="A6" t="e">
        <f>AND(Master!#REF!,"AAAAADvv3gA=")</f>
        <v>#REF!</v>
      </c>
      <c r="B6" t="e">
        <f>AND(Master!#REF!,"AAAAADvv3gE=")</f>
        <v>#REF!</v>
      </c>
      <c r="C6" t="e">
        <f>AND(Master!#REF!,"AAAAADvv3gI=")</f>
        <v>#REF!</v>
      </c>
      <c r="D6" t="e">
        <f>AND(Master!#REF!,"AAAAADvv3gM=")</f>
        <v>#REF!</v>
      </c>
      <c r="E6" t="e">
        <f>AND(Master!#REF!,"AAAAADvv3gQ=")</f>
        <v>#REF!</v>
      </c>
      <c r="F6" t="e">
        <f>AND(Master!#REF!,"AAAAADvv3gU=")</f>
        <v>#REF!</v>
      </c>
      <c r="G6" t="e">
        <f>AND(Master!#REF!,"AAAAADvv3gY=")</f>
        <v>#REF!</v>
      </c>
      <c r="H6" t="e">
        <f>AND(Master!#REF!,"AAAAADvv3gc=")</f>
        <v>#REF!</v>
      </c>
      <c r="I6" t="e">
        <f>AND(Master!#REF!,"AAAAADvv3gg=")</f>
        <v>#REF!</v>
      </c>
      <c r="J6" t="e">
        <f>AND(Master!#REF!,"AAAAADvv3gk=")</f>
        <v>#REF!</v>
      </c>
      <c r="K6" t="e">
        <f>AND(Master!#REF!,"AAAAADvv3go=")</f>
        <v>#REF!</v>
      </c>
      <c r="L6" t="e">
        <f>AND(Master!#REF!,"AAAAADvv3gs=")</f>
        <v>#REF!</v>
      </c>
      <c r="M6" t="e">
        <f>AND(Master!#REF!,"AAAAADvv3gw=")</f>
        <v>#REF!</v>
      </c>
      <c r="N6" t="e">
        <f>AND(Master!#REF!,"AAAAADvv3g0=")</f>
        <v>#REF!</v>
      </c>
      <c r="O6" t="e">
        <f>AND(Master!#REF!,"AAAAADvv3g4=")</f>
        <v>#REF!</v>
      </c>
      <c r="P6" t="e">
        <f>AND(Master!#REF!,"AAAAADvv3g8=")</f>
        <v>#REF!</v>
      </c>
      <c r="Q6" t="e">
        <f>IF(Master!#REF!,"AAAAADvv3hA=",0)</f>
        <v>#REF!</v>
      </c>
      <c r="R6" t="e">
        <f>AND(Master!#REF!,"AAAAADvv3hE=")</f>
        <v>#REF!</v>
      </c>
      <c r="S6" t="e">
        <f>AND(Master!#REF!,"AAAAADvv3hI=")</f>
        <v>#REF!</v>
      </c>
      <c r="T6" t="e">
        <f>AND(Master!#REF!,"AAAAADvv3hM=")</f>
        <v>#REF!</v>
      </c>
      <c r="U6" t="e">
        <f>AND(Master!#REF!,"AAAAADvv3hQ=")</f>
        <v>#REF!</v>
      </c>
      <c r="V6" t="e">
        <f>AND(Master!#REF!,"AAAAADvv3hU=")</f>
        <v>#REF!</v>
      </c>
      <c r="W6" t="e">
        <f>AND(Master!#REF!,"AAAAADvv3hY=")</f>
        <v>#REF!</v>
      </c>
      <c r="X6" t="e">
        <f>AND(Master!#REF!,"AAAAADvv3hc=")</f>
        <v>#REF!</v>
      </c>
      <c r="Y6" t="e">
        <f>AND(Master!#REF!,"AAAAADvv3hg=")</f>
        <v>#REF!</v>
      </c>
      <c r="Z6" t="e">
        <f>AND(Master!#REF!,"AAAAADvv3hk=")</f>
        <v>#REF!</v>
      </c>
      <c r="AA6" t="e">
        <f>AND(Master!#REF!,"AAAAADvv3ho=")</f>
        <v>#REF!</v>
      </c>
      <c r="AB6" t="e">
        <f>AND(Master!#REF!,"AAAAADvv3hs=")</f>
        <v>#REF!</v>
      </c>
      <c r="AC6" t="e">
        <f>AND(Master!#REF!,"AAAAADvv3hw=")</f>
        <v>#REF!</v>
      </c>
      <c r="AD6" t="e">
        <f>AND(Master!#REF!,"AAAAADvv3h0=")</f>
        <v>#REF!</v>
      </c>
      <c r="AE6" t="e">
        <f>AND(Master!#REF!,"AAAAADvv3h4=")</f>
        <v>#REF!</v>
      </c>
      <c r="AF6" t="e">
        <f>AND(Master!#REF!,"AAAAADvv3h8=")</f>
        <v>#REF!</v>
      </c>
      <c r="AG6" t="e">
        <f>AND(Master!#REF!,"AAAAADvv3iA=")</f>
        <v>#REF!</v>
      </c>
      <c r="AH6" t="e">
        <f>AND(Master!#REF!,"AAAAADvv3iE=")</f>
        <v>#REF!</v>
      </c>
      <c r="AI6" t="e">
        <f>AND(Master!#REF!,"AAAAADvv3iI=")</f>
        <v>#REF!</v>
      </c>
      <c r="AJ6" t="e">
        <f>AND(Master!#REF!,"AAAAADvv3iM=")</f>
        <v>#REF!</v>
      </c>
      <c r="AK6" t="e">
        <f>AND(Master!#REF!,"AAAAADvv3iQ=")</f>
        <v>#REF!</v>
      </c>
      <c r="AL6" t="e">
        <f>AND(Master!#REF!,"AAAAADvv3iU=")</f>
        <v>#REF!</v>
      </c>
      <c r="AM6" t="e">
        <f>AND(Master!#REF!,"AAAAADvv3iY=")</f>
        <v>#REF!</v>
      </c>
      <c r="AN6" t="e">
        <f>AND(Master!#REF!,"AAAAADvv3ic=")</f>
        <v>#REF!</v>
      </c>
      <c r="AO6">
        <f>IF(Master!19:19,"AAAAADvv3ig=",0)</f>
        <v>0</v>
      </c>
      <c r="AP6" t="e">
        <f>AND(Master!C19,"AAAAADvv3ik=")</f>
        <v>#VALUE!</v>
      </c>
      <c r="AQ6" t="e">
        <f>AND(Master!D19,"AAAAADvv3io=")</f>
        <v>#VALUE!</v>
      </c>
      <c r="AR6" t="e">
        <f>AND(Master!F19,"AAAAADvv3is=")</f>
        <v>#VALUE!</v>
      </c>
      <c r="AS6" t="e">
        <f>AND(Master!H19,"AAAAADvv3iw=")</f>
        <v>#VALUE!</v>
      </c>
      <c r="AT6" t="e">
        <f>AND(Master!J19,"AAAAADvv3i0=")</f>
        <v>#VALUE!</v>
      </c>
      <c r="AU6" t="e">
        <f>AND(Master!K19,"AAAAADvv3i4=")</f>
        <v>#VALUE!</v>
      </c>
      <c r="AV6" t="e">
        <f>AND(Master!L19,"AAAAADvv3i8=")</f>
        <v>#VALUE!</v>
      </c>
      <c r="AW6" t="e">
        <f>AND(Master!M19,"AAAAADvv3jA=")</f>
        <v>#VALUE!</v>
      </c>
      <c r="AX6" t="e">
        <f>AND(Master!N19,"AAAAADvv3jE=")</f>
        <v>#VALUE!</v>
      </c>
      <c r="AY6" t="e">
        <f>AND(Master!O19,"AAAAADvv3jI=")</f>
        <v>#VALUE!</v>
      </c>
      <c r="AZ6" t="e">
        <f>AND(Master!P19,"AAAAADvv3jM=")</f>
        <v>#VALUE!</v>
      </c>
      <c r="BA6" t="e">
        <f>AND(Master!Q19,"AAAAADvv3jQ=")</f>
        <v>#VALUE!</v>
      </c>
      <c r="BB6" t="e">
        <f>AND(Master!R19,"AAAAADvv3jU=")</f>
        <v>#VALUE!</v>
      </c>
      <c r="BC6" t="e">
        <f>AND(Master!S19,"AAAAADvv3jY=")</f>
        <v>#VALUE!</v>
      </c>
      <c r="BD6" t="e">
        <f>AND(Master!T19,"AAAAADvv3jc=")</f>
        <v>#VALUE!</v>
      </c>
      <c r="BE6" t="e">
        <f>AND(Master!U19,"AAAAADvv3jg=")</f>
        <v>#VALUE!</v>
      </c>
      <c r="BF6" t="e">
        <f>AND(Master!V19,"AAAAADvv3jk=")</f>
        <v>#VALUE!</v>
      </c>
      <c r="BG6" t="e">
        <f>AND(Master!W19,"AAAAADvv3jo=")</f>
        <v>#VALUE!</v>
      </c>
      <c r="BH6" t="e">
        <f>AND(Master!X19,"AAAAADvv3js=")</f>
        <v>#VALUE!</v>
      </c>
      <c r="BI6" t="e">
        <f>AND(Master!Y19,"AAAAADvv3jw=")</f>
        <v>#VALUE!</v>
      </c>
      <c r="BJ6" t="e">
        <f>AND(Master!Z19,"AAAAADvv3j0=")</f>
        <v>#VALUE!</v>
      </c>
      <c r="BK6" t="e">
        <f>AND(Master!AA19,"AAAAADvv3j4=")</f>
        <v>#VALUE!</v>
      </c>
      <c r="BL6" t="e">
        <f>AND(Master!AB19,"AAAAADvv3j8=")</f>
        <v>#VALUE!</v>
      </c>
      <c r="BM6" t="e">
        <f>IF(Master!#REF!,"AAAAADvv3kA=",0)</f>
        <v>#REF!</v>
      </c>
      <c r="BN6" t="e">
        <f>AND(Master!#REF!,"AAAAADvv3kE=")</f>
        <v>#REF!</v>
      </c>
      <c r="BO6" t="e">
        <f>AND(Master!#REF!,"AAAAADvv3kI=")</f>
        <v>#REF!</v>
      </c>
      <c r="BP6" t="e">
        <f>AND(Master!#REF!,"AAAAADvv3kM=")</f>
        <v>#REF!</v>
      </c>
      <c r="BQ6" t="e">
        <f>AND(Master!#REF!,"AAAAADvv3kQ=")</f>
        <v>#REF!</v>
      </c>
      <c r="BR6" t="e">
        <f>AND(Master!#REF!,"AAAAADvv3kU=")</f>
        <v>#REF!</v>
      </c>
      <c r="BS6" t="e">
        <f>AND(Master!#REF!,"AAAAADvv3kY=")</f>
        <v>#REF!</v>
      </c>
      <c r="BT6" t="e">
        <f>AND(Master!#REF!,"AAAAADvv3kc=")</f>
        <v>#REF!</v>
      </c>
      <c r="BU6" t="e">
        <f>AND(Master!#REF!,"AAAAADvv3kg=")</f>
        <v>#REF!</v>
      </c>
      <c r="BV6" t="e">
        <f>AND(Master!#REF!,"AAAAADvv3kk=")</f>
        <v>#REF!</v>
      </c>
      <c r="BW6" t="e">
        <f>AND(Master!#REF!,"AAAAADvv3ko=")</f>
        <v>#REF!</v>
      </c>
      <c r="BX6" t="e">
        <f>AND(Master!#REF!,"AAAAADvv3ks=")</f>
        <v>#REF!</v>
      </c>
      <c r="BY6" t="e">
        <f>AND(Master!#REF!,"AAAAADvv3kw=")</f>
        <v>#REF!</v>
      </c>
      <c r="BZ6" t="e">
        <f>AND(Master!#REF!,"AAAAADvv3k0=")</f>
        <v>#REF!</v>
      </c>
      <c r="CA6" t="e">
        <f>AND(Master!#REF!,"AAAAADvv3k4=")</f>
        <v>#REF!</v>
      </c>
      <c r="CB6" t="e">
        <f>AND(Master!#REF!,"AAAAADvv3k8=")</f>
        <v>#REF!</v>
      </c>
      <c r="CC6" t="e">
        <f>AND(Master!#REF!,"AAAAADvv3lA=")</f>
        <v>#REF!</v>
      </c>
      <c r="CD6" t="e">
        <f>AND(Master!#REF!,"AAAAADvv3lE=")</f>
        <v>#REF!</v>
      </c>
      <c r="CE6" t="e">
        <f>AND(Master!#REF!,"AAAAADvv3lI=")</f>
        <v>#REF!</v>
      </c>
      <c r="CF6" t="e">
        <f>AND(Master!#REF!,"AAAAADvv3lM=")</f>
        <v>#REF!</v>
      </c>
      <c r="CG6" t="e">
        <f>AND(Master!#REF!,"AAAAADvv3lQ=")</f>
        <v>#REF!</v>
      </c>
      <c r="CH6" t="e">
        <f>AND(Master!#REF!,"AAAAADvv3lU=")</f>
        <v>#REF!</v>
      </c>
      <c r="CI6" t="e">
        <f>AND(Master!#REF!,"AAAAADvv3lY=")</f>
        <v>#REF!</v>
      </c>
      <c r="CJ6" t="e">
        <f>AND(Master!#REF!,"AAAAADvv3lc=")</f>
        <v>#REF!</v>
      </c>
      <c r="CK6">
        <f>IF(Master!20:20,"AAAAADvv3lg=",0)</f>
        <v>0</v>
      </c>
      <c r="CL6" t="e">
        <f>AND(Master!C20,"AAAAADvv3lk=")</f>
        <v>#VALUE!</v>
      </c>
      <c r="CM6" t="e">
        <f>AND(Master!D20,"AAAAADvv3lo=")</f>
        <v>#VALUE!</v>
      </c>
      <c r="CN6" t="e">
        <f>AND(Master!F20,"AAAAADvv3ls=")</f>
        <v>#VALUE!</v>
      </c>
      <c r="CO6" t="e">
        <f>AND(Master!H20,"AAAAADvv3lw=")</f>
        <v>#VALUE!</v>
      </c>
      <c r="CP6" t="e">
        <f>AND(Master!J20,"AAAAADvv3l0=")</f>
        <v>#VALUE!</v>
      </c>
      <c r="CQ6" t="e">
        <f>AND(Master!K20,"AAAAADvv3l4=")</f>
        <v>#VALUE!</v>
      </c>
      <c r="CR6" t="e">
        <f>AND(Master!L20,"AAAAADvv3l8=")</f>
        <v>#VALUE!</v>
      </c>
      <c r="CS6" t="e">
        <f>AND(Master!M20,"AAAAADvv3mA=")</f>
        <v>#VALUE!</v>
      </c>
      <c r="CT6" t="e">
        <f>AND(Master!N20,"AAAAADvv3mE=")</f>
        <v>#VALUE!</v>
      </c>
      <c r="CU6" t="e">
        <f>AND(Master!O20,"AAAAADvv3mI=")</f>
        <v>#VALUE!</v>
      </c>
      <c r="CV6" t="e">
        <f>AND(Master!P20,"AAAAADvv3mM=")</f>
        <v>#VALUE!</v>
      </c>
      <c r="CW6" t="e">
        <f>AND(Master!Q20,"AAAAADvv3mQ=")</f>
        <v>#VALUE!</v>
      </c>
      <c r="CX6" t="e">
        <f>AND(Master!R20,"AAAAADvv3mU=")</f>
        <v>#VALUE!</v>
      </c>
      <c r="CY6" t="e">
        <f>AND(Master!S20,"AAAAADvv3mY=")</f>
        <v>#VALUE!</v>
      </c>
      <c r="CZ6" t="e">
        <f>AND(Master!T20,"AAAAADvv3mc=")</f>
        <v>#VALUE!</v>
      </c>
      <c r="DA6" t="e">
        <f>AND(Master!U20,"AAAAADvv3mg=")</f>
        <v>#VALUE!</v>
      </c>
      <c r="DB6" t="e">
        <f>AND(Master!V20,"AAAAADvv3mk=")</f>
        <v>#VALUE!</v>
      </c>
      <c r="DC6" t="e">
        <f>AND(Master!W20,"AAAAADvv3mo=")</f>
        <v>#VALUE!</v>
      </c>
      <c r="DD6" t="e">
        <f>AND(Master!X20,"AAAAADvv3ms=")</f>
        <v>#VALUE!</v>
      </c>
      <c r="DE6" t="e">
        <f>AND(Master!Y20,"AAAAADvv3mw=")</f>
        <v>#VALUE!</v>
      </c>
      <c r="DF6" t="e">
        <f>AND(Master!Z20,"AAAAADvv3m0=")</f>
        <v>#VALUE!</v>
      </c>
      <c r="DG6" t="e">
        <f>AND(Master!AA20,"AAAAADvv3m4=")</f>
        <v>#VALUE!</v>
      </c>
      <c r="DH6" t="e">
        <f>AND(Master!AB20,"AAAAADvv3m8=")</f>
        <v>#VALUE!</v>
      </c>
      <c r="DI6">
        <f>IF(Master!21:21,"AAAAADvv3nA=",0)</f>
        <v>0</v>
      </c>
      <c r="DJ6" t="e">
        <f>AND(Master!C21,"AAAAADvv3nE=")</f>
        <v>#VALUE!</v>
      </c>
      <c r="DK6" t="e">
        <f>AND(Master!D21,"AAAAADvv3nI=")</f>
        <v>#VALUE!</v>
      </c>
      <c r="DL6" t="e">
        <f>AND(Master!F21,"AAAAADvv3nM=")</f>
        <v>#VALUE!</v>
      </c>
      <c r="DM6" t="e">
        <f>AND(Master!H21,"AAAAADvv3nQ=")</f>
        <v>#VALUE!</v>
      </c>
      <c r="DN6" t="e">
        <f>AND(Master!J21,"AAAAADvv3nU=")</f>
        <v>#VALUE!</v>
      </c>
      <c r="DO6" t="e">
        <f>AND(Master!K21,"AAAAADvv3nY=")</f>
        <v>#VALUE!</v>
      </c>
      <c r="DP6" t="e">
        <f>AND(Master!L21,"AAAAADvv3nc=")</f>
        <v>#VALUE!</v>
      </c>
      <c r="DQ6" t="e">
        <f>AND(Master!M21,"AAAAADvv3ng=")</f>
        <v>#VALUE!</v>
      </c>
      <c r="DR6" t="e">
        <f>AND(Master!N21,"AAAAADvv3nk=")</f>
        <v>#VALUE!</v>
      </c>
      <c r="DS6" t="e">
        <f>AND(Master!O21,"AAAAADvv3no=")</f>
        <v>#VALUE!</v>
      </c>
      <c r="DT6" t="e">
        <f>AND(Master!P21,"AAAAADvv3ns=")</f>
        <v>#VALUE!</v>
      </c>
      <c r="DU6" t="e">
        <f>AND(Master!Q21,"AAAAADvv3nw=")</f>
        <v>#VALUE!</v>
      </c>
      <c r="DV6" t="e">
        <f>AND(Master!R21,"AAAAADvv3n0=")</f>
        <v>#VALUE!</v>
      </c>
      <c r="DW6" t="e">
        <f>AND(Master!S21,"AAAAADvv3n4=")</f>
        <v>#VALUE!</v>
      </c>
      <c r="DX6" t="e">
        <f>AND(Master!T21,"AAAAADvv3n8=")</f>
        <v>#VALUE!</v>
      </c>
      <c r="DY6" t="e">
        <f>AND(Master!U21,"AAAAADvv3oA=")</f>
        <v>#VALUE!</v>
      </c>
      <c r="DZ6" t="e">
        <f>AND(Master!V21,"AAAAADvv3oE=")</f>
        <v>#VALUE!</v>
      </c>
      <c r="EA6" t="e">
        <f>AND(Master!W21,"AAAAADvv3oI=")</f>
        <v>#VALUE!</v>
      </c>
      <c r="EB6" t="e">
        <f>AND(Master!X21,"AAAAADvv3oM=")</f>
        <v>#VALUE!</v>
      </c>
      <c r="EC6" t="e">
        <f>AND(Master!Y21,"AAAAADvv3oQ=")</f>
        <v>#VALUE!</v>
      </c>
      <c r="ED6" t="e">
        <f>AND(Master!Z21,"AAAAADvv3oU=")</f>
        <v>#VALUE!</v>
      </c>
      <c r="EE6" t="e">
        <f>AND(Master!AA21,"AAAAADvv3oY=")</f>
        <v>#VALUE!</v>
      </c>
      <c r="EF6" t="e">
        <f>AND(Master!AB21,"AAAAADvv3oc=")</f>
        <v>#VALUE!</v>
      </c>
      <c r="EG6">
        <f>IF(Master!22:22,"AAAAADvv3og=",0)</f>
        <v>0</v>
      </c>
      <c r="EH6" t="e">
        <f>AND(Master!C22,"AAAAADvv3ok=")</f>
        <v>#VALUE!</v>
      </c>
      <c r="EI6" t="e">
        <f>AND(Master!D22,"AAAAADvv3oo=")</f>
        <v>#VALUE!</v>
      </c>
      <c r="EJ6" t="e">
        <f>AND(Master!F22,"AAAAADvv3os=")</f>
        <v>#VALUE!</v>
      </c>
      <c r="EK6" t="e">
        <f>AND(Master!H22,"AAAAADvv3ow=")</f>
        <v>#VALUE!</v>
      </c>
      <c r="EL6" t="e">
        <f>AND(Master!J22,"AAAAADvv3o0=")</f>
        <v>#VALUE!</v>
      </c>
      <c r="EM6" t="e">
        <f>AND(Master!K22,"AAAAADvv3o4=")</f>
        <v>#VALUE!</v>
      </c>
      <c r="EN6" t="e">
        <f>AND(Master!L22,"AAAAADvv3o8=")</f>
        <v>#VALUE!</v>
      </c>
      <c r="EO6" t="e">
        <f>AND(Master!M22,"AAAAADvv3pA=")</f>
        <v>#VALUE!</v>
      </c>
      <c r="EP6" t="e">
        <f>AND(Master!N22,"AAAAADvv3pE=")</f>
        <v>#VALUE!</v>
      </c>
      <c r="EQ6" t="e">
        <f>AND(Master!O22,"AAAAADvv3pI=")</f>
        <v>#VALUE!</v>
      </c>
      <c r="ER6" t="e">
        <f>AND(Master!P22,"AAAAADvv3pM=")</f>
        <v>#VALUE!</v>
      </c>
      <c r="ES6" t="e">
        <f>AND(Master!Q22,"AAAAADvv3pQ=")</f>
        <v>#VALUE!</v>
      </c>
      <c r="ET6" t="e">
        <f>AND(Master!R22,"AAAAADvv3pU=")</f>
        <v>#VALUE!</v>
      </c>
      <c r="EU6" t="e">
        <f>AND(Master!S22,"AAAAADvv3pY=")</f>
        <v>#VALUE!</v>
      </c>
      <c r="EV6" t="e">
        <f>AND(Master!T22,"AAAAADvv3pc=")</f>
        <v>#VALUE!</v>
      </c>
      <c r="EW6" t="e">
        <f>AND(Master!U22,"AAAAADvv3pg=")</f>
        <v>#VALUE!</v>
      </c>
      <c r="EX6" t="e">
        <f>AND(Master!V22,"AAAAADvv3pk=")</f>
        <v>#VALUE!</v>
      </c>
      <c r="EY6" t="e">
        <f>AND(Master!W22,"AAAAADvv3po=")</f>
        <v>#VALUE!</v>
      </c>
      <c r="EZ6" t="e">
        <f>AND(Master!X22,"AAAAADvv3ps=")</f>
        <v>#VALUE!</v>
      </c>
      <c r="FA6" t="e">
        <f>AND(Master!Y22,"AAAAADvv3pw=")</f>
        <v>#VALUE!</v>
      </c>
      <c r="FB6" t="e">
        <f>AND(Master!Z22,"AAAAADvv3p0=")</f>
        <v>#VALUE!</v>
      </c>
      <c r="FC6" t="e">
        <f>AND(Master!AA22,"AAAAADvv3p4=")</f>
        <v>#VALUE!</v>
      </c>
      <c r="FD6" t="e">
        <f>AND(Master!AB22,"AAAAADvv3p8=")</f>
        <v>#VALUE!</v>
      </c>
      <c r="FE6">
        <f>IF(Master!23:23,"AAAAADvv3qA=",0)</f>
        <v>0</v>
      </c>
      <c r="FF6" t="e">
        <f>AND(Master!C23,"AAAAADvv3qE=")</f>
        <v>#VALUE!</v>
      </c>
      <c r="FG6" t="e">
        <f>AND(Master!D23,"AAAAADvv3qI=")</f>
        <v>#VALUE!</v>
      </c>
      <c r="FH6" t="e">
        <f>AND(Master!F23,"AAAAADvv3qM=")</f>
        <v>#VALUE!</v>
      </c>
      <c r="FI6" t="e">
        <f>AND(Master!H23,"AAAAADvv3qQ=")</f>
        <v>#VALUE!</v>
      </c>
      <c r="FJ6" t="e">
        <f>AND(Master!J23,"AAAAADvv3qU=")</f>
        <v>#VALUE!</v>
      </c>
      <c r="FK6" t="e">
        <f>AND(Master!K23,"AAAAADvv3qY=")</f>
        <v>#VALUE!</v>
      </c>
      <c r="FL6" t="e">
        <f>AND(Master!L23,"AAAAADvv3qc=")</f>
        <v>#VALUE!</v>
      </c>
      <c r="FM6" t="e">
        <f>AND(Master!M23,"AAAAADvv3qg=")</f>
        <v>#VALUE!</v>
      </c>
      <c r="FN6" t="e">
        <f>AND(Master!N23,"AAAAADvv3qk=")</f>
        <v>#VALUE!</v>
      </c>
      <c r="FO6" t="e">
        <f>AND(Master!O23,"AAAAADvv3qo=")</f>
        <v>#VALUE!</v>
      </c>
      <c r="FP6" t="e">
        <f>AND(Master!P23,"AAAAADvv3qs=")</f>
        <v>#VALUE!</v>
      </c>
      <c r="FQ6" t="e">
        <f>AND(Master!Q23,"AAAAADvv3qw=")</f>
        <v>#VALUE!</v>
      </c>
      <c r="FR6" t="e">
        <f>AND(Master!R23,"AAAAADvv3q0=")</f>
        <v>#VALUE!</v>
      </c>
      <c r="FS6" t="e">
        <f>AND(Master!S23,"AAAAADvv3q4=")</f>
        <v>#VALUE!</v>
      </c>
      <c r="FT6" t="e">
        <f>AND(Master!T23,"AAAAADvv3q8=")</f>
        <v>#VALUE!</v>
      </c>
      <c r="FU6" t="e">
        <f>AND(Master!U23,"AAAAADvv3rA=")</f>
        <v>#VALUE!</v>
      </c>
      <c r="FV6" t="e">
        <f>AND(Master!V23,"AAAAADvv3rE=")</f>
        <v>#VALUE!</v>
      </c>
      <c r="FW6" t="e">
        <f>AND(Master!W23,"AAAAADvv3rI=")</f>
        <v>#VALUE!</v>
      </c>
      <c r="FX6" t="e">
        <f>AND(Master!X23,"AAAAADvv3rM=")</f>
        <v>#VALUE!</v>
      </c>
      <c r="FY6" t="e">
        <f>AND(Master!Y23,"AAAAADvv3rQ=")</f>
        <v>#VALUE!</v>
      </c>
      <c r="FZ6" t="e">
        <f>AND(Master!Z23,"AAAAADvv3rU=")</f>
        <v>#VALUE!</v>
      </c>
      <c r="GA6" t="e">
        <f>AND(Master!AA23,"AAAAADvv3rY=")</f>
        <v>#VALUE!</v>
      </c>
      <c r="GB6" t="e">
        <f>AND(Master!AB23,"AAAAADvv3rc=")</f>
        <v>#VALUE!</v>
      </c>
      <c r="GC6">
        <f>IF(Master!24:24,"AAAAADvv3rg=",0)</f>
        <v>0</v>
      </c>
      <c r="GD6" t="e">
        <f>AND(Master!C24,"AAAAADvv3rk=")</f>
        <v>#VALUE!</v>
      </c>
      <c r="GE6" t="e">
        <f>AND(Master!D24,"AAAAADvv3ro=")</f>
        <v>#VALUE!</v>
      </c>
      <c r="GF6" t="e">
        <f>AND(Master!F24,"AAAAADvv3rs=")</f>
        <v>#VALUE!</v>
      </c>
      <c r="GG6" t="e">
        <f>AND(Master!H24,"AAAAADvv3rw=")</f>
        <v>#VALUE!</v>
      </c>
      <c r="GH6" t="e">
        <f>AND(Master!J24,"AAAAADvv3r0=")</f>
        <v>#VALUE!</v>
      </c>
      <c r="GI6" t="e">
        <f>AND(Master!K24,"AAAAADvv3r4=")</f>
        <v>#VALUE!</v>
      </c>
      <c r="GJ6" t="e">
        <f>AND(Master!L24,"AAAAADvv3r8=")</f>
        <v>#VALUE!</v>
      </c>
      <c r="GK6" t="e">
        <f>AND(Master!M24,"AAAAADvv3sA=")</f>
        <v>#VALUE!</v>
      </c>
      <c r="GL6" t="e">
        <f>AND(Master!N24,"AAAAADvv3sE=")</f>
        <v>#VALUE!</v>
      </c>
      <c r="GM6" t="e">
        <f>AND(Master!O24,"AAAAADvv3sI=")</f>
        <v>#VALUE!</v>
      </c>
      <c r="GN6" t="e">
        <f>AND(Master!P24,"AAAAADvv3sM=")</f>
        <v>#VALUE!</v>
      </c>
      <c r="GO6" t="e">
        <f>AND(Master!Q24,"AAAAADvv3sQ=")</f>
        <v>#VALUE!</v>
      </c>
      <c r="GP6" t="e">
        <f>AND(Master!R24,"AAAAADvv3sU=")</f>
        <v>#VALUE!</v>
      </c>
      <c r="GQ6" t="e">
        <f>AND(Master!S24,"AAAAADvv3sY=")</f>
        <v>#VALUE!</v>
      </c>
      <c r="GR6" t="e">
        <f>AND(Master!T24,"AAAAADvv3sc=")</f>
        <v>#VALUE!</v>
      </c>
      <c r="GS6" t="e">
        <f>AND(Master!U24,"AAAAADvv3sg=")</f>
        <v>#VALUE!</v>
      </c>
      <c r="GT6" t="e">
        <f>AND(Master!V24,"AAAAADvv3sk=")</f>
        <v>#VALUE!</v>
      </c>
      <c r="GU6" t="e">
        <f>AND(Master!W24,"AAAAADvv3so=")</f>
        <v>#VALUE!</v>
      </c>
      <c r="GV6" t="e">
        <f>AND(Master!X24,"AAAAADvv3ss=")</f>
        <v>#VALUE!</v>
      </c>
      <c r="GW6" t="e">
        <f>AND(Master!Y24,"AAAAADvv3sw=")</f>
        <v>#VALUE!</v>
      </c>
      <c r="GX6" t="e">
        <f>AND(Master!Z24,"AAAAADvv3s0=")</f>
        <v>#VALUE!</v>
      </c>
      <c r="GY6" t="e">
        <f>AND(Master!AA24,"AAAAADvv3s4=")</f>
        <v>#VALUE!</v>
      </c>
      <c r="GZ6" t="e">
        <f>AND(Master!AB24,"AAAAADvv3s8=")</f>
        <v>#VALUE!</v>
      </c>
      <c r="HA6">
        <f>IF(Master!25:25,"AAAAADvv3tA=",0)</f>
        <v>0</v>
      </c>
      <c r="HB6" t="e">
        <f>AND(Master!C25,"AAAAADvv3tE=")</f>
        <v>#VALUE!</v>
      </c>
      <c r="HC6" t="e">
        <f>AND(Master!D25,"AAAAADvv3tI=")</f>
        <v>#VALUE!</v>
      </c>
      <c r="HD6" t="e">
        <f>AND(Master!F25,"AAAAADvv3tM=")</f>
        <v>#VALUE!</v>
      </c>
      <c r="HE6" t="e">
        <f>AND(Master!H25,"AAAAADvv3tQ=")</f>
        <v>#VALUE!</v>
      </c>
      <c r="HF6" t="e">
        <f>AND(Master!J25,"AAAAADvv3tU=")</f>
        <v>#VALUE!</v>
      </c>
      <c r="HG6" t="e">
        <f>AND(Master!K25,"AAAAADvv3tY=")</f>
        <v>#VALUE!</v>
      </c>
      <c r="HH6" t="e">
        <f>AND(Master!L25,"AAAAADvv3tc=")</f>
        <v>#VALUE!</v>
      </c>
      <c r="HI6" t="e">
        <f>AND(Master!M25,"AAAAADvv3tg=")</f>
        <v>#VALUE!</v>
      </c>
      <c r="HJ6" t="e">
        <f>AND(Master!N25,"AAAAADvv3tk=")</f>
        <v>#VALUE!</v>
      </c>
      <c r="HK6" t="e">
        <f>AND(Master!O25,"AAAAADvv3to=")</f>
        <v>#VALUE!</v>
      </c>
      <c r="HL6" t="e">
        <f>AND(Master!P25,"AAAAADvv3ts=")</f>
        <v>#VALUE!</v>
      </c>
      <c r="HM6" t="e">
        <f>AND(Master!Q25,"AAAAADvv3tw=")</f>
        <v>#VALUE!</v>
      </c>
      <c r="HN6" t="e">
        <f>AND(Master!R25,"AAAAADvv3t0=")</f>
        <v>#VALUE!</v>
      </c>
      <c r="HO6" t="e">
        <f>AND(Master!S25,"AAAAADvv3t4=")</f>
        <v>#VALUE!</v>
      </c>
      <c r="HP6" t="e">
        <f>AND(Master!T25,"AAAAADvv3t8=")</f>
        <v>#VALUE!</v>
      </c>
      <c r="HQ6" t="e">
        <f>AND(Master!U25,"AAAAADvv3uA=")</f>
        <v>#VALUE!</v>
      </c>
      <c r="HR6" t="e">
        <f>AND(Master!V25,"AAAAADvv3uE=")</f>
        <v>#VALUE!</v>
      </c>
      <c r="HS6" t="e">
        <f>AND(Master!W25,"AAAAADvv3uI=")</f>
        <v>#VALUE!</v>
      </c>
      <c r="HT6" t="e">
        <f>AND(Master!X25,"AAAAADvv3uM=")</f>
        <v>#VALUE!</v>
      </c>
      <c r="HU6" t="e">
        <f>AND(Master!Y25,"AAAAADvv3uQ=")</f>
        <v>#VALUE!</v>
      </c>
      <c r="HV6" t="e">
        <f>AND(Master!Z25,"AAAAADvv3uU=")</f>
        <v>#VALUE!</v>
      </c>
      <c r="HW6" t="e">
        <f>AND(Master!AA25,"AAAAADvv3uY=")</f>
        <v>#VALUE!</v>
      </c>
      <c r="HX6" t="e">
        <f>AND(Master!AB25,"AAAAADvv3uc=")</f>
        <v>#VALUE!</v>
      </c>
      <c r="HY6">
        <f>IF(Master!26:26,"AAAAADvv3ug=",0)</f>
        <v>0</v>
      </c>
      <c r="HZ6" t="e">
        <f>AND(Master!C26,"AAAAADvv3uk=")</f>
        <v>#VALUE!</v>
      </c>
      <c r="IA6" t="e">
        <f>AND(Master!D26,"AAAAADvv3uo=")</f>
        <v>#VALUE!</v>
      </c>
      <c r="IB6" t="e">
        <f>AND(Master!F26,"AAAAADvv3us=")</f>
        <v>#VALUE!</v>
      </c>
      <c r="IC6" t="e">
        <f>AND(Master!H26,"AAAAADvv3uw=")</f>
        <v>#VALUE!</v>
      </c>
      <c r="ID6" t="e">
        <f>AND(Master!J26,"AAAAADvv3u0=")</f>
        <v>#VALUE!</v>
      </c>
      <c r="IE6" t="e">
        <f>AND(Master!K26,"AAAAADvv3u4=")</f>
        <v>#VALUE!</v>
      </c>
      <c r="IF6" t="e">
        <f>AND(Master!L26,"AAAAADvv3u8=")</f>
        <v>#VALUE!</v>
      </c>
      <c r="IG6" t="e">
        <f>AND(Master!M26,"AAAAADvv3vA=")</f>
        <v>#VALUE!</v>
      </c>
      <c r="IH6" t="e">
        <f>AND(Master!N26,"AAAAADvv3vE=")</f>
        <v>#VALUE!</v>
      </c>
      <c r="II6" t="e">
        <f>AND(Master!O26,"AAAAADvv3vI=")</f>
        <v>#VALUE!</v>
      </c>
      <c r="IJ6" t="e">
        <f>AND(Master!P26,"AAAAADvv3vM=")</f>
        <v>#VALUE!</v>
      </c>
      <c r="IK6" t="e">
        <f>AND(Master!Q26,"AAAAADvv3vQ=")</f>
        <v>#VALUE!</v>
      </c>
      <c r="IL6" t="e">
        <f>AND(Master!R26,"AAAAADvv3vU=")</f>
        <v>#VALUE!</v>
      </c>
      <c r="IM6" t="e">
        <f>AND(Master!S26,"AAAAADvv3vY=")</f>
        <v>#VALUE!</v>
      </c>
      <c r="IN6" t="e">
        <f>AND(Master!T26,"AAAAADvv3vc=")</f>
        <v>#VALUE!</v>
      </c>
      <c r="IO6" t="e">
        <f>AND(Master!U26,"AAAAADvv3vg=")</f>
        <v>#VALUE!</v>
      </c>
      <c r="IP6" t="e">
        <f>AND(Master!V26,"AAAAADvv3vk=")</f>
        <v>#VALUE!</v>
      </c>
      <c r="IQ6" t="e">
        <f>AND(Master!W26,"AAAAADvv3vo=")</f>
        <v>#VALUE!</v>
      </c>
      <c r="IR6" t="e">
        <f>AND(Master!X26,"AAAAADvv3vs=")</f>
        <v>#VALUE!</v>
      </c>
      <c r="IS6" t="e">
        <f>AND(Master!Y26,"AAAAADvv3vw=")</f>
        <v>#VALUE!</v>
      </c>
      <c r="IT6" t="e">
        <f>AND(Master!Z26,"AAAAADvv3v0=")</f>
        <v>#VALUE!</v>
      </c>
      <c r="IU6" t="e">
        <f>AND(Master!AA26,"AAAAADvv3v4=")</f>
        <v>#VALUE!</v>
      </c>
      <c r="IV6" t="e">
        <f>AND(Master!AB26,"AAAAADvv3v8=")</f>
        <v>#VALUE!</v>
      </c>
    </row>
    <row r="7" spans="1:256" x14ac:dyDescent="0.25">
      <c r="A7" t="str">
        <f>IF(Master!27:27,"AAAAADP9fQA=",0)</f>
        <v>AAAAADP9fQA=</v>
      </c>
      <c r="B7" t="e">
        <f>AND(Master!C27,"AAAAADP9fQE=")</f>
        <v>#VALUE!</v>
      </c>
      <c r="C7" t="e">
        <f>AND(Master!D27,"AAAAADP9fQI=")</f>
        <v>#VALUE!</v>
      </c>
      <c r="D7" t="e">
        <f>AND(Master!F27,"AAAAADP9fQM=")</f>
        <v>#VALUE!</v>
      </c>
      <c r="E7" t="e">
        <f>AND(Master!H27,"AAAAADP9fQQ=")</f>
        <v>#VALUE!</v>
      </c>
      <c r="F7" t="e">
        <f>AND(Master!J27,"AAAAADP9fQU=")</f>
        <v>#VALUE!</v>
      </c>
      <c r="G7" t="e">
        <f>AND(Master!K27,"AAAAADP9fQY=")</f>
        <v>#VALUE!</v>
      </c>
      <c r="H7" t="e">
        <f>AND(Master!L27,"AAAAADP9fQc=")</f>
        <v>#VALUE!</v>
      </c>
      <c r="I7" t="e">
        <f>AND(Master!M27,"AAAAADP9fQg=")</f>
        <v>#VALUE!</v>
      </c>
      <c r="J7" t="e">
        <f>AND(Master!N27,"AAAAADP9fQk=")</f>
        <v>#VALUE!</v>
      </c>
      <c r="K7" t="e">
        <f>AND(Master!O27,"AAAAADP9fQo=")</f>
        <v>#VALUE!</v>
      </c>
      <c r="L7" t="e">
        <f>AND(Master!P27,"AAAAADP9fQs=")</f>
        <v>#VALUE!</v>
      </c>
      <c r="M7" t="e">
        <f>AND(Master!Q27,"AAAAADP9fQw=")</f>
        <v>#VALUE!</v>
      </c>
      <c r="N7" t="e">
        <f>AND(Master!R27,"AAAAADP9fQ0=")</f>
        <v>#VALUE!</v>
      </c>
      <c r="O7" t="e">
        <f>AND(Master!S27,"AAAAADP9fQ4=")</f>
        <v>#VALUE!</v>
      </c>
      <c r="P7" t="e">
        <f>AND(Master!T27,"AAAAADP9fQ8=")</f>
        <v>#VALUE!</v>
      </c>
      <c r="Q7" t="e">
        <f>AND(Master!U27,"AAAAADP9fRA=")</f>
        <v>#VALUE!</v>
      </c>
      <c r="R7" t="e">
        <f>AND(Master!V27,"AAAAADP9fRE=")</f>
        <v>#VALUE!</v>
      </c>
      <c r="S7" t="e">
        <f>AND(Master!W27,"AAAAADP9fRI=")</f>
        <v>#VALUE!</v>
      </c>
      <c r="T7" t="e">
        <f>AND(Master!X27,"AAAAADP9fRM=")</f>
        <v>#VALUE!</v>
      </c>
      <c r="U7" t="e">
        <f>AND(Master!Y27,"AAAAADP9fRQ=")</f>
        <v>#VALUE!</v>
      </c>
      <c r="V7" t="e">
        <f>AND(Master!Z27,"AAAAADP9fRU=")</f>
        <v>#VALUE!</v>
      </c>
      <c r="W7" t="e">
        <f>AND(Master!AA27,"AAAAADP9fRY=")</f>
        <v>#VALUE!</v>
      </c>
      <c r="X7" t="e">
        <f>AND(Master!AB27,"AAAAADP9fRc=")</f>
        <v>#VALUE!</v>
      </c>
      <c r="Y7">
        <f>IF(Master!28:28,"AAAAADP9fRg=",0)</f>
        <v>0</v>
      </c>
      <c r="Z7" t="e">
        <f>AND(Master!C28,"AAAAADP9fRk=")</f>
        <v>#VALUE!</v>
      </c>
      <c r="AA7" t="e">
        <f>AND(Master!D28,"AAAAADP9fRo=")</f>
        <v>#VALUE!</v>
      </c>
      <c r="AB7" t="e">
        <f>AND(Master!F28,"AAAAADP9fRs=")</f>
        <v>#VALUE!</v>
      </c>
      <c r="AC7" t="e">
        <f>AND(Master!H28,"AAAAADP9fRw=")</f>
        <v>#VALUE!</v>
      </c>
      <c r="AD7" t="e">
        <f>AND(Master!J28,"AAAAADP9fR0=")</f>
        <v>#VALUE!</v>
      </c>
      <c r="AE7" t="e">
        <f>AND(Master!K28,"AAAAADP9fR4=")</f>
        <v>#VALUE!</v>
      </c>
      <c r="AF7" t="e">
        <f>AND(Master!L28,"AAAAADP9fR8=")</f>
        <v>#VALUE!</v>
      </c>
      <c r="AG7" t="e">
        <f>AND(Master!M28,"AAAAADP9fSA=")</f>
        <v>#VALUE!</v>
      </c>
      <c r="AH7" t="e">
        <f>AND(Master!N28,"AAAAADP9fSE=")</f>
        <v>#VALUE!</v>
      </c>
      <c r="AI7" t="e">
        <f>AND(Master!O28,"AAAAADP9fSI=")</f>
        <v>#VALUE!</v>
      </c>
      <c r="AJ7" t="e">
        <f>AND(Master!P28,"AAAAADP9fSM=")</f>
        <v>#VALUE!</v>
      </c>
      <c r="AK7" t="e">
        <f>AND(Master!Q28,"AAAAADP9fSQ=")</f>
        <v>#VALUE!</v>
      </c>
      <c r="AL7" t="e">
        <f>AND(Master!R28,"AAAAADP9fSU=")</f>
        <v>#VALUE!</v>
      </c>
      <c r="AM7" t="e">
        <f>AND(Master!S28,"AAAAADP9fSY=")</f>
        <v>#VALUE!</v>
      </c>
      <c r="AN7" t="e">
        <f>AND(Master!T28,"AAAAADP9fSc=")</f>
        <v>#VALUE!</v>
      </c>
      <c r="AO7" t="e">
        <f>AND(Master!U28,"AAAAADP9fSg=")</f>
        <v>#VALUE!</v>
      </c>
      <c r="AP7" t="e">
        <f>AND(Master!V28,"AAAAADP9fSk=")</f>
        <v>#VALUE!</v>
      </c>
      <c r="AQ7" t="e">
        <f>AND(Master!W28,"AAAAADP9fSo=")</f>
        <v>#VALUE!</v>
      </c>
      <c r="AR7" t="e">
        <f>AND(Master!X28,"AAAAADP9fSs=")</f>
        <v>#VALUE!</v>
      </c>
      <c r="AS7" t="e">
        <f>AND(Master!Y28,"AAAAADP9fSw=")</f>
        <v>#VALUE!</v>
      </c>
      <c r="AT7" t="e">
        <f>AND(Master!Z28,"AAAAADP9fS0=")</f>
        <v>#VALUE!</v>
      </c>
      <c r="AU7" t="e">
        <f>AND(Master!AA28,"AAAAADP9fS4=")</f>
        <v>#VALUE!</v>
      </c>
      <c r="AV7" t="e">
        <f>AND(Master!AB28,"AAAAADP9fS8=")</f>
        <v>#VALUE!</v>
      </c>
      <c r="AW7">
        <f>IF(Master!41:41,"AAAAADP9fTA=",0)</f>
        <v>0</v>
      </c>
      <c r="AX7" t="e">
        <f>AND(Master!C41,"AAAAADP9fTE=")</f>
        <v>#VALUE!</v>
      </c>
      <c r="AY7" t="e">
        <f>AND(Master!D41,"AAAAADP9fTI=")</f>
        <v>#VALUE!</v>
      </c>
      <c r="AZ7" t="e">
        <f>AND(Master!F41,"AAAAADP9fTM=")</f>
        <v>#VALUE!</v>
      </c>
      <c r="BA7" t="e">
        <f>AND(Master!H41,"AAAAADP9fTQ=")</f>
        <v>#VALUE!</v>
      </c>
      <c r="BB7" t="e">
        <f>AND(Master!J41,"AAAAADP9fTU=")</f>
        <v>#VALUE!</v>
      </c>
      <c r="BC7" t="e">
        <f>AND(Master!K41,"AAAAADP9fTY=")</f>
        <v>#VALUE!</v>
      </c>
      <c r="BD7" t="e">
        <f>AND(Master!L41,"AAAAADP9fTc=")</f>
        <v>#VALUE!</v>
      </c>
      <c r="BE7" t="e">
        <f>AND(Master!M41,"AAAAADP9fTg=")</f>
        <v>#VALUE!</v>
      </c>
      <c r="BF7" t="e">
        <f>AND(Master!N41,"AAAAADP9fTk=")</f>
        <v>#VALUE!</v>
      </c>
      <c r="BG7" t="e">
        <f>AND(Master!O41,"AAAAADP9fTo=")</f>
        <v>#VALUE!</v>
      </c>
      <c r="BH7" t="e">
        <f>AND(Master!P41,"AAAAADP9fTs=")</f>
        <v>#VALUE!</v>
      </c>
      <c r="BI7" t="e">
        <f>AND(Master!Q41,"AAAAADP9fTw=")</f>
        <v>#VALUE!</v>
      </c>
      <c r="BJ7" t="e">
        <f>AND(Master!R41,"AAAAADP9fT0=")</f>
        <v>#VALUE!</v>
      </c>
      <c r="BK7" t="e">
        <f>AND(Master!S41,"AAAAADP9fT4=")</f>
        <v>#VALUE!</v>
      </c>
      <c r="BL7" t="e">
        <f>AND(Master!T41,"AAAAADP9fT8=")</f>
        <v>#VALUE!</v>
      </c>
      <c r="BM7" t="e">
        <f>AND(Master!U41,"AAAAADP9fUA=")</f>
        <v>#VALUE!</v>
      </c>
      <c r="BN7" t="e">
        <f>AND(Master!V41,"AAAAADP9fUE=")</f>
        <v>#VALUE!</v>
      </c>
      <c r="BO7" t="e">
        <f>AND(Master!W41,"AAAAADP9fUI=")</f>
        <v>#VALUE!</v>
      </c>
      <c r="BP7" t="e">
        <f>AND(Master!X41,"AAAAADP9fUM=")</f>
        <v>#VALUE!</v>
      </c>
      <c r="BQ7" t="e">
        <f>AND(Master!Y41,"AAAAADP9fUQ=")</f>
        <v>#VALUE!</v>
      </c>
      <c r="BR7" t="e">
        <f>AND(Master!Z41,"AAAAADP9fUU=")</f>
        <v>#VALUE!</v>
      </c>
      <c r="BS7" t="e">
        <f>AND(Master!AA41,"AAAAADP9fUY=")</f>
        <v>#VALUE!</v>
      </c>
      <c r="BT7" t="e">
        <f>AND(Master!AB41,"AAAAADP9fUc=")</f>
        <v>#VALUE!</v>
      </c>
      <c r="BU7">
        <f>IF(Master!42:42,"AAAAADP9fUg=",0)</f>
        <v>0</v>
      </c>
      <c r="BV7" t="e">
        <f>AND(Master!C42,"AAAAADP9fUk=")</f>
        <v>#VALUE!</v>
      </c>
      <c r="BW7" t="e">
        <f>AND(Master!D42,"AAAAADP9fUo=")</f>
        <v>#VALUE!</v>
      </c>
      <c r="BX7" t="e">
        <f>AND(Master!F42,"AAAAADP9fUs=")</f>
        <v>#VALUE!</v>
      </c>
      <c r="BY7" t="e">
        <f>AND(Master!H42,"AAAAADP9fUw=")</f>
        <v>#VALUE!</v>
      </c>
      <c r="BZ7" t="e">
        <f>AND(Master!J42,"AAAAADP9fU0=")</f>
        <v>#VALUE!</v>
      </c>
      <c r="CA7" t="e">
        <f>AND(Master!K42,"AAAAADP9fU4=")</f>
        <v>#VALUE!</v>
      </c>
      <c r="CB7" t="e">
        <f>AND(Master!L42,"AAAAADP9fU8=")</f>
        <v>#VALUE!</v>
      </c>
      <c r="CC7" t="e">
        <f>AND(Master!M42,"AAAAADP9fVA=")</f>
        <v>#VALUE!</v>
      </c>
      <c r="CD7" t="e">
        <f>AND(Master!N42,"AAAAADP9fVE=")</f>
        <v>#VALUE!</v>
      </c>
      <c r="CE7" t="e">
        <f>AND(Master!O42,"AAAAADP9fVI=")</f>
        <v>#VALUE!</v>
      </c>
      <c r="CF7" t="e">
        <f>AND(Master!P42,"AAAAADP9fVM=")</f>
        <v>#VALUE!</v>
      </c>
      <c r="CG7" t="e">
        <f>AND(Master!Q42,"AAAAADP9fVQ=")</f>
        <v>#VALUE!</v>
      </c>
      <c r="CH7" t="e">
        <f>AND(Master!R42,"AAAAADP9fVU=")</f>
        <v>#VALUE!</v>
      </c>
      <c r="CI7" t="e">
        <f>AND(Master!S42,"AAAAADP9fVY=")</f>
        <v>#VALUE!</v>
      </c>
      <c r="CJ7" t="e">
        <f>AND(Master!T42,"AAAAADP9fVc=")</f>
        <v>#VALUE!</v>
      </c>
      <c r="CK7" t="e">
        <f>AND(Master!U42,"AAAAADP9fVg=")</f>
        <v>#VALUE!</v>
      </c>
      <c r="CL7" t="e">
        <f>AND(Master!V42,"AAAAADP9fVk=")</f>
        <v>#VALUE!</v>
      </c>
      <c r="CM7" t="e">
        <f>AND(Master!W42,"AAAAADP9fVo=")</f>
        <v>#VALUE!</v>
      </c>
      <c r="CN7" t="e">
        <f>AND(Master!X42,"AAAAADP9fVs=")</f>
        <v>#VALUE!</v>
      </c>
      <c r="CO7" t="e">
        <f>AND(Master!Y42,"AAAAADP9fVw=")</f>
        <v>#VALUE!</v>
      </c>
      <c r="CP7" t="e">
        <f>AND(Master!Z42,"AAAAADP9fV0=")</f>
        <v>#VALUE!</v>
      </c>
      <c r="CQ7" t="e">
        <f>AND(Master!AA42,"AAAAADP9fV4=")</f>
        <v>#VALUE!</v>
      </c>
      <c r="CR7" t="e">
        <f>AND(Master!AB42,"AAAAADP9fV8=")</f>
        <v>#VALUE!</v>
      </c>
      <c r="CS7">
        <f>IF(Master!43:43,"AAAAADP9fWA=",0)</f>
        <v>0</v>
      </c>
      <c r="CT7" t="e">
        <f>AND(Master!C43,"AAAAADP9fWE=")</f>
        <v>#VALUE!</v>
      </c>
      <c r="CU7" t="e">
        <f>AND(Master!D43,"AAAAADP9fWI=")</f>
        <v>#VALUE!</v>
      </c>
      <c r="CV7" t="e">
        <f>AND(Master!F43,"AAAAADP9fWM=")</f>
        <v>#VALUE!</v>
      </c>
      <c r="CW7" t="e">
        <f>AND(Master!H43,"AAAAADP9fWQ=")</f>
        <v>#VALUE!</v>
      </c>
      <c r="CX7" t="e">
        <f>AND(Master!J43,"AAAAADP9fWU=")</f>
        <v>#VALUE!</v>
      </c>
      <c r="CY7" t="e">
        <f>AND(Master!K43,"AAAAADP9fWY=")</f>
        <v>#VALUE!</v>
      </c>
      <c r="CZ7" t="e">
        <f>AND(Master!L43,"AAAAADP9fWc=")</f>
        <v>#VALUE!</v>
      </c>
      <c r="DA7" t="e">
        <f>AND(Master!M43,"AAAAADP9fWg=")</f>
        <v>#VALUE!</v>
      </c>
      <c r="DB7" t="e">
        <f>AND(Master!N43,"AAAAADP9fWk=")</f>
        <v>#VALUE!</v>
      </c>
      <c r="DC7" t="e">
        <f>AND(Master!O43,"AAAAADP9fWo=")</f>
        <v>#VALUE!</v>
      </c>
      <c r="DD7" t="e">
        <f>AND(Master!P43,"AAAAADP9fWs=")</f>
        <v>#VALUE!</v>
      </c>
      <c r="DE7" t="e">
        <f>AND(Master!Q43,"AAAAADP9fWw=")</f>
        <v>#VALUE!</v>
      </c>
      <c r="DF7" t="e">
        <f>AND(Master!R43,"AAAAADP9fW0=")</f>
        <v>#VALUE!</v>
      </c>
      <c r="DG7" t="e">
        <f>AND(Master!S43,"AAAAADP9fW4=")</f>
        <v>#VALUE!</v>
      </c>
      <c r="DH7" t="e">
        <f>AND(Master!T43,"AAAAADP9fW8=")</f>
        <v>#VALUE!</v>
      </c>
      <c r="DI7" t="e">
        <f>AND(Master!U43,"AAAAADP9fXA=")</f>
        <v>#VALUE!</v>
      </c>
      <c r="DJ7" t="e">
        <f>AND(Master!V43,"AAAAADP9fXE=")</f>
        <v>#VALUE!</v>
      </c>
      <c r="DK7" t="e">
        <f>AND(Master!W43,"AAAAADP9fXI=")</f>
        <v>#VALUE!</v>
      </c>
      <c r="DL7" t="e">
        <f>AND(Master!X43,"AAAAADP9fXM=")</f>
        <v>#VALUE!</v>
      </c>
      <c r="DM7" t="e">
        <f>AND(Master!Y43,"AAAAADP9fXQ=")</f>
        <v>#VALUE!</v>
      </c>
      <c r="DN7" t="e">
        <f>AND(Master!Z43,"AAAAADP9fXU=")</f>
        <v>#VALUE!</v>
      </c>
      <c r="DO7" t="e">
        <f>AND(Master!AA43,"AAAAADP9fXY=")</f>
        <v>#VALUE!</v>
      </c>
      <c r="DP7" t="e">
        <f>AND(Master!AB43,"AAAAADP9fXc=")</f>
        <v>#VALUE!</v>
      </c>
      <c r="DQ7" t="e">
        <f>IF(Master!#REF!,"AAAAADP9fXg=",0)</f>
        <v>#REF!</v>
      </c>
      <c r="DR7" t="e">
        <f>AND(Master!#REF!,"AAAAADP9fXk=")</f>
        <v>#REF!</v>
      </c>
      <c r="DS7" t="e">
        <f>AND(Master!#REF!,"AAAAADP9fXo=")</f>
        <v>#REF!</v>
      </c>
      <c r="DT7" t="e">
        <f>AND(Master!#REF!,"AAAAADP9fXs=")</f>
        <v>#REF!</v>
      </c>
      <c r="DU7" t="e">
        <f>AND(Master!#REF!,"AAAAADP9fXw=")</f>
        <v>#REF!</v>
      </c>
      <c r="DV7" t="e">
        <f>AND(Master!#REF!,"AAAAADP9fX0=")</f>
        <v>#REF!</v>
      </c>
      <c r="DW7" t="e">
        <f>AND(Master!#REF!,"AAAAADP9fX4=")</f>
        <v>#REF!</v>
      </c>
      <c r="DX7" t="e">
        <f>AND(Master!#REF!,"AAAAADP9fX8=")</f>
        <v>#REF!</v>
      </c>
      <c r="DY7" t="e">
        <f>AND(Master!#REF!,"AAAAADP9fYA=")</f>
        <v>#REF!</v>
      </c>
      <c r="DZ7" t="e">
        <f>AND(Master!#REF!,"AAAAADP9fYE=")</f>
        <v>#REF!</v>
      </c>
      <c r="EA7" t="e">
        <f>AND(Master!#REF!,"AAAAADP9fYI=")</f>
        <v>#REF!</v>
      </c>
      <c r="EB7" t="e">
        <f>AND(Master!#REF!,"AAAAADP9fYM=")</f>
        <v>#REF!</v>
      </c>
      <c r="EC7" t="e">
        <f>AND(Master!#REF!,"AAAAADP9fYQ=")</f>
        <v>#REF!</v>
      </c>
      <c r="ED7" t="e">
        <f>AND(Master!#REF!,"AAAAADP9fYU=")</f>
        <v>#REF!</v>
      </c>
      <c r="EE7" t="e">
        <f>AND(Master!#REF!,"AAAAADP9fYY=")</f>
        <v>#REF!</v>
      </c>
      <c r="EF7" t="e">
        <f>AND(Master!#REF!,"AAAAADP9fYc=")</f>
        <v>#REF!</v>
      </c>
      <c r="EG7" t="e">
        <f>AND(Master!#REF!,"AAAAADP9fYg=")</f>
        <v>#REF!</v>
      </c>
      <c r="EH7" t="e">
        <f>AND(Master!#REF!,"AAAAADP9fYk=")</f>
        <v>#REF!</v>
      </c>
      <c r="EI7" t="e">
        <f>AND(Master!#REF!,"AAAAADP9fYo=")</f>
        <v>#REF!</v>
      </c>
      <c r="EJ7" t="e">
        <f>AND(Master!#REF!,"AAAAADP9fYs=")</f>
        <v>#REF!</v>
      </c>
      <c r="EK7" t="e">
        <f>AND(Master!#REF!,"AAAAADP9fYw=")</f>
        <v>#REF!</v>
      </c>
      <c r="EL7" t="e">
        <f>AND(Master!#REF!,"AAAAADP9fY0=")</f>
        <v>#REF!</v>
      </c>
      <c r="EM7" t="e">
        <f>AND(Master!#REF!,"AAAAADP9fY4=")</f>
        <v>#REF!</v>
      </c>
      <c r="EN7" t="e">
        <f>AND(Master!#REF!,"AAAAADP9fY8=")</f>
        <v>#REF!</v>
      </c>
      <c r="EO7">
        <f>IF(Master!44:44,"AAAAADP9fZA=",0)</f>
        <v>0</v>
      </c>
      <c r="EP7" t="e">
        <f>AND(Master!C44,"AAAAADP9fZE=")</f>
        <v>#VALUE!</v>
      </c>
      <c r="EQ7" t="e">
        <f>AND(Master!D44,"AAAAADP9fZI=")</f>
        <v>#VALUE!</v>
      </c>
      <c r="ER7" t="e">
        <f>AND(Master!F44,"AAAAADP9fZM=")</f>
        <v>#VALUE!</v>
      </c>
      <c r="ES7" t="e">
        <f>AND(Master!H44,"AAAAADP9fZQ=")</f>
        <v>#VALUE!</v>
      </c>
      <c r="ET7" t="e">
        <f>AND(Master!J44,"AAAAADP9fZU=")</f>
        <v>#VALUE!</v>
      </c>
      <c r="EU7" t="e">
        <f>AND(Master!K44,"AAAAADP9fZY=")</f>
        <v>#VALUE!</v>
      </c>
      <c r="EV7" t="e">
        <f>AND(Master!L44,"AAAAADP9fZc=")</f>
        <v>#VALUE!</v>
      </c>
      <c r="EW7" t="e">
        <f>AND(Master!M44,"AAAAADP9fZg=")</f>
        <v>#VALUE!</v>
      </c>
      <c r="EX7" t="e">
        <f>AND(Master!N44,"AAAAADP9fZk=")</f>
        <v>#VALUE!</v>
      </c>
      <c r="EY7" t="e">
        <f>AND(Master!O44,"AAAAADP9fZo=")</f>
        <v>#VALUE!</v>
      </c>
      <c r="EZ7" t="e">
        <f>AND(Master!P44,"AAAAADP9fZs=")</f>
        <v>#VALUE!</v>
      </c>
      <c r="FA7" t="e">
        <f>AND(Master!Q44,"AAAAADP9fZw=")</f>
        <v>#VALUE!</v>
      </c>
      <c r="FB7" t="e">
        <f>AND(Master!R44,"AAAAADP9fZ0=")</f>
        <v>#VALUE!</v>
      </c>
      <c r="FC7" t="e">
        <f>AND(Master!S44,"AAAAADP9fZ4=")</f>
        <v>#VALUE!</v>
      </c>
      <c r="FD7" t="e">
        <f>AND(Master!T44,"AAAAADP9fZ8=")</f>
        <v>#VALUE!</v>
      </c>
      <c r="FE7" t="e">
        <f>AND(Master!U44,"AAAAADP9faA=")</f>
        <v>#VALUE!</v>
      </c>
      <c r="FF7" t="e">
        <f>AND(Master!V44,"AAAAADP9faE=")</f>
        <v>#VALUE!</v>
      </c>
      <c r="FG7" t="e">
        <f>AND(Master!W44,"AAAAADP9faI=")</f>
        <v>#VALUE!</v>
      </c>
      <c r="FH7" t="e">
        <f>AND(Master!X44,"AAAAADP9faM=")</f>
        <v>#VALUE!</v>
      </c>
      <c r="FI7" t="e">
        <f>AND(Master!Y44,"AAAAADP9faQ=")</f>
        <v>#VALUE!</v>
      </c>
      <c r="FJ7" t="e">
        <f>AND(Master!Z44,"AAAAADP9faU=")</f>
        <v>#VALUE!</v>
      </c>
      <c r="FK7" t="e">
        <f>AND(Master!AA44,"AAAAADP9faY=")</f>
        <v>#VALUE!</v>
      </c>
      <c r="FL7" t="e">
        <f>AND(Master!AB44,"AAAAADP9fac=")</f>
        <v>#VALUE!</v>
      </c>
      <c r="FM7">
        <f>IF(Master!45:45,"AAAAADP9fag=",0)</f>
        <v>0</v>
      </c>
      <c r="FN7" t="e">
        <f>AND(Master!C45,"AAAAADP9fak=")</f>
        <v>#VALUE!</v>
      </c>
      <c r="FO7" t="e">
        <f>AND(Master!D45,"AAAAADP9fao=")</f>
        <v>#VALUE!</v>
      </c>
      <c r="FP7" t="e">
        <f>AND(Master!F45,"AAAAADP9fas=")</f>
        <v>#VALUE!</v>
      </c>
      <c r="FQ7" t="e">
        <f>AND(Master!H45,"AAAAADP9faw=")</f>
        <v>#VALUE!</v>
      </c>
      <c r="FR7" t="e">
        <f>AND(Master!J45,"AAAAADP9fa0=")</f>
        <v>#VALUE!</v>
      </c>
      <c r="FS7" t="e">
        <f>AND(Master!K45,"AAAAADP9fa4=")</f>
        <v>#VALUE!</v>
      </c>
      <c r="FT7" t="e">
        <f>AND(Master!L45,"AAAAADP9fa8=")</f>
        <v>#VALUE!</v>
      </c>
      <c r="FU7" t="e">
        <f>AND(Master!M45,"AAAAADP9fbA=")</f>
        <v>#VALUE!</v>
      </c>
      <c r="FV7" t="e">
        <f>AND(Master!N45,"AAAAADP9fbE=")</f>
        <v>#VALUE!</v>
      </c>
      <c r="FW7" t="e">
        <f>AND(Master!O45,"AAAAADP9fbI=")</f>
        <v>#VALUE!</v>
      </c>
      <c r="FX7" t="e">
        <f>AND(Master!P45,"AAAAADP9fbM=")</f>
        <v>#VALUE!</v>
      </c>
      <c r="FY7" t="e">
        <f>AND(Master!Q45,"AAAAADP9fbQ=")</f>
        <v>#VALUE!</v>
      </c>
      <c r="FZ7" t="e">
        <f>AND(Master!R45,"AAAAADP9fbU=")</f>
        <v>#VALUE!</v>
      </c>
      <c r="GA7" t="e">
        <f>AND(Master!S45,"AAAAADP9fbY=")</f>
        <v>#VALUE!</v>
      </c>
      <c r="GB7" t="e">
        <f>AND(Master!T45,"AAAAADP9fbc=")</f>
        <v>#VALUE!</v>
      </c>
      <c r="GC7" t="e">
        <f>AND(Master!U45,"AAAAADP9fbg=")</f>
        <v>#VALUE!</v>
      </c>
      <c r="GD7" t="e">
        <f>AND(Master!V45,"AAAAADP9fbk=")</f>
        <v>#VALUE!</v>
      </c>
      <c r="GE7" t="e">
        <f>AND(Master!W45,"AAAAADP9fbo=")</f>
        <v>#VALUE!</v>
      </c>
      <c r="GF7" t="e">
        <f>AND(Master!X45,"AAAAADP9fbs=")</f>
        <v>#VALUE!</v>
      </c>
      <c r="GG7" t="e">
        <f>AND(Master!Y45,"AAAAADP9fbw=")</f>
        <v>#VALUE!</v>
      </c>
      <c r="GH7" t="e">
        <f>AND(Master!Z45,"AAAAADP9fb0=")</f>
        <v>#VALUE!</v>
      </c>
      <c r="GI7" t="e">
        <f>AND(Master!AA45,"AAAAADP9fb4=")</f>
        <v>#VALUE!</v>
      </c>
      <c r="GJ7" t="e">
        <f>AND(Master!AB45,"AAAAADP9fb8=")</f>
        <v>#VALUE!</v>
      </c>
      <c r="GK7">
        <f>IF(Master!46:46,"AAAAADP9fcA=",0)</f>
        <v>0</v>
      </c>
      <c r="GL7" t="e">
        <f>AND(Master!C46,"AAAAADP9fcE=")</f>
        <v>#VALUE!</v>
      </c>
      <c r="GM7" t="e">
        <f>AND(Master!D46,"AAAAADP9fcI=")</f>
        <v>#VALUE!</v>
      </c>
      <c r="GN7" t="e">
        <f>AND(Master!F46,"AAAAADP9fcM=")</f>
        <v>#VALUE!</v>
      </c>
      <c r="GO7" t="e">
        <f>AND(Master!H46,"AAAAADP9fcQ=")</f>
        <v>#VALUE!</v>
      </c>
      <c r="GP7" t="e">
        <f>AND(Master!J46,"AAAAADP9fcU=")</f>
        <v>#VALUE!</v>
      </c>
      <c r="GQ7" t="e">
        <f>AND(Master!K46,"AAAAADP9fcY=")</f>
        <v>#VALUE!</v>
      </c>
      <c r="GR7" t="e">
        <f>AND(Master!L46,"AAAAADP9fcc=")</f>
        <v>#VALUE!</v>
      </c>
      <c r="GS7" t="e">
        <f>AND(Master!M46,"AAAAADP9fcg=")</f>
        <v>#VALUE!</v>
      </c>
      <c r="GT7" t="e">
        <f>AND(Master!N46,"AAAAADP9fck=")</f>
        <v>#VALUE!</v>
      </c>
      <c r="GU7" t="e">
        <f>AND(Master!O46,"AAAAADP9fco=")</f>
        <v>#VALUE!</v>
      </c>
      <c r="GV7" t="e">
        <f>AND(Master!P46,"AAAAADP9fcs=")</f>
        <v>#VALUE!</v>
      </c>
      <c r="GW7" t="e">
        <f>AND(Master!Q46,"AAAAADP9fcw=")</f>
        <v>#VALUE!</v>
      </c>
      <c r="GX7" t="e">
        <f>AND(Master!R46,"AAAAADP9fc0=")</f>
        <v>#VALUE!</v>
      </c>
      <c r="GY7" t="e">
        <f>AND(Master!S46,"AAAAADP9fc4=")</f>
        <v>#VALUE!</v>
      </c>
      <c r="GZ7" t="e">
        <f>AND(Master!T46,"AAAAADP9fc8=")</f>
        <v>#VALUE!</v>
      </c>
      <c r="HA7" t="e">
        <f>AND(Master!U46,"AAAAADP9fdA=")</f>
        <v>#VALUE!</v>
      </c>
      <c r="HB7" t="e">
        <f>AND(Master!V46,"AAAAADP9fdE=")</f>
        <v>#VALUE!</v>
      </c>
      <c r="HC7" t="e">
        <f>AND(Master!W46,"AAAAADP9fdI=")</f>
        <v>#VALUE!</v>
      </c>
      <c r="HD7" t="e">
        <f>AND(Master!X46,"AAAAADP9fdM=")</f>
        <v>#VALUE!</v>
      </c>
      <c r="HE7" t="e">
        <f>AND(Master!Y46,"AAAAADP9fdQ=")</f>
        <v>#VALUE!</v>
      </c>
      <c r="HF7" t="e">
        <f>AND(Master!Z46,"AAAAADP9fdU=")</f>
        <v>#VALUE!</v>
      </c>
      <c r="HG7" t="e">
        <f>AND(Master!AA46,"AAAAADP9fdY=")</f>
        <v>#VALUE!</v>
      </c>
      <c r="HH7" t="e">
        <f>AND(Master!AB46,"AAAAADP9fdc=")</f>
        <v>#VALUE!</v>
      </c>
      <c r="HI7">
        <f>IF(Master!47:47,"AAAAADP9fdg=",0)</f>
        <v>0</v>
      </c>
      <c r="HJ7" t="e">
        <f>AND(Master!C47,"AAAAADP9fdk=")</f>
        <v>#VALUE!</v>
      </c>
      <c r="HK7" t="e">
        <f>AND(Master!D47,"AAAAADP9fdo=")</f>
        <v>#VALUE!</v>
      </c>
      <c r="HL7" t="e">
        <f>AND(Master!F47,"AAAAADP9fds=")</f>
        <v>#VALUE!</v>
      </c>
      <c r="HM7" t="e">
        <f>AND(Master!H47,"AAAAADP9fdw=")</f>
        <v>#VALUE!</v>
      </c>
      <c r="HN7" t="e">
        <f>AND(Master!J47,"AAAAADP9fd0=")</f>
        <v>#VALUE!</v>
      </c>
      <c r="HO7" t="e">
        <f>AND(Master!K47,"AAAAADP9fd4=")</f>
        <v>#VALUE!</v>
      </c>
      <c r="HP7" t="e">
        <f>AND(Master!L47,"AAAAADP9fd8=")</f>
        <v>#VALUE!</v>
      </c>
      <c r="HQ7" t="e">
        <f>AND(Master!M47,"AAAAADP9feA=")</f>
        <v>#VALUE!</v>
      </c>
      <c r="HR7" t="e">
        <f>AND(Master!N47,"AAAAADP9feE=")</f>
        <v>#VALUE!</v>
      </c>
      <c r="HS7" t="e">
        <f>AND(Master!O47,"AAAAADP9feI=")</f>
        <v>#VALUE!</v>
      </c>
      <c r="HT7" t="e">
        <f>AND(Master!P47,"AAAAADP9feM=")</f>
        <v>#VALUE!</v>
      </c>
      <c r="HU7" t="e">
        <f>AND(Master!Q47,"AAAAADP9feQ=")</f>
        <v>#VALUE!</v>
      </c>
      <c r="HV7" t="e">
        <f>AND(Master!R47,"AAAAADP9feU=")</f>
        <v>#VALUE!</v>
      </c>
      <c r="HW7" t="e">
        <f>AND(Master!S47,"AAAAADP9feY=")</f>
        <v>#VALUE!</v>
      </c>
      <c r="HX7" t="e">
        <f>AND(Master!T47,"AAAAADP9fec=")</f>
        <v>#VALUE!</v>
      </c>
      <c r="HY7" t="e">
        <f>AND(Master!U47,"AAAAADP9feg=")</f>
        <v>#VALUE!</v>
      </c>
      <c r="HZ7" t="e">
        <f>AND(Master!V47,"AAAAADP9fek=")</f>
        <v>#VALUE!</v>
      </c>
      <c r="IA7" t="e">
        <f>AND(Master!W47,"AAAAADP9feo=")</f>
        <v>#VALUE!</v>
      </c>
      <c r="IB7" t="e">
        <f>AND(Master!X47,"AAAAADP9fes=")</f>
        <v>#VALUE!</v>
      </c>
      <c r="IC7" t="e">
        <f>AND(Master!Y47,"AAAAADP9few=")</f>
        <v>#VALUE!</v>
      </c>
      <c r="ID7" t="e">
        <f>AND(Master!Z47,"AAAAADP9fe0=")</f>
        <v>#VALUE!</v>
      </c>
      <c r="IE7" t="e">
        <f>AND(Master!AA47,"AAAAADP9fe4=")</f>
        <v>#VALUE!</v>
      </c>
      <c r="IF7" t="e">
        <f>AND(Master!AB47,"AAAAADP9fe8=")</f>
        <v>#VALUE!</v>
      </c>
      <c r="IG7">
        <f>IF(Master!48:48,"AAAAADP9ffA=",0)</f>
        <v>0</v>
      </c>
      <c r="IH7" t="e">
        <f>AND(Master!C48,"AAAAADP9ffE=")</f>
        <v>#VALUE!</v>
      </c>
      <c r="II7" t="e">
        <f>AND(Master!D48,"AAAAADP9ffI=")</f>
        <v>#VALUE!</v>
      </c>
      <c r="IJ7" t="e">
        <f>AND(Master!F48,"AAAAADP9ffM=")</f>
        <v>#VALUE!</v>
      </c>
      <c r="IK7" t="e">
        <f>AND(Master!H48,"AAAAADP9ffQ=")</f>
        <v>#VALUE!</v>
      </c>
      <c r="IL7" t="e">
        <f>AND(Master!J48,"AAAAADP9ffU=")</f>
        <v>#VALUE!</v>
      </c>
      <c r="IM7" t="e">
        <f>AND(Master!K48,"AAAAADP9ffY=")</f>
        <v>#VALUE!</v>
      </c>
      <c r="IN7" t="e">
        <f>AND(Master!L48,"AAAAADP9ffc=")</f>
        <v>#VALUE!</v>
      </c>
      <c r="IO7" t="e">
        <f>AND(Master!M48,"AAAAADP9ffg=")</f>
        <v>#VALUE!</v>
      </c>
      <c r="IP7" t="e">
        <f>AND(Master!N48,"AAAAADP9ffk=")</f>
        <v>#VALUE!</v>
      </c>
      <c r="IQ7" t="e">
        <f>AND(Master!O48,"AAAAADP9ffo=")</f>
        <v>#VALUE!</v>
      </c>
      <c r="IR7" t="e">
        <f>AND(Master!P48,"AAAAADP9ffs=")</f>
        <v>#VALUE!</v>
      </c>
      <c r="IS7" t="e">
        <f>AND(Master!Q48,"AAAAADP9ffw=")</f>
        <v>#VALUE!</v>
      </c>
      <c r="IT7" t="e">
        <f>AND(Master!R48,"AAAAADP9ff0=")</f>
        <v>#VALUE!</v>
      </c>
      <c r="IU7" t="e">
        <f>AND(Master!S48,"AAAAADP9ff4=")</f>
        <v>#VALUE!</v>
      </c>
      <c r="IV7" t="e">
        <f>AND(Master!T48,"AAAAADP9ff8=")</f>
        <v>#VALUE!</v>
      </c>
    </row>
    <row r="8" spans="1:256" x14ac:dyDescent="0.25">
      <c r="A8" t="e">
        <f>AND(Master!U48,"AAAAAH83PgA=")</f>
        <v>#VALUE!</v>
      </c>
      <c r="B8" t="e">
        <f>AND(Master!V48,"AAAAAH83PgE=")</f>
        <v>#VALUE!</v>
      </c>
      <c r="C8" t="e">
        <f>AND(Master!W48,"AAAAAH83PgI=")</f>
        <v>#VALUE!</v>
      </c>
      <c r="D8" t="e">
        <f>AND(Master!X48,"AAAAAH83PgM=")</f>
        <v>#VALUE!</v>
      </c>
      <c r="E8" t="e">
        <f>AND(Master!Y48,"AAAAAH83PgQ=")</f>
        <v>#VALUE!</v>
      </c>
      <c r="F8" t="e">
        <f>AND(Master!Z48,"AAAAAH83PgU=")</f>
        <v>#VALUE!</v>
      </c>
      <c r="G8" t="e">
        <f>AND(Master!AA48,"AAAAAH83PgY=")</f>
        <v>#VALUE!</v>
      </c>
      <c r="H8" t="e">
        <f>AND(Master!AB48,"AAAAAH83Pgc=")</f>
        <v>#VALUE!</v>
      </c>
      <c r="I8">
        <f>IF(Master!61:61,"AAAAAH83Pgg=",0)</f>
        <v>0</v>
      </c>
      <c r="J8" t="e">
        <f>AND(Master!C61,"AAAAAH83Pgk=")</f>
        <v>#VALUE!</v>
      </c>
      <c r="K8" t="e">
        <f>AND(Master!D61,"AAAAAH83Pgo=")</f>
        <v>#VALUE!</v>
      </c>
      <c r="L8" t="e">
        <f>AND(Master!F61,"AAAAAH83Pgs=")</f>
        <v>#VALUE!</v>
      </c>
      <c r="M8" t="e">
        <f>AND(Master!H61,"AAAAAH83Pgw=")</f>
        <v>#VALUE!</v>
      </c>
      <c r="N8" t="e">
        <f>AND(Master!J61,"AAAAAH83Pg0=")</f>
        <v>#VALUE!</v>
      </c>
      <c r="O8" t="e">
        <f>AND(Master!K61,"AAAAAH83Pg4=")</f>
        <v>#VALUE!</v>
      </c>
      <c r="P8" t="e">
        <f>AND(Master!L61,"AAAAAH83Pg8=")</f>
        <v>#VALUE!</v>
      </c>
      <c r="Q8" t="e">
        <f>AND(Master!M61,"AAAAAH83PhA=")</f>
        <v>#VALUE!</v>
      </c>
      <c r="R8" t="e">
        <f>AND(Master!N61,"AAAAAH83PhE=")</f>
        <v>#VALUE!</v>
      </c>
      <c r="S8" t="e">
        <f>AND(Master!O61,"AAAAAH83PhI=")</f>
        <v>#VALUE!</v>
      </c>
      <c r="T8" t="e">
        <f>AND(Master!P61,"AAAAAH83PhM=")</f>
        <v>#VALUE!</v>
      </c>
      <c r="U8" t="e">
        <f>AND(Master!Q61,"AAAAAH83PhQ=")</f>
        <v>#VALUE!</v>
      </c>
      <c r="V8" t="e">
        <f>AND(Master!R61,"AAAAAH83PhU=")</f>
        <v>#VALUE!</v>
      </c>
      <c r="W8" t="e">
        <f>AND(Master!S61,"AAAAAH83PhY=")</f>
        <v>#VALUE!</v>
      </c>
      <c r="X8" t="e">
        <f>AND(Master!T61,"AAAAAH83Phc=")</f>
        <v>#VALUE!</v>
      </c>
      <c r="Y8" t="e">
        <f>AND(Master!U61,"AAAAAH83Phg=")</f>
        <v>#VALUE!</v>
      </c>
      <c r="Z8" t="e">
        <f>AND(Master!V61,"AAAAAH83Phk=")</f>
        <v>#VALUE!</v>
      </c>
      <c r="AA8" t="e">
        <f>AND(Master!W61,"AAAAAH83Pho=")</f>
        <v>#VALUE!</v>
      </c>
      <c r="AB8" t="e">
        <f>AND(Master!X61,"AAAAAH83Phs=")</f>
        <v>#VALUE!</v>
      </c>
      <c r="AC8" t="e">
        <f>AND(Master!Y61,"AAAAAH83Phw=")</f>
        <v>#VALUE!</v>
      </c>
      <c r="AD8" t="e">
        <f>AND(Master!Z61,"AAAAAH83Ph0=")</f>
        <v>#VALUE!</v>
      </c>
      <c r="AE8" t="e">
        <f>AND(Master!AA61,"AAAAAH83Ph4=")</f>
        <v>#VALUE!</v>
      </c>
      <c r="AF8" t="e">
        <f>AND(Master!AB61,"AAAAAH83Ph8=")</f>
        <v>#VALUE!</v>
      </c>
      <c r="AG8">
        <f>IF(Master!62:62,"AAAAAH83PiA=",0)</f>
        <v>0</v>
      </c>
      <c r="AH8" t="e">
        <f>AND(Master!C62,"AAAAAH83PiE=")</f>
        <v>#VALUE!</v>
      </c>
      <c r="AI8" t="e">
        <f>AND(Master!D62,"AAAAAH83PiI=")</f>
        <v>#VALUE!</v>
      </c>
      <c r="AJ8" t="e">
        <f>AND(Master!F62,"AAAAAH83PiM=")</f>
        <v>#VALUE!</v>
      </c>
      <c r="AK8" t="e">
        <f>AND(Master!H62,"AAAAAH83PiQ=")</f>
        <v>#VALUE!</v>
      </c>
      <c r="AL8" t="e">
        <f>AND(Master!J62,"AAAAAH83PiU=")</f>
        <v>#VALUE!</v>
      </c>
      <c r="AM8" t="e">
        <f>AND(Master!K62,"AAAAAH83PiY=")</f>
        <v>#VALUE!</v>
      </c>
      <c r="AN8" t="e">
        <f>AND(Master!L62,"AAAAAH83Pic=")</f>
        <v>#VALUE!</v>
      </c>
      <c r="AO8" t="e">
        <f>AND(Master!M62,"AAAAAH83Pig=")</f>
        <v>#VALUE!</v>
      </c>
      <c r="AP8" t="e">
        <f>AND(Master!N62,"AAAAAH83Pik=")</f>
        <v>#VALUE!</v>
      </c>
      <c r="AQ8" t="e">
        <f>AND(Master!O62,"AAAAAH83Pio=")</f>
        <v>#VALUE!</v>
      </c>
      <c r="AR8" t="e">
        <f>AND(Master!P62,"AAAAAH83Pis=")</f>
        <v>#VALUE!</v>
      </c>
      <c r="AS8" t="e">
        <f>AND(Master!Q62,"AAAAAH83Piw=")</f>
        <v>#VALUE!</v>
      </c>
      <c r="AT8" t="e">
        <f>AND(Master!R62,"AAAAAH83Pi0=")</f>
        <v>#VALUE!</v>
      </c>
      <c r="AU8" t="e">
        <f>AND(Master!S62,"AAAAAH83Pi4=")</f>
        <v>#VALUE!</v>
      </c>
      <c r="AV8" t="e">
        <f>AND(Master!T62,"AAAAAH83Pi8=")</f>
        <v>#VALUE!</v>
      </c>
      <c r="AW8" t="e">
        <f>AND(Master!U62,"AAAAAH83PjA=")</f>
        <v>#VALUE!</v>
      </c>
      <c r="AX8" t="e">
        <f>AND(Master!V62,"AAAAAH83PjE=")</f>
        <v>#VALUE!</v>
      </c>
      <c r="AY8" t="e">
        <f>AND(Master!W62,"AAAAAH83PjI=")</f>
        <v>#VALUE!</v>
      </c>
      <c r="AZ8" t="e">
        <f>AND(Master!X62,"AAAAAH83PjM=")</f>
        <v>#VALUE!</v>
      </c>
      <c r="BA8" t="e">
        <f>AND(Master!Y62,"AAAAAH83PjQ=")</f>
        <v>#VALUE!</v>
      </c>
      <c r="BB8" t="e">
        <f>AND(Master!Z62,"AAAAAH83PjU=")</f>
        <v>#VALUE!</v>
      </c>
      <c r="BC8" t="e">
        <f>AND(Master!AA62,"AAAAAH83PjY=")</f>
        <v>#VALUE!</v>
      </c>
      <c r="BD8" t="e">
        <f>AND(Master!AB62,"AAAAAH83Pjc=")</f>
        <v>#VALUE!</v>
      </c>
      <c r="BE8">
        <f>IF(Master!63:63,"AAAAAH83Pjg=",0)</f>
        <v>0</v>
      </c>
      <c r="BF8" t="e">
        <f>AND(Master!C63,"AAAAAH83Pjk=")</f>
        <v>#VALUE!</v>
      </c>
      <c r="BG8" t="e">
        <f>AND(Master!D63,"AAAAAH83Pjo=")</f>
        <v>#VALUE!</v>
      </c>
      <c r="BH8" t="e">
        <f>AND(Master!F63,"AAAAAH83Pjs=")</f>
        <v>#VALUE!</v>
      </c>
      <c r="BI8" t="e">
        <f>AND(Master!H63,"AAAAAH83Pjw=")</f>
        <v>#VALUE!</v>
      </c>
      <c r="BJ8" t="e">
        <f>AND(Master!J63,"AAAAAH83Pj0=")</f>
        <v>#VALUE!</v>
      </c>
      <c r="BK8" t="e">
        <f>AND(Master!K63,"AAAAAH83Pj4=")</f>
        <v>#VALUE!</v>
      </c>
      <c r="BL8" t="e">
        <f>AND(Master!L63,"AAAAAH83Pj8=")</f>
        <v>#VALUE!</v>
      </c>
      <c r="BM8" t="e">
        <f>AND(Master!M63,"AAAAAH83PkA=")</f>
        <v>#VALUE!</v>
      </c>
      <c r="BN8" t="e">
        <f>AND(Master!N63,"AAAAAH83PkE=")</f>
        <v>#VALUE!</v>
      </c>
      <c r="BO8" t="e">
        <f>AND(Master!O63,"AAAAAH83PkI=")</f>
        <v>#VALUE!</v>
      </c>
      <c r="BP8" t="e">
        <f>AND(Master!P63,"AAAAAH83PkM=")</f>
        <v>#VALUE!</v>
      </c>
      <c r="BQ8" t="e">
        <f>AND(Master!Q63,"AAAAAH83PkQ=")</f>
        <v>#VALUE!</v>
      </c>
      <c r="BR8" t="e">
        <f>AND(Master!R63,"AAAAAH83PkU=")</f>
        <v>#VALUE!</v>
      </c>
      <c r="BS8" t="e">
        <f>AND(Master!S63,"AAAAAH83PkY=")</f>
        <v>#VALUE!</v>
      </c>
      <c r="BT8" t="e">
        <f>AND(Master!T63,"AAAAAH83Pkc=")</f>
        <v>#VALUE!</v>
      </c>
      <c r="BU8" t="e">
        <f>AND(Master!U63,"AAAAAH83Pkg=")</f>
        <v>#VALUE!</v>
      </c>
      <c r="BV8" t="e">
        <f>AND(Master!V63,"AAAAAH83Pkk=")</f>
        <v>#VALUE!</v>
      </c>
      <c r="BW8" t="e">
        <f>AND(Master!W63,"AAAAAH83Pko=")</f>
        <v>#VALUE!</v>
      </c>
      <c r="BX8" t="e">
        <f>AND(Master!X63,"AAAAAH83Pks=")</f>
        <v>#VALUE!</v>
      </c>
      <c r="BY8" t="e">
        <f>AND(Master!Y63,"AAAAAH83Pkw=")</f>
        <v>#VALUE!</v>
      </c>
      <c r="BZ8" t="e">
        <f>AND(Master!Z63,"AAAAAH83Pk0=")</f>
        <v>#VALUE!</v>
      </c>
      <c r="CA8" t="e">
        <f>AND(Master!AA63,"AAAAAH83Pk4=")</f>
        <v>#VALUE!</v>
      </c>
      <c r="CB8" t="e">
        <f>AND(Master!AB63,"AAAAAH83Pk8=")</f>
        <v>#VALUE!</v>
      </c>
      <c r="CC8">
        <f>IF(Master!64:64,"AAAAAH83PlA=",0)</f>
        <v>0</v>
      </c>
      <c r="CD8" t="e">
        <f>AND(Master!C64,"AAAAAH83PlE=")</f>
        <v>#VALUE!</v>
      </c>
      <c r="CE8" t="e">
        <f>AND(Master!D64,"AAAAAH83PlI=")</f>
        <v>#VALUE!</v>
      </c>
      <c r="CF8" t="e">
        <f>AND(Master!F64,"AAAAAH83PlM=")</f>
        <v>#VALUE!</v>
      </c>
      <c r="CG8" t="e">
        <f>AND(Master!H64,"AAAAAH83PlQ=")</f>
        <v>#VALUE!</v>
      </c>
      <c r="CH8" t="e">
        <f>AND(Master!J64,"AAAAAH83PlU=")</f>
        <v>#VALUE!</v>
      </c>
      <c r="CI8" t="e">
        <f>AND(Master!K64,"AAAAAH83PlY=")</f>
        <v>#VALUE!</v>
      </c>
      <c r="CJ8" t="e">
        <f>AND(Master!L64,"AAAAAH83Plc=")</f>
        <v>#VALUE!</v>
      </c>
      <c r="CK8" t="e">
        <f>AND(Master!M64,"AAAAAH83Plg=")</f>
        <v>#VALUE!</v>
      </c>
      <c r="CL8" t="e">
        <f>AND(Master!N64,"AAAAAH83Plk=")</f>
        <v>#VALUE!</v>
      </c>
      <c r="CM8" t="e">
        <f>AND(Master!O64,"AAAAAH83Plo=")</f>
        <v>#VALUE!</v>
      </c>
      <c r="CN8" t="e">
        <f>AND(Master!P64,"AAAAAH83Pls=")</f>
        <v>#VALUE!</v>
      </c>
      <c r="CO8" t="e">
        <f>AND(Master!Q64,"AAAAAH83Plw=")</f>
        <v>#VALUE!</v>
      </c>
      <c r="CP8" t="e">
        <f>AND(Master!R64,"AAAAAH83Pl0=")</f>
        <v>#VALUE!</v>
      </c>
      <c r="CQ8" t="e">
        <f>AND(Master!S64,"AAAAAH83Pl4=")</f>
        <v>#VALUE!</v>
      </c>
      <c r="CR8" t="e">
        <f>AND(Master!T64,"AAAAAH83Pl8=")</f>
        <v>#VALUE!</v>
      </c>
      <c r="CS8" t="e">
        <f>AND(Master!U64,"AAAAAH83PmA=")</f>
        <v>#VALUE!</v>
      </c>
      <c r="CT8" t="e">
        <f>AND(Master!V64,"AAAAAH83PmE=")</f>
        <v>#VALUE!</v>
      </c>
      <c r="CU8" t="e">
        <f>AND(Master!W64,"AAAAAH83PmI=")</f>
        <v>#VALUE!</v>
      </c>
      <c r="CV8" t="e">
        <f>AND(Master!X64,"AAAAAH83PmM=")</f>
        <v>#VALUE!</v>
      </c>
      <c r="CW8" t="e">
        <f>AND(Master!Y64,"AAAAAH83PmQ=")</f>
        <v>#VALUE!</v>
      </c>
      <c r="CX8" t="e">
        <f>AND(Master!Z64,"AAAAAH83PmU=")</f>
        <v>#VALUE!</v>
      </c>
      <c r="CY8" t="e">
        <f>AND(Master!AA64,"AAAAAH83PmY=")</f>
        <v>#VALUE!</v>
      </c>
      <c r="CZ8" t="e">
        <f>AND(Master!AB64,"AAAAAH83Pmc=")</f>
        <v>#VALUE!</v>
      </c>
      <c r="DA8">
        <f>IF(Master!65:65,"AAAAAH83Pmg=",0)</f>
        <v>0</v>
      </c>
      <c r="DB8" t="e">
        <f>AND(Master!C65,"AAAAAH83Pmk=")</f>
        <v>#VALUE!</v>
      </c>
      <c r="DC8" t="e">
        <f>AND(Master!D65,"AAAAAH83Pmo=")</f>
        <v>#VALUE!</v>
      </c>
      <c r="DD8" t="e">
        <f>AND(Master!F65,"AAAAAH83Pms=")</f>
        <v>#VALUE!</v>
      </c>
      <c r="DE8" t="e">
        <f>AND(Master!H65,"AAAAAH83Pmw=")</f>
        <v>#VALUE!</v>
      </c>
      <c r="DF8" t="e">
        <f>AND(Master!J65,"AAAAAH83Pm0=")</f>
        <v>#VALUE!</v>
      </c>
      <c r="DG8" t="e">
        <f>AND(Master!K65,"AAAAAH83Pm4=")</f>
        <v>#VALUE!</v>
      </c>
      <c r="DH8" t="e">
        <f>AND(Master!L65,"AAAAAH83Pm8=")</f>
        <v>#VALUE!</v>
      </c>
      <c r="DI8" t="e">
        <f>AND(Master!M65,"AAAAAH83PnA=")</f>
        <v>#VALUE!</v>
      </c>
      <c r="DJ8" t="e">
        <f>AND(Master!N65,"AAAAAH83PnE=")</f>
        <v>#VALUE!</v>
      </c>
      <c r="DK8" t="e">
        <f>AND(Master!O65,"AAAAAH83PnI=")</f>
        <v>#VALUE!</v>
      </c>
      <c r="DL8" t="e">
        <f>AND(Master!P65,"AAAAAH83PnM=")</f>
        <v>#VALUE!</v>
      </c>
      <c r="DM8" t="e">
        <f>AND(Master!Q65,"AAAAAH83PnQ=")</f>
        <v>#VALUE!</v>
      </c>
      <c r="DN8" t="e">
        <f>AND(Master!R65,"AAAAAH83PnU=")</f>
        <v>#VALUE!</v>
      </c>
      <c r="DO8" t="e">
        <f>AND(Master!S65,"AAAAAH83PnY=")</f>
        <v>#VALUE!</v>
      </c>
      <c r="DP8" t="e">
        <f>AND(Master!T65,"AAAAAH83Pnc=")</f>
        <v>#VALUE!</v>
      </c>
      <c r="DQ8" t="e">
        <f>AND(Master!U65,"AAAAAH83Png=")</f>
        <v>#VALUE!</v>
      </c>
      <c r="DR8" t="e">
        <f>AND(Master!V65,"AAAAAH83Pnk=")</f>
        <v>#VALUE!</v>
      </c>
      <c r="DS8" t="e">
        <f>AND(Master!W65,"AAAAAH83Pno=")</f>
        <v>#VALUE!</v>
      </c>
      <c r="DT8" t="e">
        <f>AND(Master!X65,"AAAAAH83Pns=")</f>
        <v>#VALUE!</v>
      </c>
      <c r="DU8" t="e">
        <f>AND(Master!Y65,"AAAAAH83Pnw=")</f>
        <v>#VALUE!</v>
      </c>
      <c r="DV8" t="e">
        <f>AND(Master!Z65,"AAAAAH83Pn0=")</f>
        <v>#VALUE!</v>
      </c>
      <c r="DW8" t="e">
        <f>AND(Master!AA65,"AAAAAH83Pn4=")</f>
        <v>#VALUE!</v>
      </c>
      <c r="DX8" t="e">
        <f>AND(Master!AB65,"AAAAAH83Pn8=")</f>
        <v>#VALUE!</v>
      </c>
      <c r="DY8">
        <f>IF(Master!66:66,"AAAAAH83PoA=",0)</f>
        <v>0</v>
      </c>
      <c r="DZ8" t="e">
        <f>AND(Master!C66,"AAAAAH83PoE=")</f>
        <v>#VALUE!</v>
      </c>
      <c r="EA8" t="e">
        <f>AND(Master!D66,"AAAAAH83PoI=")</f>
        <v>#VALUE!</v>
      </c>
      <c r="EB8" t="e">
        <f>AND(Master!F66,"AAAAAH83PoM=")</f>
        <v>#VALUE!</v>
      </c>
      <c r="EC8" t="e">
        <f>AND(Master!H66,"AAAAAH83PoQ=")</f>
        <v>#VALUE!</v>
      </c>
      <c r="ED8" t="e">
        <f>AND(Master!J66,"AAAAAH83PoU=")</f>
        <v>#VALUE!</v>
      </c>
      <c r="EE8" t="e">
        <f>AND(Master!K66,"AAAAAH83PoY=")</f>
        <v>#VALUE!</v>
      </c>
      <c r="EF8" t="e">
        <f>AND(Master!L66,"AAAAAH83Poc=")</f>
        <v>#VALUE!</v>
      </c>
      <c r="EG8" t="e">
        <f>AND(Master!M66,"AAAAAH83Pog=")</f>
        <v>#VALUE!</v>
      </c>
      <c r="EH8" t="e">
        <f>AND(Master!N66,"AAAAAH83Pok=")</f>
        <v>#VALUE!</v>
      </c>
      <c r="EI8" t="e">
        <f>AND(Master!O66,"AAAAAH83Poo=")</f>
        <v>#VALUE!</v>
      </c>
      <c r="EJ8" t="e">
        <f>AND(Master!P66,"AAAAAH83Pos=")</f>
        <v>#VALUE!</v>
      </c>
      <c r="EK8" t="e">
        <f>AND(Master!Q66,"AAAAAH83Pow=")</f>
        <v>#VALUE!</v>
      </c>
      <c r="EL8" t="e">
        <f>AND(Master!R66,"AAAAAH83Po0=")</f>
        <v>#VALUE!</v>
      </c>
      <c r="EM8" t="e">
        <f>AND(Master!S66,"AAAAAH83Po4=")</f>
        <v>#VALUE!</v>
      </c>
      <c r="EN8" t="e">
        <f>AND(Master!T66,"AAAAAH83Po8=")</f>
        <v>#VALUE!</v>
      </c>
      <c r="EO8" t="e">
        <f>AND(Master!U66,"AAAAAH83PpA=")</f>
        <v>#VALUE!</v>
      </c>
      <c r="EP8" t="e">
        <f>AND(Master!V66,"AAAAAH83PpE=")</f>
        <v>#VALUE!</v>
      </c>
      <c r="EQ8" t="e">
        <f>AND(Master!W66,"AAAAAH83PpI=")</f>
        <v>#VALUE!</v>
      </c>
      <c r="ER8" t="e">
        <f>AND(Master!X66,"AAAAAH83PpM=")</f>
        <v>#VALUE!</v>
      </c>
      <c r="ES8" t="e">
        <f>AND(Master!Y66,"AAAAAH83PpQ=")</f>
        <v>#VALUE!</v>
      </c>
      <c r="ET8" t="e">
        <f>AND(Master!Z66,"AAAAAH83PpU=")</f>
        <v>#VALUE!</v>
      </c>
      <c r="EU8" t="e">
        <f>AND(Master!AA66,"AAAAAH83PpY=")</f>
        <v>#VALUE!</v>
      </c>
      <c r="EV8" t="e">
        <f>AND(Master!AB66,"AAAAAH83Ppc=")</f>
        <v>#VALUE!</v>
      </c>
      <c r="EW8">
        <f>IF(Master!67:67,"AAAAAH83Ppg=",0)</f>
        <v>0</v>
      </c>
      <c r="EX8" t="e">
        <f>AND(Master!C67,"AAAAAH83Ppk=")</f>
        <v>#VALUE!</v>
      </c>
      <c r="EY8" t="e">
        <f>AND(Master!D67,"AAAAAH83Ppo=")</f>
        <v>#VALUE!</v>
      </c>
      <c r="EZ8" t="e">
        <f>AND(Master!F67,"AAAAAH83Pps=")</f>
        <v>#VALUE!</v>
      </c>
      <c r="FA8" t="e">
        <f>AND(Master!H67,"AAAAAH83Ppw=")</f>
        <v>#VALUE!</v>
      </c>
      <c r="FB8" t="e">
        <f>AND(Master!J67,"AAAAAH83Pp0=")</f>
        <v>#VALUE!</v>
      </c>
      <c r="FC8" t="e">
        <f>AND(Master!K67,"AAAAAH83Pp4=")</f>
        <v>#VALUE!</v>
      </c>
      <c r="FD8" t="e">
        <f>AND(Master!L67,"AAAAAH83Pp8=")</f>
        <v>#VALUE!</v>
      </c>
      <c r="FE8" t="e">
        <f>AND(Master!M67,"AAAAAH83PqA=")</f>
        <v>#VALUE!</v>
      </c>
      <c r="FF8" t="e">
        <f>AND(Master!N67,"AAAAAH83PqE=")</f>
        <v>#VALUE!</v>
      </c>
      <c r="FG8" t="e">
        <f>AND(Master!O67,"AAAAAH83PqI=")</f>
        <v>#VALUE!</v>
      </c>
      <c r="FH8" t="e">
        <f>AND(Master!P67,"AAAAAH83PqM=")</f>
        <v>#VALUE!</v>
      </c>
      <c r="FI8" t="e">
        <f>AND(Master!Q67,"AAAAAH83PqQ=")</f>
        <v>#VALUE!</v>
      </c>
      <c r="FJ8" t="e">
        <f>AND(Master!R67,"AAAAAH83PqU=")</f>
        <v>#VALUE!</v>
      </c>
      <c r="FK8" t="e">
        <f>AND(Master!S67,"AAAAAH83PqY=")</f>
        <v>#VALUE!</v>
      </c>
      <c r="FL8" t="e">
        <f>AND(Master!T67,"AAAAAH83Pqc=")</f>
        <v>#VALUE!</v>
      </c>
      <c r="FM8" t="e">
        <f>AND(Master!U67,"AAAAAH83Pqg=")</f>
        <v>#VALUE!</v>
      </c>
      <c r="FN8" t="e">
        <f>AND(Master!V67,"AAAAAH83Pqk=")</f>
        <v>#VALUE!</v>
      </c>
      <c r="FO8" t="e">
        <f>AND(Master!W67,"AAAAAH83Pqo=")</f>
        <v>#VALUE!</v>
      </c>
      <c r="FP8" t="e">
        <f>AND(Master!X67,"AAAAAH83Pqs=")</f>
        <v>#VALUE!</v>
      </c>
      <c r="FQ8" t="e">
        <f>AND(Master!Y67,"AAAAAH83Pqw=")</f>
        <v>#VALUE!</v>
      </c>
      <c r="FR8" t="e">
        <f>AND(Master!Z67,"AAAAAH83Pq0=")</f>
        <v>#VALUE!</v>
      </c>
      <c r="FS8" t="e">
        <f>AND(Master!AA67,"AAAAAH83Pq4=")</f>
        <v>#VALUE!</v>
      </c>
      <c r="FT8" t="e">
        <f>AND(Master!AB67,"AAAAAH83Pq8=")</f>
        <v>#VALUE!</v>
      </c>
      <c r="FU8">
        <f>IF(Master!68:68,"AAAAAH83PrA=",0)</f>
        <v>0</v>
      </c>
      <c r="FV8" t="e">
        <f>AND(Master!C68,"AAAAAH83PrE=")</f>
        <v>#VALUE!</v>
      </c>
      <c r="FW8" t="e">
        <f>AND(Master!D68,"AAAAAH83PrI=")</f>
        <v>#VALUE!</v>
      </c>
      <c r="FX8" t="e">
        <f>AND(Master!F68,"AAAAAH83PrM=")</f>
        <v>#VALUE!</v>
      </c>
      <c r="FY8" t="e">
        <f>AND(Master!H68,"AAAAAH83PrQ=")</f>
        <v>#VALUE!</v>
      </c>
      <c r="FZ8" t="e">
        <f>AND(Master!J68,"AAAAAH83PrU=")</f>
        <v>#VALUE!</v>
      </c>
      <c r="GA8" t="e">
        <f>AND(Master!K68,"AAAAAH83PrY=")</f>
        <v>#VALUE!</v>
      </c>
      <c r="GB8" t="e">
        <f>AND(Master!L68,"AAAAAH83Prc=")</f>
        <v>#VALUE!</v>
      </c>
      <c r="GC8" t="e">
        <f>AND(Master!M68,"AAAAAH83Prg=")</f>
        <v>#VALUE!</v>
      </c>
      <c r="GD8" t="e">
        <f>AND(Master!N68,"AAAAAH83Prk=")</f>
        <v>#VALUE!</v>
      </c>
      <c r="GE8" t="e">
        <f>AND(Master!O68,"AAAAAH83Pro=")</f>
        <v>#VALUE!</v>
      </c>
      <c r="GF8" t="e">
        <f>AND(Master!P68,"AAAAAH83Prs=")</f>
        <v>#VALUE!</v>
      </c>
      <c r="GG8" t="e">
        <f>AND(Master!Q68,"AAAAAH83Prw=")</f>
        <v>#VALUE!</v>
      </c>
      <c r="GH8" t="e">
        <f>AND(Master!R68,"AAAAAH83Pr0=")</f>
        <v>#VALUE!</v>
      </c>
      <c r="GI8" t="e">
        <f>AND(Master!S68,"AAAAAH83Pr4=")</f>
        <v>#VALUE!</v>
      </c>
      <c r="GJ8" t="e">
        <f>AND(Master!T68,"AAAAAH83Pr8=")</f>
        <v>#VALUE!</v>
      </c>
      <c r="GK8" t="e">
        <f>AND(Master!U68,"AAAAAH83PsA=")</f>
        <v>#VALUE!</v>
      </c>
      <c r="GL8" t="e">
        <f>AND(Master!V68,"AAAAAH83PsE=")</f>
        <v>#VALUE!</v>
      </c>
      <c r="GM8" t="e">
        <f>AND(Master!W68,"AAAAAH83PsI=")</f>
        <v>#VALUE!</v>
      </c>
      <c r="GN8" t="e">
        <f>AND(Master!X68,"AAAAAH83PsM=")</f>
        <v>#VALUE!</v>
      </c>
      <c r="GO8" t="e">
        <f>AND(Master!Y68,"AAAAAH83PsQ=")</f>
        <v>#VALUE!</v>
      </c>
      <c r="GP8" t="e">
        <f>AND(Master!Z68,"AAAAAH83PsU=")</f>
        <v>#VALUE!</v>
      </c>
      <c r="GQ8" t="e">
        <f>AND(Master!AA68,"AAAAAH83PsY=")</f>
        <v>#VALUE!</v>
      </c>
      <c r="GR8" t="e">
        <f>AND(Master!AB68,"AAAAAH83Psc=")</f>
        <v>#VALUE!</v>
      </c>
      <c r="GS8">
        <f>IF(Master!69:69,"AAAAAH83Psg=",0)</f>
        <v>0</v>
      </c>
      <c r="GT8" t="e">
        <f>AND(Master!C69,"AAAAAH83Psk=")</f>
        <v>#VALUE!</v>
      </c>
      <c r="GU8" t="e">
        <f>AND(Master!D69,"AAAAAH83Pso=")</f>
        <v>#VALUE!</v>
      </c>
      <c r="GV8" t="e">
        <f>AND(Master!F69,"AAAAAH83Pss=")</f>
        <v>#VALUE!</v>
      </c>
      <c r="GW8" t="e">
        <f>AND(Master!H69,"AAAAAH83Psw=")</f>
        <v>#VALUE!</v>
      </c>
      <c r="GX8" t="e">
        <f>AND(Master!J69,"AAAAAH83Ps0=")</f>
        <v>#VALUE!</v>
      </c>
      <c r="GY8" t="e">
        <f>AND(Master!K69,"AAAAAH83Ps4=")</f>
        <v>#VALUE!</v>
      </c>
      <c r="GZ8" t="e">
        <f>AND(Master!L69,"AAAAAH83Ps8=")</f>
        <v>#VALUE!</v>
      </c>
      <c r="HA8" t="e">
        <f>AND(Master!M69,"AAAAAH83PtA=")</f>
        <v>#VALUE!</v>
      </c>
      <c r="HB8" t="e">
        <f>AND(Master!N69,"AAAAAH83PtE=")</f>
        <v>#VALUE!</v>
      </c>
      <c r="HC8" t="e">
        <f>AND(Master!O69,"AAAAAH83PtI=")</f>
        <v>#VALUE!</v>
      </c>
      <c r="HD8" t="e">
        <f>AND(Master!P69,"AAAAAH83PtM=")</f>
        <v>#VALUE!</v>
      </c>
      <c r="HE8" t="e">
        <f>AND(Master!Q69,"AAAAAH83PtQ=")</f>
        <v>#VALUE!</v>
      </c>
      <c r="HF8" t="e">
        <f>AND(Master!R69,"AAAAAH83PtU=")</f>
        <v>#VALUE!</v>
      </c>
      <c r="HG8" t="e">
        <f>AND(Master!S69,"AAAAAH83PtY=")</f>
        <v>#VALUE!</v>
      </c>
      <c r="HH8" t="e">
        <f>AND(Master!T69,"AAAAAH83Ptc=")</f>
        <v>#VALUE!</v>
      </c>
      <c r="HI8" t="e">
        <f>AND(Master!U69,"AAAAAH83Ptg=")</f>
        <v>#VALUE!</v>
      </c>
      <c r="HJ8" t="e">
        <f>AND(Master!V69,"AAAAAH83Ptk=")</f>
        <v>#VALUE!</v>
      </c>
      <c r="HK8" t="e">
        <f>AND(Master!W69,"AAAAAH83Pto=")</f>
        <v>#VALUE!</v>
      </c>
      <c r="HL8" t="e">
        <f>AND(Master!X69,"AAAAAH83Pts=")</f>
        <v>#VALUE!</v>
      </c>
      <c r="HM8" t="e">
        <f>AND(Master!Y69,"AAAAAH83Ptw=")</f>
        <v>#VALUE!</v>
      </c>
      <c r="HN8" t="e">
        <f>AND(Master!Z69,"AAAAAH83Pt0=")</f>
        <v>#VALUE!</v>
      </c>
      <c r="HO8" t="e">
        <f>AND(Master!AA69,"AAAAAH83Pt4=")</f>
        <v>#VALUE!</v>
      </c>
      <c r="HP8" t="e">
        <f>AND(Master!AB69,"AAAAAH83Pt8=")</f>
        <v>#VALUE!</v>
      </c>
      <c r="HQ8">
        <f>IF(Master!70:70,"AAAAAH83PuA=",0)</f>
        <v>0</v>
      </c>
      <c r="HR8" t="e">
        <f>AND(Master!C70,"AAAAAH83PuE=")</f>
        <v>#VALUE!</v>
      </c>
      <c r="HS8" t="e">
        <f>AND(Master!D70,"AAAAAH83PuI=")</f>
        <v>#VALUE!</v>
      </c>
      <c r="HT8" t="e">
        <f>AND(Master!F70,"AAAAAH83PuM=")</f>
        <v>#VALUE!</v>
      </c>
      <c r="HU8" t="e">
        <f>AND(Master!H70,"AAAAAH83PuQ=")</f>
        <v>#VALUE!</v>
      </c>
      <c r="HV8" t="e">
        <f>AND(Master!J70,"AAAAAH83PuU=")</f>
        <v>#VALUE!</v>
      </c>
      <c r="HW8" t="e">
        <f>AND(Master!K70,"AAAAAH83PuY=")</f>
        <v>#VALUE!</v>
      </c>
      <c r="HX8" t="e">
        <f>AND(Master!L70,"AAAAAH83Puc=")</f>
        <v>#VALUE!</v>
      </c>
      <c r="HY8" t="e">
        <f>AND(Master!M70,"AAAAAH83Pug=")</f>
        <v>#VALUE!</v>
      </c>
      <c r="HZ8" t="e">
        <f>AND(Master!N70,"AAAAAH83Puk=")</f>
        <v>#VALUE!</v>
      </c>
      <c r="IA8" t="e">
        <f>AND(Master!O70,"AAAAAH83Puo=")</f>
        <v>#VALUE!</v>
      </c>
      <c r="IB8" t="e">
        <f>AND(Master!P70,"AAAAAH83Pus=")</f>
        <v>#VALUE!</v>
      </c>
      <c r="IC8" t="e">
        <f>AND(Master!Q70,"AAAAAH83Puw=")</f>
        <v>#VALUE!</v>
      </c>
      <c r="ID8" t="e">
        <f>AND(Master!R70,"AAAAAH83Pu0=")</f>
        <v>#VALUE!</v>
      </c>
      <c r="IE8" t="e">
        <f>AND(Master!S70,"AAAAAH83Pu4=")</f>
        <v>#VALUE!</v>
      </c>
      <c r="IF8" t="e">
        <f>AND(Master!T70,"AAAAAH83Pu8=")</f>
        <v>#VALUE!</v>
      </c>
      <c r="IG8" t="e">
        <f>AND(Master!U70,"AAAAAH83PvA=")</f>
        <v>#VALUE!</v>
      </c>
      <c r="IH8" t="e">
        <f>AND(Master!V70,"AAAAAH83PvE=")</f>
        <v>#VALUE!</v>
      </c>
      <c r="II8" t="e">
        <f>AND(Master!W70,"AAAAAH83PvI=")</f>
        <v>#VALUE!</v>
      </c>
      <c r="IJ8" t="e">
        <f>AND(Master!X70,"AAAAAH83PvM=")</f>
        <v>#VALUE!</v>
      </c>
      <c r="IK8" t="e">
        <f>AND(Master!Y70,"AAAAAH83PvQ=")</f>
        <v>#VALUE!</v>
      </c>
      <c r="IL8" t="e">
        <f>AND(Master!Z70,"AAAAAH83PvU=")</f>
        <v>#VALUE!</v>
      </c>
      <c r="IM8" t="e">
        <f>AND(Master!AA70,"AAAAAH83PvY=")</f>
        <v>#VALUE!</v>
      </c>
      <c r="IN8" t="e">
        <f>AND(Master!AB70,"AAAAAH83Pvc=")</f>
        <v>#VALUE!</v>
      </c>
      <c r="IO8">
        <f>IF(Master!71:71,"AAAAAH83Pvg=",0)</f>
        <v>0</v>
      </c>
      <c r="IP8" t="e">
        <f>AND(Master!C71,"AAAAAH83Pvk=")</f>
        <v>#VALUE!</v>
      </c>
      <c r="IQ8" t="e">
        <f>AND(Master!D71,"AAAAAH83Pvo=")</f>
        <v>#VALUE!</v>
      </c>
      <c r="IR8" t="e">
        <f>AND(Master!F71,"AAAAAH83Pvs=")</f>
        <v>#VALUE!</v>
      </c>
      <c r="IS8" t="e">
        <f>AND(Master!H71,"AAAAAH83Pvw=")</f>
        <v>#VALUE!</v>
      </c>
      <c r="IT8" t="e">
        <f>AND(Master!J71,"AAAAAH83Pv0=")</f>
        <v>#VALUE!</v>
      </c>
      <c r="IU8" t="e">
        <f>AND(Master!K71,"AAAAAH83Pv4=")</f>
        <v>#VALUE!</v>
      </c>
      <c r="IV8" t="e">
        <f>AND(Master!L71,"AAAAAH83Pv8=")</f>
        <v>#VALUE!</v>
      </c>
    </row>
    <row r="9" spans="1:256" x14ac:dyDescent="0.25">
      <c r="A9" t="e">
        <f>AND(Master!M71,"AAAAAH9X/wA=")</f>
        <v>#VALUE!</v>
      </c>
      <c r="B9" t="e">
        <f>AND(Master!N71,"AAAAAH9X/wE=")</f>
        <v>#VALUE!</v>
      </c>
      <c r="C9" t="e">
        <f>AND(Master!O71,"AAAAAH9X/wI=")</f>
        <v>#VALUE!</v>
      </c>
      <c r="D9" t="e">
        <f>AND(Master!P71,"AAAAAH9X/wM=")</f>
        <v>#VALUE!</v>
      </c>
      <c r="E9" t="e">
        <f>AND(Master!Q71,"AAAAAH9X/wQ=")</f>
        <v>#VALUE!</v>
      </c>
      <c r="F9" t="e">
        <f>AND(Master!R71,"AAAAAH9X/wU=")</f>
        <v>#VALUE!</v>
      </c>
      <c r="G9" t="e">
        <f>AND(Master!S71,"AAAAAH9X/wY=")</f>
        <v>#VALUE!</v>
      </c>
      <c r="H9" t="e">
        <f>AND(Master!T71,"AAAAAH9X/wc=")</f>
        <v>#VALUE!</v>
      </c>
      <c r="I9" t="e">
        <f>AND(Master!U71,"AAAAAH9X/wg=")</f>
        <v>#VALUE!</v>
      </c>
      <c r="J9" t="e">
        <f>AND(Master!V71,"AAAAAH9X/wk=")</f>
        <v>#VALUE!</v>
      </c>
      <c r="K9" t="e">
        <f>AND(Master!W71,"AAAAAH9X/wo=")</f>
        <v>#VALUE!</v>
      </c>
      <c r="L9" t="e">
        <f>AND(Master!X71,"AAAAAH9X/ws=")</f>
        <v>#VALUE!</v>
      </c>
      <c r="M9" t="e">
        <f>AND(Master!Y71,"AAAAAH9X/ww=")</f>
        <v>#VALUE!</v>
      </c>
      <c r="N9" t="e">
        <f>AND(Master!Z71,"AAAAAH9X/w0=")</f>
        <v>#VALUE!</v>
      </c>
      <c r="O9" t="e">
        <f>AND(Master!AA71,"AAAAAH9X/w4=")</f>
        <v>#VALUE!</v>
      </c>
      <c r="P9" t="e">
        <f>AND(Master!AB71,"AAAAAH9X/w8=")</f>
        <v>#VALUE!</v>
      </c>
      <c r="Q9">
        <f>IF(Master!72:72,"AAAAAH9X/xA=",0)</f>
        <v>0</v>
      </c>
      <c r="R9" t="e">
        <f>AND(Master!C72,"AAAAAH9X/xE=")</f>
        <v>#VALUE!</v>
      </c>
      <c r="S9" t="e">
        <f>AND(Master!D72,"AAAAAH9X/xI=")</f>
        <v>#VALUE!</v>
      </c>
      <c r="T9" t="e">
        <f>AND(Master!F72,"AAAAAH9X/xM=")</f>
        <v>#VALUE!</v>
      </c>
      <c r="U9" t="e">
        <f>AND(Master!H72,"AAAAAH9X/xQ=")</f>
        <v>#VALUE!</v>
      </c>
      <c r="V9" t="e">
        <f>AND(Master!J72,"AAAAAH9X/xU=")</f>
        <v>#VALUE!</v>
      </c>
      <c r="W9" t="e">
        <f>AND(Master!K72,"AAAAAH9X/xY=")</f>
        <v>#VALUE!</v>
      </c>
      <c r="X9" t="e">
        <f>AND(Master!L72,"AAAAAH9X/xc=")</f>
        <v>#VALUE!</v>
      </c>
      <c r="Y9" t="e">
        <f>AND(Master!M72,"AAAAAH9X/xg=")</f>
        <v>#VALUE!</v>
      </c>
      <c r="Z9" t="e">
        <f>AND(Master!N72,"AAAAAH9X/xk=")</f>
        <v>#VALUE!</v>
      </c>
      <c r="AA9" t="e">
        <f>AND(Master!O72,"AAAAAH9X/xo=")</f>
        <v>#VALUE!</v>
      </c>
      <c r="AB9" t="e">
        <f>AND(Master!P72,"AAAAAH9X/xs=")</f>
        <v>#VALUE!</v>
      </c>
      <c r="AC9" t="e">
        <f>AND(Master!Q72,"AAAAAH9X/xw=")</f>
        <v>#VALUE!</v>
      </c>
      <c r="AD9" t="e">
        <f>AND(Master!R72,"AAAAAH9X/x0=")</f>
        <v>#VALUE!</v>
      </c>
      <c r="AE9" t="e">
        <f>AND(Master!S72,"AAAAAH9X/x4=")</f>
        <v>#VALUE!</v>
      </c>
      <c r="AF9" t="e">
        <f>AND(Master!T72,"AAAAAH9X/x8=")</f>
        <v>#VALUE!</v>
      </c>
      <c r="AG9" t="e">
        <f>AND(Master!U72,"AAAAAH9X/yA=")</f>
        <v>#VALUE!</v>
      </c>
      <c r="AH9" t="e">
        <f>AND(Master!V72,"AAAAAH9X/yE=")</f>
        <v>#VALUE!</v>
      </c>
      <c r="AI9" t="e">
        <f>AND(Master!W72,"AAAAAH9X/yI=")</f>
        <v>#VALUE!</v>
      </c>
      <c r="AJ9" t="e">
        <f>AND(Master!X72,"AAAAAH9X/yM=")</f>
        <v>#VALUE!</v>
      </c>
      <c r="AK9" t="e">
        <f>AND(Master!Y72,"AAAAAH9X/yQ=")</f>
        <v>#VALUE!</v>
      </c>
      <c r="AL9" t="e">
        <f>AND(Master!Z72,"AAAAAH9X/yU=")</f>
        <v>#VALUE!</v>
      </c>
      <c r="AM9" t="e">
        <f>AND(Master!AA72,"AAAAAH9X/yY=")</f>
        <v>#VALUE!</v>
      </c>
      <c r="AN9" t="e">
        <f>AND(Master!AB72,"AAAAAH9X/yc=")</f>
        <v>#VALUE!</v>
      </c>
      <c r="AO9">
        <f>IF(Master!73:73,"AAAAAH9X/yg=",0)</f>
        <v>0</v>
      </c>
      <c r="AP9" t="e">
        <f>AND(Master!C73,"AAAAAH9X/yk=")</f>
        <v>#VALUE!</v>
      </c>
      <c r="AQ9" t="e">
        <f>AND(Master!D73,"AAAAAH9X/yo=")</f>
        <v>#VALUE!</v>
      </c>
      <c r="AR9" t="e">
        <f>AND(Master!F73,"AAAAAH9X/ys=")</f>
        <v>#VALUE!</v>
      </c>
      <c r="AS9" t="e">
        <f>AND(Master!H73,"AAAAAH9X/yw=")</f>
        <v>#VALUE!</v>
      </c>
      <c r="AT9" t="e">
        <f>AND(Master!J73,"AAAAAH9X/y0=")</f>
        <v>#VALUE!</v>
      </c>
      <c r="AU9" t="e">
        <f>AND(Master!K73,"AAAAAH9X/y4=")</f>
        <v>#VALUE!</v>
      </c>
      <c r="AV9" t="e">
        <f>AND(Master!L73,"AAAAAH9X/y8=")</f>
        <v>#VALUE!</v>
      </c>
      <c r="AW9" t="e">
        <f>AND(Master!M73,"AAAAAH9X/zA=")</f>
        <v>#VALUE!</v>
      </c>
      <c r="AX9" t="e">
        <f>AND(Master!N73,"AAAAAH9X/zE=")</f>
        <v>#VALUE!</v>
      </c>
      <c r="AY9" t="e">
        <f>AND(Master!O73,"AAAAAH9X/zI=")</f>
        <v>#VALUE!</v>
      </c>
      <c r="AZ9" t="e">
        <f>AND(Master!P73,"AAAAAH9X/zM=")</f>
        <v>#VALUE!</v>
      </c>
      <c r="BA9" t="e">
        <f>AND(Master!Q73,"AAAAAH9X/zQ=")</f>
        <v>#VALUE!</v>
      </c>
      <c r="BB9" t="e">
        <f>AND(Master!R73,"AAAAAH9X/zU=")</f>
        <v>#VALUE!</v>
      </c>
      <c r="BC9" t="e">
        <f>AND(Master!S73,"AAAAAH9X/zY=")</f>
        <v>#VALUE!</v>
      </c>
      <c r="BD9" t="e">
        <f>AND(Master!T73,"AAAAAH9X/zc=")</f>
        <v>#VALUE!</v>
      </c>
      <c r="BE9" t="e">
        <f>AND(Master!U73,"AAAAAH9X/zg=")</f>
        <v>#VALUE!</v>
      </c>
      <c r="BF9" t="e">
        <f>AND(Master!V73,"AAAAAH9X/zk=")</f>
        <v>#VALUE!</v>
      </c>
      <c r="BG9" t="e">
        <f>AND(Master!W73,"AAAAAH9X/zo=")</f>
        <v>#VALUE!</v>
      </c>
      <c r="BH9" t="e">
        <f>AND(Master!X73,"AAAAAH9X/zs=")</f>
        <v>#VALUE!</v>
      </c>
      <c r="BI9" t="e">
        <f>AND(Master!Y73,"AAAAAH9X/zw=")</f>
        <v>#VALUE!</v>
      </c>
      <c r="BJ9" t="e">
        <f>AND(Master!Z73,"AAAAAH9X/z0=")</f>
        <v>#VALUE!</v>
      </c>
      <c r="BK9" t="e">
        <f>AND(Master!AA73,"AAAAAH9X/z4=")</f>
        <v>#VALUE!</v>
      </c>
      <c r="BL9" t="e">
        <f>AND(Master!AB73,"AAAAAH9X/z8=")</f>
        <v>#VALUE!</v>
      </c>
      <c r="BM9">
        <f>IF(Master!74:74,"AAAAAH9X/0A=",0)</f>
        <v>0</v>
      </c>
      <c r="BN9" t="e">
        <f>AND(Master!C74,"AAAAAH9X/0E=")</f>
        <v>#VALUE!</v>
      </c>
      <c r="BO9" t="e">
        <f>AND(Master!D74,"AAAAAH9X/0I=")</f>
        <v>#VALUE!</v>
      </c>
      <c r="BP9" t="e">
        <f>AND(Master!F74,"AAAAAH9X/0M=")</f>
        <v>#VALUE!</v>
      </c>
      <c r="BQ9" t="e">
        <f>AND(Master!H74,"AAAAAH9X/0Q=")</f>
        <v>#VALUE!</v>
      </c>
      <c r="BR9" t="e">
        <f>AND(Master!J74,"AAAAAH9X/0U=")</f>
        <v>#VALUE!</v>
      </c>
      <c r="BS9" t="e">
        <f>AND(Master!K74,"AAAAAH9X/0Y=")</f>
        <v>#VALUE!</v>
      </c>
      <c r="BT9" t="e">
        <f>AND(Master!L74,"AAAAAH9X/0c=")</f>
        <v>#VALUE!</v>
      </c>
      <c r="BU9" t="e">
        <f>AND(Master!M74,"AAAAAH9X/0g=")</f>
        <v>#VALUE!</v>
      </c>
      <c r="BV9" t="e">
        <f>AND(Master!N74,"AAAAAH9X/0k=")</f>
        <v>#VALUE!</v>
      </c>
      <c r="BW9" t="e">
        <f>AND(Master!O74,"AAAAAH9X/0o=")</f>
        <v>#VALUE!</v>
      </c>
      <c r="BX9" t="e">
        <f>AND(Master!P74,"AAAAAH9X/0s=")</f>
        <v>#VALUE!</v>
      </c>
      <c r="BY9" t="e">
        <f>AND(Master!Q74,"AAAAAH9X/0w=")</f>
        <v>#VALUE!</v>
      </c>
      <c r="BZ9" t="e">
        <f>AND(Master!R74,"AAAAAH9X/00=")</f>
        <v>#VALUE!</v>
      </c>
      <c r="CA9" t="e">
        <f>AND(Master!S74,"AAAAAH9X/04=")</f>
        <v>#VALUE!</v>
      </c>
      <c r="CB9" t="e">
        <f>AND(Master!T74,"AAAAAH9X/08=")</f>
        <v>#VALUE!</v>
      </c>
      <c r="CC9" t="e">
        <f>AND(Master!U74,"AAAAAH9X/1A=")</f>
        <v>#VALUE!</v>
      </c>
      <c r="CD9" t="e">
        <f>AND(Master!V74,"AAAAAH9X/1E=")</f>
        <v>#VALUE!</v>
      </c>
      <c r="CE9" t="e">
        <f>AND(Master!W74,"AAAAAH9X/1I=")</f>
        <v>#VALUE!</v>
      </c>
      <c r="CF9" t="e">
        <f>AND(Master!X74,"AAAAAH9X/1M=")</f>
        <v>#VALUE!</v>
      </c>
      <c r="CG9" t="e">
        <f>AND(Master!Y74,"AAAAAH9X/1Q=")</f>
        <v>#VALUE!</v>
      </c>
      <c r="CH9" t="e">
        <f>AND(Master!Z74,"AAAAAH9X/1U=")</f>
        <v>#VALUE!</v>
      </c>
      <c r="CI9" t="e">
        <f>AND(Master!AA74,"AAAAAH9X/1Y=")</f>
        <v>#VALUE!</v>
      </c>
      <c r="CJ9" t="e">
        <f>AND(Master!AB74,"AAAAAH9X/1c=")</f>
        <v>#VALUE!</v>
      </c>
      <c r="CK9">
        <f>IF(Master!75:75,"AAAAAH9X/1g=",0)</f>
        <v>0</v>
      </c>
      <c r="CL9" t="e">
        <f>AND(Master!C75,"AAAAAH9X/1k=")</f>
        <v>#VALUE!</v>
      </c>
      <c r="CM9" t="e">
        <f>AND(Master!D75,"AAAAAH9X/1o=")</f>
        <v>#VALUE!</v>
      </c>
      <c r="CN9" t="e">
        <f>AND(Master!F75,"AAAAAH9X/1s=")</f>
        <v>#VALUE!</v>
      </c>
      <c r="CO9" t="e">
        <f>AND(Master!H75,"AAAAAH9X/1w=")</f>
        <v>#VALUE!</v>
      </c>
      <c r="CP9" t="e">
        <f>AND(Master!J75,"AAAAAH9X/10=")</f>
        <v>#VALUE!</v>
      </c>
      <c r="CQ9" t="e">
        <f>AND(Master!K75,"AAAAAH9X/14=")</f>
        <v>#VALUE!</v>
      </c>
      <c r="CR9" t="e">
        <f>AND(Master!L75,"AAAAAH9X/18=")</f>
        <v>#VALUE!</v>
      </c>
      <c r="CS9" t="e">
        <f>AND(Master!M75,"AAAAAH9X/2A=")</f>
        <v>#VALUE!</v>
      </c>
      <c r="CT9" t="e">
        <f>AND(Master!N75,"AAAAAH9X/2E=")</f>
        <v>#VALUE!</v>
      </c>
      <c r="CU9" t="e">
        <f>AND(Master!O75,"AAAAAH9X/2I=")</f>
        <v>#VALUE!</v>
      </c>
      <c r="CV9" t="e">
        <f>AND(Master!P75,"AAAAAH9X/2M=")</f>
        <v>#VALUE!</v>
      </c>
      <c r="CW9" t="e">
        <f>AND(Master!Q75,"AAAAAH9X/2Q=")</f>
        <v>#VALUE!</v>
      </c>
      <c r="CX9" t="e">
        <f>AND(Master!R75,"AAAAAH9X/2U=")</f>
        <v>#VALUE!</v>
      </c>
      <c r="CY9" t="e">
        <f>AND(Master!S75,"AAAAAH9X/2Y=")</f>
        <v>#VALUE!</v>
      </c>
      <c r="CZ9" t="e">
        <f>AND(Master!T75,"AAAAAH9X/2c=")</f>
        <v>#VALUE!</v>
      </c>
      <c r="DA9" t="e">
        <f>AND(Master!U75,"AAAAAH9X/2g=")</f>
        <v>#VALUE!</v>
      </c>
      <c r="DB9" t="e">
        <f>AND(Master!V75,"AAAAAH9X/2k=")</f>
        <v>#VALUE!</v>
      </c>
      <c r="DC9" t="e">
        <f>AND(Master!W75,"AAAAAH9X/2o=")</f>
        <v>#VALUE!</v>
      </c>
      <c r="DD9" t="e">
        <f>AND(Master!X75,"AAAAAH9X/2s=")</f>
        <v>#VALUE!</v>
      </c>
      <c r="DE9" t="e">
        <f>AND(Master!Y75,"AAAAAH9X/2w=")</f>
        <v>#VALUE!</v>
      </c>
      <c r="DF9" t="e">
        <f>AND(Master!Z75,"AAAAAH9X/20=")</f>
        <v>#VALUE!</v>
      </c>
      <c r="DG9" t="e">
        <f>AND(Master!AA75,"AAAAAH9X/24=")</f>
        <v>#VALUE!</v>
      </c>
      <c r="DH9" t="e">
        <f>AND(Master!AB75,"AAAAAH9X/28=")</f>
        <v>#VALUE!</v>
      </c>
      <c r="DI9">
        <f>IF(Master!76:76,"AAAAAH9X/3A=",0)</f>
        <v>0</v>
      </c>
      <c r="DJ9" t="e">
        <f>AND(Master!C76,"AAAAAH9X/3E=")</f>
        <v>#VALUE!</v>
      </c>
      <c r="DK9" t="e">
        <f>AND(Master!D76,"AAAAAH9X/3I=")</f>
        <v>#VALUE!</v>
      </c>
      <c r="DL9" t="e">
        <f>AND(Master!F76,"AAAAAH9X/3M=")</f>
        <v>#VALUE!</v>
      </c>
      <c r="DM9" t="e">
        <f>AND(Master!H76,"AAAAAH9X/3Q=")</f>
        <v>#VALUE!</v>
      </c>
      <c r="DN9" t="e">
        <f>AND(Master!J76,"AAAAAH9X/3U=")</f>
        <v>#VALUE!</v>
      </c>
      <c r="DO9" t="e">
        <f>AND(Master!K76,"AAAAAH9X/3Y=")</f>
        <v>#VALUE!</v>
      </c>
      <c r="DP9" t="e">
        <f>AND(Master!L76,"AAAAAH9X/3c=")</f>
        <v>#VALUE!</v>
      </c>
      <c r="DQ9" t="e">
        <f>AND(Master!M76,"AAAAAH9X/3g=")</f>
        <v>#VALUE!</v>
      </c>
      <c r="DR9" t="e">
        <f>AND(Master!N76,"AAAAAH9X/3k=")</f>
        <v>#VALUE!</v>
      </c>
      <c r="DS9" t="e">
        <f>AND(Master!O76,"AAAAAH9X/3o=")</f>
        <v>#VALUE!</v>
      </c>
      <c r="DT9" t="e">
        <f>AND(Master!P76,"AAAAAH9X/3s=")</f>
        <v>#VALUE!</v>
      </c>
      <c r="DU9" t="e">
        <f>AND(Master!Q76,"AAAAAH9X/3w=")</f>
        <v>#VALUE!</v>
      </c>
      <c r="DV9" t="e">
        <f>AND(Master!R76,"AAAAAH9X/30=")</f>
        <v>#VALUE!</v>
      </c>
      <c r="DW9" t="e">
        <f>AND(Master!S76,"AAAAAH9X/34=")</f>
        <v>#VALUE!</v>
      </c>
      <c r="DX9" t="e">
        <f>AND(Master!T76,"AAAAAH9X/38=")</f>
        <v>#VALUE!</v>
      </c>
      <c r="DY9" t="e">
        <f>AND(Master!U76,"AAAAAH9X/4A=")</f>
        <v>#VALUE!</v>
      </c>
      <c r="DZ9" t="e">
        <f>AND(Master!V76,"AAAAAH9X/4E=")</f>
        <v>#VALUE!</v>
      </c>
      <c r="EA9" t="e">
        <f>AND(Master!W76,"AAAAAH9X/4I=")</f>
        <v>#VALUE!</v>
      </c>
      <c r="EB9" t="e">
        <f>AND(Master!X76,"AAAAAH9X/4M=")</f>
        <v>#VALUE!</v>
      </c>
      <c r="EC9" t="e">
        <f>AND(Master!Y76,"AAAAAH9X/4Q=")</f>
        <v>#VALUE!</v>
      </c>
      <c r="ED9" t="e">
        <f>AND(Master!Z76,"AAAAAH9X/4U=")</f>
        <v>#VALUE!</v>
      </c>
      <c r="EE9" t="e">
        <f>AND(Master!AA76,"AAAAAH9X/4Y=")</f>
        <v>#VALUE!</v>
      </c>
      <c r="EF9" t="e">
        <f>AND(Master!AB76,"AAAAAH9X/4c=")</f>
        <v>#VALUE!</v>
      </c>
      <c r="EG9">
        <f>IF(Master!77:77,"AAAAAH9X/4g=",0)</f>
        <v>0</v>
      </c>
      <c r="EH9" t="e">
        <f>AND(Master!C77,"AAAAAH9X/4k=")</f>
        <v>#VALUE!</v>
      </c>
      <c r="EI9" t="e">
        <f>AND(Master!D77,"AAAAAH9X/4o=")</f>
        <v>#VALUE!</v>
      </c>
      <c r="EJ9" t="e">
        <f>AND(Master!F77,"AAAAAH9X/4s=")</f>
        <v>#VALUE!</v>
      </c>
      <c r="EK9" t="e">
        <f>AND(Master!H77,"AAAAAH9X/4w=")</f>
        <v>#VALUE!</v>
      </c>
      <c r="EL9" t="e">
        <f>AND(Master!J77,"AAAAAH9X/40=")</f>
        <v>#VALUE!</v>
      </c>
      <c r="EM9" t="e">
        <f>AND(Master!K77,"AAAAAH9X/44=")</f>
        <v>#VALUE!</v>
      </c>
      <c r="EN9" t="e">
        <f>AND(Master!L77,"AAAAAH9X/48=")</f>
        <v>#VALUE!</v>
      </c>
      <c r="EO9" t="e">
        <f>AND(Master!M77,"AAAAAH9X/5A=")</f>
        <v>#VALUE!</v>
      </c>
      <c r="EP9" t="e">
        <f>AND(Master!N77,"AAAAAH9X/5E=")</f>
        <v>#VALUE!</v>
      </c>
      <c r="EQ9" t="e">
        <f>AND(Master!O77,"AAAAAH9X/5I=")</f>
        <v>#VALUE!</v>
      </c>
      <c r="ER9" t="e">
        <f>AND(Master!P77,"AAAAAH9X/5M=")</f>
        <v>#VALUE!</v>
      </c>
      <c r="ES9" t="e">
        <f>AND(Master!Q77,"AAAAAH9X/5Q=")</f>
        <v>#VALUE!</v>
      </c>
      <c r="ET9" t="e">
        <f>AND(Master!R77,"AAAAAH9X/5U=")</f>
        <v>#VALUE!</v>
      </c>
      <c r="EU9" t="e">
        <f>AND(Master!S77,"AAAAAH9X/5Y=")</f>
        <v>#VALUE!</v>
      </c>
      <c r="EV9" t="e">
        <f>AND(Master!T77,"AAAAAH9X/5c=")</f>
        <v>#VALUE!</v>
      </c>
      <c r="EW9" t="e">
        <f>AND(Master!U77,"AAAAAH9X/5g=")</f>
        <v>#VALUE!</v>
      </c>
      <c r="EX9" t="e">
        <f>AND(Master!V77,"AAAAAH9X/5k=")</f>
        <v>#VALUE!</v>
      </c>
      <c r="EY9" t="e">
        <f>AND(Master!W77,"AAAAAH9X/5o=")</f>
        <v>#VALUE!</v>
      </c>
      <c r="EZ9" t="e">
        <f>AND(Master!X77,"AAAAAH9X/5s=")</f>
        <v>#VALUE!</v>
      </c>
      <c r="FA9" t="e">
        <f>AND(Master!Y77,"AAAAAH9X/5w=")</f>
        <v>#VALUE!</v>
      </c>
      <c r="FB9" t="e">
        <f>AND(Master!Z77,"AAAAAH9X/50=")</f>
        <v>#VALUE!</v>
      </c>
      <c r="FC9" t="e">
        <f>AND(Master!AA77,"AAAAAH9X/54=")</f>
        <v>#VALUE!</v>
      </c>
      <c r="FD9" t="e">
        <f>AND(Master!AB77,"AAAAAH9X/58=")</f>
        <v>#VALUE!</v>
      </c>
      <c r="FE9" t="e">
        <f>IF(Master!B:B,"AAAAAH9X/6A=",0)</f>
        <v>#VALUE!</v>
      </c>
      <c r="FF9">
        <f>IF(Master!C:C,"AAAAAH9X/6E=",0)</f>
        <v>0</v>
      </c>
      <c r="FG9" t="e">
        <f>IF(Master!D:D,"AAAAAH9X/6I=",0)</f>
        <v>#VALUE!</v>
      </c>
      <c r="FH9">
        <f>IF(Master!F:F,"AAAAAH9X/6M=",0)</f>
        <v>0</v>
      </c>
      <c r="FI9">
        <f>IF(Master!H:H,"AAAAAH9X/6Q=",0)</f>
        <v>0</v>
      </c>
      <c r="FJ9">
        <f>IF(Master!J:J,"AAAAAH9X/6U=",0)</f>
        <v>0</v>
      </c>
      <c r="FK9">
        <f>IF(Master!K:K,"AAAAAH9X/6Y=",0)</f>
        <v>0</v>
      </c>
      <c r="FL9">
        <f>IF(Master!L:L,"AAAAAH9X/6c=",0)</f>
        <v>0</v>
      </c>
      <c r="FM9">
        <f>IF(Master!M:M,"AAAAAH9X/6g=",0)</f>
        <v>0</v>
      </c>
      <c r="FN9">
        <f>IF(Master!N:N,"AAAAAH9X/6k=",0)</f>
        <v>0</v>
      </c>
      <c r="FO9">
        <f>IF(Master!O:O,"AAAAAH9X/6o=",0)</f>
        <v>0</v>
      </c>
      <c r="FP9">
        <f>IF(Master!P:P,"AAAAAH9X/6s=",0)</f>
        <v>0</v>
      </c>
      <c r="FQ9">
        <f>IF(Master!Q:Q,"AAAAAH9X/6w=",0)</f>
        <v>0</v>
      </c>
      <c r="FR9">
        <f>IF(Master!R:R,"AAAAAH9X/60=",0)</f>
        <v>0</v>
      </c>
      <c r="FS9">
        <f>IF(Master!S:S,"AAAAAH9X/64=",0)</f>
        <v>0</v>
      </c>
      <c r="FT9">
        <f>IF(Master!T:T,"AAAAAH9X/68=",0)</f>
        <v>0</v>
      </c>
      <c r="FU9">
        <f>IF(Master!U:U,"AAAAAH9X/7A=",0)</f>
        <v>0</v>
      </c>
      <c r="FV9">
        <f>IF(Master!V:V,"AAAAAH9X/7E=",0)</f>
        <v>0</v>
      </c>
      <c r="FW9">
        <f>IF(Master!W:W,"AAAAAH9X/7I=",0)</f>
        <v>0</v>
      </c>
      <c r="FX9">
        <f>IF(Master!X:X,"AAAAAH9X/7M=",0)</f>
        <v>0</v>
      </c>
      <c r="FY9">
        <f>IF(Master!Y:Y,"AAAAAH9X/7Q=",0)</f>
        <v>0</v>
      </c>
      <c r="FZ9">
        <f>IF(Master!Z:Z,"AAAAAH9X/7U=",0)</f>
        <v>0</v>
      </c>
      <c r="GA9">
        <f>IF(Master!AA:AA,"AAAAAH9X/7Y=",0)</f>
        <v>0</v>
      </c>
      <c r="GB9" t="str">
        <f>IF(Master!AB:AB,"AAAAAH9X/7c=",0)</f>
        <v>AAAAAH9X/7c=</v>
      </c>
      <c r="GC9" t="e">
        <f>IF(Bills!#REF!,"AAAAAH9X/7g=",0)</f>
        <v>#REF!</v>
      </c>
      <c r="GD9" t="e">
        <f>AND(Bills!#REF!,"AAAAAH9X/7k=")</f>
        <v>#REF!</v>
      </c>
      <c r="GE9" t="e">
        <f>AND(Bills!#REF!,"AAAAAH9X/7o=")</f>
        <v>#REF!</v>
      </c>
      <c r="GF9" t="e">
        <f>AND(Bills!#REF!,"AAAAAH9X/7s=")</f>
        <v>#REF!</v>
      </c>
      <c r="GG9" t="e">
        <f>AND(Bills!#REF!,"AAAAAH9X/7w=")</f>
        <v>#REF!</v>
      </c>
      <c r="GH9" t="e">
        <f>AND(Bills!#REF!,"AAAAAH9X/70=")</f>
        <v>#REF!</v>
      </c>
      <c r="GI9" t="e">
        <f>AND(Bills!#REF!,"AAAAAH9X/74=")</f>
        <v>#REF!</v>
      </c>
      <c r="GJ9" t="e">
        <f>AND(Bills!#REF!,"AAAAAH9X/78=")</f>
        <v>#REF!</v>
      </c>
      <c r="GK9" t="e">
        <f>AND(Bills!#REF!,"AAAAAH9X/8A=")</f>
        <v>#REF!</v>
      </c>
      <c r="GL9" t="e">
        <f>AND(Bills!#REF!,"AAAAAH9X/8E=")</f>
        <v>#REF!</v>
      </c>
      <c r="GM9" t="e">
        <f>AND(Bills!#REF!,"AAAAAH9X/8I=")</f>
        <v>#REF!</v>
      </c>
      <c r="GN9" t="e">
        <f>AND(Bills!#REF!,"AAAAAH9X/8M=")</f>
        <v>#REF!</v>
      </c>
      <c r="GO9" t="e">
        <f>AND(Bills!#REF!,"AAAAAH9X/8Q=")</f>
        <v>#REF!</v>
      </c>
      <c r="GP9" t="e">
        <f>AND(Bills!#REF!,"AAAAAH9X/8U=")</f>
        <v>#REF!</v>
      </c>
      <c r="GQ9" t="e">
        <f>AND(Bills!#REF!,"AAAAAH9X/8Y=")</f>
        <v>#REF!</v>
      </c>
      <c r="GR9" t="e">
        <f>AND(Bills!#REF!,"AAAAAH9X/8c=")</f>
        <v>#REF!</v>
      </c>
      <c r="GS9" t="e">
        <f>AND(Bills!#REF!,"AAAAAH9X/8g=")</f>
        <v>#REF!</v>
      </c>
      <c r="GT9" t="e">
        <f>AND(Bills!#REF!,"AAAAAH9X/8k=")</f>
        <v>#REF!</v>
      </c>
      <c r="GU9" t="e">
        <f>AND(Bills!#REF!,"AAAAAH9X/8o=")</f>
        <v>#REF!</v>
      </c>
      <c r="GV9" t="e">
        <f>AND(Bills!#REF!,"AAAAAH9X/8s=")</f>
        <v>#REF!</v>
      </c>
      <c r="GW9" t="e">
        <f>AND(Bills!#REF!,"AAAAAH9X/8w=")</f>
        <v>#REF!</v>
      </c>
      <c r="GX9" t="e">
        <f>AND(Bills!#REF!,"AAAAAH9X/80=")</f>
        <v>#REF!</v>
      </c>
      <c r="GY9" t="e">
        <f>AND(Bills!#REF!,"AAAAAH9X/84=")</f>
        <v>#REF!</v>
      </c>
      <c r="GZ9" t="e">
        <f>AND(Bills!#REF!,"AAAAAH9X/88=")</f>
        <v>#REF!</v>
      </c>
      <c r="HA9" t="e">
        <f>AND(Bills!#REF!,"AAAAAH9X/9A=")</f>
        <v>#REF!</v>
      </c>
      <c r="HB9" t="e">
        <f>AND(Bills!#REF!,"AAAAAH9X/9E=")</f>
        <v>#REF!</v>
      </c>
      <c r="HC9" t="e">
        <f>AND(Bills!#REF!,"AAAAAH9X/9I=")</f>
        <v>#REF!</v>
      </c>
      <c r="HD9" t="e">
        <f>AND(Bills!#REF!,"AAAAAH9X/9M=")</f>
        <v>#REF!</v>
      </c>
      <c r="HE9" t="e">
        <f>AND(Bills!#REF!,"AAAAAH9X/9Q=")</f>
        <v>#REF!</v>
      </c>
      <c r="HF9" t="e">
        <f>AND(Bills!#REF!,"AAAAAH9X/9U=")</f>
        <v>#REF!</v>
      </c>
      <c r="HG9" t="e">
        <f>AND(Bills!#REF!,"AAAAAH9X/9Y=")</f>
        <v>#REF!</v>
      </c>
      <c r="HH9" t="e">
        <f>AND(Bills!#REF!,"AAAAAH9X/9c=")</f>
        <v>#REF!</v>
      </c>
      <c r="HI9" t="e">
        <f>AND(Bills!#REF!,"AAAAAH9X/9g=")</f>
        <v>#REF!</v>
      </c>
      <c r="HJ9" t="e">
        <f>AND(Bills!#REF!,"AAAAAH9X/9k=")</f>
        <v>#REF!</v>
      </c>
      <c r="HK9" t="e">
        <f>AND(Bills!#REF!,"AAAAAH9X/9o=")</f>
        <v>#REF!</v>
      </c>
      <c r="HL9" t="e">
        <f>AND(Bills!#REF!,"AAAAAH9X/9s=")</f>
        <v>#REF!</v>
      </c>
      <c r="HM9" t="e">
        <f>AND(Bills!#REF!,"AAAAAH9X/9w=")</f>
        <v>#REF!</v>
      </c>
      <c r="HN9" t="e">
        <f>AND(Bills!#REF!,"AAAAAH9X/90=")</f>
        <v>#REF!</v>
      </c>
      <c r="HO9" t="e">
        <f>AND(Bills!#REF!,"AAAAAH9X/94=")</f>
        <v>#REF!</v>
      </c>
      <c r="HP9" t="e">
        <f>AND(Bills!#REF!,"AAAAAH9X/98=")</f>
        <v>#REF!</v>
      </c>
      <c r="HQ9" t="e">
        <f>AND(Bills!#REF!,"AAAAAH9X/+A=")</f>
        <v>#REF!</v>
      </c>
      <c r="HR9" t="e">
        <f>AND(Bills!#REF!,"AAAAAH9X/+E=")</f>
        <v>#REF!</v>
      </c>
      <c r="HS9" t="e">
        <f>AND(Bills!#REF!,"AAAAAH9X/+I=")</f>
        <v>#REF!</v>
      </c>
      <c r="HT9" t="e">
        <f>AND(Bills!#REF!,"AAAAAH9X/+M=")</f>
        <v>#REF!</v>
      </c>
      <c r="HU9" t="e">
        <f>AND(Bills!#REF!,"AAAAAH9X/+Q=")</f>
        <v>#REF!</v>
      </c>
      <c r="HV9" t="e">
        <f>AND(Bills!#REF!,"AAAAAH9X/+U=")</f>
        <v>#REF!</v>
      </c>
      <c r="HW9" t="e">
        <f>AND(Bills!#REF!,"AAAAAH9X/+Y=")</f>
        <v>#REF!</v>
      </c>
      <c r="HX9" t="e">
        <f>AND(Bills!#REF!,"AAAAAH9X/+c=")</f>
        <v>#REF!</v>
      </c>
      <c r="HY9" t="e">
        <f>AND(Bills!#REF!,"AAAAAH9X/+g=")</f>
        <v>#REF!</v>
      </c>
      <c r="HZ9" t="e">
        <f>AND(Bills!#REF!,"AAAAAH9X/+k=")</f>
        <v>#REF!</v>
      </c>
      <c r="IA9" t="e">
        <f>AND(Bills!#REF!,"AAAAAH9X/+o=")</f>
        <v>#REF!</v>
      </c>
      <c r="IB9" t="e">
        <f>IF(Bills!#REF!,"AAAAAH9X/+s=",0)</f>
        <v>#REF!</v>
      </c>
      <c r="IC9" t="e">
        <f>AND(Bills!#REF!,"AAAAAH9X/+w=")</f>
        <v>#REF!</v>
      </c>
      <c r="ID9" t="e">
        <f>AND(Bills!#REF!,"AAAAAH9X/+0=")</f>
        <v>#REF!</v>
      </c>
      <c r="IE9" t="e">
        <f>AND(Bills!#REF!,"AAAAAH9X/+4=")</f>
        <v>#REF!</v>
      </c>
      <c r="IF9" t="e">
        <f>AND(Bills!#REF!,"AAAAAH9X/+8=")</f>
        <v>#REF!</v>
      </c>
      <c r="IG9" t="e">
        <f>AND(Bills!#REF!,"AAAAAH9X//A=")</f>
        <v>#REF!</v>
      </c>
      <c r="IH9" t="e">
        <f>AND(Bills!#REF!,"AAAAAH9X//E=")</f>
        <v>#REF!</v>
      </c>
      <c r="II9" t="e">
        <f>AND(Bills!#REF!,"AAAAAH9X//I=")</f>
        <v>#REF!</v>
      </c>
      <c r="IJ9" t="e">
        <f>AND(Bills!#REF!,"AAAAAH9X//M=")</f>
        <v>#REF!</v>
      </c>
      <c r="IK9" t="e">
        <f>AND(Bills!#REF!,"AAAAAH9X//Q=")</f>
        <v>#REF!</v>
      </c>
      <c r="IL9" t="e">
        <f>AND(Bills!#REF!,"AAAAAH9X//U=")</f>
        <v>#REF!</v>
      </c>
      <c r="IM9" t="e">
        <f>AND(Bills!#REF!,"AAAAAH9X//Y=")</f>
        <v>#REF!</v>
      </c>
      <c r="IN9" t="e">
        <f>AND(Bills!#REF!,"AAAAAH9X//c=")</f>
        <v>#REF!</v>
      </c>
      <c r="IO9" t="e">
        <f>AND(Bills!#REF!,"AAAAAH9X//g=")</f>
        <v>#REF!</v>
      </c>
      <c r="IP9" t="e">
        <f>AND(Bills!#REF!,"AAAAAH9X//k=")</f>
        <v>#REF!</v>
      </c>
      <c r="IQ9" t="e">
        <f>AND(Bills!#REF!,"AAAAAH9X//o=")</f>
        <v>#REF!</v>
      </c>
      <c r="IR9" t="e">
        <f>AND(Bills!#REF!,"AAAAAH9X//s=")</f>
        <v>#REF!</v>
      </c>
      <c r="IS9" t="e">
        <f>AND(Bills!#REF!,"AAAAAH9X//w=")</f>
        <v>#REF!</v>
      </c>
      <c r="IT9" t="e">
        <f>AND(Bills!#REF!,"AAAAAH9X//0=")</f>
        <v>#REF!</v>
      </c>
      <c r="IU9" t="e">
        <f>AND(Bills!#REF!,"AAAAAH9X//4=")</f>
        <v>#REF!</v>
      </c>
      <c r="IV9" t="e">
        <f>AND(Bills!#REF!,"AAAAAH9X//8=")</f>
        <v>#REF!</v>
      </c>
    </row>
    <row r="10" spans="1:256" x14ac:dyDescent="0.25">
      <c r="A10" t="e">
        <f>AND(Bills!#REF!,"AAAAAD///gA=")</f>
        <v>#REF!</v>
      </c>
      <c r="B10" t="e">
        <f>AND(Bills!#REF!,"AAAAAD///gE=")</f>
        <v>#REF!</v>
      </c>
      <c r="C10" t="e">
        <f>AND(Bills!#REF!,"AAAAAD///gI=")</f>
        <v>#REF!</v>
      </c>
      <c r="D10" t="e">
        <f>AND(Bills!#REF!,"AAAAAD///gM=")</f>
        <v>#REF!</v>
      </c>
      <c r="E10" t="e">
        <f>AND(Bills!#REF!,"AAAAAD///gQ=")</f>
        <v>#REF!</v>
      </c>
      <c r="F10" t="e">
        <f>AND(Bills!#REF!,"AAAAAD///gU=")</f>
        <v>#REF!</v>
      </c>
      <c r="G10" t="e">
        <f>AND(Bills!#REF!,"AAAAAD///gY=")</f>
        <v>#REF!</v>
      </c>
      <c r="H10" t="e">
        <f>AND(Bills!#REF!,"AAAAAD///gc=")</f>
        <v>#REF!</v>
      </c>
      <c r="I10" t="e">
        <f>AND(Bills!#REF!,"AAAAAD///gg=")</f>
        <v>#REF!</v>
      </c>
      <c r="J10" t="e">
        <f>AND(Bills!#REF!,"AAAAAD///gk=")</f>
        <v>#REF!</v>
      </c>
      <c r="K10" t="e">
        <f>AND(Bills!#REF!,"AAAAAD///go=")</f>
        <v>#REF!</v>
      </c>
      <c r="L10" t="e">
        <f>AND(Bills!#REF!,"AAAAAD///gs=")</f>
        <v>#REF!</v>
      </c>
      <c r="M10" t="e">
        <f>AND(Bills!#REF!,"AAAAAD///gw=")</f>
        <v>#REF!</v>
      </c>
      <c r="N10" t="e">
        <f>AND(Bills!#REF!,"AAAAAD///g0=")</f>
        <v>#REF!</v>
      </c>
      <c r="O10" t="e">
        <f>AND(Bills!#REF!,"AAAAAD///g4=")</f>
        <v>#REF!</v>
      </c>
      <c r="P10" t="e">
        <f>AND(Bills!#REF!,"AAAAAD///g8=")</f>
        <v>#REF!</v>
      </c>
      <c r="Q10" t="e">
        <f>AND(Bills!#REF!,"AAAAAD///hA=")</f>
        <v>#REF!</v>
      </c>
      <c r="R10" t="e">
        <f>AND(Bills!#REF!,"AAAAAD///hE=")</f>
        <v>#REF!</v>
      </c>
      <c r="S10" t="e">
        <f>AND(Bills!#REF!,"AAAAAD///hI=")</f>
        <v>#REF!</v>
      </c>
      <c r="T10" t="e">
        <f>AND(Bills!#REF!,"AAAAAD///hM=")</f>
        <v>#REF!</v>
      </c>
      <c r="U10" t="e">
        <f>AND(Bills!#REF!,"AAAAAD///hQ=")</f>
        <v>#REF!</v>
      </c>
      <c r="V10" t="e">
        <f>AND(Bills!#REF!,"AAAAAD///hU=")</f>
        <v>#REF!</v>
      </c>
      <c r="W10" t="e">
        <f>AND(Bills!#REF!,"AAAAAD///hY=")</f>
        <v>#REF!</v>
      </c>
      <c r="X10" t="e">
        <f>AND(Bills!#REF!,"AAAAAD///hc=")</f>
        <v>#REF!</v>
      </c>
      <c r="Y10" t="e">
        <f>AND(Bills!#REF!,"AAAAAD///hg=")</f>
        <v>#REF!</v>
      </c>
      <c r="Z10" t="e">
        <f>AND(Bills!#REF!,"AAAAAD///hk=")</f>
        <v>#REF!</v>
      </c>
      <c r="AA10" t="e">
        <f>AND(Bills!#REF!,"AAAAAD///ho=")</f>
        <v>#REF!</v>
      </c>
      <c r="AB10" t="e">
        <f>AND(Bills!#REF!,"AAAAAD///hs=")</f>
        <v>#REF!</v>
      </c>
      <c r="AC10" t="e">
        <f>AND(Bills!#REF!,"AAAAAD///hw=")</f>
        <v>#REF!</v>
      </c>
      <c r="AD10" t="e">
        <f>AND(Bills!#REF!,"AAAAAD///h0=")</f>
        <v>#REF!</v>
      </c>
      <c r="AE10" t="e">
        <f>IF(Bills!#REF!,"AAAAAD///h4=",0)</f>
        <v>#REF!</v>
      </c>
      <c r="AF10" t="e">
        <f>AND(Bills!#REF!,"AAAAAD///h8=")</f>
        <v>#REF!</v>
      </c>
      <c r="AG10" t="e">
        <f>AND(Bills!#REF!,"AAAAAD///iA=")</f>
        <v>#REF!</v>
      </c>
      <c r="AH10" t="e">
        <f>AND(Bills!#REF!,"AAAAAD///iE=")</f>
        <v>#REF!</v>
      </c>
      <c r="AI10" t="e">
        <f>AND(Bills!#REF!,"AAAAAD///iI=")</f>
        <v>#REF!</v>
      </c>
      <c r="AJ10" t="e">
        <f>AND(Bills!#REF!,"AAAAAD///iM=")</f>
        <v>#REF!</v>
      </c>
      <c r="AK10" t="e">
        <f>AND(Bills!#REF!,"AAAAAD///iQ=")</f>
        <v>#REF!</v>
      </c>
      <c r="AL10" t="e">
        <f>AND(Bills!#REF!,"AAAAAD///iU=")</f>
        <v>#REF!</v>
      </c>
      <c r="AM10" t="e">
        <f>AND(Bills!#REF!,"AAAAAD///iY=")</f>
        <v>#REF!</v>
      </c>
      <c r="AN10" t="e">
        <f>AND(Bills!#REF!,"AAAAAD///ic=")</f>
        <v>#REF!</v>
      </c>
      <c r="AO10" t="e">
        <f>AND(Bills!#REF!,"AAAAAD///ig=")</f>
        <v>#REF!</v>
      </c>
      <c r="AP10" t="e">
        <f>AND(Bills!#REF!,"AAAAAD///ik=")</f>
        <v>#REF!</v>
      </c>
      <c r="AQ10" t="e">
        <f>AND(Bills!#REF!,"AAAAAD///io=")</f>
        <v>#REF!</v>
      </c>
      <c r="AR10" t="e">
        <f>AND(Bills!#REF!,"AAAAAD///is=")</f>
        <v>#REF!</v>
      </c>
      <c r="AS10" t="e">
        <f>AND(Bills!#REF!,"AAAAAD///iw=")</f>
        <v>#REF!</v>
      </c>
      <c r="AT10" t="e">
        <f>AND(Bills!#REF!,"AAAAAD///i0=")</f>
        <v>#REF!</v>
      </c>
      <c r="AU10" t="e">
        <f>AND(Bills!#REF!,"AAAAAD///i4=")</f>
        <v>#REF!</v>
      </c>
      <c r="AV10" t="e">
        <f>AND(Bills!#REF!,"AAAAAD///i8=")</f>
        <v>#REF!</v>
      </c>
      <c r="AW10" t="e">
        <f>AND(Bills!#REF!,"AAAAAD///jA=")</f>
        <v>#REF!</v>
      </c>
      <c r="AX10" t="e">
        <f>AND(Bills!#REF!,"AAAAAD///jE=")</f>
        <v>#REF!</v>
      </c>
      <c r="AY10" t="e">
        <f>AND(Bills!#REF!,"AAAAAD///jI=")</f>
        <v>#REF!</v>
      </c>
      <c r="AZ10" t="e">
        <f>AND(Bills!#REF!,"AAAAAD///jM=")</f>
        <v>#REF!</v>
      </c>
      <c r="BA10" t="e">
        <f>AND(Bills!#REF!,"AAAAAD///jQ=")</f>
        <v>#REF!</v>
      </c>
      <c r="BB10" t="e">
        <f>AND(Bills!#REF!,"AAAAAD///jU=")</f>
        <v>#REF!</v>
      </c>
      <c r="BC10" t="e">
        <f>AND(Bills!#REF!,"AAAAAD///jY=")</f>
        <v>#REF!</v>
      </c>
      <c r="BD10" t="e">
        <f>AND(Bills!#REF!,"AAAAAD///jc=")</f>
        <v>#REF!</v>
      </c>
      <c r="BE10" t="e">
        <f>AND(Bills!#REF!,"AAAAAD///jg=")</f>
        <v>#REF!</v>
      </c>
      <c r="BF10" t="e">
        <f>AND(Bills!#REF!,"AAAAAD///jk=")</f>
        <v>#REF!</v>
      </c>
      <c r="BG10" t="e">
        <f>AND(Bills!#REF!,"AAAAAD///jo=")</f>
        <v>#REF!</v>
      </c>
      <c r="BH10" t="e">
        <f>AND(Bills!#REF!,"AAAAAD///js=")</f>
        <v>#REF!</v>
      </c>
      <c r="BI10" t="e">
        <f>AND(Bills!#REF!,"AAAAAD///jw=")</f>
        <v>#REF!</v>
      </c>
      <c r="BJ10" t="e">
        <f>AND(Bills!#REF!,"AAAAAD///j0=")</f>
        <v>#REF!</v>
      </c>
      <c r="BK10" t="e">
        <f>AND(Bills!#REF!,"AAAAAD///j4=")</f>
        <v>#REF!</v>
      </c>
      <c r="BL10" t="e">
        <f>AND(Bills!#REF!,"AAAAAD///j8=")</f>
        <v>#REF!</v>
      </c>
      <c r="BM10" t="e">
        <f>AND(Bills!#REF!,"AAAAAD///kA=")</f>
        <v>#REF!</v>
      </c>
      <c r="BN10" t="e">
        <f>AND(Bills!#REF!,"AAAAAD///kE=")</f>
        <v>#REF!</v>
      </c>
      <c r="BO10" t="e">
        <f>AND(Bills!#REF!,"AAAAAD///kI=")</f>
        <v>#REF!</v>
      </c>
      <c r="BP10" t="e">
        <f>AND(Bills!#REF!,"AAAAAD///kM=")</f>
        <v>#REF!</v>
      </c>
      <c r="BQ10" t="e">
        <f>AND(Bills!#REF!,"AAAAAD///kQ=")</f>
        <v>#REF!</v>
      </c>
      <c r="BR10" t="e">
        <f>AND(Bills!#REF!,"AAAAAD///kU=")</f>
        <v>#REF!</v>
      </c>
      <c r="BS10" t="e">
        <f>AND(Bills!#REF!,"AAAAAD///kY=")</f>
        <v>#REF!</v>
      </c>
      <c r="BT10" t="e">
        <f>AND(Bills!#REF!,"AAAAAD///kc=")</f>
        <v>#REF!</v>
      </c>
      <c r="BU10" t="e">
        <f>AND(Bills!#REF!,"AAAAAD///kg=")</f>
        <v>#REF!</v>
      </c>
      <c r="BV10" t="e">
        <f>AND(Bills!#REF!,"AAAAAD///kk=")</f>
        <v>#REF!</v>
      </c>
      <c r="BW10" t="e">
        <f>AND(Bills!#REF!,"AAAAAD///ko=")</f>
        <v>#REF!</v>
      </c>
      <c r="BX10" t="e">
        <f>AND(Bills!#REF!,"AAAAAD///ks=")</f>
        <v>#REF!</v>
      </c>
      <c r="BY10" t="e">
        <f>AND(Bills!#REF!,"AAAAAD///kw=")</f>
        <v>#REF!</v>
      </c>
      <c r="BZ10" t="e">
        <f>AND(Bills!#REF!,"AAAAAD///k0=")</f>
        <v>#REF!</v>
      </c>
      <c r="CA10" t="e">
        <f>AND(Bills!#REF!,"AAAAAD///k4=")</f>
        <v>#REF!</v>
      </c>
      <c r="CB10" t="e">
        <f>AND(Bills!#REF!,"AAAAAD///k8=")</f>
        <v>#REF!</v>
      </c>
      <c r="CC10" t="e">
        <f>AND(Bills!#REF!,"AAAAAD///lA=")</f>
        <v>#REF!</v>
      </c>
      <c r="CD10">
        <f>IF(Bills!4:4,"AAAAAD///lE=",0)</f>
        <v>0</v>
      </c>
      <c r="CE10" t="e">
        <f>AND(Bills!B4,"AAAAAD///lI=")</f>
        <v>#VALUE!</v>
      </c>
      <c r="CF10" t="e">
        <f>AND(Bills!#REF!,"AAAAAD///lM=")</f>
        <v>#REF!</v>
      </c>
      <c r="CG10" t="e">
        <f>AND(Bills!C4,"AAAAAD///lQ=")</f>
        <v>#VALUE!</v>
      </c>
      <c r="CH10" t="e">
        <f>AND(Bills!D4,"AAAAAD///lU=")</f>
        <v>#VALUE!</v>
      </c>
      <c r="CI10" t="e">
        <f>AND(Bills!E4,"AAAAAD///lY=")</f>
        <v>#VALUE!</v>
      </c>
      <c r="CJ10" t="e">
        <f>AND(Bills!#REF!,"AAAAAD///lc=")</f>
        <v>#REF!</v>
      </c>
      <c r="CK10" t="e">
        <f>AND(Bills!#REF!,"AAAAAD///lg=")</f>
        <v>#REF!</v>
      </c>
      <c r="CL10" t="e">
        <f>AND(Bills!#REF!,"AAAAAD///lk=")</f>
        <v>#REF!</v>
      </c>
      <c r="CM10" t="e">
        <f>AND(Bills!F4,"AAAAAD///lo=")</f>
        <v>#VALUE!</v>
      </c>
      <c r="CN10" t="e">
        <f>AND(Bills!#REF!,"AAAAAD///ls=")</f>
        <v>#REF!</v>
      </c>
      <c r="CO10" t="e">
        <f>AND(Bills!G4,"AAAAAD///lw=")</f>
        <v>#VALUE!</v>
      </c>
      <c r="CP10" t="e">
        <f>AND(Bills!H4,"AAAAAD///l0=")</f>
        <v>#VALUE!</v>
      </c>
      <c r="CQ10" t="e">
        <f>AND(Bills!I4,"AAAAAD///l4=")</f>
        <v>#VALUE!</v>
      </c>
      <c r="CR10" t="e">
        <f>AND(Bills!J4,"AAAAAD///l8=")</f>
        <v>#VALUE!</v>
      </c>
      <c r="CS10" t="e">
        <f>AND(Bills!K4,"AAAAAD///mA=")</f>
        <v>#VALUE!</v>
      </c>
      <c r="CT10" t="e">
        <f>AND(Bills!L4,"AAAAAD///mE=")</f>
        <v>#VALUE!</v>
      </c>
      <c r="CU10" t="e">
        <f>AND(Bills!#REF!,"AAAAAD///mI=")</f>
        <v>#REF!</v>
      </c>
      <c r="CV10" t="e">
        <f>AND(Bills!M4,"AAAAAD///mM=")</f>
        <v>#VALUE!</v>
      </c>
      <c r="CW10" t="e">
        <f>AND(Bills!N4,"AAAAAD///mQ=")</f>
        <v>#VALUE!</v>
      </c>
      <c r="CX10" t="e">
        <f>AND(Bills!O4,"AAAAAD///mU=")</f>
        <v>#VALUE!</v>
      </c>
      <c r="CY10" t="e">
        <f>AND(Bills!P4,"AAAAAD///mY=")</f>
        <v>#VALUE!</v>
      </c>
      <c r="CZ10" t="e">
        <f>AND(Bills!Q4,"AAAAAD///mc=")</f>
        <v>#VALUE!</v>
      </c>
      <c r="DA10" t="e">
        <f>AND(Bills!R4,"AAAAAD///mg=")</f>
        <v>#VALUE!</v>
      </c>
      <c r="DB10" t="e">
        <f>AND(Bills!S4,"AAAAAD///mk=")</f>
        <v>#VALUE!</v>
      </c>
      <c r="DC10" t="e">
        <f>AND(Bills!T4,"AAAAAD///mo=")</f>
        <v>#VALUE!</v>
      </c>
      <c r="DD10" t="e">
        <f>AND(Bills!#REF!,"AAAAAD///ms=")</f>
        <v>#REF!</v>
      </c>
      <c r="DE10" t="e">
        <f>AND(Bills!U4,"AAAAAD///mw=")</f>
        <v>#VALUE!</v>
      </c>
      <c r="DF10" t="e">
        <f>AND(Bills!V4,"AAAAAD///m0=")</f>
        <v>#VALUE!</v>
      </c>
      <c r="DG10" t="e">
        <f>AND(Bills!W4,"AAAAAD///m4=")</f>
        <v>#VALUE!</v>
      </c>
      <c r="DH10" t="e">
        <f>AND(Bills!#REF!,"AAAAAD///m8=")</f>
        <v>#REF!</v>
      </c>
      <c r="DI10" t="e">
        <f>AND(Bills!#REF!,"AAAAAD///nA=")</f>
        <v>#REF!</v>
      </c>
      <c r="DJ10" t="e">
        <f>AND(Bills!Y4,"AAAAAD///nE=")</f>
        <v>#VALUE!</v>
      </c>
      <c r="DK10" t="e">
        <f>AND(Bills!Z4,"AAAAAD///nI=")</f>
        <v>#VALUE!</v>
      </c>
      <c r="DL10" t="e">
        <f>AND(Bills!#REF!,"AAAAAD///nM=")</f>
        <v>#REF!</v>
      </c>
      <c r="DM10" t="e">
        <f>AND(Bills!#REF!,"AAAAAD///nQ=")</f>
        <v>#REF!</v>
      </c>
      <c r="DN10" t="e">
        <f>AND(Bills!#REF!,"AAAAAD///nU=")</f>
        <v>#REF!</v>
      </c>
      <c r="DO10" t="e">
        <f>AND(Bills!#REF!,"AAAAAD///nY=")</f>
        <v>#REF!</v>
      </c>
      <c r="DP10" t="e">
        <f>AND(Bills!#REF!,"AAAAAD///nc=")</f>
        <v>#REF!</v>
      </c>
      <c r="DQ10" t="e">
        <f>AND(Bills!#REF!,"AAAAAD///ng=")</f>
        <v>#REF!</v>
      </c>
      <c r="DR10" t="e">
        <f>AND(Bills!#REF!,"AAAAAD///nk=")</f>
        <v>#REF!</v>
      </c>
      <c r="DS10" t="e">
        <f>AND(Bills!#REF!,"AAAAAD///no=")</f>
        <v>#REF!</v>
      </c>
      <c r="DT10" t="e">
        <f>AND(Bills!#REF!,"AAAAAD///ns=")</f>
        <v>#REF!</v>
      </c>
      <c r="DU10" t="e">
        <f>AND(Bills!AA4,"AAAAAD///nw=")</f>
        <v>#VALUE!</v>
      </c>
      <c r="DV10" t="e">
        <f>AND(Bills!AB4,"AAAAAD///n0=")</f>
        <v>#VALUE!</v>
      </c>
      <c r="DW10" t="e">
        <f>AND(Bills!#REF!,"AAAAAD///n4=")</f>
        <v>#REF!</v>
      </c>
      <c r="DX10" t="e">
        <f>AND(Bills!#REF!,"AAAAAD///n8=")</f>
        <v>#REF!</v>
      </c>
      <c r="DY10" t="e">
        <f>AND(Bills!#REF!,"AAAAAD///oA=")</f>
        <v>#REF!</v>
      </c>
      <c r="DZ10" t="e">
        <f>AND(Bills!AC4,"AAAAAD///oE=")</f>
        <v>#VALUE!</v>
      </c>
      <c r="EA10" t="e">
        <f>AND(Bills!AD4,"AAAAAD///oI=")</f>
        <v>#VALUE!</v>
      </c>
      <c r="EB10" t="e">
        <f>AND(Bills!AE4,"AAAAAD///oM=")</f>
        <v>#VALUE!</v>
      </c>
      <c r="EC10">
        <f>IF(Bills!5:5,"AAAAAD///oQ=",0)</f>
        <v>0</v>
      </c>
      <c r="ED10" t="e">
        <f>AND(Bills!B5,"AAAAAD///oU=")</f>
        <v>#VALUE!</v>
      </c>
      <c r="EE10" t="e">
        <f>AND(Bills!#REF!,"AAAAAD///oY=")</f>
        <v>#REF!</v>
      </c>
      <c r="EF10" t="e">
        <f>AND(Bills!C5,"AAAAAD///oc=")</f>
        <v>#VALUE!</v>
      </c>
      <c r="EG10" t="e">
        <f>AND(Bills!D5,"AAAAAD///og=")</f>
        <v>#VALUE!</v>
      </c>
      <c r="EH10" t="e">
        <f>AND(Bills!E5,"AAAAAD///ok=")</f>
        <v>#VALUE!</v>
      </c>
      <c r="EI10" t="e">
        <f>AND(Bills!#REF!,"AAAAAD///oo=")</f>
        <v>#REF!</v>
      </c>
      <c r="EJ10" t="e">
        <f>AND(Bills!#REF!,"AAAAAD///os=")</f>
        <v>#REF!</v>
      </c>
      <c r="EK10" t="e">
        <f>AND(Bills!#REF!,"AAAAAD///ow=")</f>
        <v>#REF!</v>
      </c>
      <c r="EL10" t="e">
        <f>AND(Bills!F5,"AAAAAD///o0=")</f>
        <v>#VALUE!</v>
      </c>
      <c r="EM10" t="e">
        <f>AND(Bills!#REF!,"AAAAAD///o4=")</f>
        <v>#REF!</v>
      </c>
      <c r="EN10" t="e">
        <f>AND(Bills!G5,"AAAAAD///o8=")</f>
        <v>#VALUE!</v>
      </c>
      <c r="EO10" t="e">
        <f>AND(Bills!H5,"AAAAAD///pA=")</f>
        <v>#VALUE!</v>
      </c>
      <c r="EP10" t="e">
        <f>AND(Bills!I5,"AAAAAD///pE=")</f>
        <v>#VALUE!</v>
      </c>
      <c r="EQ10" t="e">
        <f>AND(Bills!J5,"AAAAAD///pI=")</f>
        <v>#VALUE!</v>
      </c>
      <c r="ER10" t="e">
        <f>AND(Bills!K5,"AAAAAD///pM=")</f>
        <v>#VALUE!</v>
      </c>
      <c r="ES10" t="e">
        <f>AND(Bills!L5,"AAAAAD///pQ=")</f>
        <v>#VALUE!</v>
      </c>
      <c r="ET10" t="e">
        <f>AND(Bills!#REF!,"AAAAAD///pU=")</f>
        <v>#REF!</v>
      </c>
      <c r="EU10" t="e">
        <f>AND(Bills!M5,"AAAAAD///pY=")</f>
        <v>#VALUE!</v>
      </c>
      <c r="EV10" t="e">
        <f>AND(Bills!N5,"AAAAAD///pc=")</f>
        <v>#VALUE!</v>
      </c>
      <c r="EW10" t="e">
        <f>AND(Bills!O5,"AAAAAD///pg=")</f>
        <v>#VALUE!</v>
      </c>
      <c r="EX10" t="e">
        <f>AND(Bills!P5,"AAAAAD///pk=")</f>
        <v>#VALUE!</v>
      </c>
      <c r="EY10" t="e">
        <f>AND(Bills!Q5,"AAAAAD///po=")</f>
        <v>#VALUE!</v>
      </c>
      <c r="EZ10" t="e">
        <f>AND(Bills!R5,"AAAAAD///ps=")</f>
        <v>#VALUE!</v>
      </c>
      <c r="FA10" t="e">
        <f>AND(Bills!S5,"AAAAAD///pw=")</f>
        <v>#VALUE!</v>
      </c>
      <c r="FB10" t="e">
        <f>AND(Bills!T5,"AAAAAD///p0=")</f>
        <v>#VALUE!</v>
      </c>
      <c r="FC10" t="e">
        <f>AND(Bills!#REF!,"AAAAAD///p4=")</f>
        <v>#REF!</v>
      </c>
      <c r="FD10" t="e">
        <f>AND(Bills!U5,"AAAAAD///p8=")</f>
        <v>#VALUE!</v>
      </c>
      <c r="FE10" t="e">
        <f>AND(Bills!V5,"AAAAAD///qA=")</f>
        <v>#VALUE!</v>
      </c>
      <c r="FF10" t="e">
        <f>AND(Bills!W5,"AAAAAD///qE=")</f>
        <v>#VALUE!</v>
      </c>
      <c r="FG10" t="e">
        <f>AND(Bills!#REF!,"AAAAAD///qI=")</f>
        <v>#REF!</v>
      </c>
      <c r="FH10" t="e">
        <f>AND(Bills!#REF!,"AAAAAD///qM=")</f>
        <v>#REF!</v>
      </c>
      <c r="FI10" t="e">
        <f>AND(Bills!Y5,"AAAAAD///qQ=")</f>
        <v>#VALUE!</v>
      </c>
      <c r="FJ10" t="e">
        <f>AND(Bills!Z5,"AAAAAD///qU=")</f>
        <v>#VALUE!</v>
      </c>
      <c r="FK10" t="e">
        <f>AND(Bills!#REF!,"AAAAAD///qY=")</f>
        <v>#REF!</v>
      </c>
      <c r="FL10" t="e">
        <f>AND(Bills!#REF!,"AAAAAD///qc=")</f>
        <v>#REF!</v>
      </c>
      <c r="FM10" t="e">
        <f>AND(Bills!#REF!,"AAAAAD///qg=")</f>
        <v>#REF!</v>
      </c>
      <c r="FN10" t="e">
        <f>AND(Bills!#REF!,"AAAAAD///qk=")</f>
        <v>#REF!</v>
      </c>
      <c r="FO10" t="e">
        <f>AND(Bills!#REF!,"AAAAAD///qo=")</f>
        <v>#REF!</v>
      </c>
      <c r="FP10" t="e">
        <f>AND(Bills!#REF!,"AAAAAD///qs=")</f>
        <v>#REF!</v>
      </c>
      <c r="FQ10" t="e">
        <f>AND(Bills!#REF!,"AAAAAD///qw=")</f>
        <v>#REF!</v>
      </c>
      <c r="FR10" t="e">
        <f>AND(Bills!#REF!,"AAAAAD///q0=")</f>
        <v>#REF!</v>
      </c>
      <c r="FS10" t="e">
        <f>AND(Bills!#REF!,"AAAAAD///q4=")</f>
        <v>#REF!</v>
      </c>
      <c r="FT10" t="e">
        <f>AND(Bills!AA5,"AAAAAD///q8=")</f>
        <v>#VALUE!</v>
      </c>
      <c r="FU10" t="e">
        <f>AND(Bills!AB5,"AAAAAD///rA=")</f>
        <v>#VALUE!</v>
      </c>
      <c r="FV10" t="e">
        <f>AND(Bills!#REF!,"AAAAAD///rE=")</f>
        <v>#REF!</v>
      </c>
      <c r="FW10" t="e">
        <f>AND(Bills!#REF!,"AAAAAD///rI=")</f>
        <v>#REF!</v>
      </c>
      <c r="FX10" t="e">
        <f>AND(Bills!#REF!,"AAAAAD///rM=")</f>
        <v>#REF!</v>
      </c>
      <c r="FY10" t="e">
        <f>AND(Bills!AC5,"AAAAAD///rQ=")</f>
        <v>#VALUE!</v>
      </c>
      <c r="FZ10" t="e">
        <f>AND(Bills!AD5,"AAAAAD///rU=")</f>
        <v>#VALUE!</v>
      </c>
      <c r="GA10" t="e">
        <f>AND(Bills!AE5,"AAAAAD///rY=")</f>
        <v>#VALUE!</v>
      </c>
      <c r="GB10">
        <f>IF(Bills!7:7,"AAAAAD///rc=",0)</f>
        <v>0</v>
      </c>
      <c r="GC10" t="e">
        <f>AND(Bills!B7,"AAAAAD///rg=")</f>
        <v>#VALUE!</v>
      </c>
      <c r="GD10" t="e">
        <f>AND(Bills!#REF!,"AAAAAD///rk=")</f>
        <v>#REF!</v>
      </c>
      <c r="GE10" t="e">
        <f>AND(Bills!C7,"AAAAAD///ro=")</f>
        <v>#VALUE!</v>
      </c>
      <c r="GF10" t="e">
        <f>AND(Bills!D7,"AAAAAD///rs=")</f>
        <v>#VALUE!</v>
      </c>
      <c r="GG10" t="e">
        <f>AND(Bills!E7,"AAAAAD///rw=")</f>
        <v>#VALUE!</v>
      </c>
      <c r="GH10" t="e">
        <f>AND(Bills!#REF!,"AAAAAD///r0=")</f>
        <v>#REF!</v>
      </c>
      <c r="GI10" t="e">
        <f>AND(Bills!#REF!,"AAAAAD///r4=")</f>
        <v>#REF!</v>
      </c>
      <c r="GJ10" t="e">
        <f>AND(Bills!#REF!,"AAAAAD///r8=")</f>
        <v>#REF!</v>
      </c>
      <c r="GK10" t="e">
        <f>AND(Bills!F7,"AAAAAD///sA=")</f>
        <v>#VALUE!</v>
      </c>
      <c r="GL10" t="e">
        <f>AND(Bills!#REF!,"AAAAAD///sE=")</f>
        <v>#REF!</v>
      </c>
      <c r="GM10" t="e">
        <f>AND(Bills!G7,"AAAAAD///sI=")</f>
        <v>#VALUE!</v>
      </c>
      <c r="GN10" t="e">
        <f>AND(Bills!H7,"AAAAAD///sM=")</f>
        <v>#VALUE!</v>
      </c>
      <c r="GO10" t="e">
        <f>AND(Bills!I7,"AAAAAD///sQ=")</f>
        <v>#VALUE!</v>
      </c>
      <c r="GP10" t="e">
        <f>AND(Bills!J7,"AAAAAD///sU=")</f>
        <v>#VALUE!</v>
      </c>
      <c r="GQ10" t="e">
        <f>AND(Bills!K7,"AAAAAD///sY=")</f>
        <v>#VALUE!</v>
      </c>
      <c r="GR10" t="e">
        <f>AND(Bills!L7,"AAAAAD///sc=")</f>
        <v>#VALUE!</v>
      </c>
      <c r="GS10" t="e">
        <f>AND(Bills!#REF!,"AAAAAD///sg=")</f>
        <v>#REF!</v>
      </c>
      <c r="GT10" t="e">
        <f>AND(Bills!M7,"AAAAAD///sk=")</f>
        <v>#VALUE!</v>
      </c>
      <c r="GU10" t="e">
        <f>AND(Bills!N7,"AAAAAD///so=")</f>
        <v>#VALUE!</v>
      </c>
      <c r="GV10" t="e">
        <f>AND(Bills!O7,"AAAAAD///ss=")</f>
        <v>#VALUE!</v>
      </c>
      <c r="GW10" t="e">
        <f>AND(Bills!P7,"AAAAAD///sw=")</f>
        <v>#VALUE!</v>
      </c>
      <c r="GX10" t="e">
        <f>AND(Bills!Q7,"AAAAAD///s0=")</f>
        <v>#VALUE!</v>
      </c>
      <c r="GY10" t="e">
        <f>AND(Bills!R7,"AAAAAD///s4=")</f>
        <v>#VALUE!</v>
      </c>
      <c r="GZ10" t="e">
        <f>AND(Bills!S7,"AAAAAD///s8=")</f>
        <v>#VALUE!</v>
      </c>
      <c r="HA10" t="e">
        <f>AND(Bills!T7,"AAAAAD///tA=")</f>
        <v>#VALUE!</v>
      </c>
      <c r="HB10" t="e">
        <f>AND(Bills!#REF!,"AAAAAD///tE=")</f>
        <v>#REF!</v>
      </c>
      <c r="HC10" t="e">
        <f>AND(Bills!U7,"AAAAAD///tI=")</f>
        <v>#VALUE!</v>
      </c>
      <c r="HD10" t="e">
        <f>AND(Bills!V7,"AAAAAD///tM=")</f>
        <v>#VALUE!</v>
      </c>
      <c r="HE10" t="e">
        <f>AND(Bills!W7,"AAAAAD///tQ=")</f>
        <v>#VALUE!</v>
      </c>
      <c r="HF10" t="e">
        <f>AND(Bills!#REF!,"AAAAAD///tU=")</f>
        <v>#REF!</v>
      </c>
      <c r="HG10" t="e">
        <f>AND(Bills!#REF!,"AAAAAD///tY=")</f>
        <v>#REF!</v>
      </c>
      <c r="HH10" t="e">
        <f>AND(Bills!Y7,"AAAAAD///tc=")</f>
        <v>#VALUE!</v>
      </c>
      <c r="HI10" t="e">
        <f>AND(Bills!Z7,"AAAAAD///tg=")</f>
        <v>#VALUE!</v>
      </c>
      <c r="HJ10" t="e">
        <f>AND(Bills!#REF!,"AAAAAD///tk=")</f>
        <v>#REF!</v>
      </c>
      <c r="HK10" t="e">
        <f>AND(Bills!#REF!,"AAAAAD///to=")</f>
        <v>#REF!</v>
      </c>
      <c r="HL10" t="e">
        <f>AND(Bills!#REF!,"AAAAAD///ts=")</f>
        <v>#REF!</v>
      </c>
      <c r="HM10" t="e">
        <f>AND(Bills!#REF!,"AAAAAD///tw=")</f>
        <v>#REF!</v>
      </c>
      <c r="HN10" t="e">
        <f>AND(Bills!#REF!,"AAAAAD///t0=")</f>
        <v>#REF!</v>
      </c>
      <c r="HO10" t="e">
        <f>AND(Bills!#REF!,"AAAAAD///t4=")</f>
        <v>#REF!</v>
      </c>
      <c r="HP10" t="e">
        <f>AND(Bills!#REF!,"AAAAAD///t8=")</f>
        <v>#REF!</v>
      </c>
      <c r="HQ10" t="e">
        <f>AND(Bills!#REF!,"AAAAAD///uA=")</f>
        <v>#REF!</v>
      </c>
      <c r="HR10" t="e">
        <f>AND(Bills!#REF!,"AAAAAD///uE=")</f>
        <v>#REF!</v>
      </c>
      <c r="HS10" t="e">
        <f>AND(Bills!AA7,"AAAAAD///uI=")</f>
        <v>#VALUE!</v>
      </c>
      <c r="HT10" t="e">
        <f>AND(Bills!AB7,"AAAAAD///uM=")</f>
        <v>#VALUE!</v>
      </c>
      <c r="HU10" t="e">
        <f>AND(Bills!#REF!,"AAAAAD///uQ=")</f>
        <v>#REF!</v>
      </c>
      <c r="HV10" t="e">
        <f>AND(Bills!#REF!,"AAAAAD///uU=")</f>
        <v>#REF!</v>
      </c>
      <c r="HW10" t="e">
        <f>AND(Bills!#REF!,"AAAAAD///uY=")</f>
        <v>#REF!</v>
      </c>
      <c r="HX10" t="e">
        <f>AND(Bills!AC7,"AAAAAD///uc=")</f>
        <v>#VALUE!</v>
      </c>
      <c r="HY10" t="e">
        <f>AND(Bills!AD7,"AAAAAD///ug=")</f>
        <v>#VALUE!</v>
      </c>
      <c r="HZ10" t="e">
        <f>AND(Bills!AE7,"AAAAAD///uk=")</f>
        <v>#VALUE!</v>
      </c>
      <c r="IA10" t="e">
        <f>IF(Bills!#REF!,"AAAAAD///uo=",0)</f>
        <v>#REF!</v>
      </c>
      <c r="IB10" t="e">
        <f>AND(Bills!#REF!,"AAAAAD///us=")</f>
        <v>#REF!</v>
      </c>
      <c r="IC10" t="e">
        <f>AND(Bills!#REF!,"AAAAAD///uw=")</f>
        <v>#REF!</v>
      </c>
      <c r="ID10" t="e">
        <f>AND(Bills!#REF!,"AAAAAD///u0=")</f>
        <v>#REF!</v>
      </c>
      <c r="IE10" t="e">
        <f>AND(Bills!#REF!,"AAAAAD///u4=")</f>
        <v>#REF!</v>
      </c>
      <c r="IF10" t="e">
        <f>AND(Bills!#REF!,"AAAAAD///u8=")</f>
        <v>#REF!</v>
      </c>
      <c r="IG10" t="e">
        <f>AND(Bills!#REF!,"AAAAAD///vA=")</f>
        <v>#REF!</v>
      </c>
      <c r="IH10" t="e">
        <f>AND(Bills!#REF!,"AAAAAD///vE=")</f>
        <v>#REF!</v>
      </c>
      <c r="II10" t="e">
        <f>AND(Bills!#REF!,"AAAAAD///vI=")</f>
        <v>#REF!</v>
      </c>
      <c r="IJ10" t="e">
        <f>AND(Bills!#REF!,"AAAAAD///vM=")</f>
        <v>#REF!</v>
      </c>
      <c r="IK10" t="e">
        <f>AND(Bills!#REF!,"AAAAAD///vQ=")</f>
        <v>#REF!</v>
      </c>
      <c r="IL10" t="e">
        <f>AND(Bills!#REF!,"AAAAAD///vU=")</f>
        <v>#REF!</v>
      </c>
      <c r="IM10" t="e">
        <f>AND(Bills!#REF!,"AAAAAD///vY=")</f>
        <v>#REF!</v>
      </c>
      <c r="IN10" t="e">
        <f>AND(Bills!#REF!,"AAAAAD///vc=")</f>
        <v>#REF!</v>
      </c>
      <c r="IO10" t="e">
        <f>AND(Bills!#REF!,"AAAAAD///vg=")</f>
        <v>#REF!</v>
      </c>
      <c r="IP10" t="e">
        <f>AND(Bills!#REF!,"AAAAAD///vk=")</f>
        <v>#REF!</v>
      </c>
      <c r="IQ10" t="e">
        <f>AND(Bills!#REF!,"AAAAAD///vo=")</f>
        <v>#REF!</v>
      </c>
      <c r="IR10" t="e">
        <f>AND(Bills!#REF!,"AAAAAD///vs=")</f>
        <v>#REF!</v>
      </c>
      <c r="IS10" t="e">
        <f>AND(Bills!#REF!,"AAAAAD///vw=")</f>
        <v>#REF!</v>
      </c>
      <c r="IT10" t="e">
        <f>AND(Bills!#REF!,"AAAAAD///v0=")</f>
        <v>#REF!</v>
      </c>
      <c r="IU10" t="e">
        <f>AND(Bills!#REF!,"AAAAAD///v4=")</f>
        <v>#REF!</v>
      </c>
      <c r="IV10" t="e">
        <f>AND(Bills!#REF!,"AAAAAD///v8=")</f>
        <v>#REF!</v>
      </c>
    </row>
    <row r="11" spans="1:256" x14ac:dyDescent="0.25">
      <c r="A11" t="e">
        <f>AND(Bills!#REF!,"AAAAAG/++gA=")</f>
        <v>#REF!</v>
      </c>
      <c r="B11" t="e">
        <f>AND(Bills!#REF!,"AAAAAG/++gE=")</f>
        <v>#REF!</v>
      </c>
      <c r="C11" t="e">
        <f>AND(Bills!#REF!,"AAAAAG/++gI=")</f>
        <v>#REF!</v>
      </c>
      <c r="D11" t="e">
        <f>AND(Bills!#REF!,"AAAAAG/++gM=")</f>
        <v>#REF!</v>
      </c>
      <c r="E11" t="e">
        <f>AND(Bills!#REF!,"AAAAAG/++gQ=")</f>
        <v>#REF!</v>
      </c>
      <c r="F11" t="e">
        <f>AND(Bills!#REF!,"AAAAAG/++gU=")</f>
        <v>#REF!</v>
      </c>
      <c r="G11" t="e">
        <f>AND(Bills!#REF!,"AAAAAG/++gY=")</f>
        <v>#REF!</v>
      </c>
      <c r="H11" t="e">
        <f>AND(Bills!#REF!,"AAAAAG/++gc=")</f>
        <v>#REF!</v>
      </c>
      <c r="I11" t="e">
        <f>AND(Bills!#REF!,"AAAAAG/++gg=")</f>
        <v>#REF!</v>
      </c>
      <c r="J11" t="e">
        <f>AND(Bills!#REF!,"AAAAAG/++gk=")</f>
        <v>#REF!</v>
      </c>
      <c r="K11" t="e">
        <f>AND(Bills!#REF!,"AAAAAG/++go=")</f>
        <v>#REF!</v>
      </c>
      <c r="L11" t="e">
        <f>AND(Bills!#REF!,"AAAAAG/++gs=")</f>
        <v>#REF!</v>
      </c>
      <c r="M11" t="e">
        <f>AND(Bills!#REF!,"AAAAAG/++gw=")</f>
        <v>#REF!</v>
      </c>
      <c r="N11" t="e">
        <f>AND(Bills!#REF!,"AAAAAG/++g0=")</f>
        <v>#REF!</v>
      </c>
      <c r="O11" t="e">
        <f>AND(Bills!#REF!,"AAAAAG/++g4=")</f>
        <v>#REF!</v>
      </c>
      <c r="P11" t="e">
        <f>AND(Bills!#REF!,"AAAAAG/++g8=")</f>
        <v>#REF!</v>
      </c>
      <c r="Q11" t="e">
        <f>AND(Bills!#REF!,"AAAAAG/++hA=")</f>
        <v>#REF!</v>
      </c>
      <c r="R11" t="e">
        <f>AND(Bills!#REF!,"AAAAAG/++hE=")</f>
        <v>#REF!</v>
      </c>
      <c r="S11" t="e">
        <f>AND(Bills!#REF!,"AAAAAG/++hI=")</f>
        <v>#REF!</v>
      </c>
      <c r="T11" t="e">
        <f>AND(Bills!#REF!,"AAAAAG/++hM=")</f>
        <v>#REF!</v>
      </c>
      <c r="U11" t="e">
        <f>AND(Bills!#REF!,"AAAAAG/++hQ=")</f>
        <v>#REF!</v>
      </c>
      <c r="V11" t="e">
        <f>AND(Bills!#REF!,"AAAAAG/++hU=")</f>
        <v>#REF!</v>
      </c>
      <c r="W11" t="e">
        <f>AND(Bills!#REF!,"AAAAAG/++hY=")</f>
        <v>#REF!</v>
      </c>
      <c r="X11" t="e">
        <f>AND(Bills!#REF!,"AAAAAG/++hc=")</f>
        <v>#REF!</v>
      </c>
      <c r="Y11" t="e">
        <f>AND(Bills!#REF!,"AAAAAG/++hg=")</f>
        <v>#REF!</v>
      </c>
      <c r="Z11" t="e">
        <f>AND(Bills!#REF!,"AAAAAG/++hk=")</f>
        <v>#REF!</v>
      </c>
      <c r="AA11" t="e">
        <f>AND(Bills!#REF!,"AAAAAG/++ho=")</f>
        <v>#REF!</v>
      </c>
      <c r="AB11" t="e">
        <f>AND(Bills!#REF!,"AAAAAG/++hs=")</f>
        <v>#REF!</v>
      </c>
      <c r="AC11" t="e">
        <f>AND(Bills!#REF!,"AAAAAG/++hw=")</f>
        <v>#REF!</v>
      </c>
      <c r="AD11" t="e">
        <f>IF(Bills!#REF!,"AAAAAG/++h0=",0)</f>
        <v>#REF!</v>
      </c>
      <c r="AE11" t="e">
        <f>AND(Bills!#REF!,"AAAAAG/++h4=")</f>
        <v>#REF!</v>
      </c>
      <c r="AF11" t="e">
        <f>AND(Bills!#REF!,"AAAAAG/++h8=")</f>
        <v>#REF!</v>
      </c>
      <c r="AG11" t="e">
        <f>AND(Bills!#REF!,"AAAAAG/++iA=")</f>
        <v>#REF!</v>
      </c>
      <c r="AH11" t="e">
        <f>AND(Bills!#REF!,"AAAAAG/++iE=")</f>
        <v>#REF!</v>
      </c>
      <c r="AI11" t="e">
        <f>AND(Bills!#REF!,"AAAAAG/++iI=")</f>
        <v>#REF!</v>
      </c>
      <c r="AJ11" t="e">
        <f>AND(Bills!#REF!,"AAAAAG/++iM=")</f>
        <v>#REF!</v>
      </c>
      <c r="AK11" t="e">
        <f>AND(Bills!#REF!,"AAAAAG/++iQ=")</f>
        <v>#REF!</v>
      </c>
      <c r="AL11" t="e">
        <f>AND(Bills!#REF!,"AAAAAG/++iU=")</f>
        <v>#REF!</v>
      </c>
      <c r="AM11" t="e">
        <f>AND(Bills!#REF!,"AAAAAG/++iY=")</f>
        <v>#REF!</v>
      </c>
      <c r="AN11" t="e">
        <f>AND(Bills!#REF!,"AAAAAG/++ic=")</f>
        <v>#REF!</v>
      </c>
      <c r="AO11" t="e">
        <f>AND(Bills!#REF!,"AAAAAG/++ig=")</f>
        <v>#REF!</v>
      </c>
      <c r="AP11" t="e">
        <f>AND(Bills!#REF!,"AAAAAG/++ik=")</f>
        <v>#REF!</v>
      </c>
      <c r="AQ11" t="e">
        <f>AND(Bills!#REF!,"AAAAAG/++io=")</f>
        <v>#REF!</v>
      </c>
      <c r="AR11" t="e">
        <f>AND(Bills!#REF!,"AAAAAG/++is=")</f>
        <v>#REF!</v>
      </c>
      <c r="AS11" t="e">
        <f>AND(Bills!#REF!,"AAAAAG/++iw=")</f>
        <v>#REF!</v>
      </c>
      <c r="AT11" t="e">
        <f>AND(Bills!#REF!,"AAAAAG/++i0=")</f>
        <v>#REF!</v>
      </c>
      <c r="AU11" t="e">
        <f>AND(Bills!#REF!,"AAAAAG/++i4=")</f>
        <v>#REF!</v>
      </c>
      <c r="AV11" t="e">
        <f>AND(Bills!#REF!,"AAAAAG/++i8=")</f>
        <v>#REF!</v>
      </c>
      <c r="AW11" t="e">
        <f>AND(Bills!#REF!,"AAAAAG/++jA=")</f>
        <v>#REF!</v>
      </c>
      <c r="AX11" t="e">
        <f>AND(Bills!#REF!,"AAAAAG/++jE=")</f>
        <v>#REF!</v>
      </c>
      <c r="AY11" t="e">
        <f>AND(Bills!#REF!,"AAAAAG/++jI=")</f>
        <v>#REF!</v>
      </c>
      <c r="AZ11" t="e">
        <f>AND(Bills!#REF!,"AAAAAG/++jM=")</f>
        <v>#REF!</v>
      </c>
      <c r="BA11" t="e">
        <f>AND(Bills!#REF!,"AAAAAG/++jQ=")</f>
        <v>#REF!</v>
      </c>
      <c r="BB11" t="e">
        <f>AND(Bills!#REF!,"AAAAAG/++jU=")</f>
        <v>#REF!</v>
      </c>
      <c r="BC11" t="e">
        <f>AND(Bills!#REF!,"AAAAAG/++jY=")</f>
        <v>#REF!</v>
      </c>
      <c r="BD11" t="e">
        <f>AND(Bills!#REF!,"AAAAAG/++jc=")</f>
        <v>#REF!</v>
      </c>
      <c r="BE11" t="e">
        <f>AND(Bills!#REF!,"AAAAAG/++jg=")</f>
        <v>#REF!</v>
      </c>
      <c r="BF11" t="e">
        <f>AND(Bills!#REF!,"AAAAAG/++jk=")</f>
        <v>#REF!</v>
      </c>
      <c r="BG11" t="e">
        <f>AND(Bills!#REF!,"AAAAAG/++jo=")</f>
        <v>#REF!</v>
      </c>
      <c r="BH11" t="e">
        <f>AND(Bills!#REF!,"AAAAAG/++js=")</f>
        <v>#REF!</v>
      </c>
      <c r="BI11" t="e">
        <f>AND(Bills!#REF!,"AAAAAG/++jw=")</f>
        <v>#REF!</v>
      </c>
      <c r="BJ11" t="e">
        <f>AND(Bills!#REF!,"AAAAAG/++j0=")</f>
        <v>#REF!</v>
      </c>
      <c r="BK11" t="e">
        <f>AND(Bills!#REF!,"AAAAAG/++j4=")</f>
        <v>#REF!</v>
      </c>
      <c r="BL11" t="e">
        <f>AND(Bills!#REF!,"AAAAAG/++j8=")</f>
        <v>#REF!</v>
      </c>
      <c r="BM11" t="e">
        <f>AND(Bills!#REF!,"AAAAAG/++kA=")</f>
        <v>#REF!</v>
      </c>
      <c r="BN11" t="e">
        <f>AND(Bills!#REF!,"AAAAAG/++kE=")</f>
        <v>#REF!</v>
      </c>
      <c r="BO11" t="e">
        <f>AND(Bills!#REF!,"AAAAAG/++kI=")</f>
        <v>#REF!</v>
      </c>
      <c r="BP11" t="e">
        <f>AND(Bills!#REF!,"AAAAAG/++kM=")</f>
        <v>#REF!</v>
      </c>
      <c r="BQ11" t="e">
        <f>AND(Bills!#REF!,"AAAAAG/++kQ=")</f>
        <v>#REF!</v>
      </c>
      <c r="BR11" t="e">
        <f>AND(Bills!#REF!,"AAAAAG/++kU=")</f>
        <v>#REF!</v>
      </c>
      <c r="BS11" t="e">
        <f>AND(Bills!#REF!,"AAAAAG/++kY=")</f>
        <v>#REF!</v>
      </c>
      <c r="BT11" t="e">
        <f>AND(Bills!#REF!,"AAAAAG/++kc=")</f>
        <v>#REF!</v>
      </c>
      <c r="BU11" t="e">
        <f>AND(Bills!#REF!,"AAAAAG/++kg=")</f>
        <v>#REF!</v>
      </c>
      <c r="BV11" t="e">
        <f>AND(Bills!#REF!,"AAAAAG/++kk=")</f>
        <v>#REF!</v>
      </c>
      <c r="BW11" t="e">
        <f>AND(Bills!#REF!,"AAAAAG/++ko=")</f>
        <v>#REF!</v>
      </c>
      <c r="BX11" t="e">
        <f>AND(Bills!#REF!,"AAAAAG/++ks=")</f>
        <v>#REF!</v>
      </c>
      <c r="BY11" t="e">
        <f>AND(Bills!#REF!,"AAAAAG/++kw=")</f>
        <v>#REF!</v>
      </c>
      <c r="BZ11" t="e">
        <f>AND(Bills!#REF!,"AAAAAG/++k0=")</f>
        <v>#REF!</v>
      </c>
      <c r="CA11" t="e">
        <f>AND(Bills!#REF!,"AAAAAG/++k4=")</f>
        <v>#REF!</v>
      </c>
      <c r="CB11" t="e">
        <f>AND(Bills!#REF!,"AAAAAG/++k8=")</f>
        <v>#REF!</v>
      </c>
      <c r="CC11" t="e">
        <f>IF(Bills!#REF!,"AAAAAG/++lA=",0)</f>
        <v>#REF!</v>
      </c>
      <c r="CD11" t="e">
        <f>AND(Bills!#REF!,"AAAAAG/++lE=")</f>
        <v>#REF!</v>
      </c>
      <c r="CE11" t="e">
        <f>AND(Bills!#REF!,"AAAAAG/++lI=")</f>
        <v>#REF!</v>
      </c>
      <c r="CF11" t="e">
        <f>AND(Bills!#REF!,"AAAAAG/++lM=")</f>
        <v>#REF!</v>
      </c>
      <c r="CG11" t="e">
        <f>AND(Bills!#REF!,"AAAAAG/++lQ=")</f>
        <v>#REF!</v>
      </c>
      <c r="CH11" t="e">
        <f>AND(Bills!#REF!,"AAAAAG/++lU=")</f>
        <v>#REF!</v>
      </c>
      <c r="CI11" t="e">
        <f>AND(Bills!#REF!,"AAAAAG/++lY=")</f>
        <v>#REF!</v>
      </c>
      <c r="CJ11" t="e">
        <f>AND(Bills!#REF!,"AAAAAG/++lc=")</f>
        <v>#REF!</v>
      </c>
      <c r="CK11" t="e">
        <f>AND(Bills!#REF!,"AAAAAG/++lg=")</f>
        <v>#REF!</v>
      </c>
      <c r="CL11" t="e">
        <f>AND(Bills!#REF!,"AAAAAG/++lk=")</f>
        <v>#REF!</v>
      </c>
      <c r="CM11" t="e">
        <f>AND(Bills!#REF!,"AAAAAG/++lo=")</f>
        <v>#REF!</v>
      </c>
      <c r="CN11" t="e">
        <f>AND(Bills!#REF!,"AAAAAG/++ls=")</f>
        <v>#REF!</v>
      </c>
      <c r="CO11" t="e">
        <f>AND(Bills!#REF!,"AAAAAG/++lw=")</f>
        <v>#REF!</v>
      </c>
      <c r="CP11" t="e">
        <f>AND(Bills!#REF!,"AAAAAG/++l0=")</f>
        <v>#REF!</v>
      </c>
      <c r="CQ11" t="e">
        <f>AND(Bills!#REF!,"AAAAAG/++l4=")</f>
        <v>#REF!</v>
      </c>
      <c r="CR11" t="e">
        <f>AND(Bills!#REF!,"AAAAAG/++l8=")</f>
        <v>#REF!</v>
      </c>
      <c r="CS11" t="e">
        <f>AND(Bills!#REF!,"AAAAAG/++mA=")</f>
        <v>#REF!</v>
      </c>
      <c r="CT11" t="e">
        <f>AND(Bills!#REF!,"AAAAAG/++mE=")</f>
        <v>#REF!</v>
      </c>
      <c r="CU11" t="e">
        <f>AND(Bills!#REF!,"AAAAAG/++mI=")</f>
        <v>#REF!</v>
      </c>
      <c r="CV11" t="e">
        <f>AND(Bills!#REF!,"AAAAAG/++mM=")</f>
        <v>#REF!</v>
      </c>
      <c r="CW11" t="e">
        <f>AND(Bills!#REF!,"AAAAAG/++mQ=")</f>
        <v>#REF!</v>
      </c>
      <c r="CX11" t="e">
        <f>AND(Bills!#REF!,"AAAAAG/++mU=")</f>
        <v>#REF!</v>
      </c>
      <c r="CY11" t="e">
        <f>AND(Bills!#REF!,"AAAAAG/++mY=")</f>
        <v>#REF!</v>
      </c>
      <c r="CZ11" t="e">
        <f>AND(Bills!#REF!,"AAAAAG/++mc=")</f>
        <v>#REF!</v>
      </c>
      <c r="DA11" t="e">
        <f>AND(Bills!#REF!,"AAAAAG/++mg=")</f>
        <v>#REF!</v>
      </c>
      <c r="DB11" t="e">
        <f>AND(Bills!#REF!,"AAAAAG/++mk=")</f>
        <v>#REF!</v>
      </c>
      <c r="DC11" t="e">
        <f>AND(Bills!#REF!,"AAAAAG/++mo=")</f>
        <v>#REF!</v>
      </c>
      <c r="DD11" t="e">
        <f>AND(Bills!#REF!,"AAAAAG/++ms=")</f>
        <v>#REF!</v>
      </c>
      <c r="DE11" t="e">
        <f>AND(Bills!#REF!,"AAAAAG/++mw=")</f>
        <v>#REF!</v>
      </c>
      <c r="DF11" t="e">
        <f>AND(Bills!#REF!,"AAAAAG/++m0=")</f>
        <v>#REF!</v>
      </c>
      <c r="DG11" t="e">
        <f>AND(Bills!#REF!,"AAAAAG/++m4=")</f>
        <v>#REF!</v>
      </c>
      <c r="DH11" t="e">
        <f>AND(Bills!#REF!,"AAAAAG/++m8=")</f>
        <v>#REF!</v>
      </c>
      <c r="DI11" t="e">
        <f>AND(Bills!#REF!,"AAAAAG/++nA=")</f>
        <v>#REF!</v>
      </c>
      <c r="DJ11" t="e">
        <f>AND(Bills!#REF!,"AAAAAG/++nE=")</f>
        <v>#REF!</v>
      </c>
      <c r="DK11" t="e">
        <f>AND(Bills!#REF!,"AAAAAG/++nI=")</f>
        <v>#REF!</v>
      </c>
      <c r="DL11" t="e">
        <f>AND(Bills!#REF!,"AAAAAG/++nM=")</f>
        <v>#REF!</v>
      </c>
      <c r="DM11" t="e">
        <f>AND(Bills!#REF!,"AAAAAG/++nQ=")</f>
        <v>#REF!</v>
      </c>
      <c r="DN11" t="e">
        <f>AND(Bills!#REF!,"AAAAAG/++nU=")</f>
        <v>#REF!</v>
      </c>
      <c r="DO11" t="e">
        <f>AND(Bills!#REF!,"AAAAAG/++nY=")</f>
        <v>#REF!</v>
      </c>
      <c r="DP11" t="e">
        <f>AND(Bills!#REF!,"AAAAAG/++nc=")</f>
        <v>#REF!</v>
      </c>
      <c r="DQ11" t="e">
        <f>AND(Bills!#REF!,"AAAAAG/++ng=")</f>
        <v>#REF!</v>
      </c>
      <c r="DR11" t="e">
        <f>AND(Bills!#REF!,"AAAAAG/++nk=")</f>
        <v>#REF!</v>
      </c>
      <c r="DS11" t="e">
        <f>AND(Bills!#REF!,"AAAAAG/++no=")</f>
        <v>#REF!</v>
      </c>
      <c r="DT11" t="e">
        <f>AND(Bills!#REF!,"AAAAAG/++ns=")</f>
        <v>#REF!</v>
      </c>
      <c r="DU11" t="e">
        <f>AND(Bills!#REF!,"AAAAAG/++nw=")</f>
        <v>#REF!</v>
      </c>
      <c r="DV11" t="e">
        <f>AND(Bills!#REF!,"AAAAAG/++n0=")</f>
        <v>#REF!</v>
      </c>
      <c r="DW11" t="e">
        <f>AND(Bills!#REF!,"AAAAAG/++n4=")</f>
        <v>#REF!</v>
      </c>
      <c r="DX11" t="e">
        <f>AND(Bills!#REF!,"AAAAAG/++n8=")</f>
        <v>#REF!</v>
      </c>
      <c r="DY11" t="e">
        <f>AND(Bills!#REF!,"AAAAAG/++oA=")</f>
        <v>#REF!</v>
      </c>
      <c r="DZ11" t="e">
        <f>AND(Bills!#REF!,"AAAAAG/++oE=")</f>
        <v>#REF!</v>
      </c>
      <c r="EA11" t="e">
        <f>AND(Bills!#REF!,"AAAAAG/++oI=")</f>
        <v>#REF!</v>
      </c>
      <c r="EB11" t="e">
        <f>IF(Bills!#REF!,"AAAAAG/++oM=",0)</f>
        <v>#REF!</v>
      </c>
      <c r="EC11" t="e">
        <f>AND(Bills!#REF!,"AAAAAG/++oQ=")</f>
        <v>#REF!</v>
      </c>
      <c r="ED11" t="e">
        <f>AND(Bills!#REF!,"AAAAAG/++oU=")</f>
        <v>#REF!</v>
      </c>
      <c r="EE11" t="e">
        <f>AND(Bills!#REF!,"AAAAAG/++oY=")</f>
        <v>#REF!</v>
      </c>
      <c r="EF11" t="e">
        <f>AND(Bills!#REF!,"AAAAAG/++oc=")</f>
        <v>#REF!</v>
      </c>
      <c r="EG11" t="e">
        <f>AND(Bills!#REF!,"AAAAAG/++og=")</f>
        <v>#REF!</v>
      </c>
      <c r="EH11" t="e">
        <f>AND(Bills!#REF!,"AAAAAG/++ok=")</f>
        <v>#REF!</v>
      </c>
      <c r="EI11" t="e">
        <f>AND(Bills!#REF!,"AAAAAG/++oo=")</f>
        <v>#REF!</v>
      </c>
      <c r="EJ11" t="e">
        <f>AND(Bills!#REF!,"AAAAAG/++os=")</f>
        <v>#REF!</v>
      </c>
      <c r="EK11" t="e">
        <f>AND(Bills!#REF!,"AAAAAG/++ow=")</f>
        <v>#REF!</v>
      </c>
      <c r="EL11" t="e">
        <f>AND(Bills!#REF!,"AAAAAG/++o0=")</f>
        <v>#REF!</v>
      </c>
      <c r="EM11" t="e">
        <f>AND(Bills!#REF!,"AAAAAG/++o4=")</f>
        <v>#REF!</v>
      </c>
      <c r="EN11" t="e">
        <f>AND(Bills!#REF!,"AAAAAG/++o8=")</f>
        <v>#REF!</v>
      </c>
      <c r="EO11" t="e">
        <f>AND(Bills!#REF!,"AAAAAG/++pA=")</f>
        <v>#REF!</v>
      </c>
      <c r="EP11" t="e">
        <f>AND(Bills!#REF!,"AAAAAG/++pE=")</f>
        <v>#REF!</v>
      </c>
      <c r="EQ11" t="e">
        <f>AND(Bills!#REF!,"AAAAAG/++pI=")</f>
        <v>#REF!</v>
      </c>
      <c r="ER11" t="e">
        <f>AND(Bills!#REF!,"AAAAAG/++pM=")</f>
        <v>#REF!</v>
      </c>
      <c r="ES11" t="e">
        <f>AND(Bills!#REF!,"AAAAAG/++pQ=")</f>
        <v>#REF!</v>
      </c>
      <c r="ET11" t="e">
        <f>AND(Bills!#REF!,"AAAAAG/++pU=")</f>
        <v>#REF!</v>
      </c>
      <c r="EU11" t="e">
        <f>AND(Bills!#REF!,"AAAAAG/++pY=")</f>
        <v>#REF!</v>
      </c>
      <c r="EV11" t="e">
        <f>AND(Bills!#REF!,"AAAAAG/++pc=")</f>
        <v>#REF!</v>
      </c>
      <c r="EW11" t="e">
        <f>AND(Bills!#REF!,"AAAAAG/++pg=")</f>
        <v>#REF!</v>
      </c>
      <c r="EX11" t="e">
        <f>AND(Bills!#REF!,"AAAAAG/++pk=")</f>
        <v>#REF!</v>
      </c>
      <c r="EY11" t="e">
        <f>AND(Bills!#REF!,"AAAAAG/++po=")</f>
        <v>#REF!</v>
      </c>
      <c r="EZ11" t="e">
        <f>AND(Bills!#REF!,"AAAAAG/++ps=")</f>
        <v>#REF!</v>
      </c>
      <c r="FA11" t="e">
        <f>AND(Bills!#REF!,"AAAAAG/++pw=")</f>
        <v>#REF!</v>
      </c>
      <c r="FB11" t="e">
        <f>AND(Bills!#REF!,"AAAAAG/++p0=")</f>
        <v>#REF!</v>
      </c>
      <c r="FC11" t="e">
        <f>AND(Bills!#REF!,"AAAAAG/++p4=")</f>
        <v>#REF!</v>
      </c>
      <c r="FD11" t="e">
        <f>AND(Bills!#REF!,"AAAAAG/++p8=")</f>
        <v>#REF!</v>
      </c>
      <c r="FE11" t="e">
        <f>AND(Bills!#REF!,"AAAAAG/++qA=")</f>
        <v>#REF!</v>
      </c>
      <c r="FF11" t="e">
        <f>AND(Bills!#REF!,"AAAAAG/++qE=")</f>
        <v>#REF!</v>
      </c>
      <c r="FG11" t="e">
        <f>AND(Bills!#REF!,"AAAAAG/++qI=")</f>
        <v>#REF!</v>
      </c>
      <c r="FH11" t="e">
        <f>AND(Bills!#REF!,"AAAAAG/++qM=")</f>
        <v>#REF!</v>
      </c>
      <c r="FI11" t="e">
        <f>AND(Bills!#REF!,"AAAAAG/++qQ=")</f>
        <v>#REF!</v>
      </c>
      <c r="FJ11" t="e">
        <f>AND(Bills!#REF!,"AAAAAG/++qU=")</f>
        <v>#REF!</v>
      </c>
      <c r="FK11" t="e">
        <f>AND(Bills!#REF!,"AAAAAG/++qY=")</f>
        <v>#REF!</v>
      </c>
      <c r="FL11" t="e">
        <f>AND(Bills!#REF!,"AAAAAG/++qc=")</f>
        <v>#REF!</v>
      </c>
      <c r="FM11" t="e">
        <f>AND(Bills!#REF!,"AAAAAG/++qg=")</f>
        <v>#REF!</v>
      </c>
      <c r="FN11" t="e">
        <f>AND(Bills!#REF!,"AAAAAG/++qk=")</f>
        <v>#REF!</v>
      </c>
      <c r="FO11" t="e">
        <f>AND(Bills!#REF!,"AAAAAG/++qo=")</f>
        <v>#REF!</v>
      </c>
      <c r="FP11" t="e">
        <f>AND(Bills!#REF!,"AAAAAG/++qs=")</f>
        <v>#REF!</v>
      </c>
      <c r="FQ11" t="e">
        <f>AND(Bills!#REF!,"AAAAAG/++qw=")</f>
        <v>#REF!</v>
      </c>
      <c r="FR11" t="e">
        <f>AND(Bills!#REF!,"AAAAAG/++q0=")</f>
        <v>#REF!</v>
      </c>
      <c r="FS11" t="e">
        <f>AND(Bills!#REF!,"AAAAAG/++q4=")</f>
        <v>#REF!</v>
      </c>
      <c r="FT11" t="e">
        <f>AND(Bills!#REF!,"AAAAAG/++q8=")</f>
        <v>#REF!</v>
      </c>
      <c r="FU11" t="e">
        <f>AND(Bills!#REF!,"AAAAAG/++rA=")</f>
        <v>#REF!</v>
      </c>
      <c r="FV11" t="e">
        <f>AND(Bills!#REF!,"AAAAAG/++rE=")</f>
        <v>#REF!</v>
      </c>
      <c r="FW11" t="e">
        <f>AND(Bills!#REF!,"AAAAAG/++rI=")</f>
        <v>#REF!</v>
      </c>
      <c r="FX11" t="e">
        <f>AND(Bills!#REF!,"AAAAAG/++rM=")</f>
        <v>#REF!</v>
      </c>
      <c r="FY11" t="e">
        <f>AND(Bills!#REF!,"AAAAAG/++rQ=")</f>
        <v>#REF!</v>
      </c>
      <c r="FZ11" t="e">
        <f>AND(Bills!#REF!,"AAAAAG/++rU=")</f>
        <v>#REF!</v>
      </c>
      <c r="GA11" t="e">
        <f>IF(Bills!#REF!,"AAAAAG/++rY=",0)</f>
        <v>#REF!</v>
      </c>
      <c r="GB11" t="e">
        <f>AND(Bills!#REF!,"AAAAAG/++rc=")</f>
        <v>#REF!</v>
      </c>
      <c r="GC11" t="e">
        <f>AND(Bills!#REF!,"AAAAAG/++rg=")</f>
        <v>#REF!</v>
      </c>
      <c r="GD11" t="e">
        <f>AND(Bills!#REF!,"AAAAAG/++rk=")</f>
        <v>#REF!</v>
      </c>
      <c r="GE11" t="e">
        <f>AND(Bills!#REF!,"AAAAAG/++ro=")</f>
        <v>#REF!</v>
      </c>
      <c r="GF11" t="e">
        <f>AND(Bills!#REF!,"AAAAAG/++rs=")</f>
        <v>#REF!</v>
      </c>
      <c r="GG11" t="e">
        <f>AND(Bills!#REF!,"AAAAAG/++rw=")</f>
        <v>#REF!</v>
      </c>
      <c r="GH11" t="e">
        <f>AND(Bills!#REF!,"AAAAAG/++r0=")</f>
        <v>#REF!</v>
      </c>
      <c r="GI11" t="e">
        <f>AND(Bills!#REF!,"AAAAAG/++r4=")</f>
        <v>#REF!</v>
      </c>
      <c r="GJ11" t="e">
        <f>AND(Bills!#REF!,"AAAAAG/++r8=")</f>
        <v>#REF!</v>
      </c>
      <c r="GK11" t="e">
        <f>AND(Bills!#REF!,"AAAAAG/++sA=")</f>
        <v>#REF!</v>
      </c>
      <c r="GL11" t="e">
        <f>AND(Bills!#REF!,"AAAAAG/++sE=")</f>
        <v>#REF!</v>
      </c>
      <c r="GM11" t="e">
        <f>AND(Bills!#REF!,"AAAAAG/++sI=")</f>
        <v>#REF!</v>
      </c>
      <c r="GN11" t="e">
        <f>AND(Bills!#REF!,"AAAAAG/++sM=")</f>
        <v>#REF!</v>
      </c>
      <c r="GO11" t="e">
        <f>AND(Bills!#REF!,"AAAAAG/++sQ=")</f>
        <v>#REF!</v>
      </c>
      <c r="GP11" t="e">
        <f>AND(Bills!#REF!,"AAAAAG/++sU=")</f>
        <v>#REF!</v>
      </c>
      <c r="GQ11" t="e">
        <f>AND(Bills!#REF!,"AAAAAG/++sY=")</f>
        <v>#REF!</v>
      </c>
      <c r="GR11" t="e">
        <f>AND(Bills!#REF!,"AAAAAG/++sc=")</f>
        <v>#REF!</v>
      </c>
      <c r="GS11" t="e">
        <f>AND(Bills!#REF!,"AAAAAG/++sg=")</f>
        <v>#REF!</v>
      </c>
      <c r="GT11" t="e">
        <f>AND(Bills!#REF!,"AAAAAG/++sk=")</f>
        <v>#REF!</v>
      </c>
      <c r="GU11" t="e">
        <f>AND(Bills!#REF!,"AAAAAG/++so=")</f>
        <v>#REF!</v>
      </c>
      <c r="GV11" t="e">
        <f>AND(Bills!#REF!,"AAAAAG/++ss=")</f>
        <v>#REF!</v>
      </c>
      <c r="GW11" t="e">
        <f>AND(Bills!#REF!,"AAAAAG/++sw=")</f>
        <v>#REF!</v>
      </c>
      <c r="GX11" t="e">
        <f>AND(Bills!#REF!,"AAAAAG/++s0=")</f>
        <v>#REF!</v>
      </c>
      <c r="GY11" t="e">
        <f>AND(Bills!#REF!,"AAAAAG/++s4=")</f>
        <v>#REF!</v>
      </c>
      <c r="GZ11" t="e">
        <f>AND(Bills!#REF!,"AAAAAG/++s8=")</f>
        <v>#REF!</v>
      </c>
      <c r="HA11" t="e">
        <f>AND(Bills!#REF!,"AAAAAG/++tA=")</f>
        <v>#REF!</v>
      </c>
      <c r="HB11" t="e">
        <f>AND(Bills!#REF!,"AAAAAG/++tE=")</f>
        <v>#REF!</v>
      </c>
      <c r="HC11" t="e">
        <f>AND(Bills!#REF!,"AAAAAG/++tI=")</f>
        <v>#REF!</v>
      </c>
      <c r="HD11" t="e">
        <f>AND(Bills!#REF!,"AAAAAG/++tM=")</f>
        <v>#REF!</v>
      </c>
      <c r="HE11" t="e">
        <f>AND(Bills!#REF!,"AAAAAG/++tQ=")</f>
        <v>#REF!</v>
      </c>
      <c r="HF11" t="e">
        <f>AND(Bills!#REF!,"AAAAAG/++tU=")</f>
        <v>#REF!</v>
      </c>
      <c r="HG11" t="e">
        <f>AND(Bills!#REF!,"AAAAAG/++tY=")</f>
        <v>#REF!</v>
      </c>
      <c r="HH11" t="e">
        <f>AND(Bills!#REF!,"AAAAAG/++tc=")</f>
        <v>#REF!</v>
      </c>
      <c r="HI11" t="e">
        <f>AND(Bills!#REF!,"AAAAAG/++tg=")</f>
        <v>#REF!</v>
      </c>
      <c r="HJ11" t="e">
        <f>AND(Bills!#REF!,"AAAAAG/++tk=")</f>
        <v>#REF!</v>
      </c>
      <c r="HK11" t="e">
        <f>AND(Bills!#REF!,"AAAAAG/++to=")</f>
        <v>#REF!</v>
      </c>
      <c r="HL11" t="e">
        <f>AND(Bills!#REF!,"AAAAAG/++ts=")</f>
        <v>#REF!</v>
      </c>
      <c r="HM11" t="e">
        <f>AND(Bills!#REF!,"AAAAAG/++tw=")</f>
        <v>#REF!</v>
      </c>
      <c r="HN11" t="e">
        <f>AND(Bills!#REF!,"AAAAAG/++t0=")</f>
        <v>#REF!</v>
      </c>
      <c r="HO11" t="e">
        <f>AND(Bills!#REF!,"AAAAAG/++t4=")</f>
        <v>#REF!</v>
      </c>
      <c r="HP11" t="e">
        <f>AND(Bills!#REF!,"AAAAAG/++t8=")</f>
        <v>#REF!</v>
      </c>
      <c r="HQ11" t="e">
        <f>AND(Bills!#REF!,"AAAAAG/++uA=")</f>
        <v>#REF!</v>
      </c>
      <c r="HR11" t="e">
        <f>AND(Bills!#REF!,"AAAAAG/++uE=")</f>
        <v>#REF!</v>
      </c>
      <c r="HS11" t="e">
        <f>AND(Bills!#REF!,"AAAAAG/++uI=")</f>
        <v>#REF!</v>
      </c>
      <c r="HT11" t="e">
        <f>AND(Bills!#REF!,"AAAAAG/++uM=")</f>
        <v>#REF!</v>
      </c>
      <c r="HU11" t="e">
        <f>AND(Bills!#REF!,"AAAAAG/++uQ=")</f>
        <v>#REF!</v>
      </c>
      <c r="HV11" t="e">
        <f>AND(Bills!#REF!,"AAAAAG/++uU=")</f>
        <v>#REF!</v>
      </c>
      <c r="HW11" t="e">
        <f>AND(Bills!#REF!,"AAAAAG/++uY=")</f>
        <v>#REF!</v>
      </c>
      <c r="HX11" t="e">
        <f>AND(Bills!#REF!,"AAAAAG/++uc=")</f>
        <v>#REF!</v>
      </c>
      <c r="HY11" t="e">
        <f>AND(Bills!#REF!,"AAAAAG/++ug=")</f>
        <v>#REF!</v>
      </c>
      <c r="HZ11" t="e">
        <f>IF(Bills!#REF!,"AAAAAG/++uk=",0)</f>
        <v>#REF!</v>
      </c>
      <c r="IA11" t="e">
        <f>AND(Bills!#REF!,"AAAAAG/++uo=")</f>
        <v>#REF!</v>
      </c>
      <c r="IB11" t="e">
        <f>AND(Bills!#REF!,"AAAAAG/++us=")</f>
        <v>#REF!</v>
      </c>
      <c r="IC11" t="e">
        <f>AND(Bills!#REF!,"AAAAAG/++uw=")</f>
        <v>#REF!</v>
      </c>
      <c r="ID11" t="e">
        <f>AND(Bills!#REF!,"AAAAAG/++u0=")</f>
        <v>#REF!</v>
      </c>
      <c r="IE11" t="e">
        <f>AND(Bills!#REF!,"AAAAAG/++u4=")</f>
        <v>#REF!</v>
      </c>
      <c r="IF11" t="e">
        <f>AND(Bills!#REF!,"AAAAAG/++u8=")</f>
        <v>#REF!</v>
      </c>
      <c r="IG11" t="e">
        <f>AND(Bills!#REF!,"AAAAAG/++vA=")</f>
        <v>#REF!</v>
      </c>
      <c r="IH11" t="e">
        <f>AND(Bills!#REF!,"AAAAAG/++vE=")</f>
        <v>#REF!</v>
      </c>
      <c r="II11" t="e">
        <f>AND(Bills!#REF!,"AAAAAG/++vI=")</f>
        <v>#REF!</v>
      </c>
      <c r="IJ11" t="e">
        <f>AND(Bills!#REF!,"AAAAAG/++vM=")</f>
        <v>#REF!</v>
      </c>
      <c r="IK11" t="e">
        <f>AND(Bills!#REF!,"AAAAAG/++vQ=")</f>
        <v>#REF!</v>
      </c>
      <c r="IL11" t="e">
        <f>AND(Bills!#REF!,"AAAAAG/++vU=")</f>
        <v>#REF!</v>
      </c>
      <c r="IM11" t="e">
        <f>AND(Bills!#REF!,"AAAAAG/++vY=")</f>
        <v>#REF!</v>
      </c>
      <c r="IN11" t="e">
        <f>AND(Bills!#REF!,"AAAAAG/++vc=")</f>
        <v>#REF!</v>
      </c>
      <c r="IO11" t="e">
        <f>AND(Bills!#REF!,"AAAAAG/++vg=")</f>
        <v>#REF!</v>
      </c>
      <c r="IP11" t="e">
        <f>AND(Bills!#REF!,"AAAAAG/++vk=")</f>
        <v>#REF!</v>
      </c>
      <c r="IQ11" t="e">
        <f>AND(Bills!#REF!,"AAAAAG/++vo=")</f>
        <v>#REF!</v>
      </c>
      <c r="IR11" t="e">
        <f>AND(Bills!#REF!,"AAAAAG/++vs=")</f>
        <v>#REF!</v>
      </c>
      <c r="IS11" t="e">
        <f>AND(Bills!#REF!,"AAAAAG/++vw=")</f>
        <v>#REF!</v>
      </c>
      <c r="IT11" t="e">
        <f>AND(Bills!#REF!,"AAAAAG/++v0=")</f>
        <v>#REF!</v>
      </c>
      <c r="IU11" t="e">
        <f>AND(Bills!#REF!,"AAAAAG/++v4=")</f>
        <v>#REF!</v>
      </c>
      <c r="IV11" t="e">
        <f>AND(Bills!#REF!,"AAAAAG/++v8=")</f>
        <v>#REF!</v>
      </c>
    </row>
    <row r="12" spans="1:256" x14ac:dyDescent="0.25">
      <c r="A12" t="e">
        <f>AND(Bills!#REF!,"AAAAAFv/+gA=")</f>
        <v>#REF!</v>
      </c>
      <c r="B12" t="e">
        <f>AND(Bills!#REF!,"AAAAAFv/+gE=")</f>
        <v>#REF!</v>
      </c>
      <c r="C12" t="e">
        <f>AND(Bills!#REF!,"AAAAAFv/+gI=")</f>
        <v>#REF!</v>
      </c>
      <c r="D12" t="e">
        <f>AND(Bills!#REF!,"AAAAAFv/+gM=")</f>
        <v>#REF!</v>
      </c>
      <c r="E12" t="e">
        <f>AND(Bills!#REF!,"AAAAAFv/+gQ=")</f>
        <v>#REF!</v>
      </c>
      <c r="F12" t="e">
        <f>AND(Bills!#REF!,"AAAAAFv/+gU=")</f>
        <v>#REF!</v>
      </c>
      <c r="G12" t="e">
        <f>AND(Bills!#REF!,"AAAAAFv/+gY=")</f>
        <v>#REF!</v>
      </c>
      <c r="H12" t="e">
        <f>AND(Bills!#REF!,"AAAAAFv/+gc=")</f>
        <v>#REF!</v>
      </c>
      <c r="I12" t="e">
        <f>AND(Bills!#REF!,"AAAAAFv/+gg=")</f>
        <v>#REF!</v>
      </c>
      <c r="J12" t="e">
        <f>AND(Bills!#REF!,"AAAAAFv/+gk=")</f>
        <v>#REF!</v>
      </c>
      <c r="K12" t="e">
        <f>AND(Bills!#REF!,"AAAAAFv/+go=")</f>
        <v>#REF!</v>
      </c>
      <c r="L12" t="e">
        <f>AND(Bills!#REF!,"AAAAAFv/+gs=")</f>
        <v>#REF!</v>
      </c>
      <c r="M12" t="e">
        <f>AND(Bills!#REF!,"AAAAAFv/+gw=")</f>
        <v>#REF!</v>
      </c>
      <c r="N12" t="e">
        <f>AND(Bills!#REF!,"AAAAAFv/+g0=")</f>
        <v>#REF!</v>
      </c>
      <c r="O12" t="e">
        <f>AND(Bills!#REF!,"AAAAAFv/+g4=")</f>
        <v>#REF!</v>
      </c>
      <c r="P12" t="e">
        <f>AND(Bills!#REF!,"AAAAAFv/+g8=")</f>
        <v>#REF!</v>
      </c>
      <c r="Q12" t="e">
        <f>AND(Bills!#REF!,"AAAAAFv/+hA=")</f>
        <v>#REF!</v>
      </c>
      <c r="R12" t="e">
        <f>AND(Bills!#REF!,"AAAAAFv/+hE=")</f>
        <v>#REF!</v>
      </c>
      <c r="S12" t="e">
        <f>AND(Bills!#REF!,"AAAAAFv/+hI=")</f>
        <v>#REF!</v>
      </c>
      <c r="T12" t="e">
        <f>AND(Bills!#REF!,"AAAAAFv/+hM=")</f>
        <v>#REF!</v>
      </c>
      <c r="U12" t="e">
        <f>AND(Bills!#REF!,"AAAAAFv/+hQ=")</f>
        <v>#REF!</v>
      </c>
      <c r="V12" t="e">
        <f>AND(Bills!#REF!,"AAAAAFv/+hU=")</f>
        <v>#REF!</v>
      </c>
      <c r="W12" t="e">
        <f>AND(Bills!#REF!,"AAAAAFv/+hY=")</f>
        <v>#REF!</v>
      </c>
      <c r="X12" t="e">
        <f>AND(Bills!#REF!,"AAAAAFv/+hc=")</f>
        <v>#REF!</v>
      </c>
      <c r="Y12" t="e">
        <f>AND(Bills!#REF!,"AAAAAFv/+hg=")</f>
        <v>#REF!</v>
      </c>
      <c r="Z12" t="e">
        <f>AND(Bills!#REF!,"AAAAAFv/+hk=")</f>
        <v>#REF!</v>
      </c>
      <c r="AA12" t="e">
        <f>AND(Bills!#REF!,"AAAAAFv/+ho=")</f>
        <v>#REF!</v>
      </c>
      <c r="AB12" t="e">
        <f>AND(Bills!#REF!,"AAAAAFv/+hs=")</f>
        <v>#REF!</v>
      </c>
      <c r="AC12" t="e">
        <f>IF(Bills!#REF!,"AAAAAFv/+hw=",0)</f>
        <v>#REF!</v>
      </c>
      <c r="AD12" t="e">
        <f>AND(Bills!#REF!,"AAAAAFv/+h0=")</f>
        <v>#REF!</v>
      </c>
      <c r="AE12" t="e">
        <f>AND(Bills!#REF!,"AAAAAFv/+h4=")</f>
        <v>#REF!</v>
      </c>
      <c r="AF12" t="e">
        <f>AND(Bills!#REF!,"AAAAAFv/+h8=")</f>
        <v>#REF!</v>
      </c>
      <c r="AG12" t="e">
        <f>AND(Bills!#REF!,"AAAAAFv/+iA=")</f>
        <v>#REF!</v>
      </c>
      <c r="AH12" t="e">
        <f>AND(Bills!#REF!,"AAAAAFv/+iE=")</f>
        <v>#REF!</v>
      </c>
      <c r="AI12" t="e">
        <f>AND(Bills!#REF!,"AAAAAFv/+iI=")</f>
        <v>#REF!</v>
      </c>
      <c r="AJ12" t="e">
        <f>AND(Bills!#REF!,"AAAAAFv/+iM=")</f>
        <v>#REF!</v>
      </c>
      <c r="AK12" t="e">
        <f>AND(Bills!#REF!,"AAAAAFv/+iQ=")</f>
        <v>#REF!</v>
      </c>
      <c r="AL12" t="e">
        <f>AND(Bills!#REF!,"AAAAAFv/+iU=")</f>
        <v>#REF!</v>
      </c>
      <c r="AM12" t="e">
        <f>AND(Bills!#REF!,"AAAAAFv/+iY=")</f>
        <v>#REF!</v>
      </c>
      <c r="AN12" t="e">
        <f>AND(Bills!#REF!,"AAAAAFv/+ic=")</f>
        <v>#REF!</v>
      </c>
      <c r="AO12" t="e">
        <f>AND(Bills!#REF!,"AAAAAFv/+ig=")</f>
        <v>#REF!</v>
      </c>
      <c r="AP12" t="e">
        <f>AND(Bills!#REF!,"AAAAAFv/+ik=")</f>
        <v>#REF!</v>
      </c>
      <c r="AQ12" t="e">
        <f>AND(Bills!#REF!,"AAAAAFv/+io=")</f>
        <v>#REF!</v>
      </c>
      <c r="AR12" t="e">
        <f>AND(Bills!#REF!,"AAAAAFv/+is=")</f>
        <v>#REF!</v>
      </c>
      <c r="AS12" t="e">
        <f>AND(Bills!#REF!,"AAAAAFv/+iw=")</f>
        <v>#REF!</v>
      </c>
      <c r="AT12" t="e">
        <f>AND(Bills!#REF!,"AAAAAFv/+i0=")</f>
        <v>#REF!</v>
      </c>
      <c r="AU12" t="e">
        <f>AND(Bills!#REF!,"AAAAAFv/+i4=")</f>
        <v>#REF!</v>
      </c>
      <c r="AV12" t="e">
        <f>AND(Bills!#REF!,"AAAAAFv/+i8=")</f>
        <v>#REF!</v>
      </c>
      <c r="AW12" t="e">
        <f>AND(Bills!#REF!,"AAAAAFv/+jA=")</f>
        <v>#REF!</v>
      </c>
      <c r="AX12" t="e">
        <f>AND(Bills!#REF!,"AAAAAFv/+jE=")</f>
        <v>#REF!</v>
      </c>
      <c r="AY12" t="e">
        <f>AND(Bills!#REF!,"AAAAAFv/+jI=")</f>
        <v>#REF!</v>
      </c>
      <c r="AZ12" t="e">
        <f>AND(Bills!#REF!,"AAAAAFv/+jM=")</f>
        <v>#REF!</v>
      </c>
      <c r="BA12" t="e">
        <f>AND(Bills!#REF!,"AAAAAFv/+jQ=")</f>
        <v>#REF!</v>
      </c>
      <c r="BB12" t="e">
        <f>AND(Bills!#REF!,"AAAAAFv/+jU=")</f>
        <v>#REF!</v>
      </c>
      <c r="BC12" t="e">
        <f>AND(Bills!#REF!,"AAAAAFv/+jY=")</f>
        <v>#REF!</v>
      </c>
      <c r="BD12" t="e">
        <f>AND(Bills!#REF!,"AAAAAFv/+jc=")</f>
        <v>#REF!</v>
      </c>
      <c r="BE12" t="e">
        <f>AND(Bills!#REF!,"AAAAAFv/+jg=")</f>
        <v>#REF!</v>
      </c>
      <c r="BF12" t="e">
        <f>AND(Bills!#REF!,"AAAAAFv/+jk=")</f>
        <v>#REF!</v>
      </c>
      <c r="BG12" t="e">
        <f>AND(Bills!#REF!,"AAAAAFv/+jo=")</f>
        <v>#REF!</v>
      </c>
      <c r="BH12" t="e">
        <f>AND(Bills!#REF!,"AAAAAFv/+js=")</f>
        <v>#REF!</v>
      </c>
      <c r="BI12" t="e">
        <f>AND(Bills!#REF!,"AAAAAFv/+jw=")</f>
        <v>#REF!</v>
      </c>
      <c r="BJ12" t="e">
        <f>AND(Bills!#REF!,"AAAAAFv/+j0=")</f>
        <v>#REF!</v>
      </c>
      <c r="BK12" t="e">
        <f>AND(Bills!#REF!,"AAAAAFv/+j4=")</f>
        <v>#REF!</v>
      </c>
      <c r="BL12" t="e">
        <f>AND(Bills!#REF!,"AAAAAFv/+j8=")</f>
        <v>#REF!</v>
      </c>
      <c r="BM12" t="e">
        <f>AND(Bills!#REF!,"AAAAAFv/+kA=")</f>
        <v>#REF!</v>
      </c>
      <c r="BN12" t="e">
        <f>AND(Bills!#REF!,"AAAAAFv/+kE=")</f>
        <v>#REF!</v>
      </c>
      <c r="BO12" t="e">
        <f>AND(Bills!#REF!,"AAAAAFv/+kI=")</f>
        <v>#REF!</v>
      </c>
      <c r="BP12" t="e">
        <f>AND(Bills!#REF!,"AAAAAFv/+kM=")</f>
        <v>#REF!</v>
      </c>
      <c r="BQ12" t="e">
        <f>AND(Bills!#REF!,"AAAAAFv/+kQ=")</f>
        <v>#REF!</v>
      </c>
      <c r="BR12" t="e">
        <f>AND(Bills!#REF!,"AAAAAFv/+kU=")</f>
        <v>#REF!</v>
      </c>
      <c r="BS12" t="e">
        <f>AND(Bills!#REF!,"AAAAAFv/+kY=")</f>
        <v>#REF!</v>
      </c>
      <c r="BT12" t="e">
        <f>AND(Bills!#REF!,"AAAAAFv/+kc=")</f>
        <v>#REF!</v>
      </c>
      <c r="BU12" t="e">
        <f>AND(Bills!#REF!,"AAAAAFv/+kg=")</f>
        <v>#REF!</v>
      </c>
      <c r="BV12" t="e">
        <f>AND(Bills!#REF!,"AAAAAFv/+kk=")</f>
        <v>#REF!</v>
      </c>
      <c r="BW12" t="e">
        <f>AND(Bills!#REF!,"AAAAAFv/+ko=")</f>
        <v>#REF!</v>
      </c>
      <c r="BX12" t="e">
        <f>AND(Bills!#REF!,"AAAAAFv/+ks=")</f>
        <v>#REF!</v>
      </c>
      <c r="BY12" t="e">
        <f>AND(Bills!#REF!,"AAAAAFv/+kw=")</f>
        <v>#REF!</v>
      </c>
      <c r="BZ12" t="e">
        <f>AND(Bills!#REF!,"AAAAAFv/+k0=")</f>
        <v>#REF!</v>
      </c>
      <c r="CA12" t="e">
        <f>AND(Bills!#REF!,"AAAAAFv/+k4=")</f>
        <v>#REF!</v>
      </c>
      <c r="CB12" t="e">
        <f>IF(Bills!#REF!,"AAAAAFv/+k8=",0)</f>
        <v>#REF!</v>
      </c>
      <c r="CC12" t="e">
        <f>AND(Bills!#REF!,"AAAAAFv/+lA=")</f>
        <v>#REF!</v>
      </c>
      <c r="CD12" t="e">
        <f>AND(Bills!#REF!,"AAAAAFv/+lE=")</f>
        <v>#REF!</v>
      </c>
      <c r="CE12" t="e">
        <f>AND(Bills!#REF!,"AAAAAFv/+lI=")</f>
        <v>#REF!</v>
      </c>
      <c r="CF12" t="e">
        <f>AND(Bills!#REF!,"AAAAAFv/+lM=")</f>
        <v>#REF!</v>
      </c>
      <c r="CG12" t="e">
        <f>AND(Bills!#REF!,"AAAAAFv/+lQ=")</f>
        <v>#REF!</v>
      </c>
      <c r="CH12" t="e">
        <f>AND(Bills!#REF!,"AAAAAFv/+lU=")</f>
        <v>#REF!</v>
      </c>
      <c r="CI12" t="e">
        <f>AND(Bills!#REF!,"AAAAAFv/+lY=")</f>
        <v>#REF!</v>
      </c>
      <c r="CJ12" t="e">
        <f>AND(Bills!#REF!,"AAAAAFv/+lc=")</f>
        <v>#REF!</v>
      </c>
      <c r="CK12" t="e">
        <f>AND(Bills!#REF!,"AAAAAFv/+lg=")</f>
        <v>#REF!</v>
      </c>
      <c r="CL12" t="e">
        <f>AND(Bills!#REF!,"AAAAAFv/+lk=")</f>
        <v>#REF!</v>
      </c>
      <c r="CM12" t="e">
        <f>AND(Bills!#REF!,"AAAAAFv/+lo=")</f>
        <v>#REF!</v>
      </c>
      <c r="CN12" t="e">
        <f>AND(Bills!#REF!,"AAAAAFv/+ls=")</f>
        <v>#REF!</v>
      </c>
      <c r="CO12" t="e">
        <f>AND(Bills!#REF!,"AAAAAFv/+lw=")</f>
        <v>#REF!</v>
      </c>
      <c r="CP12" t="e">
        <f>AND(Bills!#REF!,"AAAAAFv/+l0=")</f>
        <v>#REF!</v>
      </c>
      <c r="CQ12" t="e">
        <f>AND(Bills!#REF!,"AAAAAFv/+l4=")</f>
        <v>#REF!</v>
      </c>
      <c r="CR12" t="e">
        <f>AND(Bills!#REF!,"AAAAAFv/+l8=")</f>
        <v>#REF!</v>
      </c>
      <c r="CS12" t="e">
        <f>AND(Bills!#REF!,"AAAAAFv/+mA=")</f>
        <v>#REF!</v>
      </c>
      <c r="CT12" t="e">
        <f>AND(Bills!#REF!,"AAAAAFv/+mE=")</f>
        <v>#REF!</v>
      </c>
      <c r="CU12" t="e">
        <f>AND(Bills!#REF!,"AAAAAFv/+mI=")</f>
        <v>#REF!</v>
      </c>
      <c r="CV12" t="e">
        <f>AND(Bills!#REF!,"AAAAAFv/+mM=")</f>
        <v>#REF!</v>
      </c>
      <c r="CW12" t="e">
        <f>AND(Bills!#REF!,"AAAAAFv/+mQ=")</f>
        <v>#REF!</v>
      </c>
      <c r="CX12" t="e">
        <f>AND(Bills!#REF!,"AAAAAFv/+mU=")</f>
        <v>#REF!</v>
      </c>
      <c r="CY12" t="e">
        <f>AND(Bills!#REF!,"AAAAAFv/+mY=")</f>
        <v>#REF!</v>
      </c>
      <c r="CZ12" t="e">
        <f>AND(Bills!#REF!,"AAAAAFv/+mc=")</f>
        <v>#REF!</v>
      </c>
      <c r="DA12" t="e">
        <f>AND(Bills!#REF!,"AAAAAFv/+mg=")</f>
        <v>#REF!</v>
      </c>
      <c r="DB12" t="e">
        <f>AND(Bills!#REF!,"AAAAAFv/+mk=")</f>
        <v>#REF!</v>
      </c>
      <c r="DC12" t="e">
        <f>AND(Bills!#REF!,"AAAAAFv/+mo=")</f>
        <v>#REF!</v>
      </c>
      <c r="DD12" t="e">
        <f>AND(Bills!#REF!,"AAAAAFv/+ms=")</f>
        <v>#REF!</v>
      </c>
      <c r="DE12" t="e">
        <f>AND(Bills!#REF!,"AAAAAFv/+mw=")</f>
        <v>#REF!</v>
      </c>
      <c r="DF12" t="e">
        <f>AND(Bills!#REF!,"AAAAAFv/+m0=")</f>
        <v>#REF!</v>
      </c>
      <c r="DG12" t="e">
        <f>AND(Bills!#REF!,"AAAAAFv/+m4=")</f>
        <v>#REF!</v>
      </c>
      <c r="DH12" t="e">
        <f>AND(Bills!#REF!,"AAAAAFv/+m8=")</f>
        <v>#REF!</v>
      </c>
      <c r="DI12" t="e">
        <f>AND(Bills!#REF!,"AAAAAFv/+nA=")</f>
        <v>#REF!</v>
      </c>
      <c r="DJ12" t="e">
        <f>AND(Bills!#REF!,"AAAAAFv/+nE=")</f>
        <v>#REF!</v>
      </c>
      <c r="DK12" t="e">
        <f>AND(Bills!#REF!,"AAAAAFv/+nI=")</f>
        <v>#REF!</v>
      </c>
      <c r="DL12" t="e">
        <f>AND(Bills!#REF!,"AAAAAFv/+nM=")</f>
        <v>#REF!</v>
      </c>
      <c r="DM12" t="e">
        <f>AND(Bills!#REF!,"AAAAAFv/+nQ=")</f>
        <v>#REF!</v>
      </c>
      <c r="DN12" t="e">
        <f>AND(Bills!#REF!,"AAAAAFv/+nU=")</f>
        <v>#REF!</v>
      </c>
      <c r="DO12" t="e">
        <f>AND(Bills!#REF!,"AAAAAFv/+nY=")</f>
        <v>#REF!</v>
      </c>
      <c r="DP12" t="e">
        <f>AND(Bills!#REF!,"AAAAAFv/+nc=")</f>
        <v>#REF!</v>
      </c>
      <c r="DQ12" t="e">
        <f>AND(Bills!#REF!,"AAAAAFv/+ng=")</f>
        <v>#REF!</v>
      </c>
      <c r="DR12" t="e">
        <f>AND(Bills!#REF!,"AAAAAFv/+nk=")</f>
        <v>#REF!</v>
      </c>
      <c r="DS12" t="e">
        <f>AND(Bills!#REF!,"AAAAAFv/+no=")</f>
        <v>#REF!</v>
      </c>
      <c r="DT12" t="e">
        <f>AND(Bills!#REF!,"AAAAAFv/+ns=")</f>
        <v>#REF!</v>
      </c>
      <c r="DU12" t="e">
        <f>AND(Bills!#REF!,"AAAAAFv/+nw=")</f>
        <v>#REF!</v>
      </c>
      <c r="DV12" t="e">
        <f>AND(Bills!#REF!,"AAAAAFv/+n0=")</f>
        <v>#REF!</v>
      </c>
      <c r="DW12" t="e">
        <f>AND(Bills!#REF!,"AAAAAFv/+n4=")</f>
        <v>#REF!</v>
      </c>
      <c r="DX12" t="e">
        <f>AND(Bills!#REF!,"AAAAAFv/+n8=")</f>
        <v>#REF!</v>
      </c>
      <c r="DY12" t="e">
        <f>AND(Bills!#REF!,"AAAAAFv/+oA=")</f>
        <v>#REF!</v>
      </c>
      <c r="DZ12" t="e">
        <f>AND(Bills!#REF!,"AAAAAFv/+oE=")</f>
        <v>#REF!</v>
      </c>
      <c r="EA12" t="e">
        <f>IF(Bills!#REF!,"AAAAAFv/+oI=",0)</f>
        <v>#REF!</v>
      </c>
      <c r="EB12" t="e">
        <f>AND(Bills!#REF!,"AAAAAFv/+oM=")</f>
        <v>#REF!</v>
      </c>
      <c r="EC12" t="e">
        <f>AND(Bills!#REF!,"AAAAAFv/+oQ=")</f>
        <v>#REF!</v>
      </c>
      <c r="ED12" t="e">
        <f>AND(Bills!#REF!,"AAAAAFv/+oU=")</f>
        <v>#REF!</v>
      </c>
      <c r="EE12" t="e">
        <f>AND(Bills!#REF!,"AAAAAFv/+oY=")</f>
        <v>#REF!</v>
      </c>
      <c r="EF12" t="e">
        <f>AND(Bills!#REF!,"AAAAAFv/+oc=")</f>
        <v>#REF!</v>
      </c>
      <c r="EG12" t="e">
        <f>AND(Bills!#REF!,"AAAAAFv/+og=")</f>
        <v>#REF!</v>
      </c>
      <c r="EH12" t="e">
        <f>AND(Bills!#REF!,"AAAAAFv/+ok=")</f>
        <v>#REF!</v>
      </c>
      <c r="EI12" t="e">
        <f>AND(Bills!#REF!,"AAAAAFv/+oo=")</f>
        <v>#REF!</v>
      </c>
      <c r="EJ12" t="e">
        <f>AND(Bills!#REF!,"AAAAAFv/+os=")</f>
        <v>#REF!</v>
      </c>
      <c r="EK12" t="e">
        <f>AND(Bills!#REF!,"AAAAAFv/+ow=")</f>
        <v>#REF!</v>
      </c>
      <c r="EL12" t="e">
        <f>AND(Bills!#REF!,"AAAAAFv/+o0=")</f>
        <v>#REF!</v>
      </c>
      <c r="EM12" t="e">
        <f>AND(Bills!#REF!,"AAAAAFv/+o4=")</f>
        <v>#REF!</v>
      </c>
      <c r="EN12" t="e">
        <f>AND(Bills!#REF!,"AAAAAFv/+o8=")</f>
        <v>#REF!</v>
      </c>
      <c r="EO12" t="e">
        <f>AND(Bills!#REF!,"AAAAAFv/+pA=")</f>
        <v>#REF!</v>
      </c>
      <c r="EP12" t="e">
        <f>AND(Bills!#REF!,"AAAAAFv/+pE=")</f>
        <v>#REF!</v>
      </c>
      <c r="EQ12" t="e">
        <f>AND(Bills!#REF!,"AAAAAFv/+pI=")</f>
        <v>#REF!</v>
      </c>
      <c r="ER12" t="e">
        <f>AND(Bills!#REF!,"AAAAAFv/+pM=")</f>
        <v>#REF!</v>
      </c>
      <c r="ES12" t="e">
        <f>AND(Bills!#REF!,"AAAAAFv/+pQ=")</f>
        <v>#REF!</v>
      </c>
      <c r="ET12" t="e">
        <f>AND(Bills!#REF!,"AAAAAFv/+pU=")</f>
        <v>#REF!</v>
      </c>
      <c r="EU12" t="e">
        <f>AND(Bills!#REF!,"AAAAAFv/+pY=")</f>
        <v>#REF!</v>
      </c>
      <c r="EV12" t="e">
        <f>AND(Bills!#REF!,"AAAAAFv/+pc=")</f>
        <v>#REF!</v>
      </c>
      <c r="EW12" t="e">
        <f>AND(Bills!#REF!,"AAAAAFv/+pg=")</f>
        <v>#REF!</v>
      </c>
      <c r="EX12" t="e">
        <f>AND(Bills!#REF!,"AAAAAFv/+pk=")</f>
        <v>#REF!</v>
      </c>
      <c r="EY12" t="e">
        <f>AND(Bills!#REF!,"AAAAAFv/+po=")</f>
        <v>#REF!</v>
      </c>
      <c r="EZ12" t="e">
        <f>AND(Bills!#REF!,"AAAAAFv/+ps=")</f>
        <v>#REF!</v>
      </c>
      <c r="FA12" t="e">
        <f>AND(Bills!#REF!,"AAAAAFv/+pw=")</f>
        <v>#REF!</v>
      </c>
      <c r="FB12" t="e">
        <f>AND(Bills!#REF!,"AAAAAFv/+p0=")</f>
        <v>#REF!</v>
      </c>
      <c r="FC12" t="e">
        <f>AND(Bills!#REF!,"AAAAAFv/+p4=")</f>
        <v>#REF!</v>
      </c>
      <c r="FD12" t="e">
        <f>AND(Bills!#REF!,"AAAAAFv/+p8=")</f>
        <v>#REF!</v>
      </c>
      <c r="FE12" t="e">
        <f>AND(Bills!#REF!,"AAAAAFv/+qA=")</f>
        <v>#REF!</v>
      </c>
      <c r="FF12" t="e">
        <f>AND(Bills!#REF!,"AAAAAFv/+qE=")</f>
        <v>#REF!</v>
      </c>
      <c r="FG12" t="e">
        <f>AND(Bills!#REF!,"AAAAAFv/+qI=")</f>
        <v>#REF!</v>
      </c>
      <c r="FH12" t="e">
        <f>AND(Bills!#REF!,"AAAAAFv/+qM=")</f>
        <v>#REF!</v>
      </c>
      <c r="FI12" t="e">
        <f>AND(Bills!#REF!,"AAAAAFv/+qQ=")</f>
        <v>#REF!</v>
      </c>
      <c r="FJ12" t="e">
        <f>AND(Bills!#REF!,"AAAAAFv/+qU=")</f>
        <v>#REF!</v>
      </c>
      <c r="FK12" t="e">
        <f>AND(Bills!#REF!,"AAAAAFv/+qY=")</f>
        <v>#REF!</v>
      </c>
      <c r="FL12" t="e">
        <f>AND(Bills!#REF!,"AAAAAFv/+qc=")</f>
        <v>#REF!</v>
      </c>
      <c r="FM12" t="e">
        <f>AND(Bills!#REF!,"AAAAAFv/+qg=")</f>
        <v>#REF!</v>
      </c>
      <c r="FN12" t="e">
        <f>AND(Bills!#REF!,"AAAAAFv/+qk=")</f>
        <v>#REF!</v>
      </c>
      <c r="FO12" t="e">
        <f>AND(Bills!#REF!,"AAAAAFv/+qo=")</f>
        <v>#REF!</v>
      </c>
      <c r="FP12" t="e">
        <f>AND(Bills!#REF!,"AAAAAFv/+qs=")</f>
        <v>#REF!</v>
      </c>
      <c r="FQ12" t="e">
        <f>AND(Bills!#REF!,"AAAAAFv/+qw=")</f>
        <v>#REF!</v>
      </c>
      <c r="FR12" t="e">
        <f>AND(Bills!#REF!,"AAAAAFv/+q0=")</f>
        <v>#REF!</v>
      </c>
      <c r="FS12" t="e">
        <f>AND(Bills!#REF!,"AAAAAFv/+q4=")</f>
        <v>#REF!</v>
      </c>
      <c r="FT12" t="e">
        <f>AND(Bills!#REF!,"AAAAAFv/+q8=")</f>
        <v>#REF!</v>
      </c>
      <c r="FU12" t="e">
        <f>AND(Bills!#REF!,"AAAAAFv/+rA=")</f>
        <v>#REF!</v>
      </c>
      <c r="FV12" t="e">
        <f>AND(Bills!#REF!,"AAAAAFv/+rE=")</f>
        <v>#REF!</v>
      </c>
      <c r="FW12" t="e">
        <f>AND(Bills!#REF!,"AAAAAFv/+rI=")</f>
        <v>#REF!</v>
      </c>
      <c r="FX12" t="e">
        <f>AND(Bills!#REF!,"AAAAAFv/+rM=")</f>
        <v>#REF!</v>
      </c>
      <c r="FY12" t="e">
        <f>AND(Bills!#REF!,"AAAAAFv/+rQ=")</f>
        <v>#REF!</v>
      </c>
      <c r="FZ12" t="e">
        <f>IF(Bills!#REF!,"AAAAAFv/+rU=",0)</f>
        <v>#REF!</v>
      </c>
      <c r="GA12" t="e">
        <f>AND(Bills!#REF!,"AAAAAFv/+rY=")</f>
        <v>#REF!</v>
      </c>
      <c r="GB12" t="e">
        <f>AND(Bills!#REF!,"AAAAAFv/+rc=")</f>
        <v>#REF!</v>
      </c>
      <c r="GC12" t="e">
        <f>AND(Bills!#REF!,"AAAAAFv/+rg=")</f>
        <v>#REF!</v>
      </c>
      <c r="GD12" t="e">
        <f>AND(Bills!#REF!,"AAAAAFv/+rk=")</f>
        <v>#REF!</v>
      </c>
      <c r="GE12" t="e">
        <f>AND(Bills!#REF!,"AAAAAFv/+ro=")</f>
        <v>#REF!</v>
      </c>
      <c r="GF12" t="e">
        <f>AND(Bills!#REF!,"AAAAAFv/+rs=")</f>
        <v>#REF!</v>
      </c>
      <c r="GG12" t="e">
        <f>AND(Bills!#REF!,"AAAAAFv/+rw=")</f>
        <v>#REF!</v>
      </c>
      <c r="GH12" t="e">
        <f>AND(Bills!#REF!,"AAAAAFv/+r0=")</f>
        <v>#REF!</v>
      </c>
      <c r="GI12" t="e">
        <f>AND(Bills!#REF!,"AAAAAFv/+r4=")</f>
        <v>#REF!</v>
      </c>
      <c r="GJ12" t="e">
        <f>AND(Bills!#REF!,"AAAAAFv/+r8=")</f>
        <v>#REF!</v>
      </c>
      <c r="GK12" t="e">
        <f>AND(Bills!#REF!,"AAAAAFv/+sA=")</f>
        <v>#REF!</v>
      </c>
      <c r="GL12" t="e">
        <f>AND(Bills!#REF!,"AAAAAFv/+sE=")</f>
        <v>#REF!</v>
      </c>
      <c r="GM12" t="e">
        <f>AND(Bills!#REF!,"AAAAAFv/+sI=")</f>
        <v>#REF!</v>
      </c>
      <c r="GN12" t="e">
        <f>AND(Bills!#REF!,"AAAAAFv/+sM=")</f>
        <v>#REF!</v>
      </c>
      <c r="GO12" t="e">
        <f>AND(Bills!#REF!,"AAAAAFv/+sQ=")</f>
        <v>#REF!</v>
      </c>
      <c r="GP12" t="e">
        <f>AND(Bills!#REF!,"AAAAAFv/+sU=")</f>
        <v>#REF!</v>
      </c>
      <c r="GQ12" t="e">
        <f>AND(Bills!#REF!,"AAAAAFv/+sY=")</f>
        <v>#REF!</v>
      </c>
      <c r="GR12" t="e">
        <f>AND(Bills!#REF!,"AAAAAFv/+sc=")</f>
        <v>#REF!</v>
      </c>
      <c r="GS12" t="e">
        <f>AND(Bills!#REF!,"AAAAAFv/+sg=")</f>
        <v>#REF!</v>
      </c>
      <c r="GT12" t="e">
        <f>AND(Bills!#REF!,"AAAAAFv/+sk=")</f>
        <v>#REF!</v>
      </c>
      <c r="GU12" t="e">
        <f>AND(Bills!#REF!,"AAAAAFv/+so=")</f>
        <v>#REF!</v>
      </c>
      <c r="GV12" t="e">
        <f>AND(Bills!#REF!,"AAAAAFv/+ss=")</f>
        <v>#REF!</v>
      </c>
      <c r="GW12" t="e">
        <f>AND(Bills!#REF!,"AAAAAFv/+sw=")</f>
        <v>#REF!</v>
      </c>
      <c r="GX12" t="e">
        <f>AND(Bills!#REF!,"AAAAAFv/+s0=")</f>
        <v>#REF!</v>
      </c>
      <c r="GY12" t="e">
        <f>AND(Bills!#REF!,"AAAAAFv/+s4=")</f>
        <v>#REF!</v>
      </c>
      <c r="GZ12" t="e">
        <f>AND(Bills!#REF!,"AAAAAFv/+s8=")</f>
        <v>#REF!</v>
      </c>
      <c r="HA12" t="e">
        <f>AND(Bills!#REF!,"AAAAAFv/+tA=")</f>
        <v>#REF!</v>
      </c>
      <c r="HB12" t="e">
        <f>AND(Bills!#REF!,"AAAAAFv/+tE=")</f>
        <v>#REF!</v>
      </c>
      <c r="HC12" t="e">
        <f>AND(Bills!#REF!,"AAAAAFv/+tI=")</f>
        <v>#REF!</v>
      </c>
      <c r="HD12" t="e">
        <f>AND(Bills!#REF!,"AAAAAFv/+tM=")</f>
        <v>#REF!</v>
      </c>
      <c r="HE12" t="e">
        <f>AND(Bills!#REF!,"AAAAAFv/+tQ=")</f>
        <v>#REF!</v>
      </c>
      <c r="HF12" t="e">
        <f>AND(Bills!#REF!,"AAAAAFv/+tU=")</f>
        <v>#REF!</v>
      </c>
      <c r="HG12" t="e">
        <f>AND(Bills!#REF!,"AAAAAFv/+tY=")</f>
        <v>#REF!</v>
      </c>
      <c r="HH12" t="e">
        <f>AND(Bills!#REF!,"AAAAAFv/+tc=")</f>
        <v>#REF!</v>
      </c>
      <c r="HI12" t="e">
        <f>AND(Bills!#REF!,"AAAAAFv/+tg=")</f>
        <v>#REF!</v>
      </c>
      <c r="HJ12" t="e">
        <f>AND(Bills!#REF!,"AAAAAFv/+tk=")</f>
        <v>#REF!</v>
      </c>
      <c r="HK12" t="e">
        <f>AND(Bills!#REF!,"AAAAAFv/+to=")</f>
        <v>#REF!</v>
      </c>
      <c r="HL12" t="e">
        <f>AND(Bills!#REF!,"AAAAAFv/+ts=")</f>
        <v>#REF!</v>
      </c>
      <c r="HM12" t="e">
        <f>AND(Bills!#REF!,"AAAAAFv/+tw=")</f>
        <v>#REF!</v>
      </c>
      <c r="HN12" t="e">
        <f>AND(Bills!#REF!,"AAAAAFv/+t0=")</f>
        <v>#REF!</v>
      </c>
      <c r="HO12" t="e">
        <f>AND(Bills!#REF!,"AAAAAFv/+t4=")</f>
        <v>#REF!</v>
      </c>
      <c r="HP12" t="e">
        <f>AND(Bills!#REF!,"AAAAAFv/+t8=")</f>
        <v>#REF!</v>
      </c>
      <c r="HQ12" t="e">
        <f>AND(Bills!#REF!,"AAAAAFv/+uA=")</f>
        <v>#REF!</v>
      </c>
      <c r="HR12" t="e">
        <f>AND(Bills!#REF!,"AAAAAFv/+uE=")</f>
        <v>#REF!</v>
      </c>
      <c r="HS12" t="e">
        <f>AND(Bills!#REF!,"AAAAAFv/+uI=")</f>
        <v>#REF!</v>
      </c>
      <c r="HT12" t="e">
        <f>AND(Bills!#REF!,"AAAAAFv/+uM=")</f>
        <v>#REF!</v>
      </c>
      <c r="HU12" t="e">
        <f>AND(Bills!#REF!,"AAAAAFv/+uQ=")</f>
        <v>#REF!</v>
      </c>
      <c r="HV12" t="e">
        <f>AND(Bills!#REF!,"AAAAAFv/+uU=")</f>
        <v>#REF!</v>
      </c>
      <c r="HW12" t="e">
        <f>AND(Bills!#REF!,"AAAAAFv/+uY=")</f>
        <v>#REF!</v>
      </c>
      <c r="HX12" t="e">
        <f>AND(Bills!#REF!,"AAAAAFv/+uc=")</f>
        <v>#REF!</v>
      </c>
      <c r="HY12" t="e">
        <f>IF(Bills!#REF!,"AAAAAFv/+ug=",0)</f>
        <v>#REF!</v>
      </c>
      <c r="HZ12" t="e">
        <f>AND(Bills!#REF!,"AAAAAFv/+uk=")</f>
        <v>#REF!</v>
      </c>
      <c r="IA12" t="e">
        <f>AND(Bills!#REF!,"AAAAAFv/+uo=")</f>
        <v>#REF!</v>
      </c>
      <c r="IB12" t="e">
        <f>AND(Bills!#REF!,"AAAAAFv/+us=")</f>
        <v>#REF!</v>
      </c>
      <c r="IC12" t="e">
        <f>AND(Bills!#REF!,"AAAAAFv/+uw=")</f>
        <v>#REF!</v>
      </c>
      <c r="ID12" t="e">
        <f>AND(Bills!#REF!,"AAAAAFv/+u0=")</f>
        <v>#REF!</v>
      </c>
      <c r="IE12" t="e">
        <f>AND(Bills!#REF!,"AAAAAFv/+u4=")</f>
        <v>#REF!</v>
      </c>
      <c r="IF12" t="e">
        <f>AND(Bills!#REF!,"AAAAAFv/+u8=")</f>
        <v>#REF!</v>
      </c>
      <c r="IG12" t="e">
        <f>AND(Bills!#REF!,"AAAAAFv/+vA=")</f>
        <v>#REF!</v>
      </c>
      <c r="IH12" t="e">
        <f>AND(Bills!#REF!,"AAAAAFv/+vE=")</f>
        <v>#REF!</v>
      </c>
      <c r="II12" t="e">
        <f>AND(Bills!#REF!,"AAAAAFv/+vI=")</f>
        <v>#REF!</v>
      </c>
      <c r="IJ12" t="e">
        <f>AND(Bills!#REF!,"AAAAAFv/+vM=")</f>
        <v>#REF!</v>
      </c>
      <c r="IK12" t="e">
        <f>AND(Bills!#REF!,"AAAAAFv/+vQ=")</f>
        <v>#REF!</v>
      </c>
      <c r="IL12" t="e">
        <f>AND(Bills!#REF!,"AAAAAFv/+vU=")</f>
        <v>#REF!</v>
      </c>
      <c r="IM12" t="e">
        <f>AND(Bills!#REF!,"AAAAAFv/+vY=")</f>
        <v>#REF!</v>
      </c>
      <c r="IN12" t="e">
        <f>AND(Bills!#REF!,"AAAAAFv/+vc=")</f>
        <v>#REF!</v>
      </c>
      <c r="IO12" t="e">
        <f>AND(Bills!#REF!,"AAAAAFv/+vg=")</f>
        <v>#REF!</v>
      </c>
      <c r="IP12" t="e">
        <f>AND(Bills!#REF!,"AAAAAFv/+vk=")</f>
        <v>#REF!</v>
      </c>
      <c r="IQ12" t="e">
        <f>AND(Bills!#REF!,"AAAAAFv/+vo=")</f>
        <v>#REF!</v>
      </c>
      <c r="IR12" t="e">
        <f>AND(Bills!#REF!,"AAAAAFv/+vs=")</f>
        <v>#REF!</v>
      </c>
      <c r="IS12" t="e">
        <f>AND(Bills!#REF!,"AAAAAFv/+vw=")</f>
        <v>#REF!</v>
      </c>
      <c r="IT12" t="e">
        <f>AND(Bills!#REF!,"AAAAAFv/+v0=")</f>
        <v>#REF!</v>
      </c>
      <c r="IU12" t="e">
        <f>AND(Bills!#REF!,"AAAAAFv/+v4=")</f>
        <v>#REF!</v>
      </c>
      <c r="IV12" t="e">
        <f>AND(Bills!#REF!,"AAAAAFv/+v8=")</f>
        <v>#REF!</v>
      </c>
    </row>
    <row r="13" spans="1:256" x14ac:dyDescent="0.25">
      <c r="A13" t="e">
        <f>AND(Bills!#REF!,"AAAAADp/rwA=")</f>
        <v>#REF!</v>
      </c>
      <c r="B13" t="e">
        <f>AND(Bills!#REF!,"AAAAADp/rwE=")</f>
        <v>#REF!</v>
      </c>
      <c r="C13" t="e">
        <f>AND(Bills!#REF!,"AAAAADp/rwI=")</f>
        <v>#REF!</v>
      </c>
      <c r="D13" t="e">
        <f>AND(Bills!#REF!,"AAAAADp/rwM=")</f>
        <v>#REF!</v>
      </c>
      <c r="E13" t="e">
        <f>AND(Bills!#REF!,"AAAAADp/rwQ=")</f>
        <v>#REF!</v>
      </c>
      <c r="F13" t="e">
        <f>AND(Bills!#REF!,"AAAAADp/rwU=")</f>
        <v>#REF!</v>
      </c>
      <c r="G13" t="e">
        <f>AND(Bills!#REF!,"AAAAADp/rwY=")</f>
        <v>#REF!</v>
      </c>
      <c r="H13" t="e">
        <f>AND(Bills!#REF!,"AAAAADp/rwc=")</f>
        <v>#REF!</v>
      </c>
      <c r="I13" t="e">
        <f>AND(Bills!#REF!,"AAAAADp/rwg=")</f>
        <v>#REF!</v>
      </c>
      <c r="J13" t="e">
        <f>AND(Bills!#REF!,"AAAAADp/rwk=")</f>
        <v>#REF!</v>
      </c>
      <c r="K13" t="e">
        <f>AND(Bills!#REF!,"AAAAADp/rwo=")</f>
        <v>#REF!</v>
      </c>
      <c r="L13" t="e">
        <f>AND(Bills!#REF!,"AAAAADp/rws=")</f>
        <v>#REF!</v>
      </c>
      <c r="M13" t="e">
        <f>AND(Bills!#REF!,"AAAAADp/rww=")</f>
        <v>#REF!</v>
      </c>
      <c r="N13" t="e">
        <f>AND(Bills!#REF!,"AAAAADp/rw0=")</f>
        <v>#REF!</v>
      </c>
      <c r="O13" t="e">
        <f>AND(Bills!#REF!,"AAAAADp/rw4=")</f>
        <v>#REF!</v>
      </c>
      <c r="P13" t="e">
        <f>AND(Bills!#REF!,"AAAAADp/rw8=")</f>
        <v>#REF!</v>
      </c>
      <c r="Q13" t="e">
        <f>AND(Bills!#REF!,"AAAAADp/rxA=")</f>
        <v>#REF!</v>
      </c>
      <c r="R13" t="e">
        <f>AND(Bills!#REF!,"AAAAADp/rxE=")</f>
        <v>#REF!</v>
      </c>
      <c r="S13" t="e">
        <f>AND(Bills!#REF!,"AAAAADp/rxI=")</f>
        <v>#REF!</v>
      </c>
      <c r="T13" t="e">
        <f>AND(Bills!#REF!,"AAAAADp/rxM=")</f>
        <v>#REF!</v>
      </c>
      <c r="U13" t="e">
        <f>AND(Bills!#REF!,"AAAAADp/rxQ=")</f>
        <v>#REF!</v>
      </c>
      <c r="V13" t="e">
        <f>AND(Bills!#REF!,"AAAAADp/rxU=")</f>
        <v>#REF!</v>
      </c>
      <c r="W13" t="e">
        <f>AND(Bills!#REF!,"AAAAADp/rxY=")</f>
        <v>#REF!</v>
      </c>
      <c r="X13" t="e">
        <f>AND(Bills!#REF!,"AAAAADp/rxc=")</f>
        <v>#REF!</v>
      </c>
      <c r="Y13" t="e">
        <f>AND(Bills!#REF!,"AAAAADp/rxg=")</f>
        <v>#REF!</v>
      </c>
      <c r="Z13" t="e">
        <f>AND(Bills!#REF!,"AAAAADp/rxk=")</f>
        <v>#REF!</v>
      </c>
      <c r="AA13" t="e">
        <f>AND(Bills!#REF!,"AAAAADp/rxo=")</f>
        <v>#REF!</v>
      </c>
      <c r="AB13" t="str">
        <f>IF(Bills!8:8,"AAAAADp/rxs=",0)</f>
        <v>AAAAADp/rxs=</v>
      </c>
      <c r="AC13" t="e">
        <f>AND(Bills!B8,"AAAAADp/rxw=")</f>
        <v>#VALUE!</v>
      </c>
      <c r="AD13" t="e">
        <f>AND(Bills!#REF!,"AAAAADp/rx0=")</f>
        <v>#REF!</v>
      </c>
      <c r="AE13" t="e">
        <f>AND(Bills!C8,"AAAAADp/rx4=")</f>
        <v>#VALUE!</v>
      </c>
      <c r="AF13" t="e">
        <f>AND(Bills!D8,"AAAAADp/rx8=")</f>
        <v>#VALUE!</v>
      </c>
      <c r="AG13" t="e">
        <f>AND(Bills!E8,"AAAAADp/ryA=")</f>
        <v>#VALUE!</v>
      </c>
      <c r="AH13" t="e">
        <f>AND(Bills!#REF!,"AAAAADp/ryE=")</f>
        <v>#REF!</v>
      </c>
      <c r="AI13" t="e">
        <f>AND(Bills!#REF!,"AAAAADp/ryI=")</f>
        <v>#REF!</v>
      </c>
      <c r="AJ13" t="e">
        <f>AND(Bills!#REF!,"AAAAADp/ryM=")</f>
        <v>#REF!</v>
      </c>
      <c r="AK13" t="e">
        <f>AND(Bills!F8,"AAAAADp/ryQ=")</f>
        <v>#VALUE!</v>
      </c>
      <c r="AL13" t="e">
        <f>AND(Bills!#REF!,"AAAAADp/ryU=")</f>
        <v>#REF!</v>
      </c>
      <c r="AM13" t="e">
        <f>AND(Bills!G8,"AAAAADp/ryY=")</f>
        <v>#VALUE!</v>
      </c>
      <c r="AN13" t="e">
        <f>AND(Bills!H8,"AAAAADp/ryc=")</f>
        <v>#VALUE!</v>
      </c>
      <c r="AO13" t="e">
        <f>AND(Bills!I8,"AAAAADp/ryg=")</f>
        <v>#VALUE!</v>
      </c>
      <c r="AP13" t="e">
        <f>AND(Bills!J8,"AAAAADp/ryk=")</f>
        <v>#VALUE!</v>
      </c>
      <c r="AQ13" t="e">
        <f>AND(Bills!K8,"AAAAADp/ryo=")</f>
        <v>#VALUE!</v>
      </c>
      <c r="AR13" t="e">
        <f>AND(Bills!L8,"AAAAADp/rys=")</f>
        <v>#VALUE!</v>
      </c>
      <c r="AS13" t="e">
        <f>AND(Bills!#REF!,"AAAAADp/ryw=")</f>
        <v>#REF!</v>
      </c>
      <c r="AT13" t="e">
        <f>AND(Bills!M8,"AAAAADp/ry0=")</f>
        <v>#VALUE!</v>
      </c>
      <c r="AU13" t="e">
        <f>AND(Bills!N8,"AAAAADp/ry4=")</f>
        <v>#VALUE!</v>
      </c>
      <c r="AV13" t="e">
        <f>AND(Bills!O8,"AAAAADp/ry8=")</f>
        <v>#VALUE!</v>
      </c>
      <c r="AW13" t="e">
        <f>AND(Bills!P8,"AAAAADp/rzA=")</f>
        <v>#VALUE!</v>
      </c>
      <c r="AX13" t="e">
        <f>AND(Bills!Q8,"AAAAADp/rzE=")</f>
        <v>#VALUE!</v>
      </c>
      <c r="AY13" t="e">
        <f>AND(Bills!R8,"AAAAADp/rzI=")</f>
        <v>#VALUE!</v>
      </c>
      <c r="AZ13" t="e">
        <f>AND(Bills!S8,"AAAAADp/rzM=")</f>
        <v>#VALUE!</v>
      </c>
      <c r="BA13" t="e">
        <f>AND(Bills!T8,"AAAAADp/rzQ=")</f>
        <v>#VALUE!</v>
      </c>
      <c r="BB13" t="e">
        <f>AND(Bills!#REF!,"AAAAADp/rzU=")</f>
        <v>#REF!</v>
      </c>
      <c r="BC13" t="e">
        <f>AND(Bills!U8,"AAAAADp/rzY=")</f>
        <v>#VALUE!</v>
      </c>
      <c r="BD13" t="e">
        <f>AND(Bills!V8,"AAAAADp/rzc=")</f>
        <v>#VALUE!</v>
      </c>
      <c r="BE13" t="e">
        <f>AND(Bills!W8,"AAAAADp/rzg=")</f>
        <v>#VALUE!</v>
      </c>
      <c r="BF13" t="e">
        <f>AND(Bills!#REF!,"AAAAADp/rzk=")</f>
        <v>#REF!</v>
      </c>
      <c r="BG13" t="e">
        <f>AND(Bills!#REF!,"AAAAADp/rzo=")</f>
        <v>#REF!</v>
      </c>
      <c r="BH13" t="e">
        <f>AND(Bills!Y8,"AAAAADp/rzs=")</f>
        <v>#VALUE!</v>
      </c>
      <c r="BI13" t="e">
        <f>AND(Bills!Z8,"AAAAADp/rzw=")</f>
        <v>#VALUE!</v>
      </c>
      <c r="BJ13" t="e">
        <f>AND(Bills!#REF!,"AAAAADp/rz0=")</f>
        <v>#REF!</v>
      </c>
      <c r="BK13" t="e">
        <f>AND(Bills!#REF!,"AAAAADp/rz4=")</f>
        <v>#REF!</v>
      </c>
      <c r="BL13" t="e">
        <f>AND(Bills!#REF!,"AAAAADp/rz8=")</f>
        <v>#REF!</v>
      </c>
      <c r="BM13" t="e">
        <f>AND(Bills!#REF!,"AAAAADp/r0A=")</f>
        <v>#REF!</v>
      </c>
      <c r="BN13" t="e">
        <f>AND(Bills!#REF!,"AAAAADp/r0E=")</f>
        <v>#REF!</v>
      </c>
      <c r="BO13" t="e">
        <f>AND(Bills!#REF!,"AAAAADp/r0I=")</f>
        <v>#REF!</v>
      </c>
      <c r="BP13" t="e">
        <f>AND(Bills!#REF!,"AAAAADp/r0M=")</f>
        <v>#REF!</v>
      </c>
      <c r="BQ13" t="e">
        <f>AND(Bills!#REF!,"AAAAADp/r0Q=")</f>
        <v>#REF!</v>
      </c>
      <c r="BR13" t="e">
        <f>AND(Bills!#REF!,"AAAAADp/r0U=")</f>
        <v>#REF!</v>
      </c>
      <c r="BS13" t="e">
        <f>AND(Bills!AA8,"AAAAADp/r0Y=")</f>
        <v>#VALUE!</v>
      </c>
      <c r="BT13" t="e">
        <f>AND(Bills!AB8,"AAAAADp/r0c=")</f>
        <v>#VALUE!</v>
      </c>
      <c r="BU13" t="e">
        <f>AND(Bills!#REF!,"AAAAADp/r0g=")</f>
        <v>#REF!</v>
      </c>
      <c r="BV13" t="e">
        <f>AND(Bills!#REF!,"AAAAADp/r0k=")</f>
        <v>#REF!</v>
      </c>
      <c r="BW13" t="e">
        <f>AND(Bills!#REF!,"AAAAADp/r0o=")</f>
        <v>#REF!</v>
      </c>
      <c r="BX13" t="e">
        <f>AND(Bills!AC8,"AAAAADp/r0s=")</f>
        <v>#VALUE!</v>
      </c>
      <c r="BY13" t="e">
        <f>AND(Bills!AD8,"AAAAADp/r0w=")</f>
        <v>#VALUE!</v>
      </c>
      <c r="BZ13" t="e">
        <f>AND(Bills!AE8,"AAAAADp/r00=")</f>
        <v>#VALUE!</v>
      </c>
      <c r="CA13" t="e">
        <f>IF(Bills!#REF!,"AAAAADp/r04=",0)</f>
        <v>#REF!</v>
      </c>
      <c r="CB13" t="e">
        <f>AND(Bills!#REF!,"AAAAADp/r08=")</f>
        <v>#REF!</v>
      </c>
      <c r="CC13" t="e">
        <f>AND(Bills!#REF!,"AAAAADp/r1A=")</f>
        <v>#REF!</v>
      </c>
      <c r="CD13" t="e">
        <f>AND(Bills!#REF!,"AAAAADp/r1E=")</f>
        <v>#REF!</v>
      </c>
      <c r="CE13" t="e">
        <f>AND(Bills!#REF!,"AAAAADp/r1I=")</f>
        <v>#REF!</v>
      </c>
      <c r="CF13" t="e">
        <f>AND(Bills!#REF!,"AAAAADp/r1M=")</f>
        <v>#REF!</v>
      </c>
      <c r="CG13" t="e">
        <f>AND(Bills!#REF!,"AAAAADp/r1Q=")</f>
        <v>#REF!</v>
      </c>
      <c r="CH13" t="e">
        <f>AND(Bills!#REF!,"AAAAADp/r1U=")</f>
        <v>#REF!</v>
      </c>
      <c r="CI13" t="e">
        <f>AND(Bills!#REF!,"AAAAADp/r1Y=")</f>
        <v>#REF!</v>
      </c>
      <c r="CJ13" t="e">
        <f>AND(Bills!#REF!,"AAAAADp/r1c=")</f>
        <v>#REF!</v>
      </c>
      <c r="CK13" t="e">
        <f>AND(Bills!#REF!,"AAAAADp/r1g=")</f>
        <v>#REF!</v>
      </c>
      <c r="CL13" t="e">
        <f>AND(Bills!#REF!,"AAAAADp/r1k=")</f>
        <v>#REF!</v>
      </c>
      <c r="CM13" t="e">
        <f>AND(Bills!#REF!,"AAAAADp/r1o=")</f>
        <v>#REF!</v>
      </c>
      <c r="CN13" t="e">
        <f>AND(Bills!#REF!,"AAAAADp/r1s=")</f>
        <v>#REF!</v>
      </c>
      <c r="CO13" t="e">
        <f>AND(Bills!#REF!,"AAAAADp/r1w=")</f>
        <v>#REF!</v>
      </c>
      <c r="CP13" t="e">
        <f>AND(Bills!#REF!,"AAAAADp/r10=")</f>
        <v>#REF!</v>
      </c>
      <c r="CQ13" t="e">
        <f>AND(Bills!#REF!,"AAAAADp/r14=")</f>
        <v>#REF!</v>
      </c>
      <c r="CR13" t="e">
        <f>AND(Bills!#REF!,"AAAAADp/r18=")</f>
        <v>#REF!</v>
      </c>
      <c r="CS13" t="e">
        <f>AND(Bills!#REF!,"AAAAADp/r2A=")</f>
        <v>#REF!</v>
      </c>
      <c r="CT13" t="e">
        <f>AND(Bills!#REF!,"AAAAADp/r2E=")</f>
        <v>#REF!</v>
      </c>
      <c r="CU13" t="e">
        <f>AND(Bills!#REF!,"AAAAADp/r2I=")</f>
        <v>#REF!</v>
      </c>
      <c r="CV13" t="e">
        <f>AND(Bills!#REF!,"AAAAADp/r2M=")</f>
        <v>#REF!</v>
      </c>
      <c r="CW13" t="e">
        <f>AND(Bills!#REF!,"AAAAADp/r2Q=")</f>
        <v>#REF!</v>
      </c>
      <c r="CX13" t="e">
        <f>AND(Bills!#REF!,"AAAAADp/r2U=")</f>
        <v>#REF!</v>
      </c>
      <c r="CY13" t="e">
        <f>AND(Bills!#REF!,"AAAAADp/r2Y=")</f>
        <v>#REF!</v>
      </c>
      <c r="CZ13" t="e">
        <f>AND(Bills!#REF!,"AAAAADp/r2c=")</f>
        <v>#REF!</v>
      </c>
      <c r="DA13" t="e">
        <f>AND(Bills!#REF!,"AAAAADp/r2g=")</f>
        <v>#REF!</v>
      </c>
      <c r="DB13" t="e">
        <f>AND(Bills!#REF!,"AAAAADp/r2k=")</f>
        <v>#REF!</v>
      </c>
      <c r="DC13" t="e">
        <f>AND(Bills!#REF!,"AAAAADp/r2o=")</f>
        <v>#REF!</v>
      </c>
      <c r="DD13" t="e">
        <f>AND(Bills!#REF!,"AAAAADp/r2s=")</f>
        <v>#REF!</v>
      </c>
      <c r="DE13" t="e">
        <f>AND(Bills!#REF!,"AAAAADp/r2w=")</f>
        <v>#REF!</v>
      </c>
      <c r="DF13" t="e">
        <f>AND(Bills!#REF!,"AAAAADp/r20=")</f>
        <v>#REF!</v>
      </c>
      <c r="DG13" t="e">
        <f>AND(Bills!#REF!,"AAAAADp/r24=")</f>
        <v>#REF!</v>
      </c>
      <c r="DH13" t="e">
        <f>AND(Bills!#REF!,"AAAAADp/r28=")</f>
        <v>#REF!</v>
      </c>
      <c r="DI13" t="e">
        <f>AND(Bills!#REF!,"AAAAADp/r3A=")</f>
        <v>#REF!</v>
      </c>
      <c r="DJ13" t="e">
        <f>AND(Bills!#REF!,"AAAAADp/r3E=")</f>
        <v>#REF!</v>
      </c>
      <c r="DK13" t="e">
        <f>AND(Bills!#REF!,"AAAAADp/r3I=")</f>
        <v>#REF!</v>
      </c>
      <c r="DL13" t="e">
        <f>AND(Bills!#REF!,"AAAAADp/r3M=")</f>
        <v>#REF!</v>
      </c>
      <c r="DM13" t="e">
        <f>AND(Bills!#REF!,"AAAAADp/r3Q=")</f>
        <v>#REF!</v>
      </c>
      <c r="DN13" t="e">
        <f>AND(Bills!#REF!,"AAAAADp/r3U=")</f>
        <v>#REF!</v>
      </c>
      <c r="DO13" t="e">
        <f>AND(Bills!#REF!,"AAAAADp/r3Y=")</f>
        <v>#REF!</v>
      </c>
      <c r="DP13" t="e">
        <f>AND(Bills!#REF!,"AAAAADp/r3c=")</f>
        <v>#REF!</v>
      </c>
      <c r="DQ13" t="e">
        <f>AND(Bills!#REF!,"AAAAADp/r3g=")</f>
        <v>#REF!</v>
      </c>
      <c r="DR13" t="e">
        <f>AND(Bills!#REF!,"AAAAADp/r3k=")</f>
        <v>#REF!</v>
      </c>
      <c r="DS13" t="e">
        <f>AND(Bills!#REF!,"AAAAADp/r3o=")</f>
        <v>#REF!</v>
      </c>
      <c r="DT13" t="e">
        <f>AND(Bills!#REF!,"AAAAADp/r3s=")</f>
        <v>#REF!</v>
      </c>
      <c r="DU13" t="e">
        <f>AND(Bills!#REF!,"AAAAADp/r3w=")</f>
        <v>#REF!</v>
      </c>
      <c r="DV13" t="e">
        <f>AND(Bills!#REF!,"AAAAADp/r30=")</f>
        <v>#REF!</v>
      </c>
      <c r="DW13" t="e">
        <f>AND(Bills!#REF!,"AAAAADp/r34=")</f>
        <v>#REF!</v>
      </c>
      <c r="DX13" t="e">
        <f>AND(Bills!#REF!,"AAAAADp/r38=")</f>
        <v>#REF!</v>
      </c>
      <c r="DY13" t="e">
        <f>AND(Bills!#REF!,"AAAAADp/r4A=")</f>
        <v>#REF!</v>
      </c>
      <c r="DZ13" t="e">
        <f>IF(Bills!#REF!,"AAAAADp/r4E=",0)</f>
        <v>#REF!</v>
      </c>
      <c r="EA13" t="e">
        <f>AND(Bills!#REF!,"AAAAADp/r4I=")</f>
        <v>#REF!</v>
      </c>
      <c r="EB13" t="e">
        <f>AND(Bills!#REF!,"AAAAADp/r4M=")</f>
        <v>#REF!</v>
      </c>
      <c r="EC13" t="e">
        <f>AND(Bills!#REF!,"AAAAADp/r4Q=")</f>
        <v>#REF!</v>
      </c>
      <c r="ED13" t="e">
        <f>AND(Bills!#REF!,"AAAAADp/r4U=")</f>
        <v>#REF!</v>
      </c>
      <c r="EE13" t="e">
        <f>AND(Bills!#REF!,"AAAAADp/r4Y=")</f>
        <v>#REF!</v>
      </c>
      <c r="EF13" t="e">
        <f>AND(Bills!#REF!,"AAAAADp/r4c=")</f>
        <v>#REF!</v>
      </c>
      <c r="EG13" t="e">
        <f>AND(Bills!#REF!,"AAAAADp/r4g=")</f>
        <v>#REF!</v>
      </c>
      <c r="EH13" t="e">
        <f>AND(Bills!#REF!,"AAAAADp/r4k=")</f>
        <v>#REF!</v>
      </c>
      <c r="EI13" t="e">
        <f>AND(Bills!#REF!,"AAAAADp/r4o=")</f>
        <v>#REF!</v>
      </c>
      <c r="EJ13" t="e">
        <f>AND(Bills!#REF!,"AAAAADp/r4s=")</f>
        <v>#REF!</v>
      </c>
      <c r="EK13" t="e">
        <f>AND(Bills!#REF!,"AAAAADp/r4w=")</f>
        <v>#REF!</v>
      </c>
      <c r="EL13" t="e">
        <f>AND(Bills!#REF!,"AAAAADp/r40=")</f>
        <v>#REF!</v>
      </c>
      <c r="EM13" t="e">
        <f>AND(Bills!#REF!,"AAAAADp/r44=")</f>
        <v>#REF!</v>
      </c>
      <c r="EN13" t="e">
        <f>AND(Bills!#REF!,"AAAAADp/r48=")</f>
        <v>#REF!</v>
      </c>
      <c r="EO13" t="e">
        <f>AND(Bills!#REF!,"AAAAADp/r5A=")</f>
        <v>#REF!</v>
      </c>
      <c r="EP13" t="e">
        <f>AND(Bills!#REF!,"AAAAADp/r5E=")</f>
        <v>#REF!</v>
      </c>
      <c r="EQ13" t="e">
        <f>AND(Bills!#REF!,"AAAAADp/r5I=")</f>
        <v>#REF!</v>
      </c>
      <c r="ER13" t="e">
        <f>AND(Bills!#REF!,"AAAAADp/r5M=")</f>
        <v>#REF!</v>
      </c>
      <c r="ES13" t="e">
        <f>AND(Bills!#REF!,"AAAAADp/r5Q=")</f>
        <v>#REF!</v>
      </c>
      <c r="ET13" t="e">
        <f>AND(Bills!#REF!,"AAAAADp/r5U=")</f>
        <v>#REF!</v>
      </c>
      <c r="EU13" t="e">
        <f>AND(Bills!#REF!,"AAAAADp/r5Y=")</f>
        <v>#REF!</v>
      </c>
      <c r="EV13" t="e">
        <f>AND(Bills!#REF!,"AAAAADp/r5c=")</f>
        <v>#REF!</v>
      </c>
      <c r="EW13" t="e">
        <f>AND(Bills!#REF!,"AAAAADp/r5g=")</f>
        <v>#REF!</v>
      </c>
      <c r="EX13" t="e">
        <f>AND(Bills!#REF!,"AAAAADp/r5k=")</f>
        <v>#REF!</v>
      </c>
      <c r="EY13" t="e">
        <f>AND(Bills!#REF!,"AAAAADp/r5o=")</f>
        <v>#REF!</v>
      </c>
      <c r="EZ13" t="e">
        <f>AND(Bills!#REF!,"AAAAADp/r5s=")</f>
        <v>#REF!</v>
      </c>
      <c r="FA13" t="e">
        <f>AND(Bills!#REF!,"AAAAADp/r5w=")</f>
        <v>#REF!</v>
      </c>
      <c r="FB13" t="e">
        <f>AND(Bills!#REF!,"AAAAADp/r50=")</f>
        <v>#REF!</v>
      </c>
      <c r="FC13" t="e">
        <f>AND(Bills!#REF!,"AAAAADp/r54=")</f>
        <v>#REF!</v>
      </c>
      <c r="FD13" t="e">
        <f>AND(Bills!#REF!,"AAAAADp/r58=")</f>
        <v>#REF!</v>
      </c>
      <c r="FE13" t="e">
        <f>AND(Bills!#REF!,"AAAAADp/r6A=")</f>
        <v>#REF!</v>
      </c>
      <c r="FF13" t="e">
        <f>AND(Bills!#REF!,"AAAAADp/r6E=")</f>
        <v>#REF!</v>
      </c>
      <c r="FG13" t="e">
        <f>AND(Bills!#REF!,"AAAAADp/r6I=")</f>
        <v>#REF!</v>
      </c>
      <c r="FH13" t="e">
        <f>AND(Bills!#REF!,"AAAAADp/r6M=")</f>
        <v>#REF!</v>
      </c>
      <c r="FI13" t="e">
        <f>AND(Bills!#REF!,"AAAAADp/r6Q=")</f>
        <v>#REF!</v>
      </c>
      <c r="FJ13" t="e">
        <f>AND(Bills!#REF!,"AAAAADp/r6U=")</f>
        <v>#REF!</v>
      </c>
      <c r="FK13" t="e">
        <f>AND(Bills!#REF!,"AAAAADp/r6Y=")</f>
        <v>#REF!</v>
      </c>
      <c r="FL13" t="e">
        <f>AND(Bills!#REF!,"AAAAADp/r6c=")</f>
        <v>#REF!</v>
      </c>
      <c r="FM13" t="e">
        <f>AND(Bills!#REF!,"AAAAADp/r6g=")</f>
        <v>#REF!</v>
      </c>
      <c r="FN13" t="e">
        <f>AND(Bills!#REF!,"AAAAADp/r6k=")</f>
        <v>#REF!</v>
      </c>
      <c r="FO13" t="e">
        <f>AND(Bills!#REF!,"AAAAADp/r6o=")</f>
        <v>#REF!</v>
      </c>
      <c r="FP13" t="e">
        <f>AND(Bills!#REF!,"AAAAADp/r6s=")</f>
        <v>#REF!</v>
      </c>
      <c r="FQ13" t="e">
        <f>AND(Bills!#REF!,"AAAAADp/r6w=")</f>
        <v>#REF!</v>
      </c>
      <c r="FR13" t="e">
        <f>AND(Bills!#REF!,"AAAAADp/r60=")</f>
        <v>#REF!</v>
      </c>
      <c r="FS13" t="e">
        <f>AND(Bills!#REF!,"AAAAADp/r64=")</f>
        <v>#REF!</v>
      </c>
      <c r="FT13" t="e">
        <f>AND(Bills!#REF!,"AAAAADp/r68=")</f>
        <v>#REF!</v>
      </c>
      <c r="FU13" t="e">
        <f>AND(Bills!#REF!,"AAAAADp/r7A=")</f>
        <v>#REF!</v>
      </c>
      <c r="FV13" t="e">
        <f>AND(Bills!#REF!,"AAAAADp/r7E=")</f>
        <v>#REF!</v>
      </c>
      <c r="FW13" t="e">
        <f>AND(Bills!#REF!,"AAAAADp/r7I=")</f>
        <v>#REF!</v>
      </c>
      <c r="FX13" t="e">
        <f>AND(Bills!#REF!,"AAAAADp/r7M=")</f>
        <v>#REF!</v>
      </c>
      <c r="FY13" t="e">
        <f>IF(Bills!#REF!,"AAAAADp/r7Q=",0)</f>
        <v>#REF!</v>
      </c>
      <c r="FZ13" t="e">
        <f>AND(Bills!#REF!,"AAAAADp/r7U=")</f>
        <v>#REF!</v>
      </c>
      <c r="GA13" t="e">
        <f>AND(Bills!#REF!,"AAAAADp/r7Y=")</f>
        <v>#REF!</v>
      </c>
      <c r="GB13" t="e">
        <f>AND(Bills!#REF!,"AAAAADp/r7c=")</f>
        <v>#REF!</v>
      </c>
      <c r="GC13" t="e">
        <f>AND(Bills!#REF!,"AAAAADp/r7g=")</f>
        <v>#REF!</v>
      </c>
      <c r="GD13" t="e">
        <f>AND(Bills!#REF!,"AAAAADp/r7k=")</f>
        <v>#REF!</v>
      </c>
      <c r="GE13" t="e">
        <f>AND(Bills!#REF!,"AAAAADp/r7o=")</f>
        <v>#REF!</v>
      </c>
      <c r="GF13" t="e">
        <f>AND(Bills!#REF!,"AAAAADp/r7s=")</f>
        <v>#REF!</v>
      </c>
      <c r="GG13" t="e">
        <f>AND(Bills!#REF!,"AAAAADp/r7w=")</f>
        <v>#REF!</v>
      </c>
      <c r="GH13" t="e">
        <f>AND(Bills!#REF!,"AAAAADp/r70=")</f>
        <v>#REF!</v>
      </c>
      <c r="GI13" t="e">
        <f>AND(Bills!#REF!,"AAAAADp/r74=")</f>
        <v>#REF!</v>
      </c>
      <c r="GJ13" t="e">
        <f>AND(Bills!#REF!,"AAAAADp/r78=")</f>
        <v>#REF!</v>
      </c>
      <c r="GK13" t="e">
        <f>AND(Bills!#REF!,"AAAAADp/r8A=")</f>
        <v>#REF!</v>
      </c>
      <c r="GL13" t="e">
        <f>AND(Bills!#REF!,"AAAAADp/r8E=")</f>
        <v>#REF!</v>
      </c>
      <c r="GM13" t="e">
        <f>AND(Bills!#REF!,"AAAAADp/r8I=")</f>
        <v>#REF!</v>
      </c>
      <c r="GN13" t="e">
        <f>AND(Bills!#REF!,"AAAAADp/r8M=")</f>
        <v>#REF!</v>
      </c>
      <c r="GO13" t="e">
        <f>AND(Bills!#REF!,"AAAAADp/r8Q=")</f>
        <v>#REF!</v>
      </c>
      <c r="GP13" t="e">
        <f>AND(Bills!#REF!,"AAAAADp/r8U=")</f>
        <v>#REF!</v>
      </c>
      <c r="GQ13" t="e">
        <f>AND(Bills!#REF!,"AAAAADp/r8Y=")</f>
        <v>#REF!</v>
      </c>
      <c r="GR13" t="e">
        <f>AND(Bills!#REF!,"AAAAADp/r8c=")</f>
        <v>#REF!</v>
      </c>
      <c r="GS13" t="e">
        <f>AND(Bills!#REF!,"AAAAADp/r8g=")</f>
        <v>#REF!</v>
      </c>
      <c r="GT13" t="e">
        <f>AND(Bills!#REF!,"AAAAADp/r8k=")</f>
        <v>#REF!</v>
      </c>
      <c r="GU13" t="e">
        <f>AND(Bills!#REF!,"AAAAADp/r8o=")</f>
        <v>#REF!</v>
      </c>
      <c r="GV13" t="e">
        <f>AND(Bills!#REF!,"AAAAADp/r8s=")</f>
        <v>#REF!</v>
      </c>
      <c r="GW13" t="e">
        <f>AND(Bills!#REF!,"AAAAADp/r8w=")</f>
        <v>#REF!</v>
      </c>
      <c r="GX13" t="e">
        <f>AND(Bills!#REF!,"AAAAADp/r80=")</f>
        <v>#REF!</v>
      </c>
      <c r="GY13" t="e">
        <f>AND(Bills!#REF!,"AAAAADp/r84=")</f>
        <v>#REF!</v>
      </c>
      <c r="GZ13" t="e">
        <f>AND(Bills!#REF!,"AAAAADp/r88=")</f>
        <v>#REF!</v>
      </c>
      <c r="HA13" t="e">
        <f>AND(Bills!#REF!,"AAAAADp/r9A=")</f>
        <v>#REF!</v>
      </c>
      <c r="HB13" t="e">
        <f>AND(Bills!#REF!,"AAAAADp/r9E=")</f>
        <v>#REF!</v>
      </c>
      <c r="HC13" t="e">
        <f>AND(Bills!#REF!,"AAAAADp/r9I=")</f>
        <v>#REF!</v>
      </c>
      <c r="HD13" t="e">
        <f>AND(Bills!#REF!,"AAAAADp/r9M=")</f>
        <v>#REF!</v>
      </c>
      <c r="HE13" t="e">
        <f>AND(Bills!#REF!,"AAAAADp/r9Q=")</f>
        <v>#REF!</v>
      </c>
      <c r="HF13" t="e">
        <f>AND(Bills!#REF!,"AAAAADp/r9U=")</f>
        <v>#REF!</v>
      </c>
      <c r="HG13" t="e">
        <f>AND(Bills!#REF!,"AAAAADp/r9Y=")</f>
        <v>#REF!</v>
      </c>
      <c r="HH13" t="e">
        <f>AND(Bills!#REF!,"AAAAADp/r9c=")</f>
        <v>#REF!</v>
      </c>
      <c r="HI13" t="e">
        <f>AND(Bills!#REF!,"AAAAADp/r9g=")</f>
        <v>#REF!</v>
      </c>
      <c r="HJ13" t="e">
        <f>AND(Bills!#REF!,"AAAAADp/r9k=")</f>
        <v>#REF!</v>
      </c>
      <c r="HK13" t="e">
        <f>AND(Bills!#REF!,"AAAAADp/r9o=")</f>
        <v>#REF!</v>
      </c>
      <c r="HL13" t="e">
        <f>AND(Bills!#REF!,"AAAAADp/r9s=")</f>
        <v>#REF!</v>
      </c>
      <c r="HM13" t="e">
        <f>AND(Bills!#REF!,"AAAAADp/r9w=")</f>
        <v>#REF!</v>
      </c>
      <c r="HN13" t="e">
        <f>AND(Bills!#REF!,"AAAAADp/r90=")</f>
        <v>#REF!</v>
      </c>
      <c r="HO13" t="e">
        <f>AND(Bills!#REF!,"AAAAADp/r94=")</f>
        <v>#REF!</v>
      </c>
      <c r="HP13" t="e">
        <f>AND(Bills!#REF!,"AAAAADp/r98=")</f>
        <v>#REF!</v>
      </c>
      <c r="HQ13" t="e">
        <f>AND(Bills!#REF!,"AAAAADp/r+A=")</f>
        <v>#REF!</v>
      </c>
      <c r="HR13" t="e">
        <f>AND(Bills!#REF!,"AAAAADp/r+E=")</f>
        <v>#REF!</v>
      </c>
      <c r="HS13" t="e">
        <f>AND(Bills!#REF!,"AAAAADp/r+I=")</f>
        <v>#REF!</v>
      </c>
      <c r="HT13" t="e">
        <f>AND(Bills!#REF!,"AAAAADp/r+M=")</f>
        <v>#REF!</v>
      </c>
      <c r="HU13" t="e">
        <f>AND(Bills!#REF!,"AAAAADp/r+Q=")</f>
        <v>#REF!</v>
      </c>
      <c r="HV13" t="e">
        <f>AND(Bills!#REF!,"AAAAADp/r+U=")</f>
        <v>#REF!</v>
      </c>
      <c r="HW13" t="e">
        <f>AND(Bills!#REF!,"AAAAADp/r+Y=")</f>
        <v>#REF!</v>
      </c>
      <c r="HX13" t="e">
        <f>IF(Bills!#REF!,"AAAAADp/r+c=",0)</f>
        <v>#REF!</v>
      </c>
      <c r="HY13" t="e">
        <f>AND(Bills!#REF!,"AAAAADp/r+g=")</f>
        <v>#REF!</v>
      </c>
      <c r="HZ13" t="e">
        <f>AND(Bills!#REF!,"AAAAADp/r+k=")</f>
        <v>#REF!</v>
      </c>
      <c r="IA13" t="e">
        <f>AND(Bills!#REF!,"AAAAADp/r+o=")</f>
        <v>#REF!</v>
      </c>
      <c r="IB13" t="e">
        <f>AND(Bills!#REF!,"AAAAADp/r+s=")</f>
        <v>#REF!</v>
      </c>
      <c r="IC13" t="e">
        <f>AND(Bills!#REF!,"AAAAADp/r+w=")</f>
        <v>#REF!</v>
      </c>
      <c r="ID13" t="e">
        <f>AND(Bills!#REF!,"AAAAADp/r+0=")</f>
        <v>#REF!</v>
      </c>
      <c r="IE13" t="e">
        <f>AND(Bills!#REF!,"AAAAADp/r+4=")</f>
        <v>#REF!</v>
      </c>
      <c r="IF13" t="e">
        <f>AND(Bills!#REF!,"AAAAADp/r+8=")</f>
        <v>#REF!</v>
      </c>
      <c r="IG13" t="e">
        <f>AND(Bills!#REF!,"AAAAADp/r/A=")</f>
        <v>#REF!</v>
      </c>
      <c r="IH13" t="e">
        <f>AND(Bills!#REF!,"AAAAADp/r/E=")</f>
        <v>#REF!</v>
      </c>
      <c r="II13" t="e">
        <f>AND(Bills!#REF!,"AAAAADp/r/I=")</f>
        <v>#REF!</v>
      </c>
      <c r="IJ13" t="e">
        <f>AND(Bills!#REF!,"AAAAADp/r/M=")</f>
        <v>#REF!</v>
      </c>
      <c r="IK13" t="e">
        <f>AND(Bills!#REF!,"AAAAADp/r/Q=")</f>
        <v>#REF!</v>
      </c>
      <c r="IL13" t="e">
        <f>AND(Bills!#REF!,"AAAAADp/r/U=")</f>
        <v>#REF!</v>
      </c>
      <c r="IM13" t="e">
        <f>AND(Bills!#REF!,"AAAAADp/r/Y=")</f>
        <v>#REF!</v>
      </c>
      <c r="IN13" t="e">
        <f>AND(Bills!#REF!,"AAAAADp/r/c=")</f>
        <v>#REF!</v>
      </c>
      <c r="IO13" t="e">
        <f>AND(Bills!#REF!,"AAAAADp/r/g=")</f>
        <v>#REF!</v>
      </c>
      <c r="IP13" t="e">
        <f>AND(Bills!#REF!,"AAAAADp/r/k=")</f>
        <v>#REF!</v>
      </c>
      <c r="IQ13" t="e">
        <f>AND(Bills!#REF!,"AAAAADp/r/o=")</f>
        <v>#REF!</v>
      </c>
      <c r="IR13" t="e">
        <f>AND(Bills!#REF!,"AAAAADp/r/s=")</f>
        <v>#REF!</v>
      </c>
      <c r="IS13" t="e">
        <f>AND(Bills!#REF!,"AAAAADp/r/w=")</f>
        <v>#REF!</v>
      </c>
      <c r="IT13" t="e">
        <f>AND(Bills!#REF!,"AAAAADp/r/0=")</f>
        <v>#REF!</v>
      </c>
      <c r="IU13" t="e">
        <f>AND(Bills!#REF!,"AAAAADp/r/4=")</f>
        <v>#REF!</v>
      </c>
      <c r="IV13" t="e">
        <f>AND(Bills!#REF!,"AAAAADp/r/8=")</f>
        <v>#REF!</v>
      </c>
    </row>
    <row r="14" spans="1:256" x14ac:dyDescent="0.25">
      <c r="A14" t="e">
        <f>AND(Bills!#REF!,"AAAAAHbzbQA=")</f>
        <v>#REF!</v>
      </c>
      <c r="B14" t="e">
        <f>AND(Bills!#REF!,"AAAAAHbzbQE=")</f>
        <v>#REF!</v>
      </c>
      <c r="C14" t="e">
        <f>AND(Bills!#REF!,"AAAAAHbzbQI=")</f>
        <v>#REF!</v>
      </c>
      <c r="D14" t="e">
        <f>AND(Bills!#REF!,"AAAAAHbzbQM=")</f>
        <v>#REF!</v>
      </c>
      <c r="E14" t="e">
        <f>AND(Bills!#REF!,"AAAAAHbzbQQ=")</f>
        <v>#REF!</v>
      </c>
      <c r="F14" t="e">
        <f>AND(Bills!#REF!,"AAAAAHbzbQU=")</f>
        <v>#REF!</v>
      </c>
      <c r="G14" t="e">
        <f>AND(Bills!#REF!,"AAAAAHbzbQY=")</f>
        <v>#REF!</v>
      </c>
      <c r="H14" t="e">
        <f>AND(Bills!#REF!,"AAAAAHbzbQc=")</f>
        <v>#REF!</v>
      </c>
      <c r="I14" t="e">
        <f>AND(Bills!#REF!,"AAAAAHbzbQg=")</f>
        <v>#REF!</v>
      </c>
      <c r="J14" t="e">
        <f>AND(Bills!#REF!,"AAAAAHbzbQk=")</f>
        <v>#REF!</v>
      </c>
      <c r="K14" t="e">
        <f>AND(Bills!#REF!,"AAAAAHbzbQo=")</f>
        <v>#REF!</v>
      </c>
      <c r="L14" t="e">
        <f>AND(Bills!#REF!,"AAAAAHbzbQs=")</f>
        <v>#REF!</v>
      </c>
      <c r="M14" t="e">
        <f>AND(Bills!#REF!,"AAAAAHbzbQw=")</f>
        <v>#REF!</v>
      </c>
      <c r="N14" t="e">
        <f>AND(Bills!#REF!,"AAAAAHbzbQ0=")</f>
        <v>#REF!</v>
      </c>
      <c r="O14" t="e">
        <f>AND(Bills!#REF!,"AAAAAHbzbQ4=")</f>
        <v>#REF!</v>
      </c>
      <c r="P14" t="e">
        <f>AND(Bills!#REF!,"AAAAAHbzbQ8=")</f>
        <v>#REF!</v>
      </c>
      <c r="Q14" t="e">
        <f>AND(Bills!#REF!,"AAAAAHbzbRA=")</f>
        <v>#REF!</v>
      </c>
      <c r="R14" t="e">
        <f>AND(Bills!#REF!,"AAAAAHbzbRE=")</f>
        <v>#REF!</v>
      </c>
      <c r="S14" t="e">
        <f>AND(Bills!#REF!,"AAAAAHbzbRI=")</f>
        <v>#REF!</v>
      </c>
      <c r="T14" t="e">
        <f>AND(Bills!#REF!,"AAAAAHbzbRM=")</f>
        <v>#REF!</v>
      </c>
      <c r="U14" t="e">
        <f>AND(Bills!#REF!,"AAAAAHbzbRQ=")</f>
        <v>#REF!</v>
      </c>
      <c r="V14" t="e">
        <f>AND(Bills!#REF!,"AAAAAHbzbRU=")</f>
        <v>#REF!</v>
      </c>
      <c r="W14" t="e">
        <f>AND(Bills!#REF!,"AAAAAHbzbRY=")</f>
        <v>#REF!</v>
      </c>
      <c r="X14" t="e">
        <f>AND(Bills!#REF!,"AAAAAHbzbRc=")</f>
        <v>#REF!</v>
      </c>
      <c r="Y14" t="e">
        <f>AND(Bills!#REF!,"AAAAAHbzbRg=")</f>
        <v>#REF!</v>
      </c>
      <c r="Z14" t="e">
        <f>AND(Bills!#REF!,"AAAAAHbzbRk=")</f>
        <v>#REF!</v>
      </c>
      <c r="AA14" t="e">
        <f>IF(Bills!#REF!,"AAAAAHbzbRo=",0)</f>
        <v>#REF!</v>
      </c>
      <c r="AB14" t="e">
        <f>AND(Bills!#REF!,"AAAAAHbzbRs=")</f>
        <v>#REF!</v>
      </c>
      <c r="AC14" t="e">
        <f>AND(Bills!#REF!,"AAAAAHbzbRw=")</f>
        <v>#REF!</v>
      </c>
      <c r="AD14" t="e">
        <f>AND(Bills!#REF!,"AAAAAHbzbR0=")</f>
        <v>#REF!</v>
      </c>
      <c r="AE14" t="e">
        <f>AND(Bills!#REF!,"AAAAAHbzbR4=")</f>
        <v>#REF!</v>
      </c>
      <c r="AF14" t="e">
        <f>AND(Bills!#REF!,"AAAAAHbzbR8=")</f>
        <v>#REF!</v>
      </c>
      <c r="AG14" t="e">
        <f>AND(Bills!#REF!,"AAAAAHbzbSA=")</f>
        <v>#REF!</v>
      </c>
      <c r="AH14" t="e">
        <f>AND(Bills!#REF!,"AAAAAHbzbSE=")</f>
        <v>#REF!</v>
      </c>
      <c r="AI14" t="e">
        <f>AND(Bills!#REF!,"AAAAAHbzbSI=")</f>
        <v>#REF!</v>
      </c>
      <c r="AJ14" t="e">
        <f>AND(Bills!#REF!,"AAAAAHbzbSM=")</f>
        <v>#REF!</v>
      </c>
      <c r="AK14" t="e">
        <f>AND(Bills!#REF!,"AAAAAHbzbSQ=")</f>
        <v>#REF!</v>
      </c>
      <c r="AL14" t="e">
        <f>AND(Bills!#REF!,"AAAAAHbzbSU=")</f>
        <v>#REF!</v>
      </c>
      <c r="AM14" t="e">
        <f>AND(Bills!#REF!,"AAAAAHbzbSY=")</f>
        <v>#REF!</v>
      </c>
      <c r="AN14" t="e">
        <f>AND(Bills!#REF!,"AAAAAHbzbSc=")</f>
        <v>#REF!</v>
      </c>
      <c r="AO14" t="e">
        <f>AND(Bills!#REF!,"AAAAAHbzbSg=")</f>
        <v>#REF!</v>
      </c>
      <c r="AP14" t="e">
        <f>AND(Bills!#REF!,"AAAAAHbzbSk=")</f>
        <v>#REF!</v>
      </c>
      <c r="AQ14" t="e">
        <f>AND(Bills!#REF!,"AAAAAHbzbSo=")</f>
        <v>#REF!</v>
      </c>
      <c r="AR14" t="e">
        <f>AND(Bills!#REF!,"AAAAAHbzbSs=")</f>
        <v>#REF!</v>
      </c>
      <c r="AS14" t="e">
        <f>AND(Bills!#REF!,"AAAAAHbzbSw=")</f>
        <v>#REF!</v>
      </c>
      <c r="AT14" t="e">
        <f>AND(Bills!#REF!,"AAAAAHbzbS0=")</f>
        <v>#REF!</v>
      </c>
      <c r="AU14" t="e">
        <f>AND(Bills!#REF!,"AAAAAHbzbS4=")</f>
        <v>#REF!</v>
      </c>
      <c r="AV14" t="e">
        <f>AND(Bills!#REF!,"AAAAAHbzbS8=")</f>
        <v>#REF!</v>
      </c>
      <c r="AW14" t="e">
        <f>AND(Bills!#REF!,"AAAAAHbzbTA=")</f>
        <v>#REF!</v>
      </c>
      <c r="AX14" t="e">
        <f>AND(Bills!#REF!,"AAAAAHbzbTE=")</f>
        <v>#REF!</v>
      </c>
      <c r="AY14" t="e">
        <f>AND(Bills!#REF!,"AAAAAHbzbTI=")</f>
        <v>#REF!</v>
      </c>
      <c r="AZ14" t="e">
        <f>AND(Bills!#REF!,"AAAAAHbzbTM=")</f>
        <v>#REF!</v>
      </c>
      <c r="BA14" t="e">
        <f>AND(Bills!#REF!,"AAAAAHbzbTQ=")</f>
        <v>#REF!</v>
      </c>
      <c r="BB14" t="e">
        <f>AND(Bills!#REF!,"AAAAAHbzbTU=")</f>
        <v>#REF!</v>
      </c>
      <c r="BC14" t="e">
        <f>AND(Bills!#REF!,"AAAAAHbzbTY=")</f>
        <v>#REF!</v>
      </c>
      <c r="BD14" t="e">
        <f>AND(Bills!#REF!,"AAAAAHbzbTc=")</f>
        <v>#REF!</v>
      </c>
      <c r="BE14" t="e">
        <f>AND(Bills!#REF!,"AAAAAHbzbTg=")</f>
        <v>#REF!</v>
      </c>
      <c r="BF14" t="e">
        <f>AND(Bills!#REF!,"AAAAAHbzbTk=")</f>
        <v>#REF!</v>
      </c>
      <c r="BG14" t="e">
        <f>AND(Bills!#REF!,"AAAAAHbzbTo=")</f>
        <v>#REF!</v>
      </c>
      <c r="BH14" t="e">
        <f>AND(Bills!#REF!,"AAAAAHbzbTs=")</f>
        <v>#REF!</v>
      </c>
      <c r="BI14" t="e">
        <f>AND(Bills!#REF!,"AAAAAHbzbTw=")</f>
        <v>#REF!</v>
      </c>
      <c r="BJ14" t="e">
        <f>AND(Bills!#REF!,"AAAAAHbzbT0=")</f>
        <v>#REF!</v>
      </c>
      <c r="BK14" t="e">
        <f>AND(Bills!#REF!,"AAAAAHbzbT4=")</f>
        <v>#REF!</v>
      </c>
      <c r="BL14" t="e">
        <f>AND(Bills!#REF!,"AAAAAHbzbT8=")</f>
        <v>#REF!</v>
      </c>
      <c r="BM14" t="e">
        <f>AND(Bills!#REF!,"AAAAAHbzbUA=")</f>
        <v>#REF!</v>
      </c>
      <c r="BN14" t="e">
        <f>AND(Bills!#REF!,"AAAAAHbzbUE=")</f>
        <v>#REF!</v>
      </c>
      <c r="BO14" t="e">
        <f>AND(Bills!#REF!,"AAAAAHbzbUI=")</f>
        <v>#REF!</v>
      </c>
      <c r="BP14" t="e">
        <f>AND(Bills!#REF!,"AAAAAHbzbUM=")</f>
        <v>#REF!</v>
      </c>
      <c r="BQ14" t="e">
        <f>AND(Bills!#REF!,"AAAAAHbzbUQ=")</f>
        <v>#REF!</v>
      </c>
      <c r="BR14" t="e">
        <f>AND(Bills!#REF!,"AAAAAHbzbUU=")</f>
        <v>#REF!</v>
      </c>
      <c r="BS14" t="e">
        <f>AND(Bills!#REF!,"AAAAAHbzbUY=")</f>
        <v>#REF!</v>
      </c>
      <c r="BT14" t="e">
        <f>AND(Bills!#REF!,"AAAAAHbzbUc=")</f>
        <v>#REF!</v>
      </c>
      <c r="BU14" t="e">
        <f>AND(Bills!#REF!,"AAAAAHbzbUg=")</f>
        <v>#REF!</v>
      </c>
      <c r="BV14" t="e">
        <f>AND(Bills!#REF!,"AAAAAHbzbUk=")</f>
        <v>#REF!</v>
      </c>
      <c r="BW14" t="e">
        <f>AND(Bills!#REF!,"AAAAAHbzbUo=")</f>
        <v>#REF!</v>
      </c>
      <c r="BX14" t="e">
        <f>AND(Bills!#REF!,"AAAAAHbzbUs=")</f>
        <v>#REF!</v>
      </c>
      <c r="BY14" t="e">
        <f>AND(Bills!#REF!,"AAAAAHbzbUw=")</f>
        <v>#REF!</v>
      </c>
      <c r="BZ14" t="e">
        <f>IF(Bills!#REF!,"AAAAAHbzbU0=",0)</f>
        <v>#REF!</v>
      </c>
      <c r="CA14" t="e">
        <f>AND(Bills!#REF!,"AAAAAHbzbU4=")</f>
        <v>#REF!</v>
      </c>
      <c r="CB14" t="e">
        <f>AND(Bills!#REF!,"AAAAAHbzbU8=")</f>
        <v>#REF!</v>
      </c>
      <c r="CC14" t="e">
        <f>AND(Bills!#REF!,"AAAAAHbzbVA=")</f>
        <v>#REF!</v>
      </c>
      <c r="CD14" t="e">
        <f>AND(Bills!#REF!,"AAAAAHbzbVE=")</f>
        <v>#REF!</v>
      </c>
      <c r="CE14" t="e">
        <f>AND(Bills!#REF!,"AAAAAHbzbVI=")</f>
        <v>#REF!</v>
      </c>
      <c r="CF14" t="e">
        <f>AND(Bills!#REF!,"AAAAAHbzbVM=")</f>
        <v>#REF!</v>
      </c>
      <c r="CG14" t="e">
        <f>AND(Bills!#REF!,"AAAAAHbzbVQ=")</f>
        <v>#REF!</v>
      </c>
      <c r="CH14" t="e">
        <f>AND(Bills!#REF!,"AAAAAHbzbVU=")</f>
        <v>#REF!</v>
      </c>
      <c r="CI14" t="e">
        <f>AND(Bills!#REF!,"AAAAAHbzbVY=")</f>
        <v>#REF!</v>
      </c>
      <c r="CJ14" t="e">
        <f>AND(Bills!#REF!,"AAAAAHbzbVc=")</f>
        <v>#REF!</v>
      </c>
      <c r="CK14" t="e">
        <f>AND(Bills!#REF!,"AAAAAHbzbVg=")</f>
        <v>#REF!</v>
      </c>
      <c r="CL14" t="e">
        <f>AND(Bills!#REF!,"AAAAAHbzbVk=")</f>
        <v>#REF!</v>
      </c>
      <c r="CM14" t="e">
        <f>AND(Bills!#REF!,"AAAAAHbzbVo=")</f>
        <v>#REF!</v>
      </c>
      <c r="CN14" t="e">
        <f>AND(Bills!#REF!,"AAAAAHbzbVs=")</f>
        <v>#REF!</v>
      </c>
      <c r="CO14" t="e">
        <f>AND(Bills!#REF!,"AAAAAHbzbVw=")</f>
        <v>#REF!</v>
      </c>
      <c r="CP14" t="e">
        <f>AND(Bills!#REF!,"AAAAAHbzbV0=")</f>
        <v>#REF!</v>
      </c>
      <c r="CQ14" t="e">
        <f>AND(Bills!#REF!,"AAAAAHbzbV4=")</f>
        <v>#REF!</v>
      </c>
      <c r="CR14" t="e">
        <f>AND(Bills!#REF!,"AAAAAHbzbV8=")</f>
        <v>#REF!</v>
      </c>
      <c r="CS14" t="e">
        <f>AND(Bills!#REF!,"AAAAAHbzbWA=")</f>
        <v>#REF!</v>
      </c>
      <c r="CT14" t="e">
        <f>AND(Bills!#REF!,"AAAAAHbzbWE=")</f>
        <v>#REF!</v>
      </c>
      <c r="CU14" t="e">
        <f>AND(Bills!#REF!,"AAAAAHbzbWI=")</f>
        <v>#REF!</v>
      </c>
      <c r="CV14" t="e">
        <f>AND(Bills!#REF!,"AAAAAHbzbWM=")</f>
        <v>#REF!</v>
      </c>
      <c r="CW14" t="e">
        <f>AND(Bills!#REF!,"AAAAAHbzbWQ=")</f>
        <v>#REF!</v>
      </c>
      <c r="CX14" t="e">
        <f>AND(Bills!#REF!,"AAAAAHbzbWU=")</f>
        <v>#REF!</v>
      </c>
      <c r="CY14" t="e">
        <f>AND(Bills!#REF!,"AAAAAHbzbWY=")</f>
        <v>#REF!</v>
      </c>
      <c r="CZ14" t="e">
        <f>AND(Bills!#REF!,"AAAAAHbzbWc=")</f>
        <v>#REF!</v>
      </c>
      <c r="DA14" t="e">
        <f>AND(Bills!#REF!,"AAAAAHbzbWg=")</f>
        <v>#REF!</v>
      </c>
      <c r="DB14" t="e">
        <f>AND(Bills!#REF!,"AAAAAHbzbWk=")</f>
        <v>#REF!</v>
      </c>
      <c r="DC14" t="e">
        <f>AND(Bills!#REF!,"AAAAAHbzbWo=")</f>
        <v>#REF!</v>
      </c>
      <c r="DD14" t="e">
        <f>AND(Bills!#REF!,"AAAAAHbzbWs=")</f>
        <v>#REF!</v>
      </c>
      <c r="DE14" t="e">
        <f>AND(Bills!#REF!,"AAAAAHbzbWw=")</f>
        <v>#REF!</v>
      </c>
      <c r="DF14" t="e">
        <f>AND(Bills!#REF!,"AAAAAHbzbW0=")</f>
        <v>#REF!</v>
      </c>
      <c r="DG14" t="e">
        <f>AND(Bills!#REF!,"AAAAAHbzbW4=")</f>
        <v>#REF!</v>
      </c>
      <c r="DH14" t="e">
        <f>AND(Bills!#REF!,"AAAAAHbzbW8=")</f>
        <v>#REF!</v>
      </c>
      <c r="DI14" t="e">
        <f>AND(Bills!#REF!,"AAAAAHbzbXA=")</f>
        <v>#REF!</v>
      </c>
      <c r="DJ14" t="e">
        <f>AND(Bills!#REF!,"AAAAAHbzbXE=")</f>
        <v>#REF!</v>
      </c>
      <c r="DK14" t="e">
        <f>AND(Bills!#REF!,"AAAAAHbzbXI=")</f>
        <v>#REF!</v>
      </c>
      <c r="DL14" t="e">
        <f>AND(Bills!#REF!,"AAAAAHbzbXM=")</f>
        <v>#REF!</v>
      </c>
      <c r="DM14" t="e">
        <f>AND(Bills!#REF!,"AAAAAHbzbXQ=")</f>
        <v>#REF!</v>
      </c>
      <c r="DN14" t="e">
        <f>AND(Bills!#REF!,"AAAAAHbzbXU=")</f>
        <v>#REF!</v>
      </c>
      <c r="DO14" t="e">
        <f>AND(Bills!#REF!,"AAAAAHbzbXY=")</f>
        <v>#REF!</v>
      </c>
      <c r="DP14" t="e">
        <f>AND(Bills!#REF!,"AAAAAHbzbXc=")</f>
        <v>#REF!</v>
      </c>
      <c r="DQ14" t="e">
        <f>AND(Bills!#REF!,"AAAAAHbzbXg=")</f>
        <v>#REF!</v>
      </c>
      <c r="DR14" t="e">
        <f>AND(Bills!#REF!,"AAAAAHbzbXk=")</f>
        <v>#REF!</v>
      </c>
      <c r="DS14" t="e">
        <f>AND(Bills!#REF!,"AAAAAHbzbXo=")</f>
        <v>#REF!</v>
      </c>
      <c r="DT14" t="e">
        <f>AND(Bills!#REF!,"AAAAAHbzbXs=")</f>
        <v>#REF!</v>
      </c>
      <c r="DU14" t="e">
        <f>AND(Bills!#REF!,"AAAAAHbzbXw=")</f>
        <v>#REF!</v>
      </c>
      <c r="DV14" t="e">
        <f>AND(Bills!#REF!,"AAAAAHbzbX0=")</f>
        <v>#REF!</v>
      </c>
      <c r="DW14" t="e">
        <f>AND(Bills!#REF!,"AAAAAHbzbX4=")</f>
        <v>#REF!</v>
      </c>
      <c r="DX14" t="e">
        <f>AND(Bills!#REF!,"AAAAAHbzbX8=")</f>
        <v>#REF!</v>
      </c>
      <c r="DY14" t="e">
        <f>IF(Bills!#REF!,"AAAAAHbzbYA=",0)</f>
        <v>#REF!</v>
      </c>
      <c r="DZ14" t="e">
        <f>AND(Bills!#REF!,"AAAAAHbzbYE=")</f>
        <v>#REF!</v>
      </c>
      <c r="EA14" t="e">
        <f>AND(Bills!#REF!,"AAAAAHbzbYI=")</f>
        <v>#REF!</v>
      </c>
      <c r="EB14" t="e">
        <f>AND(Bills!#REF!,"AAAAAHbzbYM=")</f>
        <v>#REF!</v>
      </c>
      <c r="EC14" t="e">
        <f>AND(Bills!#REF!,"AAAAAHbzbYQ=")</f>
        <v>#REF!</v>
      </c>
      <c r="ED14" t="e">
        <f>AND(Bills!#REF!,"AAAAAHbzbYU=")</f>
        <v>#REF!</v>
      </c>
      <c r="EE14" t="e">
        <f>AND(Bills!#REF!,"AAAAAHbzbYY=")</f>
        <v>#REF!</v>
      </c>
      <c r="EF14" t="e">
        <f>AND(Bills!#REF!,"AAAAAHbzbYc=")</f>
        <v>#REF!</v>
      </c>
      <c r="EG14" t="e">
        <f>AND(Bills!#REF!,"AAAAAHbzbYg=")</f>
        <v>#REF!</v>
      </c>
      <c r="EH14" t="e">
        <f>AND(Bills!#REF!,"AAAAAHbzbYk=")</f>
        <v>#REF!</v>
      </c>
      <c r="EI14" t="e">
        <f>AND(Bills!#REF!,"AAAAAHbzbYo=")</f>
        <v>#REF!</v>
      </c>
      <c r="EJ14" t="e">
        <f>AND(Bills!#REF!,"AAAAAHbzbYs=")</f>
        <v>#REF!</v>
      </c>
      <c r="EK14" t="e">
        <f>AND(Bills!#REF!,"AAAAAHbzbYw=")</f>
        <v>#REF!</v>
      </c>
      <c r="EL14" t="e">
        <f>AND(Bills!#REF!,"AAAAAHbzbY0=")</f>
        <v>#REF!</v>
      </c>
      <c r="EM14" t="e">
        <f>AND(Bills!#REF!,"AAAAAHbzbY4=")</f>
        <v>#REF!</v>
      </c>
      <c r="EN14" t="e">
        <f>AND(Bills!#REF!,"AAAAAHbzbY8=")</f>
        <v>#REF!</v>
      </c>
      <c r="EO14" t="e">
        <f>AND(Bills!#REF!,"AAAAAHbzbZA=")</f>
        <v>#REF!</v>
      </c>
      <c r="EP14" t="e">
        <f>AND(Bills!#REF!,"AAAAAHbzbZE=")</f>
        <v>#REF!</v>
      </c>
      <c r="EQ14" t="e">
        <f>AND(Bills!#REF!,"AAAAAHbzbZI=")</f>
        <v>#REF!</v>
      </c>
      <c r="ER14" t="e">
        <f>AND(Bills!#REF!,"AAAAAHbzbZM=")</f>
        <v>#REF!</v>
      </c>
      <c r="ES14" t="e">
        <f>AND(Bills!#REF!,"AAAAAHbzbZQ=")</f>
        <v>#REF!</v>
      </c>
      <c r="ET14" t="e">
        <f>AND(Bills!#REF!,"AAAAAHbzbZU=")</f>
        <v>#REF!</v>
      </c>
      <c r="EU14" t="e">
        <f>AND(Bills!#REF!,"AAAAAHbzbZY=")</f>
        <v>#REF!</v>
      </c>
      <c r="EV14" t="e">
        <f>AND(Bills!#REF!,"AAAAAHbzbZc=")</f>
        <v>#REF!</v>
      </c>
      <c r="EW14" t="e">
        <f>AND(Bills!#REF!,"AAAAAHbzbZg=")</f>
        <v>#REF!</v>
      </c>
      <c r="EX14" t="e">
        <f>AND(Bills!#REF!,"AAAAAHbzbZk=")</f>
        <v>#REF!</v>
      </c>
      <c r="EY14" t="e">
        <f>AND(Bills!#REF!,"AAAAAHbzbZo=")</f>
        <v>#REF!</v>
      </c>
      <c r="EZ14" t="e">
        <f>AND(Bills!#REF!,"AAAAAHbzbZs=")</f>
        <v>#REF!</v>
      </c>
      <c r="FA14" t="e">
        <f>AND(Bills!#REF!,"AAAAAHbzbZw=")</f>
        <v>#REF!</v>
      </c>
      <c r="FB14" t="e">
        <f>AND(Bills!#REF!,"AAAAAHbzbZ0=")</f>
        <v>#REF!</v>
      </c>
      <c r="FC14" t="e">
        <f>AND(Bills!#REF!,"AAAAAHbzbZ4=")</f>
        <v>#REF!</v>
      </c>
      <c r="FD14" t="e">
        <f>AND(Bills!#REF!,"AAAAAHbzbZ8=")</f>
        <v>#REF!</v>
      </c>
      <c r="FE14" t="e">
        <f>AND(Bills!#REF!,"AAAAAHbzbaA=")</f>
        <v>#REF!</v>
      </c>
      <c r="FF14" t="e">
        <f>AND(Bills!#REF!,"AAAAAHbzbaE=")</f>
        <v>#REF!</v>
      </c>
      <c r="FG14" t="e">
        <f>AND(Bills!#REF!,"AAAAAHbzbaI=")</f>
        <v>#REF!</v>
      </c>
      <c r="FH14" t="e">
        <f>AND(Bills!#REF!,"AAAAAHbzbaM=")</f>
        <v>#REF!</v>
      </c>
      <c r="FI14" t="e">
        <f>AND(Bills!#REF!,"AAAAAHbzbaQ=")</f>
        <v>#REF!</v>
      </c>
      <c r="FJ14" t="e">
        <f>AND(Bills!#REF!,"AAAAAHbzbaU=")</f>
        <v>#REF!</v>
      </c>
      <c r="FK14" t="e">
        <f>AND(Bills!#REF!,"AAAAAHbzbaY=")</f>
        <v>#REF!</v>
      </c>
      <c r="FL14" t="e">
        <f>AND(Bills!#REF!,"AAAAAHbzbac=")</f>
        <v>#REF!</v>
      </c>
      <c r="FM14" t="e">
        <f>AND(Bills!#REF!,"AAAAAHbzbag=")</f>
        <v>#REF!</v>
      </c>
      <c r="FN14" t="e">
        <f>AND(Bills!#REF!,"AAAAAHbzbak=")</f>
        <v>#REF!</v>
      </c>
      <c r="FO14" t="e">
        <f>AND(Bills!#REF!,"AAAAAHbzbao=")</f>
        <v>#REF!</v>
      </c>
      <c r="FP14" t="e">
        <f>AND(Bills!#REF!,"AAAAAHbzbas=")</f>
        <v>#REF!</v>
      </c>
      <c r="FQ14" t="e">
        <f>AND(Bills!#REF!,"AAAAAHbzbaw=")</f>
        <v>#REF!</v>
      </c>
      <c r="FR14" t="e">
        <f>AND(Bills!#REF!,"AAAAAHbzba0=")</f>
        <v>#REF!</v>
      </c>
      <c r="FS14" t="e">
        <f>AND(Bills!#REF!,"AAAAAHbzba4=")</f>
        <v>#REF!</v>
      </c>
      <c r="FT14" t="e">
        <f>AND(Bills!#REF!,"AAAAAHbzba8=")</f>
        <v>#REF!</v>
      </c>
      <c r="FU14" t="e">
        <f>AND(Bills!#REF!,"AAAAAHbzbbA=")</f>
        <v>#REF!</v>
      </c>
      <c r="FV14" t="e">
        <f>AND(Bills!#REF!,"AAAAAHbzbbE=")</f>
        <v>#REF!</v>
      </c>
      <c r="FW14" t="e">
        <f>AND(Bills!#REF!,"AAAAAHbzbbI=")</f>
        <v>#REF!</v>
      </c>
      <c r="FX14" t="e">
        <f>IF(Bills!#REF!,"AAAAAHbzbbM=",0)</f>
        <v>#REF!</v>
      </c>
      <c r="FY14" t="e">
        <f>AND(Bills!#REF!,"AAAAAHbzbbQ=")</f>
        <v>#REF!</v>
      </c>
      <c r="FZ14" t="e">
        <f>AND(Bills!#REF!,"AAAAAHbzbbU=")</f>
        <v>#REF!</v>
      </c>
      <c r="GA14" t="e">
        <f>AND(Bills!#REF!,"AAAAAHbzbbY=")</f>
        <v>#REF!</v>
      </c>
      <c r="GB14" t="e">
        <f>AND(Bills!#REF!,"AAAAAHbzbbc=")</f>
        <v>#REF!</v>
      </c>
      <c r="GC14" t="e">
        <f>AND(Bills!#REF!,"AAAAAHbzbbg=")</f>
        <v>#REF!</v>
      </c>
      <c r="GD14" t="e">
        <f>AND(Bills!#REF!,"AAAAAHbzbbk=")</f>
        <v>#REF!</v>
      </c>
      <c r="GE14" t="e">
        <f>AND(Bills!#REF!,"AAAAAHbzbbo=")</f>
        <v>#REF!</v>
      </c>
      <c r="GF14" t="e">
        <f>AND(Bills!#REF!,"AAAAAHbzbbs=")</f>
        <v>#REF!</v>
      </c>
      <c r="GG14" t="e">
        <f>AND(Bills!#REF!,"AAAAAHbzbbw=")</f>
        <v>#REF!</v>
      </c>
      <c r="GH14" t="e">
        <f>AND(Bills!#REF!,"AAAAAHbzbb0=")</f>
        <v>#REF!</v>
      </c>
      <c r="GI14" t="e">
        <f>AND(Bills!#REF!,"AAAAAHbzbb4=")</f>
        <v>#REF!</v>
      </c>
      <c r="GJ14" t="e">
        <f>AND(Bills!#REF!,"AAAAAHbzbb8=")</f>
        <v>#REF!</v>
      </c>
      <c r="GK14" t="e">
        <f>AND(Bills!#REF!,"AAAAAHbzbcA=")</f>
        <v>#REF!</v>
      </c>
      <c r="GL14" t="e">
        <f>AND(Bills!#REF!,"AAAAAHbzbcE=")</f>
        <v>#REF!</v>
      </c>
      <c r="GM14" t="e">
        <f>AND(Bills!#REF!,"AAAAAHbzbcI=")</f>
        <v>#REF!</v>
      </c>
      <c r="GN14" t="e">
        <f>AND(Bills!#REF!,"AAAAAHbzbcM=")</f>
        <v>#REF!</v>
      </c>
      <c r="GO14" t="e">
        <f>AND(Bills!#REF!,"AAAAAHbzbcQ=")</f>
        <v>#REF!</v>
      </c>
      <c r="GP14" t="e">
        <f>AND(Bills!#REF!,"AAAAAHbzbcU=")</f>
        <v>#REF!</v>
      </c>
      <c r="GQ14" t="e">
        <f>AND(Bills!#REF!,"AAAAAHbzbcY=")</f>
        <v>#REF!</v>
      </c>
      <c r="GR14" t="e">
        <f>AND(Bills!#REF!,"AAAAAHbzbcc=")</f>
        <v>#REF!</v>
      </c>
      <c r="GS14" t="e">
        <f>AND(Bills!#REF!,"AAAAAHbzbcg=")</f>
        <v>#REF!</v>
      </c>
      <c r="GT14" t="e">
        <f>AND(Bills!#REF!,"AAAAAHbzbck=")</f>
        <v>#REF!</v>
      </c>
      <c r="GU14" t="e">
        <f>AND(Bills!#REF!,"AAAAAHbzbco=")</f>
        <v>#REF!</v>
      </c>
      <c r="GV14" t="e">
        <f>AND(Bills!#REF!,"AAAAAHbzbcs=")</f>
        <v>#REF!</v>
      </c>
      <c r="GW14" t="e">
        <f>AND(Bills!#REF!,"AAAAAHbzbcw=")</f>
        <v>#REF!</v>
      </c>
      <c r="GX14" t="e">
        <f>AND(Bills!#REF!,"AAAAAHbzbc0=")</f>
        <v>#REF!</v>
      </c>
      <c r="GY14" t="e">
        <f>AND(Bills!#REF!,"AAAAAHbzbc4=")</f>
        <v>#REF!</v>
      </c>
      <c r="GZ14" t="e">
        <f>AND(Bills!#REF!,"AAAAAHbzbc8=")</f>
        <v>#REF!</v>
      </c>
      <c r="HA14" t="e">
        <f>AND(Bills!#REF!,"AAAAAHbzbdA=")</f>
        <v>#REF!</v>
      </c>
      <c r="HB14" t="e">
        <f>AND(Bills!#REF!,"AAAAAHbzbdE=")</f>
        <v>#REF!</v>
      </c>
      <c r="HC14" t="e">
        <f>AND(Bills!#REF!,"AAAAAHbzbdI=")</f>
        <v>#REF!</v>
      </c>
      <c r="HD14" t="e">
        <f>AND(Bills!#REF!,"AAAAAHbzbdM=")</f>
        <v>#REF!</v>
      </c>
      <c r="HE14" t="e">
        <f>AND(Bills!#REF!,"AAAAAHbzbdQ=")</f>
        <v>#REF!</v>
      </c>
      <c r="HF14" t="e">
        <f>AND(Bills!#REF!,"AAAAAHbzbdU=")</f>
        <v>#REF!</v>
      </c>
      <c r="HG14" t="e">
        <f>AND(Bills!#REF!,"AAAAAHbzbdY=")</f>
        <v>#REF!</v>
      </c>
      <c r="HH14" t="e">
        <f>AND(Bills!#REF!,"AAAAAHbzbdc=")</f>
        <v>#REF!</v>
      </c>
      <c r="HI14" t="e">
        <f>AND(Bills!#REF!,"AAAAAHbzbdg=")</f>
        <v>#REF!</v>
      </c>
      <c r="HJ14" t="e">
        <f>AND(Bills!#REF!,"AAAAAHbzbdk=")</f>
        <v>#REF!</v>
      </c>
      <c r="HK14" t="e">
        <f>AND(Bills!#REF!,"AAAAAHbzbdo=")</f>
        <v>#REF!</v>
      </c>
      <c r="HL14" t="e">
        <f>AND(Bills!#REF!,"AAAAAHbzbds=")</f>
        <v>#REF!</v>
      </c>
      <c r="HM14" t="e">
        <f>AND(Bills!#REF!,"AAAAAHbzbdw=")</f>
        <v>#REF!</v>
      </c>
      <c r="HN14" t="e">
        <f>AND(Bills!#REF!,"AAAAAHbzbd0=")</f>
        <v>#REF!</v>
      </c>
      <c r="HO14" t="e">
        <f>AND(Bills!#REF!,"AAAAAHbzbd4=")</f>
        <v>#REF!</v>
      </c>
      <c r="HP14" t="e">
        <f>AND(Bills!#REF!,"AAAAAHbzbd8=")</f>
        <v>#REF!</v>
      </c>
      <c r="HQ14" t="e">
        <f>AND(Bills!#REF!,"AAAAAHbzbeA=")</f>
        <v>#REF!</v>
      </c>
      <c r="HR14" t="e">
        <f>AND(Bills!#REF!,"AAAAAHbzbeE=")</f>
        <v>#REF!</v>
      </c>
      <c r="HS14" t="e">
        <f>AND(Bills!#REF!,"AAAAAHbzbeI=")</f>
        <v>#REF!</v>
      </c>
      <c r="HT14" t="e">
        <f>AND(Bills!#REF!,"AAAAAHbzbeM=")</f>
        <v>#REF!</v>
      </c>
      <c r="HU14" t="e">
        <f>AND(Bills!#REF!,"AAAAAHbzbeQ=")</f>
        <v>#REF!</v>
      </c>
      <c r="HV14" t="e">
        <f>AND(Bills!#REF!,"AAAAAHbzbeU=")</f>
        <v>#REF!</v>
      </c>
      <c r="HW14" t="e">
        <f>IF(Bills!#REF!,"AAAAAHbzbeY=",0)</f>
        <v>#REF!</v>
      </c>
      <c r="HX14" t="e">
        <f>AND(Bills!#REF!,"AAAAAHbzbec=")</f>
        <v>#REF!</v>
      </c>
      <c r="HY14" t="e">
        <f>AND(Bills!#REF!,"AAAAAHbzbeg=")</f>
        <v>#REF!</v>
      </c>
      <c r="HZ14" t="e">
        <f>AND(Bills!#REF!,"AAAAAHbzbek=")</f>
        <v>#REF!</v>
      </c>
      <c r="IA14" t="e">
        <f>AND(Bills!#REF!,"AAAAAHbzbeo=")</f>
        <v>#REF!</v>
      </c>
      <c r="IB14" t="e">
        <f>AND(Bills!#REF!,"AAAAAHbzbes=")</f>
        <v>#REF!</v>
      </c>
      <c r="IC14" t="e">
        <f>AND(Bills!#REF!,"AAAAAHbzbew=")</f>
        <v>#REF!</v>
      </c>
      <c r="ID14" t="e">
        <f>AND(Bills!#REF!,"AAAAAHbzbe0=")</f>
        <v>#REF!</v>
      </c>
      <c r="IE14" t="e">
        <f>AND(Bills!#REF!,"AAAAAHbzbe4=")</f>
        <v>#REF!</v>
      </c>
      <c r="IF14" t="e">
        <f>AND(Bills!#REF!,"AAAAAHbzbe8=")</f>
        <v>#REF!</v>
      </c>
      <c r="IG14" t="e">
        <f>AND(Bills!#REF!,"AAAAAHbzbfA=")</f>
        <v>#REF!</v>
      </c>
      <c r="IH14" t="e">
        <f>AND(Bills!#REF!,"AAAAAHbzbfE=")</f>
        <v>#REF!</v>
      </c>
      <c r="II14" t="e">
        <f>AND(Bills!#REF!,"AAAAAHbzbfI=")</f>
        <v>#REF!</v>
      </c>
      <c r="IJ14" t="e">
        <f>AND(Bills!#REF!,"AAAAAHbzbfM=")</f>
        <v>#REF!</v>
      </c>
      <c r="IK14" t="e">
        <f>AND(Bills!#REF!,"AAAAAHbzbfQ=")</f>
        <v>#REF!</v>
      </c>
      <c r="IL14" t="e">
        <f>AND(Bills!#REF!,"AAAAAHbzbfU=")</f>
        <v>#REF!</v>
      </c>
      <c r="IM14" t="e">
        <f>AND(Bills!#REF!,"AAAAAHbzbfY=")</f>
        <v>#REF!</v>
      </c>
      <c r="IN14" t="e">
        <f>AND(Bills!#REF!,"AAAAAHbzbfc=")</f>
        <v>#REF!</v>
      </c>
      <c r="IO14" t="e">
        <f>AND(Bills!#REF!,"AAAAAHbzbfg=")</f>
        <v>#REF!</v>
      </c>
      <c r="IP14" t="e">
        <f>AND(Bills!#REF!,"AAAAAHbzbfk=")</f>
        <v>#REF!</v>
      </c>
      <c r="IQ14" t="e">
        <f>AND(Bills!#REF!,"AAAAAHbzbfo=")</f>
        <v>#REF!</v>
      </c>
      <c r="IR14" t="e">
        <f>AND(Bills!#REF!,"AAAAAHbzbfs=")</f>
        <v>#REF!</v>
      </c>
      <c r="IS14" t="e">
        <f>AND(Bills!#REF!,"AAAAAHbzbfw=")</f>
        <v>#REF!</v>
      </c>
      <c r="IT14" t="e">
        <f>AND(Bills!#REF!,"AAAAAHbzbf0=")</f>
        <v>#REF!</v>
      </c>
      <c r="IU14" t="e">
        <f>AND(Bills!#REF!,"AAAAAHbzbf4=")</f>
        <v>#REF!</v>
      </c>
      <c r="IV14" t="e">
        <f>AND(Bills!#REF!,"AAAAAHbzbf8=")</f>
        <v>#REF!</v>
      </c>
    </row>
    <row r="15" spans="1:256" x14ac:dyDescent="0.25">
      <c r="A15" t="e">
        <f>AND(Bills!#REF!,"AAAAADf9pAA=")</f>
        <v>#REF!</v>
      </c>
      <c r="B15" t="e">
        <f>AND(Bills!#REF!,"AAAAADf9pAE=")</f>
        <v>#REF!</v>
      </c>
      <c r="C15" t="e">
        <f>AND(Bills!#REF!,"AAAAADf9pAI=")</f>
        <v>#REF!</v>
      </c>
      <c r="D15" t="e">
        <f>AND(Bills!#REF!,"AAAAADf9pAM=")</f>
        <v>#REF!</v>
      </c>
      <c r="E15" t="e">
        <f>AND(Bills!#REF!,"AAAAADf9pAQ=")</f>
        <v>#REF!</v>
      </c>
      <c r="F15" t="e">
        <f>AND(Bills!#REF!,"AAAAADf9pAU=")</f>
        <v>#REF!</v>
      </c>
      <c r="G15" t="e">
        <f>AND(Bills!#REF!,"AAAAADf9pAY=")</f>
        <v>#REF!</v>
      </c>
      <c r="H15" t="e">
        <f>AND(Bills!#REF!,"AAAAADf9pAc=")</f>
        <v>#REF!</v>
      </c>
      <c r="I15" t="e">
        <f>AND(Bills!#REF!,"AAAAADf9pAg=")</f>
        <v>#REF!</v>
      </c>
      <c r="J15" t="e">
        <f>AND(Bills!#REF!,"AAAAADf9pAk=")</f>
        <v>#REF!</v>
      </c>
      <c r="K15" t="e">
        <f>AND(Bills!#REF!,"AAAAADf9pAo=")</f>
        <v>#REF!</v>
      </c>
      <c r="L15" t="e">
        <f>AND(Bills!#REF!,"AAAAADf9pAs=")</f>
        <v>#REF!</v>
      </c>
      <c r="M15" t="e">
        <f>AND(Bills!#REF!,"AAAAADf9pAw=")</f>
        <v>#REF!</v>
      </c>
      <c r="N15" t="e">
        <f>AND(Bills!#REF!,"AAAAADf9pA0=")</f>
        <v>#REF!</v>
      </c>
      <c r="O15" t="e">
        <f>AND(Bills!#REF!,"AAAAADf9pA4=")</f>
        <v>#REF!</v>
      </c>
      <c r="P15" t="e">
        <f>AND(Bills!#REF!,"AAAAADf9pA8=")</f>
        <v>#REF!</v>
      </c>
      <c r="Q15" t="e">
        <f>AND(Bills!#REF!,"AAAAADf9pBA=")</f>
        <v>#REF!</v>
      </c>
      <c r="R15" t="e">
        <f>AND(Bills!#REF!,"AAAAADf9pBE=")</f>
        <v>#REF!</v>
      </c>
      <c r="S15" t="e">
        <f>AND(Bills!#REF!,"AAAAADf9pBI=")</f>
        <v>#REF!</v>
      </c>
      <c r="T15" t="e">
        <f>AND(Bills!#REF!,"AAAAADf9pBM=")</f>
        <v>#REF!</v>
      </c>
      <c r="U15" t="e">
        <f>AND(Bills!#REF!,"AAAAADf9pBQ=")</f>
        <v>#REF!</v>
      </c>
      <c r="V15" t="e">
        <f>AND(Bills!#REF!,"AAAAADf9pBU=")</f>
        <v>#REF!</v>
      </c>
      <c r="W15" t="e">
        <f>AND(Bills!#REF!,"AAAAADf9pBY=")</f>
        <v>#REF!</v>
      </c>
      <c r="X15" t="e">
        <f>AND(Bills!#REF!,"AAAAADf9pBc=")</f>
        <v>#REF!</v>
      </c>
      <c r="Y15" t="e">
        <f>AND(Bills!#REF!,"AAAAADf9pBg=")</f>
        <v>#REF!</v>
      </c>
      <c r="Z15" t="e">
        <f>IF(Bills!#REF!,"AAAAADf9pBk=",0)</f>
        <v>#REF!</v>
      </c>
      <c r="AA15" t="e">
        <f>AND(Bills!#REF!,"AAAAADf9pBo=")</f>
        <v>#REF!</v>
      </c>
      <c r="AB15" t="e">
        <f>AND(Bills!#REF!,"AAAAADf9pBs=")</f>
        <v>#REF!</v>
      </c>
      <c r="AC15" t="e">
        <f>AND(Bills!#REF!,"AAAAADf9pBw=")</f>
        <v>#REF!</v>
      </c>
      <c r="AD15" t="e">
        <f>AND(Bills!#REF!,"AAAAADf9pB0=")</f>
        <v>#REF!</v>
      </c>
      <c r="AE15" t="e">
        <f>AND(Bills!#REF!,"AAAAADf9pB4=")</f>
        <v>#REF!</v>
      </c>
      <c r="AF15" t="e">
        <f>AND(Bills!#REF!,"AAAAADf9pB8=")</f>
        <v>#REF!</v>
      </c>
      <c r="AG15" t="e">
        <f>AND(Bills!#REF!,"AAAAADf9pCA=")</f>
        <v>#REF!</v>
      </c>
      <c r="AH15" t="e">
        <f>AND(Bills!#REF!,"AAAAADf9pCE=")</f>
        <v>#REF!</v>
      </c>
      <c r="AI15" t="e">
        <f>AND(Bills!#REF!,"AAAAADf9pCI=")</f>
        <v>#REF!</v>
      </c>
      <c r="AJ15" t="e">
        <f>AND(Bills!#REF!,"AAAAADf9pCM=")</f>
        <v>#REF!</v>
      </c>
      <c r="AK15" t="e">
        <f>AND(Bills!#REF!,"AAAAADf9pCQ=")</f>
        <v>#REF!</v>
      </c>
      <c r="AL15" t="e">
        <f>AND(Bills!#REF!,"AAAAADf9pCU=")</f>
        <v>#REF!</v>
      </c>
      <c r="AM15" t="e">
        <f>AND(Bills!#REF!,"AAAAADf9pCY=")</f>
        <v>#REF!</v>
      </c>
      <c r="AN15" t="e">
        <f>AND(Bills!#REF!,"AAAAADf9pCc=")</f>
        <v>#REF!</v>
      </c>
      <c r="AO15" t="e">
        <f>AND(Bills!#REF!,"AAAAADf9pCg=")</f>
        <v>#REF!</v>
      </c>
      <c r="AP15" t="e">
        <f>AND(Bills!#REF!,"AAAAADf9pCk=")</f>
        <v>#REF!</v>
      </c>
      <c r="AQ15" t="e">
        <f>AND(Bills!#REF!,"AAAAADf9pCo=")</f>
        <v>#REF!</v>
      </c>
      <c r="AR15" t="e">
        <f>AND(Bills!#REF!,"AAAAADf9pCs=")</f>
        <v>#REF!</v>
      </c>
      <c r="AS15" t="e">
        <f>AND(Bills!#REF!,"AAAAADf9pCw=")</f>
        <v>#REF!</v>
      </c>
      <c r="AT15" t="e">
        <f>AND(Bills!#REF!,"AAAAADf9pC0=")</f>
        <v>#REF!</v>
      </c>
      <c r="AU15" t="e">
        <f>AND(Bills!#REF!,"AAAAADf9pC4=")</f>
        <v>#REF!</v>
      </c>
      <c r="AV15" t="e">
        <f>AND(Bills!#REF!,"AAAAADf9pC8=")</f>
        <v>#REF!</v>
      </c>
      <c r="AW15" t="e">
        <f>AND(Bills!#REF!,"AAAAADf9pDA=")</f>
        <v>#REF!</v>
      </c>
      <c r="AX15" t="e">
        <f>AND(Bills!#REF!,"AAAAADf9pDE=")</f>
        <v>#REF!</v>
      </c>
      <c r="AY15" t="e">
        <f>AND(Bills!#REF!,"AAAAADf9pDI=")</f>
        <v>#REF!</v>
      </c>
      <c r="AZ15" t="e">
        <f>AND(Bills!#REF!,"AAAAADf9pDM=")</f>
        <v>#REF!</v>
      </c>
      <c r="BA15" t="e">
        <f>AND(Bills!#REF!,"AAAAADf9pDQ=")</f>
        <v>#REF!</v>
      </c>
      <c r="BB15" t="e">
        <f>AND(Bills!#REF!,"AAAAADf9pDU=")</f>
        <v>#REF!</v>
      </c>
      <c r="BC15" t="e">
        <f>AND(Bills!#REF!,"AAAAADf9pDY=")</f>
        <v>#REF!</v>
      </c>
      <c r="BD15" t="e">
        <f>AND(Bills!#REF!,"AAAAADf9pDc=")</f>
        <v>#REF!</v>
      </c>
      <c r="BE15" t="e">
        <f>AND(Bills!#REF!,"AAAAADf9pDg=")</f>
        <v>#REF!</v>
      </c>
      <c r="BF15" t="e">
        <f>AND(Bills!#REF!,"AAAAADf9pDk=")</f>
        <v>#REF!</v>
      </c>
      <c r="BG15" t="e">
        <f>AND(Bills!#REF!,"AAAAADf9pDo=")</f>
        <v>#REF!</v>
      </c>
      <c r="BH15" t="e">
        <f>AND(Bills!#REF!,"AAAAADf9pDs=")</f>
        <v>#REF!</v>
      </c>
      <c r="BI15" t="e">
        <f>AND(Bills!#REF!,"AAAAADf9pDw=")</f>
        <v>#REF!</v>
      </c>
      <c r="BJ15" t="e">
        <f>AND(Bills!#REF!,"AAAAADf9pD0=")</f>
        <v>#REF!</v>
      </c>
      <c r="BK15" t="e">
        <f>AND(Bills!#REF!,"AAAAADf9pD4=")</f>
        <v>#REF!</v>
      </c>
      <c r="BL15" t="e">
        <f>AND(Bills!#REF!,"AAAAADf9pD8=")</f>
        <v>#REF!</v>
      </c>
      <c r="BM15" t="e">
        <f>AND(Bills!#REF!,"AAAAADf9pEA=")</f>
        <v>#REF!</v>
      </c>
      <c r="BN15" t="e">
        <f>AND(Bills!#REF!,"AAAAADf9pEE=")</f>
        <v>#REF!</v>
      </c>
      <c r="BO15" t="e">
        <f>AND(Bills!#REF!,"AAAAADf9pEI=")</f>
        <v>#REF!</v>
      </c>
      <c r="BP15" t="e">
        <f>AND(Bills!#REF!,"AAAAADf9pEM=")</f>
        <v>#REF!</v>
      </c>
      <c r="BQ15" t="e">
        <f>AND(Bills!#REF!,"AAAAADf9pEQ=")</f>
        <v>#REF!</v>
      </c>
      <c r="BR15" t="e">
        <f>AND(Bills!#REF!,"AAAAADf9pEU=")</f>
        <v>#REF!</v>
      </c>
      <c r="BS15" t="e">
        <f>AND(Bills!#REF!,"AAAAADf9pEY=")</f>
        <v>#REF!</v>
      </c>
      <c r="BT15" t="e">
        <f>AND(Bills!#REF!,"AAAAADf9pEc=")</f>
        <v>#REF!</v>
      </c>
      <c r="BU15" t="e">
        <f>AND(Bills!#REF!,"AAAAADf9pEg=")</f>
        <v>#REF!</v>
      </c>
      <c r="BV15" t="e">
        <f>AND(Bills!#REF!,"AAAAADf9pEk=")</f>
        <v>#REF!</v>
      </c>
      <c r="BW15" t="e">
        <f>AND(Bills!#REF!,"AAAAADf9pEo=")</f>
        <v>#REF!</v>
      </c>
      <c r="BX15" t="e">
        <f>AND(Bills!#REF!,"AAAAADf9pEs=")</f>
        <v>#REF!</v>
      </c>
      <c r="BY15" t="e">
        <f>IF(Bills!#REF!,"AAAAADf9pEw=",0)</f>
        <v>#REF!</v>
      </c>
      <c r="BZ15" t="e">
        <f>AND(Bills!#REF!,"AAAAADf9pE0=")</f>
        <v>#REF!</v>
      </c>
      <c r="CA15" t="e">
        <f>AND(Bills!#REF!,"AAAAADf9pE4=")</f>
        <v>#REF!</v>
      </c>
      <c r="CB15" t="e">
        <f>AND(Bills!#REF!,"AAAAADf9pE8=")</f>
        <v>#REF!</v>
      </c>
      <c r="CC15" t="e">
        <f>AND(Bills!#REF!,"AAAAADf9pFA=")</f>
        <v>#REF!</v>
      </c>
      <c r="CD15" t="e">
        <f>AND(Bills!#REF!,"AAAAADf9pFE=")</f>
        <v>#REF!</v>
      </c>
      <c r="CE15" t="e">
        <f>AND(Bills!#REF!,"AAAAADf9pFI=")</f>
        <v>#REF!</v>
      </c>
      <c r="CF15" t="e">
        <f>AND(Bills!#REF!,"AAAAADf9pFM=")</f>
        <v>#REF!</v>
      </c>
      <c r="CG15" t="e">
        <f>AND(Bills!#REF!,"AAAAADf9pFQ=")</f>
        <v>#REF!</v>
      </c>
      <c r="CH15" t="e">
        <f>AND(Bills!#REF!,"AAAAADf9pFU=")</f>
        <v>#REF!</v>
      </c>
      <c r="CI15" t="e">
        <f>AND(Bills!#REF!,"AAAAADf9pFY=")</f>
        <v>#REF!</v>
      </c>
      <c r="CJ15" t="e">
        <f>AND(Bills!#REF!,"AAAAADf9pFc=")</f>
        <v>#REF!</v>
      </c>
      <c r="CK15" t="e">
        <f>AND(Bills!#REF!,"AAAAADf9pFg=")</f>
        <v>#REF!</v>
      </c>
      <c r="CL15" t="e">
        <f>AND(Bills!#REF!,"AAAAADf9pFk=")</f>
        <v>#REF!</v>
      </c>
      <c r="CM15" t="e">
        <f>AND(Bills!#REF!,"AAAAADf9pFo=")</f>
        <v>#REF!</v>
      </c>
      <c r="CN15" t="e">
        <f>AND(Bills!#REF!,"AAAAADf9pFs=")</f>
        <v>#REF!</v>
      </c>
      <c r="CO15" t="e">
        <f>AND(Bills!#REF!,"AAAAADf9pFw=")</f>
        <v>#REF!</v>
      </c>
      <c r="CP15" t="e">
        <f>AND(Bills!#REF!,"AAAAADf9pF0=")</f>
        <v>#REF!</v>
      </c>
      <c r="CQ15" t="e">
        <f>AND(Bills!#REF!,"AAAAADf9pF4=")</f>
        <v>#REF!</v>
      </c>
      <c r="CR15" t="e">
        <f>AND(Bills!#REF!,"AAAAADf9pF8=")</f>
        <v>#REF!</v>
      </c>
      <c r="CS15" t="e">
        <f>AND(Bills!#REF!,"AAAAADf9pGA=")</f>
        <v>#REF!</v>
      </c>
      <c r="CT15" t="e">
        <f>AND(Bills!#REF!,"AAAAADf9pGE=")</f>
        <v>#REF!</v>
      </c>
      <c r="CU15" t="e">
        <f>AND(Bills!#REF!,"AAAAADf9pGI=")</f>
        <v>#REF!</v>
      </c>
      <c r="CV15" t="e">
        <f>AND(Bills!#REF!,"AAAAADf9pGM=")</f>
        <v>#REF!</v>
      </c>
      <c r="CW15" t="e">
        <f>AND(Bills!#REF!,"AAAAADf9pGQ=")</f>
        <v>#REF!</v>
      </c>
      <c r="CX15" t="e">
        <f>AND(Bills!#REF!,"AAAAADf9pGU=")</f>
        <v>#REF!</v>
      </c>
      <c r="CY15" t="e">
        <f>AND(Bills!#REF!,"AAAAADf9pGY=")</f>
        <v>#REF!</v>
      </c>
      <c r="CZ15" t="e">
        <f>AND(Bills!#REF!,"AAAAADf9pGc=")</f>
        <v>#REF!</v>
      </c>
      <c r="DA15" t="e">
        <f>AND(Bills!#REF!,"AAAAADf9pGg=")</f>
        <v>#REF!</v>
      </c>
      <c r="DB15" t="e">
        <f>AND(Bills!#REF!,"AAAAADf9pGk=")</f>
        <v>#REF!</v>
      </c>
      <c r="DC15" t="e">
        <f>AND(Bills!#REF!,"AAAAADf9pGo=")</f>
        <v>#REF!</v>
      </c>
      <c r="DD15" t="e">
        <f>AND(Bills!#REF!,"AAAAADf9pGs=")</f>
        <v>#REF!</v>
      </c>
      <c r="DE15" t="e">
        <f>AND(Bills!#REF!,"AAAAADf9pGw=")</f>
        <v>#REF!</v>
      </c>
      <c r="DF15" t="e">
        <f>AND(Bills!#REF!,"AAAAADf9pG0=")</f>
        <v>#REF!</v>
      </c>
      <c r="DG15" t="e">
        <f>AND(Bills!#REF!,"AAAAADf9pG4=")</f>
        <v>#REF!</v>
      </c>
      <c r="DH15" t="e">
        <f>AND(Bills!#REF!,"AAAAADf9pG8=")</f>
        <v>#REF!</v>
      </c>
      <c r="DI15" t="e">
        <f>AND(Bills!#REF!,"AAAAADf9pHA=")</f>
        <v>#REF!</v>
      </c>
      <c r="DJ15" t="e">
        <f>AND(Bills!#REF!,"AAAAADf9pHE=")</f>
        <v>#REF!</v>
      </c>
      <c r="DK15" t="e">
        <f>AND(Bills!#REF!,"AAAAADf9pHI=")</f>
        <v>#REF!</v>
      </c>
      <c r="DL15" t="e">
        <f>AND(Bills!#REF!,"AAAAADf9pHM=")</f>
        <v>#REF!</v>
      </c>
      <c r="DM15" t="e">
        <f>AND(Bills!#REF!,"AAAAADf9pHQ=")</f>
        <v>#REF!</v>
      </c>
      <c r="DN15" t="e">
        <f>AND(Bills!#REF!,"AAAAADf9pHU=")</f>
        <v>#REF!</v>
      </c>
      <c r="DO15" t="e">
        <f>AND(Bills!#REF!,"AAAAADf9pHY=")</f>
        <v>#REF!</v>
      </c>
      <c r="DP15" t="e">
        <f>AND(Bills!#REF!,"AAAAADf9pHc=")</f>
        <v>#REF!</v>
      </c>
      <c r="DQ15" t="e">
        <f>AND(Bills!#REF!,"AAAAADf9pHg=")</f>
        <v>#REF!</v>
      </c>
      <c r="DR15" t="e">
        <f>AND(Bills!#REF!,"AAAAADf9pHk=")</f>
        <v>#REF!</v>
      </c>
      <c r="DS15" t="e">
        <f>AND(Bills!#REF!,"AAAAADf9pHo=")</f>
        <v>#REF!</v>
      </c>
      <c r="DT15" t="e">
        <f>AND(Bills!#REF!,"AAAAADf9pHs=")</f>
        <v>#REF!</v>
      </c>
      <c r="DU15" t="e">
        <f>AND(Bills!#REF!,"AAAAADf9pHw=")</f>
        <v>#REF!</v>
      </c>
      <c r="DV15" t="e">
        <f>AND(Bills!#REF!,"AAAAADf9pH0=")</f>
        <v>#REF!</v>
      </c>
      <c r="DW15" t="e">
        <f>AND(Bills!#REF!,"AAAAADf9pH4=")</f>
        <v>#REF!</v>
      </c>
      <c r="DX15">
        <f>IF(Bills!9:9,"AAAAADf9pH8=",0)</f>
        <v>0</v>
      </c>
      <c r="DY15" t="e">
        <f>AND(Bills!B9,"AAAAADf9pIA=")</f>
        <v>#VALUE!</v>
      </c>
      <c r="DZ15" t="e">
        <f>AND(Bills!#REF!,"AAAAADf9pIE=")</f>
        <v>#REF!</v>
      </c>
      <c r="EA15" t="e">
        <f>AND(Bills!C9,"AAAAADf9pII=")</f>
        <v>#VALUE!</v>
      </c>
      <c r="EB15" t="e">
        <f>AND(Bills!D9,"AAAAADf9pIM=")</f>
        <v>#VALUE!</v>
      </c>
      <c r="EC15" t="e">
        <f>AND(Bills!E9,"AAAAADf9pIQ=")</f>
        <v>#VALUE!</v>
      </c>
      <c r="ED15" t="e">
        <f>AND(Bills!#REF!,"AAAAADf9pIU=")</f>
        <v>#REF!</v>
      </c>
      <c r="EE15" t="e">
        <f>AND(Bills!#REF!,"AAAAADf9pIY=")</f>
        <v>#REF!</v>
      </c>
      <c r="EF15" t="e">
        <f>AND(Bills!#REF!,"AAAAADf9pIc=")</f>
        <v>#REF!</v>
      </c>
      <c r="EG15" t="e">
        <f>AND(Bills!F9,"AAAAADf9pIg=")</f>
        <v>#VALUE!</v>
      </c>
      <c r="EH15" t="e">
        <f>AND(Bills!#REF!,"AAAAADf9pIk=")</f>
        <v>#REF!</v>
      </c>
      <c r="EI15" t="e">
        <f>AND(Bills!G9,"AAAAADf9pIo=")</f>
        <v>#VALUE!</v>
      </c>
      <c r="EJ15" t="e">
        <f>AND(Bills!H9,"AAAAADf9pIs=")</f>
        <v>#VALUE!</v>
      </c>
      <c r="EK15" t="e">
        <f>AND(Bills!I9,"AAAAADf9pIw=")</f>
        <v>#VALUE!</v>
      </c>
      <c r="EL15" t="e">
        <f>AND(Bills!J9,"AAAAADf9pI0=")</f>
        <v>#VALUE!</v>
      </c>
      <c r="EM15" t="e">
        <f>AND(Bills!K9,"AAAAADf9pI4=")</f>
        <v>#VALUE!</v>
      </c>
      <c r="EN15" t="e">
        <f>AND(Bills!L9,"AAAAADf9pI8=")</f>
        <v>#VALUE!</v>
      </c>
      <c r="EO15" t="e">
        <f>AND(Bills!#REF!,"AAAAADf9pJA=")</f>
        <v>#REF!</v>
      </c>
      <c r="EP15" t="e">
        <f>AND(Bills!M9,"AAAAADf9pJE=")</f>
        <v>#VALUE!</v>
      </c>
      <c r="EQ15" t="e">
        <f>AND(Bills!N9,"AAAAADf9pJI=")</f>
        <v>#VALUE!</v>
      </c>
      <c r="ER15" t="e">
        <f>AND(Bills!O9,"AAAAADf9pJM=")</f>
        <v>#VALUE!</v>
      </c>
      <c r="ES15" t="e">
        <f>AND(Bills!P9,"AAAAADf9pJQ=")</f>
        <v>#VALUE!</v>
      </c>
      <c r="ET15" t="e">
        <f>AND(Bills!Q9,"AAAAADf9pJU=")</f>
        <v>#VALUE!</v>
      </c>
      <c r="EU15" t="e">
        <f>AND(Bills!R9,"AAAAADf9pJY=")</f>
        <v>#VALUE!</v>
      </c>
      <c r="EV15" t="e">
        <f>AND(Bills!S9,"AAAAADf9pJc=")</f>
        <v>#VALUE!</v>
      </c>
      <c r="EW15" t="e">
        <f>AND(Bills!T9,"AAAAADf9pJg=")</f>
        <v>#VALUE!</v>
      </c>
      <c r="EX15" t="e">
        <f>AND(Bills!#REF!,"AAAAADf9pJk=")</f>
        <v>#REF!</v>
      </c>
      <c r="EY15" t="e">
        <f>AND(Bills!U9,"AAAAADf9pJo=")</f>
        <v>#VALUE!</v>
      </c>
      <c r="EZ15" t="e">
        <f>AND(Bills!V9,"AAAAADf9pJs=")</f>
        <v>#VALUE!</v>
      </c>
      <c r="FA15" t="e">
        <f>AND(Bills!W9,"AAAAADf9pJw=")</f>
        <v>#VALUE!</v>
      </c>
      <c r="FB15" t="e">
        <f>AND(Bills!#REF!,"AAAAADf9pJ0=")</f>
        <v>#REF!</v>
      </c>
      <c r="FC15" t="e">
        <f>AND(Bills!#REF!,"AAAAADf9pJ4=")</f>
        <v>#REF!</v>
      </c>
      <c r="FD15" t="e">
        <f>AND(Bills!Y9,"AAAAADf9pJ8=")</f>
        <v>#VALUE!</v>
      </c>
      <c r="FE15" t="e">
        <f>AND(Bills!Z9,"AAAAADf9pKA=")</f>
        <v>#VALUE!</v>
      </c>
      <c r="FF15" t="e">
        <f>AND(Bills!#REF!,"AAAAADf9pKE=")</f>
        <v>#REF!</v>
      </c>
      <c r="FG15" t="e">
        <f>AND(Bills!#REF!,"AAAAADf9pKI=")</f>
        <v>#REF!</v>
      </c>
      <c r="FH15" t="e">
        <f>AND(Bills!#REF!,"AAAAADf9pKM=")</f>
        <v>#REF!</v>
      </c>
      <c r="FI15" t="e">
        <f>AND(Bills!#REF!,"AAAAADf9pKQ=")</f>
        <v>#REF!</v>
      </c>
      <c r="FJ15" t="e">
        <f>AND(Bills!#REF!,"AAAAADf9pKU=")</f>
        <v>#REF!</v>
      </c>
      <c r="FK15" t="e">
        <f>AND(Bills!#REF!,"AAAAADf9pKY=")</f>
        <v>#REF!</v>
      </c>
      <c r="FL15" t="e">
        <f>AND(Bills!#REF!,"AAAAADf9pKc=")</f>
        <v>#REF!</v>
      </c>
      <c r="FM15" t="e">
        <f>AND(Bills!#REF!,"AAAAADf9pKg=")</f>
        <v>#REF!</v>
      </c>
      <c r="FN15" t="e">
        <f>AND(Bills!#REF!,"AAAAADf9pKk=")</f>
        <v>#REF!</v>
      </c>
      <c r="FO15" t="e">
        <f>AND(Bills!AA9,"AAAAADf9pKo=")</f>
        <v>#VALUE!</v>
      </c>
      <c r="FP15" t="e">
        <f>AND(Bills!AB9,"AAAAADf9pKs=")</f>
        <v>#VALUE!</v>
      </c>
      <c r="FQ15" t="e">
        <f>AND(Bills!#REF!,"AAAAADf9pKw=")</f>
        <v>#REF!</v>
      </c>
      <c r="FR15" t="e">
        <f>AND(Bills!#REF!,"AAAAADf9pK0=")</f>
        <v>#REF!</v>
      </c>
      <c r="FS15" t="e">
        <f>AND(Bills!#REF!,"AAAAADf9pK4=")</f>
        <v>#REF!</v>
      </c>
      <c r="FT15" t="e">
        <f>AND(Bills!AC9,"AAAAADf9pK8=")</f>
        <v>#VALUE!</v>
      </c>
      <c r="FU15" t="e">
        <f>AND(Bills!AD9,"AAAAADf9pLA=")</f>
        <v>#VALUE!</v>
      </c>
      <c r="FV15" t="e">
        <f>AND(Bills!AE9,"AAAAADf9pLE=")</f>
        <v>#VALUE!</v>
      </c>
      <c r="FW15" t="e">
        <f>IF(Bills!#REF!,"AAAAADf9pLI=",0)</f>
        <v>#REF!</v>
      </c>
      <c r="FX15" t="e">
        <f>AND(Bills!#REF!,"AAAAADf9pLM=")</f>
        <v>#REF!</v>
      </c>
      <c r="FY15" t="e">
        <f>AND(Bills!#REF!,"AAAAADf9pLQ=")</f>
        <v>#REF!</v>
      </c>
      <c r="FZ15" t="e">
        <f>AND(Bills!#REF!,"AAAAADf9pLU=")</f>
        <v>#REF!</v>
      </c>
      <c r="GA15" t="e">
        <f>AND(Bills!#REF!,"AAAAADf9pLY=")</f>
        <v>#REF!</v>
      </c>
      <c r="GB15" t="e">
        <f>AND(Bills!#REF!,"AAAAADf9pLc=")</f>
        <v>#REF!</v>
      </c>
      <c r="GC15" t="e">
        <f>AND(Bills!#REF!,"AAAAADf9pLg=")</f>
        <v>#REF!</v>
      </c>
      <c r="GD15" t="e">
        <f>AND(Bills!#REF!,"AAAAADf9pLk=")</f>
        <v>#REF!</v>
      </c>
      <c r="GE15" t="e">
        <f>AND(Bills!#REF!,"AAAAADf9pLo=")</f>
        <v>#REF!</v>
      </c>
      <c r="GF15" t="e">
        <f>AND(Bills!#REF!,"AAAAADf9pLs=")</f>
        <v>#REF!</v>
      </c>
      <c r="GG15" t="e">
        <f>AND(Bills!#REF!,"AAAAADf9pLw=")</f>
        <v>#REF!</v>
      </c>
      <c r="GH15" t="e">
        <f>AND(Bills!#REF!,"AAAAADf9pL0=")</f>
        <v>#REF!</v>
      </c>
      <c r="GI15" t="e">
        <f>AND(Bills!#REF!,"AAAAADf9pL4=")</f>
        <v>#REF!</v>
      </c>
      <c r="GJ15" t="e">
        <f>AND(Bills!#REF!,"AAAAADf9pL8=")</f>
        <v>#REF!</v>
      </c>
      <c r="GK15" t="e">
        <f>AND(Bills!#REF!,"AAAAADf9pMA=")</f>
        <v>#REF!</v>
      </c>
      <c r="GL15" t="e">
        <f>AND(Bills!#REF!,"AAAAADf9pME=")</f>
        <v>#REF!</v>
      </c>
      <c r="GM15" t="e">
        <f>AND(Bills!#REF!,"AAAAADf9pMI=")</f>
        <v>#REF!</v>
      </c>
      <c r="GN15" t="e">
        <f>AND(Bills!#REF!,"AAAAADf9pMM=")</f>
        <v>#REF!</v>
      </c>
      <c r="GO15" t="e">
        <f>AND(Bills!#REF!,"AAAAADf9pMQ=")</f>
        <v>#REF!</v>
      </c>
      <c r="GP15" t="e">
        <f>AND(Bills!#REF!,"AAAAADf9pMU=")</f>
        <v>#REF!</v>
      </c>
      <c r="GQ15" t="e">
        <f>AND(Bills!#REF!,"AAAAADf9pMY=")</f>
        <v>#REF!</v>
      </c>
      <c r="GR15" t="e">
        <f>AND(Bills!#REF!,"AAAAADf9pMc=")</f>
        <v>#REF!</v>
      </c>
      <c r="GS15" t="e">
        <f>AND(Bills!#REF!,"AAAAADf9pMg=")</f>
        <v>#REF!</v>
      </c>
      <c r="GT15" t="e">
        <f>AND(Bills!#REF!,"AAAAADf9pMk=")</f>
        <v>#REF!</v>
      </c>
      <c r="GU15" t="e">
        <f>AND(Bills!#REF!,"AAAAADf9pMo=")</f>
        <v>#REF!</v>
      </c>
      <c r="GV15" t="e">
        <f>AND(Bills!#REF!,"AAAAADf9pMs=")</f>
        <v>#REF!</v>
      </c>
      <c r="GW15" t="e">
        <f>AND(Bills!#REF!,"AAAAADf9pMw=")</f>
        <v>#REF!</v>
      </c>
      <c r="GX15" t="e">
        <f>AND(Bills!#REF!,"AAAAADf9pM0=")</f>
        <v>#REF!</v>
      </c>
      <c r="GY15" t="e">
        <f>AND(Bills!#REF!,"AAAAADf9pM4=")</f>
        <v>#REF!</v>
      </c>
      <c r="GZ15" t="e">
        <f>AND(Bills!#REF!,"AAAAADf9pM8=")</f>
        <v>#REF!</v>
      </c>
      <c r="HA15" t="e">
        <f>AND(Bills!#REF!,"AAAAADf9pNA=")</f>
        <v>#REF!</v>
      </c>
      <c r="HB15" t="e">
        <f>AND(Bills!#REF!,"AAAAADf9pNE=")</f>
        <v>#REF!</v>
      </c>
      <c r="HC15" t="e">
        <f>AND(Bills!#REF!,"AAAAADf9pNI=")</f>
        <v>#REF!</v>
      </c>
      <c r="HD15" t="e">
        <f>AND(Bills!#REF!,"AAAAADf9pNM=")</f>
        <v>#REF!</v>
      </c>
      <c r="HE15" t="e">
        <f>AND(Bills!#REF!,"AAAAADf9pNQ=")</f>
        <v>#REF!</v>
      </c>
      <c r="HF15" t="e">
        <f>AND(Bills!#REF!,"AAAAADf9pNU=")</f>
        <v>#REF!</v>
      </c>
      <c r="HG15" t="e">
        <f>AND(Bills!#REF!,"AAAAADf9pNY=")</f>
        <v>#REF!</v>
      </c>
      <c r="HH15" t="e">
        <f>AND(Bills!#REF!,"AAAAADf9pNc=")</f>
        <v>#REF!</v>
      </c>
      <c r="HI15" t="e">
        <f>AND(Bills!#REF!,"AAAAADf9pNg=")</f>
        <v>#REF!</v>
      </c>
      <c r="HJ15" t="e">
        <f>AND(Bills!#REF!,"AAAAADf9pNk=")</f>
        <v>#REF!</v>
      </c>
      <c r="HK15" t="e">
        <f>AND(Bills!#REF!,"AAAAADf9pNo=")</f>
        <v>#REF!</v>
      </c>
      <c r="HL15" t="e">
        <f>AND(Bills!#REF!,"AAAAADf9pNs=")</f>
        <v>#REF!</v>
      </c>
      <c r="HM15" t="e">
        <f>AND(Bills!#REF!,"AAAAADf9pNw=")</f>
        <v>#REF!</v>
      </c>
      <c r="HN15" t="e">
        <f>AND(Bills!#REF!,"AAAAADf9pN0=")</f>
        <v>#REF!</v>
      </c>
      <c r="HO15" t="e">
        <f>AND(Bills!#REF!,"AAAAADf9pN4=")</f>
        <v>#REF!</v>
      </c>
      <c r="HP15" t="e">
        <f>AND(Bills!#REF!,"AAAAADf9pN8=")</f>
        <v>#REF!</v>
      </c>
      <c r="HQ15" t="e">
        <f>AND(Bills!#REF!,"AAAAADf9pOA=")</f>
        <v>#REF!</v>
      </c>
      <c r="HR15" t="e">
        <f>AND(Bills!#REF!,"AAAAADf9pOE=")</f>
        <v>#REF!</v>
      </c>
      <c r="HS15" t="e">
        <f>AND(Bills!#REF!,"AAAAADf9pOI=")</f>
        <v>#REF!</v>
      </c>
      <c r="HT15" t="e">
        <f>AND(Bills!#REF!,"AAAAADf9pOM=")</f>
        <v>#REF!</v>
      </c>
      <c r="HU15" t="e">
        <f>AND(Bills!#REF!,"AAAAADf9pOQ=")</f>
        <v>#REF!</v>
      </c>
      <c r="HV15" t="e">
        <f>IF(Bills!#REF!,"AAAAADf9pOU=",0)</f>
        <v>#REF!</v>
      </c>
      <c r="HW15" t="e">
        <f>AND(Bills!#REF!,"AAAAADf9pOY=")</f>
        <v>#REF!</v>
      </c>
      <c r="HX15" t="e">
        <f>AND(Bills!#REF!,"AAAAADf9pOc=")</f>
        <v>#REF!</v>
      </c>
      <c r="HY15" t="e">
        <f>AND(Bills!#REF!,"AAAAADf9pOg=")</f>
        <v>#REF!</v>
      </c>
      <c r="HZ15" t="e">
        <f>AND(Bills!#REF!,"AAAAADf9pOk=")</f>
        <v>#REF!</v>
      </c>
      <c r="IA15" t="e">
        <f>AND(Bills!#REF!,"AAAAADf9pOo=")</f>
        <v>#REF!</v>
      </c>
      <c r="IB15" t="e">
        <f>AND(Bills!#REF!,"AAAAADf9pOs=")</f>
        <v>#REF!</v>
      </c>
      <c r="IC15" t="e">
        <f>AND(Bills!#REF!,"AAAAADf9pOw=")</f>
        <v>#REF!</v>
      </c>
      <c r="ID15" t="e">
        <f>AND(Bills!#REF!,"AAAAADf9pO0=")</f>
        <v>#REF!</v>
      </c>
      <c r="IE15" t="e">
        <f>AND(Bills!#REF!,"AAAAADf9pO4=")</f>
        <v>#REF!</v>
      </c>
      <c r="IF15" t="e">
        <f>AND(Bills!#REF!,"AAAAADf9pO8=")</f>
        <v>#REF!</v>
      </c>
      <c r="IG15" t="e">
        <f>AND(Bills!#REF!,"AAAAADf9pPA=")</f>
        <v>#REF!</v>
      </c>
      <c r="IH15" t="e">
        <f>AND(Bills!#REF!,"AAAAADf9pPE=")</f>
        <v>#REF!</v>
      </c>
      <c r="II15" t="e">
        <f>AND(Bills!#REF!,"AAAAADf9pPI=")</f>
        <v>#REF!</v>
      </c>
      <c r="IJ15" t="e">
        <f>AND(Bills!#REF!,"AAAAADf9pPM=")</f>
        <v>#REF!</v>
      </c>
      <c r="IK15" t="e">
        <f>AND(Bills!#REF!,"AAAAADf9pPQ=")</f>
        <v>#REF!</v>
      </c>
      <c r="IL15" t="e">
        <f>AND(Bills!#REF!,"AAAAADf9pPU=")</f>
        <v>#REF!</v>
      </c>
      <c r="IM15" t="e">
        <f>AND(Bills!#REF!,"AAAAADf9pPY=")</f>
        <v>#REF!</v>
      </c>
      <c r="IN15" t="e">
        <f>AND(Bills!#REF!,"AAAAADf9pPc=")</f>
        <v>#REF!</v>
      </c>
      <c r="IO15" t="e">
        <f>AND(Bills!#REF!,"AAAAADf9pPg=")</f>
        <v>#REF!</v>
      </c>
      <c r="IP15" t="e">
        <f>AND(Bills!#REF!,"AAAAADf9pPk=")</f>
        <v>#REF!</v>
      </c>
      <c r="IQ15" t="e">
        <f>AND(Bills!#REF!,"AAAAADf9pPo=")</f>
        <v>#REF!</v>
      </c>
      <c r="IR15" t="e">
        <f>AND(Bills!#REF!,"AAAAADf9pPs=")</f>
        <v>#REF!</v>
      </c>
      <c r="IS15" t="e">
        <f>AND(Bills!#REF!,"AAAAADf9pPw=")</f>
        <v>#REF!</v>
      </c>
      <c r="IT15" t="e">
        <f>AND(Bills!#REF!,"AAAAADf9pP0=")</f>
        <v>#REF!</v>
      </c>
      <c r="IU15" t="e">
        <f>AND(Bills!#REF!,"AAAAADf9pP4=")</f>
        <v>#REF!</v>
      </c>
      <c r="IV15" t="e">
        <f>AND(Bills!#REF!,"AAAAADf9pP8=")</f>
        <v>#REF!</v>
      </c>
    </row>
    <row r="16" spans="1:256" x14ac:dyDescent="0.25">
      <c r="A16" t="e">
        <f>AND(Bills!#REF!,"AAAAAE7O7wA=")</f>
        <v>#REF!</v>
      </c>
      <c r="B16" t="e">
        <f>AND(Bills!#REF!,"AAAAAE7O7wE=")</f>
        <v>#REF!</v>
      </c>
      <c r="C16" t="e">
        <f>AND(Bills!#REF!,"AAAAAE7O7wI=")</f>
        <v>#REF!</v>
      </c>
      <c r="D16" t="e">
        <f>AND(Bills!#REF!,"AAAAAE7O7wM=")</f>
        <v>#REF!</v>
      </c>
      <c r="E16" t="e">
        <f>AND(Bills!#REF!,"AAAAAE7O7wQ=")</f>
        <v>#REF!</v>
      </c>
      <c r="F16" t="e">
        <f>AND(Bills!#REF!,"AAAAAE7O7wU=")</f>
        <v>#REF!</v>
      </c>
      <c r="G16" t="e">
        <f>AND(Bills!#REF!,"AAAAAE7O7wY=")</f>
        <v>#REF!</v>
      </c>
      <c r="H16" t="e">
        <f>AND(Bills!#REF!,"AAAAAE7O7wc=")</f>
        <v>#REF!</v>
      </c>
      <c r="I16" t="e">
        <f>AND(Bills!#REF!,"AAAAAE7O7wg=")</f>
        <v>#REF!</v>
      </c>
      <c r="J16" t="e">
        <f>AND(Bills!#REF!,"AAAAAE7O7wk=")</f>
        <v>#REF!</v>
      </c>
      <c r="K16" t="e">
        <f>AND(Bills!#REF!,"AAAAAE7O7wo=")</f>
        <v>#REF!</v>
      </c>
      <c r="L16" t="e">
        <f>AND(Bills!#REF!,"AAAAAE7O7ws=")</f>
        <v>#REF!</v>
      </c>
      <c r="M16" t="e">
        <f>AND(Bills!#REF!,"AAAAAE7O7ww=")</f>
        <v>#REF!</v>
      </c>
      <c r="N16" t="e">
        <f>AND(Bills!#REF!,"AAAAAE7O7w0=")</f>
        <v>#REF!</v>
      </c>
      <c r="O16" t="e">
        <f>AND(Bills!#REF!,"AAAAAE7O7w4=")</f>
        <v>#REF!</v>
      </c>
      <c r="P16" t="e">
        <f>AND(Bills!#REF!,"AAAAAE7O7w8=")</f>
        <v>#REF!</v>
      </c>
      <c r="Q16" t="e">
        <f>AND(Bills!#REF!,"AAAAAE7O7xA=")</f>
        <v>#REF!</v>
      </c>
      <c r="R16" t="e">
        <f>AND(Bills!#REF!,"AAAAAE7O7xE=")</f>
        <v>#REF!</v>
      </c>
      <c r="S16" t="e">
        <f>AND(Bills!#REF!,"AAAAAE7O7xI=")</f>
        <v>#REF!</v>
      </c>
      <c r="T16" t="e">
        <f>AND(Bills!#REF!,"AAAAAE7O7xM=")</f>
        <v>#REF!</v>
      </c>
      <c r="U16" t="e">
        <f>AND(Bills!#REF!,"AAAAAE7O7xQ=")</f>
        <v>#REF!</v>
      </c>
      <c r="V16" t="e">
        <f>AND(Bills!#REF!,"AAAAAE7O7xU=")</f>
        <v>#REF!</v>
      </c>
      <c r="W16" t="e">
        <f>AND(Bills!#REF!,"AAAAAE7O7xY=")</f>
        <v>#REF!</v>
      </c>
      <c r="X16" t="e">
        <f>AND(Bills!#REF!,"AAAAAE7O7xc=")</f>
        <v>#REF!</v>
      </c>
      <c r="Y16" t="e">
        <f>IF(Bills!#REF!,"AAAAAE7O7xg=",0)</f>
        <v>#REF!</v>
      </c>
      <c r="Z16" t="e">
        <f>AND(Bills!#REF!,"AAAAAE7O7xk=")</f>
        <v>#REF!</v>
      </c>
      <c r="AA16" t="e">
        <f>AND(Bills!#REF!,"AAAAAE7O7xo=")</f>
        <v>#REF!</v>
      </c>
      <c r="AB16" t="e">
        <f>AND(Bills!#REF!,"AAAAAE7O7xs=")</f>
        <v>#REF!</v>
      </c>
      <c r="AC16" t="e">
        <f>AND(Bills!#REF!,"AAAAAE7O7xw=")</f>
        <v>#REF!</v>
      </c>
      <c r="AD16" t="e">
        <f>AND(Bills!#REF!,"AAAAAE7O7x0=")</f>
        <v>#REF!</v>
      </c>
      <c r="AE16" t="e">
        <f>AND(Bills!#REF!,"AAAAAE7O7x4=")</f>
        <v>#REF!</v>
      </c>
      <c r="AF16" t="e">
        <f>AND(Bills!#REF!,"AAAAAE7O7x8=")</f>
        <v>#REF!</v>
      </c>
      <c r="AG16" t="e">
        <f>AND(Bills!#REF!,"AAAAAE7O7yA=")</f>
        <v>#REF!</v>
      </c>
      <c r="AH16" t="e">
        <f>AND(Bills!#REF!,"AAAAAE7O7yE=")</f>
        <v>#REF!</v>
      </c>
      <c r="AI16" t="e">
        <f>AND(Bills!#REF!,"AAAAAE7O7yI=")</f>
        <v>#REF!</v>
      </c>
      <c r="AJ16" t="e">
        <f>AND(Bills!#REF!,"AAAAAE7O7yM=")</f>
        <v>#REF!</v>
      </c>
      <c r="AK16" t="e">
        <f>AND(Bills!#REF!,"AAAAAE7O7yQ=")</f>
        <v>#REF!</v>
      </c>
      <c r="AL16" t="e">
        <f>AND(Bills!#REF!,"AAAAAE7O7yU=")</f>
        <v>#REF!</v>
      </c>
      <c r="AM16" t="e">
        <f>AND(Bills!#REF!,"AAAAAE7O7yY=")</f>
        <v>#REF!</v>
      </c>
      <c r="AN16" t="e">
        <f>AND(Bills!#REF!,"AAAAAE7O7yc=")</f>
        <v>#REF!</v>
      </c>
      <c r="AO16" t="e">
        <f>AND(Bills!#REF!,"AAAAAE7O7yg=")</f>
        <v>#REF!</v>
      </c>
      <c r="AP16" t="e">
        <f>AND(Bills!#REF!,"AAAAAE7O7yk=")</f>
        <v>#REF!</v>
      </c>
      <c r="AQ16" t="e">
        <f>AND(Bills!#REF!,"AAAAAE7O7yo=")</f>
        <v>#REF!</v>
      </c>
      <c r="AR16" t="e">
        <f>AND(Bills!#REF!,"AAAAAE7O7ys=")</f>
        <v>#REF!</v>
      </c>
      <c r="AS16" t="e">
        <f>AND(Bills!#REF!,"AAAAAE7O7yw=")</f>
        <v>#REF!</v>
      </c>
      <c r="AT16" t="e">
        <f>AND(Bills!#REF!,"AAAAAE7O7y0=")</f>
        <v>#REF!</v>
      </c>
      <c r="AU16" t="e">
        <f>AND(Bills!#REF!,"AAAAAE7O7y4=")</f>
        <v>#REF!</v>
      </c>
      <c r="AV16" t="e">
        <f>AND(Bills!#REF!,"AAAAAE7O7y8=")</f>
        <v>#REF!</v>
      </c>
      <c r="AW16" t="e">
        <f>AND(Bills!#REF!,"AAAAAE7O7zA=")</f>
        <v>#REF!</v>
      </c>
      <c r="AX16" t="e">
        <f>AND(Bills!#REF!,"AAAAAE7O7zE=")</f>
        <v>#REF!</v>
      </c>
      <c r="AY16" t="e">
        <f>AND(Bills!#REF!,"AAAAAE7O7zI=")</f>
        <v>#REF!</v>
      </c>
      <c r="AZ16" t="e">
        <f>AND(Bills!#REF!,"AAAAAE7O7zM=")</f>
        <v>#REF!</v>
      </c>
      <c r="BA16" t="e">
        <f>AND(Bills!#REF!,"AAAAAE7O7zQ=")</f>
        <v>#REF!</v>
      </c>
      <c r="BB16" t="e">
        <f>AND(Bills!#REF!,"AAAAAE7O7zU=")</f>
        <v>#REF!</v>
      </c>
      <c r="BC16" t="e">
        <f>AND(Bills!#REF!,"AAAAAE7O7zY=")</f>
        <v>#REF!</v>
      </c>
      <c r="BD16" t="e">
        <f>AND(Bills!#REF!,"AAAAAE7O7zc=")</f>
        <v>#REF!</v>
      </c>
      <c r="BE16" t="e">
        <f>AND(Bills!#REF!,"AAAAAE7O7zg=")</f>
        <v>#REF!</v>
      </c>
      <c r="BF16" t="e">
        <f>AND(Bills!#REF!,"AAAAAE7O7zk=")</f>
        <v>#REF!</v>
      </c>
      <c r="BG16" t="e">
        <f>AND(Bills!#REF!,"AAAAAE7O7zo=")</f>
        <v>#REF!</v>
      </c>
      <c r="BH16" t="e">
        <f>AND(Bills!#REF!,"AAAAAE7O7zs=")</f>
        <v>#REF!</v>
      </c>
      <c r="BI16" t="e">
        <f>AND(Bills!#REF!,"AAAAAE7O7zw=")</f>
        <v>#REF!</v>
      </c>
      <c r="BJ16" t="e">
        <f>AND(Bills!#REF!,"AAAAAE7O7z0=")</f>
        <v>#REF!</v>
      </c>
      <c r="BK16" t="e">
        <f>AND(Bills!#REF!,"AAAAAE7O7z4=")</f>
        <v>#REF!</v>
      </c>
      <c r="BL16" t="e">
        <f>AND(Bills!#REF!,"AAAAAE7O7z8=")</f>
        <v>#REF!</v>
      </c>
      <c r="BM16" t="e">
        <f>AND(Bills!#REF!,"AAAAAE7O70A=")</f>
        <v>#REF!</v>
      </c>
      <c r="BN16" t="e">
        <f>AND(Bills!#REF!,"AAAAAE7O70E=")</f>
        <v>#REF!</v>
      </c>
      <c r="BO16" t="e">
        <f>AND(Bills!#REF!,"AAAAAE7O70I=")</f>
        <v>#REF!</v>
      </c>
      <c r="BP16" t="e">
        <f>AND(Bills!#REF!,"AAAAAE7O70M=")</f>
        <v>#REF!</v>
      </c>
      <c r="BQ16" t="e">
        <f>AND(Bills!#REF!,"AAAAAE7O70Q=")</f>
        <v>#REF!</v>
      </c>
      <c r="BR16" t="e">
        <f>AND(Bills!#REF!,"AAAAAE7O70U=")</f>
        <v>#REF!</v>
      </c>
      <c r="BS16" t="e">
        <f>AND(Bills!#REF!,"AAAAAE7O70Y=")</f>
        <v>#REF!</v>
      </c>
      <c r="BT16" t="e">
        <f>AND(Bills!#REF!,"AAAAAE7O70c=")</f>
        <v>#REF!</v>
      </c>
      <c r="BU16" t="e">
        <f>AND(Bills!#REF!,"AAAAAE7O70g=")</f>
        <v>#REF!</v>
      </c>
      <c r="BV16" t="e">
        <f>AND(Bills!#REF!,"AAAAAE7O70k=")</f>
        <v>#REF!</v>
      </c>
      <c r="BW16" t="e">
        <f>AND(Bills!#REF!,"AAAAAE7O70o=")</f>
        <v>#REF!</v>
      </c>
      <c r="BX16" t="e">
        <f>IF(Bills!#REF!,"AAAAAE7O70s=",0)</f>
        <v>#REF!</v>
      </c>
      <c r="BY16" t="e">
        <f>AND(Bills!#REF!,"AAAAAE7O70w=")</f>
        <v>#REF!</v>
      </c>
      <c r="BZ16" t="e">
        <f>AND(Bills!#REF!,"AAAAAE7O700=")</f>
        <v>#REF!</v>
      </c>
      <c r="CA16" t="e">
        <f>AND(Bills!#REF!,"AAAAAE7O704=")</f>
        <v>#REF!</v>
      </c>
      <c r="CB16" t="e">
        <f>AND(Bills!#REF!,"AAAAAE7O708=")</f>
        <v>#REF!</v>
      </c>
      <c r="CC16" t="e">
        <f>AND(Bills!#REF!,"AAAAAE7O71A=")</f>
        <v>#REF!</v>
      </c>
      <c r="CD16" t="e">
        <f>AND(Bills!#REF!,"AAAAAE7O71E=")</f>
        <v>#REF!</v>
      </c>
      <c r="CE16" t="e">
        <f>AND(Bills!#REF!,"AAAAAE7O71I=")</f>
        <v>#REF!</v>
      </c>
      <c r="CF16" t="e">
        <f>AND(Bills!#REF!,"AAAAAE7O71M=")</f>
        <v>#REF!</v>
      </c>
      <c r="CG16" t="e">
        <f>AND(Bills!#REF!,"AAAAAE7O71Q=")</f>
        <v>#REF!</v>
      </c>
      <c r="CH16" t="e">
        <f>AND(Bills!#REF!,"AAAAAE7O71U=")</f>
        <v>#REF!</v>
      </c>
      <c r="CI16" t="e">
        <f>AND(Bills!#REF!,"AAAAAE7O71Y=")</f>
        <v>#REF!</v>
      </c>
      <c r="CJ16" t="e">
        <f>AND(Bills!#REF!,"AAAAAE7O71c=")</f>
        <v>#REF!</v>
      </c>
      <c r="CK16" t="e">
        <f>AND(Bills!#REF!,"AAAAAE7O71g=")</f>
        <v>#REF!</v>
      </c>
      <c r="CL16" t="e">
        <f>AND(Bills!#REF!,"AAAAAE7O71k=")</f>
        <v>#REF!</v>
      </c>
      <c r="CM16" t="e">
        <f>AND(Bills!#REF!,"AAAAAE7O71o=")</f>
        <v>#REF!</v>
      </c>
      <c r="CN16" t="e">
        <f>AND(Bills!#REF!,"AAAAAE7O71s=")</f>
        <v>#REF!</v>
      </c>
      <c r="CO16" t="e">
        <f>AND(Bills!#REF!,"AAAAAE7O71w=")</f>
        <v>#REF!</v>
      </c>
      <c r="CP16" t="e">
        <f>AND(Bills!#REF!,"AAAAAE7O710=")</f>
        <v>#REF!</v>
      </c>
      <c r="CQ16" t="e">
        <f>AND(Bills!#REF!,"AAAAAE7O714=")</f>
        <v>#REF!</v>
      </c>
      <c r="CR16" t="e">
        <f>AND(Bills!#REF!,"AAAAAE7O718=")</f>
        <v>#REF!</v>
      </c>
      <c r="CS16" t="e">
        <f>AND(Bills!#REF!,"AAAAAE7O72A=")</f>
        <v>#REF!</v>
      </c>
      <c r="CT16" t="e">
        <f>AND(Bills!#REF!,"AAAAAE7O72E=")</f>
        <v>#REF!</v>
      </c>
      <c r="CU16" t="e">
        <f>AND(Bills!#REF!,"AAAAAE7O72I=")</f>
        <v>#REF!</v>
      </c>
      <c r="CV16" t="e">
        <f>AND(Bills!#REF!,"AAAAAE7O72M=")</f>
        <v>#REF!</v>
      </c>
      <c r="CW16" t="e">
        <f>AND(Bills!#REF!,"AAAAAE7O72Q=")</f>
        <v>#REF!</v>
      </c>
      <c r="CX16" t="e">
        <f>AND(Bills!#REF!,"AAAAAE7O72U=")</f>
        <v>#REF!</v>
      </c>
      <c r="CY16" t="e">
        <f>AND(Bills!#REF!,"AAAAAE7O72Y=")</f>
        <v>#REF!</v>
      </c>
      <c r="CZ16" t="e">
        <f>AND(Bills!#REF!,"AAAAAE7O72c=")</f>
        <v>#REF!</v>
      </c>
      <c r="DA16" t="e">
        <f>AND(Bills!#REF!,"AAAAAE7O72g=")</f>
        <v>#REF!</v>
      </c>
      <c r="DB16" t="e">
        <f>AND(Bills!#REF!,"AAAAAE7O72k=")</f>
        <v>#REF!</v>
      </c>
      <c r="DC16" t="e">
        <f>AND(Bills!#REF!,"AAAAAE7O72o=")</f>
        <v>#REF!</v>
      </c>
      <c r="DD16" t="e">
        <f>AND(Bills!#REF!,"AAAAAE7O72s=")</f>
        <v>#REF!</v>
      </c>
      <c r="DE16" t="e">
        <f>AND(Bills!#REF!,"AAAAAE7O72w=")</f>
        <v>#REF!</v>
      </c>
      <c r="DF16" t="e">
        <f>AND(Bills!#REF!,"AAAAAE7O720=")</f>
        <v>#REF!</v>
      </c>
      <c r="DG16" t="e">
        <f>AND(Bills!#REF!,"AAAAAE7O724=")</f>
        <v>#REF!</v>
      </c>
      <c r="DH16" t="e">
        <f>AND(Bills!#REF!,"AAAAAE7O728=")</f>
        <v>#REF!</v>
      </c>
      <c r="DI16" t="e">
        <f>AND(Bills!#REF!,"AAAAAE7O73A=")</f>
        <v>#REF!</v>
      </c>
      <c r="DJ16" t="e">
        <f>AND(Bills!#REF!,"AAAAAE7O73E=")</f>
        <v>#REF!</v>
      </c>
      <c r="DK16" t="e">
        <f>AND(Bills!#REF!,"AAAAAE7O73I=")</f>
        <v>#REF!</v>
      </c>
      <c r="DL16" t="e">
        <f>AND(Bills!#REF!,"AAAAAE7O73M=")</f>
        <v>#REF!</v>
      </c>
      <c r="DM16" t="e">
        <f>AND(Bills!#REF!,"AAAAAE7O73Q=")</f>
        <v>#REF!</v>
      </c>
      <c r="DN16" t="e">
        <f>AND(Bills!#REF!,"AAAAAE7O73U=")</f>
        <v>#REF!</v>
      </c>
      <c r="DO16" t="e">
        <f>AND(Bills!#REF!,"AAAAAE7O73Y=")</f>
        <v>#REF!</v>
      </c>
      <c r="DP16" t="e">
        <f>AND(Bills!#REF!,"AAAAAE7O73c=")</f>
        <v>#REF!</v>
      </c>
      <c r="DQ16" t="e">
        <f>AND(Bills!#REF!,"AAAAAE7O73g=")</f>
        <v>#REF!</v>
      </c>
      <c r="DR16" t="e">
        <f>AND(Bills!#REF!,"AAAAAE7O73k=")</f>
        <v>#REF!</v>
      </c>
      <c r="DS16" t="e">
        <f>AND(Bills!#REF!,"AAAAAE7O73o=")</f>
        <v>#REF!</v>
      </c>
      <c r="DT16" t="e">
        <f>AND(Bills!#REF!,"AAAAAE7O73s=")</f>
        <v>#REF!</v>
      </c>
      <c r="DU16" t="e">
        <f>AND(Bills!#REF!,"AAAAAE7O73w=")</f>
        <v>#REF!</v>
      </c>
      <c r="DV16" t="e">
        <f>AND(Bills!#REF!,"AAAAAE7O730=")</f>
        <v>#REF!</v>
      </c>
      <c r="DW16" t="e">
        <f>IF(Bills!#REF!,"AAAAAE7O734=",0)</f>
        <v>#REF!</v>
      </c>
      <c r="DX16" t="e">
        <f>AND(Bills!#REF!,"AAAAAE7O738=")</f>
        <v>#REF!</v>
      </c>
      <c r="DY16" t="e">
        <f>AND(Bills!#REF!,"AAAAAE7O74A=")</f>
        <v>#REF!</v>
      </c>
      <c r="DZ16" t="e">
        <f>AND(Bills!#REF!,"AAAAAE7O74E=")</f>
        <v>#REF!</v>
      </c>
      <c r="EA16" t="e">
        <f>AND(Bills!#REF!,"AAAAAE7O74I=")</f>
        <v>#REF!</v>
      </c>
      <c r="EB16" t="e">
        <f>AND(Bills!#REF!,"AAAAAE7O74M=")</f>
        <v>#REF!</v>
      </c>
      <c r="EC16" t="e">
        <f>AND(Bills!#REF!,"AAAAAE7O74Q=")</f>
        <v>#REF!</v>
      </c>
      <c r="ED16" t="e">
        <f>AND(Bills!#REF!,"AAAAAE7O74U=")</f>
        <v>#REF!</v>
      </c>
      <c r="EE16" t="e">
        <f>AND(Bills!#REF!,"AAAAAE7O74Y=")</f>
        <v>#REF!</v>
      </c>
      <c r="EF16" t="e">
        <f>AND(Bills!#REF!,"AAAAAE7O74c=")</f>
        <v>#REF!</v>
      </c>
      <c r="EG16" t="e">
        <f>AND(Bills!#REF!,"AAAAAE7O74g=")</f>
        <v>#REF!</v>
      </c>
      <c r="EH16" t="e">
        <f>AND(Bills!#REF!,"AAAAAE7O74k=")</f>
        <v>#REF!</v>
      </c>
      <c r="EI16" t="e">
        <f>AND(Bills!#REF!,"AAAAAE7O74o=")</f>
        <v>#REF!</v>
      </c>
      <c r="EJ16" t="e">
        <f>AND(Bills!#REF!,"AAAAAE7O74s=")</f>
        <v>#REF!</v>
      </c>
      <c r="EK16" t="e">
        <f>AND(Bills!#REF!,"AAAAAE7O74w=")</f>
        <v>#REF!</v>
      </c>
      <c r="EL16" t="e">
        <f>AND(Bills!#REF!,"AAAAAE7O740=")</f>
        <v>#REF!</v>
      </c>
      <c r="EM16" t="e">
        <f>AND(Bills!#REF!,"AAAAAE7O744=")</f>
        <v>#REF!</v>
      </c>
      <c r="EN16" t="e">
        <f>AND(Bills!#REF!,"AAAAAE7O748=")</f>
        <v>#REF!</v>
      </c>
      <c r="EO16" t="e">
        <f>AND(Bills!#REF!,"AAAAAE7O75A=")</f>
        <v>#REF!</v>
      </c>
      <c r="EP16" t="e">
        <f>AND(Bills!#REF!,"AAAAAE7O75E=")</f>
        <v>#REF!</v>
      </c>
      <c r="EQ16" t="e">
        <f>AND(Bills!#REF!,"AAAAAE7O75I=")</f>
        <v>#REF!</v>
      </c>
      <c r="ER16" t="e">
        <f>AND(Bills!#REF!,"AAAAAE7O75M=")</f>
        <v>#REF!</v>
      </c>
      <c r="ES16" t="e">
        <f>AND(Bills!#REF!,"AAAAAE7O75Q=")</f>
        <v>#REF!</v>
      </c>
      <c r="ET16" t="e">
        <f>AND(Bills!#REF!,"AAAAAE7O75U=")</f>
        <v>#REF!</v>
      </c>
      <c r="EU16" t="e">
        <f>AND(Bills!#REF!,"AAAAAE7O75Y=")</f>
        <v>#REF!</v>
      </c>
      <c r="EV16" t="e">
        <f>AND(Bills!#REF!,"AAAAAE7O75c=")</f>
        <v>#REF!</v>
      </c>
      <c r="EW16" t="e">
        <f>AND(Bills!#REF!,"AAAAAE7O75g=")</f>
        <v>#REF!</v>
      </c>
      <c r="EX16" t="e">
        <f>AND(Bills!#REF!,"AAAAAE7O75k=")</f>
        <v>#REF!</v>
      </c>
      <c r="EY16" t="e">
        <f>AND(Bills!#REF!,"AAAAAE7O75o=")</f>
        <v>#REF!</v>
      </c>
      <c r="EZ16" t="e">
        <f>AND(Bills!#REF!,"AAAAAE7O75s=")</f>
        <v>#REF!</v>
      </c>
      <c r="FA16" t="e">
        <f>AND(Bills!#REF!,"AAAAAE7O75w=")</f>
        <v>#REF!</v>
      </c>
      <c r="FB16" t="e">
        <f>AND(Bills!#REF!,"AAAAAE7O750=")</f>
        <v>#REF!</v>
      </c>
      <c r="FC16" t="e">
        <f>AND(Bills!#REF!,"AAAAAE7O754=")</f>
        <v>#REF!</v>
      </c>
      <c r="FD16" t="e">
        <f>AND(Bills!#REF!,"AAAAAE7O758=")</f>
        <v>#REF!</v>
      </c>
      <c r="FE16" t="e">
        <f>AND(Bills!#REF!,"AAAAAE7O76A=")</f>
        <v>#REF!</v>
      </c>
      <c r="FF16" t="e">
        <f>AND(Bills!#REF!,"AAAAAE7O76E=")</f>
        <v>#REF!</v>
      </c>
      <c r="FG16" t="e">
        <f>AND(Bills!#REF!,"AAAAAE7O76I=")</f>
        <v>#REF!</v>
      </c>
      <c r="FH16" t="e">
        <f>AND(Bills!#REF!,"AAAAAE7O76M=")</f>
        <v>#REF!</v>
      </c>
      <c r="FI16" t="e">
        <f>AND(Bills!#REF!,"AAAAAE7O76Q=")</f>
        <v>#REF!</v>
      </c>
      <c r="FJ16" t="e">
        <f>AND(Bills!#REF!,"AAAAAE7O76U=")</f>
        <v>#REF!</v>
      </c>
      <c r="FK16" t="e">
        <f>AND(Bills!#REF!,"AAAAAE7O76Y=")</f>
        <v>#REF!</v>
      </c>
      <c r="FL16" t="e">
        <f>AND(Bills!#REF!,"AAAAAE7O76c=")</f>
        <v>#REF!</v>
      </c>
      <c r="FM16" t="e">
        <f>AND(Bills!#REF!,"AAAAAE7O76g=")</f>
        <v>#REF!</v>
      </c>
      <c r="FN16" t="e">
        <f>AND(Bills!#REF!,"AAAAAE7O76k=")</f>
        <v>#REF!</v>
      </c>
      <c r="FO16" t="e">
        <f>AND(Bills!#REF!,"AAAAAE7O76o=")</f>
        <v>#REF!</v>
      </c>
      <c r="FP16" t="e">
        <f>AND(Bills!#REF!,"AAAAAE7O76s=")</f>
        <v>#REF!</v>
      </c>
      <c r="FQ16" t="e">
        <f>AND(Bills!#REF!,"AAAAAE7O76w=")</f>
        <v>#REF!</v>
      </c>
      <c r="FR16" t="e">
        <f>AND(Bills!#REF!,"AAAAAE7O760=")</f>
        <v>#REF!</v>
      </c>
      <c r="FS16" t="e">
        <f>AND(Bills!#REF!,"AAAAAE7O764=")</f>
        <v>#REF!</v>
      </c>
      <c r="FT16" t="e">
        <f>AND(Bills!#REF!,"AAAAAE7O768=")</f>
        <v>#REF!</v>
      </c>
      <c r="FU16" t="e">
        <f>AND(Bills!#REF!,"AAAAAE7O77A=")</f>
        <v>#REF!</v>
      </c>
      <c r="FV16" t="e">
        <f>IF(Bills!#REF!,"AAAAAE7O77E=",0)</f>
        <v>#REF!</v>
      </c>
      <c r="FW16" t="e">
        <f>AND(Bills!#REF!,"AAAAAE7O77I=")</f>
        <v>#REF!</v>
      </c>
      <c r="FX16" t="e">
        <f>AND(Bills!#REF!,"AAAAAE7O77M=")</f>
        <v>#REF!</v>
      </c>
      <c r="FY16" t="e">
        <f>AND(Bills!#REF!,"AAAAAE7O77Q=")</f>
        <v>#REF!</v>
      </c>
      <c r="FZ16" t="e">
        <f>AND(Bills!#REF!,"AAAAAE7O77U=")</f>
        <v>#REF!</v>
      </c>
      <c r="GA16" t="e">
        <f>AND(Bills!#REF!,"AAAAAE7O77Y=")</f>
        <v>#REF!</v>
      </c>
      <c r="GB16" t="e">
        <f>AND(Bills!#REF!,"AAAAAE7O77c=")</f>
        <v>#REF!</v>
      </c>
      <c r="GC16" t="e">
        <f>AND(Bills!#REF!,"AAAAAE7O77g=")</f>
        <v>#REF!</v>
      </c>
      <c r="GD16" t="e">
        <f>AND(Bills!#REF!,"AAAAAE7O77k=")</f>
        <v>#REF!</v>
      </c>
      <c r="GE16" t="e">
        <f>AND(Bills!#REF!,"AAAAAE7O77o=")</f>
        <v>#REF!</v>
      </c>
      <c r="GF16" t="e">
        <f>AND(Bills!#REF!,"AAAAAE7O77s=")</f>
        <v>#REF!</v>
      </c>
      <c r="GG16" t="e">
        <f>AND(Bills!#REF!,"AAAAAE7O77w=")</f>
        <v>#REF!</v>
      </c>
      <c r="GH16" t="e">
        <f>AND(Bills!#REF!,"AAAAAE7O770=")</f>
        <v>#REF!</v>
      </c>
      <c r="GI16" t="e">
        <f>AND(Bills!#REF!,"AAAAAE7O774=")</f>
        <v>#REF!</v>
      </c>
      <c r="GJ16" t="e">
        <f>AND(Bills!#REF!,"AAAAAE7O778=")</f>
        <v>#REF!</v>
      </c>
      <c r="GK16" t="e">
        <f>AND(Bills!#REF!,"AAAAAE7O78A=")</f>
        <v>#REF!</v>
      </c>
      <c r="GL16" t="e">
        <f>AND(Bills!#REF!,"AAAAAE7O78E=")</f>
        <v>#REF!</v>
      </c>
      <c r="GM16" t="e">
        <f>AND(Bills!#REF!,"AAAAAE7O78I=")</f>
        <v>#REF!</v>
      </c>
      <c r="GN16" t="e">
        <f>AND(Bills!#REF!,"AAAAAE7O78M=")</f>
        <v>#REF!</v>
      </c>
      <c r="GO16" t="e">
        <f>AND(Bills!#REF!,"AAAAAE7O78Q=")</f>
        <v>#REF!</v>
      </c>
      <c r="GP16" t="e">
        <f>AND(Bills!#REF!,"AAAAAE7O78U=")</f>
        <v>#REF!</v>
      </c>
      <c r="GQ16" t="e">
        <f>AND(Bills!#REF!,"AAAAAE7O78Y=")</f>
        <v>#REF!</v>
      </c>
      <c r="GR16" t="e">
        <f>AND(Bills!#REF!,"AAAAAE7O78c=")</f>
        <v>#REF!</v>
      </c>
      <c r="GS16" t="e">
        <f>AND(Bills!#REF!,"AAAAAE7O78g=")</f>
        <v>#REF!</v>
      </c>
      <c r="GT16" t="e">
        <f>AND(Bills!#REF!,"AAAAAE7O78k=")</f>
        <v>#REF!</v>
      </c>
      <c r="GU16" t="e">
        <f>AND(Bills!#REF!,"AAAAAE7O78o=")</f>
        <v>#REF!</v>
      </c>
      <c r="GV16" t="e">
        <f>AND(Bills!#REF!,"AAAAAE7O78s=")</f>
        <v>#REF!</v>
      </c>
      <c r="GW16" t="e">
        <f>AND(Bills!#REF!,"AAAAAE7O78w=")</f>
        <v>#REF!</v>
      </c>
      <c r="GX16" t="e">
        <f>AND(Bills!#REF!,"AAAAAE7O780=")</f>
        <v>#REF!</v>
      </c>
      <c r="GY16" t="e">
        <f>AND(Bills!#REF!,"AAAAAE7O784=")</f>
        <v>#REF!</v>
      </c>
      <c r="GZ16" t="e">
        <f>AND(Bills!#REF!,"AAAAAE7O788=")</f>
        <v>#REF!</v>
      </c>
      <c r="HA16" t="e">
        <f>AND(Bills!#REF!,"AAAAAE7O79A=")</f>
        <v>#REF!</v>
      </c>
      <c r="HB16" t="e">
        <f>AND(Bills!#REF!,"AAAAAE7O79E=")</f>
        <v>#REF!</v>
      </c>
      <c r="HC16" t="e">
        <f>AND(Bills!#REF!,"AAAAAE7O79I=")</f>
        <v>#REF!</v>
      </c>
      <c r="HD16" t="e">
        <f>AND(Bills!#REF!,"AAAAAE7O79M=")</f>
        <v>#REF!</v>
      </c>
      <c r="HE16" t="e">
        <f>AND(Bills!#REF!,"AAAAAE7O79Q=")</f>
        <v>#REF!</v>
      </c>
      <c r="HF16" t="e">
        <f>AND(Bills!#REF!,"AAAAAE7O79U=")</f>
        <v>#REF!</v>
      </c>
      <c r="HG16" t="e">
        <f>AND(Bills!#REF!,"AAAAAE7O79Y=")</f>
        <v>#REF!</v>
      </c>
      <c r="HH16" t="e">
        <f>AND(Bills!#REF!,"AAAAAE7O79c=")</f>
        <v>#REF!</v>
      </c>
      <c r="HI16" t="e">
        <f>AND(Bills!#REF!,"AAAAAE7O79g=")</f>
        <v>#REF!</v>
      </c>
      <c r="HJ16" t="e">
        <f>AND(Bills!#REF!,"AAAAAE7O79k=")</f>
        <v>#REF!</v>
      </c>
      <c r="HK16" t="e">
        <f>AND(Bills!#REF!,"AAAAAE7O79o=")</f>
        <v>#REF!</v>
      </c>
      <c r="HL16" t="e">
        <f>AND(Bills!#REF!,"AAAAAE7O79s=")</f>
        <v>#REF!</v>
      </c>
      <c r="HM16" t="e">
        <f>AND(Bills!#REF!,"AAAAAE7O79w=")</f>
        <v>#REF!</v>
      </c>
      <c r="HN16" t="e">
        <f>AND(Bills!#REF!,"AAAAAE7O790=")</f>
        <v>#REF!</v>
      </c>
      <c r="HO16" t="e">
        <f>AND(Bills!#REF!,"AAAAAE7O794=")</f>
        <v>#REF!</v>
      </c>
      <c r="HP16" t="e">
        <f>AND(Bills!#REF!,"AAAAAE7O798=")</f>
        <v>#REF!</v>
      </c>
      <c r="HQ16" t="e">
        <f>AND(Bills!#REF!,"AAAAAE7O7+A=")</f>
        <v>#REF!</v>
      </c>
      <c r="HR16" t="e">
        <f>AND(Bills!#REF!,"AAAAAE7O7+E=")</f>
        <v>#REF!</v>
      </c>
      <c r="HS16" t="e">
        <f>AND(Bills!#REF!,"AAAAAE7O7+I=")</f>
        <v>#REF!</v>
      </c>
      <c r="HT16" t="e">
        <f>AND(Bills!#REF!,"AAAAAE7O7+M=")</f>
        <v>#REF!</v>
      </c>
      <c r="HU16" t="e">
        <f>IF(Bills!#REF!,"AAAAAE7O7+Q=",0)</f>
        <v>#REF!</v>
      </c>
      <c r="HV16" t="e">
        <f>AND(Bills!#REF!,"AAAAAE7O7+U=")</f>
        <v>#REF!</v>
      </c>
      <c r="HW16" t="e">
        <f>AND(Bills!#REF!,"AAAAAE7O7+Y=")</f>
        <v>#REF!</v>
      </c>
      <c r="HX16" t="e">
        <f>AND(Bills!#REF!,"AAAAAE7O7+c=")</f>
        <v>#REF!</v>
      </c>
      <c r="HY16" t="e">
        <f>AND(Bills!#REF!,"AAAAAE7O7+g=")</f>
        <v>#REF!</v>
      </c>
      <c r="HZ16" t="e">
        <f>AND(Bills!#REF!,"AAAAAE7O7+k=")</f>
        <v>#REF!</v>
      </c>
      <c r="IA16" t="e">
        <f>AND(Bills!#REF!,"AAAAAE7O7+o=")</f>
        <v>#REF!</v>
      </c>
      <c r="IB16" t="e">
        <f>AND(Bills!#REF!,"AAAAAE7O7+s=")</f>
        <v>#REF!</v>
      </c>
      <c r="IC16" t="e">
        <f>AND(Bills!#REF!,"AAAAAE7O7+w=")</f>
        <v>#REF!</v>
      </c>
      <c r="ID16" t="e">
        <f>AND(Bills!#REF!,"AAAAAE7O7+0=")</f>
        <v>#REF!</v>
      </c>
      <c r="IE16" t="e">
        <f>AND(Bills!#REF!,"AAAAAE7O7+4=")</f>
        <v>#REF!</v>
      </c>
      <c r="IF16" t="e">
        <f>AND(Bills!#REF!,"AAAAAE7O7+8=")</f>
        <v>#REF!</v>
      </c>
      <c r="IG16" t="e">
        <f>AND(Bills!#REF!,"AAAAAE7O7/A=")</f>
        <v>#REF!</v>
      </c>
      <c r="IH16" t="e">
        <f>AND(Bills!#REF!,"AAAAAE7O7/E=")</f>
        <v>#REF!</v>
      </c>
      <c r="II16" t="e">
        <f>AND(Bills!#REF!,"AAAAAE7O7/I=")</f>
        <v>#REF!</v>
      </c>
      <c r="IJ16" t="e">
        <f>AND(Bills!#REF!,"AAAAAE7O7/M=")</f>
        <v>#REF!</v>
      </c>
      <c r="IK16" t="e">
        <f>AND(Bills!#REF!,"AAAAAE7O7/Q=")</f>
        <v>#REF!</v>
      </c>
      <c r="IL16" t="e">
        <f>AND(Bills!#REF!,"AAAAAE7O7/U=")</f>
        <v>#REF!</v>
      </c>
      <c r="IM16" t="e">
        <f>AND(Bills!#REF!,"AAAAAE7O7/Y=")</f>
        <v>#REF!</v>
      </c>
      <c r="IN16" t="e">
        <f>AND(Bills!#REF!,"AAAAAE7O7/c=")</f>
        <v>#REF!</v>
      </c>
      <c r="IO16" t="e">
        <f>AND(Bills!#REF!,"AAAAAE7O7/g=")</f>
        <v>#REF!</v>
      </c>
      <c r="IP16" t="e">
        <f>AND(Bills!#REF!,"AAAAAE7O7/k=")</f>
        <v>#REF!</v>
      </c>
      <c r="IQ16" t="e">
        <f>AND(Bills!#REF!,"AAAAAE7O7/o=")</f>
        <v>#REF!</v>
      </c>
      <c r="IR16" t="e">
        <f>AND(Bills!#REF!,"AAAAAE7O7/s=")</f>
        <v>#REF!</v>
      </c>
      <c r="IS16" t="e">
        <f>AND(Bills!#REF!,"AAAAAE7O7/w=")</f>
        <v>#REF!</v>
      </c>
      <c r="IT16" t="e">
        <f>AND(Bills!#REF!,"AAAAAE7O7/0=")</f>
        <v>#REF!</v>
      </c>
      <c r="IU16" t="e">
        <f>AND(Bills!#REF!,"AAAAAE7O7/4=")</f>
        <v>#REF!</v>
      </c>
      <c r="IV16" t="e">
        <f>AND(Bills!#REF!,"AAAAAE7O7/8=")</f>
        <v>#REF!</v>
      </c>
    </row>
    <row r="17" spans="1:256" x14ac:dyDescent="0.25">
      <c r="A17" t="e">
        <f>AND(Bills!#REF!,"AAAAAB21/wA=")</f>
        <v>#REF!</v>
      </c>
      <c r="B17" t="e">
        <f>AND(Bills!#REF!,"AAAAAB21/wE=")</f>
        <v>#REF!</v>
      </c>
      <c r="C17" t="e">
        <f>AND(Bills!#REF!,"AAAAAB21/wI=")</f>
        <v>#REF!</v>
      </c>
      <c r="D17" t="e">
        <f>AND(Bills!#REF!,"AAAAAB21/wM=")</f>
        <v>#REF!</v>
      </c>
      <c r="E17" t="e">
        <f>AND(Bills!#REF!,"AAAAAB21/wQ=")</f>
        <v>#REF!</v>
      </c>
      <c r="F17" t="e">
        <f>AND(Bills!#REF!,"AAAAAB21/wU=")</f>
        <v>#REF!</v>
      </c>
      <c r="G17" t="e">
        <f>AND(Bills!#REF!,"AAAAAB21/wY=")</f>
        <v>#REF!</v>
      </c>
      <c r="H17" t="e">
        <f>AND(Bills!#REF!,"AAAAAB21/wc=")</f>
        <v>#REF!</v>
      </c>
      <c r="I17" t="e">
        <f>AND(Bills!#REF!,"AAAAAB21/wg=")</f>
        <v>#REF!</v>
      </c>
      <c r="J17" t="e">
        <f>AND(Bills!#REF!,"AAAAAB21/wk=")</f>
        <v>#REF!</v>
      </c>
      <c r="K17" t="e">
        <f>AND(Bills!#REF!,"AAAAAB21/wo=")</f>
        <v>#REF!</v>
      </c>
      <c r="L17" t="e">
        <f>AND(Bills!#REF!,"AAAAAB21/ws=")</f>
        <v>#REF!</v>
      </c>
      <c r="M17" t="e">
        <f>AND(Bills!#REF!,"AAAAAB21/ww=")</f>
        <v>#REF!</v>
      </c>
      <c r="N17" t="e">
        <f>AND(Bills!#REF!,"AAAAAB21/w0=")</f>
        <v>#REF!</v>
      </c>
      <c r="O17" t="e">
        <f>AND(Bills!#REF!,"AAAAAB21/w4=")</f>
        <v>#REF!</v>
      </c>
      <c r="P17" t="e">
        <f>AND(Bills!#REF!,"AAAAAB21/w8=")</f>
        <v>#REF!</v>
      </c>
      <c r="Q17" t="e">
        <f>AND(Bills!#REF!,"AAAAAB21/xA=")</f>
        <v>#REF!</v>
      </c>
      <c r="R17" t="e">
        <f>AND(Bills!#REF!,"AAAAAB21/xE=")</f>
        <v>#REF!</v>
      </c>
      <c r="S17" t="e">
        <f>AND(Bills!#REF!,"AAAAAB21/xI=")</f>
        <v>#REF!</v>
      </c>
      <c r="T17" t="e">
        <f>AND(Bills!#REF!,"AAAAAB21/xM=")</f>
        <v>#REF!</v>
      </c>
      <c r="U17" t="e">
        <f>AND(Bills!#REF!,"AAAAAB21/xQ=")</f>
        <v>#REF!</v>
      </c>
      <c r="V17" t="e">
        <f>AND(Bills!#REF!,"AAAAAB21/xU=")</f>
        <v>#REF!</v>
      </c>
      <c r="W17" t="e">
        <f>AND(Bills!#REF!,"AAAAAB21/xY=")</f>
        <v>#REF!</v>
      </c>
      <c r="X17" t="e">
        <f>IF(Bills!#REF!,"AAAAAB21/xc=",0)</f>
        <v>#REF!</v>
      </c>
      <c r="Y17" t="e">
        <f>AND(Bills!#REF!,"AAAAAB21/xg=")</f>
        <v>#REF!</v>
      </c>
      <c r="Z17" t="e">
        <f>AND(Bills!#REF!,"AAAAAB21/xk=")</f>
        <v>#REF!</v>
      </c>
      <c r="AA17" t="e">
        <f>AND(Bills!#REF!,"AAAAAB21/xo=")</f>
        <v>#REF!</v>
      </c>
      <c r="AB17" t="e">
        <f>AND(Bills!#REF!,"AAAAAB21/xs=")</f>
        <v>#REF!</v>
      </c>
      <c r="AC17" t="e">
        <f>AND(Bills!#REF!,"AAAAAB21/xw=")</f>
        <v>#REF!</v>
      </c>
      <c r="AD17" t="e">
        <f>AND(Bills!#REF!,"AAAAAB21/x0=")</f>
        <v>#REF!</v>
      </c>
      <c r="AE17" t="e">
        <f>AND(Bills!#REF!,"AAAAAB21/x4=")</f>
        <v>#REF!</v>
      </c>
      <c r="AF17" t="e">
        <f>AND(Bills!#REF!,"AAAAAB21/x8=")</f>
        <v>#REF!</v>
      </c>
      <c r="AG17" t="e">
        <f>AND(Bills!#REF!,"AAAAAB21/yA=")</f>
        <v>#REF!</v>
      </c>
      <c r="AH17" t="e">
        <f>AND(Bills!#REF!,"AAAAAB21/yE=")</f>
        <v>#REF!</v>
      </c>
      <c r="AI17" t="e">
        <f>AND(Bills!#REF!,"AAAAAB21/yI=")</f>
        <v>#REF!</v>
      </c>
      <c r="AJ17" t="e">
        <f>AND(Bills!#REF!,"AAAAAB21/yM=")</f>
        <v>#REF!</v>
      </c>
      <c r="AK17" t="e">
        <f>AND(Bills!#REF!,"AAAAAB21/yQ=")</f>
        <v>#REF!</v>
      </c>
      <c r="AL17" t="e">
        <f>AND(Bills!#REF!,"AAAAAB21/yU=")</f>
        <v>#REF!</v>
      </c>
      <c r="AM17" t="e">
        <f>AND(Bills!#REF!,"AAAAAB21/yY=")</f>
        <v>#REF!</v>
      </c>
      <c r="AN17" t="e">
        <f>AND(Bills!#REF!,"AAAAAB21/yc=")</f>
        <v>#REF!</v>
      </c>
      <c r="AO17" t="e">
        <f>AND(Bills!#REF!,"AAAAAB21/yg=")</f>
        <v>#REF!</v>
      </c>
      <c r="AP17" t="e">
        <f>AND(Bills!#REF!,"AAAAAB21/yk=")</f>
        <v>#REF!</v>
      </c>
      <c r="AQ17" t="e">
        <f>AND(Bills!#REF!,"AAAAAB21/yo=")</f>
        <v>#REF!</v>
      </c>
      <c r="AR17" t="e">
        <f>AND(Bills!#REF!,"AAAAAB21/ys=")</f>
        <v>#REF!</v>
      </c>
      <c r="AS17" t="e">
        <f>AND(Bills!#REF!,"AAAAAB21/yw=")</f>
        <v>#REF!</v>
      </c>
      <c r="AT17" t="e">
        <f>AND(Bills!#REF!,"AAAAAB21/y0=")</f>
        <v>#REF!</v>
      </c>
      <c r="AU17" t="e">
        <f>AND(Bills!#REF!,"AAAAAB21/y4=")</f>
        <v>#REF!</v>
      </c>
      <c r="AV17" t="e">
        <f>AND(Bills!#REF!,"AAAAAB21/y8=")</f>
        <v>#REF!</v>
      </c>
      <c r="AW17" t="e">
        <f>AND(Bills!#REF!,"AAAAAB21/zA=")</f>
        <v>#REF!</v>
      </c>
      <c r="AX17" t="e">
        <f>AND(Bills!#REF!,"AAAAAB21/zE=")</f>
        <v>#REF!</v>
      </c>
      <c r="AY17" t="e">
        <f>AND(Bills!#REF!,"AAAAAB21/zI=")</f>
        <v>#REF!</v>
      </c>
      <c r="AZ17" t="e">
        <f>AND(Bills!#REF!,"AAAAAB21/zM=")</f>
        <v>#REF!</v>
      </c>
      <c r="BA17" t="e">
        <f>AND(Bills!#REF!,"AAAAAB21/zQ=")</f>
        <v>#REF!</v>
      </c>
      <c r="BB17" t="e">
        <f>AND(Bills!#REF!,"AAAAAB21/zU=")</f>
        <v>#REF!</v>
      </c>
      <c r="BC17" t="e">
        <f>AND(Bills!#REF!,"AAAAAB21/zY=")</f>
        <v>#REF!</v>
      </c>
      <c r="BD17" t="e">
        <f>AND(Bills!#REF!,"AAAAAB21/zc=")</f>
        <v>#REF!</v>
      </c>
      <c r="BE17" t="e">
        <f>AND(Bills!#REF!,"AAAAAB21/zg=")</f>
        <v>#REF!</v>
      </c>
      <c r="BF17" t="e">
        <f>AND(Bills!#REF!,"AAAAAB21/zk=")</f>
        <v>#REF!</v>
      </c>
      <c r="BG17" t="e">
        <f>AND(Bills!#REF!,"AAAAAB21/zo=")</f>
        <v>#REF!</v>
      </c>
      <c r="BH17" t="e">
        <f>AND(Bills!#REF!,"AAAAAB21/zs=")</f>
        <v>#REF!</v>
      </c>
      <c r="BI17" t="e">
        <f>AND(Bills!#REF!,"AAAAAB21/zw=")</f>
        <v>#REF!</v>
      </c>
      <c r="BJ17" t="e">
        <f>AND(Bills!#REF!,"AAAAAB21/z0=")</f>
        <v>#REF!</v>
      </c>
      <c r="BK17" t="e">
        <f>AND(Bills!#REF!,"AAAAAB21/z4=")</f>
        <v>#REF!</v>
      </c>
      <c r="BL17" t="e">
        <f>AND(Bills!#REF!,"AAAAAB21/z8=")</f>
        <v>#REF!</v>
      </c>
      <c r="BM17" t="e">
        <f>AND(Bills!#REF!,"AAAAAB21/0A=")</f>
        <v>#REF!</v>
      </c>
      <c r="BN17" t="e">
        <f>AND(Bills!#REF!,"AAAAAB21/0E=")</f>
        <v>#REF!</v>
      </c>
      <c r="BO17" t="e">
        <f>AND(Bills!#REF!,"AAAAAB21/0I=")</f>
        <v>#REF!</v>
      </c>
      <c r="BP17" t="e">
        <f>AND(Bills!#REF!,"AAAAAB21/0M=")</f>
        <v>#REF!</v>
      </c>
      <c r="BQ17" t="e">
        <f>AND(Bills!#REF!,"AAAAAB21/0Q=")</f>
        <v>#REF!</v>
      </c>
      <c r="BR17" t="e">
        <f>AND(Bills!#REF!,"AAAAAB21/0U=")</f>
        <v>#REF!</v>
      </c>
      <c r="BS17" t="e">
        <f>AND(Bills!#REF!,"AAAAAB21/0Y=")</f>
        <v>#REF!</v>
      </c>
      <c r="BT17" t="e">
        <f>AND(Bills!#REF!,"AAAAAB21/0c=")</f>
        <v>#REF!</v>
      </c>
      <c r="BU17" t="e">
        <f>AND(Bills!#REF!,"AAAAAB21/0g=")</f>
        <v>#REF!</v>
      </c>
      <c r="BV17" t="e">
        <f>AND(Bills!#REF!,"AAAAAB21/0k=")</f>
        <v>#REF!</v>
      </c>
      <c r="BW17" t="e">
        <f>IF(Bills!#REF!,"AAAAAB21/0o=",0)</f>
        <v>#REF!</v>
      </c>
      <c r="BX17" t="e">
        <f>AND(Bills!#REF!,"AAAAAB21/0s=")</f>
        <v>#REF!</v>
      </c>
      <c r="BY17" t="e">
        <f>AND(Bills!#REF!,"AAAAAB21/0w=")</f>
        <v>#REF!</v>
      </c>
      <c r="BZ17" t="e">
        <f>AND(Bills!#REF!,"AAAAAB21/00=")</f>
        <v>#REF!</v>
      </c>
      <c r="CA17" t="e">
        <f>AND(Bills!#REF!,"AAAAAB21/04=")</f>
        <v>#REF!</v>
      </c>
      <c r="CB17" t="e">
        <f>AND(Bills!#REF!,"AAAAAB21/08=")</f>
        <v>#REF!</v>
      </c>
      <c r="CC17" t="e">
        <f>AND(Bills!#REF!,"AAAAAB21/1A=")</f>
        <v>#REF!</v>
      </c>
      <c r="CD17" t="e">
        <f>AND(Bills!#REF!,"AAAAAB21/1E=")</f>
        <v>#REF!</v>
      </c>
      <c r="CE17" t="e">
        <f>AND(Bills!#REF!,"AAAAAB21/1I=")</f>
        <v>#REF!</v>
      </c>
      <c r="CF17" t="e">
        <f>AND(Bills!#REF!,"AAAAAB21/1M=")</f>
        <v>#REF!</v>
      </c>
      <c r="CG17" t="e">
        <f>AND(Bills!#REF!,"AAAAAB21/1Q=")</f>
        <v>#REF!</v>
      </c>
      <c r="CH17" t="e">
        <f>AND(Bills!#REF!,"AAAAAB21/1U=")</f>
        <v>#REF!</v>
      </c>
      <c r="CI17" t="e">
        <f>AND(Bills!#REF!,"AAAAAB21/1Y=")</f>
        <v>#REF!</v>
      </c>
      <c r="CJ17" t="e">
        <f>AND(Bills!#REF!,"AAAAAB21/1c=")</f>
        <v>#REF!</v>
      </c>
      <c r="CK17" t="e">
        <f>AND(Bills!#REF!,"AAAAAB21/1g=")</f>
        <v>#REF!</v>
      </c>
      <c r="CL17" t="e">
        <f>AND(Bills!#REF!,"AAAAAB21/1k=")</f>
        <v>#REF!</v>
      </c>
      <c r="CM17" t="e">
        <f>AND(Bills!#REF!,"AAAAAB21/1o=")</f>
        <v>#REF!</v>
      </c>
      <c r="CN17" t="e">
        <f>AND(Bills!#REF!,"AAAAAB21/1s=")</f>
        <v>#REF!</v>
      </c>
      <c r="CO17" t="e">
        <f>AND(Bills!#REF!,"AAAAAB21/1w=")</f>
        <v>#REF!</v>
      </c>
      <c r="CP17" t="e">
        <f>AND(Bills!#REF!,"AAAAAB21/10=")</f>
        <v>#REF!</v>
      </c>
      <c r="CQ17" t="e">
        <f>AND(Bills!#REF!,"AAAAAB21/14=")</f>
        <v>#REF!</v>
      </c>
      <c r="CR17" t="e">
        <f>AND(Bills!#REF!,"AAAAAB21/18=")</f>
        <v>#REF!</v>
      </c>
      <c r="CS17" t="e">
        <f>AND(Bills!#REF!,"AAAAAB21/2A=")</f>
        <v>#REF!</v>
      </c>
      <c r="CT17" t="e">
        <f>AND(Bills!#REF!,"AAAAAB21/2E=")</f>
        <v>#REF!</v>
      </c>
      <c r="CU17" t="e">
        <f>AND(Bills!#REF!,"AAAAAB21/2I=")</f>
        <v>#REF!</v>
      </c>
      <c r="CV17" t="e">
        <f>AND(Bills!#REF!,"AAAAAB21/2M=")</f>
        <v>#REF!</v>
      </c>
      <c r="CW17" t="e">
        <f>AND(Bills!#REF!,"AAAAAB21/2Q=")</f>
        <v>#REF!</v>
      </c>
      <c r="CX17" t="e">
        <f>AND(Bills!#REF!,"AAAAAB21/2U=")</f>
        <v>#REF!</v>
      </c>
      <c r="CY17" t="e">
        <f>AND(Bills!#REF!,"AAAAAB21/2Y=")</f>
        <v>#REF!</v>
      </c>
      <c r="CZ17" t="e">
        <f>AND(Bills!#REF!,"AAAAAB21/2c=")</f>
        <v>#REF!</v>
      </c>
      <c r="DA17" t="e">
        <f>AND(Bills!#REF!,"AAAAAB21/2g=")</f>
        <v>#REF!</v>
      </c>
      <c r="DB17" t="e">
        <f>AND(Bills!#REF!,"AAAAAB21/2k=")</f>
        <v>#REF!</v>
      </c>
      <c r="DC17" t="e">
        <f>AND(Bills!#REF!,"AAAAAB21/2o=")</f>
        <v>#REF!</v>
      </c>
      <c r="DD17" t="e">
        <f>AND(Bills!#REF!,"AAAAAB21/2s=")</f>
        <v>#REF!</v>
      </c>
      <c r="DE17" t="e">
        <f>AND(Bills!#REF!,"AAAAAB21/2w=")</f>
        <v>#REF!</v>
      </c>
      <c r="DF17" t="e">
        <f>AND(Bills!#REF!,"AAAAAB21/20=")</f>
        <v>#REF!</v>
      </c>
      <c r="DG17" t="e">
        <f>AND(Bills!#REF!,"AAAAAB21/24=")</f>
        <v>#REF!</v>
      </c>
      <c r="DH17" t="e">
        <f>AND(Bills!#REF!,"AAAAAB21/28=")</f>
        <v>#REF!</v>
      </c>
      <c r="DI17" t="e">
        <f>AND(Bills!#REF!,"AAAAAB21/3A=")</f>
        <v>#REF!</v>
      </c>
      <c r="DJ17" t="e">
        <f>AND(Bills!#REF!,"AAAAAB21/3E=")</f>
        <v>#REF!</v>
      </c>
      <c r="DK17" t="e">
        <f>AND(Bills!#REF!,"AAAAAB21/3I=")</f>
        <v>#REF!</v>
      </c>
      <c r="DL17" t="e">
        <f>AND(Bills!#REF!,"AAAAAB21/3M=")</f>
        <v>#REF!</v>
      </c>
      <c r="DM17" t="e">
        <f>AND(Bills!#REF!,"AAAAAB21/3Q=")</f>
        <v>#REF!</v>
      </c>
      <c r="DN17" t="e">
        <f>AND(Bills!#REF!,"AAAAAB21/3U=")</f>
        <v>#REF!</v>
      </c>
      <c r="DO17" t="e">
        <f>AND(Bills!#REF!,"AAAAAB21/3Y=")</f>
        <v>#REF!</v>
      </c>
      <c r="DP17" t="e">
        <f>AND(Bills!#REF!,"AAAAAB21/3c=")</f>
        <v>#REF!</v>
      </c>
      <c r="DQ17" t="e">
        <f>AND(Bills!#REF!,"AAAAAB21/3g=")</f>
        <v>#REF!</v>
      </c>
      <c r="DR17" t="e">
        <f>AND(Bills!#REF!,"AAAAAB21/3k=")</f>
        <v>#REF!</v>
      </c>
      <c r="DS17" t="e">
        <f>AND(Bills!#REF!,"AAAAAB21/3o=")</f>
        <v>#REF!</v>
      </c>
      <c r="DT17" t="e">
        <f>AND(Bills!#REF!,"AAAAAB21/3s=")</f>
        <v>#REF!</v>
      </c>
      <c r="DU17" t="e">
        <f>AND(Bills!#REF!,"AAAAAB21/3w=")</f>
        <v>#REF!</v>
      </c>
      <c r="DV17" t="e">
        <f>IF(Bills!#REF!,"AAAAAB21/30=",0)</f>
        <v>#REF!</v>
      </c>
      <c r="DW17" t="e">
        <f>AND(Bills!#REF!,"AAAAAB21/34=")</f>
        <v>#REF!</v>
      </c>
      <c r="DX17" t="e">
        <f>AND(Bills!#REF!,"AAAAAB21/38=")</f>
        <v>#REF!</v>
      </c>
      <c r="DY17" t="e">
        <f>AND(Bills!#REF!,"AAAAAB21/4A=")</f>
        <v>#REF!</v>
      </c>
      <c r="DZ17" t="e">
        <f>AND(Bills!#REF!,"AAAAAB21/4E=")</f>
        <v>#REF!</v>
      </c>
      <c r="EA17" t="e">
        <f>AND(Bills!#REF!,"AAAAAB21/4I=")</f>
        <v>#REF!</v>
      </c>
      <c r="EB17" t="e">
        <f>AND(Bills!#REF!,"AAAAAB21/4M=")</f>
        <v>#REF!</v>
      </c>
      <c r="EC17" t="e">
        <f>AND(Bills!#REF!,"AAAAAB21/4Q=")</f>
        <v>#REF!</v>
      </c>
      <c r="ED17" t="e">
        <f>AND(Bills!#REF!,"AAAAAB21/4U=")</f>
        <v>#REF!</v>
      </c>
      <c r="EE17" t="e">
        <f>AND(Bills!#REF!,"AAAAAB21/4Y=")</f>
        <v>#REF!</v>
      </c>
      <c r="EF17" t="e">
        <f>AND(Bills!#REF!,"AAAAAB21/4c=")</f>
        <v>#REF!</v>
      </c>
      <c r="EG17" t="e">
        <f>AND(Bills!#REF!,"AAAAAB21/4g=")</f>
        <v>#REF!</v>
      </c>
      <c r="EH17" t="e">
        <f>AND(Bills!#REF!,"AAAAAB21/4k=")</f>
        <v>#REF!</v>
      </c>
      <c r="EI17" t="e">
        <f>AND(Bills!#REF!,"AAAAAB21/4o=")</f>
        <v>#REF!</v>
      </c>
      <c r="EJ17" t="e">
        <f>AND(Bills!#REF!,"AAAAAB21/4s=")</f>
        <v>#REF!</v>
      </c>
      <c r="EK17" t="e">
        <f>AND(Bills!#REF!,"AAAAAB21/4w=")</f>
        <v>#REF!</v>
      </c>
      <c r="EL17" t="e">
        <f>AND(Bills!#REF!,"AAAAAB21/40=")</f>
        <v>#REF!</v>
      </c>
      <c r="EM17" t="e">
        <f>AND(Bills!#REF!,"AAAAAB21/44=")</f>
        <v>#REF!</v>
      </c>
      <c r="EN17" t="e">
        <f>AND(Bills!#REF!,"AAAAAB21/48=")</f>
        <v>#REF!</v>
      </c>
      <c r="EO17" t="e">
        <f>AND(Bills!#REF!,"AAAAAB21/5A=")</f>
        <v>#REF!</v>
      </c>
      <c r="EP17" t="e">
        <f>AND(Bills!#REF!,"AAAAAB21/5E=")</f>
        <v>#REF!</v>
      </c>
      <c r="EQ17" t="e">
        <f>AND(Bills!#REF!,"AAAAAB21/5I=")</f>
        <v>#REF!</v>
      </c>
      <c r="ER17" t="e">
        <f>AND(Bills!#REF!,"AAAAAB21/5M=")</f>
        <v>#REF!</v>
      </c>
      <c r="ES17" t="e">
        <f>AND(Bills!#REF!,"AAAAAB21/5Q=")</f>
        <v>#REF!</v>
      </c>
      <c r="ET17" t="e">
        <f>AND(Bills!#REF!,"AAAAAB21/5U=")</f>
        <v>#REF!</v>
      </c>
      <c r="EU17" t="e">
        <f>AND(Bills!#REF!,"AAAAAB21/5Y=")</f>
        <v>#REF!</v>
      </c>
      <c r="EV17" t="e">
        <f>AND(Bills!#REF!,"AAAAAB21/5c=")</f>
        <v>#REF!</v>
      </c>
      <c r="EW17" t="e">
        <f>AND(Bills!#REF!,"AAAAAB21/5g=")</f>
        <v>#REF!</v>
      </c>
      <c r="EX17" t="e">
        <f>AND(Bills!#REF!,"AAAAAB21/5k=")</f>
        <v>#REF!</v>
      </c>
      <c r="EY17" t="e">
        <f>AND(Bills!#REF!,"AAAAAB21/5o=")</f>
        <v>#REF!</v>
      </c>
      <c r="EZ17" t="e">
        <f>AND(Bills!#REF!,"AAAAAB21/5s=")</f>
        <v>#REF!</v>
      </c>
      <c r="FA17" t="e">
        <f>AND(Bills!#REF!,"AAAAAB21/5w=")</f>
        <v>#REF!</v>
      </c>
      <c r="FB17" t="e">
        <f>AND(Bills!#REF!,"AAAAAB21/50=")</f>
        <v>#REF!</v>
      </c>
      <c r="FC17" t="e">
        <f>AND(Bills!#REF!,"AAAAAB21/54=")</f>
        <v>#REF!</v>
      </c>
      <c r="FD17" t="e">
        <f>AND(Bills!#REF!,"AAAAAB21/58=")</f>
        <v>#REF!</v>
      </c>
      <c r="FE17" t="e">
        <f>AND(Bills!#REF!,"AAAAAB21/6A=")</f>
        <v>#REF!</v>
      </c>
      <c r="FF17" t="e">
        <f>AND(Bills!#REF!,"AAAAAB21/6E=")</f>
        <v>#REF!</v>
      </c>
      <c r="FG17" t="e">
        <f>AND(Bills!#REF!,"AAAAAB21/6I=")</f>
        <v>#REF!</v>
      </c>
      <c r="FH17" t="e">
        <f>AND(Bills!#REF!,"AAAAAB21/6M=")</f>
        <v>#REF!</v>
      </c>
      <c r="FI17" t="e">
        <f>AND(Bills!#REF!,"AAAAAB21/6Q=")</f>
        <v>#REF!</v>
      </c>
      <c r="FJ17" t="e">
        <f>AND(Bills!#REF!,"AAAAAB21/6U=")</f>
        <v>#REF!</v>
      </c>
      <c r="FK17" t="e">
        <f>AND(Bills!#REF!,"AAAAAB21/6Y=")</f>
        <v>#REF!</v>
      </c>
      <c r="FL17" t="e">
        <f>AND(Bills!#REF!,"AAAAAB21/6c=")</f>
        <v>#REF!</v>
      </c>
      <c r="FM17" t="e">
        <f>AND(Bills!#REF!,"AAAAAB21/6g=")</f>
        <v>#REF!</v>
      </c>
      <c r="FN17" t="e">
        <f>AND(Bills!#REF!,"AAAAAB21/6k=")</f>
        <v>#REF!</v>
      </c>
      <c r="FO17" t="e">
        <f>AND(Bills!#REF!,"AAAAAB21/6o=")</f>
        <v>#REF!</v>
      </c>
      <c r="FP17" t="e">
        <f>AND(Bills!#REF!,"AAAAAB21/6s=")</f>
        <v>#REF!</v>
      </c>
      <c r="FQ17" t="e">
        <f>AND(Bills!#REF!,"AAAAAB21/6w=")</f>
        <v>#REF!</v>
      </c>
      <c r="FR17" t="e">
        <f>AND(Bills!#REF!,"AAAAAB21/60=")</f>
        <v>#REF!</v>
      </c>
      <c r="FS17" t="e">
        <f>AND(Bills!#REF!,"AAAAAB21/64=")</f>
        <v>#REF!</v>
      </c>
      <c r="FT17" t="e">
        <f>AND(Bills!#REF!,"AAAAAB21/68=")</f>
        <v>#REF!</v>
      </c>
      <c r="FU17" t="e">
        <f>IF(Bills!#REF!,"AAAAAB21/7A=",0)</f>
        <v>#REF!</v>
      </c>
      <c r="FV17" t="e">
        <f>AND(Bills!#REF!,"AAAAAB21/7E=")</f>
        <v>#REF!</v>
      </c>
      <c r="FW17" t="e">
        <f>AND(Bills!#REF!,"AAAAAB21/7I=")</f>
        <v>#REF!</v>
      </c>
      <c r="FX17" t="e">
        <f>AND(Bills!#REF!,"AAAAAB21/7M=")</f>
        <v>#REF!</v>
      </c>
      <c r="FY17" t="e">
        <f>AND(Bills!#REF!,"AAAAAB21/7Q=")</f>
        <v>#REF!</v>
      </c>
      <c r="FZ17" t="e">
        <f>AND(Bills!#REF!,"AAAAAB21/7U=")</f>
        <v>#REF!</v>
      </c>
      <c r="GA17" t="e">
        <f>AND(Bills!#REF!,"AAAAAB21/7Y=")</f>
        <v>#REF!</v>
      </c>
      <c r="GB17" t="e">
        <f>AND(Bills!#REF!,"AAAAAB21/7c=")</f>
        <v>#REF!</v>
      </c>
      <c r="GC17" t="e">
        <f>AND(Bills!#REF!,"AAAAAB21/7g=")</f>
        <v>#REF!</v>
      </c>
      <c r="GD17" t="e">
        <f>AND(Bills!#REF!,"AAAAAB21/7k=")</f>
        <v>#REF!</v>
      </c>
      <c r="GE17" t="e">
        <f>AND(Bills!#REF!,"AAAAAB21/7o=")</f>
        <v>#REF!</v>
      </c>
      <c r="GF17" t="e">
        <f>AND(Bills!#REF!,"AAAAAB21/7s=")</f>
        <v>#REF!</v>
      </c>
      <c r="GG17" t="e">
        <f>AND(Bills!#REF!,"AAAAAB21/7w=")</f>
        <v>#REF!</v>
      </c>
      <c r="GH17" t="e">
        <f>AND(Bills!#REF!,"AAAAAB21/70=")</f>
        <v>#REF!</v>
      </c>
      <c r="GI17" t="e">
        <f>AND(Bills!#REF!,"AAAAAB21/74=")</f>
        <v>#REF!</v>
      </c>
      <c r="GJ17" t="e">
        <f>AND(Bills!#REF!,"AAAAAB21/78=")</f>
        <v>#REF!</v>
      </c>
      <c r="GK17" t="e">
        <f>AND(Bills!#REF!,"AAAAAB21/8A=")</f>
        <v>#REF!</v>
      </c>
      <c r="GL17" t="e">
        <f>AND(Bills!#REF!,"AAAAAB21/8E=")</f>
        <v>#REF!</v>
      </c>
      <c r="GM17" t="e">
        <f>AND(Bills!#REF!,"AAAAAB21/8I=")</f>
        <v>#REF!</v>
      </c>
      <c r="GN17" t="e">
        <f>AND(Bills!#REF!,"AAAAAB21/8M=")</f>
        <v>#REF!</v>
      </c>
      <c r="GO17" t="e">
        <f>AND(Bills!#REF!,"AAAAAB21/8Q=")</f>
        <v>#REF!</v>
      </c>
      <c r="GP17" t="e">
        <f>AND(Bills!#REF!,"AAAAAB21/8U=")</f>
        <v>#REF!</v>
      </c>
      <c r="GQ17" t="e">
        <f>AND(Bills!#REF!,"AAAAAB21/8Y=")</f>
        <v>#REF!</v>
      </c>
      <c r="GR17" t="e">
        <f>AND(Bills!#REF!,"AAAAAB21/8c=")</f>
        <v>#REF!</v>
      </c>
      <c r="GS17" t="e">
        <f>AND(Bills!#REF!,"AAAAAB21/8g=")</f>
        <v>#REF!</v>
      </c>
      <c r="GT17" t="e">
        <f>AND(Bills!#REF!,"AAAAAB21/8k=")</f>
        <v>#REF!</v>
      </c>
      <c r="GU17" t="e">
        <f>AND(Bills!#REF!,"AAAAAB21/8o=")</f>
        <v>#REF!</v>
      </c>
      <c r="GV17" t="e">
        <f>AND(Bills!#REF!,"AAAAAB21/8s=")</f>
        <v>#REF!</v>
      </c>
      <c r="GW17" t="e">
        <f>AND(Bills!#REF!,"AAAAAB21/8w=")</f>
        <v>#REF!</v>
      </c>
      <c r="GX17" t="e">
        <f>AND(Bills!#REF!,"AAAAAB21/80=")</f>
        <v>#REF!</v>
      </c>
      <c r="GY17" t="e">
        <f>AND(Bills!#REF!,"AAAAAB21/84=")</f>
        <v>#REF!</v>
      </c>
      <c r="GZ17" t="e">
        <f>AND(Bills!#REF!,"AAAAAB21/88=")</f>
        <v>#REF!</v>
      </c>
      <c r="HA17" t="e">
        <f>AND(Bills!#REF!,"AAAAAB21/9A=")</f>
        <v>#REF!</v>
      </c>
      <c r="HB17" t="e">
        <f>AND(Bills!#REF!,"AAAAAB21/9E=")</f>
        <v>#REF!</v>
      </c>
      <c r="HC17" t="e">
        <f>AND(Bills!#REF!,"AAAAAB21/9I=")</f>
        <v>#REF!</v>
      </c>
      <c r="HD17" t="e">
        <f>AND(Bills!#REF!,"AAAAAB21/9M=")</f>
        <v>#REF!</v>
      </c>
      <c r="HE17" t="e">
        <f>AND(Bills!#REF!,"AAAAAB21/9Q=")</f>
        <v>#REF!</v>
      </c>
      <c r="HF17" t="e">
        <f>AND(Bills!#REF!,"AAAAAB21/9U=")</f>
        <v>#REF!</v>
      </c>
      <c r="HG17" t="e">
        <f>AND(Bills!#REF!,"AAAAAB21/9Y=")</f>
        <v>#REF!</v>
      </c>
      <c r="HH17" t="e">
        <f>AND(Bills!#REF!,"AAAAAB21/9c=")</f>
        <v>#REF!</v>
      </c>
      <c r="HI17" t="e">
        <f>AND(Bills!#REF!,"AAAAAB21/9g=")</f>
        <v>#REF!</v>
      </c>
      <c r="HJ17" t="e">
        <f>AND(Bills!#REF!,"AAAAAB21/9k=")</f>
        <v>#REF!</v>
      </c>
      <c r="HK17" t="e">
        <f>AND(Bills!#REF!,"AAAAAB21/9o=")</f>
        <v>#REF!</v>
      </c>
      <c r="HL17" t="e">
        <f>AND(Bills!#REF!,"AAAAAB21/9s=")</f>
        <v>#REF!</v>
      </c>
      <c r="HM17" t="e">
        <f>AND(Bills!#REF!,"AAAAAB21/9w=")</f>
        <v>#REF!</v>
      </c>
      <c r="HN17" t="e">
        <f>AND(Bills!#REF!,"AAAAAB21/90=")</f>
        <v>#REF!</v>
      </c>
      <c r="HO17" t="e">
        <f>AND(Bills!#REF!,"AAAAAB21/94=")</f>
        <v>#REF!</v>
      </c>
      <c r="HP17" t="e">
        <f>AND(Bills!#REF!,"AAAAAB21/98=")</f>
        <v>#REF!</v>
      </c>
      <c r="HQ17" t="e">
        <f>AND(Bills!#REF!,"AAAAAB21/+A=")</f>
        <v>#REF!</v>
      </c>
      <c r="HR17" t="e">
        <f>AND(Bills!#REF!,"AAAAAB21/+E=")</f>
        <v>#REF!</v>
      </c>
      <c r="HS17" t="e">
        <f>AND(Bills!#REF!,"AAAAAB21/+I=")</f>
        <v>#REF!</v>
      </c>
      <c r="HT17" t="e">
        <f>IF(Bills!#REF!,"AAAAAB21/+M=",0)</f>
        <v>#REF!</v>
      </c>
      <c r="HU17" t="e">
        <f>AND(Bills!#REF!,"AAAAAB21/+Q=")</f>
        <v>#REF!</v>
      </c>
      <c r="HV17" t="e">
        <f>AND(Bills!#REF!,"AAAAAB21/+U=")</f>
        <v>#REF!</v>
      </c>
      <c r="HW17" t="e">
        <f>AND(Bills!#REF!,"AAAAAB21/+Y=")</f>
        <v>#REF!</v>
      </c>
      <c r="HX17" t="e">
        <f>AND(Bills!#REF!,"AAAAAB21/+c=")</f>
        <v>#REF!</v>
      </c>
      <c r="HY17" t="e">
        <f>AND(Bills!#REF!,"AAAAAB21/+g=")</f>
        <v>#REF!</v>
      </c>
      <c r="HZ17" t="e">
        <f>AND(Bills!#REF!,"AAAAAB21/+k=")</f>
        <v>#REF!</v>
      </c>
      <c r="IA17" t="e">
        <f>AND(Bills!#REF!,"AAAAAB21/+o=")</f>
        <v>#REF!</v>
      </c>
      <c r="IB17" t="e">
        <f>AND(Bills!#REF!,"AAAAAB21/+s=")</f>
        <v>#REF!</v>
      </c>
      <c r="IC17" t="e">
        <f>AND(Bills!#REF!,"AAAAAB21/+w=")</f>
        <v>#REF!</v>
      </c>
      <c r="ID17" t="e">
        <f>AND(Bills!#REF!,"AAAAAB21/+0=")</f>
        <v>#REF!</v>
      </c>
      <c r="IE17" t="e">
        <f>AND(Bills!#REF!,"AAAAAB21/+4=")</f>
        <v>#REF!</v>
      </c>
      <c r="IF17" t="e">
        <f>AND(Bills!#REF!,"AAAAAB21/+8=")</f>
        <v>#REF!</v>
      </c>
      <c r="IG17" t="e">
        <f>AND(Bills!#REF!,"AAAAAB21//A=")</f>
        <v>#REF!</v>
      </c>
      <c r="IH17" t="e">
        <f>AND(Bills!#REF!,"AAAAAB21//E=")</f>
        <v>#REF!</v>
      </c>
      <c r="II17" t="e">
        <f>AND(Bills!#REF!,"AAAAAB21//I=")</f>
        <v>#REF!</v>
      </c>
      <c r="IJ17" t="e">
        <f>AND(Bills!#REF!,"AAAAAB21//M=")</f>
        <v>#REF!</v>
      </c>
      <c r="IK17" t="e">
        <f>AND(Bills!#REF!,"AAAAAB21//Q=")</f>
        <v>#REF!</v>
      </c>
      <c r="IL17" t="e">
        <f>AND(Bills!#REF!,"AAAAAB21//U=")</f>
        <v>#REF!</v>
      </c>
      <c r="IM17" t="e">
        <f>AND(Bills!#REF!,"AAAAAB21//Y=")</f>
        <v>#REF!</v>
      </c>
      <c r="IN17" t="e">
        <f>AND(Bills!#REF!,"AAAAAB21//c=")</f>
        <v>#REF!</v>
      </c>
      <c r="IO17" t="e">
        <f>AND(Bills!#REF!,"AAAAAB21//g=")</f>
        <v>#REF!</v>
      </c>
      <c r="IP17" t="e">
        <f>AND(Bills!#REF!,"AAAAAB21//k=")</f>
        <v>#REF!</v>
      </c>
      <c r="IQ17" t="e">
        <f>AND(Bills!#REF!,"AAAAAB21//o=")</f>
        <v>#REF!</v>
      </c>
      <c r="IR17" t="e">
        <f>AND(Bills!#REF!,"AAAAAB21//s=")</f>
        <v>#REF!</v>
      </c>
      <c r="IS17" t="e">
        <f>AND(Bills!#REF!,"AAAAAB21//w=")</f>
        <v>#REF!</v>
      </c>
      <c r="IT17" t="e">
        <f>AND(Bills!#REF!,"AAAAAB21//0=")</f>
        <v>#REF!</v>
      </c>
      <c r="IU17" t="e">
        <f>AND(Bills!#REF!,"AAAAAB21//4=")</f>
        <v>#REF!</v>
      </c>
      <c r="IV17" t="e">
        <f>AND(Bills!#REF!,"AAAAAB21//8=")</f>
        <v>#REF!</v>
      </c>
    </row>
    <row r="18" spans="1:256" x14ac:dyDescent="0.25">
      <c r="A18" t="e">
        <f>AND(Bills!#REF!,"AAAAAD4rFwA=")</f>
        <v>#REF!</v>
      </c>
      <c r="B18" t="e">
        <f>AND(Bills!#REF!,"AAAAAD4rFwE=")</f>
        <v>#REF!</v>
      </c>
      <c r="C18" t="e">
        <f>AND(Bills!#REF!,"AAAAAD4rFwI=")</f>
        <v>#REF!</v>
      </c>
      <c r="D18" t="e">
        <f>AND(Bills!#REF!,"AAAAAD4rFwM=")</f>
        <v>#REF!</v>
      </c>
      <c r="E18" t="e">
        <f>AND(Bills!#REF!,"AAAAAD4rFwQ=")</f>
        <v>#REF!</v>
      </c>
      <c r="F18" t="e">
        <f>AND(Bills!#REF!,"AAAAAD4rFwU=")</f>
        <v>#REF!</v>
      </c>
      <c r="G18" t="e">
        <f>AND(Bills!#REF!,"AAAAAD4rFwY=")</f>
        <v>#REF!</v>
      </c>
      <c r="H18" t="e">
        <f>AND(Bills!#REF!,"AAAAAD4rFwc=")</f>
        <v>#REF!</v>
      </c>
      <c r="I18" t="e">
        <f>AND(Bills!#REF!,"AAAAAD4rFwg=")</f>
        <v>#REF!</v>
      </c>
      <c r="J18" t="e">
        <f>AND(Bills!#REF!,"AAAAAD4rFwk=")</f>
        <v>#REF!</v>
      </c>
      <c r="K18" t="e">
        <f>AND(Bills!#REF!,"AAAAAD4rFwo=")</f>
        <v>#REF!</v>
      </c>
      <c r="L18" t="e">
        <f>AND(Bills!#REF!,"AAAAAD4rFws=")</f>
        <v>#REF!</v>
      </c>
      <c r="M18" t="e">
        <f>AND(Bills!#REF!,"AAAAAD4rFww=")</f>
        <v>#REF!</v>
      </c>
      <c r="N18" t="e">
        <f>AND(Bills!#REF!,"AAAAAD4rFw0=")</f>
        <v>#REF!</v>
      </c>
      <c r="O18" t="e">
        <f>AND(Bills!#REF!,"AAAAAD4rFw4=")</f>
        <v>#REF!</v>
      </c>
      <c r="P18" t="e">
        <f>AND(Bills!#REF!,"AAAAAD4rFw8=")</f>
        <v>#REF!</v>
      </c>
      <c r="Q18" t="e">
        <f>AND(Bills!#REF!,"AAAAAD4rFxA=")</f>
        <v>#REF!</v>
      </c>
      <c r="R18" t="e">
        <f>AND(Bills!#REF!,"AAAAAD4rFxE=")</f>
        <v>#REF!</v>
      </c>
      <c r="S18" t="e">
        <f>AND(Bills!#REF!,"AAAAAD4rFxI=")</f>
        <v>#REF!</v>
      </c>
      <c r="T18" t="e">
        <f>AND(Bills!#REF!,"AAAAAD4rFxM=")</f>
        <v>#REF!</v>
      </c>
      <c r="U18" t="e">
        <f>AND(Bills!#REF!,"AAAAAD4rFxQ=")</f>
        <v>#REF!</v>
      </c>
      <c r="V18" t="e">
        <f>AND(Bills!#REF!,"AAAAAD4rFxU=")</f>
        <v>#REF!</v>
      </c>
      <c r="W18" t="e">
        <f>IF(Bills!10:10,"AAAAAD4rFxY=",0)</f>
        <v>#VALUE!</v>
      </c>
      <c r="X18" t="e">
        <f>AND(Bills!B10,"AAAAAD4rFxc=")</f>
        <v>#VALUE!</v>
      </c>
      <c r="Y18" t="e">
        <f>AND(Bills!#REF!,"AAAAAD4rFxg=")</f>
        <v>#REF!</v>
      </c>
      <c r="Z18" t="e">
        <f>AND(Bills!C10,"AAAAAD4rFxk=")</f>
        <v>#VALUE!</v>
      </c>
      <c r="AA18" t="e">
        <f>AND(Bills!D10,"AAAAAD4rFxo=")</f>
        <v>#VALUE!</v>
      </c>
      <c r="AB18" t="e">
        <f>AND(Bills!E10,"AAAAAD4rFxs=")</f>
        <v>#VALUE!</v>
      </c>
      <c r="AC18" t="e">
        <f>AND(Bills!#REF!,"AAAAAD4rFxw=")</f>
        <v>#REF!</v>
      </c>
      <c r="AD18" t="e">
        <f>AND(Bills!#REF!,"AAAAAD4rFx0=")</f>
        <v>#REF!</v>
      </c>
      <c r="AE18" t="e">
        <f>AND(Bills!#REF!,"AAAAAD4rFx4=")</f>
        <v>#REF!</v>
      </c>
      <c r="AF18" t="e">
        <f>AND(Bills!F10,"AAAAAD4rFx8=")</f>
        <v>#VALUE!</v>
      </c>
      <c r="AG18" t="e">
        <f>AND(Bills!#REF!,"AAAAAD4rFyA=")</f>
        <v>#REF!</v>
      </c>
      <c r="AH18" t="e">
        <f>AND(Bills!G10,"AAAAAD4rFyE=")</f>
        <v>#VALUE!</v>
      </c>
      <c r="AI18" t="e">
        <f>AND(Bills!H10,"AAAAAD4rFyI=")</f>
        <v>#VALUE!</v>
      </c>
      <c r="AJ18" t="e">
        <f>AND(Bills!I10,"AAAAAD4rFyM=")</f>
        <v>#VALUE!</v>
      </c>
      <c r="AK18" t="e">
        <f>AND(Bills!J10,"AAAAAD4rFyQ=")</f>
        <v>#VALUE!</v>
      </c>
      <c r="AL18" t="e">
        <f>AND(Bills!K10,"AAAAAD4rFyU=")</f>
        <v>#VALUE!</v>
      </c>
      <c r="AM18" t="e">
        <f>AND(Bills!L10,"AAAAAD4rFyY=")</f>
        <v>#VALUE!</v>
      </c>
      <c r="AN18" t="e">
        <f>AND(Bills!#REF!,"AAAAAD4rFyc=")</f>
        <v>#REF!</v>
      </c>
      <c r="AO18" t="e">
        <f>AND(Bills!M10,"AAAAAD4rFyg=")</f>
        <v>#VALUE!</v>
      </c>
      <c r="AP18" t="e">
        <f>AND(Bills!N10,"AAAAAD4rFyk=")</f>
        <v>#VALUE!</v>
      </c>
      <c r="AQ18" t="e">
        <f>AND(Bills!O10,"AAAAAD4rFyo=")</f>
        <v>#VALUE!</v>
      </c>
      <c r="AR18" t="e">
        <f>AND(Bills!P10,"AAAAAD4rFys=")</f>
        <v>#VALUE!</v>
      </c>
      <c r="AS18" t="e">
        <f>AND(Bills!Q10,"AAAAAD4rFyw=")</f>
        <v>#VALUE!</v>
      </c>
      <c r="AT18" t="e">
        <f>AND(Bills!R10,"AAAAAD4rFy0=")</f>
        <v>#VALUE!</v>
      </c>
      <c r="AU18" t="e">
        <f>AND(Bills!S10,"AAAAAD4rFy4=")</f>
        <v>#VALUE!</v>
      </c>
      <c r="AV18" t="e">
        <f>AND(Bills!T10,"AAAAAD4rFy8=")</f>
        <v>#VALUE!</v>
      </c>
      <c r="AW18" t="e">
        <f>AND(Bills!#REF!,"AAAAAD4rFzA=")</f>
        <v>#REF!</v>
      </c>
      <c r="AX18" t="e">
        <f>AND(Bills!U10,"AAAAAD4rFzE=")</f>
        <v>#VALUE!</v>
      </c>
      <c r="AY18" t="e">
        <f>AND(Bills!V10,"AAAAAD4rFzI=")</f>
        <v>#VALUE!</v>
      </c>
      <c r="AZ18" t="e">
        <f>AND(Bills!W10,"AAAAAD4rFzM=")</f>
        <v>#VALUE!</v>
      </c>
      <c r="BA18" t="e">
        <f>AND(Bills!#REF!,"AAAAAD4rFzQ=")</f>
        <v>#REF!</v>
      </c>
      <c r="BB18" t="e">
        <f>AND(Bills!#REF!,"AAAAAD4rFzU=")</f>
        <v>#REF!</v>
      </c>
      <c r="BC18" t="e">
        <f>AND(Bills!Y10,"AAAAAD4rFzY=")</f>
        <v>#VALUE!</v>
      </c>
      <c r="BD18" t="e">
        <f>AND(Bills!Z10,"AAAAAD4rFzc=")</f>
        <v>#VALUE!</v>
      </c>
      <c r="BE18" t="e">
        <f>AND(Bills!#REF!,"AAAAAD4rFzg=")</f>
        <v>#REF!</v>
      </c>
      <c r="BF18" t="e">
        <f>AND(Bills!#REF!,"AAAAAD4rFzk=")</f>
        <v>#REF!</v>
      </c>
      <c r="BG18" t="e">
        <f>AND(Bills!#REF!,"AAAAAD4rFzo=")</f>
        <v>#REF!</v>
      </c>
      <c r="BH18" t="e">
        <f>AND(Bills!#REF!,"AAAAAD4rFzs=")</f>
        <v>#REF!</v>
      </c>
      <c r="BI18" t="e">
        <f>AND(Bills!#REF!,"AAAAAD4rFzw=")</f>
        <v>#REF!</v>
      </c>
      <c r="BJ18" t="e">
        <f>AND(Bills!#REF!,"AAAAAD4rFz0=")</f>
        <v>#REF!</v>
      </c>
      <c r="BK18" t="e">
        <f>AND(Bills!#REF!,"AAAAAD4rFz4=")</f>
        <v>#REF!</v>
      </c>
      <c r="BL18" t="e">
        <f>AND(Bills!#REF!,"AAAAAD4rFz8=")</f>
        <v>#REF!</v>
      </c>
      <c r="BM18" t="e">
        <f>AND(Bills!#REF!,"AAAAAD4rF0A=")</f>
        <v>#REF!</v>
      </c>
      <c r="BN18" t="e">
        <f>AND(Bills!AA10,"AAAAAD4rF0E=")</f>
        <v>#VALUE!</v>
      </c>
      <c r="BO18" t="e">
        <f>AND(Bills!AB10,"AAAAAD4rF0I=")</f>
        <v>#VALUE!</v>
      </c>
      <c r="BP18" t="e">
        <f>AND(Bills!#REF!,"AAAAAD4rF0M=")</f>
        <v>#REF!</v>
      </c>
      <c r="BQ18" t="e">
        <f>AND(Bills!#REF!,"AAAAAD4rF0Q=")</f>
        <v>#REF!</v>
      </c>
      <c r="BR18" t="e">
        <f>AND(Bills!#REF!,"AAAAAD4rF0U=")</f>
        <v>#REF!</v>
      </c>
      <c r="BS18" t="e">
        <f>AND(Bills!AC10,"AAAAAD4rF0Y=")</f>
        <v>#VALUE!</v>
      </c>
      <c r="BT18" t="e">
        <f>AND(Bills!AD10,"AAAAAD4rF0c=")</f>
        <v>#VALUE!</v>
      </c>
      <c r="BU18" t="e">
        <f>AND(Bills!AE10,"AAAAAD4rF0g=")</f>
        <v>#VALUE!</v>
      </c>
      <c r="BV18" t="e">
        <f>IF(Bills!#REF!,"AAAAAD4rF0k=",0)</f>
        <v>#REF!</v>
      </c>
      <c r="BW18" t="e">
        <f>AND(Bills!#REF!,"AAAAAD4rF0o=")</f>
        <v>#REF!</v>
      </c>
      <c r="BX18" t="e">
        <f>AND(Bills!#REF!,"AAAAAD4rF0s=")</f>
        <v>#REF!</v>
      </c>
      <c r="BY18" t="e">
        <f>AND(Bills!#REF!,"AAAAAD4rF0w=")</f>
        <v>#REF!</v>
      </c>
      <c r="BZ18" t="e">
        <f>AND(Bills!#REF!,"AAAAAD4rF00=")</f>
        <v>#REF!</v>
      </c>
      <c r="CA18" t="e">
        <f>AND(Bills!#REF!,"AAAAAD4rF04=")</f>
        <v>#REF!</v>
      </c>
      <c r="CB18" t="e">
        <f>AND(Bills!#REF!,"AAAAAD4rF08=")</f>
        <v>#REF!</v>
      </c>
      <c r="CC18" t="e">
        <f>AND(Bills!#REF!,"AAAAAD4rF1A=")</f>
        <v>#REF!</v>
      </c>
      <c r="CD18" t="e">
        <f>AND(Bills!#REF!,"AAAAAD4rF1E=")</f>
        <v>#REF!</v>
      </c>
      <c r="CE18" t="e">
        <f>AND(Bills!#REF!,"AAAAAD4rF1I=")</f>
        <v>#REF!</v>
      </c>
      <c r="CF18" t="e">
        <f>AND(Bills!#REF!,"AAAAAD4rF1M=")</f>
        <v>#REF!</v>
      </c>
      <c r="CG18" t="e">
        <f>AND(Bills!#REF!,"AAAAAD4rF1Q=")</f>
        <v>#REF!</v>
      </c>
      <c r="CH18" t="e">
        <f>AND(Bills!#REF!,"AAAAAD4rF1U=")</f>
        <v>#REF!</v>
      </c>
      <c r="CI18" t="e">
        <f>AND(Bills!#REF!,"AAAAAD4rF1Y=")</f>
        <v>#REF!</v>
      </c>
      <c r="CJ18" t="e">
        <f>AND(Bills!#REF!,"AAAAAD4rF1c=")</f>
        <v>#REF!</v>
      </c>
      <c r="CK18" t="e">
        <f>AND(Bills!#REF!,"AAAAAD4rF1g=")</f>
        <v>#REF!</v>
      </c>
      <c r="CL18" t="e">
        <f>AND(Bills!#REF!,"AAAAAD4rF1k=")</f>
        <v>#REF!</v>
      </c>
      <c r="CM18" t="e">
        <f>AND(Bills!#REF!,"AAAAAD4rF1o=")</f>
        <v>#REF!</v>
      </c>
      <c r="CN18" t="e">
        <f>AND(Bills!#REF!,"AAAAAD4rF1s=")</f>
        <v>#REF!</v>
      </c>
      <c r="CO18" t="e">
        <f>AND(Bills!#REF!,"AAAAAD4rF1w=")</f>
        <v>#REF!</v>
      </c>
      <c r="CP18" t="e">
        <f>AND(Bills!#REF!,"AAAAAD4rF10=")</f>
        <v>#REF!</v>
      </c>
      <c r="CQ18" t="e">
        <f>AND(Bills!#REF!,"AAAAAD4rF14=")</f>
        <v>#REF!</v>
      </c>
      <c r="CR18" t="e">
        <f>AND(Bills!#REF!,"AAAAAD4rF18=")</f>
        <v>#REF!</v>
      </c>
      <c r="CS18" t="e">
        <f>AND(Bills!#REF!,"AAAAAD4rF2A=")</f>
        <v>#REF!</v>
      </c>
      <c r="CT18" t="e">
        <f>AND(Bills!#REF!,"AAAAAD4rF2E=")</f>
        <v>#REF!</v>
      </c>
      <c r="CU18" t="e">
        <f>AND(Bills!#REF!,"AAAAAD4rF2I=")</f>
        <v>#REF!</v>
      </c>
      <c r="CV18" t="e">
        <f>AND(Bills!#REF!,"AAAAAD4rF2M=")</f>
        <v>#REF!</v>
      </c>
      <c r="CW18" t="e">
        <f>AND(Bills!#REF!,"AAAAAD4rF2Q=")</f>
        <v>#REF!</v>
      </c>
      <c r="CX18" t="e">
        <f>AND(Bills!#REF!,"AAAAAD4rF2U=")</f>
        <v>#REF!</v>
      </c>
      <c r="CY18" t="e">
        <f>AND(Bills!#REF!,"AAAAAD4rF2Y=")</f>
        <v>#REF!</v>
      </c>
      <c r="CZ18" t="e">
        <f>AND(Bills!#REF!,"AAAAAD4rF2c=")</f>
        <v>#REF!</v>
      </c>
      <c r="DA18" t="e">
        <f>AND(Bills!#REF!,"AAAAAD4rF2g=")</f>
        <v>#REF!</v>
      </c>
      <c r="DB18" t="e">
        <f>AND(Bills!#REF!,"AAAAAD4rF2k=")</f>
        <v>#REF!</v>
      </c>
      <c r="DC18" t="e">
        <f>AND(Bills!#REF!,"AAAAAD4rF2o=")</f>
        <v>#REF!</v>
      </c>
      <c r="DD18" t="e">
        <f>AND(Bills!#REF!,"AAAAAD4rF2s=")</f>
        <v>#REF!</v>
      </c>
      <c r="DE18" t="e">
        <f>AND(Bills!#REF!,"AAAAAD4rF2w=")</f>
        <v>#REF!</v>
      </c>
      <c r="DF18" t="e">
        <f>AND(Bills!#REF!,"AAAAAD4rF20=")</f>
        <v>#REF!</v>
      </c>
      <c r="DG18" t="e">
        <f>AND(Bills!#REF!,"AAAAAD4rF24=")</f>
        <v>#REF!</v>
      </c>
      <c r="DH18" t="e">
        <f>AND(Bills!#REF!,"AAAAAD4rF28=")</f>
        <v>#REF!</v>
      </c>
      <c r="DI18" t="e">
        <f>AND(Bills!#REF!,"AAAAAD4rF3A=")</f>
        <v>#REF!</v>
      </c>
      <c r="DJ18" t="e">
        <f>AND(Bills!#REF!,"AAAAAD4rF3E=")</f>
        <v>#REF!</v>
      </c>
      <c r="DK18" t="e">
        <f>AND(Bills!#REF!,"AAAAAD4rF3I=")</f>
        <v>#REF!</v>
      </c>
      <c r="DL18" t="e">
        <f>AND(Bills!#REF!,"AAAAAD4rF3M=")</f>
        <v>#REF!</v>
      </c>
      <c r="DM18" t="e">
        <f>AND(Bills!#REF!,"AAAAAD4rF3Q=")</f>
        <v>#REF!</v>
      </c>
      <c r="DN18" t="e">
        <f>AND(Bills!#REF!,"AAAAAD4rF3U=")</f>
        <v>#REF!</v>
      </c>
      <c r="DO18" t="e">
        <f>AND(Bills!#REF!,"AAAAAD4rF3Y=")</f>
        <v>#REF!</v>
      </c>
      <c r="DP18" t="e">
        <f>AND(Bills!#REF!,"AAAAAD4rF3c=")</f>
        <v>#REF!</v>
      </c>
      <c r="DQ18" t="e">
        <f>AND(Bills!#REF!,"AAAAAD4rF3g=")</f>
        <v>#REF!</v>
      </c>
      <c r="DR18" t="e">
        <f>AND(Bills!#REF!,"AAAAAD4rF3k=")</f>
        <v>#REF!</v>
      </c>
      <c r="DS18" t="e">
        <f>AND(Bills!#REF!,"AAAAAD4rF3o=")</f>
        <v>#REF!</v>
      </c>
      <c r="DT18" t="e">
        <f>AND(Bills!#REF!,"AAAAAD4rF3s=")</f>
        <v>#REF!</v>
      </c>
      <c r="DU18" t="e">
        <f>IF(Bills!#REF!,"AAAAAD4rF3w=",0)</f>
        <v>#REF!</v>
      </c>
      <c r="DV18" t="e">
        <f>AND(Bills!#REF!,"AAAAAD4rF30=")</f>
        <v>#REF!</v>
      </c>
      <c r="DW18" t="e">
        <f>AND(Bills!#REF!,"AAAAAD4rF34=")</f>
        <v>#REF!</v>
      </c>
      <c r="DX18" t="e">
        <f>AND(Bills!#REF!,"AAAAAD4rF38=")</f>
        <v>#REF!</v>
      </c>
      <c r="DY18" t="e">
        <f>AND(Bills!#REF!,"AAAAAD4rF4A=")</f>
        <v>#REF!</v>
      </c>
      <c r="DZ18" t="e">
        <f>AND(Bills!#REF!,"AAAAAD4rF4E=")</f>
        <v>#REF!</v>
      </c>
      <c r="EA18" t="e">
        <f>AND(Bills!#REF!,"AAAAAD4rF4I=")</f>
        <v>#REF!</v>
      </c>
      <c r="EB18" t="e">
        <f>AND(Bills!#REF!,"AAAAAD4rF4M=")</f>
        <v>#REF!</v>
      </c>
      <c r="EC18" t="e">
        <f>AND(Bills!#REF!,"AAAAAD4rF4Q=")</f>
        <v>#REF!</v>
      </c>
      <c r="ED18" t="e">
        <f>AND(Bills!#REF!,"AAAAAD4rF4U=")</f>
        <v>#REF!</v>
      </c>
      <c r="EE18" t="e">
        <f>AND(Bills!#REF!,"AAAAAD4rF4Y=")</f>
        <v>#REF!</v>
      </c>
      <c r="EF18" t="e">
        <f>AND(Bills!#REF!,"AAAAAD4rF4c=")</f>
        <v>#REF!</v>
      </c>
      <c r="EG18" t="e">
        <f>AND(Bills!#REF!,"AAAAAD4rF4g=")</f>
        <v>#REF!</v>
      </c>
      <c r="EH18" t="e">
        <f>AND(Bills!#REF!,"AAAAAD4rF4k=")</f>
        <v>#REF!</v>
      </c>
      <c r="EI18" t="e">
        <f>AND(Bills!#REF!,"AAAAAD4rF4o=")</f>
        <v>#REF!</v>
      </c>
      <c r="EJ18" t="e">
        <f>AND(Bills!#REF!,"AAAAAD4rF4s=")</f>
        <v>#REF!</v>
      </c>
      <c r="EK18" t="e">
        <f>AND(Bills!#REF!,"AAAAAD4rF4w=")</f>
        <v>#REF!</v>
      </c>
      <c r="EL18" t="e">
        <f>AND(Bills!#REF!,"AAAAAD4rF40=")</f>
        <v>#REF!</v>
      </c>
      <c r="EM18" t="e">
        <f>AND(Bills!#REF!,"AAAAAD4rF44=")</f>
        <v>#REF!</v>
      </c>
      <c r="EN18" t="e">
        <f>AND(Bills!#REF!,"AAAAAD4rF48=")</f>
        <v>#REF!</v>
      </c>
      <c r="EO18" t="e">
        <f>AND(Bills!#REF!,"AAAAAD4rF5A=")</f>
        <v>#REF!</v>
      </c>
      <c r="EP18" t="e">
        <f>AND(Bills!#REF!,"AAAAAD4rF5E=")</f>
        <v>#REF!</v>
      </c>
      <c r="EQ18" t="e">
        <f>AND(Bills!#REF!,"AAAAAD4rF5I=")</f>
        <v>#REF!</v>
      </c>
      <c r="ER18" t="e">
        <f>AND(Bills!#REF!,"AAAAAD4rF5M=")</f>
        <v>#REF!</v>
      </c>
      <c r="ES18" t="e">
        <f>AND(Bills!#REF!,"AAAAAD4rF5Q=")</f>
        <v>#REF!</v>
      </c>
      <c r="ET18" t="e">
        <f>AND(Bills!#REF!,"AAAAAD4rF5U=")</f>
        <v>#REF!</v>
      </c>
      <c r="EU18" t="e">
        <f>AND(Bills!#REF!,"AAAAAD4rF5Y=")</f>
        <v>#REF!</v>
      </c>
      <c r="EV18" t="e">
        <f>AND(Bills!#REF!,"AAAAAD4rF5c=")</f>
        <v>#REF!</v>
      </c>
      <c r="EW18" t="e">
        <f>AND(Bills!#REF!,"AAAAAD4rF5g=")</f>
        <v>#REF!</v>
      </c>
      <c r="EX18" t="e">
        <f>AND(Bills!#REF!,"AAAAAD4rF5k=")</f>
        <v>#REF!</v>
      </c>
      <c r="EY18" t="e">
        <f>AND(Bills!#REF!,"AAAAAD4rF5o=")</f>
        <v>#REF!</v>
      </c>
      <c r="EZ18" t="e">
        <f>AND(Bills!#REF!,"AAAAAD4rF5s=")</f>
        <v>#REF!</v>
      </c>
      <c r="FA18" t="e">
        <f>AND(Bills!#REF!,"AAAAAD4rF5w=")</f>
        <v>#REF!</v>
      </c>
      <c r="FB18" t="e">
        <f>AND(Bills!#REF!,"AAAAAD4rF50=")</f>
        <v>#REF!</v>
      </c>
      <c r="FC18" t="e">
        <f>AND(Bills!#REF!,"AAAAAD4rF54=")</f>
        <v>#REF!</v>
      </c>
      <c r="FD18" t="e">
        <f>AND(Bills!#REF!,"AAAAAD4rF58=")</f>
        <v>#REF!</v>
      </c>
      <c r="FE18" t="e">
        <f>AND(Bills!#REF!,"AAAAAD4rF6A=")</f>
        <v>#REF!</v>
      </c>
      <c r="FF18" t="e">
        <f>AND(Bills!#REF!,"AAAAAD4rF6E=")</f>
        <v>#REF!</v>
      </c>
      <c r="FG18" t="e">
        <f>AND(Bills!#REF!,"AAAAAD4rF6I=")</f>
        <v>#REF!</v>
      </c>
      <c r="FH18" t="e">
        <f>AND(Bills!#REF!,"AAAAAD4rF6M=")</f>
        <v>#REF!</v>
      </c>
      <c r="FI18" t="e">
        <f>AND(Bills!#REF!,"AAAAAD4rF6Q=")</f>
        <v>#REF!</v>
      </c>
      <c r="FJ18" t="e">
        <f>AND(Bills!#REF!,"AAAAAD4rF6U=")</f>
        <v>#REF!</v>
      </c>
      <c r="FK18" t="e">
        <f>AND(Bills!#REF!,"AAAAAD4rF6Y=")</f>
        <v>#REF!</v>
      </c>
      <c r="FL18" t="e">
        <f>AND(Bills!#REF!,"AAAAAD4rF6c=")</f>
        <v>#REF!</v>
      </c>
      <c r="FM18" t="e">
        <f>AND(Bills!#REF!,"AAAAAD4rF6g=")</f>
        <v>#REF!</v>
      </c>
      <c r="FN18" t="e">
        <f>AND(Bills!#REF!,"AAAAAD4rF6k=")</f>
        <v>#REF!</v>
      </c>
      <c r="FO18" t="e">
        <f>AND(Bills!#REF!,"AAAAAD4rF6o=")</f>
        <v>#REF!</v>
      </c>
      <c r="FP18" t="e">
        <f>AND(Bills!#REF!,"AAAAAD4rF6s=")</f>
        <v>#REF!</v>
      </c>
      <c r="FQ18" t="e">
        <f>AND(Bills!#REF!,"AAAAAD4rF6w=")</f>
        <v>#REF!</v>
      </c>
      <c r="FR18" t="e">
        <f>AND(Bills!#REF!,"AAAAAD4rF60=")</f>
        <v>#REF!</v>
      </c>
      <c r="FS18" t="e">
        <f>AND(Bills!#REF!,"AAAAAD4rF64=")</f>
        <v>#REF!</v>
      </c>
      <c r="FT18" t="e">
        <f>IF(Bills!#REF!,"AAAAAD4rF68=",0)</f>
        <v>#REF!</v>
      </c>
      <c r="FU18" t="e">
        <f>AND(Bills!#REF!,"AAAAAD4rF7A=")</f>
        <v>#REF!</v>
      </c>
      <c r="FV18" t="e">
        <f>AND(Bills!#REF!,"AAAAAD4rF7E=")</f>
        <v>#REF!</v>
      </c>
      <c r="FW18" t="e">
        <f>AND(Bills!#REF!,"AAAAAD4rF7I=")</f>
        <v>#REF!</v>
      </c>
      <c r="FX18" t="e">
        <f>AND(Bills!#REF!,"AAAAAD4rF7M=")</f>
        <v>#REF!</v>
      </c>
      <c r="FY18" t="e">
        <f>AND(Bills!#REF!,"AAAAAD4rF7Q=")</f>
        <v>#REF!</v>
      </c>
      <c r="FZ18" t="e">
        <f>AND(Bills!#REF!,"AAAAAD4rF7U=")</f>
        <v>#REF!</v>
      </c>
      <c r="GA18" t="e">
        <f>AND(Bills!#REF!,"AAAAAD4rF7Y=")</f>
        <v>#REF!</v>
      </c>
      <c r="GB18" t="e">
        <f>AND(Bills!#REF!,"AAAAAD4rF7c=")</f>
        <v>#REF!</v>
      </c>
      <c r="GC18" t="e">
        <f>AND(Bills!#REF!,"AAAAAD4rF7g=")</f>
        <v>#REF!</v>
      </c>
      <c r="GD18" t="e">
        <f>AND(Bills!#REF!,"AAAAAD4rF7k=")</f>
        <v>#REF!</v>
      </c>
      <c r="GE18" t="e">
        <f>AND(Bills!#REF!,"AAAAAD4rF7o=")</f>
        <v>#REF!</v>
      </c>
      <c r="GF18" t="e">
        <f>AND(Bills!#REF!,"AAAAAD4rF7s=")</f>
        <v>#REF!</v>
      </c>
      <c r="GG18" t="e">
        <f>AND(Bills!#REF!,"AAAAAD4rF7w=")</f>
        <v>#REF!</v>
      </c>
      <c r="GH18" t="e">
        <f>AND(Bills!#REF!,"AAAAAD4rF70=")</f>
        <v>#REF!</v>
      </c>
      <c r="GI18" t="e">
        <f>AND(Bills!#REF!,"AAAAAD4rF74=")</f>
        <v>#REF!</v>
      </c>
      <c r="GJ18" t="e">
        <f>AND(Bills!#REF!,"AAAAAD4rF78=")</f>
        <v>#REF!</v>
      </c>
      <c r="GK18" t="e">
        <f>AND(Bills!#REF!,"AAAAAD4rF8A=")</f>
        <v>#REF!</v>
      </c>
      <c r="GL18" t="e">
        <f>AND(Bills!#REF!,"AAAAAD4rF8E=")</f>
        <v>#REF!</v>
      </c>
      <c r="GM18" t="e">
        <f>AND(Bills!#REF!,"AAAAAD4rF8I=")</f>
        <v>#REF!</v>
      </c>
      <c r="GN18" t="e">
        <f>AND(Bills!#REF!,"AAAAAD4rF8M=")</f>
        <v>#REF!</v>
      </c>
      <c r="GO18" t="e">
        <f>AND(Bills!#REF!,"AAAAAD4rF8Q=")</f>
        <v>#REF!</v>
      </c>
      <c r="GP18" t="e">
        <f>AND(Bills!#REF!,"AAAAAD4rF8U=")</f>
        <v>#REF!</v>
      </c>
      <c r="GQ18" t="e">
        <f>AND(Bills!#REF!,"AAAAAD4rF8Y=")</f>
        <v>#REF!</v>
      </c>
      <c r="GR18" t="e">
        <f>AND(Bills!#REF!,"AAAAAD4rF8c=")</f>
        <v>#REF!</v>
      </c>
      <c r="GS18" t="e">
        <f>AND(Bills!#REF!,"AAAAAD4rF8g=")</f>
        <v>#REF!</v>
      </c>
      <c r="GT18" t="e">
        <f>AND(Bills!#REF!,"AAAAAD4rF8k=")</f>
        <v>#REF!</v>
      </c>
      <c r="GU18" t="e">
        <f>AND(Bills!#REF!,"AAAAAD4rF8o=")</f>
        <v>#REF!</v>
      </c>
      <c r="GV18" t="e">
        <f>AND(Bills!#REF!,"AAAAAD4rF8s=")</f>
        <v>#REF!</v>
      </c>
      <c r="GW18" t="e">
        <f>AND(Bills!#REF!,"AAAAAD4rF8w=")</f>
        <v>#REF!</v>
      </c>
      <c r="GX18" t="e">
        <f>AND(Bills!#REF!,"AAAAAD4rF80=")</f>
        <v>#REF!</v>
      </c>
      <c r="GY18" t="e">
        <f>AND(Bills!#REF!,"AAAAAD4rF84=")</f>
        <v>#REF!</v>
      </c>
      <c r="GZ18" t="e">
        <f>AND(Bills!#REF!,"AAAAAD4rF88=")</f>
        <v>#REF!</v>
      </c>
      <c r="HA18" t="e">
        <f>AND(Bills!#REF!,"AAAAAD4rF9A=")</f>
        <v>#REF!</v>
      </c>
      <c r="HB18" t="e">
        <f>AND(Bills!#REF!,"AAAAAD4rF9E=")</f>
        <v>#REF!</v>
      </c>
      <c r="HC18" t="e">
        <f>AND(Bills!#REF!,"AAAAAD4rF9I=")</f>
        <v>#REF!</v>
      </c>
      <c r="HD18" t="e">
        <f>AND(Bills!#REF!,"AAAAAD4rF9M=")</f>
        <v>#REF!</v>
      </c>
      <c r="HE18" t="e">
        <f>AND(Bills!#REF!,"AAAAAD4rF9Q=")</f>
        <v>#REF!</v>
      </c>
      <c r="HF18" t="e">
        <f>AND(Bills!#REF!,"AAAAAD4rF9U=")</f>
        <v>#REF!</v>
      </c>
      <c r="HG18" t="e">
        <f>AND(Bills!#REF!,"AAAAAD4rF9Y=")</f>
        <v>#REF!</v>
      </c>
      <c r="HH18" t="e">
        <f>AND(Bills!#REF!,"AAAAAD4rF9c=")</f>
        <v>#REF!</v>
      </c>
      <c r="HI18" t="e">
        <f>AND(Bills!#REF!,"AAAAAD4rF9g=")</f>
        <v>#REF!</v>
      </c>
      <c r="HJ18" t="e">
        <f>AND(Bills!#REF!,"AAAAAD4rF9k=")</f>
        <v>#REF!</v>
      </c>
      <c r="HK18" t="e">
        <f>AND(Bills!#REF!,"AAAAAD4rF9o=")</f>
        <v>#REF!</v>
      </c>
      <c r="HL18" t="e">
        <f>AND(Bills!#REF!,"AAAAAD4rF9s=")</f>
        <v>#REF!</v>
      </c>
      <c r="HM18" t="e">
        <f>AND(Bills!#REF!,"AAAAAD4rF9w=")</f>
        <v>#REF!</v>
      </c>
      <c r="HN18" t="e">
        <f>AND(Bills!#REF!,"AAAAAD4rF90=")</f>
        <v>#REF!</v>
      </c>
      <c r="HO18" t="e">
        <f>AND(Bills!#REF!,"AAAAAD4rF94=")</f>
        <v>#REF!</v>
      </c>
      <c r="HP18" t="e">
        <f>AND(Bills!#REF!,"AAAAAD4rF98=")</f>
        <v>#REF!</v>
      </c>
      <c r="HQ18" t="e">
        <f>AND(Bills!#REF!,"AAAAAD4rF+A=")</f>
        <v>#REF!</v>
      </c>
      <c r="HR18" t="e">
        <f>AND(Bills!#REF!,"AAAAAD4rF+E=")</f>
        <v>#REF!</v>
      </c>
      <c r="HS18" t="e">
        <f>IF(Bills!#REF!,"AAAAAD4rF+I=",0)</f>
        <v>#REF!</v>
      </c>
      <c r="HT18" t="e">
        <f>AND(Bills!#REF!,"AAAAAD4rF+M=")</f>
        <v>#REF!</v>
      </c>
      <c r="HU18" t="e">
        <f>AND(Bills!#REF!,"AAAAAD4rF+Q=")</f>
        <v>#REF!</v>
      </c>
      <c r="HV18" t="e">
        <f>AND(Bills!#REF!,"AAAAAD4rF+U=")</f>
        <v>#REF!</v>
      </c>
      <c r="HW18" t="e">
        <f>AND(Bills!#REF!,"AAAAAD4rF+Y=")</f>
        <v>#REF!</v>
      </c>
      <c r="HX18" t="e">
        <f>AND(Bills!#REF!,"AAAAAD4rF+c=")</f>
        <v>#REF!</v>
      </c>
      <c r="HY18" t="e">
        <f>AND(Bills!#REF!,"AAAAAD4rF+g=")</f>
        <v>#REF!</v>
      </c>
      <c r="HZ18" t="e">
        <f>AND(Bills!#REF!,"AAAAAD4rF+k=")</f>
        <v>#REF!</v>
      </c>
      <c r="IA18" t="e">
        <f>AND(Bills!#REF!,"AAAAAD4rF+o=")</f>
        <v>#REF!</v>
      </c>
      <c r="IB18" t="e">
        <f>AND(Bills!#REF!,"AAAAAD4rF+s=")</f>
        <v>#REF!</v>
      </c>
      <c r="IC18" t="e">
        <f>AND(Bills!#REF!,"AAAAAD4rF+w=")</f>
        <v>#REF!</v>
      </c>
      <c r="ID18" t="e">
        <f>AND(Bills!#REF!,"AAAAAD4rF+0=")</f>
        <v>#REF!</v>
      </c>
      <c r="IE18" t="e">
        <f>AND(Bills!#REF!,"AAAAAD4rF+4=")</f>
        <v>#REF!</v>
      </c>
      <c r="IF18" t="e">
        <f>AND(Bills!#REF!,"AAAAAD4rF+8=")</f>
        <v>#REF!</v>
      </c>
      <c r="IG18" t="e">
        <f>AND(Bills!#REF!,"AAAAAD4rF/A=")</f>
        <v>#REF!</v>
      </c>
      <c r="IH18" t="e">
        <f>AND(Bills!#REF!,"AAAAAD4rF/E=")</f>
        <v>#REF!</v>
      </c>
      <c r="II18" t="e">
        <f>AND(Bills!#REF!,"AAAAAD4rF/I=")</f>
        <v>#REF!</v>
      </c>
      <c r="IJ18" t="e">
        <f>AND(Bills!#REF!,"AAAAAD4rF/M=")</f>
        <v>#REF!</v>
      </c>
      <c r="IK18" t="e">
        <f>AND(Bills!#REF!,"AAAAAD4rF/Q=")</f>
        <v>#REF!</v>
      </c>
      <c r="IL18" t="e">
        <f>AND(Bills!#REF!,"AAAAAD4rF/U=")</f>
        <v>#REF!</v>
      </c>
      <c r="IM18" t="e">
        <f>AND(Bills!#REF!,"AAAAAD4rF/Y=")</f>
        <v>#REF!</v>
      </c>
      <c r="IN18" t="e">
        <f>AND(Bills!#REF!,"AAAAAD4rF/c=")</f>
        <v>#REF!</v>
      </c>
      <c r="IO18" t="e">
        <f>AND(Bills!#REF!,"AAAAAD4rF/g=")</f>
        <v>#REF!</v>
      </c>
      <c r="IP18" t="e">
        <f>AND(Bills!#REF!,"AAAAAD4rF/k=")</f>
        <v>#REF!</v>
      </c>
      <c r="IQ18" t="e">
        <f>AND(Bills!#REF!,"AAAAAD4rF/o=")</f>
        <v>#REF!</v>
      </c>
      <c r="IR18" t="e">
        <f>AND(Bills!#REF!,"AAAAAD4rF/s=")</f>
        <v>#REF!</v>
      </c>
      <c r="IS18" t="e">
        <f>AND(Bills!#REF!,"AAAAAD4rF/w=")</f>
        <v>#REF!</v>
      </c>
      <c r="IT18" t="e">
        <f>AND(Bills!#REF!,"AAAAAD4rF/0=")</f>
        <v>#REF!</v>
      </c>
      <c r="IU18" t="e">
        <f>AND(Bills!#REF!,"AAAAAD4rF/4=")</f>
        <v>#REF!</v>
      </c>
      <c r="IV18" t="e">
        <f>AND(Bills!#REF!,"AAAAAD4rF/8=")</f>
        <v>#REF!</v>
      </c>
    </row>
    <row r="19" spans="1:256" x14ac:dyDescent="0.25">
      <c r="A19" t="e">
        <f>AND(Bills!#REF!,"AAAAAH2n3QA=")</f>
        <v>#REF!</v>
      </c>
      <c r="B19" t="e">
        <f>AND(Bills!#REF!,"AAAAAH2n3QE=")</f>
        <v>#REF!</v>
      </c>
      <c r="C19" t="e">
        <f>AND(Bills!#REF!,"AAAAAH2n3QI=")</f>
        <v>#REF!</v>
      </c>
      <c r="D19" t="e">
        <f>AND(Bills!#REF!,"AAAAAH2n3QM=")</f>
        <v>#REF!</v>
      </c>
      <c r="E19" t="e">
        <f>AND(Bills!#REF!,"AAAAAH2n3QQ=")</f>
        <v>#REF!</v>
      </c>
      <c r="F19" t="e">
        <f>AND(Bills!#REF!,"AAAAAH2n3QU=")</f>
        <v>#REF!</v>
      </c>
      <c r="G19" t="e">
        <f>AND(Bills!#REF!,"AAAAAH2n3QY=")</f>
        <v>#REF!</v>
      </c>
      <c r="H19" t="e">
        <f>AND(Bills!#REF!,"AAAAAH2n3Qc=")</f>
        <v>#REF!</v>
      </c>
      <c r="I19" t="e">
        <f>AND(Bills!#REF!,"AAAAAH2n3Qg=")</f>
        <v>#REF!</v>
      </c>
      <c r="J19" t="e">
        <f>AND(Bills!#REF!,"AAAAAH2n3Qk=")</f>
        <v>#REF!</v>
      </c>
      <c r="K19" t="e">
        <f>AND(Bills!#REF!,"AAAAAH2n3Qo=")</f>
        <v>#REF!</v>
      </c>
      <c r="L19" t="e">
        <f>AND(Bills!#REF!,"AAAAAH2n3Qs=")</f>
        <v>#REF!</v>
      </c>
      <c r="M19" t="e">
        <f>AND(Bills!#REF!,"AAAAAH2n3Qw=")</f>
        <v>#REF!</v>
      </c>
      <c r="N19" t="e">
        <f>AND(Bills!#REF!,"AAAAAH2n3Q0=")</f>
        <v>#REF!</v>
      </c>
      <c r="O19" t="e">
        <f>AND(Bills!#REF!,"AAAAAH2n3Q4=")</f>
        <v>#REF!</v>
      </c>
      <c r="P19" t="e">
        <f>AND(Bills!#REF!,"AAAAAH2n3Q8=")</f>
        <v>#REF!</v>
      </c>
      <c r="Q19" t="e">
        <f>AND(Bills!#REF!,"AAAAAH2n3RA=")</f>
        <v>#REF!</v>
      </c>
      <c r="R19" t="e">
        <f>AND(Bills!#REF!,"AAAAAH2n3RE=")</f>
        <v>#REF!</v>
      </c>
      <c r="S19" t="e">
        <f>AND(Bills!#REF!,"AAAAAH2n3RI=")</f>
        <v>#REF!</v>
      </c>
      <c r="T19" t="e">
        <f>AND(Bills!#REF!,"AAAAAH2n3RM=")</f>
        <v>#REF!</v>
      </c>
      <c r="U19" t="e">
        <f>AND(Bills!#REF!,"AAAAAH2n3RQ=")</f>
        <v>#REF!</v>
      </c>
      <c r="V19" t="e">
        <f>IF(Bills!#REF!,"AAAAAH2n3RU=",0)</f>
        <v>#REF!</v>
      </c>
      <c r="W19" t="e">
        <f>AND(Bills!#REF!,"AAAAAH2n3RY=")</f>
        <v>#REF!</v>
      </c>
      <c r="X19" t="e">
        <f>AND(Bills!#REF!,"AAAAAH2n3Rc=")</f>
        <v>#REF!</v>
      </c>
      <c r="Y19" t="e">
        <f>AND(Bills!#REF!,"AAAAAH2n3Rg=")</f>
        <v>#REF!</v>
      </c>
      <c r="Z19" t="e">
        <f>AND(Bills!#REF!,"AAAAAH2n3Rk=")</f>
        <v>#REF!</v>
      </c>
      <c r="AA19" t="e">
        <f>AND(Bills!#REF!,"AAAAAH2n3Ro=")</f>
        <v>#REF!</v>
      </c>
      <c r="AB19" t="e">
        <f>AND(Bills!#REF!,"AAAAAH2n3Rs=")</f>
        <v>#REF!</v>
      </c>
      <c r="AC19" t="e">
        <f>AND(Bills!#REF!,"AAAAAH2n3Rw=")</f>
        <v>#REF!</v>
      </c>
      <c r="AD19" t="e">
        <f>AND(Bills!#REF!,"AAAAAH2n3R0=")</f>
        <v>#REF!</v>
      </c>
      <c r="AE19" t="e">
        <f>AND(Bills!#REF!,"AAAAAH2n3R4=")</f>
        <v>#REF!</v>
      </c>
      <c r="AF19" t="e">
        <f>AND(Bills!#REF!,"AAAAAH2n3R8=")</f>
        <v>#REF!</v>
      </c>
      <c r="AG19" t="e">
        <f>AND(Bills!#REF!,"AAAAAH2n3SA=")</f>
        <v>#REF!</v>
      </c>
      <c r="AH19" t="e">
        <f>AND(Bills!#REF!,"AAAAAH2n3SE=")</f>
        <v>#REF!</v>
      </c>
      <c r="AI19" t="e">
        <f>AND(Bills!#REF!,"AAAAAH2n3SI=")</f>
        <v>#REF!</v>
      </c>
      <c r="AJ19" t="e">
        <f>AND(Bills!#REF!,"AAAAAH2n3SM=")</f>
        <v>#REF!</v>
      </c>
      <c r="AK19" t="e">
        <f>AND(Bills!#REF!,"AAAAAH2n3SQ=")</f>
        <v>#REF!</v>
      </c>
      <c r="AL19" t="e">
        <f>AND(Bills!#REF!,"AAAAAH2n3SU=")</f>
        <v>#REF!</v>
      </c>
      <c r="AM19" t="e">
        <f>AND(Bills!#REF!,"AAAAAH2n3SY=")</f>
        <v>#REF!</v>
      </c>
      <c r="AN19" t="e">
        <f>AND(Bills!#REF!,"AAAAAH2n3Sc=")</f>
        <v>#REF!</v>
      </c>
      <c r="AO19" t="e">
        <f>AND(Bills!#REF!,"AAAAAH2n3Sg=")</f>
        <v>#REF!</v>
      </c>
      <c r="AP19" t="e">
        <f>AND(Bills!#REF!,"AAAAAH2n3Sk=")</f>
        <v>#REF!</v>
      </c>
      <c r="AQ19" t="e">
        <f>AND(Bills!#REF!,"AAAAAH2n3So=")</f>
        <v>#REF!</v>
      </c>
      <c r="AR19" t="e">
        <f>AND(Bills!#REF!,"AAAAAH2n3Ss=")</f>
        <v>#REF!</v>
      </c>
      <c r="AS19" t="e">
        <f>AND(Bills!#REF!,"AAAAAH2n3Sw=")</f>
        <v>#REF!</v>
      </c>
      <c r="AT19" t="e">
        <f>AND(Bills!#REF!,"AAAAAH2n3S0=")</f>
        <v>#REF!</v>
      </c>
      <c r="AU19" t="e">
        <f>AND(Bills!#REF!,"AAAAAH2n3S4=")</f>
        <v>#REF!</v>
      </c>
      <c r="AV19" t="e">
        <f>AND(Bills!#REF!,"AAAAAH2n3S8=")</f>
        <v>#REF!</v>
      </c>
      <c r="AW19" t="e">
        <f>AND(Bills!#REF!,"AAAAAH2n3TA=")</f>
        <v>#REF!</v>
      </c>
      <c r="AX19" t="e">
        <f>AND(Bills!#REF!,"AAAAAH2n3TE=")</f>
        <v>#REF!</v>
      </c>
      <c r="AY19" t="e">
        <f>AND(Bills!#REF!,"AAAAAH2n3TI=")</f>
        <v>#REF!</v>
      </c>
      <c r="AZ19" t="e">
        <f>AND(Bills!#REF!,"AAAAAH2n3TM=")</f>
        <v>#REF!</v>
      </c>
      <c r="BA19" t="e">
        <f>AND(Bills!#REF!,"AAAAAH2n3TQ=")</f>
        <v>#REF!</v>
      </c>
      <c r="BB19" t="e">
        <f>AND(Bills!#REF!,"AAAAAH2n3TU=")</f>
        <v>#REF!</v>
      </c>
      <c r="BC19" t="e">
        <f>AND(Bills!#REF!,"AAAAAH2n3TY=")</f>
        <v>#REF!</v>
      </c>
      <c r="BD19" t="e">
        <f>AND(Bills!#REF!,"AAAAAH2n3Tc=")</f>
        <v>#REF!</v>
      </c>
      <c r="BE19" t="e">
        <f>AND(Bills!#REF!,"AAAAAH2n3Tg=")</f>
        <v>#REF!</v>
      </c>
      <c r="BF19" t="e">
        <f>AND(Bills!#REF!,"AAAAAH2n3Tk=")</f>
        <v>#REF!</v>
      </c>
      <c r="BG19" t="e">
        <f>AND(Bills!#REF!,"AAAAAH2n3To=")</f>
        <v>#REF!</v>
      </c>
      <c r="BH19" t="e">
        <f>AND(Bills!#REF!,"AAAAAH2n3Ts=")</f>
        <v>#REF!</v>
      </c>
      <c r="BI19" t="e">
        <f>AND(Bills!#REF!,"AAAAAH2n3Tw=")</f>
        <v>#REF!</v>
      </c>
      <c r="BJ19" t="e">
        <f>AND(Bills!#REF!,"AAAAAH2n3T0=")</f>
        <v>#REF!</v>
      </c>
      <c r="BK19" t="e">
        <f>AND(Bills!#REF!,"AAAAAH2n3T4=")</f>
        <v>#REF!</v>
      </c>
      <c r="BL19" t="e">
        <f>AND(Bills!#REF!,"AAAAAH2n3T8=")</f>
        <v>#REF!</v>
      </c>
      <c r="BM19" t="e">
        <f>AND(Bills!#REF!,"AAAAAH2n3UA=")</f>
        <v>#REF!</v>
      </c>
      <c r="BN19" t="e">
        <f>AND(Bills!#REF!,"AAAAAH2n3UE=")</f>
        <v>#REF!</v>
      </c>
      <c r="BO19" t="e">
        <f>AND(Bills!#REF!,"AAAAAH2n3UI=")</f>
        <v>#REF!</v>
      </c>
      <c r="BP19" t="e">
        <f>AND(Bills!#REF!,"AAAAAH2n3UM=")</f>
        <v>#REF!</v>
      </c>
      <c r="BQ19" t="e">
        <f>AND(Bills!#REF!,"AAAAAH2n3UQ=")</f>
        <v>#REF!</v>
      </c>
      <c r="BR19" t="e">
        <f>AND(Bills!#REF!,"AAAAAH2n3UU=")</f>
        <v>#REF!</v>
      </c>
      <c r="BS19" t="e">
        <f>AND(Bills!#REF!,"AAAAAH2n3UY=")</f>
        <v>#REF!</v>
      </c>
      <c r="BT19" t="e">
        <f>AND(Bills!#REF!,"AAAAAH2n3Uc=")</f>
        <v>#REF!</v>
      </c>
      <c r="BU19" t="e">
        <f>IF(Bills!#REF!,"AAAAAH2n3Ug=",0)</f>
        <v>#REF!</v>
      </c>
      <c r="BV19" t="e">
        <f>AND(Bills!#REF!,"AAAAAH2n3Uk=")</f>
        <v>#REF!</v>
      </c>
      <c r="BW19" t="e">
        <f>AND(Bills!#REF!,"AAAAAH2n3Uo=")</f>
        <v>#REF!</v>
      </c>
      <c r="BX19" t="e">
        <f>AND(Bills!#REF!,"AAAAAH2n3Us=")</f>
        <v>#REF!</v>
      </c>
      <c r="BY19" t="e">
        <f>AND(Bills!#REF!,"AAAAAH2n3Uw=")</f>
        <v>#REF!</v>
      </c>
      <c r="BZ19" t="e">
        <f>AND(Bills!#REF!,"AAAAAH2n3U0=")</f>
        <v>#REF!</v>
      </c>
      <c r="CA19" t="e">
        <f>AND(Bills!#REF!,"AAAAAH2n3U4=")</f>
        <v>#REF!</v>
      </c>
      <c r="CB19" t="e">
        <f>AND(Bills!#REF!,"AAAAAH2n3U8=")</f>
        <v>#REF!</v>
      </c>
      <c r="CC19" t="e">
        <f>AND(Bills!#REF!,"AAAAAH2n3VA=")</f>
        <v>#REF!</v>
      </c>
      <c r="CD19" t="e">
        <f>AND(Bills!#REF!,"AAAAAH2n3VE=")</f>
        <v>#REF!</v>
      </c>
      <c r="CE19" t="e">
        <f>AND(Bills!#REF!,"AAAAAH2n3VI=")</f>
        <v>#REF!</v>
      </c>
      <c r="CF19" t="e">
        <f>AND(Bills!#REF!,"AAAAAH2n3VM=")</f>
        <v>#REF!</v>
      </c>
      <c r="CG19" t="e">
        <f>AND(Bills!#REF!,"AAAAAH2n3VQ=")</f>
        <v>#REF!</v>
      </c>
      <c r="CH19" t="e">
        <f>AND(Bills!#REF!,"AAAAAH2n3VU=")</f>
        <v>#REF!</v>
      </c>
      <c r="CI19" t="e">
        <f>AND(Bills!#REF!,"AAAAAH2n3VY=")</f>
        <v>#REF!</v>
      </c>
      <c r="CJ19" t="e">
        <f>AND(Bills!#REF!,"AAAAAH2n3Vc=")</f>
        <v>#REF!</v>
      </c>
      <c r="CK19" t="e">
        <f>AND(Bills!#REF!,"AAAAAH2n3Vg=")</f>
        <v>#REF!</v>
      </c>
      <c r="CL19" t="e">
        <f>AND(Bills!#REF!,"AAAAAH2n3Vk=")</f>
        <v>#REF!</v>
      </c>
      <c r="CM19" t="e">
        <f>AND(Bills!#REF!,"AAAAAH2n3Vo=")</f>
        <v>#REF!</v>
      </c>
      <c r="CN19" t="e">
        <f>AND(Bills!#REF!,"AAAAAH2n3Vs=")</f>
        <v>#REF!</v>
      </c>
      <c r="CO19" t="e">
        <f>AND(Bills!#REF!,"AAAAAH2n3Vw=")</f>
        <v>#REF!</v>
      </c>
      <c r="CP19" t="e">
        <f>AND(Bills!#REF!,"AAAAAH2n3V0=")</f>
        <v>#REF!</v>
      </c>
      <c r="CQ19" t="e">
        <f>AND(Bills!#REF!,"AAAAAH2n3V4=")</f>
        <v>#REF!</v>
      </c>
      <c r="CR19" t="e">
        <f>AND(Bills!#REF!,"AAAAAH2n3V8=")</f>
        <v>#REF!</v>
      </c>
      <c r="CS19" t="e">
        <f>AND(Bills!#REF!,"AAAAAH2n3WA=")</f>
        <v>#REF!</v>
      </c>
      <c r="CT19" t="e">
        <f>AND(Bills!#REF!,"AAAAAH2n3WE=")</f>
        <v>#REF!</v>
      </c>
      <c r="CU19" t="e">
        <f>AND(Bills!#REF!,"AAAAAH2n3WI=")</f>
        <v>#REF!</v>
      </c>
      <c r="CV19" t="e">
        <f>AND(Bills!#REF!,"AAAAAH2n3WM=")</f>
        <v>#REF!</v>
      </c>
      <c r="CW19" t="e">
        <f>AND(Bills!#REF!,"AAAAAH2n3WQ=")</f>
        <v>#REF!</v>
      </c>
      <c r="CX19" t="e">
        <f>AND(Bills!#REF!,"AAAAAH2n3WU=")</f>
        <v>#REF!</v>
      </c>
      <c r="CY19" t="e">
        <f>AND(Bills!#REF!,"AAAAAH2n3WY=")</f>
        <v>#REF!</v>
      </c>
      <c r="CZ19" t="e">
        <f>AND(Bills!#REF!,"AAAAAH2n3Wc=")</f>
        <v>#REF!</v>
      </c>
      <c r="DA19" t="e">
        <f>AND(Bills!#REF!,"AAAAAH2n3Wg=")</f>
        <v>#REF!</v>
      </c>
      <c r="DB19" t="e">
        <f>AND(Bills!#REF!,"AAAAAH2n3Wk=")</f>
        <v>#REF!</v>
      </c>
      <c r="DC19" t="e">
        <f>AND(Bills!#REF!,"AAAAAH2n3Wo=")</f>
        <v>#REF!</v>
      </c>
      <c r="DD19" t="e">
        <f>AND(Bills!#REF!,"AAAAAH2n3Ws=")</f>
        <v>#REF!</v>
      </c>
      <c r="DE19" t="e">
        <f>AND(Bills!#REF!,"AAAAAH2n3Ww=")</f>
        <v>#REF!</v>
      </c>
      <c r="DF19" t="e">
        <f>AND(Bills!#REF!,"AAAAAH2n3W0=")</f>
        <v>#REF!</v>
      </c>
      <c r="DG19" t="e">
        <f>AND(Bills!#REF!,"AAAAAH2n3W4=")</f>
        <v>#REF!</v>
      </c>
      <c r="DH19" t="e">
        <f>AND(Bills!#REF!,"AAAAAH2n3W8=")</f>
        <v>#REF!</v>
      </c>
      <c r="DI19" t="e">
        <f>AND(Bills!#REF!,"AAAAAH2n3XA=")</f>
        <v>#REF!</v>
      </c>
      <c r="DJ19" t="e">
        <f>AND(Bills!#REF!,"AAAAAH2n3XE=")</f>
        <v>#REF!</v>
      </c>
      <c r="DK19" t="e">
        <f>AND(Bills!#REF!,"AAAAAH2n3XI=")</f>
        <v>#REF!</v>
      </c>
      <c r="DL19" t="e">
        <f>AND(Bills!#REF!,"AAAAAH2n3XM=")</f>
        <v>#REF!</v>
      </c>
      <c r="DM19" t="e">
        <f>AND(Bills!#REF!,"AAAAAH2n3XQ=")</f>
        <v>#REF!</v>
      </c>
      <c r="DN19" t="e">
        <f>AND(Bills!#REF!,"AAAAAH2n3XU=")</f>
        <v>#REF!</v>
      </c>
      <c r="DO19" t="e">
        <f>AND(Bills!#REF!,"AAAAAH2n3XY=")</f>
        <v>#REF!</v>
      </c>
      <c r="DP19" t="e">
        <f>AND(Bills!#REF!,"AAAAAH2n3Xc=")</f>
        <v>#REF!</v>
      </c>
      <c r="DQ19" t="e">
        <f>AND(Bills!#REF!,"AAAAAH2n3Xg=")</f>
        <v>#REF!</v>
      </c>
      <c r="DR19" t="e">
        <f>AND(Bills!#REF!,"AAAAAH2n3Xk=")</f>
        <v>#REF!</v>
      </c>
      <c r="DS19" t="e">
        <f>AND(Bills!#REF!,"AAAAAH2n3Xo=")</f>
        <v>#REF!</v>
      </c>
      <c r="DT19" t="e">
        <f>IF(Bills!#REF!,"AAAAAH2n3Xs=",0)</f>
        <v>#REF!</v>
      </c>
      <c r="DU19" t="e">
        <f>AND(Bills!#REF!,"AAAAAH2n3Xw=")</f>
        <v>#REF!</v>
      </c>
      <c r="DV19" t="e">
        <f>AND(Bills!#REF!,"AAAAAH2n3X0=")</f>
        <v>#REF!</v>
      </c>
      <c r="DW19" t="e">
        <f>AND(Bills!#REF!,"AAAAAH2n3X4=")</f>
        <v>#REF!</v>
      </c>
      <c r="DX19" t="e">
        <f>AND(Bills!#REF!,"AAAAAH2n3X8=")</f>
        <v>#REF!</v>
      </c>
      <c r="DY19" t="e">
        <f>AND(Bills!#REF!,"AAAAAH2n3YA=")</f>
        <v>#REF!</v>
      </c>
      <c r="DZ19" t="e">
        <f>AND(Bills!#REF!,"AAAAAH2n3YE=")</f>
        <v>#REF!</v>
      </c>
      <c r="EA19" t="e">
        <f>AND(Bills!#REF!,"AAAAAH2n3YI=")</f>
        <v>#REF!</v>
      </c>
      <c r="EB19" t="e">
        <f>AND(Bills!#REF!,"AAAAAH2n3YM=")</f>
        <v>#REF!</v>
      </c>
      <c r="EC19" t="e">
        <f>AND(Bills!#REF!,"AAAAAH2n3YQ=")</f>
        <v>#REF!</v>
      </c>
      <c r="ED19" t="e">
        <f>AND(Bills!#REF!,"AAAAAH2n3YU=")</f>
        <v>#REF!</v>
      </c>
      <c r="EE19" t="e">
        <f>AND(Bills!#REF!,"AAAAAH2n3YY=")</f>
        <v>#REF!</v>
      </c>
      <c r="EF19" t="e">
        <f>AND(Bills!#REF!,"AAAAAH2n3Yc=")</f>
        <v>#REF!</v>
      </c>
      <c r="EG19" t="e">
        <f>AND(Bills!#REF!,"AAAAAH2n3Yg=")</f>
        <v>#REF!</v>
      </c>
      <c r="EH19" t="e">
        <f>AND(Bills!#REF!,"AAAAAH2n3Yk=")</f>
        <v>#REF!</v>
      </c>
      <c r="EI19" t="e">
        <f>AND(Bills!#REF!,"AAAAAH2n3Yo=")</f>
        <v>#REF!</v>
      </c>
      <c r="EJ19" t="e">
        <f>AND(Bills!#REF!,"AAAAAH2n3Ys=")</f>
        <v>#REF!</v>
      </c>
      <c r="EK19" t="e">
        <f>AND(Bills!#REF!,"AAAAAH2n3Yw=")</f>
        <v>#REF!</v>
      </c>
      <c r="EL19" t="e">
        <f>AND(Bills!#REF!,"AAAAAH2n3Y0=")</f>
        <v>#REF!</v>
      </c>
      <c r="EM19" t="e">
        <f>AND(Bills!#REF!,"AAAAAH2n3Y4=")</f>
        <v>#REF!</v>
      </c>
      <c r="EN19" t="e">
        <f>AND(Bills!#REF!,"AAAAAH2n3Y8=")</f>
        <v>#REF!</v>
      </c>
      <c r="EO19" t="e">
        <f>AND(Bills!#REF!,"AAAAAH2n3ZA=")</f>
        <v>#REF!</v>
      </c>
      <c r="EP19" t="e">
        <f>AND(Bills!#REF!,"AAAAAH2n3ZE=")</f>
        <v>#REF!</v>
      </c>
      <c r="EQ19" t="e">
        <f>AND(Bills!#REF!,"AAAAAH2n3ZI=")</f>
        <v>#REF!</v>
      </c>
      <c r="ER19" t="e">
        <f>AND(Bills!#REF!,"AAAAAH2n3ZM=")</f>
        <v>#REF!</v>
      </c>
      <c r="ES19" t="e">
        <f>AND(Bills!#REF!,"AAAAAH2n3ZQ=")</f>
        <v>#REF!</v>
      </c>
      <c r="ET19" t="e">
        <f>AND(Bills!#REF!,"AAAAAH2n3ZU=")</f>
        <v>#REF!</v>
      </c>
      <c r="EU19" t="e">
        <f>AND(Bills!#REF!,"AAAAAH2n3ZY=")</f>
        <v>#REF!</v>
      </c>
      <c r="EV19" t="e">
        <f>AND(Bills!#REF!,"AAAAAH2n3Zc=")</f>
        <v>#REF!</v>
      </c>
      <c r="EW19" t="e">
        <f>AND(Bills!#REF!,"AAAAAH2n3Zg=")</f>
        <v>#REF!</v>
      </c>
      <c r="EX19" t="e">
        <f>AND(Bills!#REF!,"AAAAAH2n3Zk=")</f>
        <v>#REF!</v>
      </c>
      <c r="EY19" t="e">
        <f>AND(Bills!#REF!,"AAAAAH2n3Zo=")</f>
        <v>#REF!</v>
      </c>
      <c r="EZ19" t="e">
        <f>AND(Bills!#REF!,"AAAAAH2n3Zs=")</f>
        <v>#REF!</v>
      </c>
      <c r="FA19" t="e">
        <f>AND(Bills!#REF!,"AAAAAH2n3Zw=")</f>
        <v>#REF!</v>
      </c>
      <c r="FB19" t="e">
        <f>AND(Bills!#REF!,"AAAAAH2n3Z0=")</f>
        <v>#REF!</v>
      </c>
      <c r="FC19" t="e">
        <f>AND(Bills!#REF!,"AAAAAH2n3Z4=")</f>
        <v>#REF!</v>
      </c>
      <c r="FD19" t="e">
        <f>AND(Bills!#REF!,"AAAAAH2n3Z8=")</f>
        <v>#REF!</v>
      </c>
      <c r="FE19" t="e">
        <f>AND(Bills!#REF!,"AAAAAH2n3aA=")</f>
        <v>#REF!</v>
      </c>
      <c r="FF19" t="e">
        <f>AND(Bills!#REF!,"AAAAAH2n3aE=")</f>
        <v>#REF!</v>
      </c>
      <c r="FG19" t="e">
        <f>AND(Bills!#REF!,"AAAAAH2n3aI=")</f>
        <v>#REF!</v>
      </c>
      <c r="FH19" t="e">
        <f>AND(Bills!#REF!,"AAAAAH2n3aM=")</f>
        <v>#REF!</v>
      </c>
      <c r="FI19" t="e">
        <f>AND(Bills!#REF!,"AAAAAH2n3aQ=")</f>
        <v>#REF!</v>
      </c>
      <c r="FJ19" t="e">
        <f>AND(Bills!#REF!,"AAAAAH2n3aU=")</f>
        <v>#REF!</v>
      </c>
      <c r="FK19" t="e">
        <f>AND(Bills!#REF!,"AAAAAH2n3aY=")</f>
        <v>#REF!</v>
      </c>
      <c r="FL19" t="e">
        <f>AND(Bills!#REF!,"AAAAAH2n3ac=")</f>
        <v>#REF!</v>
      </c>
      <c r="FM19" t="e">
        <f>AND(Bills!#REF!,"AAAAAH2n3ag=")</f>
        <v>#REF!</v>
      </c>
      <c r="FN19" t="e">
        <f>AND(Bills!#REF!,"AAAAAH2n3ak=")</f>
        <v>#REF!</v>
      </c>
      <c r="FO19" t="e">
        <f>AND(Bills!#REF!,"AAAAAH2n3ao=")</f>
        <v>#REF!</v>
      </c>
      <c r="FP19" t="e">
        <f>AND(Bills!#REF!,"AAAAAH2n3as=")</f>
        <v>#REF!</v>
      </c>
      <c r="FQ19" t="e">
        <f>AND(Bills!#REF!,"AAAAAH2n3aw=")</f>
        <v>#REF!</v>
      </c>
      <c r="FR19" t="e">
        <f>AND(Bills!#REF!,"AAAAAH2n3a0=")</f>
        <v>#REF!</v>
      </c>
      <c r="FS19" t="e">
        <f>IF(Bills!#REF!,"AAAAAH2n3a4=",0)</f>
        <v>#REF!</v>
      </c>
      <c r="FT19" t="e">
        <f>AND(Bills!#REF!,"AAAAAH2n3a8=")</f>
        <v>#REF!</v>
      </c>
      <c r="FU19" t="e">
        <f>AND(Bills!#REF!,"AAAAAH2n3bA=")</f>
        <v>#REF!</v>
      </c>
      <c r="FV19" t="e">
        <f>AND(Bills!#REF!,"AAAAAH2n3bE=")</f>
        <v>#REF!</v>
      </c>
      <c r="FW19" t="e">
        <f>AND(Bills!#REF!,"AAAAAH2n3bI=")</f>
        <v>#REF!</v>
      </c>
      <c r="FX19" t="e">
        <f>AND(Bills!#REF!,"AAAAAH2n3bM=")</f>
        <v>#REF!</v>
      </c>
      <c r="FY19" t="e">
        <f>AND(Bills!#REF!,"AAAAAH2n3bQ=")</f>
        <v>#REF!</v>
      </c>
      <c r="FZ19" t="e">
        <f>AND(Bills!#REF!,"AAAAAH2n3bU=")</f>
        <v>#REF!</v>
      </c>
      <c r="GA19" t="e">
        <f>AND(Bills!#REF!,"AAAAAH2n3bY=")</f>
        <v>#REF!</v>
      </c>
      <c r="GB19" t="e">
        <f>AND(Bills!#REF!,"AAAAAH2n3bc=")</f>
        <v>#REF!</v>
      </c>
      <c r="GC19" t="e">
        <f>AND(Bills!#REF!,"AAAAAH2n3bg=")</f>
        <v>#REF!</v>
      </c>
      <c r="GD19" t="e">
        <f>AND(Bills!#REF!,"AAAAAH2n3bk=")</f>
        <v>#REF!</v>
      </c>
      <c r="GE19" t="e">
        <f>AND(Bills!#REF!,"AAAAAH2n3bo=")</f>
        <v>#REF!</v>
      </c>
      <c r="GF19" t="e">
        <f>AND(Bills!#REF!,"AAAAAH2n3bs=")</f>
        <v>#REF!</v>
      </c>
      <c r="GG19" t="e">
        <f>AND(Bills!#REF!,"AAAAAH2n3bw=")</f>
        <v>#REF!</v>
      </c>
      <c r="GH19" t="e">
        <f>AND(Bills!#REF!,"AAAAAH2n3b0=")</f>
        <v>#REF!</v>
      </c>
      <c r="GI19" t="e">
        <f>AND(Bills!#REF!,"AAAAAH2n3b4=")</f>
        <v>#REF!</v>
      </c>
      <c r="GJ19" t="e">
        <f>AND(Bills!#REF!,"AAAAAH2n3b8=")</f>
        <v>#REF!</v>
      </c>
      <c r="GK19" t="e">
        <f>AND(Bills!#REF!,"AAAAAH2n3cA=")</f>
        <v>#REF!</v>
      </c>
      <c r="GL19" t="e">
        <f>AND(Bills!#REF!,"AAAAAH2n3cE=")</f>
        <v>#REF!</v>
      </c>
      <c r="GM19" t="e">
        <f>AND(Bills!#REF!,"AAAAAH2n3cI=")</f>
        <v>#REF!</v>
      </c>
      <c r="GN19" t="e">
        <f>AND(Bills!#REF!,"AAAAAH2n3cM=")</f>
        <v>#REF!</v>
      </c>
      <c r="GO19" t="e">
        <f>AND(Bills!#REF!,"AAAAAH2n3cQ=")</f>
        <v>#REF!</v>
      </c>
      <c r="GP19" t="e">
        <f>AND(Bills!#REF!,"AAAAAH2n3cU=")</f>
        <v>#REF!</v>
      </c>
      <c r="GQ19" t="e">
        <f>AND(Bills!#REF!,"AAAAAH2n3cY=")</f>
        <v>#REF!</v>
      </c>
      <c r="GR19" t="e">
        <f>AND(Bills!#REF!,"AAAAAH2n3cc=")</f>
        <v>#REF!</v>
      </c>
      <c r="GS19" t="e">
        <f>AND(Bills!#REF!,"AAAAAH2n3cg=")</f>
        <v>#REF!</v>
      </c>
      <c r="GT19" t="e">
        <f>AND(Bills!#REF!,"AAAAAH2n3ck=")</f>
        <v>#REF!</v>
      </c>
      <c r="GU19" t="e">
        <f>AND(Bills!#REF!,"AAAAAH2n3co=")</f>
        <v>#REF!</v>
      </c>
      <c r="GV19" t="e">
        <f>AND(Bills!#REF!,"AAAAAH2n3cs=")</f>
        <v>#REF!</v>
      </c>
      <c r="GW19" t="e">
        <f>AND(Bills!#REF!,"AAAAAH2n3cw=")</f>
        <v>#REF!</v>
      </c>
      <c r="GX19" t="e">
        <f>AND(Bills!#REF!,"AAAAAH2n3c0=")</f>
        <v>#REF!</v>
      </c>
      <c r="GY19" t="e">
        <f>AND(Bills!#REF!,"AAAAAH2n3c4=")</f>
        <v>#REF!</v>
      </c>
      <c r="GZ19" t="e">
        <f>AND(Bills!#REF!,"AAAAAH2n3c8=")</f>
        <v>#REF!</v>
      </c>
      <c r="HA19" t="e">
        <f>AND(Bills!#REF!,"AAAAAH2n3dA=")</f>
        <v>#REF!</v>
      </c>
      <c r="HB19" t="e">
        <f>AND(Bills!#REF!,"AAAAAH2n3dE=")</f>
        <v>#REF!</v>
      </c>
      <c r="HC19" t="e">
        <f>AND(Bills!#REF!,"AAAAAH2n3dI=")</f>
        <v>#REF!</v>
      </c>
      <c r="HD19" t="e">
        <f>AND(Bills!#REF!,"AAAAAH2n3dM=")</f>
        <v>#REF!</v>
      </c>
      <c r="HE19" t="e">
        <f>AND(Bills!#REF!,"AAAAAH2n3dQ=")</f>
        <v>#REF!</v>
      </c>
      <c r="HF19" t="e">
        <f>AND(Bills!#REF!,"AAAAAH2n3dU=")</f>
        <v>#REF!</v>
      </c>
      <c r="HG19" t="e">
        <f>AND(Bills!#REF!,"AAAAAH2n3dY=")</f>
        <v>#REF!</v>
      </c>
      <c r="HH19" t="e">
        <f>AND(Bills!#REF!,"AAAAAH2n3dc=")</f>
        <v>#REF!</v>
      </c>
      <c r="HI19" t="e">
        <f>AND(Bills!#REF!,"AAAAAH2n3dg=")</f>
        <v>#REF!</v>
      </c>
      <c r="HJ19" t="e">
        <f>AND(Bills!#REF!,"AAAAAH2n3dk=")</f>
        <v>#REF!</v>
      </c>
      <c r="HK19" t="e">
        <f>AND(Bills!#REF!,"AAAAAH2n3do=")</f>
        <v>#REF!</v>
      </c>
      <c r="HL19" t="e">
        <f>AND(Bills!#REF!,"AAAAAH2n3ds=")</f>
        <v>#REF!</v>
      </c>
      <c r="HM19" t="e">
        <f>AND(Bills!#REF!,"AAAAAH2n3dw=")</f>
        <v>#REF!</v>
      </c>
      <c r="HN19" t="e">
        <f>AND(Bills!#REF!,"AAAAAH2n3d0=")</f>
        <v>#REF!</v>
      </c>
      <c r="HO19" t="e">
        <f>AND(Bills!#REF!,"AAAAAH2n3d4=")</f>
        <v>#REF!</v>
      </c>
      <c r="HP19" t="e">
        <f>AND(Bills!#REF!,"AAAAAH2n3d8=")</f>
        <v>#REF!</v>
      </c>
      <c r="HQ19" t="e">
        <f>AND(Bills!#REF!,"AAAAAH2n3eA=")</f>
        <v>#REF!</v>
      </c>
      <c r="HR19" t="e">
        <f>IF(Bills!#REF!,"AAAAAH2n3eE=",0)</f>
        <v>#REF!</v>
      </c>
      <c r="HS19" t="e">
        <f>AND(Bills!#REF!,"AAAAAH2n3eI=")</f>
        <v>#REF!</v>
      </c>
      <c r="HT19" t="e">
        <f>AND(Bills!#REF!,"AAAAAH2n3eM=")</f>
        <v>#REF!</v>
      </c>
      <c r="HU19" t="e">
        <f>AND(Bills!#REF!,"AAAAAH2n3eQ=")</f>
        <v>#REF!</v>
      </c>
      <c r="HV19" t="e">
        <f>AND(Bills!#REF!,"AAAAAH2n3eU=")</f>
        <v>#REF!</v>
      </c>
      <c r="HW19" t="e">
        <f>AND(Bills!#REF!,"AAAAAH2n3eY=")</f>
        <v>#REF!</v>
      </c>
      <c r="HX19" t="e">
        <f>AND(Bills!#REF!,"AAAAAH2n3ec=")</f>
        <v>#REF!</v>
      </c>
      <c r="HY19" t="e">
        <f>AND(Bills!#REF!,"AAAAAH2n3eg=")</f>
        <v>#REF!</v>
      </c>
      <c r="HZ19" t="e">
        <f>AND(Bills!#REF!,"AAAAAH2n3ek=")</f>
        <v>#REF!</v>
      </c>
      <c r="IA19" t="e">
        <f>AND(Bills!#REF!,"AAAAAH2n3eo=")</f>
        <v>#REF!</v>
      </c>
      <c r="IB19" t="e">
        <f>AND(Bills!#REF!,"AAAAAH2n3es=")</f>
        <v>#REF!</v>
      </c>
      <c r="IC19" t="e">
        <f>AND(Bills!#REF!,"AAAAAH2n3ew=")</f>
        <v>#REF!</v>
      </c>
      <c r="ID19" t="e">
        <f>AND(Bills!#REF!,"AAAAAH2n3e0=")</f>
        <v>#REF!</v>
      </c>
      <c r="IE19" t="e">
        <f>AND(Bills!#REF!,"AAAAAH2n3e4=")</f>
        <v>#REF!</v>
      </c>
      <c r="IF19" t="e">
        <f>AND(Bills!#REF!,"AAAAAH2n3e8=")</f>
        <v>#REF!</v>
      </c>
      <c r="IG19" t="e">
        <f>AND(Bills!#REF!,"AAAAAH2n3fA=")</f>
        <v>#REF!</v>
      </c>
      <c r="IH19" t="e">
        <f>AND(Bills!#REF!,"AAAAAH2n3fE=")</f>
        <v>#REF!</v>
      </c>
      <c r="II19" t="e">
        <f>AND(Bills!#REF!,"AAAAAH2n3fI=")</f>
        <v>#REF!</v>
      </c>
      <c r="IJ19" t="e">
        <f>AND(Bills!#REF!,"AAAAAH2n3fM=")</f>
        <v>#REF!</v>
      </c>
      <c r="IK19" t="e">
        <f>AND(Bills!#REF!,"AAAAAH2n3fQ=")</f>
        <v>#REF!</v>
      </c>
      <c r="IL19" t="e">
        <f>AND(Bills!#REF!,"AAAAAH2n3fU=")</f>
        <v>#REF!</v>
      </c>
      <c r="IM19" t="e">
        <f>AND(Bills!#REF!,"AAAAAH2n3fY=")</f>
        <v>#REF!</v>
      </c>
      <c r="IN19" t="e">
        <f>AND(Bills!#REF!,"AAAAAH2n3fc=")</f>
        <v>#REF!</v>
      </c>
      <c r="IO19" t="e">
        <f>AND(Bills!#REF!,"AAAAAH2n3fg=")</f>
        <v>#REF!</v>
      </c>
      <c r="IP19" t="e">
        <f>AND(Bills!#REF!,"AAAAAH2n3fk=")</f>
        <v>#REF!</v>
      </c>
      <c r="IQ19" t="e">
        <f>AND(Bills!#REF!,"AAAAAH2n3fo=")</f>
        <v>#REF!</v>
      </c>
      <c r="IR19" t="e">
        <f>AND(Bills!#REF!,"AAAAAH2n3fs=")</f>
        <v>#REF!</v>
      </c>
      <c r="IS19" t="e">
        <f>AND(Bills!#REF!,"AAAAAH2n3fw=")</f>
        <v>#REF!</v>
      </c>
      <c r="IT19" t="e">
        <f>AND(Bills!#REF!,"AAAAAH2n3f0=")</f>
        <v>#REF!</v>
      </c>
      <c r="IU19" t="e">
        <f>AND(Bills!#REF!,"AAAAAH2n3f4=")</f>
        <v>#REF!</v>
      </c>
      <c r="IV19" t="e">
        <f>AND(Bills!#REF!,"AAAAAH2n3f8=")</f>
        <v>#REF!</v>
      </c>
    </row>
    <row r="20" spans="1:256" x14ac:dyDescent="0.25">
      <c r="A20" t="e">
        <f>AND(Bills!#REF!,"AAAAADH7vwA=")</f>
        <v>#REF!</v>
      </c>
      <c r="B20" t="e">
        <f>AND(Bills!#REF!,"AAAAADH7vwE=")</f>
        <v>#REF!</v>
      </c>
      <c r="C20" t="e">
        <f>AND(Bills!#REF!,"AAAAADH7vwI=")</f>
        <v>#REF!</v>
      </c>
      <c r="D20" t="e">
        <f>AND(Bills!#REF!,"AAAAADH7vwM=")</f>
        <v>#REF!</v>
      </c>
      <c r="E20" t="e">
        <f>AND(Bills!#REF!,"AAAAADH7vwQ=")</f>
        <v>#REF!</v>
      </c>
      <c r="F20" t="e">
        <f>AND(Bills!#REF!,"AAAAADH7vwU=")</f>
        <v>#REF!</v>
      </c>
      <c r="G20" t="e">
        <f>AND(Bills!#REF!,"AAAAADH7vwY=")</f>
        <v>#REF!</v>
      </c>
      <c r="H20" t="e">
        <f>AND(Bills!#REF!,"AAAAADH7vwc=")</f>
        <v>#REF!</v>
      </c>
      <c r="I20" t="e">
        <f>AND(Bills!#REF!,"AAAAADH7vwg=")</f>
        <v>#REF!</v>
      </c>
      <c r="J20" t="e">
        <f>AND(Bills!#REF!,"AAAAADH7vwk=")</f>
        <v>#REF!</v>
      </c>
      <c r="K20" t="e">
        <f>AND(Bills!#REF!,"AAAAADH7vwo=")</f>
        <v>#REF!</v>
      </c>
      <c r="L20" t="e">
        <f>AND(Bills!#REF!,"AAAAADH7vws=")</f>
        <v>#REF!</v>
      </c>
      <c r="M20" t="e">
        <f>AND(Bills!#REF!,"AAAAADH7vww=")</f>
        <v>#REF!</v>
      </c>
      <c r="N20" t="e">
        <f>AND(Bills!#REF!,"AAAAADH7vw0=")</f>
        <v>#REF!</v>
      </c>
      <c r="O20" t="e">
        <f>AND(Bills!#REF!,"AAAAADH7vw4=")</f>
        <v>#REF!</v>
      </c>
      <c r="P20" t="e">
        <f>AND(Bills!#REF!,"AAAAADH7vw8=")</f>
        <v>#REF!</v>
      </c>
      <c r="Q20" t="e">
        <f>AND(Bills!#REF!,"AAAAADH7vxA=")</f>
        <v>#REF!</v>
      </c>
      <c r="R20" t="e">
        <f>AND(Bills!#REF!,"AAAAADH7vxE=")</f>
        <v>#REF!</v>
      </c>
      <c r="S20" t="e">
        <f>AND(Bills!#REF!,"AAAAADH7vxI=")</f>
        <v>#REF!</v>
      </c>
      <c r="T20" t="e">
        <f>AND(Bills!#REF!,"AAAAADH7vxM=")</f>
        <v>#REF!</v>
      </c>
      <c r="U20" t="e">
        <f>IF(Bills!#REF!,"AAAAADH7vxQ=",0)</f>
        <v>#REF!</v>
      </c>
      <c r="V20" t="e">
        <f>AND(Bills!#REF!,"AAAAADH7vxU=")</f>
        <v>#REF!</v>
      </c>
      <c r="W20" t="e">
        <f>AND(Bills!#REF!,"AAAAADH7vxY=")</f>
        <v>#REF!</v>
      </c>
      <c r="X20" t="e">
        <f>AND(Bills!#REF!,"AAAAADH7vxc=")</f>
        <v>#REF!</v>
      </c>
      <c r="Y20" t="e">
        <f>AND(Bills!#REF!,"AAAAADH7vxg=")</f>
        <v>#REF!</v>
      </c>
      <c r="Z20" t="e">
        <f>AND(Bills!#REF!,"AAAAADH7vxk=")</f>
        <v>#REF!</v>
      </c>
      <c r="AA20" t="e">
        <f>AND(Bills!#REF!,"AAAAADH7vxo=")</f>
        <v>#REF!</v>
      </c>
      <c r="AB20" t="e">
        <f>AND(Bills!#REF!,"AAAAADH7vxs=")</f>
        <v>#REF!</v>
      </c>
      <c r="AC20" t="e">
        <f>AND(Bills!#REF!,"AAAAADH7vxw=")</f>
        <v>#REF!</v>
      </c>
      <c r="AD20" t="e">
        <f>AND(Bills!#REF!,"AAAAADH7vx0=")</f>
        <v>#REF!</v>
      </c>
      <c r="AE20" t="e">
        <f>AND(Bills!#REF!,"AAAAADH7vx4=")</f>
        <v>#REF!</v>
      </c>
      <c r="AF20" t="e">
        <f>AND(Bills!#REF!,"AAAAADH7vx8=")</f>
        <v>#REF!</v>
      </c>
      <c r="AG20" t="e">
        <f>AND(Bills!#REF!,"AAAAADH7vyA=")</f>
        <v>#REF!</v>
      </c>
      <c r="AH20" t="e">
        <f>AND(Bills!#REF!,"AAAAADH7vyE=")</f>
        <v>#REF!</v>
      </c>
      <c r="AI20" t="e">
        <f>AND(Bills!#REF!,"AAAAADH7vyI=")</f>
        <v>#REF!</v>
      </c>
      <c r="AJ20" t="e">
        <f>AND(Bills!#REF!,"AAAAADH7vyM=")</f>
        <v>#REF!</v>
      </c>
      <c r="AK20" t="e">
        <f>AND(Bills!#REF!,"AAAAADH7vyQ=")</f>
        <v>#REF!</v>
      </c>
      <c r="AL20" t="e">
        <f>AND(Bills!#REF!,"AAAAADH7vyU=")</f>
        <v>#REF!</v>
      </c>
      <c r="AM20" t="e">
        <f>AND(Bills!#REF!,"AAAAADH7vyY=")</f>
        <v>#REF!</v>
      </c>
      <c r="AN20" t="e">
        <f>AND(Bills!#REF!,"AAAAADH7vyc=")</f>
        <v>#REF!</v>
      </c>
      <c r="AO20" t="e">
        <f>AND(Bills!#REF!,"AAAAADH7vyg=")</f>
        <v>#REF!</v>
      </c>
      <c r="AP20" t="e">
        <f>AND(Bills!#REF!,"AAAAADH7vyk=")</f>
        <v>#REF!</v>
      </c>
      <c r="AQ20" t="e">
        <f>AND(Bills!#REF!,"AAAAADH7vyo=")</f>
        <v>#REF!</v>
      </c>
      <c r="AR20" t="e">
        <f>AND(Bills!#REF!,"AAAAADH7vys=")</f>
        <v>#REF!</v>
      </c>
      <c r="AS20" t="e">
        <f>AND(Bills!#REF!,"AAAAADH7vyw=")</f>
        <v>#REF!</v>
      </c>
      <c r="AT20" t="e">
        <f>AND(Bills!#REF!,"AAAAADH7vy0=")</f>
        <v>#REF!</v>
      </c>
      <c r="AU20" t="e">
        <f>AND(Bills!#REF!,"AAAAADH7vy4=")</f>
        <v>#REF!</v>
      </c>
      <c r="AV20" t="e">
        <f>AND(Bills!#REF!,"AAAAADH7vy8=")</f>
        <v>#REF!</v>
      </c>
      <c r="AW20" t="e">
        <f>AND(Bills!#REF!,"AAAAADH7vzA=")</f>
        <v>#REF!</v>
      </c>
      <c r="AX20" t="e">
        <f>AND(Bills!#REF!,"AAAAADH7vzE=")</f>
        <v>#REF!</v>
      </c>
      <c r="AY20" t="e">
        <f>AND(Bills!#REF!,"AAAAADH7vzI=")</f>
        <v>#REF!</v>
      </c>
      <c r="AZ20" t="e">
        <f>AND(Bills!#REF!,"AAAAADH7vzM=")</f>
        <v>#REF!</v>
      </c>
      <c r="BA20" t="e">
        <f>AND(Bills!#REF!,"AAAAADH7vzQ=")</f>
        <v>#REF!</v>
      </c>
      <c r="BB20" t="e">
        <f>AND(Bills!#REF!,"AAAAADH7vzU=")</f>
        <v>#REF!</v>
      </c>
      <c r="BC20" t="e">
        <f>AND(Bills!#REF!,"AAAAADH7vzY=")</f>
        <v>#REF!</v>
      </c>
      <c r="BD20" t="e">
        <f>AND(Bills!#REF!,"AAAAADH7vzc=")</f>
        <v>#REF!</v>
      </c>
      <c r="BE20" t="e">
        <f>AND(Bills!#REF!,"AAAAADH7vzg=")</f>
        <v>#REF!</v>
      </c>
      <c r="BF20" t="e">
        <f>AND(Bills!#REF!,"AAAAADH7vzk=")</f>
        <v>#REF!</v>
      </c>
      <c r="BG20" t="e">
        <f>AND(Bills!#REF!,"AAAAADH7vzo=")</f>
        <v>#REF!</v>
      </c>
      <c r="BH20" t="e">
        <f>AND(Bills!#REF!,"AAAAADH7vzs=")</f>
        <v>#REF!</v>
      </c>
      <c r="BI20" t="e">
        <f>AND(Bills!#REF!,"AAAAADH7vzw=")</f>
        <v>#REF!</v>
      </c>
      <c r="BJ20" t="e">
        <f>AND(Bills!#REF!,"AAAAADH7vz0=")</f>
        <v>#REF!</v>
      </c>
      <c r="BK20" t="e">
        <f>AND(Bills!#REF!,"AAAAADH7vz4=")</f>
        <v>#REF!</v>
      </c>
      <c r="BL20" t="e">
        <f>AND(Bills!#REF!,"AAAAADH7vz8=")</f>
        <v>#REF!</v>
      </c>
      <c r="BM20" t="e">
        <f>AND(Bills!#REF!,"AAAAADH7v0A=")</f>
        <v>#REF!</v>
      </c>
      <c r="BN20" t="e">
        <f>AND(Bills!#REF!,"AAAAADH7v0E=")</f>
        <v>#REF!</v>
      </c>
      <c r="BO20" t="e">
        <f>AND(Bills!#REF!,"AAAAADH7v0I=")</f>
        <v>#REF!</v>
      </c>
      <c r="BP20" t="e">
        <f>AND(Bills!#REF!,"AAAAADH7v0M=")</f>
        <v>#REF!</v>
      </c>
      <c r="BQ20" t="e">
        <f>AND(Bills!#REF!,"AAAAADH7v0Q=")</f>
        <v>#REF!</v>
      </c>
      <c r="BR20" t="e">
        <f>AND(Bills!#REF!,"AAAAADH7v0U=")</f>
        <v>#REF!</v>
      </c>
      <c r="BS20" t="e">
        <f>AND(Bills!#REF!,"AAAAADH7v0Y=")</f>
        <v>#REF!</v>
      </c>
      <c r="BT20" t="e">
        <f>IF(Bills!#REF!,"AAAAADH7v0c=",0)</f>
        <v>#REF!</v>
      </c>
      <c r="BU20" t="e">
        <f>AND(Bills!#REF!,"AAAAADH7v0g=")</f>
        <v>#REF!</v>
      </c>
      <c r="BV20" t="e">
        <f>AND(Bills!#REF!,"AAAAADH7v0k=")</f>
        <v>#REF!</v>
      </c>
      <c r="BW20" t="e">
        <f>AND(Bills!#REF!,"AAAAADH7v0o=")</f>
        <v>#REF!</v>
      </c>
      <c r="BX20" t="e">
        <f>AND(Bills!#REF!,"AAAAADH7v0s=")</f>
        <v>#REF!</v>
      </c>
      <c r="BY20" t="e">
        <f>AND(Bills!#REF!,"AAAAADH7v0w=")</f>
        <v>#REF!</v>
      </c>
      <c r="BZ20" t="e">
        <f>AND(Bills!#REF!,"AAAAADH7v00=")</f>
        <v>#REF!</v>
      </c>
      <c r="CA20" t="e">
        <f>AND(Bills!#REF!,"AAAAADH7v04=")</f>
        <v>#REF!</v>
      </c>
      <c r="CB20" t="e">
        <f>AND(Bills!#REF!,"AAAAADH7v08=")</f>
        <v>#REF!</v>
      </c>
      <c r="CC20" t="e">
        <f>AND(Bills!#REF!,"AAAAADH7v1A=")</f>
        <v>#REF!</v>
      </c>
      <c r="CD20" t="e">
        <f>AND(Bills!#REF!,"AAAAADH7v1E=")</f>
        <v>#REF!</v>
      </c>
      <c r="CE20" t="e">
        <f>AND(Bills!#REF!,"AAAAADH7v1I=")</f>
        <v>#REF!</v>
      </c>
      <c r="CF20" t="e">
        <f>AND(Bills!#REF!,"AAAAADH7v1M=")</f>
        <v>#REF!</v>
      </c>
      <c r="CG20" t="e">
        <f>AND(Bills!#REF!,"AAAAADH7v1Q=")</f>
        <v>#REF!</v>
      </c>
      <c r="CH20" t="e">
        <f>AND(Bills!#REF!,"AAAAADH7v1U=")</f>
        <v>#REF!</v>
      </c>
      <c r="CI20" t="e">
        <f>AND(Bills!#REF!,"AAAAADH7v1Y=")</f>
        <v>#REF!</v>
      </c>
      <c r="CJ20" t="e">
        <f>AND(Bills!#REF!,"AAAAADH7v1c=")</f>
        <v>#REF!</v>
      </c>
      <c r="CK20" t="e">
        <f>AND(Bills!#REF!,"AAAAADH7v1g=")</f>
        <v>#REF!</v>
      </c>
      <c r="CL20" t="e">
        <f>AND(Bills!#REF!,"AAAAADH7v1k=")</f>
        <v>#REF!</v>
      </c>
      <c r="CM20" t="e">
        <f>AND(Bills!#REF!,"AAAAADH7v1o=")</f>
        <v>#REF!</v>
      </c>
      <c r="CN20" t="e">
        <f>AND(Bills!#REF!,"AAAAADH7v1s=")</f>
        <v>#REF!</v>
      </c>
      <c r="CO20" t="e">
        <f>AND(Bills!#REF!,"AAAAADH7v1w=")</f>
        <v>#REF!</v>
      </c>
      <c r="CP20" t="e">
        <f>AND(Bills!#REF!,"AAAAADH7v10=")</f>
        <v>#REF!</v>
      </c>
      <c r="CQ20" t="e">
        <f>AND(Bills!#REF!,"AAAAADH7v14=")</f>
        <v>#REF!</v>
      </c>
      <c r="CR20" t="e">
        <f>AND(Bills!#REF!,"AAAAADH7v18=")</f>
        <v>#REF!</v>
      </c>
      <c r="CS20" t="e">
        <f>AND(Bills!#REF!,"AAAAADH7v2A=")</f>
        <v>#REF!</v>
      </c>
      <c r="CT20" t="e">
        <f>AND(Bills!#REF!,"AAAAADH7v2E=")</f>
        <v>#REF!</v>
      </c>
      <c r="CU20" t="e">
        <f>AND(Bills!#REF!,"AAAAADH7v2I=")</f>
        <v>#REF!</v>
      </c>
      <c r="CV20" t="e">
        <f>AND(Bills!#REF!,"AAAAADH7v2M=")</f>
        <v>#REF!</v>
      </c>
      <c r="CW20" t="e">
        <f>AND(Bills!#REF!,"AAAAADH7v2Q=")</f>
        <v>#REF!</v>
      </c>
      <c r="CX20" t="e">
        <f>AND(Bills!#REF!,"AAAAADH7v2U=")</f>
        <v>#REF!</v>
      </c>
      <c r="CY20" t="e">
        <f>AND(Bills!#REF!,"AAAAADH7v2Y=")</f>
        <v>#REF!</v>
      </c>
      <c r="CZ20" t="e">
        <f>AND(Bills!#REF!,"AAAAADH7v2c=")</f>
        <v>#REF!</v>
      </c>
      <c r="DA20" t="e">
        <f>AND(Bills!#REF!,"AAAAADH7v2g=")</f>
        <v>#REF!</v>
      </c>
      <c r="DB20" t="e">
        <f>AND(Bills!#REF!,"AAAAADH7v2k=")</f>
        <v>#REF!</v>
      </c>
      <c r="DC20" t="e">
        <f>AND(Bills!#REF!,"AAAAADH7v2o=")</f>
        <v>#REF!</v>
      </c>
      <c r="DD20" t="e">
        <f>AND(Bills!#REF!,"AAAAADH7v2s=")</f>
        <v>#REF!</v>
      </c>
      <c r="DE20" t="e">
        <f>AND(Bills!#REF!,"AAAAADH7v2w=")</f>
        <v>#REF!</v>
      </c>
      <c r="DF20" t="e">
        <f>AND(Bills!#REF!,"AAAAADH7v20=")</f>
        <v>#REF!</v>
      </c>
      <c r="DG20" t="e">
        <f>AND(Bills!#REF!,"AAAAADH7v24=")</f>
        <v>#REF!</v>
      </c>
      <c r="DH20" t="e">
        <f>AND(Bills!#REF!,"AAAAADH7v28=")</f>
        <v>#REF!</v>
      </c>
      <c r="DI20" t="e">
        <f>AND(Bills!#REF!,"AAAAADH7v3A=")</f>
        <v>#REF!</v>
      </c>
      <c r="DJ20" t="e">
        <f>AND(Bills!#REF!,"AAAAADH7v3E=")</f>
        <v>#REF!</v>
      </c>
      <c r="DK20" t="e">
        <f>AND(Bills!#REF!,"AAAAADH7v3I=")</f>
        <v>#REF!</v>
      </c>
      <c r="DL20" t="e">
        <f>AND(Bills!#REF!,"AAAAADH7v3M=")</f>
        <v>#REF!</v>
      </c>
      <c r="DM20" t="e">
        <f>AND(Bills!#REF!,"AAAAADH7v3Q=")</f>
        <v>#REF!</v>
      </c>
      <c r="DN20" t="e">
        <f>AND(Bills!#REF!,"AAAAADH7v3U=")</f>
        <v>#REF!</v>
      </c>
      <c r="DO20" t="e">
        <f>AND(Bills!#REF!,"AAAAADH7v3Y=")</f>
        <v>#REF!</v>
      </c>
      <c r="DP20" t="e">
        <f>AND(Bills!#REF!,"AAAAADH7v3c=")</f>
        <v>#REF!</v>
      </c>
      <c r="DQ20" t="e">
        <f>AND(Bills!#REF!,"AAAAADH7v3g=")</f>
        <v>#REF!</v>
      </c>
      <c r="DR20" t="e">
        <f>AND(Bills!#REF!,"AAAAADH7v3k=")</f>
        <v>#REF!</v>
      </c>
      <c r="DS20">
        <f>IF(Bills!11:11,"AAAAADH7v3o=",0)</f>
        <v>0</v>
      </c>
      <c r="DT20" t="e">
        <f>AND(Bills!B11,"AAAAADH7v3s=")</f>
        <v>#VALUE!</v>
      </c>
      <c r="DU20" t="e">
        <f>AND(Bills!#REF!,"AAAAADH7v3w=")</f>
        <v>#REF!</v>
      </c>
      <c r="DV20" t="e">
        <f>AND(Bills!C11,"AAAAADH7v30=")</f>
        <v>#VALUE!</v>
      </c>
      <c r="DW20" t="e">
        <f>AND(Bills!D11,"AAAAADH7v34=")</f>
        <v>#VALUE!</v>
      </c>
      <c r="DX20" t="e">
        <f>AND(Bills!E11,"AAAAADH7v38=")</f>
        <v>#VALUE!</v>
      </c>
      <c r="DY20" t="e">
        <f>AND(Bills!#REF!,"AAAAADH7v4A=")</f>
        <v>#REF!</v>
      </c>
      <c r="DZ20" t="e">
        <f>AND(Bills!#REF!,"AAAAADH7v4E=")</f>
        <v>#REF!</v>
      </c>
      <c r="EA20" t="e">
        <f>AND(Bills!#REF!,"AAAAADH7v4I=")</f>
        <v>#REF!</v>
      </c>
      <c r="EB20" t="e">
        <f>AND(Bills!F11,"AAAAADH7v4M=")</f>
        <v>#VALUE!</v>
      </c>
      <c r="EC20" t="e">
        <f>AND(Bills!#REF!,"AAAAADH7v4Q=")</f>
        <v>#REF!</v>
      </c>
      <c r="ED20" t="e">
        <f>AND(Bills!G11,"AAAAADH7v4U=")</f>
        <v>#VALUE!</v>
      </c>
      <c r="EE20" t="e">
        <f>AND(Bills!H11,"AAAAADH7v4Y=")</f>
        <v>#VALUE!</v>
      </c>
      <c r="EF20" t="e">
        <f>AND(Bills!I11,"AAAAADH7v4c=")</f>
        <v>#VALUE!</v>
      </c>
      <c r="EG20" t="e">
        <f>AND(Bills!J11,"AAAAADH7v4g=")</f>
        <v>#VALUE!</v>
      </c>
      <c r="EH20" t="e">
        <f>AND(Bills!K11,"AAAAADH7v4k=")</f>
        <v>#VALUE!</v>
      </c>
      <c r="EI20" t="e">
        <f>AND(Bills!L11,"AAAAADH7v4o=")</f>
        <v>#VALUE!</v>
      </c>
      <c r="EJ20" t="e">
        <f>AND(Bills!#REF!,"AAAAADH7v4s=")</f>
        <v>#REF!</v>
      </c>
      <c r="EK20" t="e">
        <f>AND(Bills!M11,"AAAAADH7v4w=")</f>
        <v>#VALUE!</v>
      </c>
      <c r="EL20" t="e">
        <f>AND(Bills!N11,"AAAAADH7v40=")</f>
        <v>#VALUE!</v>
      </c>
      <c r="EM20" t="e">
        <f>AND(Bills!O11,"AAAAADH7v44=")</f>
        <v>#VALUE!</v>
      </c>
      <c r="EN20" t="e">
        <f>AND(Bills!P11,"AAAAADH7v48=")</f>
        <v>#VALUE!</v>
      </c>
      <c r="EO20" t="e">
        <f>AND(Bills!Q11,"AAAAADH7v5A=")</f>
        <v>#VALUE!</v>
      </c>
      <c r="EP20" t="e">
        <f>AND(Bills!R11,"AAAAADH7v5E=")</f>
        <v>#VALUE!</v>
      </c>
      <c r="EQ20" t="e">
        <f>AND(Bills!S11,"AAAAADH7v5I=")</f>
        <v>#VALUE!</v>
      </c>
      <c r="ER20" t="e">
        <f>AND(Bills!T11,"AAAAADH7v5M=")</f>
        <v>#VALUE!</v>
      </c>
      <c r="ES20" t="e">
        <f>AND(Bills!#REF!,"AAAAADH7v5Q=")</f>
        <v>#REF!</v>
      </c>
      <c r="ET20" t="e">
        <f>AND(Bills!U11,"AAAAADH7v5U=")</f>
        <v>#VALUE!</v>
      </c>
      <c r="EU20" t="e">
        <f>AND(Bills!V11,"AAAAADH7v5Y=")</f>
        <v>#VALUE!</v>
      </c>
      <c r="EV20" t="e">
        <f>AND(Bills!W11,"AAAAADH7v5c=")</f>
        <v>#VALUE!</v>
      </c>
      <c r="EW20" t="e">
        <f>AND(Bills!#REF!,"AAAAADH7v5g=")</f>
        <v>#REF!</v>
      </c>
      <c r="EX20" t="e">
        <f>AND(Bills!#REF!,"AAAAADH7v5k=")</f>
        <v>#REF!</v>
      </c>
      <c r="EY20" t="e">
        <f>AND(Bills!Y11,"AAAAADH7v5o=")</f>
        <v>#VALUE!</v>
      </c>
      <c r="EZ20" t="e">
        <f>AND(Bills!Z11,"AAAAADH7v5s=")</f>
        <v>#VALUE!</v>
      </c>
      <c r="FA20" t="e">
        <f>AND(Bills!#REF!,"AAAAADH7v5w=")</f>
        <v>#REF!</v>
      </c>
      <c r="FB20" t="e">
        <f>AND(Bills!#REF!,"AAAAADH7v50=")</f>
        <v>#REF!</v>
      </c>
      <c r="FC20" t="e">
        <f>AND(Bills!#REF!,"AAAAADH7v54=")</f>
        <v>#REF!</v>
      </c>
      <c r="FD20" t="e">
        <f>AND(Bills!#REF!,"AAAAADH7v58=")</f>
        <v>#REF!</v>
      </c>
      <c r="FE20" t="e">
        <f>AND(Bills!#REF!,"AAAAADH7v6A=")</f>
        <v>#REF!</v>
      </c>
      <c r="FF20" t="e">
        <f>AND(Bills!#REF!,"AAAAADH7v6E=")</f>
        <v>#REF!</v>
      </c>
      <c r="FG20" t="e">
        <f>AND(Bills!#REF!,"AAAAADH7v6I=")</f>
        <v>#REF!</v>
      </c>
      <c r="FH20" t="e">
        <f>AND(Bills!#REF!,"AAAAADH7v6M=")</f>
        <v>#REF!</v>
      </c>
      <c r="FI20" t="e">
        <f>AND(Bills!#REF!,"AAAAADH7v6Q=")</f>
        <v>#REF!</v>
      </c>
      <c r="FJ20" t="e">
        <f>AND(Bills!AA11,"AAAAADH7v6U=")</f>
        <v>#VALUE!</v>
      </c>
      <c r="FK20" t="e">
        <f>AND(Bills!AB11,"AAAAADH7v6Y=")</f>
        <v>#VALUE!</v>
      </c>
      <c r="FL20" t="e">
        <f>AND(Bills!#REF!,"AAAAADH7v6c=")</f>
        <v>#REF!</v>
      </c>
      <c r="FM20" t="e">
        <f>AND(Bills!#REF!,"AAAAADH7v6g=")</f>
        <v>#REF!</v>
      </c>
      <c r="FN20" t="e">
        <f>AND(Bills!#REF!,"AAAAADH7v6k=")</f>
        <v>#REF!</v>
      </c>
      <c r="FO20" t="e">
        <f>AND(Bills!AC11,"AAAAADH7v6o=")</f>
        <v>#VALUE!</v>
      </c>
      <c r="FP20" t="e">
        <f>AND(Bills!AD11,"AAAAADH7v6s=")</f>
        <v>#VALUE!</v>
      </c>
      <c r="FQ20" t="e">
        <f>AND(Bills!AE11,"AAAAADH7v6w=")</f>
        <v>#VALUE!</v>
      </c>
      <c r="FR20" t="e">
        <f>IF(Bills!#REF!,"AAAAADH7v60=",0)</f>
        <v>#REF!</v>
      </c>
      <c r="FS20" t="e">
        <f>AND(Bills!#REF!,"AAAAADH7v64=")</f>
        <v>#REF!</v>
      </c>
      <c r="FT20" t="e">
        <f>AND(Bills!#REF!,"AAAAADH7v68=")</f>
        <v>#REF!</v>
      </c>
      <c r="FU20" t="e">
        <f>AND(Bills!#REF!,"AAAAADH7v7A=")</f>
        <v>#REF!</v>
      </c>
      <c r="FV20" t="e">
        <f>AND(Bills!#REF!,"AAAAADH7v7E=")</f>
        <v>#REF!</v>
      </c>
      <c r="FW20" t="e">
        <f>AND(Bills!#REF!,"AAAAADH7v7I=")</f>
        <v>#REF!</v>
      </c>
      <c r="FX20" t="e">
        <f>AND(Bills!#REF!,"AAAAADH7v7M=")</f>
        <v>#REF!</v>
      </c>
      <c r="FY20" t="e">
        <f>AND(Bills!#REF!,"AAAAADH7v7Q=")</f>
        <v>#REF!</v>
      </c>
      <c r="FZ20" t="e">
        <f>AND(Bills!#REF!,"AAAAADH7v7U=")</f>
        <v>#REF!</v>
      </c>
      <c r="GA20" t="e">
        <f>AND(Bills!#REF!,"AAAAADH7v7Y=")</f>
        <v>#REF!</v>
      </c>
      <c r="GB20" t="e">
        <f>AND(Bills!#REF!,"AAAAADH7v7c=")</f>
        <v>#REF!</v>
      </c>
      <c r="GC20" t="e">
        <f>AND(Bills!#REF!,"AAAAADH7v7g=")</f>
        <v>#REF!</v>
      </c>
      <c r="GD20" t="e">
        <f>AND(Bills!#REF!,"AAAAADH7v7k=")</f>
        <v>#REF!</v>
      </c>
      <c r="GE20" t="e">
        <f>AND(Bills!#REF!,"AAAAADH7v7o=")</f>
        <v>#REF!</v>
      </c>
      <c r="GF20" t="e">
        <f>AND(Bills!#REF!,"AAAAADH7v7s=")</f>
        <v>#REF!</v>
      </c>
      <c r="GG20" t="e">
        <f>AND(Bills!#REF!,"AAAAADH7v7w=")</f>
        <v>#REF!</v>
      </c>
      <c r="GH20" t="e">
        <f>AND(Bills!#REF!,"AAAAADH7v70=")</f>
        <v>#REF!</v>
      </c>
      <c r="GI20" t="e">
        <f>AND(Bills!#REF!,"AAAAADH7v74=")</f>
        <v>#REF!</v>
      </c>
      <c r="GJ20" t="e">
        <f>AND(Bills!#REF!,"AAAAADH7v78=")</f>
        <v>#REF!</v>
      </c>
      <c r="GK20" t="e">
        <f>AND(Bills!#REF!,"AAAAADH7v8A=")</f>
        <v>#REF!</v>
      </c>
      <c r="GL20" t="e">
        <f>AND(Bills!#REF!,"AAAAADH7v8E=")</f>
        <v>#REF!</v>
      </c>
      <c r="GM20" t="e">
        <f>AND(Bills!#REF!,"AAAAADH7v8I=")</f>
        <v>#REF!</v>
      </c>
      <c r="GN20" t="e">
        <f>AND(Bills!#REF!,"AAAAADH7v8M=")</f>
        <v>#REF!</v>
      </c>
      <c r="GO20" t="e">
        <f>AND(Bills!#REF!,"AAAAADH7v8Q=")</f>
        <v>#REF!</v>
      </c>
      <c r="GP20" t="e">
        <f>AND(Bills!#REF!,"AAAAADH7v8U=")</f>
        <v>#REF!</v>
      </c>
      <c r="GQ20" t="e">
        <f>AND(Bills!#REF!,"AAAAADH7v8Y=")</f>
        <v>#REF!</v>
      </c>
      <c r="GR20" t="e">
        <f>AND(Bills!#REF!,"AAAAADH7v8c=")</f>
        <v>#REF!</v>
      </c>
      <c r="GS20" t="e">
        <f>AND(Bills!#REF!,"AAAAADH7v8g=")</f>
        <v>#REF!</v>
      </c>
      <c r="GT20" t="e">
        <f>AND(Bills!#REF!,"AAAAADH7v8k=")</f>
        <v>#REF!</v>
      </c>
      <c r="GU20" t="e">
        <f>AND(Bills!#REF!,"AAAAADH7v8o=")</f>
        <v>#REF!</v>
      </c>
      <c r="GV20" t="e">
        <f>AND(Bills!#REF!,"AAAAADH7v8s=")</f>
        <v>#REF!</v>
      </c>
      <c r="GW20" t="e">
        <f>AND(Bills!#REF!,"AAAAADH7v8w=")</f>
        <v>#REF!</v>
      </c>
      <c r="GX20" t="e">
        <f>AND(Bills!#REF!,"AAAAADH7v80=")</f>
        <v>#REF!</v>
      </c>
      <c r="GY20" t="e">
        <f>AND(Bills!#REF!,"AAAAADH7v84=")</f>
        <v>#REF!</v>
      </c>
      <c r="GZ20" t="e">
        <f>AND(Bills!#REF!,"AAAAADH7v88=")</f>
        <v>#REF!</v>
      </c>
      <c r="HA20" t="e">
        <f>AND(Bills!#REF!,"AAAAADH7v9A=")</f>
        <v>#REF!</v>
      </c>
      <c r="HB20" t="e">
        <f>AND(Bills!#REF!,"AAAAADH7v9E=")</f>
        <v>#REF!</v>
      </c>
      <c r="HC20" t="e">
        <f>AND(Bills!#REF!,"AAAAADH7v9I=")</f>
        <v>#REF!</v>
      </c>
      <c r="HD20" t="e">
        <f>AND(Bills!#REF!,"AAAAADH7v9M=")</f>
        <v>#REF!</v>
      </c>
      <c r="HE20" t="e">
        <f>AND(Bills!#REF!,"AAAAADH7v9Q=")</f>
        <v>#REF!</v>
      </c>
      <c r="HF20" t="e">
        <f>AND(Bills!#REF!,"AAAAADH7v9U=")</f>
        <v>#REF!</v>
      </c>
      <c r="HG20" t="e">
        <f>AND(Bills!#REF!,"AAAAADH7v9Y=")</f>
        <v>#REF!</v>
      </c>
      <c r="HH20" t="e">
        <f>AND(Bills!#REF!,"AAAAADH7v9c=")</f>
        <v>#REF!</v>
      </c>
      <c r="HI20" t="e">
        <f>AND(Bills!#REF!,"AAAAADH7v9g=")</f>
        <v>#REF!</v>
      </c>
      <c r="HJ20" t="e">
        <f>AND(Bills!#REF!,"AAAAADH7v9k=")</f>
        <v>#REF!</v>
      </c>
      <c r="HK20" t="e">
        <f>AND(Bills!#REF!,"AAAAADH7v9o=")</f>
        <v>#REF!</v>
      </c>
      <c r="HL20" t="e">
        <f>AND(Bills!#REF!,"AAAAADH7v9s=")</f>
        <v>#REF!</v>
      </c>
      <c r="HM20" t="e">
        <f>AND(Bills!#REF!,"AAAAADH7v9w=")</f>
        <v>#REF!</v>
      </c>
      <c r="HN20" t="e">
        <f>AND(Bills!#REF!,"AAAAADH7v90=")</f>
        <v>#REF!</v>
      </c>
      <c r="HO20" t="e">
        <f>AND(Bills!#REF!,"AAAAADH7v94=")</f>
        <v>#REF!</v>
      </c>
      <c r="HP20" t="e">
        <f>AND(Bills!#REF!,"AAAAADH7v98=")</f>
        <v>#REF!</v>
      </c>
      <c r="HQ20" t="e">
        <f>IF(Bills!#REF!,"AAAAADH7v+A=",0)</f>
        <v>#REF!</v>
      </c>
      <c r="HR20" t="e">
        <f>AND(Bills!#REF!,"AAAAADH7v+E=")</f>
        <v>#REF!</v>
      </c>
      <c r="HS20" t="e">
        <f>AND(Bills!#REF!,"AAAAADH7v+I=")</f>
        <v>#REF!</v>
      </c>
      <c r="HT20" t="e">
        <f>AND(Bills!#REF!,"AAAAADH7v+M=")</f>
        <v>#REF!</v>
      </c>
      <c r="HU20" t="e">
        <f>AND(Bills!#REF!,"AAAAADH7v+Q=")</f>
        <v>#REF!</v>
      </c>
      <c r="HV20" t="e">
        <f>AND(Bills!#REF!,"AAAAADH7v+U=")</f>
        <v>#REF!</v>
      </c>
      <c r="HW20" t="e">
        <f>AND(Bills!#REF!,"AAAAADH7v+Y=")</f>
        <v>#REF!</v>
      </c>
      <c r="HX20" t="e">
        <f>AND(Bills!#REF!,"AAAAADH7v+c=")</f>
        <v>#REF!</v>
      </c>
      <c r="HY20" t="e">
        <f>AND(Bills!#REF!,"AAAAADH7v+g=")</f>
        <v>#REF!</v>
      </c>
      <c r="HZ20" t="e">
        <f>AND(Bills!#REF!,"AAAAADH7v+k=")</f>
        <v>#REF!</v>
      </c>
      <c r="IA20" t="e">
        <f>AND(Bills!#REF!,"AAAAADH7v+o=")</f>
        <v>#REF!</v>
      </c>
      <c r="IB20" t="e">
        <f>AND(Bills!#REF!,"AAAAADH7v+s=")</f>
        <v>#REF!</v>
      </c>
      <c r="IC20" t="e">
        <f>AND(Bills!#REF!,"AAAAADH7v+w=")</f>
        <v>#REF!</v>
      </c>
      <c r="ID20" t="e">
        <f>AND(Bills!#REF!,"AAAAADH7v+0=")</f>
        <v>#REF!</v>
      </c>
      <c r="IE20" t="e">
        <f>AND(Bills!#REF!,"AAAAADH7v+4=")</f>
        <v>#REF!</v>
      </c>
      <c r="IF20" t="e">
        <f>AND(Bills!#REF!,"AAAAADH7v+8=")</f>
        <v>#REF!</v>
      </c>
      <c r="IG20" t="e">
        <f>AND(Bills!#REF!,"AAAAADH7v/A=")</f>
        <v>#REF!</v>
      </c>
      <c r="IH20" t="e">
        <f>AND(Bills!#REF!,"AAAAADH7v/E=")</f>
        <v>#REF!</v>
      </c>
      <c r="II20" t="e">
        <f>AND(Bills!#REF!,"AAAAADH7v/I=")</f>
        <v>#REF!</v>
      </c>
      <c r="IJ20" t="e">
        <f>AND(Bills!#REF!,"AAAAADH7v/M=")</f>
        <v>#REF!</v>
      </c>
      <c r="IK20" t="e">
        <f>AND(Bills!#REF!,"AAAAADH7v/Q=")</f>
        <v>#REF!</v>
      </c>
      <c r="IL20" t="e">
        <f>AND(Bills!#REF!,"AAAAADH7v/U=")</f>
        <v>#REF!</v>
      </c>
      <c r="IM20" t="e">
        <f>AND(Bills!#REF!,"AAAAADH7v/Y=")</f>
        <v>#REF!</v>
      </c>
      <c r="IN20" t="e">
        <f>AND(Bills!#REF!,"AAAAADH7v/c=")</f>
        <v>#REF!</v>
      </c>
      <c r="IO20" t="e">
        <f>AND(Bills!#REF!,"AAAAADH7v/g=")</f>
        <v>#REF!</v>
      </c>
      <c r="IP20" t="e">
        <f>AND(Bills!#REF!,"AAAAADH7v/k=")</f>
        <v>#REF!</v>
      </c>
      <c r="IQ20" t="e">
        <f>AND(Bills!#REF!,"AAAAADH7v/o=")</f>
        <v>#REF!</v>
      </c>
      <c r="IR20" t="e">
        <f>AND(Bills!#REF!,"AAAAADH7v/s=")</f>
        <v>#REF!</v>
      </c>
      <c r="IS20" t="e">
        <f>AND(Bills!#REF!,"AAAAADH7v/w=")</f>
        <v>#REF!</v>
      </c>
      <c r="IT20" t="e">
        <f>AND(Bills!#REF!,"AAAAADH7v/0=")</f>
        <v>#REF!</v>
      </c>
      <c r="IU20" t="e">
        <f>AND(Bills!#REF!,"AAAAADH7v/4=")</f>
        <v>#REF!</v>
      </c>
      <c r="IV20" t="e">
        <f>AND(Bills!#REF!,"AAAAADH7v/8=")</f>
        <v>#REF!</v>
      </c>
    </row>
    <row r="21" spans="1:256" x14ac:dyDescent="0.25">
      <c r="A21" t="e">
        <f>AND(Bills!#REF!,"AAAAAD7+bAA=")</f>
        <v>#REF!</v>
      </c>
      <c r="B21" t="e">
        <f>AND(Bills!#REF!,"AAAAAD7+bAE=")</f>
        <v>#REF!</v>
      </c>
      <c r="C21" t="e">
        <f>AND(Bills!#REF!,"AAAAAD7+bAI=")</f>
        <v>#REF!</v>
      </c>
      <c r="D21" t="e">
        <f>AND(Bills!#REF!,"AAAAAD7+bAM=")</f>
        <v>#REF!</v>
      </c>
      <c r="E21" t="e">
        <f>AND(Bills!#REF!,"AAAAAD7+bAQ=")</f>
        <v>#REF!</v>
      </c>
      <c r="F21" t="e">
        <f>AND(Bills!#REF!,"AAAAAD7+bAU=")</f>
        <v>#REF!</v>
      </c>
      <c r="G21" t="e">
        <f>AND(Bills!#REF!,"AAAAAD7+bAY=")</f>
        <v>#REF!</v>
      </c>
      <c r="H21" t="e">
        <f>AND(Bills!#REF!,"AAAAAD7+bAc=")</f>
        <v>#REF!</v>
      </c>
      <c r="I21" t="e">
        <f>AND(Bills!#REF!,"AAAAAD7+bAg=")</f>
        <v>#REF!</v>
      </c>
      <c r="J21" t="e">
        <f>AND(Bills!#REF!,"AAAAAD7+bAk=")</f>
        <v>#REF!</v>
      </c>
      <c r="K21" t="e">
        <f>AND(Bills!#REF!,"AAAAAD7+bAo=")</f>
        <v>#REF!</v>
      </c>
      <c r="L21" t="e">
        <f>AND(Bills!#REF!,"AAAAAD7+bAs=")</f>
        <v>#REF!</v>
      </c>
      <c r="M21" t="e">
        <f>AND(Bills!#REF!,"AAAAAD7+bAw=")</f>
        <v>#REF!</v>
      </c>
      <c r="N21" t="e">
        <f>AND(Bills!#REF!,"AAAAAD7+bA0=")</f>
        <v>#REF!</v>
      </c>
      <c r="O21" t="e">
        <f>AND(Bills!#REF!,"AAAAAD7+bA4=")</f>
        <v>#REF!</v>
      </c>
      <c r="P21" t="e">
        <f>AND(Bills!#REF!,"AAAAAD7+bA8=")</f>
        <v>#REF!</v>
      </c>
      <c r="Q21" t="e">
        <f>AND(Bills!#REF!,"AAAAAD7+bBA=")</f>
        <v>#REF!</v>
      </c>
      <c r="R21" t="e">
        <f>AND(Bills!#REF!,"AAAAAD7+bBE=")</f>
        <v>#REF!</v>
      </c>
      <c r="S21" t="e">
        <f>AND(Bills!#REF!,"AAAAAD7+bBI=")</f>
        <v>#REF!</v>
      </c>
      <c r="T21" t="e">
        <f>IF(Bills!#REF!,"AAAAAD7+bBM=",0)</f>
        <v>#REF!</v>
      </c>
      <c r="U21" t="e">
        <f>AND(Bills!#REF!,"AAAAAD7+bBQ=")</f>
        <v>#REF!</v>
      </c>
      <c r="V21" t="e">
        <f>AND(Bills!#REF!,"AAAAAD7+bBU=")</f>
        <v>#REF!</v>
      </c>
      <c r="W21" t="e">
        <f>AND(Bills!#REF!,"AAAAAD7+bBY=")</f>
        <v>#REF!</v>
      </c>
      <c r="X21" t="e">
        <f>AND(Bills!#REF!,"AAAAAD7+bBc=")</f>
        <v>#REF!</v>
      </c>
      <c r="Y21" t="e">
        <f>AND(Bills!#REF!,"AAAAAD7+bBg=")</f>
        <v>#REF!</v>
      </c>
      <c r="Z21" t="e">
        <f>AND(Bills!#REF!,"AAAAAD7+bBk=")</f>
        <v>#REF!</v>
      </c>
      <c r="AA21" t="e">
        <f>AND(Bills!#REF!,"AAAAAD7+bBo=")</f>
        <v>#REF!</v>
      </c>
      <c r="AB21" t="e">
        <f>AND(Bills!#REF!,"AAAAAD7+bBs=")</f>
        <v>#REF!</v>
      </c>
      <c r="AC21" t="e">
        <f>AND(Bills!#REF!,"AAAAAD7+bBw=")</f>
        <v>#REF!</v>
      </c>
      <c r="AD21" t="e">
        <f>AND(Bills!#REF!,"AAAAAD7+bB0=")</f>
        <v>#REF!</v>
      </c>
      <c r="AE21" t="e">
        <f>AND(Bills!#REF!,"AAAAAD7+bB4=")</f>
        <v>#REF!</v>
      </c>
      <c r="AF21" t="e">
        <f>AND(Bills!#REF!,"AAAAAD7+bB8=")</f>
        <v>#REF!</v>
      </c>
      <c r="AG21" t="e">
        <f>AND(Bills!#REF!,"AAAAAD7+bCA=")</f>
        <v>#REF!</v>
      </c>
      <c r="AH21" t="e">
        <f>AND(Bills!#REF!,"AAAAAD7+bCE=")</f>
        <v>#REF!</v>
      </c>
      <c r="AI21" t="e">
        <f>AND(Bills!#REF!,"AAAAAD7+bCI=")</f>
        <v>#REF!</v>
      </c>
      <c r="AJ21" t="e">
        <f>AND(Bills!#REF!,"AAAAAD7+bCM=")</f>
        <v>#REF!</v>
      </c>
      <c r="AK21" t="e">
        <f>AND(Bills!#REF!,"AAAAAD7+bCQ=")</f>
        <v>#REF!</v>
      </c>
      <c r="AL21" t="e">
        <f>AND(Bills!#REF!,"AAAAAD7+bCU=")</f>
        <v>#REF!</v>
      </c>
      <c r="AM21" t="e">
        <f>AND(Bills!#REF!,"AAAAAD7+bCY=")</f>
        <v>#REF!</v>
      </c>
      <c r="AN21" t="e">
        <f>AND(Bills!#REF!,"AAAAAD7+bCc=")</f>
        <v>#REF!</v>
      </c>
      <c r="AO21" t="e">
        <f>AND(Bills!#REF!,"AAAAAD7+bCg=")</f>
        <v>#REF!</v>
      </c>
      <c r="AP21" t="e">
        <f>AND(Bills!#REF!,"AAAAAD7+bCk=")</f>
        <v>#REF!</v>
      </c>
      <c r="AQ21" t="e">
        <f>AND(Bills!#REF!,"AAAAAD7+bCo=")</f>
        <v>#REF!</v>
      </c>
      <c r="AR21" t="e">
        <f>AND(Bills!#REF!,"AAAAAD7+bCs=")</f>
        <v>#REF!</v>
      </c>
      <c r="AS21" t="e">
        <f>AND(Bills!#REF!,"AAAAAD7+bCw=")</f>
        <v>#REF!</v>
      </c>
      <c r="AT21" t="e">
        <f>AND(Bills!#REF!,"AAAAAD7+bC0=")</f>
        <v>#REF!</v>
      </c>
      <c r="AU21" t="e">
        <f>AND(Bills!#REF!,"AAAAAD7+bC4=")</f>
        <v>#REF!</v>
      </c>
      <c r="AV21" t="e">
        <f>AND(Bills!#REF!,"AAAAAD7+bC8=")</f>
        <v>#REF!</v>
      </c>
      <c r="AW21" t="e">
        <f>AND(Bills!#REF!,"AAAAAD7+bDA=")</f>
        <v>#REF!</v>
      </c>
      <c r="AX21" t="e">
        <f>AND(Bills!#REF!,"AAAAAD7+bDE=")</f>
        <v>#REF!</v>
      </c>
      <c r="AY21" t="e">
        <f>AND(Bills!#REF!,"AAAAAD7+bDI=")</f>
        <v>#REF!</v>
      </c>
      <c r="AZ21" t="e">
        <f>AND(Bills!#REF!,"AAAAAD7+bDM=")</f>
        <v>#REF!</v>
      </c>
      <c r="BA21" t="e">
        <f>AND(Bills!#REF!,"AAAAAD7+bDQ=")</f>
        <v>#REF!</v>
      </c>
      <c r="BB21" t="e">
        <f>AND(Bills!#REF!,"AAAAAD7+bDU=")</f>
        <v>#REF!</v>
      </c>
      <c r="BC21" t="e">
        <f>AND(Bills!#REF!,"AAAAAD7+bDY=")</f>
        <v>#REF!</v>
      </c>
      <c r="BD21" t="e">
        <f>AND(Bills!#REF!,"AAAAAD7+bDc=")</f>
        <v>#REF!</v>
      </c>
      <c r="BE21" t="e">
        <f>AND(Bills!#REF!,"AAAAAD7+bDg=")</f>
        <v>#REF!</v>
      </c>
      <c r="BF21" t="e">
        <f>AND(Bills!#REF!,"AAAAAD7+bDk=")</f>
        <v>#REF!</v>
      </c>
      <c r="BG21" t="e">
        <f>AND(Bills!#REF!,"AAAAAD7+bDo=")</f>
        <v>#REF!</v>
      </c>
      <c r="BH21" t="e">
        <f>AND(Bills!#REF!,"AAAAAD7+bDs=")</f>
        <v>#REF!</v>
      </c>
      <c r="BI21" t="e">
        <f>AND(Bills!#REF!,"AAAAAD7+bDw=")</f>
        <v>#REF!</v>
      </c>
      <c r="BJ21" t="e">
        <f>AND(Bills!#REF!,"AAAAAD7+bD0=")</f>
        <v>#REF!</v>
      </c>
      <c r="BK21" t="e">
        <f>AND(Bills!#REF!,"AAAAAD7+bD4=")</f>
        <v>#REF!</v>
      </c>
      <c r="BL21" t="e">
        <f>AND(Bills!#REF!,"AAAAAD7+bD8=")</f>
        <v>#REF!</v>
      </c>
      <c r="BM21" t="e">
        <f>AND(Bills!#REF!,"AAAAAD7+bEA=")</f>
        <v>#REF!</v>
      </c>
      <c r="BN21" t="e">
        <f>AND(Bills!#REF!,"AAAAAD7+bEE=")</f>
        <v>#REF!</v>
      </c>
      <c r="BO21" t="e">
        <f>AND(Bills!#REF!,"AAAAAD7+bEI=")</f>
        <v>#REF!</v>
      </c>
      <c r="BP21" t="e">
        <f>AND(Bills!#REF!,"AAAAAD7+bEM=")</f>
        <v>#REF!</v>
      </c>
      <c r="BQ21" t="e">
        <f>AND(Bills!#REF!,"AAAAAD7+bEQ=")</f>
        <v>#REF!</v>
      </c>
      <c r="BR21" t="e">
        <f>AND(Bills!#REF!,"AAAAAD7+bEU=")</f>
        <v>#REF!</v>
      </c>
      <c r="BS21" t="e">
        <f>IF(Bills!#REF!,"AAAAAD7+bEY=",0)</f>
        <v>#REF!</v>
      </c>
      <c r="BT21" t="e">
        <f>AND(Bills!#REF!,"AAAAAD7+bEc=")</f>
        <v>#REF!</v>
      </c>
      <c r="BU21" t="e">
        <f>AND(Bills!#REF!,"AAAAAD7+bEg=")</f>
        <v>#REF!</v>
      </c>
      <c r="BV21" t="e">
        <f>AND(Bills!#REF!,"AAAAAD7+bEk=")</f>
        <v>#REF!</v>
      </c>
      <c r="BW21" t="e">
        <f>AND(Bills!#REF!,"AAAAAD7+bEo=")</f>
        <v>#REF!</v>
      </c>
      <c r="BX21" t="e">
        <f>AND(Bills!#REF!,"AAAAAD7+bEs=")</f>
        <v>#REF!</v>
      </c>
      <c r="BY21" t="e">
        <f>AND(Bills!#REF!,"AAAAAD7+bEw=")</f>
        <v>#REF!</v>
      </c>
      <c r="BZ21" t="e">
        <f>AND(Bills!#REF!,"AAAAAD7+bE0=")</f>
        <v>#REF!</v>
      </c>
      <c r="CA21" t="e">
        <f>AND(Bills!#REF!,"AAAAAD7+bE4=")</f>
        <v>#REF!</v>
      </c>
      <c r="CB21" t="e">
        <f>AND(Bills!#REF!,"AAAAAD7+bE8=")</f>
        <v>#REF!</v>
      </c>
      <c r="CC21" t="e">
        <f>AND(Bills!#REF!,"AAAAAD7+bFA=")</f>
        <v>#REF!</v>
      </c>
      <c r="CD21" t="e">
        <f>AND(Bills!#REF!,"AAAAAD7+bFE=")</f>
        <v>#REF!</v>
      </c>
      <c r="CE21" t="e">
        <f>AND(Bills!#REF!,"AAAAAD7+bFI=")</f>
        <v>#REF!</v>
      </c>
      <c r="CF21" t="e">
        <f>AND(Bills!#REF!,"AAAAAD7+bFM=")</f>
        <v>#REF!</v>
      </c>
      <c r="CG21" t="e">
        <f>AND(Bills!#REF!,"AAAAAD7+bFQ=")</f>
        <v>#REF!</v>
      </c>
      <c r="CH21" t="e">
        <f>AND(Bills!#REF!,"AAAAAD7+bFU=")</f>
        <v>#REF!</v>
      </c>
      <c r="CI21" t="e">
        <f>AND(Bills!#REF!,"AAAAAD7+bFY=")</f>
        <v>#REF!</v>
      </c>
      <c r="CJ21" t="e">
        <f>AND(Bills!#REF!,"AAAAAD7+bFc=")</f>
        <v>#REF!</v>
      </c>
      <c r="CK21" t="e">
        <f>AND(Bills!#REF!,"AAAAAD7+bFg=")</f>
        <v>#REF!</v>
      </c>
      <c r="CL21" t="e">
        <f>AND(Bills!#REF!,"AAAAAD7+bFk=")</f>
        <v>#REF!</v>
      </c>
      <c r="CM21" t="e">
        <f>AND(Bills!#REF!,"AAAAAD7+bFo=")</f>
        <v>#REF!</v>
      </c>
      <c r="CN21" t="e">
        <f>AND(Bills!#REF!,"AAAAAD7+bFs=")</f>
        <v>#REF!</v>
      </c>
      <c r="CO21" t="e">
        <f>AND(Bills!#REF!,"AAAAAD7+bFw=")</f>
        <v>#REF!</v>
      </c>
      <c r="CP21" t="e">
        <f>AND(Bills!#REF!,"AAAAAD7+bF0=")</f>
        <v>#REF!</v>
      </c>
      <c r="CQ21" t="e">
        <f>AND(Bills!#REF!,"AAAAAD7+bF4=")</f>
        <v>#REF!</v>
      </c>
      <c r="CR21" t="e">
        <f>AND(Bills!#REF!,"AAAAAD7+bF8=")</f>
        <v>#REF!</v>
      </c>
      <c r="CS21" t="e">
        <f>AND(Bills!#REF!,"AAAAAD7+bGA=")</f>
        <v>#REF!</v>
      </c>
      <c r="CT21" t="e">
        <f>AND(Bills!#REF!,"AAAAAD7+bGE=")</f>
        <v>#REF!</v>
      </c>
      <c r="CU21" t="e">
        <f>AND(Bills!#REF!,"AAAAAD7+bGI=")</f>
        <v>#REF!</v>
      </c>
      <c r="CV21" t="e">
        <f>AND(Bills!#REF!,"AAAAAD7+bGM=")</f>
        <v>#REF!</v>
      </c>
      <c r="CW21" t="e">
        <f>AND(Bills!#REF!,"AAAAAD7+bGQ=")</f>
        <v>#REF!</v>
      </c>
      <c r="CX21" t="e">
        <f>AND(Bills!#REF!,"AAAAAD7+bGU=")</f>
        <v>#REF!</v>
      </c>
      <c r="CY21" t="e">
        <f>AND(Bills!#REF!,"AAAAAD7+bGY=")</f>
        <v>#REF!</v>
      </c>
      <c r="CZ21" t="e">
        <f>AND(Bills!#REF!,"AAAAAD7+bGc=")</f>
        <v>#REF!</v>
      </c>
      <c r="DA21" t="e">
        <f>AND(Bills!#REF!,"AAAAAD7+bGg=")</f>
        <v>#REF!</v>
      </c>
      <c r="DB21" t="e">
        <f>AND(Bills!#REF!,"AAAAAD7+bGk=")</f>
        <v>#REF!</v>
      </c>
      <c r="DC21" t="e">
        <f>AND(Bills!#REF!,"AAAAAD7+bGo=")</f>
        <v>#REF!</v>
      </c>
      <c r="DD21" t="e">
        <f>AND(Bills!#REF!,"AAAAAD7+bGs=")</f>
        <v>#REF!</v>
      </c>
      <c r="DE21" t="e">
        <f>AND(Bills!#REF!,"AAAAAD7+bGw=")</f>
        <v>#REF!</v>
      </c>
      <c r="DF21" t="e">
        <f>AND(Bills!#REF!,"AAAAAD7+bG0=")</f>
        <v>#REF!</v>
      </c>
      <c r="DG21" t="e">
        <f>AND(Bills!#REF!,"AAAAAD7+bG4=")</f>
        <v>#REF!</v>
      </c>
      <c r="DH21" t="e">
        <f>AND(Bills!#REF!,"AAAAAD7+bG8=")</f>
        <v>#REF!</v>
      </c>
      <c r="DI21" t="e">
        <f>AND(Bills!#REF!,"AAAAAD7+bHA=")</f>
        <v>#REF!</v>
      </c>
      <c r="DJ21" t="e">
        <f>AND(Bills!#REF!,"AAAAAD7+bHE=")</f>
        <v>#REF!</v>
      </c>
      <c r="DK21" t="e">
        <f>AND(Bills!#REF!,"AAAAAD7+bHI=")</f>
        <v>#REF!</v>
      </c>
      <c r="DL21" t="e">
        <f>AND(Bills!#REF!,"AAAAAD7+bHM=")</f>
        <v>#REF!</v>
      </c>
      <c r="DM21" t="e">
        <f>AND(Bills!#REF!,"AAAAAD7+bHQ=")</f>
        <v>#REF!</v>
      </c>
      <c r="DN21" t="e">
        <f>AND(Bills!#REF!,"AAAAAD7+bHU=")</f>
        <v>#REF!</v>
      </c>
      <c r="DO21" t="e">
        <f>AND(Bills!#REF!,"AAAAAD7+bHY=")</f>
        <v>#REF!</v>
      </c>
      <c r="DP21" t="e">
        <f>AND(Bills!#REF!,"AAAAAD7+bHc=")</f>
        <v>#REF!</v>
      </c>
      <c r="DQ21" t="e">
        <f>AND(Bills!#REF!,"AAAAAD7+bHg=")</f>
        <v>#REF!</v>
      </c>
      <c r="DR21" t="e">
        <f>IF(Bills!#REF!,"AAAAAD7+bHk=",0)</f>
        <v>#REF!</v>
      </c>
      <c r="DS21" t="e">
        <f>AND(Bills!#REF!,"AAAAAD7+bHo=")</f>
        <v>#REF!</v>
      </c>
      <c r="DT21" t="e">
        <f>AND(Bills!#REF!,"AAAAAD7+bHs=")</f>
        <v>#REF!</v>
      </c>
      <c r="DU21" t="e">
        <f>AND(Bills!#REF!,"AAAAAD7+bHw=")</f>
        <v>#REF!</v>
      </c>
      <c r="DV21" t="e">
        <f>AND(Bills!#REF!,"AAAAAD7+bH0=")</f>
        <v>#REF!</v>
      </c>
      <c r="DW21" t="e">
        <f>AND(Bills!#REF!,"AAAAAD7+bH4=")</f>
        <v>#REF!</v>
      </c>
      <c r="DX21" t="e">
        <f>AND(Bills!#REF!,"AAAAAD7+bH8=")</f>
        <v>#REF!</v>
      </c>
      <c r="DY21" t="e">
        <f>AND(Bills!#REF!,"AAAAAD7+bIA=")</f>
        <v>#REF!</v>
      </c>
      <c r="DZ21" t="e">
        <f>AND(Bills!#REF!,"AAAAAD7+bIE=")</f>
        <v>#REF!</v>
      </c>
      <c r="EA21" t="e">
        <f>AND(Bills!#REF!,"AAAAAD7+bII=")</f>
        <v>#REF!</v>
      </c>
      <c r="EB21" t="e">
        <f>AND(Bills!#REF!,"AAAAAD7+bIM=")</f>
        <v>#REF!</v>
      </c>
      <c r="EC21" t="e">
        <f>AND(Bills!#REF!,"AAAAAD7+bIQ=")</f>
        <v>#REF!</v>
      </c>
      <c r="ED21" t="e">
        <f>AND(Bills!#REF!,"AAAAAD7+bIU=")</f>
        <v>#REF!</v>
      </c>
      <c r="EE21" t="e">
        <f>AND(Bills!#REF!,"AAAAAD7+bIY=")</f>
        <v>#REF!</v>
      </c>
      <c r="EF21" t="e">
        <f>AND(Bills!#REF!,"AAAAAD7+bIc=")</f>
        <v>#REF!</v>
      </c>
      <c r="EG21" t="e">
        <f>AND(Bills!#REF!,"AAAAAD7+bIg=")</f>
        <v>#REF!</v>
      </c>
      <c r="EH21" t="e">
        <f>AND(Bills!#REF!,"AAAAAD7+bIk=")</f>
        <v>#REF!</v>
      </c>
      <c r="EI21" t="e">
        <f>AND(Bills!#REF!,"AAAAAD7+bIo=")</f>
        <v>#REF!</v>
      </c>
      <c r="EJ21" t="e">
        <f>AND(Bills!#REF!,"AAAAAD7+bIs=")</f>
        <v>#REF!</v>
      </c>
      <c r="EK21" t="e">
        <f>AND(Bills!#REF!,"AAAAAD7+bIw=")</f>
        <v>#REF!</v>
      </c>
      <c r="EL21" t="e">
        <f>AND(Bills!#REF!,"AAAAAD7+bI0=")</f>
        <v>#REF!</v>
      </c>
      <c r="EM21" t="e">
        <f>AND(Bills!#REF!,"AAAAAD7+bI4=")</f>
        <v>#REF!</v>
      </c>
      <c r="EN21" t="e">
        <f>AND(Bills!#REF!,"AAAAAD7+bI8=")</f>
        <v>#REF!</v>
      </c>
      <c r="EO21" t="e">
        <f>AND(Bills!#REF!,"AAAAAD7+bJA=")</f>
        <v>#REF!</v>
      </c>
      <c r="EP21" t="e">
        <f>AND(Bills!#REF!,"AAAAAD7+bJE=")</f>
        <v>#REF!</v>
      </c>
      <c r="EQ21" t="e">
        <f>AND(Bills!#REF!,"AAAAAD7+bJI=")</f>
        <v>#REF!</v>
      </c>
      <c r="ER21" t="e">
        <f>AND(Bills!#REF!,"AAAAAD7+bJM=")</f>
        <v>#REF!</v>
      </c>
      <c r="ES21" t="e">
        <f>AND(Bills!#REF!,"AAAAAD7+bJQ=")</f>
        <v>#REF!</v>
      </c>
      <c r="ET21" t="e">
        <f>AND(Bills!#REF!,"AAAAAD7+bJU=")</f>
        <v>#REF!</v>
      </c>
      <c r="EU21" t="e">
        <f>AND(Bills!#REF!,"AAAAAD7+bJY=")</f>
        <v>#REF!</v>
      </c>
      <c r="EV21" t="e">
        <f>AND(Bills!#REF!,"AAAAAD7+bJc=")</f>
        <v>#REF!</v>
      </c>
      <c r="EW21" t="e">
        <f>AND(Bills!#REF!,"AAAAAD7+bJg=")</f>
        <v>#REF!</v>
      </c>
      <c r="EX21" t="e">
        <f>AND(Bills!#REF!,"AAAAAD7+bJk=")</f>
        <v>#REF!</v>
      </c>
      <c r="EY21" t="e">
        <f>AND(Bills!#REF!,"AAAAAD7+bJo=")</f>
        <v>#REF!</v>
      </c>
      <c r="EZ21" t="e">
        <f>AND(Bills!#REF!,"AAAAAD7+bJs=")</f>
        <v>#REF!</v>
      </c>
      <c r="FA21" t="e">
        <f>AND(Bills!#REF!,"AAAAAD7+bJw=")</f>
        <v>#REF!</v>
      </c>
      <c r="FB21" t="e">
        <f>AND(Bills!#REF!,"AAAAAD7+bJ0=")</f>
        <v>#REF!</v>
      </c>
      <c r="FC21" t="e">
        <f>AND(Bills!#REF!,"AAAAAD7+bJ4=")</f>
        <v>#REF!</v>
      </c>
      <c r="FD21" t="e">
        <f>AND(Bills!#REF!,"AAAAAD7+bJ8=")</f>
        <v>#REF!</v>
      </c>
      <c r="FE21" t="e">
        <f>AND(Bills!#REF!,"AAAAAD7+bKA=")</f>
        <v>#REF!</v>
      </c>
      <c r="FF21" t="e">
        <f>AND(Bills!#REF!,"AAAAAD7+bKE=")</f>
        <v>#REF!</v>
      </c>
      <c r="FG21" t="e">
        <f>AND(Bills!#REF!,"AAAAAD7+bKI=")</f>
        <v>#REF!</v>
      </c>
      <c r="FH21" t="e">
        <f>AND(Bills!#REF!,"AAAAAD7+bKM=")</f>
        <v>#REF!</v>
      </c>
      <c r="FI21" t="e">
        <f>AND(Bills!#REF!,"AAAAAD7+bKQ=")</f>
        <v>#REF!</v>
      </c>
      <c r="FJ21" t="e">
        <f>AND(Bills!#REF!,"AAAAAD7+bKU=")</f>
        <v>#REF!</v>
      </c>
      <c r="FK21" t="e">
        <f>AND(Bills!#REF!,"AAAAAD7+bKY=")</f>
        <v>#REF!</v>
      </c>
      <c r="FL21" t="e">
        <f>AND(Bills!#REF!,"AAAAAD7+bKc=")</f>
        <v>#REF!</v>
      </c>
      <c r="FM21" t="e">
        <f>AND(Bills!#REF!,"AAAAAD7+bKg=")</f>
        <v>#REF!</v>
      </c>
      <c r="FN21" t="e">
        <f>AND(Bills!#REF!,"AAAAAD7+bKk=")</f>
        <v>#REF!</v>
      </c>
      <c r="FO21" t="e">
        <f>AND(Bills!#REF!,"AAAAAD7+bKo=")</f>
        <v>#REF!</v>
      </c>
      <c r="FP21" t="e">
        <f>AND(Bills!#REF!,"AAAAAD7+bKs=")</f>
        <v>#REF!</v>
      </c>
      <c r="FQ21" t="e">
        <f>IF(Bills!#REF!,"AAAAAD7+bKw=",0)</f>
        <v>#REF!</v>
      </c>
      <c r="FR21" t="e">
        <f>AND(Bills!#REF!,"AAAAAD7+bK0=")</f>
        <v>#REF!</v>
      </c>
      <c r="FS21" t="e">
        <f>AND(Bills!#REF!,"AAAAAD7+bK4=")</f>
        <v>#REF!</v>
      </c>
      <c r="FT21" t="e">
        <f>AND(Bills!#REF!,"AAAAAD7+bK8=")</f>
        <v>#REF!</v>
      </c>
      <c r="FU21" t="e">
        <f>AND(Bills!#REF!,"AAAAAD7+bLA=")</f>
        <v>#REF!</v>
      </c>
      <c r="FV21" t="e">
        <f>AND(Bills!#REF!,"AAAAAD7+bLE=")</f>
        <v>#REF!</v>
      </c>
      <c r="FW21" t="e">
        <f>AND(Bills!#REF!,"AAAAAD7+bLI=")</f>
        <v>#REF!</v>
      </c>
      <c r="FX21" t="e">
        <f>AND(Bills!#REF!,"AAAAAD7+bLM=")</f>
        <v>#REF!</v>
      </c>
      <c r="FY21" t="e">
        <f>AND(Bills!#REF!,"AAAAAD7+bLQ=")</f>
        <v>#REF!</v>
      </c>
      <c r="FZ21" t="e">
        <f>AND(Bills!#REF!,"AAAAAD7+bLU=")</f>
        <v>#REF!</v>
      </c>
      <c r="GA21" t="e">
        <f>AND(Bills!#REF!,"AAAAAD7+bLY=")</f>
        <v>#REF!</v>
      </c>
      <c r="GB21" t="e">
        <f>AND(Bills!#REF!,"AAAAAD7+bLc=")</f>
        <v>#REF!</v>
      </c>
      <c r="GC21" t="e">
        <f>AND(Bills!#REF!,"AAAAAD7+bLg=")</f>
        <v>#REF!</v>
      </c>
      <c r="GD21" t="e">
        <f>AND(Bills!#REF!,"AAAAAD7+bLk=")</f>
        <v>#REF!</v>
      </c>
      <c r="GE21" t="e">
        <f>AND(Bills!#REF!,"AAAAAD7+bLo=")</f>
        <v>#REF!</v>
      </c>
      <c r="GF21" t="e">
        <f>AND(Bills!#REF!,"AAAAAD7+bLs=")</f>
        <v>#REF!</v>
      </c>
      <c r="GG21" t="e">
        <f>AND(Bills!#REF!,"AAAAAD7+bLw=")</f>
        <v>#REF!</v>
      </c>
      <c r="GH21" t="e">
        <f>AND(Bills!#REF!,"AAAAAD7+bL0=")</f>
        <v>#REF!</v>
      </c>
      <c r="GI21" t="e">
        <f>AND(Bills!#REF!,"AAAAAD7+bL4=")</f>
        <v>#REF!</v>
      </c>
      <c r="GJ21" t="e">
        <f>AND(Bills!#REF!,"AAAAAD7+bL8=")</f>
        <v>#REF!</v>
      </c>
      <c r="GK21" t="e">
        <f>AND(Bills!#REF!,"AAAAAD7+bMA=")</f>
        <v>#REF!</v>
      </c>
      <c r="GL21" t="e">
        <f>AND(Bills!#REF!,"AAAAAD7+bME=")</f>
        <v>#REF!</v>
      </c>
      <c r="GM21" t="e">
        <f>AND(Bills!#REF!,"AAAAAD7+bMI=")</f>
        <v>#REF!</v>
      </c>
      <c r="GN21" t="e">
        <f>AND(Bills!#REF!,"AAAAAD7+bMM=")</f>
        <v>#REF!</v>
      </c>
      <c r="GO21" t="e">
        <f>AND(Bills!#REF!,"AAAAAD7+bMQ=")</f>
        <v>#REF!</v>
      </c>
      <c r="GP21" t="e">
        <f>AND(Bills!#REF!,"AAAAAD7+bMU=")</f>
        <v>#REF!</v>
      </c>
      <c r="GQ21" t="e">
        <f>AND(Bills!#REF!,"AAAAAD7+bMY=")</f>
        <v>#REF!</v>
      </c>
      <c r="GR21" t="e">
        <f>AND(Bills!#REF!,"AAAAAD7+bMc=")</f>
        <v>#REF!</v>
      </c>
      <c r="GS21" t="e">
        <f>AND(Bills!#REF!,"AAAAAD7+bMg=")</f>
        <v>#REF!</v>
      </c>
      <c r="GT21" t="e">
        <f>AND(Bills!#REF!,"AAAAAD7+bMk=")</f>
        <v>#REF!</v>
      </c>
      <c r="GU21" t="e">
        <f>AND(Bills!#REF!,"AAAAAD7+bMo=")</f>
        <v>#REF!</v>
      </c>
      <c r="GV21" t="e">
        <f>AND(Bills!#REF!,"AAAAAD7+bMs=")</f>
        <v>#REF!</v>
      </c>
      <c r="GW21" t="e">
        <f>AND(Bills!#REF!,"AAAAAD7+bMw=")</f>
        <v>#REF!</v>
      </c>
      <c r="GX21" t="e">
        <f>AND(Bills!#REF!,"AAAAAD7+bM0=")</f>
        <v>#REF!</v>
      </c>
      <c r="GY21" t="e">
        <f>AND(Bills!#REF!,"AAAAAD7+bM4=")</f>
        <v>#REF!</v>
      </c>
      <c r="GZ21" t="e">
        <f>AND(Bills!#REF!,"AAAAAD7+bM8=")</f>
        <v>#REF!</v>
      </c>
      <c r="HA21" t="e">
        <f>AND(Bills!#REF!,"AAAAAD7+bNA=")</f>
        <v>#REF!</v>
      </c>
      <c r="HB21" t="e">
        <f>AND(Bills!#REF!,"AAAAAD7+bNE=")</f>
        <v>#REF!</v>
      </c>
      <c r="HC21" t="e">
        <f>AND(Bills!#REF!,"AAAAAD7+bNI=")</f>
        <v>#REF!</v>
      </c>
      <c r="HD21" t="e">
        <f>AND(Bills!#REF!,"AAAAAD7+bNM=")</f>
        <v>#REF!</v>
      </c>
      <c r="HE21" t="e">
        <f>AND(Bills!#REF!,"AAAAAD7+bNQ=")</f>
        <v>#REF!</v>
      </c>
      <c r="HF21" t="e">
        <f>AND(Bills!#REF!,"AAAAAD7+bNU=")</f>
        <v>#REF!</v>
      </c>
      <c r="HG21" t="e">
        <f>AND(Bills!#REF!,"AAAAAD7+bNY=")</f>
        <v>#REF!</v>
      </c>
      <c r="HH21" t="e">
        <f>AND(Bills!#REF!,"AAAAAD7+bNc=")</f>
        <v>#REF!</v>
      </c>
      <c r="HI21" t="e">
        <f>AND(Bills!#REF!,"AAAAAD7+bNg=")</f>
        <v>#REF!</v>
      </c>
      <c r="HJ21" t="e">
        <f>AND(Bills!#REF!,"AAAAAD7+bNk=")</f>
        <v>#REF!</v>
      </c>
      <c r="HK21" t="e">
        <f>AND(Bills!#REF!,"AAAAAD7+bNo=")</f>
        <v>#REF!</v>
      </c>
      <c r="HL21" t="e">
        <f>AND(Bills!#REF!,"AAAAAD7+bNs=")</f>
        <v>#REF!</v>
      </c>
      <c r="HM21" t="e">
        <f>AND(Bills!#REF!,"AAAAAD7+bNw=")</f>
        <v>#REF!</v>
      </c>
      <c r="HN21" t="e">
        <f>AND(Bills!#REF!,"AAAAAD7+bN0=")</f>
        <v>#REF!</v>
      </c>
      <c r="HO21" t="e">
        <f>AND(Bills!#REF!,"AAAAAD7+bN4=")</f>
        <v>#REF!</v>
      </c>
      <c r="HP21" t="e">
        <f>IF(Bills!#REF!,"AAAAAD7+bN8=",0)</f>
        <v>#REF!</v>
      </c>
      <c r="HQ21" t="e">
        <f>AND(Bills!#REF!,"AAAAAD7+bOA=")</f>
        <v>#REF!</v>
      </c>
      <c r="HR21" t="e">
        <f>AND(Bills!#REF!,"AAAAAD7+bOE=")</f>
        <v>#REF!</v>
      </c>
      <c r="HS21" t="e">
        <f>AND(Bills!#REF!,"AAAAAD7+bOI=")</f>
        <v>#REF!</v>
      </c>
      <c r="HT21" t="e">
        <f>AND(Bills!#REF!,"AAAAAD7+bOM=")</f>
        <v>#REF!</v>
      </c>
      <c r="HU21" t="e">
        <f>AND(Bills!#REF!,"AAAAAD7+bOQ=")</f>
        <v>#REF!</v>
      </c>
      <c r="HV21" t="e">
        <f>AND(Bills!#REF!,"AAAAAD7+bOU=")</f>
        <v>#REF!</v>
      </c>
      <c r="HW21" t="e">
        <f>AND(Bills!#REF!,"AAAAAD7+bOY=")</f>
        <v>#REF!</v>
      </c>
      <c r="HX21" t="e">
        <f>AND(Bills!#REF!,"AAAAAD7+bOc=")</f>
        <v>#REF!</v>
      </c>
      <c r="HY21" t="e">
        <f>AND(Bills!#REF!,"AAAAAD7+bOg=")</f>
        <v>#REF!</v>
      </c>
      <c r="HZ21" t="e">
        <f>AND(Bills!#REF!,"AAAAAD7+bOk=")</f>
        <v>#REF!</v>
      </c>
      <c r="IA21" t="e">
        <f>AND(Bills!#REF!,"AAAAAD7+bOo=")</f>
        <v>#REF!</v>
      </c>
      <c r="IB21" t="e">
        <f>AND(Bills!#REF!,"AAAAAD7+bOs=")</f>
        <v>#REF!</v>
      </c>
      <c r="IC21" t="e">
        <f>AND(Bills!#REF!,"AAAAAD7+bOw=")</f>
        <v>#REF!</v>
      </c>
      <c r="ID21" t="e">
        <f>AND(Bills!#REF!,"AAAAAD7+bO0=")</f>
        <v>#REF!</v>
      </c>
      <c r="IE21" t="e">
        <f>AND(Bills!#REF!,"AAAAAD7+bO4=")</f>
        <v>#REF!</v>
      </c>
      <c r="IF21" t="e">
        <f>AND(Bills!#REF!,"AAAAAD7+bO8=")</f>
        <v>#REF!</v>
      </c>
      <c r="IG21" t="e">
        <f>AND(Bills!#REF!,"AAAAAD7+bPA=")</f>
        <v>#REF!</v>
      </c>
      <c r="IH21" t="e">
        <f>AND(Bills!#REF!,"AAAAAD7+bPE=")</f>
        <v>#REF!</v>
      </c>
      <c r="II21" t="e">
        <f>AND(Bills!#REF!,"AAAAAD7+bPI=")</f>
        <v>#REF!</v>
      </c>
      <c r="IJ21" t="e">
        <f>AND(Bills!#REF!,"AAAAAD7+bPM=")</f>
        <v>#REF!</v>
      </c>
      <c r="IK21" t="e">
        <f>AND(Bills!#REF!,"AAAAAD7+bPQ=")</f>
        <v>#REF!</v>
      </c>
      <c r="IL21" t="e">
        <f>AND(Bills!#REF!,"AAAAAD7+bPU=")</f>
        <v>#REF!</v>
      </c>
      <c r="IM21" t="e">
        <f>AND(Bills!#REF!,"AAAAAD7+bPY=")</f>
        <v>#REF!</v>
      </c>
      <c r="IN21" t="e">
        <f>AND(Bills!#REF!,"AAAAAD7+bPc=")</f>
        <v>#REF!</v>
      </c>
      <c r="IO21" t="e">
        <f>AND(Bills!#REF!,"AAAAAD7+bPg=")</f>
        <v>#REF!</v>
      </c>
      <c r="IP21" t="e">
        <f>AND(Bills!#REF!,"AAAAAD7+bPk=")</f>
        <v>#REF!</v>
      </c>
      <c r="IQ21" t="e">
        <f>AND(Bills!#REF!,"AAAAAD7+bPo=")</f>
        <v>#REF!</v>
      </c>
      <c r="IR21" t="e">
        <f>AND(Bills!#REF!,"AAAAAD7+bPs=")</f>
        <v>#REF!</v>
      </c>
      <c r="IS21" t="e">
        <f>AND(Bills!#REF!,"AAAAAD7+bPw=")</f>
        <v>#REF!</v>
      </c>
      <c r="IT21" t="e">
        <f>AND(Bills!#REF!,"AAAAAD7+bP0=")</f>
        <v>#REF!</v>
      </c>
      <c r="IU21" t="e">
        <f>AND(Bills!#REF!,"AAAAAD7+bP4=")</f>
        <v>#REF!</v>
      </c>
      <c r="IV21" t="e">
        <f>AND(Bills!#REF!,"AAAAAD7+bP8=")</f>
        <v>#REF!</v>
      </c>
    </row>
    <row r="22" spans="1:256" x14ac:dyDescent="0.25">
      <c r="A22" t="e">
        <f>AND(Bills!#REF!,"AAAAAD9VdwA=")</f>
        <v>#REF!</v>
      </c>
      <c r="B22" t="e">
        <f>AND(Bills!#REF!,"AAAAAD9VdwE=")</f>
        <v>#REF!</v>
      </c>
      <c r="C22" t="e">
        <f>AND(Bills!#REF!,"AAAAAD9VdwI=")</f>
        <v>#REF!</v>
      </c>
      <c r="D22" t="e">
        <f>AND(Bills!#REF!,"AAAAAD9VdwM=")</f>
        <v>#REF!</v>
      </c>
      <c r="E22" t="e">
        <f>AND(Bills!#REF!,"AAAAAD9VdwQ=")</f>
        <v>#REF!</v>
      </c>
      <c r="F22" t="e">
        <f>AND(Bills!#REF!,"AAAAAD9VdwU=")</f>
        <v>#REF!</v>
      </c>
      <c r="G22" t="e">
        <f>AND(Bills!#REF!,"AAAAAD9VdwY=")</f>
        <v>#REF!</v>
      </c>
      <c r="H22" t="e">
        <f>AND(Bills!#REF!,"AAAAAD9Vdwc=")</f>
        <v>#REF!</v>
      </c>
      <c r="I22" t="e">
        <f>AND(Bills!#REF!,"AAAAAD9Vdwg=")</f>
        <v>#REF!</v>
      </c>
      <c r="J22" t="e">
        <f>AND(Bills!#REF!,"AAAAAD9Vdwk=")</f>
        <v>#REF!</v>
      </c>
      <c r="K22" t="e">
        <f>AND(Bills!#REF!,"AAAAAD9Vdwo=")</f>
        <v>#REF!</v>
      </c>
      <c r="L22" t="e">
        <f>AND(Bills!#REF!,"AAAAAD9Vdws=")</f>
        <v>#REF!</v>
      </c>
      <c r="M22" t="e">
        <f>AND(Bills!#REF!,"AAAAAD9Vdww=")</f>
        <v>#REF!</v>
      </c>
      <c r="N22" t="e">
        <f>AND(Bills!#REF!,"AAAAAD9Vdw0=")</f>
        <v>#REF!</v>
      </c>
      <c r="O22" t="e">
        <f>AND(Bills!#REF!,"AAAAAD9Vdw4=")</f>
        <v>#REF!</v>
      </c>
      <c r="P22" t="e">
        <f>AND(Bills!#REF!,"AAAAAD9Vdw8=")</f>
        <v>#REF!</v>
      </c>
      <c r="Q22" t="e">
        <f>AND(Bills!#REF!,"AAAAAD9VdxA=")</f>
        <v>#REF!</v>
      </c>
      <c r="R22" t="e">
        <f>AND(Bills!#REF!,"AAAAAD9VdxE=")</f>
        <v>#REF!</v>
      </c>
      <c r="S22" t="e">
        <f>IF(Bills!#REF!,"AAAAAD9VdxI=",0)</f>
        <v>#REF!</v>
      </c>
      <c r="T22" t="e">
        <f>AND(Bills!#REF!,"AAAAAD9VdxM=")</f>
        <v>#REF!</v>
      </c>
      <c r="U22" t="e">
        <f>AND(Bills!#REF!,"AAAAAD9VdxQ=")</f>
        <v>#REF!</v>
      </c>
      <c r="V22" t="e">
        <f>AND(Bills!#REF!,"AAAAAD9VdxU=")</f>
        <v>#REF!</v>
      </c>
      <c r="W22" t="e">
        <f>AND(Bills!#REF!,"AAAAAD9VdxY=")</f>
        <v>#REF!</v>
      </c>
      <c r="X22" t="e">
        <f>AND(Bills!#REF!,"AAAAAD9Vdxc=")</f>
        <v>#REF!</v>
      </c>
      <c r="Y22" t="e">
        <f>AND(Bills!#REF!,"AAAAAD9Vdxg=")</f>
        <v>#REF!</v>
      </c>
      <c r="Z22" t="e">
        <f>AND(Bills!#REF!,"AAAAAD9Vdxk=")</f>
        <v>#REF!</v>
      </c>
      <c r="AA22" t="e">
        <f>AND(Bills!#REF!,"AAAAAD9Vdxo=")</f>
        <v>#REF!</v>
      </c>
      <c r="AB22" t="e">
        <f>AND(Bills!#REF!,"AAAAAD9Vdxs=")</f>
        <v>#REF!</v>
      </c>
      <c r="AC22" t="e">
        <f>AND(Bills!#REF!,"AAAAAD9Vdxw=")</f>
        <v>#REF!</v>
      </c>
      <c r="AD22" t="e">
        <f>AND(Bills!#REF!,"AAAAAD9Vdx0=")</f>
        <v>#REF!</v>
      </c>
      <c r="AE22" t="e">
        <f>AND(Bills!#REF!,"AAAAAD9Vdx4=")</f>
        <v>#REF!</v>
      </c>
      <c r="AF22" t="e">
        <f>AND(Bills!#REF!,"AAAAAD9Vdx8=")</f>
        <v>#REF!</v>
      </c>
      <c r="AG22" t="e">
        <f>AND(Bills!#REF!,"AAAAAD9VdyA=")</f>
        <v>#REF!</v>
      </c>
      <c r="AH22" t="e">
        <f>AND(Bills!#REF!,"AAAAAD9VdyE=")</f>
        <v>#REF!</v>
      </c>
      <c r="AI22" t="e">
        <f>AND(Bills!#REF!,"AAAAAD9VdyI=")</f>
        <v>#REF!</v>
      </c>
      <c r="AJ22" t="e">
        <f>AND(Bills!#REF!,"AAAAAD9VdyM=")</f>
        <v>#REF!</v>
      </c>
      <c r="AK22" t="e">
        <f>AND(Bills!#REF!,"AAAAAD9VdyQ=")</f>
        <v>#REF!</v>
      </c>
      <c r="AL22" t="e">
        <f>AND(Bills!#REF!,"AAAAAD9VdyU=")</f>
        <v>#REF!</v>
      </c>
      <c r="AM22" t="e">
        <f>AND(Bills!#REF!,"AAAAAD9VdyY=")</f>
        <v>#REF!</v>
      </c>
      <c r="AN22" t="e">
        <f>AND(Bills!#REF!,"AAAAAD9Vdyc=")</f>
        <v>#REF!</v>
      </c>
      <c r="AO22" t="e">
        <f>AND(Bills!#REF!,"AAAAAD9Vdyg=")</f>
        <v>#REF!</v>
      </c>
      <c r="AP22" t="e">
        <f>AND(Bills!#REF!,"AAAAAD9Vdyk=")</f>
        <v>#REF!</v>
      </c>
      <c r="AQ22" t="e">
        <f>AND(Bills!#REF!,"AAAAAD9Vdyo=")</f>
        <v>#REF!</v>
      </c>
      <c r="AR22" t="e">
        <f>AND(Bills!#REF!,"AAAAAD9Vdys=")</f>
        <v>#REF!</v>
      </c>
      <c r="AS22" t="e">
        <f>AND(Bills!#REF!,"AAAAAD9Vdyw=")</f>
        <v>#REF!</v>
      </c>
      <c r="AT22" t="e">
        <f>AND(Bills!#REF!,"AAAAAD9Vdy0=")</f>
        <v>#REF!</v>
      </c>
      <c r="AU22" t="e">
        <f>AND(Bills!#REF!,"AAAAAD9Vdy4=")</f>
        <v>#REF!</v>
      </c>
      <c r="AV22" t="e">
        <f>AND(Bills!#REF!,"AAAAAD9Vdy8=")</f>
        <v>#REF!</v>
      </c>
      <c r="AW22" t="e">
        <f>AND(Bills!#REF!,"AAAAAD9VdzA=")</f>
        <v>#REF!</v>
      </c>
      <c r="AX22" t="e">
        <f>AND(Bills!#REF!,"AAAAAD9VdzE=")</f>
        <v>#REF!</v>
      </c>
      <c r="AY22" t="e">
        <f>AND(Bills!#REF!,"AAAAAD9VdzI=")</f>
        <v>#REF!</v>
      </c>
      <c r="AZ22" t="e">
        <f>AND(Bills!#REF!,"AAAAAD9VdzM=")</f>
        <v>#REF!</v>
      </c>
      <c r="BA22" t="e">
        <f>AND(Bills!#REF!,"AAAAAD9VdzQ=")</f>
        <v>#REF!</v>
      </c>
      <c r="BB22" t="e">
        <f>AND(Bills!#REF!,"AAAAAD9VdzU=")</f>
        <v>#REF!</v>
      </c>
      <c r="BC22" t="e">
        <f>AND(Bills!#REF!,"AAAAAD9VdzY=")</f>
        <v>#REF!</v>
      </c>
      <c r="BD22" t="e">
        <f>AND(Bills!#REF!,"AAAAAD9Vdzc=")</f>
        <v>#REF!</v>
      </c>
      <c r="BE22" t="e">
        <f>AND(Bills!#REF!,"AAAAAD9Vdzg=")</f>
        <v>#REF!</v>
      </c>
      <c r="BF22" t="e">
        <f>AND(Bills!#REF!,"AAAAAD9Vdzk=")</f>
        <v>#REF!</v>
      </c>
      <c r="BG22" t="e">
        <f>AND(Bills!#REF!,"AAAAAD9Vdzo=")</f>
        <v>#REF!</v>
      </c>
      <c r="BH22" t="e">
        <f>AND(Bills!#REF!,"AAAAAD9Vdzs=")</f>
        <v>#REF!</v>
      </c>
      <c r="BI22" t="e">
        <f>AND(Bills!#REF!,"AAAAAD9Vdzw=")</f>
        <v>#REF!</v>
      </c>
      <c r="BJ22" t="e">
        <f>AND(Bills!#REF!,"AAAAAD9Vdz0=")</f>
        <v>#REF!</v>
      </c>
      <c r="BK22" t="e">
        <f>AND(Bills!#REF!,"AAAAAD9Vdz4=")</f>
        <v>#REF!</v>
      </c>
      <c r="BL22" t="e">
        <f>AND(Bills!#REF!,"AAAAAD9Vdz8=")</f>
        <v>#REF!</v>
      </c>
      <c r="BM22" t="e">
        <f>AND(Bills!#REF!,"AAAAAD9Vd0A=")</f>
        <v>#REF!</v>
      </c>
      <c r="BN22" t="e">
        <f>AND(Bills!#REF!,"AAAAAD9Vd0E=")</f>
        <v>#REF!</v>
      </c>
      <c r="BO22" t="e">
        <f>AND(Bills!#REF!,"AAAAAD9Vd0I=")</f>
        <v>#REF!</v>
      </c>
      <c r="BP22" t="e">
        <f>AND(Bills!#REF!,"AAAAAD9Vd0M=")</f>
        <v>#REF!</v>
      </c>
      <c r="BQ22" t="e">
        <f>AND(Bills!#REF!,"AAAAAD9Vd0Q=")</f>
        <v>#REF!</v>
      </c>
      <c r="BR22" t="e">
        <f>IF(Bills!#REF!,"AAAAAD9Vd0U=",0)</f>
        <v>#REF!</v>
      </c>
      <c r="BS22" t="e">
        <f>AND(Bills!#REF!,"AAAAAD9Vd0Y=")</f>
        <v>#REF!</v>
      </c>
      <c r="BT22" t="e">
        <f>AND(Bills!#REF!,"AAAAAD9Vd0c=")</f>
        <v>#REF!</v>
      </c>
      <c r="BU22" t="e">
        <f>AND(Bills!#REF!,"AAAAAD9Vd0g=")</f>
        <v>#REF!</v>
      </c>
      <c r="BV22" t="e">
        <f>AND(Bills!#REF!,"AAAAAD9Vd0k=")</f>
        <v>#REF!</v>
      </c>
      <c r="BW22" t="e">
        <f>AND(Bills!#REF!,"AAAAAD9Vd0o=")</f>
        <v>#REF!</v>
      </c>
      <c r="BX22" t="e">
        <f>AND(Bills!#REF!,"AAAAAD9Vd0s=")</f>
        <v>#REF!</v>
      </c>
      <c r="BY22" t="e">
        <f>AND(Bills!#REF!,"AAAAAD9Vd0w=")</f>
        <v>#REF!</v>
      </c>
      <c r="BZ22" t="e">
        <f>AND(Bills!#REF!,"AAAAAD9Vd00=")</f>
        <v>#REF!</v>
      </c>
      <c r="CA22" t="e">
        <f>AND(Bills!#REF!,"AAAAAD9Vd04=")</f>
        <v>#REF!</v>
      </c>
      <c r="CB22" t="e">
        <f>AND(Bills!#REF!,"AAAAAD9Vd08=")</f>
        <v>#REF!</v>
      </c>
      <c r="CC22" t="e">
        <f>AND(Bills!#REF!,"AAAAAD9Vd1A=")</f>
        <v>#REF!</v>
      </c>
      <c r="CD22" t="e">
        <f>AND(Bills!#REF!,"AAAAAD9Vd1E=")</f>
        <v>#REF!</v>
      </c>
      <c r="CE22" t="e">
        <f>AND(Bills!#REF!,"AAAAAD9Vd1I=")</f>
        <v>#REF!</v>
      </c>
      <c r="CF22" t="e">
        <f>AND(Bills!#REF!,"AAAAAD9Vd1M=")</f>
        <v>#REF!</v>
      </c>
      <c r="CG22" t="e">
        <f>AND(Bills!#REF!,"AAAAAD9Vd1Q=")</f>
        <v>#REF!</v>
      </c>
      <c r="CH22" t="e">
        <f>AND(Bills!#REF!,"AAAAAD9Vd1U=")</f>
        <v>#REF!</v>
      </c>
      <c r="CI22" t="e">
        <f>AND(Bills!#REF!,"AAAAAD9Vd1Y=")</f>
        <v>#REF!</v>
      </c>
      <c r="CJ22" t="e">
        <f>AND(Bills!#REF!,"AAAAAD9Vd1c=")</f>
        <v>#REF!</v>
      </c>
      <c r="CK22" t="e">
        <f>AND(Bills!#REF!,"AAAAAD9Vd1g=")</f>
        <v>#REF!</v>
      </c>
      <c r="CL22" t="e">
        <f>AND(Bills!#REF!,"AAAAAD9Vd1k=")</f>
        <v>#REF!</v>
      </c>
      <c r="CM22" t="e">
        <f>AND(Bills!#REF!,"AAAAAD9Vd1o=")</f>
        <v>#REF!</v>
      </c>
      <c r="CN22" t="e">
        <f>AND(Bills!#REF!,"AAAAAD9Vd1s=")</f>
        <v>#REF!</v>
      </c>
      <c r="CO22" t="e">
        <f>AND(Bills!#REF!,"AAAAAD9Vd1w=")</f>
        <v>#REF!</v>
      </c>
      <c r="CP22" t="e">
        <f>AND(Bills!#REF!,"AAAAAD9Vd10=")</f>
        <v>#REF!</v>
      </c>
      <c r="CQ22" t="e">
        <f>AND(Bills!#REF!,"AAAAAD9Vd14=")</f>
        <v>#REF!</v>
      </c>
      <c r="CR22" t="e">
        <f>AND(Bills!#REF!,"AAAAAD9Vd18=")</f>
        <v>#REF!</v>
      </c>
      <c r="CS22" t="e">
        <f>AND(Bills!#REF!,"AAAAAD9Vd2A=")</f>
        <v>#REF!</v>
      </c>
      <c r="CT22" t="e">
        <f>AND(Bills!#REF!,"AAAAAD9Vd2E=")</f>
        <v>#REF!</v>
      </c>
      <c r="CU22" t="e">
        <f>AND(Bills!#REF!,"AAAAAD9Vd2I=")</f>
        <v>#REF!</v>
      </c>
      <c r="CV22" t="e">
        <f>AND(Bills!#REF!,"AAAAAD9Vd2M=")</f>
        <v>#REF!</v>
      </c>
      <c r="CW22" t="e">
        <f>AND(Bills!#REF!,"AAAAAD9Vd2Q=")</f>
        <v>#REF!</v>
      </c>
      <c r="CX22" t="e">
        <f>AND(Bills!#REF!,"AAAAAD9Vd2U=")</f>
        <v>#REF!</v>
      </c>
      <c r="CY22" t="e">
        <f>AND(Bills!#REF!,"AAAAAD9Vd2Y=")</f>
        <v>#REF!</v>
      </c>
      <c r="CZ22" t="e">
        <f>AND(Bills!#REF!,"AAAAAD9Vd2c=")</f>
        <v>#REF!</v>
      </c>
      <c r="DA22" t="e">
        <f>AND(Bills!#REF!,"AAAAAD9Vd2g=")</f>
        <v>#REF!</v>
      </c>
      <c r="DB22" t="e">
        <f>AND(Bills!#REF!,"AAAAAD9Vd2k=")</f>
        <v>#REF!</v>
      </c>
      <c r="DC22" t="e">
        <f>AND(Bills!#REF!,"AAAAAD9Vd2o=")</f>
        <v>#REF!</v>
      </c>
      <c r="DD22" t="e">
        <f>AND(Bills!#REF!,"AAAAAD9Vd2s=")</f>
        <v>#REF!</v>
      </c>
      <c r="DE22" t="e">
        <f>AND(Bills!#REF!,"AAAAAD9Vd2w=")</f>
        <v>#REF!</v>
      </c>
      <c r="DF22" t="e">
        <f>AND(Bills!#REF!,"AAAAAD9Vd20=")</f>
        <v>#REF!</v>
      </c>
      <c r="DG22" t="e">
        <f>AND(Bills!#REF!,"AAAAAD9Vd24=")</f>
        <v>#REF!</v>
      </c>
      <c r="DH22" t="e">
        <f>AND(Bills!#REF!,"AAAAAD9Vd28=")</f>
        <v>#REF!</v>
      </c>
      <c r="DI22" t="e">
        <f>AND(Bills!#REF!,"AAAAAD9Vd3A=")</f>
        <v>#REF!</v>
      </c>
      <c r="DJ22" t="e">
        <f>AND(Bills!#REF!,"AAAAAD9Vd3E=")</f>
        <v>#REF!</v>
      </c>
      <c r="DK22" t="e">
        <f>AND(Bills!#REF!,"AAAAAD9Vd3I=")</f>
        <v>#REF!</v>
      </c>
      <c r="DL22" t="e">
        <f>AND(Bills!#REF!,"AAAAAD9Vd3M=")</f>
        <v>#REF!</v>
      </c>
      <c r="DM22" t="e">
        <f>AND(Bills!#REF!,"AAAAAD9Vd3Q=")</f>
        <v>#REF!</v>
      </c>
      <c r="DN22" t="e">
        <f>AND(Bills!#REF!,"AAAAAD9Vd3U=")</f>
        <v>#REF!</v>
      </c>
      <c r="DO22" t="e">
        <f>AND(Bills!#REF!,"AAAAAD9Vd3Y=")</f>
        <v>#REF!</v>
      </c>
      <c r="DP22" t="e">
        <f>AND(Bills!#REF!,"AAAAAD9Vd3c=")</f>
        <v>#REF!</v>
      </c>
      <c r="DQ22" t="e">
        <f>IF(Bills!#REF!,"AAAAAD9Vd3g=",0)</f>
        <v>#REF!</v>
      </c>
      <c r="DR22" t="e">
        <f>AND(Bills!#REF!,"AAAAAD9Vd3k=")</f>
        <v>#REF!</v>
      </c>
      <c r="DS22" t="e">
        <f>AND(Bills!#REF!,"AAAAAD9Vd3o=")</f>
        <v>#REF!</v>
      </c>
      <c r="DT22" t="e">
        <f>AND(Bills!#REF!,"AAAAAD9Vd3s=")</f>
        <v>#REF!</v>
      </c>
      <c r="DU22" t="e">
        <f>AND(Bills!#REF!,"AAAAAD9Vd3w=")</f>
        <v>#REF!</v>
      </c>
      <c r="DV22" t="e">
        <f>AND(Bills!#REF!,"AAAAAD9Vd30=")</f>
        <v>#REF!</v>
      </c>
      <c r="DW22" t="e">
        <f>AND(Bills!#REF!,"AAAAAD9Vd34=")</f>
        <v>#REF!</v>
      </c>
      <c r="DX22" t="e">
        <f>AND(Bills!#REF!,"AAAAAD9Vd38=")</f>
        <v>#REF!</v>
      </c>
      <c r="DY22" t="e">
        <f>AND(Bills!#REF!,"AAAAAD9Vd4A=")</f>
        <v>#REF!</v>
      </c>
      <c r="DZ22" t="e">
        <f>AND(Bills!#REF!,"AAAAAD9Vd4E=")</f>
        <v>#REF!</v>
      </c>
      <c r="EA22" t="e">
        <f>AND(Bills!#REF!,"AAAAAD9Vd4I=")</f>
        <v>#REF!</v>
      </c>
      <c r="EB22" t="e">
        <f>AND(Bills!#REF!,"AAAAAD9Vd4M=")</f>
        <v>#REF!</v>
      </c>
      <c r="EC22" t="e">
        <f>AND(Bills!#REF!,"AAAAAD9Vd4Q=")</f>
        <v>#REF!</v>
      </c>
      <c r="ED22" t="e">
        <f>AND(Bills!#REF!,"AAAAAD9Vd4U=")</f>
        <v>#REF!</v>
      </c>
      <c r="EE22" t="e">
        <f>AND(Bills!#REF!,"AAAAAD9Vd4Y=")</f>
        <v>#REF!</v>
      </c>
      <c r="EF22" t="e">
        <f>AND(Bills!#REF!,"AAAAAD9Vd4c=")</f>
        <v>#REF!</v>
      </c>
      <c r="EG22" t="e">
        <f>AND(Bills!#REF!,"AAAAAD9Vd4g=")</f>
        <v>#REF!</v>
      </c>
      <c r="EH22" t="e">
        <f>AND(Bills!#REF!,"AAAAAD9Vd4k=")</f>
        <v>#REF!</v>
      </c>
      <c r="EI22" t="e">
        <f>AND(Bills!#REF!,"AAAAAD9Vd4o=")</f>
        <v>#REF!</v>
      </c>
      <c r="EJ22" t="e">
        <f>AND(Bills!#REF!,"AAAAAD9Vd4s=")</f>
        <v>#REF!</v>
      </c>
      <c r="EK22" t="e">
        <f>AND(Bills!#REF!,"AAAAAD9Vd4w=")</f>
        <v>#REF!</v>
      </c>
      <c r="EL22" t="e">
        <f>AND(Bills!#REF!,"AAAAAD9Vd40=")</f>
        <v>#REF!</v>
      </c>
      <c r="EM22" t="e">
        <f>AND(Bills!#REF!,"AAAAAD9Vd44=")</f>
        <v>#REF!</v>
      </c>
      <c r="EN22" t="e">
        <f>AND(Bills!#REF!,"AAAAAD9Vd48=")</f>
        <v>#REF!</v>
      </c>
      <c r="EO22" t="e">
        <f>AND(Bills!#REF!,"AAAAAD9Vd5A=")</f>
        <v>#REF!</v>
      </c>
      <c r="EP22" t="e">
        <f>AND(Bills!#REF!,"AAAAAD9Vd5E=")</f>
        <v>#REF!</v>
      </c>
      <c r="EQ22" t="e">
        <f>AND(Bills!#REF!,"AAAAAD9Vd5I=")</f>
        <v>#REF!</v>
      </c>
      <c r="ER22" t="e">
        <f>AND(Bills!#REF!,"AAAAAD9Vd5M=")</f>
        <v>#REF!</v>
      </c>
      <c r="ES22" t="e">
        <f>AND(Bills!#REF!,"AAAAAD9Vd5Q=")</f>
        <v>#REF!</v>
      </c>
      <c r="ET22" t="e">
        <f>AND(Bills!#REF!,"AAAAAD9Vd5U=")</f>
        <v>#REF!</v>
      </c>
      <c r="EU22" t="e">
        <f>AND(Bills!#REF!,"AAAAAD9Vd5Y=")</f>
        <v>#REF!</v>
      </c>
      <c r="EV22" t="e">
        <f>AND(Bills!#REF!,"AAAAAD9Vd5c=")</f>
        <v>#REF!</v>
      </c>
      <c r="EW22" t="e">
        <f>AND(Bills!#REF!,"AAAAAD9Vd5g=")</f>
        <v>#REF!</v>
      </c>
      <c r="EX22" t="e">
        <f>AND(Bills!#REF!,"AAAAAD9Vd5k=")</f>
        <v>#REF!</v>
      </c>
      <c r="EY22" t="e">
        <f>AND(Bills!#REF!,"AAAAAD9Vd5o=")</f>
        <v>#REF!</v>
      </c>
      <c r="EZ22" t="e">
        <f>AND(Bills!#REF!,"AAAAAD9Vd5s=")</f>
        <v>#REF!</v>
      </c>
      <c r="FA22" t="e">
        <f>AND(Bills!#REF!,"AAAAAD9Vd5w=")</f>
        <v>#REF!</v>
      </c>
      <c r="FB22" t="e">
        <f>AND(Bills!#REF!,"AAAAAD9Vd50=")</f>
        <v>#REF!</v>
      </c>
      <c r="FC22" t="e">
        <f>AND(Bills!#REF!,"AAAAAD9Vd54=")</f>
        <v>#REF!</v>
      </c>
      <c r="FD22" t="e">
        <f>AND(Bills!#REF!,"AAAAAD9Vd58=")</f>
        <v>#REF!</v>
      </c>
      <c r="FE22" t="e">
        <f>AND(Bills!#REF!,"AAAAAD9Vd6A=")</f>
        <v>#REF!</v>
      </c>
      <c r="FF22" t="e">
        <f>AND(Bills!#REF!,"AAAAAD9Vd6E=")</f>
        <v>#REF!</v>
      </c>
      <c r="FG22" t="e">
        <f>AND(Bills!#REF!,"AAAAAD9Vd6I=")</f>
        <v>#REF!</v>
      </c>
      <c r="FH22" t="e">
        <f>AND(Bills!#REF!,"AAAAAD9Vd6M=")</f>
        <v>#REF!</v>
      </c>
      <c r="FI22" t="e">
        <f>AND(Bills!#REF!,"AAAAAD9Vd6Q=")</f>
        <v>#REF!</v>
      </c>
      <c r="FJ22" t="e">
        <f>AND(Bills!#REF!,"AAAAAD9Vd6U=")</f>
        <v>#REF!</v>
      </c>
      <c r="FK22" t="e">
        <f>AND(Bills!#REF!,"AAAAAD9Vd6Y=")</f>
        <v>#REF!</v>
      </c>
      <c r="FL22" t="e">
        <f>AND(Bills!#REF!,"AAAAAD9Vd6c=")</f>
        <v>#REF!</v>
      </c>
      <c r="FM22" t="e">
        <f>AND(Bills!#REF!,"AAAAAD9Vd6g=")</f>
        <v>#REF!</v>
      </c>
      <c r="FN22" t="e">
        <f>AND(Bills!#REF!,"AAAAAD9Vd6k=")</f>
        <v>#REF!</v>
      </c>
      <c r="FO22" t="e">
        <f>AND(Bills!#REF!,"AAAAAD9Vd6o=")</f>
        <v>#REF!</v>
      </c>
      <c r="FP22">
        <f>IF(Bills!12:12,"AAAAAD9Vd6s=",0)</f>
        <v>0</v>
      </c>
      <c r="FQ22" t="e">
        <f>AND(Bills!B12,"AAAAAD9Vd6w=")</f>
        <v>#VALUE!</v>
      </c>
      <c r="FR22" t="e">
        <f>AND(Bills!#REF!,"AAAAAD9Vd60=")</f>
        <v>#REF!</v>
      </c>
      <c r="FS22" t="e">
        <f>AND(Bills!C12,"AAAAAD9Vd64=")</f>
        <v>#VALUE!</v>
      </c>
      <c r="FT22" t="e">
        <f>AND(Bills!D12,"AAAAAD9Vd68=")</f>
        <v>#VALUE!</v>
      </c>
      <c r="FU22" t="e">
        <f>AND(Bills!E12,"AAAAAD9Vd7A=")</f>
        <v>#VALUE!</v>
      </c>
      <c r="FV22" t="e">
        <f>AND(Bills!#REF!,"AAAAAD9Vd7E=")</f>
        <v>#REF!</v>
      </c>
      <c r="FW22" t="e">
        <f>AND(Bills!#REF!,"AAAAAD9Vd7I=")</f>
        <v>#REF!</v>
      </c>
      <c r="FX22" t="e">
        <f>AND(Bills!#REF!,"AAAAAD9Vd7M=")</f>
        <v>#REF!</v>
      </c>
      <c r="FY22" t="e">
        <f>AND(Bills!F12,"AAAAAD9Vd7Q=")</f>
        <v>#VALUE!</v>
      </c>
      <c r="FZ22" t="e">
        <f>AND(Bills!#REF!,"AAAAAD9Vd7U=")</f>
        <v>#REF!</v>
      </c>
      <c r="GA22" t="e">
        <f>AND(Bills!G12,"AAAAAD9Vd7Y=")</f>
        <v>#VALUE!</v>
      </c>
      <c r="GB22" t="e">
        <f>AND(Bills!H12,"AAAAAD9Vd7c=")</f>
        <v>#VALUE!</v>
      </c>
      <c r="GC22" t="e">
        <f>AND(Bills!I12,"AAAAAD9Vd7g=")</f>
        <v>#VALUE!</v>
      </c>
      <c r="GD22" t="e">
        <f>AND(Bills!J12,"AAAAAD9Vd7k=")</f>
        <v>#VALUE!</v>
      </c>
      <c r="GE22" t="e">
        <f>AND(Bills!K12,"AAAAAD9Vd7o=")</f>
        <v>#VALUE!</v>
      </c>
      <c r="GF22" t="e">
        <f>AND(Bills!L12,"AAAAAD9Vd7s=")</f>
        <v>#VALUE!</v>
      </c>
      <c r="GG22" t="e">
        <f>AND(Bills!#REF!,"AAAAAD9Vd7w=")</f>
        <v>#REF!</v>
      </c>
      <c r="GH22" t="e">
        <f>AND(Bills!M12,"AAAAAD9Vd70=")</f>
        <v>#VALUE!</v>
      </c>
      <c r="GI22" t="e">
        <f>AND(Bills!N12,"AAAAAD9Vd74=")</f>
        <v>#VALUE!</v>
      </c>
      <c r="GJ22" t="e">
        <f>AND(Bills!O12,"AAAAAD9Vd78=")</f>
        <v>#VALUE!</v>
      </c>
      <c r="GK22" t="e">
        <f>AND(Bills!P12,"AAAAAD9Vd8A=")</f>
        <v>#VALUE!</v>
      </c>
      <c r="GL22" t="e">
        <f>AND(Bills!Q12,"AAAAAD9Vd8E=")</f>
        <v>#VALUE!</v>
      </c>
      <c r="GM22" t="e">
        <f>AND(Bills!R12,"AAAAAD9Vd8I=")</f>
        <v>#VALUE!</v>
      </c>
      <c r="GN22" t="e">
        <f>AND(Bills!S12,"AAAAAD9Vd8M=")</f>
        <v>#VALUE!</v>
      </c>
      <c r="GO22" t="e">
        <f>AND(Bills!T12,"AAAAAD9Vd8Q=")</f>
        <v>#VALUE!</v>
      </c>
      <c r="GP22" t="e">
        <f>AND(Bills!#REF!,"AAAAAD9Vd8U=")</f>
        <v>#REF!</v>
      </c>
      <c r="GQ22" t="e">
        <f>AND(Bills!U12,"AAAAAD9Vd8Y=")</f>
        <v>#VALUE!</v>
      </c>
      <c r="GR22" t="e">
        <f>AND(Bills!V12,"AAAAAD9Vd8c=")</f>
        <v>#VALUE!</v>
      </c>
      <c r="GS22" t="e">
        <f>AND(Bills!W12,"AAAAAD9Vd8g=")</f>
        <v>#VALUE!</v>
      </c>
      <c r="GT22" t="e">
        <f>AND(Bills!#REF!,"AAAAAD9Vd8k=")</f>
        <v>#REF!</v>
      </c>
      <c r="GU22" t="e">
        <f>AND(Bills!#REF!,"AAAAAD9Vd8o=")</f>
        <v>#REF!</v>
      </c>
      <c r="GV22" t="e">
        <f>AND(Bills!Y12,"AAAAAD9Vd8s=")</f>
        <v>#VALUE!</v>
      </c>
      <c r="GW22" t="e">
        <f>AND(Bills!Z12,"AAAAAD9Vd8w=")</f>
        <v>#VALUE!</v>
      </c>
      <c r="GX22" t="e">
        <f>AND(Bills!#REF!,"AAAAAD9Vd80=")</f>
        <v>#REF!</v>
      </c>
      <c r="GY22" t="e">
        <f>AND(Bills!#REF!,"AAAAAD9Vd84=")</f>
        <v>#REF!</v>
      </c>
      <c r="GZ22" t="e">
        <f>AND(Bills!#REF!,"AAAAAD9Vd88=")</f>
        <v>#REF!</v>
      </c>
      <c r="HA22" t="e">
        <f>AND(Bills!#REF!,"AAAAAD9Vd9A=")</f>
        <v>#REF!</v>
      </c>
      <c r="HB22" t="e">
        <f>AND(Bills!#REF!,"AAAAAD9Vd9E=")</f>
        <v>#REF!</v>
      </c>
      <c r="HC22" t="e">
        <f>AND(Bills!#REF!,"AAAAAD9Vd9I=")</f>
        <v>#REF!</v>
      </c>
      <c r="HD22" t="e">
        <f>AND(Bills!#REF!,"AAAAAD9Vd9M=")</f>
        <v>#REF!</v>
      </c>
      <c r="HE22" t="e">
        <f>AND(Bills!#REF!,"AAAAAD9Vd9Q=")</f>
        <v>#REF!</v>
      </c>
      <c r="HF22" t="e">
        <f>AND(Bills!#REF!,"AAAAAD9Vd9U=")</f>
        <v>#REF!</v>
      </c>
      <c r="HG22" t="e">
        <f>AND(Bills!AA12,"AAAAAD9Vd9Y=")</f>
        <v>#VALUE!</v>
      </c>
      <c r="HH22" t="e">
        <f>AND(Bills!AB12,"AAAAAD9Vd9c=")</f>
        <v>#VALUE!</v>
      </c>
      <c r="HI22" t="e">
        <f>AND(Bills!#REF!,"AAAAAD9Vd9g=")</f>
        <v>#REF!</v>
      </c>
      <c r="HJ22" t="e">
        <f>AND(Bills!#REF!,"AAAAAD9Vd9k=")</f>
        <v>#REF!</v>
      </c>
      <c r="HK22" t="e">
        <f>AND(Bills!#REF!,"AAAAAD9Vd9o=")</f>
        <v>#REF!</v>
      </c>
      <c r="HL22" t="e">
        <f>AND(Bills!AC12,"AAAAAD9Vd9s=")</f>
        <v>#VALUE!</v>
      </c>
      <c r="HM22" t="e">
        <f>AND(Bills!AD12,"AAAAAD9Vd9w=")</f>
        <v>#VALUE!</v>
      </c>
      <c r="HN22" t="e">
        <f>AND(Bills!AE12,"AAAAAD9Vd90=")</f>
        <v>#VALUE!</v>
      </c>
      <c r="HO22" t="e">
        <f>IF(Bills!#REF!,"AAAAAD9Vd94=",0)</f>
        <v>#REF!</v>
      </c>
      <c r="HP22" t="e">
        <f>AND(Bills!#REF!,"AAAAAD9Vd98=")</f>
        <v>#REF!</v>
      </c>
      <c r="HQ22" t="e">
        <f>AND(Bills!#REF!,"AAAAAD9Vd+A=")</f>
        <v>#REF!</v>
      </c>
      <c r="HR22" t="e">
        <f>AND(Bills!#REF!,"AAAAAD9Vd+E=")</f>
        <v>#REF!</v>
      </c>
      <c r="HS22" t="e">
        <f>AND(Bills!#REF!,"AAAAAD9Vd+I=")</f>
        <v>#REF!</v>
      </c>
      <c r="HT22" t="e">
        <f>AND(Bills!#REF!,"AAAAAD9Vd+M=")</f>
        <v>#REF!</v>
      </c>
      <c r="HU22" t="e">
        <f>AND(Bills!#REF!,"AAAAAD9Vd+Q=")</f>
        <v>#REF!</v>
      </c>
      <c r="HV22" t="e">
        <f>AND(Bills!#REF!,"AAAAAD9Vd+U=")</f>
        <v>#REF!</v>
      </c>
      <c r="HW22" t="e">
        <f>AND(Bills!#REF!,"AAAAAD9Vd+Y=")</f>
        <v>#REF!</v>
      </c>
      <c r="HX22" t="e">
        <f>AND(Bills!#REF!,"AAAAAD9Vd+c=")</f>
        <v>#REF!</v>
      </c>
      <c r="HY22" t="e">
        <f>AND(Bills!#REF!,"AAAAAD9Vd+g=")</f>
        <v>#REF!</v>
      </c>
      <c r="HZ22" t="e">
        <f>AND(Bills!#REF!,"AAAAAD9Vd+k=")</f>
        <v>#REF!</v>
      </c>
      <c r="IA22" t="e">
        <f>AND(Bills!#REF!,"AAAAAD9Vd+o=")</f>
        <v>#REF!</v>
      </c>
      <c r="IB22" t="e">
        <f>AND(Bills!#REF!,"AAAAAD9Vd+s=")</f>
        <v>#REF!</v>
      </c>
      <c r="IC22" t="e">
        <f>AND(Bills!#REF!,"AAAAAD9Vd+w=")</f>
        <v>#REF!</v>
      </c>
      <c r="ID22" t="e">
        <f>AND(Bills!#REF!,"AAAAAD9Vd+0=")</f>
        <v>#REF!</v>
      </c>
      <c r="IE22" t="e">
        <f>AND(Bills!#REF!,"AAAAAD9Vd+4=")</f>
        <v>#REF!</v>
      </c>
      <c r="IF22" t="e">
        <f>AND(Bills!#REF!,"AAAAAD9Vd+8=")</f>
        <v>#REF!</v>
      </c>
      <c r="IG22" t="e">
        <f>AND(Bills!#REF!,"AAAAAD9Vd/A=")</f>
        <v>#REF!</v>
      </c>
      <c r="IH22" t="e">
        <f>AND(Bills!#REF!,"AAAAAD9Vd/E=")</f>
        <v>#REF!</v>
      </c>
      <c r="II22" t="e">
        <f>AND(Bills!#REF!,"AAAAAD9Vd/I=")</f>
        <v>#REF!</v>
      </c>
      <c r="IJ22" t="e">
        <f>AND(Bills!#REF!,"AAAAAD9Vd/M=")</f>
        <v>#REF!</v>
      </c>
      <c r="IK22" t="e">
        <f>AND(Bills!#REF!,"AAAAAD9Vd/Q=")</f>
        <v>#REF!</v>
      </c>
      <c r="IL22" t="e">
        <f>AND(Bills!#REF!,"AAAAAD9Vd/U=")</f>
        <v>#REF!</v>
      </c>
      <c r="IM22" t="e">
        <f>AND(Bills!#REF!,"AAAAAD9Vd/Y=")</f>
        <v>#REF!</v>
      </c>
      <c r="IN22" t="e">
        <f>AND(Bills!#REF!,"AAAAAD9Vd/c=")</f>
        <v>#REF!</v>
      </c>
      <c r="IO22" t="e">
        <f>AND(Bills!#REF!,"AAAAAD9Vd/g=")</f>
        <v>#REF!</v>
      </c>
      <c r="IP22" t="e">
        <f>AND(Bills!#REF!,"AAAAAD9Vd/k=")</f>
        <v>#REF!</v>
      </c>
      <c r="IQ22" t="e">
        <f>AND(Bills!#REF!,"AAAAAD9Vd/o=")</f>
        <v>#REF!</v>
      </c>
      <c r="IR22" t="e">
        <f>AND(Bills!#REF!,"AAAAAD9Vd/s=")</f>
        <v>#REF!</v>
      </c>
      <c r="IS22" t="e">
        <f>AND(Bills!#REF!,"AAAAAD9Vd/w=")</f>
        <v>#REF!</v>
      </c>
      <c r="IT22" t="e">
        <f>AND(Bills!#REF!,"AAAAAD9Vd/0=")</f>
        <v>#REF!</v>
      </c>
      <c r="IU22" t="e">
        <f>AND(Bills!#REF!,"AAAAAD9Vd/4=")</f>
        <v>#REF!</v>
      </c>
      <c r="IV22" t="e">
        <f>AND(Bills!#REF!,"AAAAAD9Vd/8=")</f>
        <v>#REF!</v>
      </c>
    </row>
    <row r="23" spans="1:256" x14ac:dyDescent="0.25">
      <c r="A23" t="e">
        <f>AND(Bills!#REF!,"AAAAAH43nwA=")</f>
        <v>#REF!</v>
      </c>
      <c r="B23" t="e">
        <f>AND(Bills!#REF!,"AAAAAH43nwE=")</f>
        <v>#REF!</v>
      </c>
      <c r="C23" t="e">
        <f>AND(Bills!#REF!,"AAAAAH43nwI=")</f>
        <v>#REF!</v>
      </c>
      <c r="D23" t="e">
        <f>AND(Bills!#REF!,"AAAAAH43nwM=")</f>
        <v>#REF!</v>
      </c>
      <c r="E23" t="e">
        <f>AND(Bills!#REF!,"AAAAAH43nwQ=")</f>
        <v>#REF!</v>
      </c>
      <c r="F23" t="e">
        <f>AND(Bills!#REF!,"AAAAAH43nwU=")</f>
        <v>#REF!</v>
      </c>
      <c r="G23" t="e">
        <f>AND(Bills!#REF!,"AAAAAH43nwY=")</f>
        <v>#REF!</v>
      </c>
      <c r="H23" t="e">
        <f>AND(Bills!#REF!,"AAAAAH43nwc=")</f>
        <v>#REF!</v>
      </c>
      <c r="I23" t="e">
        <f>AND(Bills!#REF!,"AAAAAH43nwg=")</f>
        <v>#REF!</v>
      </c>
      <c r="J23" t="e">
        <f>AND(Bills!#REF!,"AAAAAH43nwk=")</f>
        <v>#REF!</v>
      </c>
      <c r="K23" t="e">
        <f>AND(Bills!#REF!,"AAAAAH43nwo=")</f>
        <v>#REF!</v>
      </c>
      <c r="L23" t="e">
        <f>AND(Bills!#REF!,"AAAAAH43nws=")</f>
        <v>#REF!</v>
      </c>
      <c r="M23" t="e">
        <f>AND(Bills!#REF!,"AAAAAH43nww=")</f>
        <v>#REF!</v>
      </c>
      <c r="N23" t="e">
        <f>AND(Bills!#REF!,"AAAAAH43nw0=")</f>
        <v>#REF!</v>
      </c>
      <c r="O23" t="e">
        <f>AND(Bills!#REF!,"AAAAAH43nw4=")</f>
        <v>#REF!</v>
      </c>
      <c r="P23" t="e">
        <f>AND(Bills!#REF!,"AAAAAH43nw8=")</f>
        <v>#REF!</v>
      </c>
      <c r="Q23" t="e">
        <f>AND(Bills!#REF!,"AAAAAH43nxA=")</f>
        <v>#REF!</v>
      </c>
      <c r="R23" t="e">
        <f>IF(Bills!#REF!,"AAAAAH43nxE=",0)</f>
        <v>#REF!</v>
      </c>
      <c r="S23" t="e">
        <f>AND(Bills!#REF!,"AAAAAH43nxI=")</f>
        <v>#REF!</v>
      </c>
      <c r="T23" t="e">
        <f>AND(Bills!#REF!,"AAAAAH43nxM=")</f>
        <v>#REF!</v>
      </c>
      <c r="U23" t="e">
        <f>AND(Bills!#REF!,"AAAAAH43nxQ=")</f>
        <v>#REF!</v>
      </c>
      <c r="V23" t="e">
        <f>AND(Bills!#REF!,"AAAAAH43nxU=")</f>
        <v>#REF!</v>
      </c>
      <c r="W23" t="e">
        <f>AND(Bills!#REF!,"AAAAAH43nxY=")</f>
        <v>#REF!</v>
      </c>
      <c r="X23" t="e">
        <f>AND(Bills!#REF!,"AAAAAH43nxc=")</f>
        <v>#REF!</v>
      </c>
      <c r="Y23" t="e">
        <f>AND(Bills!#REF!,"AAAAAH43nxg=")</f>
        <v>#REF!</v>
      </c>
      <c r="Z23" t="e">
        <f>AND(Bills!#REF!,"AAAAAH43nxk=")</f>
        <v>#REF!</v>
      </c>
      <c r="AA23" t="e">
        <f>AND(Bills!#REF!,"AAAAAH43nxo=")</f>
        <v>#REF!</v>
      </c>
      <c r="AB23" t="e">
        <f>AND(Bills!#REF!,"AAAAAH43nxs=")</f>
        <v>#REF!</v>
      </c>
      <c r="AC23" t="e">
        <f>AND(Bills!#REF!,"AAAAAH43nxw=")</f>
        <v>#REF!</v>
      </c>
      <c r="AD23" t="e">
        <f>AND(Bills!#REF!,"AAAAAH43nx0=")</f>
        <v>#REF!</v>
      </c>
      <c r="AE23" t="e">
        <f>AND(Bills!#REF!,"AAAAAH43nx4=")</f>
        <v>#REF!</v>
      </c>
      <c r="AF23" t="e">
        <f>AND(Bills!#REF!,"AAAAAH43nx8=")</f>
        <v>#REF!</v>
      </c>
      <c r="AG23" t="e">
        <f>AND(Bills!#REF!,"AAAAAH43nyA=")</f>
        <v>#REF!</v>
      </c>
      <c r="AH23" t="e">
        <f>AND(Bills!#REF!,"AAAAAH43nyE=")</f>
        <v>#REF!</v>
      </c>
      <c r="AI23" t="e">
        <f>AND(Bills!#REF!,"AAAAAH43nyI=")</f>
        <v>#REF!</v>
      </c>
      <c r="AJ23" t="e">
        <f>AND(Bills!#REF!,"AAAAAH43nyM=")</f>
        <v>#REF!</v>
      </c>
      <c r="AK23" t="e">
        <f>AND(Bills!#REF!,"AAAAAH43nyQ=")</f>
        <v>#REF!</v>
      </c>
      <c r="AL23" t="e">
        <f>AND(Bills!#REF!,"AAAAAH43nyU=")</f>
        <v>#REF!</v>
      </c>
      <c r="AM23" t="e">
        <f>AND(Bills!#REF!,"AAAAAH43nyY=")</f>
        <v>#REF!</v>
      </c>
      <c r="AN23" t="e">
        <f>AND(Bills!#REF!,"AAAAAH43nyc=")</f>
        <v>#REF!</v>
      </c>
      <c r="AO23" t="e">
        <f>AND(Bills!#REF!,"AAAAAH43nyg=")</f>
        <v>#REF!</v>
      </c>
      <c r="AP23" t="e">
        <f>AND(Bills!#REF!,"AAAAAH43nyk=")</f>
        <v>#REF!</v>
      </c>
      <c r="AQ23" t="e">
        <f>AND(Bills!#REF!,"AAAAAH43nyo=")</f>
        <v>#REF!</v>
      </c>
      <c r="AR23" t="e">
        <f>AND(Bills!#REF!,"AAAAAH43nys=")</f>
        <v>#REF!</v>
      </c>
      <c r="AS23" t="e">
        <f>AND(Bills!#REF!,"AAAAAH43nyw=")</f>
        <v>#REF!</v>
      </c>
      <c r="AT23" t="e">
        <f>AND(Bills!#REF!,"AAAAAH43ny0=")</f>
        <v>#REF!</v>
      </c>
      <c r="AU23" t="e">
        <f>AND(Bills!#REF!,"AAAAAH43ny4=")</f>
        <v>#REF!</v>
      </c>
      <c r="AV23" t="e">
        <f>AND(Bills!#REF!,"AAAAAH43ny8=")</f>
        <v>#REF!</v>
      </c>
      <c r="AW23" t="e">
        <f>AND(Bills!#REF!,"AAAAAH43nzA=")</f>
        <v>#REF!</v>
      </c>
      <c r="AX23" t="e">
        <f>AND(Bills!#REF!,"AAAAAH43nzE=")</f>
        <v>#REF!</v>
      </c>
      <c r="AY23" t="e">
        <f>AND(Bills!#REF!,"AAAAAH43nzI=")</f>
        <v>#REF!</v>
      </c>
      <c r="AZ23" t="e">
        <f>AND(Bills!#REF!,"AAAAAH43nzM=")</f>
        <v>#REF!</v>
      </c>
      <c r="BA23" t="e">
        <f>AND(Bills!#REF!,"AAAAAH43nzQ=")</f>
        <v>#REF!</v>
      </c>
      <c r="BB23" t="e">
        <f>AND(Bills!#REF!,"AAAAAH43nzU=")</f>
        <v>#REF!</v>
      </c>
      <c r="BC23" t="e">
        <f>AND(Bills!#REF!,"AAAAAH43nzY=")</f>
        <v>#REF!</v>
      </c>
      <c r="BD23" t="e">
        <f>AND(Bills!#REF!,"AAAAAH43nzc=")</f>
        <v>#REF!</v>
      </c>
      <c r="BE23" t="e">
        <f>AND(Bills!#REF!,"AAAAAH43nzg=")</f>
        <v>#REF!</v>
      </c>
      <c r="BF23" t="e">
        <f>AND(Bills!#REF!,"AAAAAH43nzk=")</f>
        <v>#REF!</v>
      </c>
      <c r="BG23" t="e">
        <f>AND(Bills!#REF!,"AAAAAH43nzo=")</f>
        <v>#REF!</v>
      </c>
      <c r="BH23" t="e">
        <f>AND(Bills!#REF!,"AAAAAH43nzs=")</f>
        <v>#REF!</v>
      </c>
      <c r="BI23" t="e">
        <f>AND(Bills!#REF!,"AAAAAH43nzw=")</f>
        <v>#REF!</v>
      </c>
      <c r="BJ23" t="e">
        <f>AND(Bills!#REF!,"AAAAAH43nz0=")</f>
        <v>#REF!</v>
      </c>
      <c r="BK23" t="e">
        <f>AND(Bills!#REF!,"AAAAAH43nz4=")</f>
        <v>#REF!</v>
      </c>
      <c r="BL23" t="e">
        <f>AND(Bills!#REF!,"AAAAAH43nz8=")</f>
        <v>#REF!</v>
      </c>
      <c r="BM23" t="e">
        <f>AND(Bills!#REF!,"AAAAAH43n0A=")</f>
        <v>#REF!</v>
      </c>
      <c r="BN23" t="e">
        <f>AND(Bills!#REF!,"AAAAAH43n0E=")</f>
        <v>#REF!</v>
      </c>
      <c r="BO23" t="e">
        <f>AND(Bills!#REF!,"AAAAAH43n0I=")</f>
        <v>#REF!</v>
      </c>
      <c r="BP23" t="e">
        <f>AND(Bills!#REF!,"AAAAAH43n0M=")</f>
        <v>#REF!</v>
      </c>
      <c r="BQ23" t="e">
        <f>IF(Bills!#REF!,"AAAAAH43n0Q=",0)</f>
        <v>#REF!</v>
      </c>
      <c r="BR23" t="e">
        <f>AND(Bills!#REF!,"AAAAAH43n0U=")</f>
        <v>#REF!</v>
      </c>
      <c r="BS23" t="e">
        <f>AND(Bills!#REF!,"AAAAAH43n0Y=")</f>
        <v>#REF!</v>
      </c>
      <c r="BT23" t="e">
        <f>AND(Bills!#REF!,"AAAAAH43n0c=")</f>
        <v>#REF!</v>
      </c>
      <c r="BU23" t="e">
        <f>AND(Bills!#REF!,"AAAAAH43n0g=")</f>
        <v>#REF!</v>
      </c>
      <c r="BV23" t="e">
        <f>AND(Bills!#REF!,"AAAAAH43n0k=")</f>
        <v>#REF!</v>
      </c>
      <c r="BW23" t="e">
        <f>AND(Bills!#REF!,"AAAAAH43n0o=")</f>
        <v>#REF!</v>
      </c>
      <c r="BX23" t="e">
        <f>AND(Bills!#REF!,"AAAAAH43n0s=")</f>
        <v>#REF!</v>
      </c>
      <c r="BY23" t="e">
        <f>AND(Bills!#REF!,"AAAAAH43n0w=")</f>
        <v>#REF!</v>
      </c>
      <c r="BZ23" t="e">
        <f>AND(Bills!#REF!,"AAAAAH43n00=")</f>
        <v>#REF!</v>
      </c>
      <c r="CA23" t="e">
        <f>AND(Bills!#REF!,"AAAAAH43n04=")</f>
        <v>#REF!</v>
      </c>
      <c r="CB23" t="e">
        <f>AND(Bills!#REF!,"AAAAAH43n08=")</f>
        <v>#REF!</v>
      </c>
      <c r="CC23" t="e">
        <f>AND(Bills!#REF!,"AAAAAH43n1A=")</f>
        <v>#REF!</v>
      </c>
      <c r="CD23" t="e">
        <f>AND(Bills!#REF!,"AAAAAH43n1E=")</f>
        <v>#REF!</v>
      </c>
      <c r="CE23" t="e">
        <f>AND(Bills!#REF!,"AAAAAH43n1I=")</f>
        <v>#REF!</v>
      </c>
      <c r="CF23" t="e">
        <f>AND(Bills!#REF!,"AAAAAH43n1M=")</f>
        <v>#REF!</v>
      </c>
      <c r="CG23" t="e">
        <f>AND(Bills!#REF!,"AAAAAH43n1Q=")</f>
        <v>#REF!</v>
      </c>
      <c r="CH23" t="e">
        <f>AND(Bills!#REF!,"AAAAAH43n1U=")</f>
        <v>#REF!</v>
      </c>
      <c r="CI23" t="e">
        <f>AND(Bills!#REF!,"AAAAAH43n1Y=")</f>
        <v>#REF!</v>
      </c>
      <c r="CJ23" t="e">
        <f>AND(Bills!#REF!,"AAAAAH43n1c=")</f>
        <v>#REF!</v>
      </c>
      <c r="CK23" t="e">
        <f>AND(Bills!#REF!,"AAAAAH43n1g=")</f>
        <v>#REF!</v>
      </c>
      <c r="CL23" t="e">
        <f>AND(Bills!#REF!,"AAAAAH43n1k=")</f>
        <v>#REF!</v>
      </c>
      <c r="CM23" t="e">
        <f>AND(Bills!#REF!,"AAAAAH43n1o=")</f>
        <v>#REF!</v>
      </c>
      <c r="CN23" t="e">
        <f>AND(Bills!#REF!,"AAAAAH43n1s=")</f>
        <v>#REF!</v>
      </c>
      <c r="CO23" t="e">
        <f>AND(Bills!#REF!,"AAAAAH43n1w=")</f>
        <v>#REF!</v>
      </c>
      <c r="CP23" t="e">
        <f>AND(Bills!#REF!,"AAAAAH43n10=")</f>
        <v>#REF!</v>
      </c>
      <c r="CQ23" t="e">
        <f>AND(Bills!#REF!,"AAAAAH43n14=")</f>
        <v>#REF!</v>
      </c>
      <c r="CR23" t="e">
        <f>AND(Bills!#REF!,"AAAAAH43n18=")</f>
        <v>#REF!</v>
      </c>
      <c r="CS23" t="e">
        <f>AND(Bills!#REF!,"AAAAAH43n2A=")</f>
        <v>#REF!</v>
      </c>
      <c r="CT23" t="e">
        <f>AND(Bills!#REF!,"AAAAAH43n2E=")</f>
        <v>#REF!</v>
      </c>
      <c r="CU23" t="e">
        <f>AND(Bills!#REF!,"AAAAAH43n2I=")</f>
        <v>#REF!</v>
      </c>
      <c r="CV23" t="e">
        <f>AND(Bills!#REF!,"AAAAAH43n2M=")</f>
        <v>#REF!</v>
      </c>
      <c r="CW23" t="e">
        <f>AND(Bills!#REF!,"AAAAAH43n2Q=")</f>
        <v>#REF!</v>
      </c>
      <c r="CX23" t="e">
        <f>AND(Bills!#REF!,"AAAAAH43n2U=")</f>
        <v>#REF!</v>
      </c>
      <c r="CY23" t="e">
        <f>AND(Bills!#REF!,"AAAAAH43n2Y=")</f>
        <v>#REF!</v>
      </c>
      <c r="CZ23" t="e">
        <f>AND(Bills!#REF!,"AAAAAH43n2c=")</f>
        <v>#REF!</v>
      </c>
      <c r="DA23" t="e">
        <f>AND(Bills!#REF!,"AAAAAH43n2g=")</f>
        <v>#REF!</v>
      </c>
      <c r="DB23" t="e">
        <f>AND(Bills!#REF!,"AAAAAH43n2k=")</f>
        <v>#REF!</v>
      </c>
      <c r="DC23" t="e">
        <f>AND(Bills!#REF!,"AAAAAH43n2o=")</f>
        <v>#REF!</v>
      </c>
      <c r="DD23" t="e">
        <f>AND(Bills!#REF!,"AAAAAH43n2s=")</f>
        <v>#REF!</v>
      </c>
      <c r="DE23" t="e">
        <f>AND(Bills!#REF!,"AAAAAH43n2w=")</f>
        <v>#REF!</v>
      </c>
      <c r="DF23" t="e">
        <f>AND(Bills!#REF!,"AAAAAH43n20=")</f>
        <v>#REF!</v>
      </c>
      <c r="DG23" t="e">
        <f>AND(Bills!#REF!,"AAAAAH43n24=")</f>
        <v>#REF!</v>
      </c>
      <c r="DH23" t="e">
        <f>AND(Bills!#REF!,"AAAAAH43n28=")</f>
        <v>#REF!</v>
      </c>
      <c r="DI23" t="e">
        <f>AND(Bills!#REF!,"AAAAAH43n3A=")</f>
        <v>#REF!</v>
      </c>
      <c r="DJ23" t="e">
        <f>AND(Bills!#REF!,"AAAAAH43n3E=")</f>
        <v>#REF!</v>
      </c>
      <c r="DK23" t="e">
        <f>AND(Bills!#REF!,"AAAAAH43n3I=")</f>
        <v>#REF!</v>
      </c>
      <c r="DL23" t="e">
        <f>AND(Bills!#REF!,"AAAAAH43n3M=")</f>
        <v>#REF!</v>
      </c>
      <c r="DM23" t="e">
        <f>AND(Bills!#REF!,"AAAAAH43n3Q=")</f>
        <v>#REF!</v>
      </c>
      <c r="DN23" t="e">
        <f>AND(Bills!#REF!,"AAAAAH43n3U=")</f>
        <v>#REF!</v>
      </c>
      <c r="DO23" t="e">
        <f>AND(Bills!#REF!,"AAAAAH43n3Y=")</f>
        <v>#REF!</v>
      </c>
      <c r="DP23" t="e">
        <f>IF(Bills!#REF!,"AAAAAH43n3c=",0)</f>
        <v>#REF!</v>
      </c>
      <c r="DQ23" t="e">
        <f>AND(Bills!#REF!,"AAAAAH43n3g=")</f>
        <v>#REF!</v>
      </c>
      <c r="DR23" t="e">
        <f>AND(Bills!#REF!,"AAAAAH43n3k=")</f>
        <v>#REF!</v>
      </c>
      <c r="DS23" t="e">
        <f>AND(Bills!#REF!,"AAAAAH43n3o=")</f>
        <v>#REF!</v>
      </c>
      <c r="DT23" t="e">
        <f>AND(Bills!#REF!,"AAAAAH43n3s=")</f>
        <v>#REF!</v>
      </c>
      <c r="DU23" t="e">
        <f>AND(Bills!#REF!,"AAAAAH43n3w=")</f>
        <v>#REF!</v>
      </c>
      <c r="DV23" t="e">
        <f>AND(Bills!#REF!,"AAAAAH43n30=")</f>
        <v>#REF!</v>
      </c>
      <c r="DW23" t="e">
        <f>AND(Bills!#REF!,"AAAAAH43n34=")</f>
        <v>#REF!</v>
      </c>
      <c r="DX23" t="e">
        <f>AND(Bills!#REF!,"AAAAAH43n38=")</f>
        <v>#REF!</v>
      </c>
      <c r="DY23" t="e">
        <f>AND(Bills!#REF!,"AAAAAH43n4A=")</f>
        <v>#REF!</v>
      </c>
      <c r="DZ23" t="e">
        <f>AND(Bills!#REF!,"AAAAAH43n4E=")</f>
        <v>#REF!</v>
      </c>
      <c r="EA23" t="e">
        <f>AND(Bills!#REF!,"AAAAAH43n4I=")</f>
        <v>#REF!</v>
      </c>
      <c r="EB23" t="e">
        <f>AND(Bills!#REF!,"AAAAAH43n4M=")</f>
        <v>#REF!</v>
      </c>
      <c r="EC23" t="e">
        <f>AND(Bills!#REF!,"AAAAAH43n4Q=")</f>
        <v>#REF!</v>
      </c>
      <c r="ED23" t="e">
        <f>AND(Bills!#REF!,"AAAAAH43n4U=")</f>
        <v>#REF!</v>
      </c>
      <c r="EE23" t="e">
        <f>AND(Bills!#REF!,"AAAAAH43n4Y=")</f>
        <v>#REF!</v>
      </c>
      <c r="EF23" t="e">
        <f>AND(Bills!#REF!,"AAAAAH43n4c=")</f>
        <v>#REF!</v>
      </c>
      <c r="EG23" t="e">
        <f>AND(Bills!#REF!,"AAAAAH43n4g=")</f>
        <v>#REF!</v>
      </c>
      <c r="EH23" t="e">
        <f>AND(Bills!#REF!,"AAAAAH43n4k=")</f>
        <v>#REF!</v>
      </c>
      <c r="EI23" t="e">
        <f>AND(Bills!#REF!,"AAAAAH43n4o=")</f>
        <v>#REF!</v>
      </c>
      <c r="EJ23" t="e">
        <f>AND(Bills!#REF!,"AAAAAH43n4s=")</f>
        <v>#REF!</v>
      </c>
      <c r="EK23" t="e">
        <f>AND(Bills!#REF!,"AAAAAH43n4w=")</f>
        <v>#REF!</v>
      </c>
      <c r="EL23" t="e">
        <f>AND(Bills!#REF!,"AAAAAH43n40=")</f>
        <v>#REF!</v>
      </c>
      <c r="EM23" t="e">
        <f>AND(Bills!#REF!,"AAAAAH43n44=")</f>
        <v>#REF!</v>
      </c>
      <c r="EN23" t="e">
        <f>AND(Bills!#REF!,"AAAAAH43n48=")</f>
        <v>#REF!</v>
      </c>
      <c r="EO23" t="e">
        <f>AND(Bills!#REF!,"AAAAAH43n5A=")</f>
        <v>#REF!</v>
      </c>
      <c r="EP23" t="e">
        <f>AND(Bills!#REF!,"AAAAAH43n5E=")</f>
        <v>#REF!</v>
      </c>
      <c r="EQ23" t="e">
        <f>AND(Bills!#REF!,"AAAAAH43n5I=")</f>
        <v>#REF!</v>
      </c>
      <c r="ER23" t="e">
        <f>AND(Bills!#REF!,"AAAAAH43n5M=")</f>
        <v>#REF!</v>
      </c>
      <c r="ES23" t="e">
        <f>AND(Bills!#REF!,"AAAAAH43n5Q=")</f>
        <v>#REF!</v>
      </c>
      <c r="ET23" t="e">
        <f>AND(Bills!#REF!,"AAAAAH43n5U=")</f>
        <v>#REF!</v>
      </c>
      <c r="EU23" t="e">
        <f>AND(Bills!#REF!,"AAAAAH43n5Y=")</f>
        <v>#REF!</v>
      </c>
      <c r="EV23" t="e">
        <f>AND(Bills!#REF!,"AAAAAH43n5c=")</f>
        <v>#REF!</v>
      </c>
      <c r="EW23" t="e">
        <f>AND(Bills!#REF!,"AAAAAH43n5g=")</f>
        <v>#REF!</v>
      </c>
      <c r="EX23" t="e">
        <f>AND(Bills!#REF!,"AAAAAH43n5k=")</f>
        <v>#REF!</v>
      </c>
      <c r="EY23" t="e">
        <f>AND(Bills!#REF!,"AAAAAH43n5o=")</f>
        <v>#REF!</v>
      </c>
      <c r="EZ23" t="e">
        <f>AND(Bills!#REF!,"AAAAAH43n5s=")</f>
        <v>#REF!</v>
      </c>
      <c r="FA23" t="e">
        <f>AND(Bills!#REF!,"AAAAAH43n5w=")</f>
        <v>#REF!</v>
      </c>
      <c r="FB23" t="e">
        <f>AND(Bills!#REF!,"AAAAAH43n50=")</f>
        <v>#REF!</v>
      </c>
      <c r="FC23" t="e">
        <f>AND(Bills!#REF!,"AAAAAH43n54=")</f>
        <v>#REF!</v>
      </c>
      <c r="FD23" t="e">
        <f>AND(Bills!#REF!,"AAAAAH43n58=")</f>
        <v>#REF!</v>
      </c>
      <c r="FE23" t="e">
        <f>AND(Bills!#REF!,"AAAAAH43n6A=")</f>
        <v>#REF!</v>
      </c>
      <c r="FF23" t="e">
        <f>AND(Bills!#REF!,"AAAAAH43n6E=")</f>
        <v>#REF!</v>
      </c>
      <c r="FG23" t="e">
        <f>AND(Bills!#REF!,"AAAAAH43n6I=")</f>
        <v>#REF!</v>
      </c>
      <c r="FH23" t="e">
        <f>AND(Bills!#REF!,"AAAAAH43n6M=")</f>
        <v>#REF!</v>
      </c>
      <c r="FI23" t="e">
        <f>AND(Bills!#REF!,"AAAAAH43n6Q=")</f>
        <v>#REF!</v>
      </c>
      <c r="FJ23" t="e">
        <f>AND(Bills!#REF!,"AAAAAH43n6U=")</f>
        <v>#REF!</v>
      </c>
      <c r="FK23" t="e">
        <f>AND(Bills!#REF!,"AAAAAH43n6Y=")</f>
        <v>#REF!</v>
      </c>
      <c r="FL23" t="e">
        <f>AND(Bills!#REF!,"AAAAAH43n6c=")</f>
        <v>#REF!</v>
      </c>
      <c r="FM23" t="e">
        <f>AND(Bills!#REF!,"AAAAAH43n6g=")</f>
        <v>#REF!</v>
      </c>
      <c r="FN23" t="e">
        <f>AND(Bills!#REF!,"AAAAAH43n6k=")</f>
        <v>#REF!</v>
      </c>
      <c r="FO23" t="e">
        <f>IF(Bills!#REF!,"AAAAAH43n6o=",0)</f>
        <v>#REF!</v>
      </c>
      <c r="FP23" t="e">
        <f>AND(Bills!#REF!,"AAAAAH43n6s=")</f>
        <v>#REF!</v>
      </c>
      <c r="FQ23" t="e">
        <f>AND(Bills!#REF!,"AAAAAH43n6w=")</f>
        <v>#REF!</v>
      </c>
      <c r="FR23" t="e">
        <f>AND(Bills!#REF!,"AAAAAH43n60=")</f>
        <v>#REF!</v>
      </c>
      <c r="FS23" t="e">
        <f>AND(Bills!#REF!,"AAAAAH43n64=")</f>
        <v>#REF!</v>
      </c>
      <c r="FT23" t="e">
        <f>AND(Bills!#REF!,"AAAAAH43n68=")</f>
        <v>#REF!</v>
      </c>
      <c r="FU23" t="e">
        <f>AND(Bills!#REF!,"AAAAAH43n7A=")</f>
        <v>#REF!</v>
      </c>
      <c r="FV23" t="e">
        <f>AND(Bills!#REF!,"AAAAAH43n7E=")</f>
        <v>#REF!</v>
      </c>
      <c r="FW23" t="e">
        <f>AND(Bills!#REF!,"AAAAAH43n7I=")</f>
        <v>#REF!</v>
      </c>
      <c r="FX23" t="e">
        <f>AND(Bills!#REF!,"AAAAAH43n7M=")</f>
        <v>#REF!</v>
      </c>
      <c r="FY23" t="e">
        <f>AND(Bills!#REF!,"AAAAAH43n7Q=")</f>
        <v>#REF!</v>
      </c>
      <c r="FZ23" t="e">
        <f>AND(Bills!#REF!,"AAAAAH43n7U=")</f>
        <v>#REF!</v>
      </c>
      <c r="GA23" t="e">
        <f>AND(Bills!#REF!,"AAAAAH43n7Y=")</f>
        <v>#REF!</v>
      </c>
      <c r="GB23" t="e">
        <f>AND(Bills!#REF!,"AAAAAH43n7c=")</f>
        <v>#REF!</v>
      </c>
      <c r="GC23" t="e">
        <f>AND(Bills!#REF!,"AAAAAH43n7g=")</f>
        <v>#REF!</v>
      </c>
      <c r="GD23" t="e">
        <f>AND(Bills!#REF!,"AAAAAH43n7k=")</f>
        <v>#REF!</v>
      </c>
      <c r="GE23" t="e">
        <f>AND(Bills!#REF!,"AAAAAH43n7o=")</f>
        <v>#REF!</v>
      </c>
      <c r="GF23" t="e">
        <f>AND(Bills!#REF!,"AAAAAH43n7s=")</f>
        <v>#REF!</v>
      </c>
      <c r="GG23" t="e">
        <f>AND(Bills!#REF!,"AAAAAH43n7w=")</f>
        <v>#REF!</v>
      </c>
      <c r="GH23" t="e">
        <f>AND(Bills!#REF!,"AAAAAH43n70=")</f>
        <v>#REF!</v>
      </c>
      <c r="GI23" t="e">
        <f>AND(Bills!#REF!,"AAAAAH43n74=")</f>
        <v>#REF!</v>
      </c>
      <c r="GJ23" t="e">
        <f>AND(Bills!#REF!,"AAAAAH43n78=")</f>
        <v>#REF!</v>
      </c>
      <c r="GK23" t="e">
        <f>AND(Bills!#REF!,"AAAAAH43n8A=")</f>
        <v>#REF!</v>
      </c>
      <c r="GL23" t="e">
        <f>AND(Bills!#REF!,"AAAAAH43n8E=")</f>
        <v>#REF!</v>
      </c>
      <c r="GM23" t="e">
        <f>AND(Bills!#REF!,"AAAAAH43n8I=")</f>
        <v>#REF!</v>
      </c>
      <c r="GN23" t="e">
        <f>AND(Bills!#REF!,"AAAAAH43n8M=")</f>
        <v>#REF!</v>
      </c>
      <c r="GO23" t="e">
        <f>AND(Bills!#REF!,"AAAAAH43n8Q=")</f>
        <v>#REF!</v>
      </c>
      <c r="GP23" t="e">
        <f>AND(Bills!#REF!,"AAAAAH43n8U=")</f>
        <v>#REF!</v>
      </c>
      <c r="GQ23" t="e">
        <f>AND(Bills!#REF!,"AAAAAH43n8Y=")</f>
        <v>#REF!</v>
      </c>
      <c r="GR23" t="e">
        <f>AND(Bills!#REF!,"AAAAAH43n8c=")</f>
        <v>#REF!</v>
      </c>
      <c r="GS23" t="e">
        <f>AND(Bills!#REF!,"AAAAAH43n8g=")</f>
        <v>#REF!</v>
      </c>
      <c r="GT23" t="e">
        <f>AND(Bills!#REF!,"AAAAAH43n8k=")</f>
        <v>#REF!</v>
      </c>
      <c r="GU23" t="e">
        <f>AND(Bills!#REF!,"AAAAAH43n8o=")</f>
        <v>#REF!</v>
      </c>
      <c r="GV23" t="e">
        <f>AND(Bills!#REF!,"AAAAAH43n8s=")</f>
        <v>#REF!</v>
      </c>
      <c r="GW23" t="e">
        <f>AND(Bills!#REF!,"AAAAAH43n8w=")</f>
        <v>#REF!</v>
      </c>
      <c r="GX23" t="e">
        <f>AND(Bills!#REF!,"AAAAAH43n80=")</f>
        <v>#REF!</v>
      </c>
      <c r="GY23" t="e">
        <f>AND(Bills!#REF!,"AAAAAH43n84=")</f>
        <v>#REF!</v>
      </c>
      <c r="GZ23" t="e">
        <f>AND(Bills!#REF!,"AAAAAH43n88=")</f>
        <v>#REF!</v>
      </c>
      <c r="HA23" t="e">
        <f>AND(Bills!#REF!,"AAAAAH43n9A=")</f>
        <v>#REF!</v>
      </c>
      <c r="HB23" t="e">
        <f>AND(Bills!#REF!,"AAAAAH43n9E=")</f>
        <v>#REF!</v>
      </c>
      <c r="HC23" t="e">
        <f>AND(Bills!#REF!,"AAAAAH43n9I=")</f>
        <v>#REF!</v>
      </c>
      <c r="HD23" t="e">
        <f>AND(Bills!#REF!,"AAAAAH43n9M=")</f>
        <v>#REF!</v>
      </c>
      <c r="HE23" t="e">
        <f>AND(Bills!#REF!,"AAAAAH43n9Q=")</f>
        <v>#REF!</v>
      </c>
      <c r="HF23" t="e">
        <f>AND(Bills!#REF!,"AAAAAH43n9U=")</f>
        <v>#REF!</v>
      </c>
      <c r="HG23" t="e">
        <f>AND(Bills!#REF!,"AAAAAH43n9Y=")</f>
        <v>#REF!</v>
      </c>
      <c r="HH23" t="e">
        <f>AND(Bills!#REF!,"AAAAAH43n9c=")</f>
        <v>#REF!</v>
      </c>
      <c r="HI23" t="e">
        <f>AND(Bills!#REF!,"AAAAAH43n9g=")</f>
        <v>#REF!</v>
      </c>
      <c r="HJ23" t="e">
        <f>AND(Bills!#REF!,"AAAAAH43n9k=")</f>
        <v>#REF!</v>
      </c>
      <c r="HK23" t="e">
        <f>AND(Bills!#REF!,"AAAAAH43n9o=")</f>
        <v>#REF!</v>
      </c>
      <c r="HL23" t="e">
        <f>AND(Bills!#REF!,"AAAAAH43n9s=")</f>
        <v>#REF!</v>
      </c>
      <c r="HM23" t="e">
        <f>AND(Bills!#REF!,"AAAAAH43n9w=")</f>
        <v>#REF!</v>
      </c>
      <c r="HN23">
        <f>IF(Bills!13:13,"AAAAAH43n90=",0)</f>
        <v>0</v>
      </c>
      <c r="HO23" t="e">
        <f>AND(Bills!B13,"AAAAAH43n94=")</f>
        <v>#VALUE!</v>
      </c>
      <c r="HP23" t="e">
        <f>AND(Bills!#REF!,"AAAAAH43n98=")</f>
        <v>#REF!</v>
      </c>
      <c r="HQ23" t="e">
        <f>AND(Bills!C13,"AAAAAH43n+A=")</f>
        <v>#VALUE!</v>
      </c>
      <c r="HR23" t="e">
        <f>AND(Bills!D13,"AAAAAH43n+E=")</f>
        <v>#VALUE!</v>
      </c>
      <c r="HS23" t="e">
        <f>AND(Bills!E13,"AAAAAH43n+I=")</f>
        <v>#VALUE!</v>
      </c>
      <c r="HT23" t="e">
        <f>AND(Bills!#REF!,"AAAAAH43n+M=")</f>
        <v>#REF!</v>
      </c>
      <c r="HU23" t="e">
        <f>AND(Bills!#REF!,"AAAAAH43n+Q=")</f>
        <v>#REF!</v>
      </c>
      <c r="HV23" t="e">
        <f>AND(Bills!#REF!,"AAAAAH43n+U=")</f>
        <v>#REF!</v>
      </c>
      <c r="HW23" t="e">
        <f>AND(Bills!F13,"AAAAAH43n+Y=")</f>
        <v>#VALUE!</v>
      </c>
      <c r="HX23" t="e">
        <f>AND(Bills!#REF!,"AAAAAH43n+c=")</f>
        <v>#REF!</v>
      </c>
      <c r="HY23" t="e">
        <f>AND(Bills!G13,"AAAAAH43n+g=")</f>
        <v>#VALUE!</v>
      </c>
      <c r="HZ23" t="e">
        <f>AND(Bills!H13,"AAAAAH43n+k=")</f>
        <v>#VALUE!</v>
      </c>
      <c r="IA23" t="e">
        <f>AND(Bills!I13,"AAAAAH43n+o=")</f>
        <v>#VALUE!</v>
      </c>
      <c r="IB23" t="e">
        <f>AND(Bills!J13,"AAAAAH43n+s=")</f>
        <v>#VALUE!</v>
      </c>
      <c r="IC23" t="e">
        <f>AND(Bills!K13,"AAAAAH43n+w=")</f>
        <v>#VALUE!</v>
      </c>
      <c r="ID23" t="e">
        <f>AND(Bills!L13,"AAAAAH43n+0=")</f>
        <v>#VALUE!</v>
      </c>
      <c r="IE23" t="e">
        <f>AND(Bills!#REF!,"AAAAAH43n+4=")</f>
        <v>#REF!</v>
      </c>
      <c r="IF23" t="e">
        <f>AND(Bills!M13,"AAAAAH43n+8=")</f>
        <v>#VALUE!</v>
      </c>
      <c r="IG23" t="e">
        <f>AND(Bills!N13,"AAAAAH43n/A=")</f>
        <v>#VALUE!</v>
      </c>
      <c r="IH23" t="e">
        <f>AND(Bills!O13,"AAAAAH43n/E=")</f>
        <v>#VALUE!</v>
      </c>
      <c r="II23" t="e">
        <f>AND(Bills!P13,"AAAAAH43n/I=")</f>
        <v>#VALUE!</v>
      </c>
      <c r="IJ23" t="e">
        <f>AND(Bills!Q13,"AAAAAH43n/M=")</f>
        <v>#VALUE!</v>
      </c>
      <c r="IK23" t="e">
        <f>AND(Bills!R13,"AAAAAH43n/Q=")</f>
        <v>#VALUE!</v>
      </c>
      <c r="IL23" t="e">
        <f>AND(Bills!S13,"AAAAAH43n/U=")</f>
        <v>#VALUE!</v>
      </c>
      <c r="IM23" t="e">
        <f>AND(Bills!T13,"AAAAAH43n/Y=")</f>
        <v>#VALUE!</v>
      </c>
      <c r="IN23" t="e">
        <f>AND(Bills!#REF!,"AAAAAH43n/c=")</f>
        <v>#REF!</v>
      </c>
      <c r="IO23" t="e">
        <f>AND(Bills!U13,"AAAAAH43n/g=")</f>
        <v>#VALUE!</v>
      </c>
      <c r="IP23" t="e">
        <f>AND(Bills!V13,"AAAAAH43n/k=")</f>
        <v>#VALUE!</v>
      </c>
      <c r="IQ23" t="e">
        <f>AND(Bills!W13,"AAAAAH43n/o=")</f>
        <v>#VALUE!</v>
      </c>
      <c r="IR23" t="e">
        <f>AND(Bills!#REF!,"AAAAAH43n/s=")</f>
        <v>#REF!</v>
      </c>
      <c r="IS23" t="e">
        <f>AND(Bills!#REF!,"AAAAAH43n/w=")</f>
        <v>#REF!</v>
      </c>
      <c r="IT23" t="e">
        <f>AND(Bills!Y13,"AAAAAH43n/0=")</f>
        <v>#VALUE!</v>
      </c>
      <c r="IU23" t="e">
        <f>AND(Bills!Z13,"AAAAAH43n/4=")</f>
        <v>#VALUE!</v>
      </c>
      <c r="IV23" t="e">
        <f>AND(Bills!#REF!,"AAAAAH43n/8=")</f>
        <v>#REF!</v>
      </c>
    </row>
    <row r="24" spans="1:256" x14ac:dyDescent="0.25">
      <c r="A24" t="e">
        <f>AND(Bills!#REF!,"AAAAAHX58wA=")</f>
        <v>#REF!</v>
      </c>
      <c r="B24" t="e">
        <f>AND(Bills!#REF!,"AAAAAHX58wE=")</f>
        <v>#REF!</v>
      </c>
      <c r="C24" t="e">
        <f>AND(Bills!#REF!,"AAAAAHX58wI=")</f>
        <v>#REF!</v>
      </c>
      <c r="D24" t="e">
        <f>AND(Bills!#REF!,"AAAAAHX58wM=")</f>
        <v>#REF!</v>
      </c>
      <c r="E24" t="e">
        <f>AND(Bills!#REF!,"AAAAAHX58wQ=")</f>
        <v>#REF!</v>
      </c>
      <c r="F24" t="e">
        <f>AND(Bills!#REF!,"AAAAAHX58wU=")</f>
        <v>#REF!</v>
      </c>
      <c r="G24" t="e">
        <f>AND(Bills!#REF!,"AAAAAHX58wY=")</f>
        <v>#REF!</v>
      </c>
      <c r="H24" t="e">
        <f>AND(Bills!#REF!,"AAAAAHX58wc=")</f>
        <v>#REF!</v>
      </c>
      <c r="I24" t="e">
        <f>AND(Bills!AA13,"AAAAAHX58wg=")</f>
        <v>#VALUE!</v>
      </c>
      <c r="J24" t="e">
        <f>AND(Bills!AB13,"AAAAAHX58wk=")</f>
        <v>#VALUE!</v>
      </c>
      <c r="K24" t="e">
        <f>AND(Bills!#REF!,"AAAAAHX58wo=")</f>
        <v>#REF!</v>
      </c>
      <c r="L24" t="e">
        <f>AND(Bills!#REF!,"AAAAAHX58ws=")</f>
        <v>#REF!</v>
      </c>
      <c r="M24" t="e">
        <f>AND(Bills!#REF!,"AAAAAHX58ww=")</f>
        <v>#REF!</v>
      </c>
      <c r="N24" t="e">
        <f>AND(Bills!AC13,"AAAAAHX58w0=")</f>
        <v>#VALUE!</v>
      </c>
      <c r="O24" t="e">
        <f>AND(Bills!AD13,"AAAAAHX58w4=")</f>
        <v>#VALUE!</v>
      </c>
      <c r="P24" t="e">
        <f>AND(Bills!AE13,"AAAAAHX58w8=")</f>
        <v>#VALUE!</v>
      </c>
      <c r="Q24" t="e">
        <f>IF(Bills!#REF!,"AAAAAHX58xA=",0)</f>
        <v>#REF!</v>
      </c>
      <c r="R24" t="e">
        <f>AND(Bills!#REF!,"AAAAAHX58xE=")</f>
        <v>#REF!</v>
      </c>
      <c r="S24" t="e">
        <f>AND(Bills!#REF!,"AAAAAHX58xI=")</f>
        <v>#REF!</v>
      </c>
      <c r="T24" t="e">
        <f>AND(Bills!#REF!,"AAAAAHX58xM=")</f>
        <v>#REF!</v>
      </c>
      <c r="U24" t="e">
        <f>AND(Bills!#REF!,"AAAAAHX58xQ=")</f>
        <v>#REF!</v>
      </c>
      <c r="V24" t="e">
        <f>AND(Bills!#REF!,"AAAAAHX58xU=")</f>
        <v>#REF!</v>
      </c>
      <c r="W24" t="e">
        <f>AND(Bills!#REF!,"AAAAAHX58xY=")</f>
        <v>#REF!</v>
      </c>
      <c r="X24" t="e">
        <f>AND(Bills!#REF!,"AAAAAHX58xc=")</f>
        <v>#REF!</v>
      </c>
      <c r="Y24" t="e">
        <f>AND(Bills!#REF!,"AAAAAHX58xg=")</f>
        <v>#REF!</v>
      </c>
      <c r="Z24" t="e">
        <f>AND(Bills!#REF!,"AAAAAHX58xk=")</f>
        <v>#REF!</v>
      </c>
      <c r="AA24" t="e">
        <f>AND(Bills!#REF!,"AAAAAHX58xo=")</f>
        <v>#REF!</v>
      </c>
      <c r="AB24" t="e">
        <f>AND(Bills!#REF!,"AAAAAHX58xs=")</f>
        <v>#REF!</v>
      </c>
      <c r="AC24" t="e">
        <f>AND(Bills!#REF!,"AAAAAHX58xw=")</f>
        <v>#REF!</v>
      </c>
      <c r="AD24" t="e">
        <f>AND(Bills!#REF!,"AAAAAHX58x0=")</f>
        <v>#REF!</v>
      </c>
      <c r="AE24" t="e">
        <f>AND(Bills!#REF!,"AAAAAHX58x4=")</f>
        <v>#REF!</v>
      </c>
      <c r="AF24" t="e">
        <f>AND(Bills!#REF!,"AAAAAHX58x8=")</f>
        <v>#REF!</v>
      </c>
      <c r="AG24" t="e">
        <f>AND(Bills!#REF!,"AAAAAHX58yA=")</f>
        <v>#REF!</v>
      </c>
      <c r="AH24" t="e">
        <f>AND(Bills!#REF!,"AAAAAHX58yE=")</f>
        <v>#REF!</v>
      </c>
      <c r="AI24" t="e">
        <f>AND(Bills!#REF!,"AAAAAHX58yI=")</f>
        <v>#REF!</v>
      </c>
      <c r="AJ24" t="e">
        <f>AND(Bills!#REF!,"AAAAAHX58yM=")</f>
        <v>#REF!</v>
      </c>
      <c r="AK24" t="e">
        <f>AND(Bills!#REF!,"AAAAAHX58yQ=")</f>
        <v>#REF!</v>
      </c>
      <c r="AL24" t="e">
        <f>AND(Bills!#REF!,"AAAAAHX58yU=")</f>
        <v>#REF!</v>
      </c>
      <c r="AM24" t="e">
        <f>AND(Bills!#REF!,"AAAAAHX58yY=")</f>
        <v>#REF!</v>
      </c>
      <c r="AN24" t="e">
        <f>AND(Bills!#REF!,"AAAAAHX58yc=")</f>
        <v>#REF!</v>
      </c>
      <c r="AO24" t="e">
        <f>AND(Bills!#REF!,"AAAAAHX58yg=")</f>
        <v>#REF!</v>
      </c>
      <c r="AP24" t="e">
        <f>AND(Bills!#REF!,"AAAAAHX58yk=")</f>
        <v>#REF!</v>
      </c>
      <c r="AQ24" t="e">
        <f>AND(Bills!#REF!,"AAAAAHX58yo=")</f>
        <v>#REF!</v>
      </c>
      <c r="AR24" t="e">
        <f>AND(Bills!#REF!,"AAAAAHX58ys=")</f>
        <v>#REF!</v>
      </c>
      <c r="AS24" t="e">
        <f>AND(Bills!#REF!,"AAAAAHX58yw=")</f>
        <v>#REF!</v>
      </c>
      <c r="AT24" t="e">
        <f>AND(Bills!#REF!,"AAAAAHX58y0=")</f>
        <v>#REF!</v>
      </c>
      <c r="AU24" t="e">
        <f>AND(Bills!#REF!,"AAAAAHX58y4=")</f>
        <v>#REF!</v>
      </c>
      <c r="AV24" t="e">
        <f>AND(Bills!#REF!,"AAAAAHX58y8=")</f>
        <v>#REF!</v>
      </c>
      <c r="AW24" t="e">
        <f>AND(Bills!#REF!,"AAAAAHX58zA=")</f>
        <v>#REF!</v>
      </c>
      <c r="AX24" t="e">
        <f>AND(Bills!#REF!,"AAAAAHX58zE=")</f>
        <v>#REF!</v>
      </c>
      <c r="AY24" t="e">
        <f>AND(Bills!#REF!,"AAAAAHX58zI=")</f>
        <v>#REF!</v>
      </c>
      <c r="AZ24" t="e">
        <f>AND(Bills!#REF!,"AAAAAHX58zM=")</f>
        <v>#REF!</v>
      </c>
      <c r="BA24" t="e">
        <f>AND(Bills!#REF!,"AAAAAHX58zQ=")</f>
        <v>#REF!</v>
      </c>
      <c r="BB24" t="e">
        <f>AND(Bills!#REF!,"AAAAAHX58zU=")</f>
        <v>#REF!</v>
      </c>
      <c r="BC24" t="e">
        <f>AND(Bills!#REF!,"AAAAAHX58zY=")</f>
        <v>#REF!</v>
      </c>
      <c r="BD24" t="e">
        <f>AND(Bills!#REF!,"AAAAAHX58zc=")</f>
        <v>#REF!</v>
      </c>
      <c r="BE24" t="e">
        <f>AND(Bills!#REF!,"AAAAAHX58zg=")</f>
        <v>#REF!</v>
      </c>
      <c r="BF24" t="e">
        <f>AND(Bills!#REF!,"AAAAAHX58zk=")</f>
        <v>#REF!</v>
      </c>
      <c r="BG24" t="e">
        <f>AND(Bills!#REF!,"AAAAAHX58zo=")</f>
        <v>#REF!</v>
      </c>
      <c r="BH24" t="e">
        <f>AND(Bills!#REF!,"AAAAAHX58zs=")</f>
        <v>#REF!</v>
      </c>
      <c r="BI24" t="e">
        <f>AND(Bills!#REF!,"AAAAAHX58zw=")</f>
        <v>#REF!</v>
      </c>
      <c r="BJ24" t="e">
        <f>AND(Bills!#REF!,"AAAAAHX58z0=")</f>
        <v>#REF!</v>
      </c>
      <c r="BK24" t="e">
        <f>AND(Bills!#REF!,"AAAAAHX58z4=")</f>
        <v>#REF!</v>
      </c>
      <c r="BL24" t="e">
        <f>AND(Bills!#REF!,"AAAAAHX58z8=")</f>
        <v>#REF!</v>
      </c>
      <c r="BM24" t="e">
        <f>AND(Bills!#REF!,"AAAAAHX580A=")</f>
        <v>#REF!</v>
      </c>
      <c r="BN24" t="e">
        <f>AND(Bills!#REF!,"AAAAAHX580E=")</f>
        <v>#REF!</v>
      </c>
      <c r="BO24" t="e">
        <f>AND(Bills!#REF!,"AAAAAHX580I=")</f>
        <v>#REF!</v>
      </c>
      <c r="BP24" t="e">
        <f>IF(Bills!#REF!,"AAAAAHX580M=",0)</f>
        <v>#REF!</v>
      </c>
      <c r="BQ24" t="e">
        <f>AND(Bills!#REF!,"AAAAAHX580Q=")</f>
        <v>#REF!</v>
      </c>
      <c r="BR24" t="e">
        <f>AND(Bills!#REF!,"AAAAAHX580U=")</f>
        <v>#REF!</v>
      </c>
      <c r="BS24" t="e">
        <f>AND(Bills!#REF!,"AAAAAHX580Y=")</f>
        <v>#REF!</v>
      </c>
      <c r="BT24" t="e">
        <f>AND(Bills!#REF!,"AAAAAHX580c=")</f>
        <v>#REF!</v>
      </c>
      <c r="BU24" t="e">
        <f>AND(Bills!#REF!,"AAAAAHX580g=")</f>
        <v>#REF!</v>
      </c>
      <c r="BV24" t="e">
        <f>AND(Bills!#REF!,"AAAAAHX580k=")</f>
        <v>#REF!</v>
      </c>
      <c r="BW24" t="e">
        <f>AND(Bills!#REF!,"AAAAAHX580o=")</f>
        <v>#REF!</v>
      </c>
      <c r="BX24" t="e">
        <f>AND(Bills!#REF!,"AAAAAHX580s=")</f>
        <v>#REF!</v>
      </c>
      <c r="BY24" t="e">
        <f>AND(Bills!#REF!,"AAAAAHX580w=")</f>
        <v>#REF!</v>
      </c>
      <c r="BZ24" t="e">
        <f>AND(Bills!#REF!,"AAAAAHX5800=")</f>
        <v>#REF!</v>
      </c>
      <c r="CA24" t="e">
        <f>AND(Bills!#REF!,"AAAAAHX5804=")</f>
        <v>#REF!</v>
      </c>
      <c r="CB24" t="e">
        <f>AND(Bills!#REF!,"AAAAAHX5808=")</f>
        <v>#REF!</v>
      </c>
      <c r="CC24" t="e">
        <f>AND(Bills!#REF!,"AAAAAHX581A=")</f>
        <v>#REF!</v>
      </c>
      <c r="CD24" t="e">
        <f>AND(Bills!#REF!,"AAAAAHX581E=")</f>
        <v>#REF!</v>
      </c>
      <c r="CE24" t="e">
        <f>AND(Bills!#REF!,"AAAAAHX581I=")</f>
        <v>#REF!</v>
      </c>
      <c r="CF24" t="e">
        <f>AND(Bills!#REF!,"AAAAAHX581M=")</f>
        <v>#REF!</v>
      </c>
      <c r="CG24" t="e">
        <f>AND(Bills!#REF!,"AAAAAHX581Q=")</f>
        <v>#REF!</v>
      </c>
      <c r="CH24" t="e">
        <f>AND(Bills!#REF!,"AAAAAHX581U=")</f>
        <v>#REF!</v>
      </c>
      <c r="CI24" t="e">
        <f>AND(Bills!#REF!,"AAAAAHX581Y=")</f>
        <v>#REF!</v>
      </c>
      <c r="CJ24" t="e">
        <f>AND(Bills!#REF!,"AAAAAHX581c=")</f>
        <v>#REF!</v>
      </c>
      <c r="CK24" t="e">
        <f>AND(Bills!#REF!,"AAAAAHX581g=")</f>
        <v>#REF!</v>
      </c>
      <c r="CL24" t="e">
        <f>AND(Bills!#REF!,"AAAAAHX581k=")</f>
        <v>#REF!</v>
      </c>
      <c r="CM24" t="e">
        <f>AND(Bills!#REF!,"AAAAAHX581o=")</f>
        <v>#REF!</v>
      </c>
      <c r="CN24" t="e">
        <f>AND(Bills!#REF!,"AAAAAHX581s=")</f>
        <v>#REF!</v>
      </c>
      <c r="CO24" t="e">
        <f>AND(Bills!#REF!,"AAAAAHX581w=")</f>
        <v>#REF!</v>
      </c>
      <c r="CP24" t="e">
        <f>AND(Bills!#REF!,"AAAAAHX5810=")</f>
        <v>#REF!</v>
      </c>
      <c r="CQ24" t="e">
        <f>AND(Bills!#REF!,"AAAAAHX5814=")</f>
        <v>#REF!</v>
      </c>
      <c r="CR24" t="e">
        <f>AND(Bills!#REF!,"AAAAAHX5818=")</f>
        <v>#REF!</v>
      </c>
      <c r="CS24" t="e">
        <f>AND(Bills!#REF!,"AAAAAHX582A=")</f>
        <v>#REF!</v>
      </c>
      <c r="CT24" t="e">
        <f>AND(Bills!#REF!,"AAAAAHX582E=")</f>
        <v>#REF!</v>
      </c>
      <c r="CU24" t="e">
        <f>AND(Bills!#REF!,"AAAAAHX582I=")</f>
        <v>#REF!</v>
      </c>
      <c r="CV24" t="e">
        <f>AND(Bills!#REF!,"AAAAAHX582M=")</f>
        <v>#REF!</v>
      </c>
      <c r="CW24" t="e">
        <f>AND(Bills!#REF!,"AAAAAHX582Q=")</f>
        <v>#REF!</v>
      </c>
      <c r="CX24" t="e">
        <f>AND(Bills!#REF!,"AAAAAHX582U=")</f>
        <v>#REF!</v>
      </c>
      <c r="CY24" t="e">
        <f>AND(Bills!#REF!,"AAAAAHX582Y=")</f>
        <v>#REF!</v>
      </c>
      <c r="CZ24" t="e">
        <f>AND(Bills!#REF!,"AAAAAHX582c=")</f>
        <v>#REF!</v>
      </c>
      <c r="DA24" t="e">
        <f>AND(Bills!#REF!,"AAAAAHX582g=")</f>
        <v>#REF!</v>
      </c>
      <c r="DB24" t="e">
        <f>AND(Bills!#REF!,"AAAAAHX582k=")</f>
        <v>#REF!</v>
      </c>
      <c r="DC24" t="e">
        <f>AND(Bills!#REF!,"AAAAAHX582o=")</f>
        <v>#REF!</v>
      </c>
      <c r="DD24" t="e">
        <f>AND(Bills!#REF!,"AAAAAHX582s=")</f>
        <v>#REF!</v>
      </c>
      <c r="DE24" t="e">
        <f>AND(Bills!#REF!,"AAAAAHX582w=")</f>
        <v>#REF!</v>
      </c>
      <c r="DF24" t="e">
        <f>AND(Bills!#REF!,"AAAAAHX5820=")</f>
        <v>#REF!</v>
      </c>
      <c r="DG24" t="e">
        <f>AND(Bills!#REF!,"AAAAAHX5824=")</f>
        <v>#REF!</v>
      </c>
      <c r="DH24" t="e">
        <f>AND(Bills!#REF!,"AAAAAHX5828=")</f>
        <v>#REF!</v>
      </c>
      <c r="DI24" t="e">
        <f>AND(Bills!#REF!,"AAAAAHX583A=")</f>
        <v>#REF!</v>
      </c>
      <c r="DJ24" t="e">
        <f>AND(Bills!#REF!,"AAAAAHX583E=")</f>
        <v>#REF!</v>
      </c>
      <c r="DK24" t="e">
        <f>AND(Bills!#REF!,"AAAAAHX583I=")</f>
        <v>#REF!</v>
      </c>
      <c r="DL24" t="e">
        <f>AND(Bills!#REF!,"AAAAAHX583M=")</f>
        <v>#REF!</v>
      </c>
      <c r="DM24" t="e">
        <f>AND(Bills!#REF!,"AAAAAHX583Q=")</f>
        <v>#REF!</v>
      </c>
      <c r="DN24" t="e">
        <f>AND(Bills!#REF!,"AAAAAHX583U=")</f>
        <v>#REF!</v>
      </c>
      <c r="DO24" t="e">
        <f>IF(Bills!#REF!,"AAAAAHX583Y=",0)</f>
        <v>#REF!</v>
      </c>
      <c r="DP24" t="e">
        <f>AND(Bills!#REF!,"AAAAAHX583c=")</f>
        <v>#REF!</v>
      </c>
      <c r="DQ24" t="e">
        <f>AND(Bills!#REF!,"AAAAAHX583g=")</f>
        <v>#REF!</v>
      </c>
      <c r="DR24" t="e">
        <f>AND(Bills!#REF!,"AAAAAHX583k=")</f>
        <v>#REF!</v>
      </c>
      <c r="DS24" t="e">
        <f>AND(Bills!#REF!,"AAAAAHX583o=")</f>
        <v>#REF!</v>
      </c>
      <c r="DT24" t="e">
        <f>AND(Bills!#REF!,"AAAAAHX583s=")</f>
        <v>#REF!</v>
      </c>
      <c r="DU24" t="e">
        <f>AND(Bills!#REF!,"AAAAAHX583w=")</f>
        <v>#REF!</v>
      </c>
      <c r="DV24" t="e">
        <f>AND(Bills!#REF!,"AAAAAHX5830=")</f>
        <v>#REF!</v>
      </c>
      <c r="DW24" t="e">
        <f>AND(Bills!#REF!,"AAAAAHX5834=")</f>
        <v>#REF!</v>
      </c>
      <c r="DX24" t="e">
        <f>AND(Bills!#REF!,"AAAAAHX5838=")</f>
        <v>#REF!</v>
      </c>
      <c r="DY24" t="e">
        <f>AND(Bills!#REF!,"AAAAAHX584A=")</f>
        <v>#REF!</v>
      </c>
      <c r="DZ24" t="e">
        <f>AND(Bills!#REF!,"AAAAAHX584E=")</f>
        <v>#REF!</v>
      </c>
      <c r="EA24" t="e">
        <f>AND(Bills!#REF!,"AAAAAHX584I=")</f>
        <v>#REF!</v>
      </c>
      <c r="EB24" t="e">
        <f>AND(Bills!#REF!,"AAAAAHX584M=")</f>
        <v>#REF!</v>
      </c>
      <c r="EC24" t="e">
        <f>AND(Bills!#REF!,"AAAAAHX584Q=")</f>
        <v>#REF!</v>
      </c>
      <c r="ED24" t="e">
        <f>AND(Bills!#REF!,"AAAAAHX584U=")</f>
        <v>#REF!</v>
      </c>
      <c r="EE24" t="e">
        <f>AND(Bills!#REF!,"AAAAAHX584Y=")</f>
        <v>#REF!</v>
      </c>
      <c r="EF24" t="e">
        <f>AND(Bills!#REF!,"AAAAAHX584c=")</f>
        <v>#REF!</v>
      </c>
      <c r="EG24" t="e">
        <f>AND(Bills!#REF!,"AAAAAHX584g=")</f>
        <v>#REF!</v>
      </c>
      <c r="EH24" t="e">
        <f>AND(Bills!#REF!,"AAAAAHX584k=")</f>
        <v>#REF!</v>
      </c>
      <c r="EI24" t="e">
        <f>AND(Bills!#REF!,"AAAAAHX584o=")</f>
        <v>#REF!</v>
      </c>
      <c r="EJ24" t="e">
        <f>AND(Bills!#REF!,"AAAAAHX584s=")</f>
        <v>#REF!</v>
      </c>
      <c r="EK24" t="e">
        <f>AND(Bills!#REF!,"AAAAAHX584w=")</f>
        <v>#REF!</v>
      </c>
      <c r="EL24" t="e">
        <f>AND(Bills!#REF!,"AAAAAHX5840=")</f>
        <v>#REF!</v>
      </c>
      <c r="EM24" t="e">
        <f>AND(Bills!#REF!,"AAAAAHX5844=")</f>
        <v>#REF!</v>
      </c>
      <c r="EN24" t="e">
        <f>AND(Bills!#REF!,"AAAAAHX5848=")</f>
        <v>#REF!</v>
      </c>
      <c r="EO24" t="e">
        <f>AND(Bills!#REF!,"AAAAAHX585A=")</f>
        <v>#REF!</v>
      </c>
      <c r="EP24" t="e">
        <f>AND(Bills!#REF!,"AAAAAHX585E=")</f>
        <v>#REF!</v>
      </c>
      <c r="EQ24" t="e">
        <f>AND(Bills!#REF!,"AAAAAHX585I=")</f>
        <v>#REF!</v>
      </c>
      <c r="ER24" t="e">
        <f>AND(Bills!#REF!,"AAAAAHX585M=")</f>
        <v>#REF!</v>
      </c>
      <c r="ES24" t="e">
        <f>AND(Bills!#REF!,"AAAAAHX585Q=")</f>
        <v>#REF!</v>
      </c>
      <c r="ET24" t="e">
        <f>AND(Bills!#REF!,"AAAAAHX585U=")</f>
        <v>#REF!</v>
      </c>
      <c r="EU24" t="e">
        <f>AND(Bills!#REF!,"AAAAAHX585Y=")</f>
        <v>#REF!</v>
      </c>
      <c r="EV24" t="e">
        <f>AND(Bills!#REF!,"AAAAAHX585c=")</f>
        <v>#REF!</v>
      </c>
      <c r="EW24" t="e">
        <f>AND(Bills!#REF!,"AAAAAHX585g=")</f>
        <v>#REF!</v>
      </c>
      <c r="EX24" t="e">
        <f>AND(Bills!#REF!,"AAAAAHX585k=")</f>
        <v>#REF!</v>
      </c>
      <c r="EY24" t="e">
        <f>AND(Bills!#REF!,"AAAAAHX585o=")</f>
        <v>#REF!</v>
      </c>
      <c r="EZ24" t="e">
        <f>AND(Bills!#REF!,"AAAAAHX585s=")</f>
        <v>#REF!</v>
      </c>
      <c r="FA24" t="e">
        <f>AND(Bills!#REF!,"AAAAAHX585w=")</f>
        <v>#REF!</v>
      </c>
      <c r="FB24" t="e">
        <f>AND(Bills!#REF!,"AAAAAHX5850=")</f>
        <v>#REF!</v>
      </c>
      <c r="FC24" t="e">
        <f>AND(Bills!#REF!,"AAAAAHX5854=")</f>
        <v>#REF!</v>
      </c>
      <c r="FD24" t="e">
        <f>AND(Bills!#REF!,"AAAAAHX5858=")</f>
        <v>#REF!</v>
      </c>
      <c r="FE24" t="e">
        <f>AND(Bills!#REF!,"AAAAAHX586A=")</f>
        <v>#REF!</v>
      </c>
      <c r="FF24" t="e">
        <f>AND(Bills!#REF!,"AAAAAHX586E=")</f>
        <v>#REF!</v>
      </c>
      <c r="FG24" t="e">
        <f>AND(Bills!#REF!,"AAAAAHX586I=")</f>
        <v>#REF!</v>
      </c>
      <c r="FH24" t="e">
        <f>AND(Bills!#REF!,"AAAAAHX586M=")</f>
        <v>#REF!</v>
      </c>
      <c r="FI24" t="e">
        <f>AND(Bills!#REF!,"AAAAAHX586Q=")</f>
        <v>#REF!</v>
      </c>
      <c r="FJ24" t="e">
        <f>AND(Bills!#REF!,"AAAAAHX586U=")</f>
        <v>#REF!</v>
      </c>
      <c r="FK24" t="e">
        <f>AND(Bills!#REF!,"AAAAAHX586Y=")</f>
        <v>#REF!</v>
      </c>
      <c r="FL24" t="e">
        <f>AND(Bills!#REF!,"AAAAAHX586c=")</f>
        <v>#REF!</v>
      </c>
      <c r="FM24" t="e">
        <f>AND(Bills!#REF!,"AAAAAHX586g=")</f>
        <v>#REF!</v>
      </c>
      <c r="FN24" t="e">
        <f>IF(Bills!#REF!,"AAAAAHX586k=",0)</f>
        <v>#REF!</v>
      </c>
      <c r="FO24" t="e">
        <f>AND(Bills!#REF!,"AAAAAHX586o=")</f>
        <v>#REF!</v>
      </c>
      <c r="FP24" t="e">
        <f>AND(Bills!#REF!,"AAAAAHX586s=")</f>
        <v>#REF!</v>
      </c>
      <c r="FQ24" t="e">
        <f>AND(Bills!#REF!,"AAAAAHX586w=")</f>
        <v>#REF!</v>
      </c>
      <c r="FR24" t="e">
        <f>AND(Bills!#REF!,"AAAAAHX5860=")</f>
        <v>#REF!</v>
      </c>
      <c r="FS24" t="e">
        <f>AND(Bills!#REF!,"AAAAAHX5864=")</f>
        <v>#REF!</v>
      </c>
      <c r="FT24" t="e">
        <f>AND(Bills!#REF!,"AAAAAHX5868=")</f>
        <v>#REF!</v>
      </c>
      <c r="FU24" t="e">
        <f>AND(Bills!#REF!,"AAAAAHX587A=")</f>
        <v>#REF!</v>
      </c>
      <c r="FV24" t="e">
        <f>AND(Bills!#REF!,"AAAAAHX587E=")</f>
        <v>#REF!</v>
      </c>
      <c r="FW24" t="e">
        <f>AND(Bills!#REF!,"AAAAAHX587I=")</f>
        <v>#REF!</v>
      </c>
      <c r="FX24" t="e">
        <f>AND(Bills!#REF!,"AAAAAHX587M=")</f>
        <v>#REF!</v>
      </c>
      <c r="FY24" t="e">
        <f>AND(Bills!#REF!,"AAAAAHX587Q=")</f>
        <v>#REF!</v>
      </c>
      <c r="FZ24" t="e">
        <f>AND(Bills!#REF!,"AAAAAHX587U=")</f>
        <v>#REF!</v>
      </c>
      <c r="GA24" t="e">
        <f>AND(Bills!#REF!,"AAAAAHX587Y=")</f>
        <v>#REF!</v>
      </c>
      <c r="GB24" t="e">
        <f>AND(Bills!#REF!,"AAAAAHX587c=")</f>
        <v>#REF!</v>
      </c>
      <c r="GC24" t="e">
        <f>AND(Bills!#REF!,"AAAAAHX587g=")</f>
        <v>#REF!</v>
      </c>
      <c r="GD24" t="e">
        <f>AND(Bills!#REF!,"AAAAAHX587k=")</f>
        <v>#REF!</v>
      </c>
      <c r="GE24" t="e">
        <f>AND(Bills!#REF!,"AAAAAHX587o=")</f>
        <v>#REF!</v>
      </c>
      <c r="GF24" t="e">
        <f>AND(Bills!#REF!,"AAAAAHX587s=")</f>
        <v>#REF!</v>
      </c>
      <c r="GG24" t="e">
        <f>AND(Bills!#REF!,"AAAAAHX587w=")</f>
        <v>#REF!</v>
      </c>
      <c r="GH24" t="e">
        <f>AND(Bills!#REF!,"AAAAAHX5870=")</f>
        <v>#REF!</v>
      </c>
      <c r="GI24" t="e">
        <f>AND(Bills!#REF!,"AAAAAHX5874=")</f>
        <v>#REF!</v>
      </c>
      <c r="GJ24" t="e">
        <f>AND(Bills!#REF!,"AAAAAHX5878=")</f>
        <v>#REF!</v>
      </c>
      <c r="GK24" t="e">
        <f>AND(Bills!#REF!,"AAAAAHX588A=")</f>
        <v>#REF!</v>
      </c>
      <c r="GL24" t="e">
        <f>AND(Bills!#REF!,"AAAAAHX588E=")</f>
        <v>#REF!</v>
      </c>
      <c r="GM24" t="e">
        <f>AND(Bills!#REF!,"AAAAAHX588I=")</f>
        <v>#REF!</v>
      </c>
      <c r="GN24" t="e">
        <f>AND(Bills!#REF!,"AAAAAHX588M=")</f>
        <v>#REF!</v>
      </c>
      <c r="GO24" t="e">
        <f>AND(Bills!#REF!,"AAAAAHX588Q=")</f>
        <v>#REF!</v>
      </c>
      <c r="GP24" t="e">
        <f>AND(Bills!#REF!,"AAAAAHX588U=")</f>
        <v>#REF!</v>
      </c>
      <c r="GQ24" t="e">
        <f>AND(Bills!#REF!,"AAAAAHX588Y=")</f>
        <v>#REF!</v>
      </c>
      <c r="GR24" t="e">
        <f>AND(Bills!#REF!,"AAAAAHX588c=")</f>
        <v>#REF!</v>
      </c>
      <c r="GS24" t="e">
        <f>AND(Bills!#REF!,"AAAAAHX588g=")</f>
        <v>#REF!</v>
      </c>
      <c r="GT24" t="e">
        <f>AND(Bills!#REF!,"AAAAAHX588k=")</f>
        <v>#REF!</v>
      </c>
      <c r="GU24" t="e">
        <f>AND(Bills!#REF!,"AAAAAHX588o=")</f>
        <v>#REF!</v>
      </c>
      <c r="GV24" t="e">
        <f>AND(Bills!#REF!,"AAAAAHX588s=")</f>
        <v>#REF!</v>
      </c>
      <c r="GW24" t="e">
        <f>AND(Bills!#REF!,"AAAAAHX588w=")</f>
        <v>#REF!</v>
      </c>
      <c r="GX24" t="e">
        <f>AND(Bills!#REF!,"AAAAAHX5880=")</f>
        <v>#REF!</v>
      </c>
      <c r="GY24" t="e">
        <f>AND(Bills!#REF!,"AAAAAHX5884=")</f>
        <v>#REF!</v>
      </c>
      <c r="GZ24" t="e">
        <f>AND(Bills!#REF!,"AAAAAHX5888=")</f>
        <v>#REF!</v>
      </c>
      <c r="HA24" t="e">
        <f>AND(Bills!#REF!,"AAAAAHX589A=")</f>
        <v>#REF!</v>
      </c>
      <c r="HB24" t="e">
        <f>AND(Bills!#REF!,"AAAAAHX589E=")</f>
        <v>#REF!</v>
      </c>
      <c r="HC24" t="e">
        <f>AND(Bills!#REF!,"AAAAAHX589I=")</f>
        <v>#REF!</v>
      </c>
      <c r="HD24" t="e">
        <f>AND(Bills!#REF!,"AAAAAHX589M=")</f>
        <v>#REF!</v>
      </c>
      <c r="HE24" t="e">
        <f>AND(Bills!#REF!,"AAAAAHX589Q=")</f>
        <v>#REF!</v>
      </c>
      <c r="HF24" t="e">
        <f>AND(Bills!#REF!,"AAAAAHX589U=")</f>
        <v>#REF!</v>
      </c>
      <c r="HG24" t="e">
        <f>AND(Bills!#REF!,"AAAAAHX589Y=")</f>
        <v>#REF!</v>
      </c>
      <c r="HH24" t="e">
        <f>AND(Bills!#REF!,"AAAAAHX589c=")</f>
        <v>#REF!</v>
      </c>
      <c r="HI24" t="e">
        <f>AND(Bills!#REF!,"AAAAAHX589g=")</f>
        <v>#REF!</v>
      </c>
      <c r="HJ24" t="e">
        <f>AND(Bills!#REF!,"AAAAAHX589k=")</f>
        <v>#REF!</v>
      </c>
      <c r="HK24" t="e">
        <f>AND(Bills!#REF!,"AAAAAHX589o=")</f>
        <v>#REF!</v>
      </c>
      <c r="HL24" t="e">
        <f>AND(Bills!#REF!,"AAAAAHX589s=")</f>
        <v>#REF!</v>
      </c>
      <c r="HM24" t="e">
        <f>IF(Bills!#REF!,"AAAAAHX589w=",0)</f>
        <v>#REF!</v>
      </c>
      <c r="HN24" t="e">
        <f>AND(Bills!#REF!,"AAAAAHX5890=")</f>
        <v>#REF!</v>
      </c>
      <c r="HO24" t="e">
        <f>AND(Bills!#REF!,"AAAAAHX5894=")</f>
        <v>#REF!</v>
      </c>
      <c r="HP24" t="e">
        <f>AND(Bills!#REF!,"AAAAAHX5898=")</f>
        <v>#REF!</v>
      </c>
      <c r="HQ24" t="e">
        <f>AND(Bills!#REF!,"AAAAAHX58+A=")</f>
        <v>#REF!</v>
      </c>
      <c r="HR24" t="e">
        <f>AND(Bills!#REF!,"AAAAAHX58+E=")</f>
        <v>#REF!</v>
      </c>
      <c r="HS24" t="e">
        <f>AND(Bills!#REF!,"AAAAAHX58+I=")</f>
        <v>#REF!</v>
      </c>
      <c r="HT24" t="e">
        <f>AND(Bills!#REF!,"AAAAAHX58+M=")</f>
        <v>#REF!</v>
      </c>
      <c r="HU24" t="e">
        <f>AND(Bills!#REF!,"AAAAAHX58+Q=")</f>
        <v>#REF!</v>
      </c>
      <c r="HV24" t="e">
        <f>AND(Bills!#REF!,"AAAAAHX58+U=")</f>
        <v>#REF!</v>
      </c>
      <c r="HW24" t="e">
        <f>AND(Bills!#REF!,"AAAAAHX58+Y=")</f>
        <v>#REF!</v>
      </c>
      <c r="HX24" t="e">
        <f>AND(Bills!#REF!,"AAAAAHX58+c=")</f>
        <v>#REF!</v>
      </c>
      <c r="HY24" t="e">
        <f>AND(Bills!#REF!,"AAAAAHX58+g=")</f>
        <v>#REF!</v>
      </c>
      <c r="HZ24" t="e">
        <f>AND(Bills!#REF!,"AAAAAHX58+k=")</f>
        <v>#REF!</v>
      </c>
      <c r="IA24" t="e">
        <f>AND(Bills!#REF!,"AAAAAHX58+o=")</f>
        <v>#REF!</v>
      </c>
      <c r="IB24" t="e">
        <f>AND(Bills!#REF!,"AAAAAHX58+s=")</f>
        <v>#REF!</v>
      </c>
      <c r="IC24" t="e">
        <f>AND(Bills!#REF!,"AAAAAHX58+w=")</f>
        <v>#REF!</v>
      </c>
      <c r="ID24" t="e">
        <f>AND(Bills!#REF!,"AAAAAHX58+0=")</f>
        <v>#REF!</v>
      </c>
      <c r="IE24" t="e">
        <f>AND(Bills!#REF!,"AAAAAHX58+4=")</f>
        <v>#REF!</v>
      </c>
      <c r="IF24" t="e">
        <f>AND(Bills!#REF!,"AAAAAHX58+8=")</f>
        <v>#REF!</v>
      </c>
      <c r="IG24" t="e">
        <f>AND(Bills!#REF!,"AAAAAHX58/A=")</f>
        <v>#REF!</v>
      </c>
      <c r="IH24" t="e">
        <f>AND(Bills!#REF!,"AAAAAHX58/E=")</f>
        <v>#REF!</v>
      </c>
      <c r="II24" t="e">
        <f>AND(Bills!#REF!,"AAAAAHX58/I=")</f>
        <v>#REF!</v>
      </c>
      <c r="IJ24" t="e">
        <f>AND(Bills!#REF!,"AAAAAHX58/M=")</f>
        <v>#REF!</v>
      </c>
      <c r="IK24" t="e">
        <f>AND(Bills!#REF!,"AAAAAHX58/Q=")</f>
        <v>#REF!</v>
      </c>
      <c r="IL24" t="e">
        <f>AND(Bills!#REF!,"AAAAAHX58/U=")</f>
        <v>#REF!</v>
      </c>
      <c r="IM24" t="e">
        <f>AND(Bills!#REF!,"AAAAAHX58/Y=")</f>
        <v>#REF!</v>
      </c>
      <c r="IN24" t="e">
        <f>AND(Bills!#REF!,"AAAAAHX58/c=")</f>
        <v>#REF!</v>
      </c>
      <c r="IO24" t="e">
        <f>AND(Bills!#REF!,"AAAAAHX58/g=")</f>
        <v>#REF!</v>
      </c>
      <c r="IP24" t="e">
        <f>AND(Bills!#REF!,"AAAAAHX58/k=")</f>
        <v>#REF!</v>
      </c>
      <c r="IQ24" t="e">
        <f>AND(Bills!#REF!,"AAAAAHX58/o=")</f>
        <v>#REF!</v>
      </c>
      <c r="IR24" t="e">
        <f>AND(Bills!#REF!,"AAAAAHX58/s=")</f>
        <v>#REF!</v>
      </c>
      <c r="IS24" t="e">
        <f>AND(Bills!#REF!,"AAAAAHX58/w=")</f>
        <v>#REF!</v>
      </c>
      <c r="IT24" t="e">
        <f>AND(Bills!#REF!,"AAAAAHX58/0=")</f>
        <v>#REF!</v>
      </c>
      <c r="IU24" t="e">
        <f>AND(Bills!#REF!,"AAAAAHX58/4=")</f>
        <v>#REF!</v>
      </c>
      <c r="IV24" t="e">
        <f>AND(Bills!#REF!,"AAAAAHX58/8=")</f>
        <v>#REF!</v>
      </c>
    </row>
    <row r="25" spans="1:256" x14ac:dyDescent="0.25">
      <c r="A25" t="e">
        <f>AND(Bills!#REF!,"AAAAAG+7bgA=")</f>
        <v>#REF!</v>
      </c>
      <c r="B25" t="e">
        <f>AND(Bills!#REF!,"AAAAAG+7bgE=")</f>
        <v>#REF!</v>
      </c>
      <c r="C25" t="e">
        <f>AND(Bills!#REF!,"AAAAAG+7bgI=")</f>
        <v>#REF!</v>
      </c>
      <c r="D25" t="e">
        <f>AND(Bills!#REF!,"AAAAAG+7bgM=")</f>
        <v>#REF!</v>
      </c>
      <c r="E25" t="e">
        <f>AND(Bills!#REF!,"AAAAAG+7bgQ=")</f>
        <v>#REF!</v>
      </c>
      <c r="F25" t="e">
        <f>AND(Bills!#REF!,"AAAAAG+7bgU=")</f>
        <v>#REF!</v>
      </c>
      <c r="G25" t="e">
        <f>AND(Bills!#REF!,"AAAAAG+7bgY=")</f>
        <v>#REF!</v>
      </c>
      <c r="H25" t="e">
        <f>AND(Bills!#REF!,"AAAAAG+7bgc=")</f>
        <v>#REF!</v>
      </c>
      <c r="I25" t="e">
        <f>AND(Bills!#REF!,"AAAAAG+7bgg=")</f>
        <v>#REF!</v>
      </c>
      <c r="J25" t="e">
        <f>AND(Bills!#REF!,"AAAAAG+7bgk=")</f>
        <v>#REF!</v>
      </c>
      <c r="K25" t="e">
        <f>AND(Bills!#REF!,"AAAAAG+7bgo=")</f>
        <v>#REF!</v>
      </c>
      <c r="L25" t="e">
        <f>AND(Bills!#REF!,"AAAAAG+7bgs=")</f>
        <v>#REF!</v>
      </c>
      <c r="M25" t="e">
        <f>AND(Bills!#REF!,"AAAAAG+7bgw=")</f>
        <v>#REF!</v>
      </c>
      <c r="N25" t="e">
        <f>AND(Bills!#REF!,"AAAAAG+7bg0=")</f>
        <v>#REF!</v>
      </c>
      <c r="O25" t="e">
        <f>AND(Bills!#REF!,"AAAAAG+7bg4=")</f>
        <v>#REF!</v>
      </c>
      <c r="P25" t="str">
        <f>IF(Bills!14:14,"AAAAAG+7bg8=",0)</f>
        <v>AAAAAG+7bg8=</v>
      </c>
      <c r="Q25" t="e">
        <f>AND(Bills!B14,"AAAAAG+7bhA=")</f>
        <v>#VALUE!</v>
      </c>
      <c r="R25" t="e">
        <f>AND(Bills!#REF!,"AAAAAG+7bhE=")</f>
        <v>#REF!</v>
      </c>
      <c r="S25" t="e">
        <f>AND(Bills!C14,"AAAAAG+7bhI=")</f>
        <v>#VALUE!</v>
      </c>
      <c r="T25" t="e">
        <f>AND(Bills!D14,"AAAAAG+7bhM=")</f>
        <v>#VALUE!</v>
      </c>
      <c r="U25" t="e">
        <f>AND(Bills!E14,"AAAAAG+7bhQ=")</f>
        <v>#VALUE!</v>
      </c>
      <c r="V25" t="e">
        <f>AND(Bills!#REF!,"AAAAAG+7bhU=")</f>
        <v>#REF!</v>
      </c>
      <c r="W25" t="e">
        <f>AND(Bills!#REF!,"AAAAAG+7bhY=")</f>
        <v>#REF!</v>
      </c>
      <c r="X25" t="e">
        <f>AND(Bills!#REF!,"AAAAAG+7bhc=")</f>
        <v>#REF!</v>
      </c>
      <c r="Y25" t="e">
        <f>AND(Bills!F14,"AAAAAG+7bhg=")</f>
        <v>#VALUE!</v>
      </c>
      <c r="Z25" t="e">
        <f>AND(Bills!#REF!,"AAAAAG+7bhk=")</f>
        <v>#REF!</v>
      </c>
      <c r="AA25" t="e">
        <f>AND(Bills!G14,"AAAAAG+7bho=")</f>
        <v>#VALUE!</v>
      </c>
      <c r="AB25" t="e">
        <f>AND(Bills!H14,"AAAAAG+7bhs=")</f>
        <v>#VALUE!</v>
      </c>
      <c r="AC25" t="e">
        <f>AND(Bills!I14,"AAAAAG+7bhw=")</f>
        <v>#VALUE!</v>
      </c>
      <c r="AD25" t="e">
        <f>AND(Bills!J14,"AAAAAG+7bh0=")</f>
        <v>#VALUE!</v>
      </c>
      <c r="AE25" t="e">
        <f>AND(Bills!K14,"AAAAAG+7bh4=")</f>
        <v>#VALUE!</v>
      </c>
      <c r="AF25" t="e">
        <f>AND(Bills!L14,"AAAAAG+7bh8=")</f>
        <v>#VALUE!</v>
      </c>
      <c r="AG25" t="e">
        <f>AND(Bills!#REF!,"AAAAAG+7biA=")</f>
        <v>#REF!</v>
      </c>
      <c r="AH25" t="e">
        <f>AND(Bills!M14,"AAAAAG+7biE=")</f>
        <v>#VALUE!</v>
      </c>
      <c r="AI25" t="e">
        <f>AND(Bills!N14,"AAAAAG+7biI=")</f>
        <v>#VALUE!</v>
      </c>
      <c r="AJ25" t="e">
        <f>AND(Bills!O14,"AAAAAG+7biM=")</f>
        <v>#VALUE!</v>
      </c>
      <c r="AK25" t="e">
        <f>AND(Bills!P14,"AAAAAG+7biQ=")</f>
        <v>#VALUE!</v>
      </c>
      <c r="AL25" t="e">
        <f>AND(Bills!Q14,"AAAAAG+7biU=")</f>
        <v>#VALUE!</v>
      </c>
      <c r="AM25" t="e">
        <f>AND(Bills!R14,"AAAAAG+7biY=")</f>
        <v>#VALUE!</v>
      </c>
      <c r="AN25" t="e">
        <f>AND(Bills!S14,"AAAAAG+7bic=")</f>
        <v>#VALUE!</v>
      </c>
      <c r="AO25" t="e">
        <f>AND(Bills!T14,"AAAAAG+7big=")</f>
        <v>#VALUE!</v>
      </c>
      <c r="AP25" t="e">
        <f>AND(Bills!#REF!,"AAAAAG+7bik=")</f>
        <v>#REF!</v>
      </c>
      <c r="AQ25" t="e">
        <f>AND(Bills!U14,"AAAAAG+7bio=")</f>
        <v>#VALUE!</v>
      </c>
      <c r="AR25" t="e">
        <f>AND(Bills!V14,"AAAAAG+7bis=")</f>
        <v>#VALUE!</v>
      </c>
      <c r="AS25" t="e">
        <f>AND(Bills!W14,"AAAAAG+7biw=")</f>
        <v>#VALUE!</v>
      </c>
      <c r="AT25" t="e">
        <f>AND(Bills!#REF!,"AAAAAG+7bi0=")</f>
        <v>#REF!</v>
      </c>
      <c r="AU25" t="e">
        <f>AND(Bills!#REF!,"AAAAAG+7bi4=")</f>
        <v>#REF!</v>
      </c>
      <c r="AV25" t="e">
        <f>AND(Bills!Y14,"AAAAAG+7bi8=")</f>
        <v>#VALUE!</v>
      </c>
      <c r="AW25" t="e">
        <f>AND(Bills!Z14,"AAAAAG+7bjA=")</f>
        <v>#VALUE!</v>
      </c>
      <c r="AX25" t="e">
        <f>AND(Bills!#REF!,"AAAAAG+7bjE=")</f>
        <v>#REF!</v>
      </c>
      <c r="AY25" t="e">
        <f>AND(Bills!#REF!,"AAAAAG+7bjI=")</f>
        <v>#REF!</v>
      </c>
      <c r="AZ25" t="e">
        <f>AND(Bills!#REF!,"AAAAAG+7bjM=")</f>
        <v>#REF!</v>
      </c>
      <c r="BA25" t="e">
        <f>AND(Bills!#REF!,"AAAAAG+7bjQ=")</f>
        <v>#REF!</v>
      </c>
      <c r="BB25" t="e">
        <f>AND(Bills!#REF!,"AAAAAG+7bjU=")</f>
        <v>#REF!</v>
      </c>
      <c r="BC25" t="e">
        <f>AND(Bills!#REF!,"AAAAAG+7bjY=")</f>
        <v>#REF!</v>
      </c>
      <c r="BD25" t="e">
        <f>AND(Bills!#REF!,"AAAAAG+7bjc=")</f>
        <v>#REF!</v>
      </c>
      <c r="BE25" t="e">
        <f>AND(Bills!#REF!,"AAAAAG+7bjg=")</f>
        <v>#REF!</v>
      </c>
      <c r="BF25" t="e">
        <f>AND(Bills!#REF!,"AAAAAG+7bjk=")</f>
        <v>#REF!</v>
      </c>
      <c r="BG25" t="e">
        <f>AND(Bills!AA14,"AAAAAG+7bjo=")</f>
        <v>#VALUE!</v>
      </c>
      <c r="BH25" t="e">
        <f>AND(Bills!AB14,"AAAAAG+7bjs=")</f>
        <v>#VALUE!</v>
      </c>
      <c r="BI25" t="e">
        <f>AND(Bills!#REF!,"AAAAAG+7bjw=")</f>
        <v>#REF!</v>
      </c>
      <c r="BJ25" t="e">
        <f>AND(Bills!#REF!,"AAAAAG+7bj0=")</f>
        <v>#REF!</v>
      </c>
      <c r="BK25" t="e">
        <f>AND(Bills!#REF!,"AAAAAG+7bj4=")</f>
        <v>#REF!</v>
      </c>
      <c r="BL25" t="e">
        <f>AND(Bills!AC14,"AAAAAG+7bj8=")</f>
        <v>#VALUE!</v>
      </c>
      <c r="BM25" t="e">
        <f>AND(Bills!AD14,"AAAAAG+7bkA=")</f>
        <v>#VALUE!</v>
      </c>
      <c r="BN25" t="e">
        <f>AND(Bills!AE14,"AAAAAG+7bkE=")</f>
        <v>#VALUE!</v>
      </c>
      <c r="BO25" t="e">
        <f>IF(Bills!#REF!,"AAAAAG+7bkI=",0)</f>
        <v>#REF!</v>
      </c>
      <c r="BP25" t="e">
        <f>AND(Bills!#REF!,"AAAAAG+7bkM=")</f>
        <v>#REF!</v>
      </c>
      <c r="BQ25" t="e">
        <f>AND(Bills!#REF!,"AAAAAG+7bkQ=")</f>
        <v>#REF!</v>
      </c>
      <c r="BR25" t="e">
        <f>AND(Bills!#REF!,"AAAAAG+7bkU=")</f>
        <v>#REF!</v>
      </c>
      <c r="BS25" t="e">
        <f>AND(Bills!#REF!,"AAAAAG+7bkY=")</f>
        <v>#REF!</v>
      </c>
      <c r="BT25" t="e">
        <f>AND(Bills!#REF!,"AAAAAG+7bkc=")</f>
        <v>#REF!</v>
      </c>
      <c r="BU25" t="e">
        <f>AND(Bills!#REF!,"AAAAAG+7bkg=")</f>
        <v>#REF!</v>
      </c>
      <c r="BV25" t="e">
        <f>AND(Bills!#REF!,"AAAAAG+7bkk=")</f>
        <v>#REF!</v>
      </c>
      <c r="BW25" t="e">
        <f>AND(Bills!#REF!,"AAAAAG+7bko=")</f>
        <v>#REF!</v>
      </c>
      <c r="BX25" t="e">
        <f>AND(Bills!#REF!,"AAAAAG+7bks=")</f>
        <v>#REF!</v>
      </c>
      <c r="BY25" t="e">
        <f>AND(Bills!#REF!,"AAAAAG+7bkw=")</f>
        <v>#REF!</v>
      </c>
      <c r="BZ25" t="e">
        <f>AND(Bills!#REF!,"AAAAAG+7bk0=")</f>
        <v>#REF!</v>
      </c>
      <c r="CA25" t="e">
        <f>AND(Bills!#REF!,"AAAAAG+7bk4=")</f>
        <v>#REF!</v>
      </c>
      <c r="CB25" t="e">
        <f>AND(Bills!#REF!,"AAAAAG+7bk8=")</f>
        <v>#REF!</v>
      </c>
      <c r="CC25" t="e">
        <f>AND(Bills!#REF!,"AAAAAG+7blA=")</f>
        <v>#REF!</v>
      </c>
      <c r="CD25" t="e">
        <f>AND(Bills!#REF!,"AAAAAG+7blE=")</f>
        <v>#REF!</v>
      </c>
      <c r="CE25" t="e">
        <f>AND(Bills!#REF!,"AAAAAG+7blI=")</f>
        <v>#REF!</v>
      </c>
      <c r="CF25" t="e">
        <f>AND(Bills!#REF!,"AAAAAG+7blM=")</f>
        <v>#REF!</v>
      </c>
      <c r="CG25" t="e">
        <f>AND(Bills!#REF!,"AAAAAG+7blQ=")</f>
        <v>#REF!</v>
      </c>
      <c r="CH25" t="e">
        <f>AND(Bills!#REF!,"AAAAAG+7blU=")</f>
        <v>#REF!</v>
      </c>
      <c r="CI25" t="e">
        <f>AND(Bills!#REF!,"AAAAAG+7blY=")</f>
        <v>#REF!</v>
      </c>
      <c r="CJ25" t="e">
        <f>AND(Bills!#REF!,"AAAAAG+7blc=")</f>
        <v>#REF!</v>
      </c>
      <c r="CK25" t="e">
        <f>AND(Bills!#REF!,"AAAAAG+7blg=")</f>
        <v>#REF!</v>
      </c>
      <c r="CL25" t="e">
        <f>AND(Bills!#REF!,"AAAAAG+7blk=")</f>
        <v>#REF!</v>
      </c>
      <c r="CM25" t="e">
        <f>AND(Bills!#REF!,"AAAAAG+7blo=")</f>
        <v>#REF!</v>
      </c>
      <c r="CN25" t="e">
        <f>AND(Bills!#REF!,"AAAAAG+7bls=")</f>
        <v>#REF!</v>
      </c>
      <c r="CO25" t="e">
        <f>AND(Bills!#REF!,"AAAAAG+7blw=")</f>
        <v>#REF!</v>
      </c>
      <c r="CP25" t="e">
        <f>AND(Bills!#REF!,"AAAAAG+7bl0=")</f>
        <v>#REF!</v>
      </c>
      <c r="CQ25" t="e">
        <f>AND(Bills!#REF!,"AAAAAG+7bl4=")</f>
        <v>#REF!</v>
      </c>
      <c r="CR25" t="e">
        <f>AND(Bills!#REF!,"AAAAAG+7bl8=")</f>
        <v>#REF!</v>
      </c>
      <c r="CS25" t="e">
        <f>AND(Bills!#REF!,"AAAAAG+7bmA=")</f>
        <v>#REF!</v>
      </c>
      <c r="CT25" t="e">
        <f>AND(Bills!#REF!,"AAAAAG+7bmE=")</f>
        <v>#REF!</v>
      </c>
      <c r="CU25" t="e">
        <f>AND(Bills!#REF!,"AAAAAG+7bmI=")</f>
        <v>#REF!</v>
      </c>
      <c r="CV25" t="e">
        <f>AND(Bills!#REF!,"AAAAAG+7bmM=")</f>
        <v>#REF!</v>
      </c>
      <c r="CW25" t="e">
        <f>AND(Bills!#REF!,"AAAAAG+7bmQ=")</f>
        <v>#REF!</v>
      </c>
      <c r="CX25" t="e">
        <f>AND(Bills!#REF!,"AAAAAG+7bmU=")</f>
        <v>#REF!</v>
      </c>
      <c r="CY25" t="e">
        <f>AND(Bills!#REF!,"AAAAAG+7bmY=")</f>
        <v>#REF!</v>
      </c>
      <c r="CZ25" t="e">
        <f>AND(Bills!#REF!,"AAAAAG+7bmc=")</f>
        <v>#REF!</v>
      </c>
      <c r="DA25" t="e">
        <f>AND(Bills!#REF!,"AAAAAG+7bmg=")</f>
        <v>#REF!</v>
      </c>
      <c r="DB25" t="e">
        <f>AND(Bills!#REF!,"AAAAAG+7bmk=")</f>
        <v>#REF!</v>
      </c>
      <c r="DC25" t="e">
        <f>AND(Bills!#REF!,"AAAAAG+7bmo=")</f>
        <v>#REF!</v>
      </c>
      <c r="DD25" t="e">
        <f>AND(Bills!#REF!,"AAAAAG+7bms=")</f>
        <v>#REF!</v>
      </c>
      <c r="DE25" t="e">
        <f>AND(Bills!#REF!,"AAAAAG+7bmw=")</f>
        <v>#REF!</v>
      </c>
      <c r="DF25" t="e">
        <f>AND(Bills!#REF!,"AAAAAG+7bm0=")</f>
        <v>#REF!</v>
      </c>
      <c r="DG25" t="e">
        <f>AND(Bills!#REF!,"AAAAAG+7bm4=")</f>
        <v>#REF!</v>
      </c>
      <c r="DH25" t="e">
        <f>AND(Bills!#REF!,"AAAAAG+7bm8=")</f>
        <v>#REF!</v>
      </c>
      <c r="DI25" t="e">
        <f>AND(Bills!#REF!,"AAAAAG+7bnA=")</f>
        <v>#REF!</v>
      </c>
      <c r="DJ25" t="e">
        <f>AND(Bills!#REF!,"AAAAAG+7bnE=")</f>
        <v>#REF!</v>
      </c>
      <c r="DK25" t="e">
        <f>AND(Bills!#REF!,"AAAAAG+7bnI=")</f>
        <v>#REF!</v>
      </c>
      <c r="DL25" t="e">
        <f>AND(Bills!#REF!,"AAAAAG+7bnM=")</f>
        <v>#REF!</v>
      </c>
      <c r="DM25" t="e">
        <f>AND(Bills!#REF!,"AAAAAG+7bnQ=")</f>
        <v>#REF!</v>
      </c>
      <c r="DN25" t="e">
        <f>IF(Bills!#REF!,"AAAAAG+7bnU=",0)</f>
        <v>#REF!</v>
      </c>
      <c r="DO25" t="e">
        <f>AND(Bills!#REF!,"AAAAAG+7bnY=")</f>
        <v>#REF!</v>
      </c>
      <c r="DP25" t="e">
        <f>AND(Bills!#REF!,"AAAAAG+7bnc=")</f>
        <v>#REF!</v>
      </c>
      <c r="DQ25" t="e">
        <f>AND(Bills!#REF!,"AAAAAG+7bng=")</f>
        <v>#REF!</v>
      </c>
      <c r="DR25" t="e">
        <f>AND(Bills!#REF!,"AAAAAG+7bnk=")</f>
        <v>#REF!</v>
      </c>
      <c r="DS25" t="e">
        <f>AND(Bills!#REF!,"AAAAAG+7bno=")</f>
        <v>#REF!</v>
      </c>
      <c r="DT25" t="e">
        <f>AND(Bills!#REF!,"AAAAAG+7bns=")</f>
        <v>#REF!</v>
      </c>
      <c r="DU25" t="e">
        <f>AND(Bills!#REF!,"AAAAAG+7bnw=")</f>
        <v>#REF!</v>
      </c>
      <c r="DV25" t="e">
        <f>AND(Bills!#REF!,"AAAAAG+7bn0=")</f>
        <v>#REF!</v>
      </c>
      <c r="DW25" t="e">
        <f>AND(Bills!#REF!,"AAAAAG+7bn4=")</f>
        <v>#REF!</v>
      </c>
      <c r="DX25" t="e">
        <f>AND(Bills!#REF!,"AAAAAG+7bn8=")</f>
        <v>#REF!</v>
      </c>
      <c r="DY25" t="e">
        <f>AND(Bills!#REF!,"AAAAAG+7boA=")</f>
        <v>#REF!</v>
      </c>
      <c r="DZ25" t="e">
        <f>AND(Bills!#REF!,"AAAAAG+7boE=")</f>
        <v>#REF!</v>
      </c>
      <c r="EA25" t="e">
        <f>AND(Bills!#REF!,"AAAAAG+7boI=")</f>
        <v>#REF!</v>
      </c>
      <c r="EB25" t="e">
        <f>AND(Bills!#REF!,"AAAAAG+7boM=")</f>
        <v>#REF!</v>
      </c>
      <c r="EC25" t="e">
        <f>AND(Bills!#REF!,"AAAAAG+7boQ=")</f>
        <v>#REF!</v>
      </c>
      <c r="ED25" t="e">
        <f>AND(Bills!#REF!,"AAAAAG+7boU=")</f>
        <v>#REF!</v>
      </c>
      <c r="EE25" t="e">
        <f>AND(Bills!#REF!,"AAAAAG+7boY=")</f>
        <v>#REF!</v>
      </c>
      <c r="EF25" t="e">
        <f>AND(Bills!#REF!,"AAAAAG+7boc=")</f>
        <v>#REF!</v>
      </c>
      <c r="EG25" t="e">
        <f>AND(Bills!#REF!,"AAAAAG+7bog=")</f>
        <v>#REF!</v>
      </c>
      <c r="EH25" t="e">
        <f>AND(Bills!#REF!,"AAAAAG+7bok=")</f>
        <v>#REF!</v>
      </c>
      <c r="EI25" t="e">
        <f>AND(Bills!#REF!,"AAAAAG+7boo=")</f>
        <v>#REF!</v>
      </c>
      <c r="EJ25" t="e">
        <f>AND(Bills!#REF!,"AAAAAG+7bos=")</f>
        <v>#REF!</v>
      </c>
      <c r="EK25" t="e">
        <f>AND(Bills!#REF!,"AAAAAG+7bow=")</f>
        <v>#REF!</v>
      </c>
      <c r="EL25" t="e">
        <f>AND(Bills!#REF!,"AAAAAG+7bo0=")</f>
        <v>#REF!</v>
      </c>
      <c r="EM25" t="e">
        <f>AND(Bills!#REF!,"AAAAAG+7bo4=")</f>
        <v>#REF!</v>
      </c>
      <c r="EN25" t="e">
        <f>AND(Bills!#REF!,"AAAAAG+7bo8=")</f>
        <v>#REF!</v>
      </c>
      <c r="EO25" t="e">
        <f>AND(Bills!#REF!,"AAAAAG+7bpA=")</f>
        <v>#REF!</v>
      </c>
      <c r="EP25" t="e">
        <f>AND(Bills!#REF!,"AAAAAG+7bpE=")</f>
        <v>#REF!</v>
      </c>
      <c r="EQ25" t="e">
        <f>AND(Bills!#REF!,"AAAAAG+7bpI=")</f>
        <v>#REF!</v>
      </c>
      <c r="ER25" t="e">
        <f>AND(Bills!#REF!,"AAAAAG+7bpM=")</f>
        <v>#REF!</v>
      </c>
      <c r="ES25" t="e">
        <f>AND(Bills!#REF!,"AAAAAG+7bpQ=")</f>
        <v>#REF!</v>
      </c>
      <c r="ET25" t="e">
        <f>AND(Bills!#REF!,"AAAAAG+7bpU=")</f>
        <v>#REF!</v>
      </c>
      <c r="EU25" t="e">
        <f>AND(Bills!#REF!,"AAAAAG+7bpY=")</f>
        <v>#REF!</v>
      </c>
      <c r="EV25" t="e">
        <f>AND(Bills!#REF!,"AAAAAG+7bpc=")</f>
        <v>#REF!</v>
      </c>
      <c r="EW25" t="e">
        <f>AND(Bills!#REF!,"AAAAAG+7bpg=")</f>
        <v>#REF!</v>
      </c>
      <c r="EX25" t="e">
        <f>AND(Bills!#REF!,"AAAAAG+7bpk=")</f>
        <v>#REF!</v>
      </c>
      <c r="EY25" t="e">
        <f>AND(Bills!#REF!,"AAAAAG+7bpo=")</f>
        <v>#REF!</v>
      </c>
      <c r="EZ25" t="e">
        <f>AND(Bills!#REF!,"AAAAAG+7bps=")</f>
        <v>#REF!</v>
      </c>
      <c r="FA25" t="e">
        <f>AND(Bills!#REF!,"AAAAAG+7bpw=")</f>
        <v>#REF!</v>
      </c>
      <c r="FB25" t="e">
        <f>AND(Bills!#REF!,"AAAAAG+7bp0=")</f>
        <v>#REF!</v>
      </c>
      <c r="FC25" t="e">
        <f>AND(Bills!#REF!,"AAAAAG+7bp4=")</f>
        <v>#REF!</v>
      </c>
      <c r="FD25" t="e">
        <f>AND(Bills!#REF!,"AAAAAG+7bp8=")</f>
        <v>#REF!</v>
      </c>
      <c r="FE25" t="e">
        <f>AND(Bills!#REF!,"AAAAAG+7bqA=")</f>
        <v>#REF!</v>
      </c>
      <c r="FF25" t="e">
        <f>AND(Bills!#REF!,"AAAAAG+7bqE=")</f>
        <v>#REF!</v>
      </c>
      <c r="FG25" t="e">
        <f>AND(Bills!#REF!,"AAAAAG+7bqI=")</f>
        <v>#REF!</v>
      </c>
      <c r="FH25" t="e">
        <f>AND(Bills!#REF!,"AAAAAG+7bqM=")</f>
        <v>#REF!</v>
      </c>
      <c r="FI25" t="e">
        <f>AND(Bills!#REF!,"AAAAAG+7bqQ=")</f>
        <v>#REF!</v>
      </c>
      <c r="FJ25" t="e">
        <f>AND(Bills!#REF!,"AAAAAG+7bqU=")</f>
        <v>#REF!</v>
      </c>
      <c r="FK25" t="e">
        <f>AND(Bills!#REF!,"AAAAAG+7bqY=")</f>
        <v>#REF!</v>
      </c>
      <c r="FL25" t="e">
        <f>AND(Bills!#REF!,"AAAAAG+7bqc=")</f>
        <v>#REF!</v>
      </c>
      <c r="FM25" t="e">
        <f>IF(Bills!#REF!,"AAAAAG+7bqg=",0)</f>
        <v>#REF!</v>
      </c>
      <c r="FN25" t="e">
        <f>AND(Bills!#REF!,"AAAAAG+7bqk=")</f>
        <v>#REF!</v>
      </c>
      <c r="FO25" t="e">
        <f>AND(Bills!#REF!,"AAAAAG+7bqo=")</f>
        <v>#REF!</v>
      </c>
      <c r="FP25" t="e">
        <f>AND(Bills!#REF!,"AAAAAG+7bqs=")</f>
        <v>#REF!</v>
      </c>
      <c r="FQ25" t="e">
        <f>AND(Bills!#REF!,"AAAAAG+7bqw=")</f>
        <v>#REF!</v>
      </c>
      <c r="FR25" t="e">
        <f>AND(Bills!#REF!,"AAAAAG+7bq0=")</f>
        <v>#REF!</v>
      </c>
      <c r="FS25" t="e">
        <f>AND(Bills!#REF!,"AAAAAG+7bq4=")</f>
        <v>#REF!</v>
      </c>
      <c r="FT25" t="e">
        <f>AND(Bills!#REF!,"AAAAAG+7bq8=")</f>
        <v>#REF!</v>
      </c>
      <c r="FU25" t="e">
        <f>AND(Bills!#REF!,"AAAAAG+7brA=")</f>
        <v>#REF!</v>
      </c>
      <c r="FV25" t="e">
        <f>AND(Bills!#REF!,"AAAAAG+7brE=")</f>
        <v>#REF!</v>
      </c>
      <c r="FW25" t="e">
        <f>AND(Bills!#REF!,"AAAAAG+7brI=")</f>
        <v>#REF!</v>
      </c>
      <c r="FX25" t="e">
        <f>AND(Bills!#REF!,"AAAAAG+7brM=")</f>
        <v>#REF!</v>
      </c>
      <c r="FY25" t="e">
        <f>AND(Bills!#REF!,"AAAAAG+7brQ=")</f>
        <v>#REF!</v>
      </c>
      <c r="FZ25" t="e">
        <f>AND(Bills!#REF!,"AAAAAG+7brU=")</f>
        <v>#REF!</v>
      </c>
      <c r="GA25" t="e">
        <f>AND(Bills!#REF!,"AAAAAG+7brY=")</f>
        <v>#REF!</v>
      </c>
      <c r="GB25" t="e">
        <f>AND(Bills!#REF!,"AAAAAG+7brc=")</f>
        <v>#REF!</v>
      </c>
      <c r="GC25" t="e">
        <f>AND(Bills!#REF!,"AAAAAG+7brg=")</f>
        <v>#REF!</v>
      </c>
      <c r="GD25" t="e">
        <f>AND(Bills!#REF!,"AAAAAG+7brk=")</f>
        <v>#REF!</v>
      </c>
      <c r="GE25" t="e">
        <f>AND(Bills!#REF!,"AAAAAG+7bro=")</f>
        <v>#REF!</v>
      </c>
      <c r="GF25" t="e">
        <f>AND(Bills!#REF!,"AAAAAG+7brs=")</f>
        <v>#REF!</v>
      </c>
      <c r="GG25" t="e">
        <f>AND(Bills!#REF!,"AAAAAG+7brw=")</f>
        <v>#REF!</v>
      </c>
      <c r="GH25" t="e">
        <f>AND(Bills!#REF!,"AAAAAG+7br0=")</f>
        <v>#REF!</v>
      </c>
      <c r="GI25" t="e">
        <f>AND(Bills!#REF!,"AAAAAG+7br4=")</f>
        <v>#REF!</v>
      </c>
      <c r="GJ25" t="e">
        <f>AND(Bills!#REF!,"AAAAAG+7br8=")</f>
        <v>#REF!</v>
      </c>
      <c r="GK25" t="e">
        <f>AND(Bills!#REF!,"AAAAAG+7bsA=")</f>
        <v>#REF!</v>
      </c>
      <c r="GL25" t="e">
        <f>AND(Bills!#REF!,"AAAAAG+7bsE=")</f>
        <v>#REF!</v>
      </c>
      <c r="GM25" t="e">
        <f>AND(Bills!#REF!,"AAAAAG+7bsI=")</f>
        <v>#REF!</v>
      </c>
      <c r="GN25" t="e">
        <f>AND(Bills!#REF!,"AAAAAG+7bsM=")</f>
        <v>#REF!</v>
      </c>
      <c r="GO25" t="e">
        <f>AND(Bills!#REF!,"AAAAAG+7bsQ=")</f>
        <v>#REF!</v>
      </c>
      <c r="GP25" t="e">
        <f>AND(Bills!#REF!,"AAAAAG+7bsU=")</f>
        <v>#REF!</v>
      </c>
      <c r="GQ25" t="e">
        <f>AND(Bills!#REF!,"AAAAAG+7bsY=")</f>
        <v>#REF!</v>
      </c>
      <c r="GR25" t="e">
        <f>AND(Bills!#REF!,"AAAAAG+7bsc=")</f>
        <v>#REF!</v>
      </c>
      <c r="GS25" t="e">
        <f>AND(Bills!#REF!,"AAAAAG+7bsg=")</f>
        <v>#REF!</v>
      </c>
      <c r="GT25" t="e">
        <f>AND(Bills!#REF!,"AAAAAG+7bsk=")</f>
        <v>#REF!</v>
      </c>
      <c r="GU25" t="e">
        <f>AND(Bills!#REF!,"AAAAAG+7bso=")</f>
        <v>#REF!</v>
      </c>
      <c r="GV25" t="e">
        <f>AND(Bills!#REF!,"AAAAAG+7bss=")</f>
        <v>#REF!</v>
      </c>
      <c r="GW25" t="e">
        <f>AND(Bills!#REF!,"AAAAAG+7bsw=")</f>
        <v>#REF!</v>
      </c>
      <c r="GX25" t="e">
        <f>AND(Bills!#REF!,"AAAAAG+7bs0=")</f>
        <v>#REF!</v>
      </c>
      <c r="GY25" t="e">
        <f>AND(Bills!#REF!,"AAAAAG+7bs4=")</f>
        <v>#REF!</v>
      </c>
      <c r="GZ25" t="e">
        <f>AND(Bills!#REF!,"AAAAAG+7bs8=")</f>
        <v>#REF!</v>
      </c>
      <c r="HA25" t="e">
        <f>AND(Bills!#REF!,"AAAAAG+7btA=")</f>
        <v>#REF!</v>
      </c>
      <c r="HB25" t="e">
        <f>AND(Bills!#REF!,"AAAAAG+7btE=")</f>
        <v>#REF!</v>
      </c>
      <c r="HC25" t="e">
        <f>AND(Bills!#REF!,"AAAAAG+7btI=")</f>
        <v>#REF!</v>
      </c>
      <c r="HD25" t="e">
        <f>AND(Bills!#REF!,"AAAAAG+7btM=")</f>
        <v>#REF!</v>
      </c>
      <c r="HE25" t="e">
        <f>AND(Bills!#REF!,"AAAAAG+7btQ=")</f>
        <v>#REF!</v>
      </c>
      <c r="HF25" t="e">
        <f>AND(Bills!#REF!,"AAAAAG+7btU=")</f>
        <v>#REF!</v>
      </c>
      <c r="HG25" t="e">
        <f>AND(Bills!#REF!,"AAAAAG+7btY=")</f>
        <v>#REF!</v>
      </c>
      <c r="HH25" t="e">
        <f>AND(Bills!#REF!,"AAAAAG+7btc=")</f>
        <v>#REF!</v>
      </c>
      <c r="HI25" t="e">
        <f>AND(Bills!#REF!,"AAAAAG+7btg=")</f>
        <v>#REF!</v>
      </c>
      <c r="HJ25" t="e">
        <f>AND(Bills!#REF!,"AAAAAG+7btk=")</f>
        <v>#REF!</v>
      </c>
      <c r="HK25" t="e">
        <f>AND(Bills!#REF!,"AAAAAG+7bto=")</f>
        <v>#REF!</v>
      </c>
      <c r="HL25" t="e">
        <f>IF(Bills!#REF!,"AAAAAG+7bts=",0)</f>
        <v>#REF!</v>
      </c>
      <c r="HM25" t="e">
        <f>AND(Bills!#REF!,"AAAAAG+7btw=")</f>
        <v>#REF!</v>
      </c>
      <c r="HN25" t="e">
        <f>AND(Bills!#REF!,"AAAAAG+7bt0=")</f>
        <v>#REF!</v>
      </c>
      <c r="HO25" t="e">
        <f>AND(Bills!#REF!,"AAAAAG+7bt4=")</f>
        <v>#REF!</v>
      </c>
      <c r="HP25" t="e">
        <f>AND(Bills!#REF!,"AAAAAG+7bt8=")</f>
        <v>#REF!</v>
      </c>
      <c r="HQ25" t="e">
        <f>AND(Bills!#REF!,"AAAAAG+7buA=")</f>
        <v>#REF!</v>
      </c>
      <c r="HR25" t="e">
        <f>AND(Bills!#REF!,"AAAAAG+7buE=")</f>
        <v>#REF!</v>
      </c>
      <c r="HS25" t="e">
        <f>AND(Bills!#REF!,"AAAAAG+7buI=")</f>
        <v>#REF!</v>
      </c>
      <c r="HT25" t="e">
        <f>AND(Bills!#REF!,"AAAAAG+7buM=")</f>
        <v>#REF!</v>
      </c>
      <c r="HU25" t="e">
        <f>AND(Bills!#REF!,"AAAAAG+7buQ=")</f>
        <v>#REF!</v>
      </c>
      <c r="HV25" t="e">
        <f>AND(Bills!#REF!,"AAAAAG+7buU=")</f>
        <v>#REF!</v>
      </c>
      <c r="HW25" t="e">
        <f>AND(Bills!#REF!,"AAAAAG+7buY=")</f>
        <v>#REF!</v>
      </c>
      <c r="HX25" t="e">
        <f>AND(Bills!#REF!,"AAAAAG+7buc=")</f>
        <v>#REF!</v>
      </c>
      <c r="HY25" t="e">
        <f>AND(Bills!#REF!,"AAAAAG+7bug=")</f>
        <v>#REF!</v>
      </c>
      <c r="HZ25" t="e">
        <f>AND(Bills!#REF!,"AAAAAG+7buk=")</f>
        <v>#REF!</v>
      </c>
      <c r="IA25" t="e">
        <f>AND(Bills!#REF!,"AAAAAG+7buo=")</f>
        <v>#REF!</v>
      </c>
      <c r="IB25" t="e">
        <f>AND(Bills!#REF!,"AAAAAG+7bus=")</f>
        <v>#REF!</v>
      </c>
      <c r="IC25" t="e">
        <f>AND(Bills!#REF!,"AAAAAG+7buw=")</f>
        <v>#REF!</v>
      </c>
      <c r="ID25" t="e">
        <f>AND(Bills!#REF!,"AAAAAG+7bu0=")</f>
        <v>#REF!</v>
      </c>
      <c r="IE25" t="e">
        <f>AND(Bills!#REF!,"AAAAAG+7bu4=")</f>
        <v>#REF!</v>
      </c>
      <c r="IF25" t="e">
        <f>AND(Bills!#REF!,"AAAAAG+7bu8=")</f>
        <v>#REF!</v>
      </c>
      <c r="IG25" t="e">
        <f>AND(Bills!#REF!,"AAAAAG+7bvA=")</f>
        <v>#REF!</v>
      </c>
      <c r="IH25" t="e">
        <f>AND(Bills!#REF!,"AAAAAG+7bvE=")</f>
        <v>#REF!</v>
      </c>
      <c r="II25" t="e">
        <f>AND(Bills!#REF!,"AAAAAG+7bvI=")</f>
        <v>#REF!</v>
      </c>
      <c r="IJ25" t="e">
        <f>AND(Bills!#REF!,"AAAAAG+7bvM=")</f>
        <v>#REF!</v>
      </c>
      <c r="IK25" t="e">
        <f>AND(Bills!#REF!,"AAAAAG+7bvQ=")</f>
        <v>#REF!</v>
      </c>
      <c r="IL25" t="e">
        <f>AND(Bills!#REF!,"AAAAAG+7bvU=")</f>
        <v>#REF!</v>
      </c>
      <c r="IM25" t="e">
        <f>AND(Bills!#REF!,"AAAAAG+7bvY=")</f>
        <v>#REF!</v>
      </c>
      <c r="IN25" t="e">
        <f>AND(Bills!#REF!,"AAAAAG+7bvc=")</f>
        <v>#REF!</v>
      </c>
      <c r="IO25" t="e">
        <f>AND(Bills!#REF!,"AAAAAG+7bvg=")</f>
        <v>#REF!</v>
      </c>
      <c r="IP25" t="e">
        <f>AND(Bills!#REF!,"AAAAAG+7bvk=")</f>
        <v>#REF!</v>
      </c>
      <c r="IQ25" t="e">
        <f>AND(Bills!#REF!,"AAAAAG+7bvo=")</f>
        <v>#REF!</v>
      </c>
      <c r="IR25" t="e">
        <f>AND(Bills!#REF!,"AAAAAG+7bvs=")</f>
        <v>#REF!</v>
      </c>
      <c r="IS25" t="e">
        <f>AND(Bills!#REF!,"AAAAAG+7bvw=")</f>
        <v>#REF!</v>
      </c>
      <c r="IT25" t="e">
        <f>AND(Bills!#REF!,"AAAAAG+7bv0=")</f>
        <v>#REF!</v>
      </c>
      <c r="IU25" t="e">
        <f>AND(Bills!#REF!,"AAAAAG+7bv4=")</f>
        <v>#REF!</v>
      </c>
      <c r="IV25" t="e">
        <f>AND(Bills!#REF!,"AAAAAG+7bv8=")</f>
        <v>#REF!</v>
      </c>
    </row>
    <row r="26" spans="1:256" x14ac:dyDescent="0.25">
      <c r="A26" t="e">
        <f>AND(Bills!#REF!,"AAAAAF9/1AA=")</f>
        <v>#REF!</v>
      </c>
      <c r="B26" t="e">
        <f>AND(Bills!#REF!,"AAAAAF9/1AE=")</f>
        <v>#REF!</v>
      </c>
      <c r="C26" t="e">
        <f>AND(Bills!#REF!,"AAAAAF9/1AI=")</f>
        <v>#REF!</v>
      </c>
      <c r="D26" t="e">
        <f>AND(Bills!#REF!,"AAAAAF9/1AM=")</f>
        <v>#REF!</v>
      </c>
      <c r="E26" t="e">
        <f>AND(Bills!#REF!,"AAAAAF9/1AQ=")</f>
        <v>#REF!</v>
      </c>
      <c r="F26" t="e">
        <f>AND(Bills!#REF!,"AAAAAF9/1AU=")</f>
        <v>#REF!</v>
      </c>
      <c r="G26" t="e">
        <f>AND(Bills!#REF!,"AAAAAF9/1AY=")</f>
        <v>#REF!</v>
      </c>
      <c r="H26" t="e">
        <f>AND(Bills!#REF!,"AAAAAF9/1Ac=")</f>
        <v>#REF!</v>
      </c>
      <c r="I26" t="e">
        <f>AND(Bills!#REF!,"AAAAAF9/1Ag=")</f>
        <v>#REF!</v>
      </c>
      <c r="J26" t="e">
        <f>AND(Bills!#REF!,"AAAAAF9/1Ak=")</f>
        <v>#REF!</v>
      </c>
      <c r="K26" t="e">
        <f>AND(Bills!#REF!,"AAAAAF9/1Ao=")</f>
        <v>#REF!</v>
      </c>
      <c r="L26" t="e">
        <f>AND(Bills!#REF!,"AAAAAF9/1As=")</f>
        <v>#REF!</v>
      </c>
      <c r="M26" t="e">
        <f>AND(Bills!#REF!,"AAAAAF9/1Aw=")</f>
        <v>#REF!</v>
      </c>
      <c r="N26" t="e">
        <f>AND(Bills!#REF!,"AAAAAF9/1A0=")</f>
        <v>#REF!</v>
      </c>
      <c r="O26" t="e">
        <f>IF(Bills!#REF!,"AAAAAF9/1A4=",0)</f>
        <v>#REF!</v>
      </c>
      <c r="P26" t="e">
        <f>AND(Bills!#REF!,"AAAAAF9/1A8=")</f>
        <v>#REF!</v>
      </c>
      <c r="Q26" t="e">
        <f>AND(Bills!#REF!,"AAAAAF9/1BA=")</f>
        <v>#REF!</v>
      </c>
      <c r="R26" t="e">
        <f>AND(Bills!#REF!,"AAAAAF9/1BE=")</f>
        <v>#REF!</v>
      </c>
      <c r="S26" t="e">
        <f>AND(Bills!#REF!,"AAAAAF9/1BI=")</f>
        <v>#REF!</v>
      </c>
      <c r="T26" t="e">
        <f>AND(Bills!#REF!,"AAAAAF9/1BM=")</f>
        <v>#REF!</v>
      </c>
      <c r="U26" t="e">
        <f>AND(Bills!#REF!,"AAAAAF9/1BQ=")</f>
        <v>#REF!</v>
      </c>
      <c r="V26" t="e">
        <f>AND(Bills!#REF!,"AAAAAF9/1BU=")</f>
        <v>#REF!</v>
      </c>
      <c r="W26" t="e">
        <f>AND(Bills!#REF!,"AAAAAF9/1BY=")</f>
        <v>#REF!</v>
      </c>
      <c r="X26" t="e">
        <f>AND(Bills!#REF!,"AAAAAF9/1Bc=")</f>
        <v>#REF!</v>
      </c>
      <c r="Y26" t="e">
        <f>AND(Bills!#REF!,"AAAAAF9/1Bg=")</f>
        <v>#REF!</v>
      </c>
      <c r="Z26" t="e">
        <f>AND(Bills!#REF!,"AAAAAF9/1Bk=")</f>
        <v>#REF!</v>
      </c>
      <c r="AA26" t="e">
        <f>AND(Bills!#REF!,"AAAAAF9/1Bo=")</f>
        <v>#REF!</v>
      </c>
      <c r="AB26" t="e">
        <f>AND(Bills!#REF!,"AAAAAF9/1Bs=")</f>
        <v>#REF!</v>
      </c>
      <c r="AC26" t="e">
        <f>AND(Bills!#REF!,"AAAAAF9/1Bw=")</f>
        <v>#REF!</v>
      </c>
      <c r="AD26" t="e">
        <f>AND(Bills!#REF!,"AAAAAF9/1B0=")</f>
        <v>#REF!</v>
      </c>
      <c r="AE26" t="e">
        <f>AND(Bills!#REF!,"AAAAAF9/1B4=")</f>
        <v>#REF!</v>
      </c>
      <c r="AF26" t="e">
        <f>AND(Bills!#REF!,"AAAAAF9/1B8=")</f>
        <v>#REF!</v>
      </c>
      <c r="AG26" t="e">
        <f>AND(Bills!#REF!,"AAAAAF9/1CA=")</f>
        <v>#REF!</v>
      </c>
      <c r="AH26" t="e">
        <f>AND(Bills!#REF!,"AAAAAF9/1CE=")</f>
        <v>#REF!</v>
      </c>
      <c r="AI26" t="e">
        <f>AND(Bills!#REF!,"AAAAAF9/1CI=")</f>
        <v>#REF!</v>
      </c>
      <c r="AJ26" t="e">
        <f>AND(Bills!#REF!,"AAAAAF9/1CM=")</f>
        <v>#REF!</v>
      </c>
      <c r="AK26" t="e">
        <f>AND(Bills!#REF!,"AAAAAF9/1CQ=")</f>
        <v>#REF!</v>
      </c>
      <c r="AL26" t="e">
        <f>AND(Bills!#REF!,"AAAAAF9/1CU=")</f>
        <v>#REF!</v>
      </c>
      <c r="AM26" t="e">
        <f>AND(Bills!#REF!,"AAAAAF9/1CY=")</f>
        <v>#REF!</v>
      </c>
      <c r="AN26" t="e">
        <f>AND(Bills!#REF!,"AAAAAF9/1Cc=")</f>
        <v>#REF!</v>
      </c>
      <c r="AO26" t="e">
        <f>AND(Bills!#REF!,"AAAAAF9/1Cg=")</f>
        <v>#REF!</v>
      </c>
      <c r="AP26" t="e">
        <f>AND(Bills!#REF!,"AAAAAF9/1Ck=")</f>
        <v>#REF!</v>
      </c>
      <c r="AQ26" t="e">
        <f>AND(Bills!#REF!,"AAAAAF9/1Co=")</f>
        <v>#REF!</v>
      </c>
      <c r="AR26" t="e">
        <f>AND(Bills!#REF!,"AAAAAF9/1Cs=")</f>
        <v>#REF!</v>
      </c>
      <c r="AS26" t="e">
        <f>AND(Bills!#REF!,"AAAAAF9/1Cw=")</f>
        <v>#REF!</v>
      </c>
      <c r="AT26" t="e">
        <f>AND(Bills!#REF!,"AAAAAF9/1C0=")</f>
        <v>#REF!</v>
      </c>
      <c r="AU26" t="e">
        <f>AND(Bills!#REF!,"AAAAAF9/1C4=")</f>
        <v>#REF!</v>
      </c>
      <c r="AV26" t="e">
        <f>AND(Bills!#REF!,"AAAAAF9/1C8=")</f>
        <v>#REF!</v>
      </c>
      <c r="AW26" t="e">
        <f>AND(Bills!#REF!,"AAAAAF9/1DA=")</f>
        <v>#REF!</v>
      </c>
      <c r="AX26" t="e">
        <f>AND(Bills!#REF!,"AAAAAF9/1DE=")</f>
        <v>#REF!</v>
      </c>
      <c r="AY26" t="e">
        <f>AND(Bills!#REF!,"AAAAAF9/1DI=")</f>
        <v>#REF!</v>
      </c>
      <c r="AZ26" t="e">
        <f>AND(Bills!#REF!,"AAAAAF9/1DM=")</f>
        <v>#REF!</v>
      </c>
      <c r="BA26" t="e">
        <f>AND(Bills!#REF!,"AAAAAF9/1DQ=")</f>
        <v>#REF!</v>
      </c>
      <c r="BB26" t="e">
        <f>AND(Bills!#REF!,"AAAAAF9/1DU=")</f>
        <v>#REF!</v>
      </c>
      <c r="BC26" t="e">
        <f>AND(Bills!#REF!,"AAAAAF9/1DY=")</f>
        <v>#REF!</v>
      </c>
      <c r="BD26" t="e">
        <f>AND(Bills!#REF!,"AAAAAF9/1Dc=")</f>
        <v>#REF!</v>
      </c>
      <c r="BE26" t="e">
        <f>AND(Bills!#REF!,"AAAAAF9/1Dg=")</f>
        <v>#REF!</v>
      </c>
      <c r="BF26" t="e">
        <f>AND(Bills!#REF!,"AAAAAF9/1Dk=")</f>
        <v>#REF!</v>
      </c>
      <c r="BG26" t="e">
        <f>AND(Bills!#REF!,"AAAAAF9/1Do=")</f>
        <v>#REF!</v>
      </c>
      <c r="BH26" t="e">
        <f>AND(Bills!#REF!,"AAAAAF9/1Ds=")</f>
        <v>#REF!</v>
      </c>
      <c r="BI26" t="e">
        <f>AND(Bills!#REF!,"AAAAAF9/1Dw=")</f>
        <v>#REF!</v>
      </c>
      <c r="BJ26" t="e">
        <f>AND(Bills!#REF!,"AAAAAF9/1D0=")</f>
        <v>#REF!</v>
      </c>
      <c r="BK26" t="e">
        <f>AND(Bills!#REF!,"AAAAAF9/1D4=")</f>
        <v>#REF!</v>
      </c>
      <c r="BL26" t="e">
        <f>AND(Bills!#REF!,"AAAAAF9/1D8=")</f>
        <v>#REF!</v>
      </c>
      <c r="BM26" t="e">
        <f>AND(Bills!#REF!,"AAAAAF9/1EA=")</f>
        <v>#REF!</v>
      </c>
      <c r="BN26">
        <f>IF(Bills!15:15,"AAAAAF9/1EE=",0)</f>
        <v>0</v>
      </c>
      <c r="BO26" t="e">
        <f>AND(Bills!B15,"AAAAAF9/1EI=")</f>
        <v>#VALUE!</v>
      </c>
      <c r="BP26" t="e">
        <f>AND(Bills!#REF!,"AAAAAF9/1EM=")</f>
        <v>#REF!</v>
      </c>
      <c r="BQ26" t="e">
        <f>AND(Bills!C15,"AAAAAF9/1EQ=")</f>
        <v>#VALUE!</v>
      </c>
      <c r="BR26" t="e">
        <f>AND(Bills!D15,"AAAAAF9/1EU=")</f>
        <v>#VALUE!</v>
      </c>
      <c r="BS26" t="e">
        <f>AND(Bills!E15,"AAAAAF9/1EY=")</f>
        <v>#VALUE!</v>
      </c>
      <c r="BT26" t="e">
        <f>AND(Bills!#REF!,"AAAAAF9/1Ec=")</f>
        <v>#REF!</v>
      </c>
      <c r="BU26" t="e">
        <f>AND(Bills!#REF!,"AAAAAF9/1Eg=")</f>
        <v>#REF!</v>
      </c>
      <c r="BV26" t="e">
        <f>AND(Bills!#REF!,"AAAAAF9/1Ek=")</f>
        <v>#REF!</v>
      </c>
      <c r="BW26" t="e">
        <f>AND(Bills!F15,"AAAAAF9/1Eo=")</f>
        <v>#VALUE!</v>
      </c>
      <c r="BX26" t="e">
        <f>AND(Bills!#REF!,"AAAAAF9/1Es=")</f>
        <v>#REF!</v>
      </c>
      <c r="BY26" t="e">
        <f>AND(Bills!G15,"AAAAAF9/1Ew=")</f>
        <v>#VALUE!</v>
      </c>
      <c r="BZ26" t="e">
        <f>AND(Bills!H15,"AAAAAF9/1E0=")</f>
        <v>#VALUE!</v>
      </c>
      <c r="CA26" t="e">
        <f>AND(Bills!I15,"AAAAAF9/1E4=")</f>
        <v>#VALUE!</v>
      </c>
      <c r="CB26" t="e">
        <f>AND(Bills!J15,"AAAAAF9/1E8=")</f>
        <v>#VALUE!</v>
      </c>
      <c r="CC26" t="e">
        <f>AND(Bills!K15,"AAAAAF9/1FA=")</f>
        <v>#VALUE!</v>
      </c>
      <c r="CD26" t="e">
        <f>AND(Bills!L15,"AAAAAF9/1FE=")</f>
        <v>#VALUE!</v>
      </c>
      <c r="CE26" t="e">
        <f>AND(Bills!#REF!,"AAAAAF9/1FI=")</f>
        <v>#REF!</v>
      </c>
      <c r="CF26" t="e">
        <f>AND(Bills!M15,"AAAAAF9/1FM=")</f>
        <v>#VALUE!</v>
      </c>
      <c r="CG26" t="e">
        <f>AND(Bills!N15,"AAAAAF9/1FQ=")</f>
        <v>#VALUE!</v>
      </c>
      <c r="CH26" t="e">
        <f>AND(Bills!O15,"AAAAAF9/1FU=")</f>
        <v>#VALUE!</v>
      </c>
      <c r="CI26" t="e">
        <f>AND(Bills!P15,"AAAAAF9/1FY=")</f>
        <v>#VALUE!</v>
      </c>
      <c r="CJ26" t="e">
        <f>AND(Bills!Q15,"AAAAAF9/1Fc=")</f>
        <v>#VALUE!</v>
      </c>
      <c r="CK26" t="e">
        <f>AND(Bills!R15,"AAAAAF9/1Fg=")</f>
        <v>#VALUE!</v>
      </c>
      <c r="CL26" t="e">
        <f>AND(Bills!S15,"AAAAAF9/1Fk=")</f>
        <v>#VALUE!</v>
      </c>
      <c r="CM26" t="e">
        <f>AND(Bills!T15,"AAAAAF9/1Fo=")</f>
        <v>#VALUE!</v>
      </c>
      <c r="CN26" t="e">
        <f>AND(Bills!#REF!,"AAAAAF9/1Fs=")</f>
        <v>#REF!</v>
      </c>
      <c r="CO26" t="e">
        <f>AND(Bills!U15,"AAAAAF9/1Fw=")</f>
        <v>#VALUE!</v>
      </c>
      <c r="CP26" t="e">
        <f>AND(Bills!V15,"AAAAAF9/1F0=")</f>
        <v>#VALUE!</v>
      </c>
      <c r="CQ26" t="e">
        <f>AND(Bills!W15,"AAAAAF9/1F4=")</f>
        <v>#VALUE!</v>
      </c>
      <c r="CR26" t="e">
        <f>AND(Bills!#REF!,"AAAAAF9/1F8=")</f>
        <v>#REF!</v>
      </c>
      <c r="CS26" t="e">
        <f>AND(Bills!#REF!,"AAAAAF9/1GA=")</f>
        <v>#REF!</v>
      </c>
      <c r="CT26" t="e">
        <f>AND(Bills!Y15,"AAAAAF9/1GE=")</f>
        <v>#VALUE!</v>
      </c>
      <c r="CU26" t="e">
        <f>AND(Bills!Z15,"AAAAAF9/1GI=")</f>
        <v>#VALUE!</v>
      </c>
      <c r="CV26" t="e">
        <f>AND(Bills!#REF!,"AAAAAF9/1GM=")</f>
        <v>#REF!</v>
      </c>
      <c r="CW26" t="e">
        <f>AND(Bills!#REF!,"AAAAAF9/1GQ=")</f>
        <v>#REF!</v>
      </c>
      <c r="CX26" t="e">
        <f>AND(Bills!#REF!,"AAAAAF9/1GU=")</f>
        <v>#REF!</v>
      </c>
      <c r="CY26" t="e">
        <f>AND(Bills!#REF!,"AAAAAF9/1GY=")</f>
        <v>#REF!</v>
      </c>
      <c r="CZ26" t="e">
        <f>AND(Bills!#REF!,"AAAAAF9/1Gc=")</f>
        <v>#REF!</v>
      </c>
      <c r="DA26" t="e">
        <f>AND(Bills!#REF!,"AAAAAF9/1Gg=")</f>
        <v>#REF!</v>
      </c>
      <c r="DB26" t="e">
        <f>AND(Bills!#REF!,"AAAAAF9/1Gk=")</f>
        <v>#REF!</v>
      </c>
      <c r="DC26" t="e">
        <f>AND(Bills!#REF!,"AAAAAF9/1Go=")</f>
        <v>#REF!</v>
      </c>
      <c r="DD26" t="e">
        <f>AND(Bills!#REF!,"AAAAAF9/1Gs=")</f>
        <v>#REF!</v>
      </c>
      <c r="DE26" t="e">
        <f>AND(Bills!AA15,"AAAAAF9/1Gw=")</f>
        <v>#VALUE!</v>
      </c>
      <c r="DF26" t="e">
        <f>AND(Bills!AB15,"AAAAAF9/1G0=")</f>
        <v>#VALUE!</v>
      </c>
      <c r="DG26" t="e">
        <f>AND(Bills!#REF!,"AAAAAF9/1G4=")</f>
        <v>#REF!</v>
      </c>
      <c r="DH26" t="e">
        <f>AND(Bills!#REF!,"AAAAAF9/1G8=")</f>
        <v>#REF!</v>
      </c>
      <c r="DI26" t="e">
        <f>AND(Bills!#REF!,"AAAAAF9/1HA=")</f>
        <v>#REF!</v>
      </c>
      <c r="DJ26" t="e">
        <f>AND(Bills!AC15,"AAAAAF9/1HE=")</f>
        <v>#VALUE!</v>
      </c>
      <c r="DK26" t="e">
        <f>AND(Bills!AD15,"AAAAAF9/1HI=")</f>
        <v>#VALUE!</v>
      </c>
      <c r="DL26" t="e">
        <f>AND(Bills!AE15,"AAAAAF9/1HM=")</f>
        <v>#VALUE!</v>
      </c>
      <c r="DM26" t="e">
        <f>IF(Bills!#REF!,"AAAAAF9/1HQ=",0)</f>
        <v>#REF!</v>
      </c>
      <c r="DN26" t="e">
        <f>AND(Bills!#REF!,"AAAAAF9/1HU=")</f>
        <v>#REF!</v>
      </c>
      <c r="DO26" t="e">
        <f>AND(Bills!#REF!,"AAAAAF9/1HY=")</f>
        <v>#REF!</v>
      </c>
      <c r="DP26" t="e">
        <f>AND(Bills!#REF!,"AAAAAF9/1Hc=")</f>
        <v>#REF!</v>
      </c>
      <c r="DQ26" t="e">
        <f>AND(Bills!#REF!,"AAAAAF9/1Hg=")</f>
        <v>#REF!</v>
      </c>
      <c r="DR26" t="e">
        <f>AND(Bills!#REF!,"AAAAAF9/1Hk=")</f>
        <v>#REF!</v>
      </c>
      <c r="DS26" t="e">
        <f>AND(Bills!#REF!,"AAAAAF9/1Ho=")</f>
        <v>#REF!</v>
      </c>
      <c r="DT26" t="e">
        <f>AND(Bills!#REF!,"AAAAAF9/1Hs=")</f>
        <v>#REF!</v>
      </c>
      <c r="DU26" t="e">
        <f>AND(Bills!#REF!,"AAAAAF9/1Hw=")</f>
        <v>#REF!</v>
      </c>
      <c r="DV26" t="e">
        <f>AND(Bills!#REF!,"AAAAAF9/1H0=")</f>
        <v>#REF!</v>
      </c>
      <c r="DW26" t="e">
        <f>AND(Bills!#REF!,"AAAAAF9/1H4=")</f>
        <v>#REF!</v>
      </c>
      <c r="DX26" t="e">
        <f>AND(Bills!#REF!,"AAAAAF9/1H8=")</f>
        <v>#REF!</v>
      </c>
      <c r="DY26" t="e">
        <f>AND(Bills!#REF!,"AAAAAF9/1IA=")</f>
        <v>#REF!</v>
      </c>
      <c r="DZ26" t="e">
        <f>AND(Bills!#REF!,"AAAAAF9/1IE=")</f>
        <v>#REF!</v>
      </c>
      <c r="EA26" t="e">
        <f>AND(Bills!#REF!,"AAAAAF9/1II=")</f>
        <v>#REF!</v>
      </c>
      <c r="EB26" t="e">
        <f>AND(Bills!#REF!,"AAAAAF9/1IM=")</f>
        <v>#REF!</v>
      </c>
      <c r="EC26" t="e">
        <f>AND(Bills!#REF!,"AAAAAF9/1IQ=")</f>
        <v>#REF!</v>
      </c>
      <c r="ED26" t="e">
        <f>AND(Bills!#REF!,"AAAAAF9/1IU=")</f>
        <v>#REF!</v>
      </c>
      <c r="EE26" t="e">
        <f>AND(Bills!#REF!,"AAAAAF9/1IY=")</f>
        <v>#REF!</v>
      </c>
      <c r="EF26" t="e">
        <f>AND(Bills!#REF!,"AAAAAF9/1Ic=")</f>
        <v>#REF!</v>
      </c>
      <c r="EG26" t="e">
        <f>AND(Bills!#REF!,"AAAAAF9/1Ig=")</f>
        <v>#REF!</v>
      </c>
      <c r="EH26" t="e">
        <f>AND(Bills!#REF!,"AAAAAF9/1Ik=")</f>
        <v>#REF!</v>
      </c>
      <c r="EI26" t="e">
        <f>AND(Bills!#REF!,"AAAAAF9/1Io=")</f>
        <v>#REF!</v>
      </c>
      <c r="EJ26" t="e">
        <f>AND(Bills!#REF!,"AAAAAF9/1Is=")</f>
        <v>#REF!</v>
      </c>
      <c r="EK26" t="e">
        <f>AND(Bills!#REF!,"AAAAAF9/1Iw=")</f>
        <v>#REF!</v>
      </c>
      <c r="EL26" t="e">
        <f>AND(Bills!#REF!,"AAAAAF9/1I0=")</f>
        <v>#REF!</v>
      </c>
      <c r="EM26" t="e">
        <f>AND(Bills!#REF!,"AAAAAF9/1I4=")</f>
        <v>#REF!</v>
      </c>
      <c r="EN26" t="e">
        <f>AND(Bills!#REF!,"AAAAAF9/1I8=")</f>
        <v>#REF!</v>
      </c>
      <c r="EO26" t="e">
        <f>AND(Bills!#REF!,"AAAAAF9/1JA=")</f>
        <v>#REF!</v>
      </c>
      <c r="EP26" t="e">
        <f>AND(Bills!#REF!,"AAAAAF9/1JE=")</f>
        <v>#REF!</v>
      </c>
      <c r="EQ26" t="e">
        <f>AND(Bills!#REF!,"AAAAAF9/1JI=")</f>
        <v>#REF!</v>
      </c>
      <c r="ER26" t="e">
        <f>AND(Bills!#REF!,"AAAAAF9/1JM=")</f>
        <v>#REF!</v>
      </c>
      <c r="ES26" t="e">
        <f>AND(Bills!#REF!,"AAAAAF9/1JQ=")</f>
        <v>#REF!</v>
      </c>
      <c r="ET26" t="e">
        <f>AND(Bills!#REF!,"AAAAAF9/1JU=")</f>
        <v>#REF!</v>
      </c>
      <c r="EU26" t="e">
        <f>AND(Bills!#REF!,"AAAAAF9/1JY=")</f>
        <v>#REF!</v>
      </c>
      <c r="EV26" t="e">
        <f>AND(Bills!#REF!,"AAAAAF9/1Jc=")</f>
        <v>#REF!</v>
      </c>
      <c r="EW26" t="e">
        <f>AND(Bills!#REF!,"AAAAAF9/1Jg=")</f>
        <v>#REF!</v>
      </c>
      <c r="EX26" t="e">
        <f>AND(Bills!#REF!,"AAAAAF9/1Jk=")</f>
        <v>#REF!</v>
      </c>
      <c r="EY26" t="e">
        <f>AND(Bills!#REF!,"AAAAAF9/1Jo=")</f>
        <v>#REF!</v>
      </c>
      <c r="EZ26" t="e">
        <f>AND(Bills!#REF!,"AAAAAF9/1Js=")</f>
        <v>#REF!</v>
      </c>
      <c r="FA26" t="e">
        <f>AND(Bills!#REF!,"AAAAAF9/1Jw=")</f>
        <v>#REF!</v>
      </c>
      <c r="FB26" t="e">
        <f>AND(Bills!#REF!,"AAAAAF9/1J0=")</f>
        <v>#REF!</v>
      </c>
      <c r="FC26" t="e">
        <f>AND(Bills!#REF!,"AAAAAF9/1J4=")</f>
        <v>#REF!</v>
      </c>
      <c r="FD26" t="e">
        <f>AND(Bills!#REF!,"AAAAAF9/1J8=")</f>
        <v>#REF!</v>
      </c>
      <c r="FE26" t="e">
        <f>AND(Bills!#REF!,"AAAAAF9/1KA=")</f>
        <v>#REF!</v>
      </c>
      <c r="FF26" t="e">
        <f>AND(Bills!#REF!,"AAAAAF9/1KE=")</f>
        <v>#REF!</v>
      </c>
      <c r="FG26" t="e">
        <f>AND(Bills!#REF!,"AAAAAF9/1KI=")</f>
        <v>#REF!</v>
      </c>
      <c r="FH26" t="e">
        <f>AND(Bills!#REF!,"AAAAAF9/1KM=")</f>
        <v>#REF!</v>
      </c>
      <c r="FI26" t="e">
        <f>AND(Bills!#REF!,"AAAAAF9/1KQ=")</f>
        <v>#REF!</v>
      </c>
      <c r="FJ26" t="e">
        <f>AND(Bills!#REF!,"AAAAAF9/1KU=")</f>
        <v>#REF!</v>
      </c>
      <c r="FK26" t="e">
        <f>AND(Bills!#REF!,"AAAAAF9/1KY=")</f>
        <v>#REF!</v>
      </c>
      <c r="FL26" t="e">
        <f>IF(Bills!#REF!,"AAAAAF9/1Kc=",0)</f>
        <v>#REF!</v>
      </c>
      <c r="FM26" t="e">
        <f>AND(Bills!#REF!,"AAAAAF9/1Kg=")</f>
        <v>#REF!</v>
      </c>
      <c r="FN26" t="e">
        <f>AND(Bills!#REF!,"AAAAAF9/1Kk=")</f>
        <v>#REF!</v>
      </c>
      <c r="FO26" t="e">
        <f>AND(Bills!#REF!,"AAAAAF9/1Ko=")</f>
        <v>#REF!</v>
      </c>
      <c r="FP26" t="e">
        <f>AND(Bills!#REF!,"AAAAAF9/1Ks=")</f>
        <v>#REF!</v>
      </c>
      <c r="FQ26" t="e">
        <f>AND(Bills!#REF!,"AAAAAF9/1Kw=")</f>
        <v>#REF!</v>
      </c>
      <c r="FR26" t="e">
        <f>AND(Bills!#REF!,"AAAAAF9/1K0=")</f>
        <v>#REF!</v>
      </c>
      <c r="FS26" t="e">
        <f>AND(Bills!#REF!,"AAAAAF9/1K4=")</f>
        <v>#REF!</v>
      </c>
      <c r="FT26" t="e">
        <f>AND(Bills!#REF!,"AAAAAF9/1K8=")</f>
        <v>#REF!</v>
      </c>
      <c r="FU26" t="e">
        <f>AND(Bills!#REF!,"AAAAAF9/1LA=")</f>
        <v>#REF!</v>
      </c>
      <c r="FV26" t="e">
        <f>AND(Bills!#REF!,"AAAAAF9/1LE=")</f>
        <v>#REF!</v>
      </c>
      <c r="FW26" t="e">
        <f>AND(Bills!#REF!,"AAAAAF9/1LI=")</f>
        <v>#REF!</v>
      </c>
      <c r="FX26" t="e">
        <f>AND(Bills!#REF!,"AAAAAF9/1LM=")</f>
        <v>#REF!</v>
      </c>
      <c r="FY26" t="e">
        <f>AND(Bills!#REF!,"AAAAAF9/1LQ=")</f>
        <v>#REF!</v>
      </c>
      <c r="FZ26" t="e">
        <f>AND(Bills!#REF!,"AAAAAF9/1LU=")</f>
        <v>#REF!</v>
      </c>
      <c r="GA26" t="e">
        <f>AND(Bills!#REF!,"AAAAAF9/1LY=")</f>
        <v>#REF!</v>
      </c>
      <c r="GB26" t="e">
        <f>AND(Bills!#REF!,"AAAAAF9/1Lc=")</f>
        <v>#REF!</v>
      </c>
      <c r="GC26" t="e">
        <f>AND(Bills!#REF!,"AAAAAF9/1Lg=")</f>
        <v>#REF!</v>
      </c>
      <c r="GD26" t="e">
        <f>AND(Bills!#REF!,"AAAAAF9/1Lk=")</f>
        <v>#REF!</v>
      </c>
      <c r="GE26" t="e">
        <f>AND(Bills!#REF!,"AAAAAF9/1Lo=")</f>
        <v>#REF!</v>
      </c>
      <c r="GF26" t="e">
        <f>AND(Bills!#REF!,"AAAAAF9/1Ls=")</f>
        <v>#REF!</v>
      </c>
      <c r="GG26" t="e">
        <f>AND(Bills!#REF!,"AAAAAF9/1Lw=")</f>
        <v>#REF!</v>
      </c>
      <c r="GH26" t="e">
        <f>AND(Bills!#REF!,"AAAAAF9/1L0=")</f>
        <v>#REF!</v>
      </c>
      <c r="GI26" t="e">
        <f>AND(Bills!#REF!,"AAAAAF9/1L4=")</f>
        <v>#REF!</v>
      </c>
      <c r="GJ26" t="e">
        <f>AND(Bills!#REF!,"AAAAAF9/1L8=")</f>
        <v>#REF!</v>
      </c>
      <c r="GK26" t="e">
        <f>AND(Bills!#REF!,"AAAAAF9/1MA=")</f>
        <v>#REF!</v>
      </c>
      <c r="GL26" t="e">
        <f>AND(Bills!#REF!,"AAAAAF9/1ME=")</f>
        <v>#REF!</v>
      </c>
      <c r="GM26" t="e">
        <f>AND(Bills!#REF!,"AAAAAF9/1MI=")</f>
        <v>#REF!</v>
      </c>
      <c r="GN26" t="e">
        <f>AND(Bills!#REF!,"AAAAAF9/1MM=")</f>
        <v>#REF!</v>
      </c>
      <c r="GO26" t="e">
        <f>AND(Bills!#REF!,"AAAAAF9/1MQ=")</f>
        <v>#REF!</v>
      </c>
      <c r="GP26" t="e">
        <f>AND(Bills!#REF!,"AAAAAF9/1MU=")</f>
        <v>#REF!</v>
      </c>
      <c r="GQ26" t="e">
        <f>AND(Bills!#REF!,"AAAAAF9/1MY=")</f>
        <v>#REF!</v>
      </c>
      <c r="GR26" t="e">
        <f>AND(Bills!#REF!,"AAAAAF9/1Mc=")</f>
        <v>#REF!</v>
      </c>
      <c r="GS26" t="e">
        <f>AND(Bills!#REF!,"AAAAAF9/1Mg=")</f>
        <v>#REF!</v>
      </c>
      <c r="GT26" t="e">
        <f>AND(Bills!#REF!,"AAAAAF9/1Mk=")</f>
        <v>#REF!</v>
      </c>
      <c r="GU26" t="e">
        <f>AND(Bills!#REF!,"AAAAAF9/1Mo=")</f>
        <v>#REF!</v>
      </c>
      <c r="GV26" t="e">
        <f>AND(Bills!#REF!,"AAAAAF9/1Ms=")</f>
        <v>#REF!</v>
      </c>
      <c r="GW26" t="e">
        <f>AND(Bills!#REF!,"AAAAAF9/1Mw=")</f>
        <v>#REF!</v>
      </c>
      <c r="GX26" t="e">
        <f>AND(Bills!#REF!,"AAAAAF9/1M0=")</f>
        <v>#REF!</v>
      </c>
      <c r="GY26" t="e">
        <f>AND(Bills!#REF!,"AAAAAF9/1M4=")</f>
        <v>#REF!</v>
      </c>
      <c r="GZ26" t="e">
        <f>AND(Bills!#REF!,"AAAAAF9/1M8=")</f>
        <v>#REF!</v>
      </c>
      <c r="HA26" t="e">
        <f>AND(Bills!#REF!,"AAAAAF9/1NA=")</f>
        <v>#REF!</v>
      </c>
      <c r="HB26" t="e">
        <f>AND(Bills!#REF!,"AAAAAF9/1NE=")</f>
        <v>#REF!</v>
      </c>
      <c r="HC26" t="e">
        <f>AND(Bills!#REF!,"AAAAAF9/1NI=")</f>
        <v>#REF!</v>
      </c>
      <c r="HD26" t="e">
        <f>AND(Bills!#REF!,"AAAAAF9/1NM=")</f>
        <v>#REF!</v>
      </c>
      <c r="HE26" t="e">
        <f>AND(Bills!#REF!,"AAAAAF9/1NQ=")</f>
        <v>#REF!</v>
      </c>
      <c r="HF26" t="e">
        <f>AND(Bills!#REF!,"AAAAAF9/1NU=")</f>
        <v>#REF!</v>
      </c>
      <c r="HG26" t="e">
        <f>AND(Bills!#REF!,"AAAAAF9/1NY=")</f>
        <v>#REF!</v>
      </c>
      <c r="HH26" t="e">
        <f>AND(Bills!#REF!,"AAAAAF9/1Nc=")</f>
        <v>#REF!</v>
      </c>
      <c r="HI26" t="e">
        <f>AND(Bills!#REF!,"AAAAAF9/1Ng=")</f>
        <v>#REF!</v>
      </c>
      <c r="HJ26" t="e">
        <f>AND(Bills!#REF!,"AAAAAF9/1Nk=")</f>
        <v>#REF!</v>
      </c>
      <c r="HK26" t="e">
        <f>IF(Bills!#REF!,"AAAAAF9/1No=",0)</f>
        <v>#REF!</v>
      </c>
      <c r="HL26" t="e">
        <f>AND(Bills!#REF!,"AAAAAF9/1Ns=")</f>
        <v>#REF!</v>
      </c>
      <c r="HM26" t="e">
        <f>AND(Bills!#REF!,"AAAAAF9/1Nw=")</f>
        <v>#REF!</v>
      </c>
      <c r="HN26" t="e">
        <f>AND(Bills!#REF!,"AAAAAF9/1N0=")</f>
        <v>#REF!</v>
      </c>
      <c r="HO26" t="e">
        <f>AND(Bills!#REF!,"AAAAAF9/1N4=")</f>
        <v>#REF!</v>
      </c>
      <c r="HP26" t="e">
        <f>AND(Bills!#REF!,"AAAAAF9/1N8=")</f>
        <v>#REF!</v>
      </c>
      <c r="HQ26" t="e">
        <f>AND(Bills!#REF!,"AAAAAF9/1OA=")</f>
        <v>#REF!</v>
      </c>
      <c r="HR26" t="e">
        <f>AND(Bills!#REF!,"AAAAAF9/1OE=")</f>
        <v>#REF!</v>
      </c>
      <c r="HS26" t="e">
        <f>AND(Bills!#REF!,"AAAAAF9/1OI=")</f>
        <v>#REF!</v>
      </c>
      <c r="HT26" t="e">
        <f>AND(Bills!#REF!,"AAAAAF9/1OM=")</f>
        <v>#REF!</v>
      </c>
      <c r="HU26" t="e">
        <f>AND(Bills!#REF!,"AAAAAF9/1OQ=")</f>
        <v>#REF!</v>
      </c>
      <c r="HV26" t="e">
        <f>AND(Bills!#REF!,"AAAAAF9/1OU=")</f>
        <v>#REF!</v>
      </c>
      <c r="HW26" t="e">
        <f>AND(Bills!#REF!,"AAAAAF9/1OY=")</f>
        <v>#REF!</v>
      </c>
      <c r="HX26" t="e">
        <f>AND(Bills!#REF!,"AAAAAF9/1Oc=")</f>
        <v>#REF!</v>
      </c>
      <c r="HY26" t="e">
        <f>AND(Bills!#REF!,"AAAAAF9/1Og=")</f>
        <v>#REF!</v>
      </c>
      <c r="HZ26" t="e">
        <f>AND(Bills!#REF!,"AAAAAF9/1Ok=")</f>
        <v>#REF!</v>
      </c>
      <c r="IA26" t="e">
        <f>AND(Bills!#REF!,"AAAAAF9/1Oo=")</f>
        <v>#REF!</v>
      </c>
      <c r="IB26" t="e">
        <f>AND(Bills!#REF!,"AAAAAF9/1Os=")</f>
        <v>#REF!</v>
      </c>
      <c r="IC26" t="e">
        <f>AND(Bills!#REF!,"AAAAAF9/1Ow=")</f>
        <v>#REF!</v>
      </c>
      <c r="ID26" t="e">
        <f>AND(Bills!#REF!,"AAAAAF9/1O0=")</f>
        <v>#REF!</v>
      </c>
      <c r="IE26" t="e">
        <f>AND(Bills!#REF!,"AAAAAF9/1O4=")</f>
        <v>#REF!</v>
      </c>
      <c r="IF26" t="e">
        <f>AND(Bills!#REF!,"AAAAAF9/1O8=")</f>
        <v>#REF!</v>
      </c>
      <c r="IG26" t="e">
        <f>AND(Bills!#REF!,"AAAAAF9/1PA=")</f>
        <v>#REF!</v>
      </c>
      <c r="IH26" t="e">
        <f>AND(Bills!#REF!,"AAAAAF9/1PE=")</f>
        <v>#REF!</v>
      </c>
      <c r="II26" t="e">
        <f>AND(Bills!#REF!,"AAAAAF9/1PI=")</f>
        <v>#REF!</v>
      </c>
      <c r="IJ26" t="e">
        <f>AND(Bills!#REF!,"AAAAAF9/1PM=")</f>
        <v>#REF!</v>
      </c>
      <c r="IK26" t="e">
        <f>AND(Bills!#REF!,"AAAAAF9/1PQ=")</f>
        <v>#REF!</v>
      </c>
      <c r="IL26" t="e">
        <f>AND(Bills!#REF!,"AAAAAF9/1PU=")</f>
        <v>#REF!</v>
      </c>
      <c r="IM26" t="e">
        <f>AND(Bills!#REF!,"AAAAAF9/1PY=")</f>
        <v>#REF!</v>
      </c>
      <c r="IN26" t="e">
        <f>AND(Bills!#REF!,"AAAAAF9/1Pc=")</f>
        <v>#REF!</v>
      </c>
      <c r="IO26" t="e">
        <f>AND(Bills!#REF!,"AAAAAF9/1Pg=")</f>
        <v>#REF!</v>
      </c>
      <c r="IP26" t="e">
        <f>AND(Bills!#REF!,"AAAAAF9/1Pk=")</f>
        <v>#REF!</v>
      </c>
      <c r="IQ26" t="e">
        <f>AND(Bills!#REF!,"AAAAAF9/1Po=")</f>
        <v>#REF!</v>
      </c>
      <c r="IR26" t="e">
        <f>AND(Bills!#REF!,"AAAAAF9/1Ps=")</f>
        <v>#REF!</v>
      </c>
      <c r="IS26" t="e">
        <f>AND(Bills!#REF!,"AAAAAF9/1Pw=")</f>
        <v>#REF!</v>
      </c>
      <c r="IT26" t="e">
        <f>AND(Bills!#REF!,"AAAAAF9/1P0=")</f>
        <v>#REF!</v>
      </c>
      <c r="IU26" t="e">
        <f>AND(Bills!#REF!,"AAAAAF9/1P4=")</f>
        <v>#REF!</v>
      </c>
      <c r="IV26" t="e">
        <f>AND(Bills!#REF!,"AAAAAF9/1P8=")</f>
        <v>#REF!</v>
      </c>
    </row>
    <row r="27" spans="1:256" x14ac:dyDescent="0.25">
      <c r="A27" t="e">
        <f>AND(Bills!#REF!,"AAAAAFFf1wA=")</f>
        <v>#REF!</v>
      </c>
      <c r="B27" t="e">
        <f>AND(Bills!#REF!,"AAAAAFFf1wE=")</f>
        <v>#REF!</v>
      </c>
      <c r="C27" t="e">
        <f>AND(Bills!#REF!,"AAAAAFFf1wI=")</f>
        <v>#REF!</v>
      </c>
      <c r="D27" t="e">
        <f>AND(Bills!#REF!,"AAAAAFFf1wM=")</f>
        <v>#REF!</v>
      </c>
      <c r="E27" t="e">
        <f>AND(Bills!#REF!,"AAAAAFFf1wQ=")</f>
        <v>#REF!</v>
      </c>
      <c r="F27" t="e">
        <f>AND(Bills!#REF!,"AAAAAFFf1wU=")</f>
        <v>#REF!</v>
      </c>
      <c r="G27" t="e">
        <f>AND(Bills!#REF!,"AAAAAFFf1wY=")</f>
        <v>#REF!</v>
      </c>
      <c r="H27" t="e">
        <f>AND(Bills!#REF!,"AAAAAFFf1wc=")</f>
        <v>#REF!</v>
      </c>
      <c r="I27" t="e">
        <f>AND(Bills!#REF!,"AAAAAFFf1wg=")</f>
        <v>#REF!</v>
      </c>
      <c r="J27" t="e">
        <f>AND(Bills!#REF!,"AAAAAFFf1wk=")</f>
        <v>#REF!</v>
      </c>
      <c r="K27" t="e">
        <f>AND(Bills!#REF!,"AAAAAFFf1wo=")</f>
        <v>#REF!</v>
      </c>
      <c r="L27" t="e">
        <f>AND(Bills!#REF!,"AAAAAFFf1ws=")</f>
        <v>#REF!</v>
      </c>
      <c r="M27" t="e">
        <f>AND(Bills!#REF!,"AAAAAFFf1ww=")</f>
        <v>#REF!</v>
      </c>
      <c r="N27" t="e">
        <f>IF(Bills!#REF!,"AAAAAFFf1w0=",0)</f>
        <v>#REF!</v>
      </c>
      <c r="O27" t="e">
        <f>AND(Bills!#REF!,"AAAAAFFf1w4=")</f>
        <v>#REF!</v>
      </c>
      <c r="P27" t="e">
        <f>AND(Bills!#REF!,"AAAAAFFf1w8=")</f>
        <v>#REF!</v>
      </c>
      <c r="Q27" t="e">
        <f>AND(Bills!#REF!,"AAAAAFFf1xA=")</f>
        <v>#REF!</v>
      </c>
      <c r="R27" t="e">
        <f>AND(Bills!#REF!,"AAAAAFFf1xE=")</f>
        <v>#REF!</v>
      </c>
      <c r="S27" t="e">
        <f>AND(Bills!#REF!,"AAAAAFFf1xI=")</f>
        <v>#REF!</v>
      </c>
      <c r="T27" t="e">
        <f>AND(Bills!#REF!,"AAAAAFFf1xM=")</f>
        <v>#REF!</v>
      </c>
      <c r="U27" t="e">
        <f>AND(Bills!#REF!,"AAAAAFFf1xQ=")</f>
        <v>#REF!</v>
      </c>
      <c r="V27" t="e">
        <f>AND(Bills!#REF!,"AAAAAFFf1xU=")</f>
        <v>#REF!</v>
      </c>
      <c r="W27" t="e">
        <f>AND(Bills!#REF!,"AAAAAFFf1xY=")</f>
        <v>#REF!</v>
      </c>
      <c r="X27" t="e">
        <f>AND(Bills!#REF!,"AAAAAFFf1xc=")</f>
        <v>#REF!</v>
      </c>
      <c r="Y27" t="e">
        <f>AND(Bills!#REF!,"AAAAAFFf1xg=")</f>
        <v>#REF!</v>
      </c>
      <c r="Z27" t="e">
        <f>AND(Bills!#REF!,"AAAAAFFf1xk=")</f>
        <v>#REF!</v>
      </c>
      <c r="AA27" t="e">
        <f>AND(Bills!#REF!,"AAAAAFFf1xo=")</f>
        <v>#REF!</v>
      </c>
      <c r="AB27" t="e">
        <f>AND(Bills!#REF!,"AAAAAFFf1xs=")</f>
        <v>#REF!</v>
      </c>
      <c r="AC27" t="e">
        <f>AND(Bills!#REF!,"AAAAAFFf1xw=")</f>
        <v>#REF!</v>
      </c>
      <c r="AD27" t="e">
        <f>AND(Bills!#REF!,"AAAAAFFf1x0=")</f>
        <v>#REF!</v>
      </c>
      <c r="AE27" t="e">
        <f>AND(Bills!#REF!,"AAAAAFFf1x4=")</f>
        <v>#REF!</v>
      </c>
      <c r="AF27" t="e">
        <f>AND(Bills!#REF!,"AAAAAFFf1x8=")</f>
        <v>#REF!</v>
      </c>
      <c r="AG27" t="e">
        <f>AND(Bills!#REF!,"AAAAAFFf1yA=")</f>
        <v>#REF!</v>
      </c>
      <c r="AH27" t="e">
        <f>AND(Bills!#REF!,"AAAAAFFf1yE=")</f>
        <v>#REF!</v>
      </c>
      <c r="AI27" t="e">
        <f>AND(Bills!#REF!,"AAAAAFFf1yI=")</f>
        <v>#REF!</v>
      </c>
      <c r="AJ27" t="e">
        <f>AND(Bills!#REF!,"AAAAAFFf1yM=")</f>
        <v>#REF!</v>
      </c>
      <c r="AK27" t="e">
        <f>AND(Bills!#REF!,"AAAAAFFf1yQ=")</f>
        <v>#REF!</v>
      </c>
      <c r="AL27" t="e">
        <f>AND(Bills!#REF!,"AAAAAFFf1yU=")</f>
        <v>#REF!</v>
      </c>
      <c r="AM27" t="e">
        <f>AND(Bills!#REF!,"AAAAAFFf1yY=")</f>
        <v>#REF!</v>
      </c>
      <c r="AN27" t="e">
        <f>AND(Bills!#REF!,"AAAAAFFf1yc=")</f>
        <v>#REF!</v>
      </c>
      <c r="AO27" t="e">
        <f>AND(Bills!#REF!,"AAAAAFFf1yg=")</f>
        <v>#REF!</v>
      </c>
      <c r="AP27" t="e">
        <f>AND(Bills!#REF!,"AAAAAFFf1yk=")</f>
        <v>#REF!</v>
      </c>
      <c r="AQ27" t="e">
        <f>AND(Bills!#REF!,"AAAAAFFf1yo=")</f>
        <v>#REF!</v>
      </c>
      <c r="AR27" t="e">
        <f>AND(Bills!#REF!,"AAAAAFFf1ys=")</f>
        <v>#REF!</v>
      </c>
      <c r="AS27" t="e">
        <f>AND(Bills!#REF!,"AAAAAFFf1yw=")</f>
        <v>#REF!</v>
      </c>
      <c r="AT27" t="e">
        <f>AND(Bills!#REF!,"AAAAAFFf1y0=")</f>
        <v>#REF!</v>
      </c>
      <c r="AU27" t="e">
        <f>AND(Bills!#REF!,"AAAAAFFf1y4=")</f>
        <v>#REF!</v>
      </c>
      <c r="AV27" t="e">
        <f>AND(Bills!#REF!,"AAAAAFFf1y8=")</f>
        <v>#REF!</v>
      </c>
      <c r="AW27" t="e">
        <f>AND(Bills!#REF!,"AAAAAFFf1zA=")</f>
        <v>#REF!</v>
      </c>
      <c r="AX27" t="e">
        <f>AND(Bills!#REF!,"AAAAAFFf1zE=")</f>
        <v>#REF!</v>
      </c>
      <c r="AY27" t="e">
        <f>AND(Bills!#REF!,"AAAAAFFf1zI=")</f>
        <v>#REF!</v>
      </c>
      <c r="AZ27" t="e">
        <f>AND(Bills!#REF!,"AAAAAFFf1zM=")</f>
        <v>#REF!</v>
      </c>
      <c r="BA27" t="e">
        <f>AND(Bills!#REF!,"AAAAAFFf1zQ=")</f>
        <v>#REF!</v>
      </c>
      <c r="BB27" t="e">
        <f>AND(Bills!#REF!,"AAAAAFFf1zU=")</f>
        <v>#REF!</v>
      </c>
      <c r="BC27" t="e">
        <f>AND(Bills!#REF!,"AAAAAFFf1zY=")</f>
        <v>#REF!</v>
      </c>
      <c r="BD27" t="e">
        <f>AND(Bills!#REF!,"AAAAAFFf1zc=")</f>
        <v>#REF!</v>
      </c>
      <c r="BE27" t="e">
        <f>AND(Bills!#REF!,"AAAAAFFf1zg=")</f>
        <v>#REF!</v>
      </c>
      <c r="BF27" t="e">
        <f>AND(Bills!#REF!,"AAAAAFFf1zk=")</f>
        <v>#REF!</v>
      </c>
      <c r="BG27" t="e">
        <f>AND(Bills!#REF!,"AAAAAFFf1zo=")</f>
        <v>#REF!</v>
      </c>
      <c r="BH27" t="e">
        <f>AND(Bills!#REF!,"AAAAAFFf1zs=")</f>
        <v>#REF!</v>
      </c>
      <c r="BI27" t="e">
        <f>AND(Bills!#REF!,"AAAAAFFf1zw=")</f>
        <v>#REF!</v>
      </c>
      <c r="BJ27" t="e">
        <f>AND(Bills!#REF!,"AAAAAFFf1z0=")</f>
        <v>#REF!</v>
      </c>
      <c r="BK27" t="e">
        <f>AND(Bills!#REF!,"AAAAAFFf1z4=")</f>
        <v>#REF!</v>
      </c>
      <c r="BL27" t="e">
        <f>AND(Bills!#REF!,"AAAAAFFf1z8=")</f>
        <v>#REF!</v>
      </c>
      <c r="BM27" t="e">
        <f>IF(Bills!#REF!,"AAAAAFFf10A=",0)</f>
        <v>#REF!</v>
      </c>
      <c r="BN27" t="e">
        <f>AND(Bills!#REF!,"AAAAAFFf10E=")</f>
        <v>#REF!</v>
      </c>
      <c r="BO27" t="e">
        <f>AND(Bills!#REF!,"AAAAAFFf10I=")</f>
        <v>#REF!</v>
      </c>
      <c r="BP27" t="e">
        <f>AND(Bills!#REF!,"AAAAAFFf10M=")</f>
        <v>#REF!</v>
      </c>
      <c r="BQ27" t="e">
        <f>AND(Bills!#REF!,"AAAAAFFf10Q=")</f>
        <v>#REF!</v>
      </c>
      <c r="BR27" t="e">
        <f>AND(Bills!#REF!,"AAAAAFFf10U=")</f>
        <v>#REF!</v>
      </c>
      <c r="BS27" t="e">
        <f>AND(Bills!#REF!,"AAAAAFFf10Y=")</f>
        <v>#REF!</v>
      </c>
      <c r="BT27" t="e">
        <f>AND(Bills!#REF!,"AAAAAFFf10c=")</f>
        <v>#REF!</v>
      </c>
      <c r="BU27" t="e">
        <f>AND(Bills!#REF!,"AAAAAFFf10g=")</f>
        <v>#REF!</v>
      </c>
      <c r="BV27" t="e">
        <f>AND(Bills!#REF!,"AAAAAFFf10k=")</f>
        <v>#REF!</v>
      </c>
      <c r="BW27" t="e">
        <f>AND(Bills!#REF!,"AAAAAFFf10o=")</f>
        <v>#REF!</v>
      </c>
      <c r="BX27" t="e">
        <f>AND(Bills!#REF!,"AAAAAFFf10s=")</f>
        <v>#REF!</v>
      </c>
      <c r="BY27" t="e">
        <f>AND(Bills!#REF!,"AAAAAFFf10w=")</f>
        <v>#REF!</v>
      </c>
      <c r="BZ27" t="e">
        <f>AND(Bills!#REF!,"AAAAAFFf100=")</f>
        <v>#REF!</v>
      </c>
      <c r="CA27" t="e">
        <f>AND(Bills!#REF!,"AAAAAFFf104=")</f>
        <v>#REF!</v>
      </c>
      <c r="CB27" t="e">
        <f>AND(Bills!#REF!,"AAAAAFFf108=")</f>
        <v>#REF!</v>
      </c>
      <c r="CC27" t="e">
        <f>AND(Bills!#REF!,"AAAAAFFf11A=")</f>
        <v>#REF!</v>
      </c>
      <c r="CD27" t="e">
        <f>AND(Bills!#REF!,"AAAAAFFf11E=")</f>
        <v>#REF!</v>
      </c>
      <c r="CE27" t="e">
        <f>AND(Bills!#REF!,"AAAAAFFf11I=")</f>
        <v>#REF!</v>
      </c>
      <c r="CF27" t="e">
        <f>AND(Bills!#REF!,"AAAAAFFf11M=")</f>
        <v>#REF!</v>
      </c>
      <c r="CG27" t="e">
        <f>AND(Bills!#REF!,"AAAAAFFf11Q=")</f>
        <v>#REF!</v>
      </c>
      <c r="CH27" t="e">
        <f>AND(Bills!#REF!,"AAAAAFFf11U=")</f>
        <v>#REF!</v>
      </c>
      <c r="CI27" t="e">
        <f>AND(Bills!#REF!,"AAAAAFFf11Y=")</f>
        <v>#REF!</v>
      </c>
      <c r="CJ27" t="e">
        <f>AND(Bills!#REF!,"AAAAAFFf11c=")</f>
        <v>#REF!</v>
      </c>
      <c r="CK27" t="e">
        <f>AND(Bills!#REF!,"AAAAAFFf11g=")</f>
        <v>#REF!</v>
      </c>
      <c r="CL27" t="e">
        <f>AND(Bills!#REF!,"AAAAAFFf11k=")</f>
        <v>#REF!</v>
      </c>
      <c r="CM27" t="e">
        <f>AND(Bills!#REF!,"AAAAAFFf11o=")</f>
        <v>#REF!</v>
      </c>
      <c r="CN27" t="e">
        <f>AND(Bills!#REF!,"AAAAAFFf11s=")</f>
        <v>#REF!</v>
      </c>
      <c r="CO27" t="e">
        <f>AND(Bills!#REF!,"AAAAAFFf11w=")</f>
        <v>#REF!</v>
      </c>
      <c r="CP27" t="e">
        <f>AND(Bills!#REF!,"AAAAAFFf110=")</f>
        <v>#REF!</v>
      </c>
      <c r="CQ27" t="e">
        <f>AND(Bills!#REF!,"AAAAAFFf114=")</f>
        <v>#REF!</v>
      </c>
      <c r="CR27" t="e">
        <f>AND(Bills!#REF!,"AAAAAFFf118=")</f>
        <v>#REF!</v>
      </c>
      <c r="CS27" t="e">
        <f>AND(Bills!#REF!,"AAAAAFFf12A=")</f>
        <v>#REF!</v>
      </c>
      <c r="CT27" t="e">
        <f>AND(Bills!#REF!,"AAAAAFFf12E=")</f>
        <v>#REF!</v>
      </c>
      <c r="CU27" t="e">
        <f>AND(Bills!#REF!,"AAAAAFFf12I=")</f>
        <v>#REF!</v>
      </c>
      <c r="CV27" t="e">
        <f>AND(Bills!#REF!,"AAAAAFFf12M=")</f>
        <v>#REF!</v>
      </c>
      <c r="CW27" t="e">
        <f>AND(Bills!#REF!,"AAAAAFFf12Q=")</f>
        <v>#REF!</v>
      </c>
      <c r="CX27" t="e">
        <f>AND(Bills!#REF!,"AAAAAFFf12U=")</f>
        <v>#REF!</v>
      </c>
      <c r="CY27" t="e">
        <f>AND(Bills!#REF!,"AAAAAFFf12Y=")</f>
        <v>#REF!</v>
      </c>
      <c r="CZ27" t="e">
        <f>AND(Bills!#REF!,"AAAAAFFf12c=")</f>
        <v>#REF!</v>
      </c>
      <c r="DA27" t="e">
        <f>AND(Bills!#REF!,"AAAAAFFf12g=")</f>
        <v>#REF!</v>
      </c>
      <c r="DB27" t="e">
        <f>AND(Bills!#REF!,"AAAAAFFf12k=")</f>
        <v>#REF!</v>
      </c>
      <c r="DC27" t="e">
        <f>AND(Bills!#REF!,"AAAAAFFf12o=")</f>
        <v>#REF!</v>
      </c>
      <c r="DD27" t="e">
        <f>AND(Bills!#REF!,"AAAAAFFf12s=")</f>
        <v>#REF!</v>
      </c>
      <c r="DE27" t="e">
        <f>AND(Bills!#REF!,"AAAAAFFf12w=")</f>
        <v>#REF!</v>
      </c>
      <c r="DF27" t="e">
        <f>AND(Bills!#REF!,"AAAAAFFf120=")</f>
        <v>#REF!</v>
      </c>
      <c r="DG27" t="e">
        <f>AND(Bills!#REF!,"AAAAAFFf124=")</f>
        <v>#REF!</v>
      </c>
      <c r="DH27" t="e">
        <f>AND(Bills!#REF!,"AAAAAFFf128=")</f>
        <v>#REF!</v>
      </c>
      <c r="DI27" t="e">
        <f>AND(Bills!#REF!,"AAAAAFFf13A=")</f>
        <v>#REF!</v>
      </c>
      <c r="DJ27" t="e">
        <f>AND(Bills!#REF!,"AAAAAFFf13E=")</f>
        <v>#REF!</v>
      </c>
      <c r="DK27" t="e">
        <f>AND(Bills!#REF!,"AAAAAFFf13I=")</f>
        <v>#REF!</v>
      </c>
      <c r="DL27">
        <f>IF(Bills!16:16,"AAAAAFFf13M=",0)</f>
        <v>0</v>
      </c>
      <c r="DM27" t="e">
        <f>AND(Bills!B16,"AAAAAFFf13Q=")</f>
        <v>#VALUE!</v>
      </c>
      <c r="DN27" t="e">
        <f>AND(Bills!#REF!,"AAAAAFFf13U=")</f>
        <v>#REF!</v>
      </c>
      <c r="DO27" t="e">
        <f>AND(Bills!C16,"AAAAAFFf13Y=")</f>
        <v>#VALUE!</v>
      </c>
      <c r="DP27" t="e">
        <f>AND(Bills!D16,"AAAAAFFf13c=")</f>
        <v>#VALUE!</v>
      </c>
      <c r="DQ27" t="e">
        <f>AND(Bills!E16,"AAAAAFFf13g=")</f>
        <v>#VALUE!</v>
      </c>
      <c r="DR27" t="e">
        <f>AND(Bills!#REF!,"AAAAAFFf13k=")</f>
        <v>#REF!</v>
      </c>
      <c r="DS27" t="e">
        <f>AND(Bills!#REF!,"AAAAAFFf13o=")</f>
        <v>#REF!</v>
      </c>
      <c r="DT27" t="e">
        <f>AND(Bills!#REF!,"AAAAAFFf13s=")</f>
        <v>#REF!</v>
      </c>
      <c r="DU27" t="e">
        <f>AND(Bills!F16,"AAAAAFFf13w=")</f>
        <v>#VALUE!</v>
      </c>
      <c r="DV27" t="e">
        <f>AND(Bills!#REF!,"AAAAAFFf130=")</f>
        <v>#REF!</v>
      </c>
      <c r="DW27" t="e">
        <f>AND(Bills!G16,"AAAAAFFf134=")</f>
        <v>#VALUE!</v>
      </c>
      <c r="DX27" t="e">
        <f>AND(Bills!H16,"AAAAAFFf138=")</f>
        <v>#VALUE!</v>
      </c>
      <c r="DY27" t="e">
        <f>AND(Bills!I16,"AAAAAFFf14A=")</f>
        <v>#VALUE!</v>
      </c>
      <c r="DZ27" t="e">
        <f>AND(Bills!J16,"AAAAAFFf14E=")</f>
        <v>#VALUE!</v>
      </c>
      <c r="EA27" t="e">
        <f>AND(Bills!K16,"AAAAAFFf14I=")</f>
        <v>#VALUE!</v>
      </c>
      <c r="EB27" t="e">
        <f>AND(Bills!L16,"AAAAAFFf14M=")</f>
        <v>#VALUE!</v>
      </c>
      <c r="EC27" t="e">
        <f>AND(Bills!#REF!,"AAAAAFFf14Q=")</f>
        <v>#REF!</v>
      </c>
      <c r="ED27" t="e">
        <f>AND(Bills!M16,"AAAAAFFf14U=")</f>
        <v>#VALUE!</v>
      </c>
      <c r="EE27" t="e">
        <f>AND(Bills!N16,"AAAAAFFf14Y=")</f>
        <v>#VALUE!</v>
      </c>
      <c r="EF27" t="e">
        <f>AND(Bills!O16,"AAAAAFFf14c=")</f>
        <v>#VALUE!</v>
      </c>
      <c r="EG27" t="e">
        <f>AND(Bills!P16,"AAAAAFFf14g=")</f>
        <v>#VALUE!</v>
      </c>
      <c r="EH27" t="e">
        <f>AND(Bills!Q16,"AAAAAFFf14k=")</f>
        <v>#VALUE!</v>
      </c>
      <c r="EI27" t="e">
        <f>AND(Bills!R16,"AAAAAFFf14o=")</f>
        <v>#VALUE!</v>
      </c>
      <c r="EJ27" t="e">
        <f>AND(Bills!S16,"AAAAAFFf14s=")</f>
        <v>#VALUE!</v>
      </c>
      <c r="EK27" t="e">
        <f>AND(Bills!T16,"AAAAAFFf14w=")</f>
        <v>#VALUE!</v>
      </c>
      <c r="EL27" t="e">
        <f>AND(Bills!#REF!,"AAAAAFFf140=")</f>
        <v>#REF!</v>
      </c>
      <c r="EM27" t="e">
        <f>AND(Bills!U16,"AAAAAFFf144=")</f>
        <v>#VALUE!</v>
      </c>
      <c r="EN27" t="e">
        <f>AND(Bills!V16,"AAAAAFFf148=")</f>
        <v>#VALUE!</v>
      </c>
      <c r="EO27" t="e">
        <f>AND(Bills!W16,"AAAAAFFf15A=")</f>
        <v>#VALUE!</v>
      </c>
      <c r="EP27" t="e">
        <f>AND(Bills!#REF!,"AAAAAFFf15E=")</f>
        <v>#REF!</v>
      </c>
      <c r="EQ27" t="e">
        <f>AND(Bills!#REF!,"AAAAAFFf15I=")</f>
        <v>#REF!</v>
      </c>
      <c r="ER27" t="e">
        <f>AND(Bills!Y16,"AAAAAFFf15M=")</f>
        <v>#VALUE!</v>
      </c>
      <c r="ES27" t="e">
        <f>AND(Bills!Z16,"AAAAAFFf15Q=")</f>
        <v>#VALUE!</v>
      </c>
      <c r="ET27" t="e">
        <f>AND(Bills!#REF!,"AAAAAFFf15U=")</f>
        <v>#REF!</v>
      </c>
      <c r="EU27" t="e">
        <f>AND(Bills!#REF!,"AAAAAFFf15Y=")</f>
        <v>#REF!</v>
      </c>
      <c r="EV27" t="e">
        <f>AND(Bills!#REF!,"AAAAAFFf15c=")</f>
        <v>#REF!</v>
      </c>
      <c r="EW27" t="e">
        <f>AND(Bills!#REF!,"AAAAAFFf15g=")</f>
        <v>#REF!</v>
      </c>
      <c r="EX27" t="e">
        <f>AND(Bills!#REF!,"AAAAAFFf15k=")</f>
        <v>#REF!</v>
      </c>
      <c r="EY27" t="e">
        <f>AND(Bills!#REF!,"AAAAAFFf15o=")</f>
        <v>#REF!</v>
      </c>
      <c r="EZ27" t="e">
        <f>AND(Bills!#REF!,"AAAAAFFf15s=")</f>
        <v>#REF!</v>
      </c>
      <c r="FA27" t="e">
        <f>AND(Bills!#REF!,"AAAAAFFf15w=")</f>
        <v>#REF!</v>
      </c>
      <c r="FB27" t="e">
        <f>AND(Bills!#REF!,"AAAAAFFf150=")</f>
        <v>#REF!</v>
      </c>
      <c r="FC27" t="e">
        <f>AND(Bills!AA16,"AAAAAFFf154=")</f>
        <v>#VALUE!</v>
      </c>
      <c r="FD27" t="e">
        <f>AND(Bills!AB16,"AAAAAFFf158=")</f>
        <v>#VALUE!</v>
      </c>
      <c r="FE27" t="e">
        <f>AND(Bills!#REF!,"AAAAAFFf16A=")</f>
        <v>#REF!</v>
      </c>
      <c r="FF27" t="e">
        <f>AND(Bills!#REF!,"AAAAAFFf16E=")</f>
        <v>#REF!</v>
      </c>
      <c r="FG27" t="e">
        <f>AND(Bills!#REF!,"AAAAAFFf16I=")</f>
        <v>#REF!</v>
      </c>
      <c r="FH27" t="e">
        <f>AND(Bills!AC16,"AAAAAFFf16M=")</f>
        <v>#VALUE!</v>
      </c>
      <c r="FI27" t="e">
        <f>AND(Bills!AD16,"AAAAAFFf16Q=")</f>
        <v>#VALUE!</v>
      </c>
      <c r="FJ27" t="e">
        <f>AND(Bills!AE16,"AAAAAFFf16U=")</f>
        <v>#VALUE!</v>
      </c>
      <c r="FK27" t="e">
        <f>IF(Bills!#REF!,"AAAAAFFf16Y=",0)</f>
        <v>#REF!</v>
      </c>
      <c r="FL27" t="e">
        <f>AND(Bills!#REF!,"AAAAAFFf16c=")</f>
        <v>#REF!</v>
      </c>
      <c r="FM27" t="e">
        <f>AND(Bills!#REF!,"AAAAAFFf16g=")</f>
        <v>#REF!</v>
      </c>
      <c r="FN27" t="e">
        <f>AND(Bills!#REF!,"AAAAAFFf16k=")</f>
        <v>#REF!</v>
      </c>
      <c r="FO27" t="e">
        <f>AND(Bills!#REF!,"AAAAAFFf16o=")</f>
        <v>#REF!</v>
      </c>
      <c r="FP27" t="e">
        <f>AND(Bills!#REF!,"AAAAAFFf16s=")</f>
        <v>#REF!</v>
      </c>
      <c r="FQ27" t="e">
        <f>AND(Bills!#REF!,"AAAAAFFf16w=")</f>
        <v>#REF!</v>
      </c>
      <c r="FR27" t="e">
        <f>AND(Bills!#REF!,"AAAAAFFf160=")</f>
        <v>#REF!</v>
      </c>
      <c r="FS27" t="e">
        <f>AND(Bills!#REF!,"AAAAAFFf164=")</f>
        <v>#REF!</v>
      </c>
      <c r="FT27" t="e">
        <f>AND(Bills!#REF!,"AAAAAFFf168=")</f>
        <v>#REF!</v>
      </c>
      <c r="FU27" t="e">
        <f>AND(Bills!#REF!,"AAAAAFFf17A=")</f>
        <v>#REF!</v>
      </c>
      <c r="FV27" t="e">
        <f>AND(Bills!#REF!,"AAAAAFFf17E=")</f>
        <v>#REF!</v>
      </c>
      <c r="FW27" t="e">
        <f>AND(Bills!#REF!,"AAAAAFFf17I=")</f>
        <v>#REF!</v>
      </c>
      <c r="FX27" t="e">
        <f>AND(Bills!#REF!,"AAAAAFFf17M=")</f>
        <v>#REF!</v>
      </c>
      <c r="FY27" t="e">
        <f>AND(Bills!#REF!,"AAAAAFFf17Q=")</f>
        <v>#REF!</v>
      </c>
      <c r="FZ27" t="e">
        <f>AND(Bills!#REF!,"AAAAAFFf17U=")</f>
        <v>#REF!</v>
      </c>
      <c r="GA27" t="e">
        <f>AND(Bills!#REF!,"AAAAAFFf17Y=")</f>
        <v>#REF!</v>
      </c>
      <c r="GB27" t="e">
        <f>AND(Bills!#REF!,"AAAAAFFf17c=")</f>
        <v>#REF!</v>
      </c>
      <c r="GC27" t="e">
        <f>AND(Bills!#REF!,"AAAAAFFf17g=")</f>
        <v>#REF!</v>
      </c>
      <c r="GD27" t="e">
        <f>AND(Bills!#REF!,"AAAAAFFf17k=")</f>
        <v>#REF!</v>
      </c>
      <c r="GE27" t="e">
        <f>AND(Bills!#REF!,"AAAAAFFf17o=")</f>
        <v>#REF!</v>
      </c>
      <c r="GF27" t="e">
        <f>AND(Bills!#REF!,"AAAAAFFf17s=")</f>
        <v>#REF!</v>
      </c>
      <c r="GG27" t="e">
        <f>AND(Bills!#REF!,"AAAAAFFf17w=")</f>
        <v>#REF!</v>
      </c>
      <c r="GH27" t="e">
        <f>AND(Bills!#REF!,"AAAAAFFf170=")</f>
        <v>#REF!</v>
      </c>
      <c r="GI27" t="e">
        <f>AND(Bills!#REF!,"AAAAAFFf174=")</f>
        <v>#REF!</v>
      </c>
      <c r="GJ27" t="e">
        <f>AND(Bills!#REF!,"AAAAAFFf178=")</f>
        <v>#REF!</v>
      </c>
      <c r="GK27" t="e">
        <f>AND(Bills!#REF!,"AAAAAFFf18A=")</f>
        <v>#REF!</v>
      </c>
      <c r="GL27" t="e">
        <f>AND(Bills!#REF!,"AAAAAFFf18E=")</f>
        <v>#REF!</v>
      </c>
      <c r="GM27" t="e">
        <f>AND(Bills!#REF!,"AAAAAFFf18I=")</f>
        <v>#REF!</v>
      </c>
      <c r="GN27" t="e">
        <f>AND(Bills!#REF!,"AAAAAFFf18M=")</f>
        <v>#REF!</v>
      </c>
      <c r="GO27" t="e">
        <f>AND(Bills!#REF!,"AAAAAFFf18Q=")</f>
        <v>#REF!</v>
      </c>
      <c r="GP27" t="e">
        <f>AND(Bills!#REF!,"AAAAAFFf18U=")</f>
        <v>#REF!</v>
      </c>
      <c r="GQ27" t="e">
        <f>AND(Bills!#REF!,"AAAAAFFf18Y=")</f>
        <v>#REF!</v>
      </c>
      <c r="GR27" t="e">
        <f>AND(Bills!#REF!,"AAAAAFFf18c=")</f>
        <v>#REF!</v>
      </c>
      <c r="GS27" t="e">
        <f>AND(Bills!#REF!,"AAAAAFFf18g=")</f>
        <v>#REF!</v>
      </c>
      <c r="GT27" t="e">
        <f>AND(Bills!#REF!,"AAAAAFFf18k=")</f>
        <v>#REF!</v>
      </c>
      <c r="GU27" t="e">
        <f>AND(Bills!#REF!,"AAAAAFFf18o=")</f>
        <v>#REF!</v>
      </c>
      <c r="GV27" t="e">
        <f>AND(Bills!#REF!,"AAAAAFFf18s=")</f>
        <v>#REF!</v>
      </c>
      <c r="GW27" t="e">
        <f>AND(Bills!#REF!,"AAAAAFFf18w=")</f>
        <v>#REF!</v>
      </c>
      <c r="GX27" t="e">
        <f>AND(Bills!#REF!,"AAAAAFFf180=")</f>
        <v>#REF!</v>
      </c>
      <c r="GY27" t="e">
        <f>AND(Bills!#REF!,"AAAAAFFf184=")</f>
        <v>#REF!</v>
      </c>
      <c r="GZ27" t="e">
        <f>AND(Bills!#REF!,"AAAAAFFf188=")</f>
        <v>#REF!</v>
      </c>
      <c r="HA27" t="e">
        <f>AND(Bills!#REF!,"AAAAAFFf19A=")</f>
        <v>#REF!</v>
      </c>
      <c r="HB27" t="e">
        <f>AND(Bills!#REF!,"AAAAAFFf19E=")</f>
        <v>#REF!</v>
      </c>
      <c r="HC27" t="e">
        <f>AND(Bills!#REF!,"AAAAAFFf19I=")</f>
        <v>#REF!</v>
      </c>
      <c r="HD27" t="e">
        <f>AND(Bills!#REF!,"AAAAAFFf19M=")</f>
        <v>#REF!</v>
      </c>
      <c r="HE27" t="e">
        <f>AND(Bills!#REF!,"AAAAAFFf19Q=")</f>
        <v>#REF!</v>
      </c>
      <c r="HF27" t="e">
        <f>AND(Bills!#REF!,"AAAAAFFf19U=")</f>
        <v>#REF!</v>
      </c>
      <c r="HG27" t="e">
        <f>AND(Bills!#REF!,"AAAAAFFf19Y=")</f>
        <v>#REF!</v>
      </c>
      <c r="HH27" t="e">
        <f>AND(Bills!#REF!,"AAAAAFFf19c=")</f>
        <v>#REF!</v>
      </c>
      <c r="HI27" t="e">
        <f>AND(Bills!#REF!,"AAAAAFFf19g=")</f>
        <v>#REF!</v>
      </c>
      <c r="HJ27" t="e">
        <f>IF(Bills!#REF!,"AAAAAFFf19k=",0)</f>
        <v>#REF!</v>
      </c>
      <c r="HK27" t="e">
        <f>AND(Bills!#REF!,"AAAAAFFf19o=")</f>
        <v>#REF!</v>
      </c>
      <c r="HL27" t="e">
        <f>AND(Bills!#REF!,"AAAAAFFf19s=")</f>
        <v>#REF!</v>
      </c>
      <c r="HM27" t="e">
        <f>AND(Bills!#REF!,"AAAAAFFf19w=")</f>
        <v>#REF!</v>
      </c>
      <c r="HN27" t="e">
        <f>AND(Bills!#REF!,"AAAAAFFf190=")</f>
        <v>#REF!</v>
      </c>
      <c r="HO27" t="e">
        <f>AND(Bills!#REF!,"AAAAAFFf194=")</f>
        <v>#REF!</v>
      </c>
      <c r="HP27" t="e">
        <f>AND(Bills!#REF!,"AAAAAFFf198=")</f>
        <v>#REF!</v>
      </c>
      <c r="HQ27" t="e">
        <f>AND(Bills!#REF!,"AAAAAFFf1+A=")</f>
        <v>#REF!</v>
      </c>
      <c r="HR27" t="e">
        <f>AND(Bills!#REF!,"AAAAAFFf1+E=")</f>
        <v>#REF!</v>
      </c>
      <c r="HS27" t="e">
        <f>AND(Bills!#REF!,"AAAAAFFf1+I=")</f>
        <v>#REF!</v>
      </c>
      <c r="HT27" t="e">
        <f>AND(Bills!#REF!,"AAAAAFFf1+M=")</f>
        <v>#REF!</v>
      </c>
      <c r="HU27" t="e">
        <f>AND(Bills!#REF!,"AAAAAFFf1+Q=")</f>
        <v>#REF!</v>
      </c>
      <c r="HV27" t="e">
        <f>AND(Bills!#REF!,"AAAAAFFf1+U=")</f>
        <v>#REF!</v>
      </c>
      <c r="HW27" t="e">
        <f>AND(Bills!#REF!,"AAAAAFFf1+Y=")</f>
        <v>#REF!</v>
      </c>
      <c r="HX27" t="e">
        <f>AND(Bills!#REF!,"AAAAAFFf1+c=")</f>
        <v>#REF!</v>
      </c>
      <c r="HY27" t="e">
        <f>AND(Bills!#REF!,"AAAAAFFf1+g=")</f>
        <v>#REF!</v>
      </c>
      <c r="HZ27" t="e">
        <f>AND(Bills!#REF!,"AAAAAFFf1+k=")</f>
        <v>#REF!</v>
      </c>
      <c r="IA27" t="e">
        <f>AND(Bills!#REF!,"AAAAAFFf1+o=")</f>
        <v>#REF!</v>
      </c>
      <c r="IB27" t="e">
        <f>AND(Bills!#REF!,"AAAAAFFf1+s=")</f>
        <v>#REF!</v>
      </c>
      <c r="IC27" t="e">
        <f>AND(Bills!#REF!,"AAAAAFFf1+w=")</f>
        <v>#REF!</v>
      </c>
      <c r="ID27" t="e">
        <f>AND(Bills!#REF!,"AAAAAFFf1+0=")</f>
        <v>#REF!</v>
      </c>
      <c r="IE27" t="e">
        <f>AND(Bills!#REF!,"AAAAAFFf1+4=")</f>
        <v>#REF!</v>
      </c>
      <c r="IF27" t="e">
        <f>AND(Bills!#REF!,"AAAAAFFf1+8=")</f>
        <v>#REF!</v>
      </c>
      <c r="IG27" t="e">
        <f>AND(Bills!#REF!,"AAAAAFFf1/A=")</f>
        <v>#REF!</v>
      </c>
      <c r="IH27" t="e">
        <f>AND(Bills!#REF!,"AAAAAFFf1/E=")</f>
        <v>#REF!</v>
      </c>
      <c r="II27" t="e">
        <f>AND(Bills!#REF!,"AAAAAFFf1/I=")</f>
        <v>#REF!</v>
      </c>
      <c r="IJ27" t="e">
        <f>AND(Bills!#REF!,"AAAAAFFf1/M=")</f>
        <v>#REF!</v>
      </c>
      <c r="IK27" t="e">
        <f>AND(Bills!#REF!,"AAAAAFFf1/Q=")</f>
        <v>#REF!</v>
      </c>
      <c r="IL27" t="e">
        <f>AND(Bills!#REF!,"AAAAAFFf1/U=")</f>
        <v>#REF!</v>
      </c>
      <c r="IM27" t="e">
        <f>AND(Bills!#REF!,"AAAAAFFf1/Y=")</f>
        <v>#REF!</v>
      </c>
      <c r="IN27" t="e">
        <f>AND(Bills!#REF!,"AAAAAFFf1/c=")</f>
        <v>#REF!</v>
      </c>
      <c r="IO27" t="e">
        <f>AND(Bills!#REF!,"AAAAAFFf1/g=")</f>
        <v>#REF!</v>
      </c>
      <c r="IP27" t="e">
        <f>AND(Bills!#REF!,"AAAAAFFf1/k=")</f>
        <v>#REF!</v>
      </c>
      <c r="IQ27" t="e">
        <f>AND(Bills!#REF!,"AAAAAFFf1/o=")</f>
        <v>#REF!</v>
      </c>
      <c r="IR27" t="e">
        <f>AND(Bills!#REF!,"AAAAAFFf1/s=")</f>
        <v>#REF!</v>
      </c>
      <c r="IS27" t="e">
        <f>AND(Bills!#REF!,"AAAAAFFf1/w=")</f>
        <v>#REF!</v>
      </c>
      <c r="IT27" t="e">
        <f>AND(Bills!#REF!,"AAAAAFFf1/0=")</f>
        <v>#REF!</v>
      </c>
      <c r="IU27" t="e">
        <f>AND(Bills!#REF!,"AAAAAFFf1/4=")</f>
        <v>#REF!</v>
      </c>
      <c r="IV27" t="e">
        <f>AND(Bills!#REF!,"AAAAAFFf1/8=")</f>
        <v>#REF!</v>
      </c>
    </row>
    <row r="28" spans="1:256" x14ac:dyDescent="0.25">
      <c r="A28" t="e">
        <f>AND(Bills!#REF!,"AAAAAGf/fwA=")</f>
        <v>#REF!</v>
      </c>
      <c r="B28" t="e">
        <f>AND(Bills!#REF!,"AAAAAGf/fwE=")</f>
        <v>#REF!</v>
      </c>
      <c r="C28" t="e">
        <f>AND(Bills!#REF!,"AAAAAGf/fwI=")</f>
        <v>#REF!</v>
      </c>
      <c r="D28" t="e">
        <f>AND(Bills!#REF!,"AAAAAGf/fwM=")</f>
        <v>#REF!</v>
      </c>
      <c r="E28" t="e">
        <f>AND(Bills!#REF!,"AAAAAGf/fwQ=")</f>
        <v>#REF!</v>
      </c>
      <c r="F28" t="e">
        <f>AND(Bills!#REF!,"AAAAAGf/fwU=")</f>
        <v>#REF!</v>
      </c>
      <c r="G28" t="e">
        <f>AND(Bills!#REF!,"AAAAAGf/fwY=")</f>
        <v>#REF!</v>
      </c>
      <c r="H28" t="e">
        <f>AND(Bills!#REF!,"AAAAAGf/fwc=")</f>
        <v>#REF!</v>
      </c>
      <c r="I28" t="e">
        <f>AND(Bills!#REF!,"AAAAAGf/fwg=")</f>
        <v>#REF!</v>
      </c>
      <c r="J28" t="e">
        <f>AND(Bills!#REF!,"AAAAAGf/fwk=")</f>
        <v>#REF!</v>
      </c>
      <c r="K28" t="e">
        <f>AND(Bills!#REF!,"AAAAAGf/fwo=")</f>
        <v>#REF!</v>
      </c>
      <c r="L28" t="e">
        <f>AND(Bills!#REF!,"AAAAAGf/fws=")</f>
        <v>#REF!</v>
      </c>
      <c r="M28" t="e">
        <f>IF(Bills!#REF!,"AAAAAGf/fww=",0)</f>
        <v>#REF!</v>
      </c>
      <c r="N28" t="e">
        <f>AND(Bills!#REF!,"AAAAAGf/fw0=")</f>
        <v>#REF!</v>
      </c>
      <c r="O28" t="e">
        <f>AND(Bills!#REF!,"AAAAAGf/fw4=")</f>
        <v>#REF!</v>
      </c>
      <c r="P28" t="e">
        <f>AND(Bills!#REF!,"AAAAAGf/fw8=")</f>
        <v>#REF!</v>
      </c>
      <c r="Q28" t="e">
        <f>AND(Bills!#REF!,"AAAAAGf/fxA=")</f>
        <v>#REF!</v>
      </c>
      <c r="R28" t="e">
        <f>AND(Bills!#REF!,"AAAAAGf/fxE=")</f>
        <v>#REF!</v>
      </c>
      <c r="S28" t="e">
        <f>AND(Bills!#REF!,"AAAAAGf/fxI=")</f>
        <v>#REF!</v>
      </c>
      <c r="T28" t="e">
        <f>AND(Bills!#REF!,"AAAAAGf/fxM=")</f>
        <v>#REF!</v>
      </c>
      <c r="U28" t="e">
        <f>AND(Bills!#REF!,"AAAAAGf/fxQ=")</f>
        <v>#REF!</v>
      </c>
      <c r="V28" t="e">
        <f>AND(Bills!#REF!,"AAAAAGf/fxU=")</f>
        <v>#REF!</v>
      </c>
      <c r="W28" t="e">
        <f>AND(Bills!#REF!,"AAAAAGf/fxY=")</f>
        <v>#REF!</v>
      </c>
      <c r="X28" t="e">
        <f>AND(Bills!#REF!,"AAAAAGf/fxc=")</f>
        <v>#REF!</v>
      </c>
      <c r="Y28" t="e">
        <f>AND(Bills!#REF!,"AAAAAGf/fxg=")</f>
        <v>#REF!</v>
      </c>
      <c r="Z28" t="e">
        <f>AND(Bills!#REF!,"AAAAAGf/fxk=")</f>
        <v>#REF!</v>
      </c>
      <c r="AA28" t="e">
        <f>AND(Bills!#REF!,"AAAAAGf/fxo=")</f>
        <v>#REF!</v>
      </c>
      <c r="AB28" t="e">
        <f>AND(Bills!#REF!,"AAAAAGf/fxs=")</f>
        <v>#REF!</v>
      </c>
      <c r="AC28" t="e">
        <f>AND(Bills!#REF!,"AAAAAGf/fxw=")</f>
        <v>#REF!</v>
      </c>
      <c r="AD28" t="e">
        <f>AND(Bills!#REF!,"AAAAAGf/fx0=")</f>
        <v>#REF!</v>
      </c>
      <c r="AE28" t="e">
        <f>AND(Bills!#REF!,"AAAAAGf/fx4=")</f>
        <v>#REF!</v>
      </c>
      <c r="AF28" t="e">
        <f>AND(Bills!#REF!,"AAAAAGf/fx8=")</f>
        <v>#REF!</v>
      </c>
      <c r="AG28" t="e">
        <f>AND(Bills!#REF!,"AAAAAGf/fyA=")</f>
        <v>#REF!</v>
      </c>
      <c r="AH28" t="e">
        <f>AND(Bills!#REF!,"AAAAAGf/fyE=")</f>
        <v>#REF!</v>
      </c>
      <c r="AI28" t="e">
        <f>AND(Bills!#REF!,"AAAAAGf/fyI=")</f>
        <v>#REF!</v>
      </c>
      <c r="AJ28" t="e">
        <f>AND(Bills!#REF!,"AAAAAGf/fyM=")</f>
        <v>#REF!</v>
      </c>
      <c r="AK28" t="e">
        <f>AND(Bills!#REF!,"AAAAAGf/fyQ=")</f>
        <v>#REF!</v>
      </c>
      <c r="AL28" t="e">
        <f>AND(Bills!#REF!,"AAAAAGf/fyU=")</f>
        <v>#REF!</v>
      </c>
      <c r="AM28" t="e">
        <f>AND(Bills!#REF!,"AAAAAGf/fyY=")</f>
        <v>#REF!</v>
      </c>
      <c r="AN28" t="e">
        <f>AND(Bills!#REF!,"AAAAAGf/fyc=")</f>
        <v>#REF!</v>
      </c>
      <c r="AO28" t="e">
        <f>AND(Bills!#REF!,"AAAAAGf/fyg=")</f>
        <v>#REF!</v>
      </c>
      <c r="AP28" t="e">
        <f>AND(Bills!#REF!,"AAAAAGf/fyk=")</f>
        <v>#REF!</v>
      </c>
      <c r="AQ28" t="e">
        <f>AND(Bills!#REF!,"AAAAAGf/fyo=")</f>
        <v>#REF!</v>
      </c>
      <c r="AR28" t="e">
        <f>AND(Bills!#REF!,"AAAAAGf/fys=")</f>
        <v>#REF!</v>
      </c>
      <c r="AS28" t="e">
        <f>AND(Bills!#REF!,"AAAAAGf/fyw=")</f>
        <v>#REF!</v>
      </c>
      <c r="AT28" t="e">
        <f>AND(Bills!#REF!,"AAAAAGf/fy0=")</f>
        <v>#REF!</v>
      </c>
      <c r="AU28" t="e">
        <f>AND(Bills!#REF!,"AAAAAGf/fy4=")</f>
        <v>#REF!</v>
      </c>
      <c r="AV28" t="e">
        <f>AND(Bills!#REF!,"AAAAAGf/fy8=")</f>
        <v>#REF!</v>
      </c>
      <c r="AW28" t="e">
        <f>AND(Bills!#REF!,"AAAAAGf/fzA=")</f>
        <v>#REF!</v>
      </c>
      <c r="AX28" t="e">
        <f>AND(Bills!#REF!,"AAAAAGf/fzE=")</f>
        <v>#REF!</v>
      </c>
      <c r="AY28" t="e">
        <f>AND(Bills!#REF!,"AAAAAGf/fzI=")</f>
        <v>#REF!</v>
      </c>
      <c r="AZ28" t="e">
        <f>AND(Bills!#REF!,"AAAAAGf/fzM=")</f>
        <v>#REF!</v>
      </c>
      <c r="BA28" t="e">
        <f>AND(Bills!#REF!,"AAAAAGf/fzQ=")</f>
        <v>#REF!</v>
      </c>
      <c r="BB28" t="e">
        <f>AND(Bills!#REF!,"AAAAAGf/fzU=")</f>
        <v>#REF!</v>
      </c>
      <c r="BC28" t="e">
        <f>AND(Bills!#REF!,"AAAAAGf/fzY=")</f>
        <v>#REF!</v>
      </c>
      <c r="BD28" t="e">
        <f>AND(Bills!#REF!,"AAAAAGf/fzc=")</f>
        <v>#REF!</v>
      </c>
      <c r="BE28" t="e">
        <f>AND(Bills!#REF!,"AAAAAGf/fzg=")</f>
        <v>#REF!</v>
      </c>
      <c r="BF28" t="e">
        <f>AND(Bills!#REF!,"AAAAAGf/fzk=")</f>
        <v>#REF!</v>
      </c>
      <c r="BG28" t="e">
        <f>AND(Bills!#REF!,"AAAAAGf/fzo=")</f>
        <v>#REF!</v>
      </c>
      <c r="BH28" t="e">
        <f>AND(Bills!#REF!,"AAAAAGf/fzs=")</f>
        <v>#REF!</v>
      </c>
      <c r="BI28" t="e">
        <f>AND(Bills!#REF!,"AAAAAGf/fzw=")</f>
        <v>#REF!</v>
      </c>
      <c r="BJ28" t="e">
        <f>AND(Bills!#REF!,"AAAAAGf/fz0=")</f>
        <v>#REF!</v>
      </c>
      <c r="BK28" t="e">
        <f>AND(Bills!#REF!,"AAAAAGf/fz4=")</f>
        <v>#REF!</v>
      </c>
      <c r="BL28" t="e">
        <f>IF(Bills!#REF!,"AAAAAGf/fz8=",0)</f>
        <v>#REF!</v>
      </c>
      <c r="BM28" t="e">
        <f>AND(Bills!#REF!,"AAAAAGf/f0A=")</f>
        <v>#REF!</v>
      </c>
      <c r="BN28" t="e">
        <f>AND(Bills!#REF!,"AAAAAGf/f0E=")</f>
        <v>#REF!</v>
      </c>
      <c r="BO28" t="e">
        <f>AND(Bills!#REF!,"AAAAAGf/f0I=")</f>
        <v>#REF!</v>
      </c>
      <c r="BP28" t="e">
        <f>AND(Bills!#REF!,"AAAAAGf/f0M=")</f>
        <v>#REF!</v>
      </c>
      <c r="BQ28" t="e">
        <f>AND(Bills!#REF!,"AAAAAGf/f0Q=")</f>
        <v>#REF!</v>
      </c>
      <c r="BR28" t="e">
        <f>AND(Bills!#REF!,"AAAAAGf/f0U=")</f>
        <v>#REF!</v>
      </c>
      <c r="BS28" t="e">
        <f>AND(Bills!#REF!,"AAAAAGf/f0Y=")</f>
        <v>#REF!</v>
      </c>
      <c r="BT28" t="e">
        <f>AND(Bills!#REF!,"AAAAAGf/f0c=")</f>
        <v>#REF!</v>
      </c>
      <c r="BU28" t="e">
        <f>AND(Bills!#REF!,"AAAAAGf/f0g=")</f>
        <v>#REF!</v>
      </c>
      <c r="BV28" t="e">
        <f>AND(Bills!#REF!,"AAAAAGf/f0k=")</f>
        <v>#REF!</v>
      </c>
      <c r="BW28" t="e">
        <f>AND(Bills!#REF!,"AAAAAGf/f0o=")</f>
        <v>#REF!</v>
      </c>
      <c r="BX28" t="e">
        <f>AND(Bills!#REF!,"AAAAAGf/f0s=")</f>
        <v>#REF!</v>
      </c>
      <c r="BY28" t="e">
        <f>AND(Bills!#REF!,"AAAAAGf/f0w=")</f>
        <v>#REF!</v>
      </c>
      <c r="BZ28" t="e">
        <f>AND(Bills!#REF!,"AAAAAGf/f00=")</f>
        <v>#REF!</v>
      </c>
      <c r="CA28" t="e">
        <f>AND(Bills!#REF!,"AAAAAGf/f04=")</f>
        <v>#REF!</v>
      </c>
      <c r="CB28" t="e">
        <f>AND(Bills!#REF!,"AAAAAGf/f08=")</f>
        <v>#REF!</v>
      </c>
      <c r="CC28" t="e">
        <f>AND(Bills!#REF!,"AAAAAGf/f1A=")</f>
        <v>#REF!</v>
      </c>
      <c r="CD28" t="e">
        <f>AND(Bills!#REF!,"AAAAAGf/f1E=")</f>
        <v>#REF!</v>
      </c>
      <c r="CE28" t="e">
        <f>AND(Bills!#REF!,"AAAAAGf/f1I=")</f>
        <v>#REF!</v>
      </c>
      <c r="CF28" t="e">
        <f>AND(Bills!#REF!,"AAAAAGf/f1M=")</f>
        <v>#REF!</v>
      </c>
      <c r="CG28" t="e">
        <f>AND(Bills!#REF!,"AAAAAGf/f1Q=")</f>
        <v>#REF!</v>
      </c>
      <c r="CH28" t="e">
        <f>AND(Bills!#REF!,"AAAAAGf/f1U=")</f>
        <v>#REF!</v>
      </c>
      <c r="CI28" t="e">
        <f>AND(Bills!#REF!,"AAAAAGf/f1Y=")</f>
        <v>#REF!</v>
      </c>
      <c r="CJ28" t="e">
        <f>AND(Bills!#REF!,"AAAAAGf/f1c=")</f>
        <v>#REF!</v>
      </c>
      <c r="CK28" t="e">
        <f>AND(Bills!#REF!,"AAAAAGf/f1g=")</f>
        <v>#REF!</v>
      </c>
      <c r="CL28" t="e">
        <f>AND(Bills!#REF!,"AAAAAGf/f1k=")</f>
        <v>#REF!</v>
      </c>
      <c r="CM28" t="e">
        <f>AND(Bills!#REF!,"AAAAAGf/f1o=")</f>
        <v>#REF!</v>
      </c>
      <c r="CN28" t="e">
        <f>AND(Bills!#REF!,"AAAAAGf/f1s=")</f>
        <v>#REF!</v>
      </c>
      <c r="CO28" t="e">
        <f>AND(Bills!#REF!,"AAAAAGf/f1w=")</f>
        <v>#REF!</v>
      </c>
      <c r="CP28" t="e">
        <f>AND(Bills!#REF!,"AAAAAGf/f10=")</f>
        <v>#REF!</v>
      </c>
      <c r="CQ28" t="e">
        <f>AND(Bills!#REF!,"AAAAAGf/f14=")</f>
        <v>#REF!</v>
      </c>
      <c r="CR28" t="e">
        <f>AND(Bills!#REF!,"AAAAAGf/f18=")</f>
        <v>#REF!</v>
      </c>
      <c r="CS28" t="e">
        <f>AND(Bills!#REF!,"AAAAAGf/f2A=")</f>
        <v>#REF!</v>
      </c>
      <c r="CT28" t="e">
        <f>AND(Bills!#REF!,"AAAAAGf/f2E=")</f>
        <v>#REF!</v>
      </c>
      <c r="CU28" t="e">
        <f>AND(Bills!#REF!,"AAAAAGf/f2I=")</f>
        <v>#REF!</v>
      </c>
      <c r="CV28" t="e">
        <f>AND(Bills!#REF!,"AAAAAGf/f2M=")</f>
        <v>#REF!</v>
      </c>
      <c r="CW28" t="e">
        <f>AND(Bills!#REF!,"AAAAAGf/f2Q=")</f>
        <v>#REF!</v>
      </c>
      <c r="CX28" t="e">
        <f>AND(Bills!#REF!,"AAAAAGf/f2U=")</f>
        <v>#REF!</v>
      </c>
      <c r="CY28" t="e">
        <f>AND(Bills!#REF!,"AAAAAGf/f2Y=")</f>
        <v>#REF!</v>
      </c>
      <c r="CZ28" t="e">
        <f>AND(Bills!#REF!,"AAAAAGf/f2c=")</f>
        <v>#REF!</v>
      </c>
      <c r="DA28" t="e">
        <f>AND(Bills!#REF!,"AAAAAGf/f2g=")</f>
        <v>#REF!</v>
      </c>
      <c r="DB28" t="e">
        <f>AND(Bills!#REF!,"AAAAAGf/f2k=")</f>
        <v>#REF!</v>
      </c>
      <c r="DC28" t="e">
        <f>AND(Bills!#REF!,"AAAAAGf/f2o=")</f>
        <v>#REF!</v>
      </c>
      <c r="DD28" t="e">
        <f>AND(Bills!#REF!,"AAAAAGf/f2s=")</f>
        <v>#REF!</v>
      </c>
      <c r="DE28" t="e">
        <f>AND(Bills!#REF!,"AAAAAGf/f2w=")</f>
        <v>#REF!</v>
      </c>
      <c r="DF28" t="e">
        <f>AND(Bills!#REF!,"AAAAAGf/f20=")</f>
        <v>#REF!</v>
      </c>
      <c r="DG28" t="e">
        <f>AND(Bills!#REF!,"AAAAAGf/f24=")</f>
        <v>#REF!</v>
      </c>
      <c r="DH28" t="e">
        <f>AND(Bills!#REF!,"AAAAAGf/f28=")</f>
        <v>#REF!</v>
      </c>
      <c r="DI28" t="e">
        <f>AND(Bills!#REF!,"AAAAAGf/f3A=")</f>
        <v>#REF!</v>
      </c>
      <c r="DJ28" t="e">
        <f>AND(Bills!#REF!,"AAAAAGf/f3E=")</f>
        <v>#REF!</v>
      </c>
      <c r="DK28" t="e">
        <f>IF(Bills!#REF!,"AAAAAGf/f3I=",0)</f>
        <v>#REF!</v>
      </c>
      <c r="DL28" t="e">
        <f>AND(Bills!#REF!,"AAAAAGf/f3M=")</f>
        <v>#REF!</v>
      </c>
      <c r="DM28" t="e">
        <f>AND(Bills!#REF!,"AAAAAGf/f3Q=")</f>
        <v>#REF!</v>
      </c>
      <c r="DN28" t="e">
        <f>AND(Bills!#REF!,"AAAAAGf/f3U=")</f>
        <v>#REF!</v>
      </c>
      <c r="DO28" t="e">
        <f>AND(Bills!#REF!,"AAAAAGf/f3Y=")</f>
        <v>#REF!</v>
      </c>
      <c r="DP28" t="e">
        <f>AND(Bills!#REF!,"AAAAAGf/f3c=")</f>
        <v>#REF!</v>
      </c>
      <c r="DQ28" t="e">
        <f>AND(Bills!#REF!,"AAAAAGf/f3g=")</f>
        <v>#REF!</v>
      </c>
      <c r="DR28" t="e">
        <f>AND(Bills!#REF!,"AAAAAGf/f3k=")</f>
        <v>#REF!</v>
      </c>
      <c r="DS28" t="e">
        <f>AND(Bills!#REF!,"AAAAAGf/f3o=")</f>
        <v>#REF!</v>
      </c>
      <c r="DT28" t="e">
        <f>AND(Bills!#REF!,"AAAAAGf/f3s=")</f>
        <v>#REF!</v>
      </c>
      <c r="DU28" t="e">
        <f>AND(Bills!#REF!,"AAAAAGf/f3w=")</f>
        <v>#REF!</v>
      </c>
      <c r="DV28" t="e">
        <f>AND(Bills!#REF!,"AAAAAGf/f30=")</f>
        <v>#REF!</v>
      </c>
      <c r="DW28" t="e">
        <f>AND(Bills!#REF!,"AAAAAGf/f34=")</f>
        <v>#REF!</v>
      </c>
      <c r="DX28" t="e">
        <f>AND(Bills!#REF!,"AAAAAGf/f38=")</f>
        <v>#REF!</v>
      </c>
      <c r="DY28" t="e">
        <f>AND(Bills!#REF!,"AAAAAGf/f4A=")</f>
        <v>#REF!</v>
      </c>
      <c r="DZ28" t="e">
        <f>AND(Bills!#REF!,"AAAAAGf/f4E=")</f>
        <v>#REF!</v>
      </c>
      <c r="EA28" t="e">
        <f>AND(Bills!#REF!,"AAAAAGf/f4I=")</f>
        <v>#REF!</v>
      </c>
      <c r="EB28" t="e">
        <f>AND(Bills!#REF!,"AAAAAGf/f4M=")</f>
        <v>#REF!</v>
      </c>
      <c r="EC28" t="e">
        <f>AND(Bills!#REF!,"AAAAAGf/f4Q=")</f>
        <v>#REF!</v>
      </c>
      <c r="ED28" t="e">
        <f>AND(Bills!#REF!,"AAAAAGf/f4U=")</f>
        <v>#REF!</v>
      </c>
      <c r="EE28" t="e">
        <f>AND(Bills!#REF!,"AAAAAGf/f4Y=")</f>
        <v>#REF!</v>
      </c>
      <c r="EF28" t="e">
        <f>AND(Bills!#REF!,"AAAAAGf/f4c=")</f>
        <v>#REF!</v>
      </c>
      <c r="EG28" t="e">
        <f>AND(Bills!#REF!,"AAAAAGf/f4g=")</f>
        <v>#REF!</v>
      </c>
      <c r="EH28" t="e">
        <f>AND(Bills!#REF!,"AAAAAGf/f4k=")</f>
        <v>#REF!</v>
      </c>
      <c r="EI28" t="e">
        <f>AND(Bills!#REF!,"AAAAAGf/f4o=")</f>
        <v>#REF!</v>
      </c>
      <c r="EJ28" t="e">
        <f>AND(Bills!#REF!,"AAAAAGf/f4s=")</f>
        <v>#REF!</v>
      </c>
      <c r="EK28" t="e">
        <f>AND(Bills!#REF!,"AAAAAGf/f4w=")</f>
        <v>#REF!</v>
      </c>
      <c r="EL28" t="e">
        <f>AND(Bills!#REF!,"AAAAAGf/f40=")</f>
        <v>#REF!</v>
      </c>
      <c r="EM28" t="e">
        <f>AND(Bills!#REF!,"AAAAAGf/f44=")</f>
        <v>#REF!</v>
      </c>
      <c r="EN28" t="e">
        <f>AND(Bills!#REF!,"AAAAAGf/f48=")</f>
        <v>#REF!</v>
      </c>
      <c r="EO28" t="e">
        <f>AND(Bills!#REF!,"AAAAAGf/f5A=")</f>
        <v>#REF!</v>
      </c>
      <c r="EP28" t="e">
        <f>AND(Bills!#REF!,"AAAAAGf/f5E=")</f>
        <v>#REF!</v>
      </c>
      <c r="EQ28" t="e">
        <f>AND(Bills!#REF!,"AAAAAGf/f5I=")</f>
        <v>#REF!</v>
      </c>
      <c r="ER28" t="e">
        <f>AND(Bills!#REF!,"AAAAAGf/f5M=")</f>
        <v>#REF!</v>
      </c>
      <c r="ES28" t="e">
        <f>AND(Bills!#REF!,"AAAAAGf/f5Q=")</f>
        <v>#REF!</v>
      </c>
      <c r="ET28" t="e">
        <f>AND(Bills!#REF!,"AAAAAGf/f5U=")</f>
        <v>#REF!</v>
      </c>
      <c r="EU28" t="e">
        <f>AND(Bills!#REF!,"AAAAAGf/f5Y=")</f>
        <v>#REF!</v>
      </c>
      <c r="EV28" t="e">
        <f>AND(Bills!#REF!,"AAAAAGf/f5c=")</f>
        <v>#REF!</v>
      </c>
      <c r="EW28" t="e">
        <f>AND(Bills!#REF!,"AAAAAGf/f5g=")</f>
        <v>#REF!</v>
      </c>
      <c r="EX28" t="e">
        <f>AND(Bills!#REF!,"AAAAAGf/f5k=")</f>
        <v>#REF!</v>
      </c>
      <c r="EY28" t="e">
        <f>AND(Bills!#REF!,"AAAAAGf/f5o=")</f>
        <v>#REF!</v>
      </c>
      <c r="EZ28" t="e">
        <f>AND(Bills!#REF!,"AAAAAGf/f5s=")</f>
        <v>#REF!</v>
      </c>
      <c r="FA28" t="e">
        <f>AND(Bills!#REF!,"AAAAAGf/f5w=")</f>
        <v>#REF!</v>
      </c>
      <c r="FB28" t="e">
        <f>AND(Bills!#REF!,"AAAAAGf/f50=")</f>
        <v>#REF!</v>
      </c>
      <c r="FC28" t="e">
        <f>AND(Bills!#REF!,"AAAAAGf/f54=")</f>
        <v>#REF!</v>
      </c>
      <c r="FD28" t="e">
        <f>AND(Bills!#REF!,"AAAAAGf/f58=")</f>
        <v>#REF!</v>
      </c>
      <c r="FE28" t="e">
        <f>AND(Bills!#REF!,"AAAAAGf/f6A=")</f>
        <v>#REF!</v>
      </c>
      <c r="FF28" t="e">
        <f>AND(Bills!#REF!,"AAAAAGf/f6E=")</f>
        <v>#REF!</v>
      </c>
      <c r="FG28" t="e">
        <f>AND(Bills!#REF!,"AAAAAGf/f6I=")</f>
        <v>#REF!</v>
      </c>
      <c r="FH28" t="e">
        <f>AND(Bills!#REF!,"AAAAAGf/f6M=")</f>
        <v>#REF!</v>
      </c>
      <c r="FI28" t="e">
        <f>AND(Bills!#REF!,"AAAAAGf/f6Q=")</f>
        <v>#REF!</v>
      </c>
      <c r="FJ28">
        <f>IF(Bills!17:17,"AAAAAGf/f6U=",0)</f>
        <v>0</v>
      </c>
      <c r="FK28" t="e">
        <f>AND(Bills!B17,"AAAAAGf/f6Y=")</f>
        <v>#VALUE!</v>
      </c>
      <c r="FL28" t="e">
        <f>AND(Bills!#REF!,"AAAAAGf/f6c=")</f>
        <v>#REF!</v>
      </c>
      <c r="FM28" t="e">
        <f>AND(Bills!C17,"AAAAAGf/f6g=")</f>
        <v>#VALUE!</v>
      </c>
      <c r="FN28" t="e">
        <f>AND(Bills!D17,"AAAAAGf/f6k=")</f>
        <v>#VALUE!</v>
      </c>
      <c r="FO28" t="e">
        <f>AND(Bills!E17,"AAAAAGf/f6o=")</f>
        <v>#VALUE!</v>
      </c>
      <c r="FP28" t="e">
        <f>AND(Bills!#REF!,"AAAAAGf/f6s=")</f>
        <v>#REF!</v>
      </c>
      <c r="FQ28" t="e">
        <f>AND(Bills!#REF!,"AAAAAGf/f6w=")</f>
        <v>#REF!</v>
      </c>
      <c r="FR28" t="e">
        <f>AND(Bills!#REF!,"AAAAAGf/f60=")</f>
        <v>#REF!</v>
      </c>
      <c r="FS28" t="e">
        <f>AND(Bills!F17,"AAAAAGf/f64=")</f>
        <v>#VALUE!</v>
      </c>
      <c r="FT28" t="e">
        <f>AND(Bills!#REF!,"AAAAAGf/f68=")</f>
        <v>#REF!</v>
      </c>
      <c r="FU28" t="e">
        <f>AND(Bills!G17,"AAAAAGf/f7A=")</f>
        <v>#VALUE!</v>
      </c>
      <c r="FV28" t="e">
        <f>AND(Bills!H17,"AAAAAGf/f7E=")</f>
        <v>#VALUE!</v>
      </c>
      <c r="FW28" t="e">
        <f>AND(Bills!I17,"AAAAAGf/f7I=")</f>
        <v>#VALUE!</v>
      </c>
      <c r="FX28" t="e">
        <f>AND(Bills!J17,"AAAAAGf/f7M=")</f>
        <v>#VALUE!</v>
      </c>
      <c r="FY28" t="e">
        <f>AND(Bills!K17,"AAAAAGf/f7Q=")</f>
        <v>#VALUE!</v>
      </c>
      <c r="FZ28" t="e">
        <f>AND(Bills!L17,"AAAAAGf/f7U=")</f>
        <v>#VALUE!</v>
      </c>
      <c r="GA28" t="e">
        <f>AND(Bills!#REF!,"AAAAAGf/f7Y=")</f>
        <v>#REF!</v>
      </c>
      <c r="GB28" t="e">
        <f>AND(Bills!M17,"AAAAAGf/f7c=")</f>
        <v>#VALUE!</v>
      </c>
      <c r="GC28" t="e">
        <f>AND(Bills!N17,"AAAAAGf/f7g=")</f>
        <v>#VALUE!</v>
      </c>
      <c r="GD28" t="e">
        <f>AND(Bills!O17,"AAAAAGf/f7k=")</f>
        <v>#VALUE!</v>
      </c>
      <c r="GE28" t="e">
        <f>AND(Bills!P17,"AAAAAGf/f7o=")</f>
        <v>#VALUE!</v>
      </c>
      <c r="GF28" t="e">
        <f>AND(Bills!Q17,"AAAAAGf/f7s=")</f>
        <v>#VALUE!</v>
      </c>
      <c r="GG28" t="e">
        <f>AND(Bills!R17,"AAAAAGf/f7w=")</f>
        <v>#VALUE!</v>
      </c>
      <c r="GH28" t="e">
        <f>AND(Bills!S17,"AAAAAGf/f70=")</f>
        <v>#VALUE!</v>
      </c>
      <c r="GI28" t="e">
        <f>AND(Bills!T17,"AAAAAGf/f74=")</f>
        <v>#VALUE!</v>
      </c>
      <c r="GJ28" t="e">
        <f>AND(Bills!#REF!,"AAAAAGf/f78=")</f>
        <v>#REF!</v>
      </c>
      <c r="GK28" t="e">
        <f>AND(Bills!U17,"AAAAAGf/f8A=")</f>
        <v>#VALUE!</v>
      </c>
      <c r="GL28" t="e">
        <f>AND(Bills!V17,"AAAAAGf/f8E=")</f>
        <v>#VALUE!</v>
      </c>
      <c r="GM28" t="e">
        <f>AND(Bills!W17,"AAAAAGf/f8I=")</f>
        <v>#VALUE!</v>
      </c>
      <c r="GN28" t="e">
        <f>AND(Bills!#REF!,"AAAAAGf/f8M=")</f>
        <v>#REF!</v>
      </c>
      <c r="GO28" t="e">
        <f>AND(Bills!#REF!,"AAAAAGf/f8Q=")</f>
        <v>#REF!</v>
      </c>
      <c r="GP28" t="e">
        <f>AND(Bills!Y17,"AAAAAGf/f8U=")</f>
        <v>#VALUE!</v>
      </c>
      <c r="GQ28" t="e">
        <f>AND(Bills!Z17,"AAAAAGf/f8Y=")</f>
        <v>#VALUE!</v>
      </c>
      <c r="GR28" t="e">
        <f>AND(Bills!#REF!,"AAAAAGf/f8c=")</f>
        <v>#REF!</v>
      </c>
      <c r="GS28" t="e">
        <f>AND(Bills!#REF!,"AAAAAGf/f8g=")</f>
        <v>#REF!</v>
      </c>
      <c r="GT28" t="e">
        <f>AND(Bills!#REF!,"AAAAAGf/f8k=")</f>
        <v>#REF!</v>
      </c>
      <c r="GU28" t="e">
        <f>AND(Bills!#REF!,"AAAAAGf/f8o=")</f>
        <v>#REF!</v>
      </c>
      <c r="GV28" t="e">
        <f>AND(Bills!#REF!,"AAAAAGf/f8s=")</f>
        <v>#REF!</v>
      </c>
      <c r="GW28" t="e">
        <f>AND(Bills!#REF!,"AAAAAGf/f8w=")</f>
        <v>#REF!</v>
      </c>
      <c r="GX28" t="e">
        <f>AND(Bills!#REF!,"AAAAAGf/f80=")</f>
        <v>#REF!</v>
      </c>
      <c r="GY28" t="e">
        <f>AND(Bills!#REF!,"AAAAAGf/f84=")</f>
        <v>#REF!</v>
      </c>
      <c r="GZ28" t="e">
        <f>AND(Bills!#REF!,"AAAAAGf/f88=")</f>
        <v>#REF!</v>
      </c>
      <c r="HA28" t="e">
        <f>AND(Bills!AA17,"AAAAAGf/f9A=")</f>
        <v>#VALUE!</v>
      </c>
      <c r="HB28" t="e">
        <f>AND(Bills!AB17,"AAAAAGf/f9E=")</f>
        <v>#VALUE!</v>
      </c>
      <c r="HC28" t="e">
        <f>AND(Bills!#REF!,"AAAAAGf/f9I=")</f>
        <v>#REF!</v>
      </c>
      <c r="HD28" t="e">
        <f>AND(Bills!#REF!,"AAAAAGf/f9M=")</f>
        <v>#REF!</v>
      </c>
      <c r="HE28" t="e">
        <f>AND(Bills!#REF!,"AAAAAGf/f9Q=")</f>
        <v>#REF!</v>
      </c>
      <c r="HF28" t="e">
        <f>AND(Bills!AC17,"AAAAAGf/f9U=")</f>
        <v>#VALUE!</v>
      </c>
      <c r="HG28" t="e">
        <f>AND(Bills!AD17,"AAAAAGf/f9Y=")</f>
        <v>#VALUE!</v>
      </c>
      <c r="HH28" t="e">
        <f>AND(Bills!AE17,"AAAAAGf/f9c=")</f>
        <v>#VALUE!</v>
      </c>
      <c r="HI28" t="e">
        <f>IF(Bills!#REF!,"AAAAAGf/f9g=",0)</f>
        <v>#REF!</v>
      </c>
      <c r="HJ28" t="e">
        <f>AND(Bills!#REF!,"AAAAAGf/f9k=")</f>
        <v>#REF!</v>
      </c>
      <c r="HK28" t="e">
        <f>AND(Bills!#REF!,"AAAAAGf/f9o=")</f>
        <v>#REF!</v>
      </c>
      <c r="HL28" t="e">
        <f>AND(Bills!#REF!,"AAAAAGf/f9s=")</f>
        <v>#REF!</v>
      </c>
      <c r="HM28" t="e">
        <f>AND(Bills!#REF!,"AAAAAGf/f9w=")</f>
        <v>#REF!</v>
      </c>
      <c r="HN28" t="e">
        <f>AND(Bills!#REF!,"AAAAAGf/f90=")</f>
        <v>#REF!</v>
      </c>
      <c r="HO28" t="e">
        <f>AND(Bills!#REF!,"AAAAAGf/f94=")</f>
        <v>#REF!</v>
      </c>
      <c r="HP28" t="e">
        <f>AND(Bills!#REF!,"AAAAAGf/f98=")</f>
        <v>#REF!</v>
      </c>
      <c r="HQ28" t="e">
        <f>AND(Bills!#REF!,"AAAAAGf/f+A=")</f>
        <v>#REF!</v>
      </c>
      <c r="HR28" t="e">
        <f>AND(Bills!#REF!,"AAAAAGf/f+E=")</f>
        <v>#REF!</v>
      </c>
      <c r="HS28" t="e">
        <f>AND(Bills!#REF!,"AAAAAGf/f+I=")</f>
        <v>#REF!</v>
      </c>
      <c r="HT28" t="e">
        <f>AND(Bills!#REF!,"AAAAAGf/f+M=")</f>
        <v>#REF!</v>
      </c>
      <c r="HU28" t="e">
        <f>AND(Bills!#REF!,"AAAAAGf/f+Q=")</f>
        <v>#REF!</v>
      </c>
      <c r="HV28" t="e">
        <f>AND(Bills!#REF!,"AAAAAGf/f+U=")</f>
        <v>#REF!</v>
      </c>
      <c r="HW28" t="e">
        <f>AND(Bills!#REF!,"AAAAAGf/f+Y=")</f>
        <v>#REF!</v>
      </c>
      <c r="HX28" t="e">
        <f>AND(Bills!#REF!,"AAAAAGf/f+c=")</f>
        <v>#REF!</v>
      </c>
      <c r="HY28" t="e">
        <f>AND(Bills!#REF!,"AAAAAGf/f+g=")</f>
        <v>#REF!</v>
      </c>
      <c r="HZ28" t="e">
        <f>AND(Bills!#REF!,"AAAAAGf/f+k=")</f>
        <v>#REF!</v>
      </c>
      <c r="IA28" t="e">
        <f>AND(Bills!#REF!,"AAAAAGf/f+o=")</f>
        <v>#REF!</v>
      </c>
      <c r="IB28" t="e">
        <f>AND(Bills!#REF!,"AAAAAGf/f+s=")</f>
        <v>#REF!</v>
      </c>
      <c r="IC28" t="e">
        <f>AND(Bills!#REF!,"AAAAAGf/f+w=")</f>
        <v>#REF!</v>
      </c>
      <c r="ID28" t="e">
        <f>AND(Bills!#REF!,"AAAAAGf/f+0=")</f>
        <v>#REF!</v>
      </c>
      <c r="IE28" t="e">
        <f>AND(Bills!#REF!,"AAAAAGf/f+4=")</f>
        <v>#REF!</v>
      </c>
      <c r="IF28" t="e">
        <f>AND(Bills!#REF!,"AAAAAGf/f+8=")</f>
        <v>#REF!</v>
      </c>
      <c r="IG28" t="e">
        <f>AND(Bills!#REF!,"AAAAAGf/f/A=")</f>
        <v>#REF!</v>
      </c>
      <c r="IH28" t="e">
        <f>AND(Bills!#REF!,"AAAAAGf/f/E=")</f>
        <v>#REF!</v>
      </c>
      <c r="II28" t="e">
        <f>AND(Bills!#REF!,"AAAAAGf/f/I=")</f>
        <v>#REF!</v>
      </c>
      <c r="IJ28" t="e">
        <f>AND(Bills!#REF!,"AAAAAGf/f/M=")</f>
        <v>#REF!</v>
      </c>
      <c r="IK28" t="e">
        <f>AND(Bills!#REF!,"AAAAAGf/f/Q=")</f>
        <v>#REF!</v>
      </c>
      <c r="IL28" t="e">
        <f>AND(Bills!#REF!,"AAAAAGf/f/U=")</f>
        <v>#REF!</v>
      </c>
      <c r="IM28" t="e">
        <f>AND(Bills!#REF!,"AAAAAGf/f/Y=")</f>
        <v>#REF!</v>
      </c>
      <c r="IN28" t="e">
        <f>AND(Bills!#REF!,"AAAAAGf/f/c=")</f>
        <v>#REF!</v>
      </c>
      <c r="IO28" t="e">
        <f>AND(Bills!#REF!,"AAAAAGf/f/g=")</f>
        <v>#REF!</v>
      </c>
      <c r="IP28" t="e">
        <f>AND(Bills!#REF!,"AAAAAGf/f/k=")</f>
        <v>#REF!</v>
      </c>
      <c r="IQ28" t="e">
        <f>AND(Bills!#REF!,"AAAAAGf/f/o=")</f>
        <v>#REF!</v>
      </c>
      <c r="IR28" t="e">
        <f>AND(Bills!#REF!,"AAAAAGf/f/s=")</f>
        <v>#REF!</v>
      </c>
      <c r="IS28" t="e">
        <f>AND(Bills!#REF!,"AAAAAGf/f/w=")</f>
        <v>#REF!</v>
      </c>
      <c r="IT28" t="e">
        <f>AND(Bills!#REF!,"AAAAAGf/f/0=")</f>
        <v>#REF!</v>
      </c>
      <c r="IU28" t="e">
        <f>AND(Bills!#REF!,"AAAAAGf/f/4=")</f>
        <v>#REF!</v>
      </c>
      <c r="IV28" t="e">
        <f>AND(Bills!#REF!,"AAAAAGf/f/8=")</f>
        <v>#REF!</v>
      </c>
    </row>
    <row r="29" spans="1:256" x14ac:dyDescent="0.25">
      <c r="A29" t="e">
        <f>AND(Bills!#REF!,"AAAAAC1nzQA=")</f>
        <v>#REF!</v>
      </c>
      <c r="B29" t="e">
        <f>AND(Bills!#REF!,"AAAAAC1nzQE=")</f>
        <v>#REF!</v>
      </c>
      <c r="C29" t="e">
        <f>AND(Bills!#REF!,"AAAAAC1nzQI=")</f>
        <v>#REF!</v>
      </c>
      <c r="D29" t="e">
        <f>AND(Bills!#REF!,"AAAAAC1nzQM=")</f>
        <v>#REF!</v>
      </c>
      <c r="E29" t="e">
        <f>AND(Bills!#REF!,"AAAAAC1nzQQ=")</f>
        <v>#REF!</v>
      </c>
      <c r="F29" t="e">
        <f>AND(Bills!#REF!,"AAAAAC1nzQU=")</f>
        <v>#REF!</v>
      </c>
      <c r="G29" t="e">
        <f>AND(Bills!#REF!,"AAAAAC1nzQY=")</f>
        <v>#REF!</v>
      </c>
      <c r="H29" t="e">
        <f>AND(Bills!#REF!,"AAAAAC1nzQc=")</f>
        <v>#REF!</v>
      </c>
      <c r="I29" t="e">
        <f>AND(Bills!#REF!,"AAAAAC1nzQg=")</f>
        <v>#REF!</v>
      </c>
      <c r="J29" t="e">
        <f>AND(Bills!#REF!,"AAAAAC1nzQk=")</f>
        <v>#REF!</v>
      </c>
      <c r="K29" t="e">
        <f>AND(Bills!#REF!,"AAAAAC1nzQo=")</f>
        <v>#REF!</v>
      </c>
      <c r="L29" t="e">
        <f>IF(Bills!#REF!,"AAAAAC1nzQs=",0)</f>
        <v>#REF!</v>
      </c>
      <c r="M29" t="e">
        <f>AND(Bills!#REF!,"AAAAAC1nzQw=")</f>
        <v>#REF!</v>
      </c>
      <c r="N29" t="e">
        <f>AND(Bills!#REF!,"AAAAAC1nzQ0=")</f>
        <v>#REF!</v>
      </c>
      <c r="O29" t="e">
        <f>AND(Bills!#REF!,"AAAAAC1nzQ4=")</f>
        <v>#REF!</v>
      </c>
      <c r="P29" t="e">
        <f>AND(Bills!#REF!,"AAAAAC1nzQ8=")</f>
        <v>#REF!</v>
      </c>
      <c r="Q29" t="e">
        <f>AND(Bills!#REF!,"AAAAAC1nzRA=")</f>
        <v>#REF!</v>
      </c>
      <c r="R29" t="e">
        <f>AND(Bills!#REF!,"AAAAAC1nzRE=")</f>
        <v>#REF!</v>
      </c>
      <c r="S29" t="e">
        <f>AND(Bills!#REF!,"AAAAAC1nzRI=")</f>
        <v>#REF!</v>
      </c>
      <c r="T29" t="e">
        <f>AND(Bills!#REF!,"AAAAAC1nzRM=")</f>
        <v>#REF!</v>
      </c>
      <c r="U29" t="e">
        <f>AND(Bills!#REF!,"AAAAAC1nzRQ=")</f>
        <v>#REF!</v>
      </c>
      <c r="V29" t="e">
        <f>AND(Bills!#REF!,"AAAAAC1nzRU=")</f>
        <v>#REF!</v>
      </c>
      <c r="W29" t="e">
        <f>AND(Bills!#REF!,"AAAAAC1nzRY=")</f>
        <v>#REF!</v>
      </c>
      <c r="X29" t="e">
        <f>AND(Bills!#REF!,"AAAAAC1nzRc=")</f>
        <v>#REF!</v>
      </c>
      <c r="Y29" t="e">
        <f>AND(Bills!#REF!,"AAAAAC1nzRg=")</f>
        <v>#REF!</v>
      </c>
      <c r="Z29" t="e">
        <f>AND(Bills!#REF!,"AAAAAC1nzRk=")</f>
        <v>#REF!</v>
      </c>
      <c r="AA29" t="e">
        <f>AND(Bills!#REF!,"AAAAAC1nzRo=")</f>
        <v>#REF!</v>
      </c>
      <c r="AB29" t="e">
        <f>AND(Bills!#REF!,"AAAAAC1nzRs=")</f>
        <v>#REF!</v>
      </c>
      <c r="AC29" t="e">
        <f>AND(Bills!#REF!,"AAAAAC1nzRw=")</f>
        <v>#REF!</v>
      </c>
      <c r="AD29" t="e">
        <f>AND(Bills!#REF!,"AAAAAC1nzR0=")</f>
        <v>#REF!</v>
      </c>
      <c r="AE29" t="e">
        <f>AND(Bills!#REF!,"AAAAAC1nzR4=")</f>
        <v>#REF!</v>
      </c>
      <c r="AF29" t="e">
        <f>AND(Bills!#REF!,"AAAAAC1nzR8=")</f>
        <v>#REF!</v>
      </c>
      <c r="AG29" t="e">
        <f>AND(Bills!#REF!,"AAAAAC1nzSA=")</f>
        <v>#REF!</v>
      </c>
      <c r="AH29" t="e">
        <f>AND(Bills!#REF!,"AAAAAC1nzSE=")</f>
        <v>#REF!</v>
      </c>
      <c r="AI29" t="e">
        <f>AND(Bills!#REF!,"AAAAAC1nzSI=")</f>
        <v>#REF!</v>
      </c>
      <c r="AJ29" t="e">
        <f>AND(Bills!#REF!,"AAAAAC1nzSM=")</f>
        <v>#REF!</v>
      </c>
      <c r="AK29" t="e">
        <f>AND(Bills!#REF!,"AAAAAC1nzSQ=")</f>
        <v>#REF!</v>
      </c>
      <c r="AL29" t="e">
        <f>AND(Bills!#REF!,"AAAAAC1nzSU=")</f>
        <v>#REF!</v>
      </c>
      <c r="AM29" t="e">
        <f>AND(Bills!#REF!,"AAAAAC1nzSY=")</f>
        <v>#REF!</v>
      </c>
      <c r="AN29" t="e">
        <f>AND(Bills!#REF!,"AAAAAC1nzSc=")</f>
        <v>#REF!</v>
      </c>
      <c r="AO29" t="e">
        <f>AND(Bills!#REF!,"AAAAAC1nzSg=")</f>
        <v>#REF!</v>
      </c>
      <c r="AP29" t="e">
        <f>AND(Bills!#REF!,"AAAAAC1nzSk=")</f>
        <v>#REF!</v>
      </c>
      <c r="AQ29" t="e">
        <f>AND(Bills!#REF!,"AAAAAC1nzSo=")</f>
        <v>#REF!</v>
      </c>
      <c r="AR29" t="e">
        <f>AND(Bills!#REF!,"AAAAAC1nzSs=")</f>
        <v>#REF!</v>
      </c>
      <c r="AS29" t="e">
        <f>AND(Bills!#REF!,"AAAAAC1nzSw=")</f>
        <v>#REF!</v>
      </c>
      <c r="AT29" t="e">
        <f>AND(Bills!#REF!,"AAAAAC1nzS0=")</f>
        <v>#REF!</v>
      </c>
      <c r="AU29" t="e">
        <f>AND(Bills!#REF!,"AAAAAC1nzS4=")</f>
        <v>#REF!</v>
      </c>
      <c r="AV29" t="e">
        <f>AND(Bills!#REF!,"AAAAAC1nzS8=")</f>
        <v>#REF!</v>
      </c>
      <c r="AW29" t="e">
        <f>AND(Bills!#REF!,"AAAAAC1nzTA=")</f>
        <v>#REF!</v>
      </c>
      <c r="AX29" t="e">
        <f>AND(Bills!#REF!,"AAAAAC1nzTE=")</f>
        <v>#REF!</v>
      </c>
      <c r="AY29" t="e">
        <f>AND(Bills!#REF!,"AAAAAC1nzTI=")</f>
        <v>#REF!</v>
      </c>
      <c r="AZ29" t="e">
        <f>AND(Bills!#REF!,"AAAAAC1nzTM=")</f>
        <v>#REF!</v>
      </c>
      <c r="BA29" t="e">
        <f>AND(Bills!#REF!,"AAAAAC1nzTQ=")</f>
        <v>#REF!</v>
      </c>
      <c r="BB29" t="e">
        <f>AND(Bills!#REF!,"AAAAAC1nzTU=")</f>
        <v>#REF!</v>
      </c>
      <c r="BC29" t="e">
        <f>AND(Bills!#REF!,"AAAAAC1nzTY=")</f>
        <v>#REF!</v>
      </c>
      <c r="BD29" t="e">
        <f>AND(Bills!#REF!,"AAAAAC1nzTc=")</f>
        <v>#REF!</v>
      </c>
      <c r="BE29" t="e">
        <f>AND(Bills!#REF!,"AAAAAC1nzTg=")</f>
        <v>#REF!</v>
      </c>
      <c r="BF29" t="e">
        <f>AND(Bills!#REF!,"AAAAAC1nzTk=")</f>
        <v>#REF!</v>
      </c>
      <c r="BG29" t="e">
        <f>AND(Bills!#REF!,"AAAAAC1nzTo=")</f>
        <v>#REF!</v>
      </c>
      <c r="BH29" t="e">
        <f>AND(Bills!#REF!,"AAAAAC1nzTs=")</f>
        <v>#REF!</v>
      </c>
      <c r="BI29" t="e">
        <f>AND(Bills!#REF!,"AAAAAC1nzTw=")</f>
        <v>#REF!</v>
      </c>
      <c r="BJ29" t="e">
        <f>AND(Bills!#REF!,"AAAAAC1nzT0=")</f>
        <v>#REF!</v>
      </c>
      <c r="BK29" t="e">
        <f>IF(Bills!#REF!,"AAAAAC1nzT4=",0)</f>
        <v>#REF!</v>
      </c>
      <c r="BL29" t="e">
        <f>AND(Bills!#REF!,"AAAAAC1nzT8=")</f>
        <v>#REF!</v>
      </c>
      <c r="BM29" t="e">
        <f>AND(Bills!#REF!,"AAAAAC1nzUA=")</f>
        <v>#REF!</v>
      </c>
      <c r="BN29" t="e">
        <f>AND(Bills!#REF!,"AAAAAC1nzUE=")</f>
        <v>#REF!</v>
      </c>
      <c r="BO29" t="e">
        <f>AND(Bills!#REF!,"AAAAAC1nzUI=")</f>
        <v>#REF!</v>
      </c>
      <c r="BP29" t="e">
        <f>AND(Bills!#REF!,"AAAAAC1nzUM=")</f>
        <v>#REF!</v>
      </c>
      <c r="BQ29" t="e">
        <f>AND(Bills!#REF!,"AAAAAC1nzUQ=")</f>
        <v>#REF!</v>
      </c>
      <c r="BR29" t="e">
        <f>AND(Bills!#REF!,"AAAAAC1nzUU=")</f>
        <v>#REF!</v>
      </c>
      <c r="BS29" t="e">
        <f>AND(Bills!#REF!,"AAAAAC1nzUY=")</f>
        <v>#REF!</v>
      </c>
      <c r="BT29" t="e">
        <f>AND(Bills!#REF!,"AAAAAC1nzUc=")</f>
        <v>#REF!</v>
      </c>
      <c r="BU29" t="e">
        <f>AND(Bills!#REF!,"AAAAAC1nzUg=")</f>
        <v>#REF!</v>
      </c>
      <c r="BV29" t="e">
        <f>AND(Bills!#REF!,"AAAAAC1nzUk=")</f>
        <v>#REF!</v>
      </c>
      <c r="BW29" t="e">
        <f>AND(Bills!#REF!,"AAAAAC1nzUo=")</f>
        <v>#REF!</v>
      </c>
      <c r="BX29" t="e">
        <f>AND(Bills!#REF!,"AAAAAC1nzUs=")</f>
        <v>#REF!</v>
      </c>
      <c r="BY29" t="e">
        <f>AND(Bills!#REF!,"AAAAAC1nzUw=")</f>
        <v>#REF!</v>
      </c>
      <c r="BZ29" t="e">
        <f>AND(Bills!#REF!,"AAAAAC1nzU0=")</f>
        <v>#REF!</v>
      </c>
      <c r="CA29" t="e">
        <f>AND(Bills!#REF!,"AAAAAC1nzU4=")</f>
        <v>#REF!</v>
      </c>
      <c r="CB29" t="e">
        <f>AND(Bills!#REF!,"AAAAAC1nzU8=")</f>
        <v>#REF!</v>
      </c>
      <c r="CC29" t="e">
        <f>AND(Bills!#REF!,"AAAAAC1nzVA=")</f>
        <v>#REF!</v>
      </c>
      <c r="CD29" t="e">
        <f>AND(Bills!#REF!,"AAAAAC1nzVE=")</f>
        <v>#REF!</v>
      </c>
      <c r="CE29" t="e">
        <f>AND(Bills!#REF!,"AAAAAC1nzVI=")</f>
        <v>#REF!</v>
      </c>
      <c r="CF29" t="e">
        <f>AND(Bills!#REF!,"AAAAAC1nzVM=")</f>
        <v>#REF!</v>
      </c>
      <c r="CG29" t="e">
        <f>AND(Bills!#REF!,"AAAAAC1nzVQ=")</f>
        <v>#REF!</v>
      </c>
      <c r="CH29" t="e">
        <f>AND(Bills!#REF!,"AAAAAC1nzVU=")</f>
        <v>#REF!</v>
      </c>
      <c r="CI29" t="e">
        <f>AND(Bills!#REF!,"AAAAAC1nzVY=")</f>
        <v>#REF!</v>
      </c>
      <c r="CJ29" t="e">
        <f>AND(Bills!#REF!,"AAAAAC1nzVc=")</f>
        <v>#REF!</v>
      </c>
      <c r="CK29" t="e">
        <f>AND(Bills!#REF!,"AAAAAC1nzVg=")</f>
        <v>#REF!</v>
      </c>
      <c r="CL29" t="e">
        <f>AND(Bills!#REF!,"AAAAAC1nzVk=")</f>
        <v>#REF!</v>
      </c>
      <c r="CM29" t="e">
        <f>AND(Bills!#REF!,"AAAAAC1nzVo=")</f>
        <v>#REF!</v>
      </c>
      <c r="CN29" t="e">
        <f>AND(Bills!#REF!,"AAAAAC1nzVs=")</f>
        <v>#REF!</v>
      </c>
      <c r="CO29" t="e">
        <f>AND(Bills!#REF!,"AAAAAC1nzVw=")</f>
        <v>#REF!</v>
      </c>
      <c r="CP29" t="e">
        <f>AND(Bills!#REF!,"AAAAAC1nzV0=")</f>
        <v>#REF!</v>
      </c>
      <c r="CQ29" t="e">
        <f>AND(Bills!#REF!,"AAAAAC1nzV4=")</f>
        <v>#REF!</v>
      </c>
      <c r="CR29" t="e">
        <f>AND(Bills!#REF!,"AAAAAC1nzV8=")</f>
        <v>#REF!</v>
      </c>
      <c r="CS29" t="e">
        <f>AND(Bills!#REF!,"AAAAAC1nzWA=")</f>
        <v>#REF!</v>
      </c>
      <c r="CT29" t="e">
        <f>AND(Bills!#REF!,"AAAAAC1nzWE=")</f>
        <v>#REF!</v>
      </c>
      <c r="CU29" t="e">
        <f>AND(Bills!#REF!,"AAAAAC1nzWI=")</f>
        <v>#REF!</v>
      </c>
      <c r="CV29" t="e">
        <f>AND(Bills!#REF!,"AAAAAC1nzWM=")</f>
        <v>#REF!</v>
      </c>
      <c r="CW29" t="e">
        <f>AND(Bills!#REF!,"AAAAAC1nzWQ=")</f>
        <v>#REF!</v>
      </c>
      <c r="CX29" t="e">
        <f>AND(Bills!#REF!,"AAAAAC1nzWU=")</f>
        <v>#REF!</v>
      </c>
      <c r="CY29" t="e">
        <f>AND(Bills!#REF!,"AAAAAC1nzWY=")</f>
        <v>#REF!</v>
      </c>
      <c r="CZ29" t="e">
        <f>AND(Bills!#REF!,"AAAAAC1nzWc=")</f>
        <v>#REF!</v>
      </c>
      <c r="DA29" t="e">
        <f>AND(Bills!#REF!,"AAAAAC1nzWg=")</f>
        <v>#REF!</v>
      </c>
      <c r="DB29" t="e">
        <f>AND(Bills!#REF!,"AAAAAC1nzWk=")</f>
        <v>#REF!</v>
      </c>
      <c r="DC29" t="e">
        <f>AND(Bills!#REF!,"AAAAAC1nzWo=")</f>
        <v>#REF!</v>
      </c>
      <c r="DD29" t="e">
        <f>AND(Bills!#REF!,"AAAAAC1nzWs=")</f>
        <v>#REF!</v>
      </c>
      <c r="DE29" t="e">
        <f>AND(Bills!#REF!,"AAAAAC1nzWw=")</f>
        <v>#REF!</v>
      </c>
      <c r="DF29" t="e">
        <f>AND(Bills!#REF!,"AAAAAC1nzW0=")</f>
        <v>#REF!</v>
      </c>
      <c r="DG29" t="e">
        <f>AND(Bills!#REF!,"AAAAAC1nzW4=")</f>
        <v>#REF!</v>
      </c>
      <c r="DH29" t="e">
        <f>AND(Bills!#REF!,"AAAAAC1nzW8=")</f>
        <v>#REF!</v>
      </c>
      <c r="DI29" t="e">
        <f>AND(Bills!#REF!,"AAAAAC1nzXA=")</f>
        <v>#REF!</v>
      </c>
      <c r="DJ29" t="e">
        <f>IF(Bills!#REF!,"AAAAAC1nzXE=",0)</f>
        <v>#REF!</v>
      </c>
      <c r="DK29" t="e">
        <f>AND(Bills!#REF!,"AAAAAC1nzXI=")</f>
        <v>#REF!</v>
      </c>
      <c r="DL29" t="e">
        <f>AND(Bills!#REF!,"AAAAAC1nzXM=")</f>
        <v>#REF!</v>
      </c>
      <c r="DM29" t="e">
        <f>AND(Bills!#REF!,"AAAAAC1nzXQ=")</f>
        <v>#REF!</v>
      </c>
      <c r="DN29" t="e">
        <f>AND(Bills!#REF!,"AAAAAC1nzXU=")</f>
        <v>#REF!</v>
      </c>
      <c r="DO29" t="e">
        <f>AND(Bills!#REF!,"AAAAAC1nzXY=")</f>
        <v>#REF!</v>
      </c>
      <c r="DP29" t="e">
        <f>AND(Bills!#REF!,"AAAAAC1nzXc=")</f>
        <v>#REF!</v>
      </c>
      <c r="DQ29" t="e">
        <f>AND(Bills!#REF!,"AAAAAC1nzXg=")</f>
        <v>#REF!</v>
      </c>
      <c r="DR29" t="e">
        <f>AND(Bills!#REF!,"AAAAAC1nzXk=")</f>
        <v>#REF!</v>
      </c>
      <c r="DS29" t="e">
        <f>AND(Bills!#REF!,"AAAAAC1nzXo=")</f>
        <v>#REF!</v>
      </c>
      <c r="DT29" t="e">
        <f>AND(Bills!#REF!,"AAAAAC1nzXs=")</f>
        <v>#REF!</v>
      </c>
      <c r="DU29" t="e">
        <f>AND(Bills!#REF!,"AAAAAC1nzXw=")</f>
        <v>#REF!</v>
      </c>
      <c r="DV29" t="e">
        <f>AND(Bills!#REF!,"AAAAAC1nzX0=")</f>
        <v>#REF!</v>
      </c>
      <c r="DW29" t="e">
        <f>AND(Bills!#REF!,"AAAAAC1nzX4=")</f>
        <v>#REF!</v>
      </c>
      <c r="DX29" t="e">
        <f>AND(Bills!#REF!,"AAAAAC1nzX8=")</f>
        <v>#REF!</v>
      </c>
      <c r="DY29" t="e">
        <f>AND(Bills!#REF!,"AAAAAC1nzYA=")</f>
        <v>#REF!</v>
      </c>
      <c r="DZ29" t="e">
        <f>AND(Bills!#REF!,"AAAAAC1nzYE=")</f>
        <v>#REF!</v>
      </c>
      <c r="EA29" t="e">
        <f>AND(Bills!#REF!,"AAAAAC1nzYI=")</f>
        <v>#REF!</v>
      </c>
      <c r="EB29" t="e">
        <f>AND(Bills!#REF!,"AAAAAC1nzYM=")</f>
        <v>#REF!</v>
      </c>
      <c r="EC29" t="e">
        <f>AND(Bills!#REF!,"AAAAAC1nzYQ=")</f>
        <v>#REF!</v>
      </c>
      <c r="ED29" t="e">
        <f>AND(Bills!#REF!,"AAAAAC1nzYU=")</f>
        <v>#REF!</v>
      </c>
      <c r="EE29" t="e">
        <f>AND(Bills!#REF!,"AAAAAC1nzYY=")</f>
        <v>#REF!</v>
      </c>
      <c r="EF29" t="e">
        <f>AND(Bills!#REF!,"AAAAAC1nzYc=")</f>
        <v>#REF!</v>
      </c>
      <c r="EG29" t="e">
        <f>AND(Bills!#REF!,"AAAAAC1nzYg=")</f>
        <v>#REF!</v>
      </c>
      <c r="EH29" t="e">
        <f>AND(Bills!#REF!,"AAAAAC1nzYk=")</f>
        <v>#REF!</v>
      </c>
      <c r="EI29" t="e">
        <f>AND(Bills!#REF!,"AAAAAC1nzYo=")</f>
        <v>#REF!</v>
      </c>
      <c r="EJ29" t="e">
        <f>AND(Bills!#REF!,"AAAAAC1nzYs=")</f>
        <v>#REF!</v>
      </c>
      <c r="EK29" t="e">
        <f>AND(Bills!#REF!,"AAAAAC1nzYw=")</f>
        <v>#REF!</v>
      </c>
      <c r="EL29" t="e">
        <f>AND(Bills!#REF!,"AAAAAC1nzY0=")</f>
        <v>#REF!</v>
      </c>
      <c r="EM29" t="e">
        <f>AND(Bills!#REF!,"AAAAAC1nzY4=")</f>
        <v>#REF!</v>
      </c>
      <c r="EN29" t="e">
        <f>AND(Bills!#REF!,"AAAAAC1nzY8=")</f>
        <v>#REF!</v>
      </c>
      <c r="EO29" t="e">
        <f>AND(Bills!#REF!,"AAAAAC1nzZA=")</f>
        <v>#REF!</v>
      </c>
      <c r="EP29" t="e">
        <f>AND(Bills!#REF!,"AAAAAC1nzZE=")</f>
        <v>#REF!</v>
      </c>
      <c r="EQ29" t="e">
        <f>AND(Bills!#REF!,"AAAAAC1nzZI=")</f>
        <v>#REF!</v>
      </c>
      <c r="ER29" t="e">
        <f>AND(Bills!#REF!,"AAAAAC1nzZM=")</f>
        <v>#REF!</v>
      </c>
      <c r="ES29" t="e">
        <f>AND(Bills!#REF!,"AAAAAC1nzZQ=")</f>
        <v>#REF!</v>
      </c>
      <c r="ET29" t="e">
        <f>AND(Bills!#REF!,"AAAAAC1nzZU=")</f>
        <v>#REF!</v>
      </c>
      <c r="EU29" t="e">
        <f>AND(Bills!#REF!,"AAAAAC1nzZY=")</f>
        <v>#REF!</v>
      </c>
      <c r="EV29" t="e">
        <f>AND(Bills!#REF!,"AAAAAC1nzZc=")</f>
        <v>#REF!</v>
      </c>
      <c r="EW29" t="e">
        <f>AND(Bills!#REF!,"AAAAAC1nzZg=")</f>
        <v>#REF!</v>
      </c>
      <c r="EX29" t="e">
        <f>AND(Bills!#REF!,"AAAAAC1nzZk=")</f>
        <v>#REF!</v>
      </c>
      <c r="EY29" t="e">
        <f>AND(Bills!#REF!,"AAAAAC1nzZo=")</f>
        <v>#REF!</v>
      </c>
      <c r="EZ29" t="e">
        <f>AND(Bills!#REF!,"AAAAAC1nzZs=")</f>
        <v>#REF!</v>
      </c>
      <c r="FA29" t="e">
        <f>AND(Bills!#REF!,"AAAAAC1nzZw=")</f>
        <v>#REF!</v>
      </c>
      <c r="FB29" t="e">
        <f>AND(Bills!#REF!,"AAAAAC1nzZ0=")</f>
        <v>#REF!</v>
      </c>
      <c r="FC29" t="e">
        <f>AND(Bills!#REF!,"AAAAAC1nzZ4=")</f>
        <v>#REF!</v>
      </c>
      <c r="FD29" t="e">
        <f>AND(Bills!#REF!,"AAAAAC1nzZ8=")</f>
        <v>#REF!</v>
      </c>
      <c r="FE29" t="e">
        <f>AND(Bills!#REF!,"AAAAAC1nzaA=")</f>
        <v>#REF!</v>
      </c>
      <c r="FF29" t="e">
        <f>AND(Bills!#REF!,"AAAAAC1nzaE=")</f>
        <v>#REF!</v>
      </c>
      <c r="FG29" t="e">
        <f>AND(Bills!#REF!,"AAAAAC1nzaI=")</f>
        <v>#REF!</v>
      </c>
      <c r="FH29" t="e">
        <f>AND(Bills!#REF!,"AAAAAC1nzaM=")</f>
        <v>#REF!</v>
      </c>
      <c r="FI29" t="e">
        <f>IF(Bills!#REF!,"AAAAAC1nzaQ=",0)</f>
        <v>#REF!</v>
      </c>
      <c r="FJ29" t="e">
        <f>AND(Bills!#REF!,"AAAAAC1nzaU=")</f>
        <v>#REF!</v>
      </c>
      <c r="FK29" t="e">
        <f>AND(Bills!#REF!,"AAAAAC1nzaY=")</f>
        <v>#REF!</v>
      </c>
      <c r="FL29" t="e">
        <f>AND(Bills!#REF!,"AAAAAC1nzac=")</f>
        <v>#REF!</v>
      </c>
      <c r="FM29" t="e">
        <f>AND(Bills!#REF!,"AAAAAC1nzag=")</f>
        <v>#REF!</v>
      </c>
      <c r="FN29" t="e">
        <f>AND(Bills!#REF!,"AAAAAC1nzak=")</f>
        <v>#REF!</v>
      </c>
      <c r="FO29" t="e">
        <f>AND(Bills!#REF!,"AAAAAC1nzao=")</f>
        <v>#REF!</v>
      </c>
      <c r="FP29" t="e">
        <f>AND(Bills!#REF!,"AAAAAC1nzas=")</f>
        <v>#REF!</v>
      </c>
      <c r="FQ29" t="e">
        <f>AND(Bills!#REF!,"AAAAAC1nzaw=")</f>
        <v>#REF!</v>
      </c>
      <c r="FR29" t="e">
        <f>AND(Bills!#REF!,"AAAAAC1nza0=")</f>
        <v>#REF!</v>
      </c>
      <c r="FS29" t="e">
        <f>AND(Bills!#REF!,"AAAAAC1nza4=")</f>
        <v>#REF!</v>
      </c>
      <c r="FT29" t="e">
        <f>AND(Bills!#REF!,"AAAAAC1nza8=")</f>
        <v>#REF!</v>
      </c>
      <c r="FU29" t="e">
        <f>AND(Bills!#REF!,"AAAAAC1nzbA=")</f>
        <v>#REF!</v>
      </c>
      <c r="FV29" t="e">
        <f>AND(Bills!#REF!,"AAAAAC1nzbE=")</f>
        <v>#REF!</v>
      </c>
      <c r="FW29" t="e">
        <f>AND(Bills!#REF!,"AAAAAC1nzbI=")</f>
        <v>#REF!</v>
      </c>
      <c r="FX29" t="e">
        <f>AND(Bills!#REF!,"AAAAAC1nzbM=")</f>
        <v>#REF!</v>
      </c>
      <c r="FY29" t="e">
        <f>AND(Bills!#REF!,"AAAAAC1nzbQ=")</f>
        <v>#REF!</v>
      </c>
      <c r="FZ29" t="e">
        <f>AND(Bills!#REF!,"AAAAAC1nzbU=")</f>
        <v>#REF!</v>
      </c>
      <c r="GA29" t="e">
        <f>AND(Bills!#REF!,"AAAAAC1nzbY=")</f>
        <v>#REF!</v>
      </c>
      <c r="GB29" t="e">
        <f>AND(Bills!#REF!,"AAAAAC1nzbc=")</f>
        <v>#REF!</v>
      </c>
      <c r="GC29" t="e">
        <f>AND(Bills!#REF!,"AAAAAC1nzbg=")</f>
        <v>#REF!</v>
      </c>
      <c r="GD29" t="e">
        <f>AND(Bills!#REF!,"AAAAAC1nzbk=")</f>
        <v>#REF!</v>
      </c>
      <c r="GE29" t="e">
        <f>AND(Bills!#REF!,"AAAAAC1nzbo=")</f>
        <v>#REF!</v>
      </c>
      <c r="GF29" t="e">
        <f>AND(Bills!#REF!,"AAAAAC1nzbs=")</f>
        <v>#REF!</v>
      </c>
      <c r="GG29" t="e">
        <f>AND(Bills!#REF!,"AAAAAC1nzbw=")</f>
        <v>#REF!</v>
      </c>
      <c r="GH29" t="e">
        <f>AND(Bills!#REF!,"AAAAAC1nzb0=")</f>
        <v>#REF!</v>
      </c>
      <c r="GI29" t="e">
        <f>AND(Bills!#REF!,"AAAAAC1nzb4=")</f>
        <v>#REF!</v>
      </c>
      <c r="GJ29" t="e">
        <f>AND(Bills!#REF!,"AAAAAC1nzb8=")</f>
        <v>#REF!</v>
      </c>
      <c r="GK29" t="e">
        <f>AND(Bills!#REF!,"AAAAAC1nzcA=")</f>
        <v>#REF!</v>
      </c>
      <c r="GL29" t="e">
        <f>AND(Bills!#REF!,"AAAAAC1nzcE=")</f>
        <v>#REF!</v>
      </c>
      <c r="GM29" t="e">
        <f>AND(Bills!#REF!,"AAAAAC1nzcI=")</f>
        <v>#REF!</v>
      </c>
      <c r="GN29" t="e">
        <f>AND(Bills!#REF!,"AAAAAC1nzcM=")</f>
        <v>#REF!</v>
      </c>
      <c r="GO29" t="e">
        <f>AND(Bills!#REF!,"AAAAAC1nzcQ=")</f>
        <v>#REF!</v>
      </c>
      <c r="GP29" t="e">
        <f>AND(Bills!#REF!,"AAAAAC1nzcU=")</f>
        <v>#REF!</v>
      </c>
      <c r="GQ29" t="e">
        <f>AND(Bills!#REF!,"AAAAAC1nzcY=")</f>
        <v>#REF!</v>
      </c>
      <c r="GR29" t="e">
        <f>AND(Bills!#REF!,"AAAAAC1nzcc=")</f>
        <v>#REF!</v>
      </c>
      <c r="GS29" t="e">
        <f>AND(Bills!#REF!,"AAAAAC1nzcg=")</f>
        <v>#REF!</v>
      </c>
      <c r="GT29" t="e">
        <f>AND(Bills!#REF!,"AAAAAC1nzck=")</f>
        <v>#REF!</v>
      </c>
      <c r="GU29" t="e">
        <f>AND(Bills!#REF!,"AAAAAC1nzco=")</f>
        <v>#REF!</v>
      </c>
      <c r="GV29" t="e">
        <f>AND(Bills!#REF!,"AAAAAC1nzcs=")</f>
        <v>#REF!</v>
      </c>
      <c r="GW29" t="e">
        <f>AND(Bills!#REF!,"AAAAAC1nzcw=")</f>
        <v>#REF!</v>
      </c>
      <c r="GX29" t="e">
        <f>AND(Bills!#REF!,"AAAAAC1nzc0=")</f>
        <v>#REF!</v>
      </c>
      <c r="GY29" t="e">
        <f>AND(Bills!#REF!,"AAAAAC1nzc4=")</f>
        <v>#REF!</v>
      </c>
      <c r="GZ29" t="e">
        <f>AND(Bills!#REF!,"AAAAAC1nzc8=")</f>
        <v>#REF!</v>
      </c>
      <c r="HA29" t="e">
        <f>AND(Bills!#REF!,"AAAAAC1nzdA=")</f>
        <v>#REF!</v>
      </c>
      <c r="HB29" t="e">
        <f>AND(Bills!#REF!,"AAAAAC1nzdE=")</f>
        <v>#REF!</v>
      </c>
      <c r="HC29" t="e">
        <f>AND(Bills!#REF!,"AAAAAC1nzdI=")</f>
        <v>#REF!</v>
      </c>
      <c r="HD29" t="e">
        <f>AND(Bills!#REF!,"AAAAAC1nzdM=")</f>
        <v>#REF!</v>
      </c>
      <c r="HE29" t="e">
        <f>AND(Bills!#REF!,"AAAAAC1nzdQ=")</f>
        <v>#REF!</v>
      </c>
      <c r="HF29" t="e">
        <f>AND(Bills!#REF!,"AAAAAC1nzdU=")</f>
        <v>#REF!</v>
      </c>
      <c r="HG29" t="e">
        <f>AND(Bills!#REF!,"AAAAAC1nzdY=")</f>
        <v>#REF!</v>
      </c>
      <c r="HH29">
        <f>IF(Bills!18:18,"AAAAAC1nzdc=",0)</f>
        <v>0</v>
      </c>
      <c r="HI29" t="e">
        <f>AND(Bills!B18,"AAAAAC1nzdg=")</f>
        <v>#VALUE!</v>
      </c>
      <c r="HJ29" t="e">
        <f>AND(Bills!#REF!,"AAAAAC1nzdk=")</f>
        <v>#REF!</v>
      </c>
      <c r="HK29" t="e">
        <f>AND(Bills!C18,"AAAAAC1nzdo=")</f>
        <v>#VALUE!</v>
      </c>
      <c r="HL29" t="e">
        <f>AND(Bills!D18,"AAAAAC1nzds=")</f>
        <v>#VALUE!</v>
      </c>
      <c r="HM29" t="e">
        <f>AND(Bills!E18,"AAAAAC1nzdw=")</f>
        <v>#VALUE!</v>
      </c>
      <c r="HN29" t="e">
        <f>AND(Bills!#REF!,"AAAAAC1nzd0=")</f>
        <v>#REF!</v>
      </c>
      <c r="HO29" t="e">
        <f>AND(Bills!#REF!,"AAAAAC1nzd4=")</f>
        <v>#REF!</v>
      </c>
      <c r="HP29" t="e">
        <f>AND(Bills!#REF!,"AAAAAC1nzd8=")</f>
        <v>#REF!</v>
      </c>
      <c r="HQ29" t="e">
        <f>AND(Bills!F18,"AAAAAC1nzeA=")</f>
        <v>#VALUE!</v>
      </c>
      <c r="HR29" t="e">
        <f>AND(Bills!#REF!,"AAAAAC1nzeE=")</f>
        <v>#REF!</v>
      </c>
      <c r="HS29" t="e">
        <f>AND(Bills!G18,"AAAAAC1nzeI=")</f>
        <v>#VALUE!</v>
      </c>
      <c r="HT29" t="e">
        <f>AND(Bills!H18,"AAAAAC1nzeM=")</f>
        <v>#VALUE!</v>
      </c>
      <c r="HU29" t="e">
        <f>AND(Bills!I18,"AAAAAC1nzeQ=")</f>
        <v>#VALUE!</v>
      </c>
      <c r="HV29" t="e">
        <f>AND(Bills!J18,"AAAAAC1nzeU=")</f>
        <v>#VALUE!</v>
      </c>
      <c r="HW29" t="e">
        <f>AND(Bills!K18,"AAAAAC1nzeY=")</f>
        <v>#VALUE!</v>
      </c>
      <c r="HX29" t="e">
        <f>AND(Bills!L18,"AAAAAC1nzec=")</f>
        <v>#VALUE!</v>
      </c>
      <c r="HY29" t="e">
        <f>AND(Bills!#REF!,"AAAAAC1nzeg=")</f>
        <v>#REF!</v>
      </c>
      <c r="HZ29" t="e">
        <f>AND(Bills!M18,"AAAAAC1nzek=")</f>
        <v>#VALUE!</v>
      </c>
      <c r="IA29" t="e">
        <f>AND(Bills!N18,"AAAAAC1nzeo=")</f>
        <v>#VALUE!</v>
      </c>
      <c r="IB29" t="e">
        <f>AND(Bills!O18,"AAAAAC1nzes=")</f>
        <v>#VALUE!</v>
      </c>
      <c r="IC29" t="e">
        <f>AND(Bills!P18,"AAAAAC1nzew=")</f>
        <v>#VALUE!</v>
      </c>
      <c r="ID29" t="e">
        <f>AND(Bills!Q18,"AAAAAC1nze0=")</f>
        <v>#VALUE!</v>
      </c>
      <c r="IE29" t="e">
        <f>AND(Bills!R18,"AAAAAC1nze4=")</f>
        <v>#VALUE!</v>
      </c>
      <c r="IF29" t="e">
        <f>AND(Bills!S18,"AAAAAC1nze8=")</f>
        <v>#VALUE!</v>
      </c>
      <c r="IG29" t="e">
        <f>AND(Bills!T18,"AAAAAC1nzfA=")</f>
        <v>#VALUE!</v>
      </c>
      <c r="IH29" t="e">
        <f>AND(Bills!#REF!,"AAAAAC1nzfE=")</f>
        <v>#REF!</v>
      </c>
      <c r="II29" t="e">
        <f>AND(Bills!U18,"AAAAAC1nzfI=")</f>
        <v>#VALUE!</v>
      </c>
      <c r="IJ29" t="e">
        <f>AND(Bills!V18,"AAAAAC1nzfM=")</f>
        <v>#VALUE!</v>
      </c>
      <c r="IK29" t="e">
        <f>AND(Bills!W18,"AAAAAC1nzfQ=")</f>
        <v>#VALUE!</v>
      </c>
      <c r="IL29" t="e">
        <f>AND(Bills!#REF!,"AAAAAC1nzfU=")</f>
        <v>#REF!</v>
      </c>
      <c r="IM29" t="e">
        <f>AND(Bills!#REF!,"AAAAAC1nzfY=")</f>
        <v>#REF!</v>
      </c>
      <c r="IN29" t="e">
        <f>AND(Bills!Y18,"AAAAAC1nzfc=")</f>
        <v>#VALUE!</v>
      </c>
      <c r="IO29" t="e">
        <f>AND(Bills!Z18,"AAAAAC1nzfg=")</f>
        <v>#VALUE!</v>
      </c>
      <c r="IP29" t="e">
        <f>AND(Bills!#REF!,"AAAAAC1nzfk=")</f>
        <v>#REF!</v>
      </c>
      <c r="IQ29" t="e">
        <f>AND(Bills!#REF!,"AAAAAC1nzfo=")</f>
        <v>#REF!</v>
      </c>
      <c r="IR29" t="e">
        <f>AND(Bills!#REF!,"AAAAAC1nzfs=")</f>
        <v>#REF!</v>
      </c>
      <c r="IS29" t="e">
        <f>AND(Bills!#REF!,"AAAAAC1nzfw=")</f>
        <v>#REF!</v>
      </c>
      <c r="IT29" t="e">
        <f>AND(Bills!#REF!,"AAAAAC1nzf0=")</f>
        <v>#REF!</v>
      </c>
      <c r="IU29" t="e">
        <f>AND(Bills!#REF!,"AAAAAC1nzf4=")</f>
        <v>#REF!</v>
      </c>
      <c r="IV29" t="e">
        <f>AND(Bills!#REF!,"AAAAAC1nzf8=")</f>
        <v>#REF!</v>
      </c>
    </row>
    <row r="30" spans="1:256" x14ac:dyDescent="0.25">
      <c r="A30" t="e">
        <f>AND(Bills!#REF!,"AAAAAFeNngA=")</f>
        <v>#REF!</v>
      </c>
      <c r="B30" t="e">
        <f>AND(Bills!#REF!,"AAAAAFeNngE=")</f>
        <v>#REF!</v>
      </c>
      <c r="C30" t="e">
        <f>AND(Bills!AA18,"AAAAAFeNngI=")</f>
        <v>#VALUE!</v>
      </c>
      <c r="D30" t="e">
        <f>AND(Bills!AB18,"AAAAAFeNngM=")</f>
        <v>#VALUE!</v>
      </c>
      <c r="E30" t="e">
        <f>AND(Bills!#REF!,"AAAAAFeNngQ=")</f>
        <v>#REF!</v>
      </c>
      <c r="F30" t="e">
        <f>AND(Bills!#REF!,"AAAAAFeNngU=")</f>
        <v>#REF!</v>
      </c>
      <c r="G30" t="e">
        <f>AND(Bills!#REF!,"AAAAAFeNngY=")</f>
        <v>#REF!</v>
      </c>
      <c r="H30" t="e">
        <f>AND(Bills!AC18,"AAAAAFeNngc=")</f>
        <v>#VALUE!</v>
      </c>
      <c r="I30" t="e">
        <f>AND(Bills!AD18,"AAAAAFeNngg=")</f>
        <v>#VALUE!</v>
      </c>
      <c r="J30" t="e">
        <f>AND(Bills!AE18,"AAAAAFeNngk=")</f>
        <v>#VALUE!</v>
      </c>
      <c r="K30" t="e">
        <f>IF(Bills!#REF!,"AAAAAFeNngo=",0)</f>
        <v>#REF!</v>
      </c>
      <c r="L30" t="e">
        <f>AND(Bills!#REF!,"AAAAAFeNngs=")</f>
        <v>#REF!</v>
      </c>
      <c r="M30" t="e">
        <f>AND(Bills!#REF!,"AAAAAFeNngw=")</f>
        <v>#REF!</v>
      </c>
      <c r="N30" t="e">
        <f>AND(Bills!#REF!,"AAAAAFeNng0=")</f>
        <v>#REF!</v>
      </c>
      <c r="O30" t="e">
        <f>AND(Bills!#REF!,"AAAAAFeNng4=")</f>
        <v>#REF!</v>
      </c>
      <c r="P30" t="e">
        <f>AND(Bills!#REF!,"AAAAAFeNng8=")</f>
        <v>#REF!</v>
      </c>
      <c r="Q30" t="e">
        <f>AND(Bills!#REF!,"AAAAAFeNnhA=")</f>
        <v>#REF!</v>
      </c>
      <c r="R30" t="e">
        <f>AND(Bills!#REF!,"AAAAAFeNnhE=")</f>
        <v>#REF!</v>
      </c>
      <c r="S30" t="e">
        <f>AND(Bills!#REF!,"AAAAAFeNnhI=")</f>
        <v>#REF!</v>
      </c>
      <c r="T30" t="e">
        <f>AND(Bills!#REF!,"AAAAAFeNnhM=")</f>
        <v>#REF!</v>
      </c>
      <c r="U30" t="e">
        <f>AND(Bills!#REF!,"AAAAAFeNnhQ=")</f>
        <v>#REF!</v>
      </c>
      <c r="V30" t="e">
        <f>AND(Bills!#REF!,"AAAAAFeNnhU=")</f>
        <v>#REF!</v>
      </c>
      <c r="W30" t="e">
        <f>AND(Bills!#REF!,"AAAAAFeNnhY=")</f>
        <v>#REF!</v>
      </c>
      <c r="X30" t="e">
        <f>AND(Bills!#REF!,"AAAAAFeNnhc=")</f>
        <v>#REF!</v>
      </c>
      <c r="Y30" t="e">
        <f>AND(Bills!#REF!,"AAAAAFeNnhg=")</f>
        <v>#REF!</v>
      </c>
      <c r="Z30" t="e">
        <f>AND(Bills!#REF!,"AAAAAFeNnhk=")</f>
        <v>#REF!</v>
      </c>
      <c r="AA30" t="e">
        <f>AND(Bills!#REF!,"AAAAAFeNnho=")</f>
        <v>#REF!</v>
      </c>
      <c r="AB30" t="e">
        <f>AND(Bills!#REF!,"AAAAAFeNnhs=")</f>
        <v>#REF!</v>
      </c>
      <c r="AC30" t="e">
        <f>AND(Bills!#REF!,"AAAAAFeNnhw=")</f>
        <v>#REF!</v>
      </c>
      <c r="AD30" t="e">
        <f>AND(Bills!#REF!,"AAAAAFeNnh0=")</f>
        <v>#REF!</v>
      </c>
      <c r="AE30" t="e">
        <f>AND(Bills!#REF!,"AAAAAFeNnh4=")</f>
        <v>#REF!</v>
      </c>
      <c r="AF30" t="e">
        <f>AND(Bills!#REF!,"AAAAAFeNnh8=")</f>
        <v>#REF!</v>
      </c>
      <c r="AG30" t="e">
        <f>AND(Bills!#REF!,"AAAAAFeNniA=")</f>
        <v>#REF!</v>
      </c>
      <c r="AH30" t="e">
        <f>AND(Bills!#REF!,"AAAAAFeNniE=")</f>
        <v>#REF!</v>
      </c>
      <c r="AI30" t="e">
        <f>AND(Bills!#REF!,"AAAAAFeNniI=")</f>
        <v>#REF!</v>
      </c>
      <c r="AJ30" t="e">
        <f>AND(Bills!#REF!,"AAAAAFeNniM=")</f>
        <v>#REF!</v>
      </c>
      <c r="AK30" t="e">
        <f>AND(Bills!#REF!,"AAAAAFeNniQ=")</f>
        <v>#REF!</v>
      </c>
      <c r="AL30" t="e">
        <f>AND(Bills!#REF!,"AAAAAFeNniU=")</f>
        <v>#REF!</v>
      </c>
      <c r="AM30" t="e">
        <f>AND(Bills!#REF!,"AAAAAFeNniY=")</f>
        <v>#REF!</v>
      </c>
      <c r="AN30" t="e">
        <f>AND(Bills!#REF!,"AAAAAFeNnic=")</f>
        <v>#REF!</v>
      </c>
      <c r="AO30" t="e">
        <f>AND(Bills!#REF!,"AAAAAFeNnig=")</f>
        <v>#REF!</v>
      </c>
      <c r="AP30" t="e">
        <f>AND(Bills!#REF!,"AAAAAFeNnik=")</f>
        <v>#REF!</v>
      </c>
      <c r="AQ30" t="e">
        <f>AND(Bills!#REF!,"AAAAAFeNnio=")</f>
        <v>#REF!</v>
      </c>
      <c r="AR30" t="e">
        <f>AND(Bills!#REF!,"AAAAAFeNnis=")</f>
        <v>#REF!</v>
      </c>
      <c r="AS30" t="e">
        <f>AND(Bills!#REF!,"AAAAAFeNniw=")</f>
        <v>#REF!</v>
      </c>
      <c r="AT30" t="e">
        <f>AND(Bills!#REF!,"AAAAAFeNni0=")</f>
        <v>#REF!</v>
      </c>
      <c r="AU30" t="e">
        <f>AND(Bills!#REF!,"AAAAAFeNni4=")</f>
        <v>#REF!</v>
      </c>
      <c r="AV30" t="e">
        <f>AND(Bills!#REF!,"AAAAAFeNni8=")</f>
        <v>#REF!</v>
      </c>
      <c r="AW30" t="e">
        <f>AND(Bills!#REF!,"AAAAAFeNnjA=")</f>
        <v>#REF!</v>
      </c>
      <c r="AX30" t="e">
        <f>AND(Bills!#REF!,"AAAAAFeNnjE=")</f>
        <v>#REF!</v>
      </c>
      <c r="AY30" t="e">
        <f>AND(Bills!#REF!,"AAAAAFeNnjI=")</f>
        <v>#REF!</v>
      </c>
      <c r="AZ30" t="e">
        <f>AND(Bills!#REF!,"AAAAAFeNnjM=")</f>
        <v>#REF!</v>
      </c>
      <c r="BA30" t="e">
        <f>AND(Bills!#REF!,"AAAAAFeNnjQ=")</f>
        <v>#REF!</v>
      </c>
      <c r="BB30" t="e">
        <f>AND(Bills!#REF!,"AAAAAFeNnjU=")</f>
        <v>#REF!</v>
      </c>
      <c r="BC30" t="e">
        <f>AND(Bills!#REF!,"AAAAAFeNnjY=")</f>
        <v>#REF!</v>
      </c>
      <c r="BD30" t="e">
        <f>AND(Bills!#REF!,"AAAAAFeNnjc=")</f>
        <v>#REF!</v>
      </c>
      <c r="BE30" t="e">
        <f>AND(Bills!#REF!,"AAAAAFeNnjg=")</f>
        <v>#REF!</v>
      </c>
      <c r="BF30" t="e">
        <f>AND(Bills!#REF!,"AAAAAFeNnjk=")</f>
        <v>#REF!</v>
      </c>
      <c r="BG30" t="e">
        <f>AND(Bills!#REF!,"AAAAAFeNnjo=")</f>
        <v>#REF!</v>
      </c>
      <c r="BH30" t="e">
        <f>AND(Bills!#REF!,"AAAAAFeNnjs=")</f>
        <v>#REF!</v>
      </c>
      <c r="BI30" t="e">
        <f>AND(Bills!#REF!,"AAAAAFeNnjw=")</f>
        <v>#REF!</v>
      </c>
      <c r="BJ30" t="e">
        <f>IF(Bills!#REF!,"AAAAAFeNnj0=",0)</f>
        <v>#REF!</v>
      </c>
      <c r="BK30" t="e">
        <f>AND(Bills!#REF!,"AAAAAFeNnj4=")</f>
        <v>#REF!</v>
      </c>
      <c r="BL30" t="e">
        <f>AND(Bills!#REF!,"AAAAAFeNnj8=")</f>
        <v>#REF!</v>
      </c>
      <c r="BM30" t="e">
        <f>AND(Bills!#REF!,"AAAAAFeNnkA=")</f>
        <v>#REF!</v>
      </c>
      <c r="BN30" t="e">
        <f>AND(Bills!#REF!,"AAAAAFeNnkE=")</f>
        <v>#REF!</v>
      </c>
      <c r="BO30" t="e">
        <f>AND(Bills!#REF!,"AAAAAFeNnkI=")</f>
        <v>#REF!</v>
      </c>
      <c r="BP30" t="e">
        <f>AND(Bills!#REF!,"AAAAAFeNnkM=")</f>
        <v>#REF!</v>
      </c>
      <c r="BQ30" t="e">
        <f>AND(Bills!#REF!,"AAAAAFeNnkQ=")</f>
        <v>#REF!</v>
      </c>
      <c r="BR30" t="e">
        <f>AND(Bills!#REF!,"AAAAAFeNnkU=")</f>
        <v>#REF!</v>
      </c>
      <c r="BS30" t="e">
        <f>AND(Bills!#REF!,"AAAAAFeNnkY=")</f>
        <v>#REF!</v>
      </c>
      <c r="BT30" t="e">
        <f>AND(Bills!#REF!,"AAAAAFeNnkc=")</f>
        <v>#REF!</v>
      </c>
      <c r="BU30" t="e">
        <f>AND(Bills!#REF!,"AAAAAFeNnkg=")</f>
        <v>#REF!</v>
      </c>
      <c r="BV30" t="e">
        <f>AND(Bills!#REF!,"AAAAAFeNnkk=")</f>
        <v>#REF!</v>
      </c>
      <c r="BW30" t="e">
        <f>AND(Bills!#REF!,"AAAAAFeNnko=")</f>
        <v>#REF!</v>
      </c>
      <c r="BX30" t="e">
        <f>AND(Bills!#REF!,"AAAAAFeNnks=")</f>
        <v>#REF!</v>
      </c>
      <c r="BY30" t="e">
        <f>AND(Bills!#REF!,"AAAAAFeNnkw=")</f>
        <v>#REF!</v>
      </c>
      <c r="BZ30" t="e">
        <f>AND(Bills!#REF!,"AAAAAFeNnk0=")</f>
        <v>#REF!</v>
      </c>
      <c r="CA30" t="e">
        <f>AND(Bills!#REF!,"AAAAAFeNnk4=")</f>
        <v>#REF!</v>
      </c>
      <c r="CB30" t="e">
        <f>AND(Bills!#REF!,"AAAAAFeNnk8=")</f>
        <v>#REF!</v>
      </c>
      <c r="CC30" t="e">
        <f>AND(Bills!#REF!,"AAAAAFeNnlA=")</f>
        <v>#REF!</v>
      </c>
      <c r="CD30" t="e">
        <f>AND(Bills!#REF!,"AAAAAFeNnlE=")</f>
        <v>#REF!</v>
      </c>
      <c r="CE30" t="e">
        <f>AND(Bills!#REF!,"AAAAAFeNnlI=")</f>
        <v>#REF!</v>
      </c>
      <c r="CF30" t="e">
        <f>AND(Bills!#REF!,"AAAAAFeNnlM=")</f>
        <v>#REF!</v>
      </c>
      <c r="CG30" t="e">
        <f>AND(Bills!#REF!,"AAAAAFeNnlQ=")</f>
        <v>#REF!</v>
      </c>
      <c r="CH30" t="e">
        <f>AND(Bills!#REF!,"AAAAAFeNnlU=")</f>
        <v>#REF!</v>
      </c>
      <c r="CI30" t="e">
        <f>AND(Bills!#REF!,"AAAAAFeNnlY=")</f>
        <v>#REF!</v>
      </c>
      <c r="CJ30" t="e">
        <f>AND(Bills!#REF!,"AAAAAFeNnlc=")</f>
        <v>#REF!</v>
      </c>
      <c r="CK30" t="e">
        <f>AND(Bills!#REF!,"AAAAAFeNnlg=")</f>
        <v>#REF!</v>
      </c>
      <c r="CL30" t="e">
        <f>AND(Bills!#REF!,"AAAAAFeNnlk=")</f>
        <v>#REF!</v>
      </c>
      <c r="CM30" t="e">
        <f>AND(Bills!#REF!,"AAAAAFeNnlo=")</f>
        <v>#REF!</v>
      </c>
      <c r="CN30" t="e">
        <f>AND(Bills!#REF!,"AAAAAFeNnls=")</f>
        <v>#REF!</v>
      </c>
      <c r="CO30" t="e">
        <f>AND(Bills!#REF!,"AAAAAFeNnlw=")</f>
        <v>#REF!</v>
      </c>
      <c r="CP30" t="e">
        <f>AND(Bills!#REF!,"AAAAAFeNnl0=")</f>
        <v>#REF!</v>
      </c>
      <c r="CQ30" t="e">
        <f>AND(Bills!#REF!,"AAAAAFeNnl4=")</f>
        <v>#REF!</v>
      </c>
      <c r="CR30" t="e">
        <f>AND(Bills!#REF!,"AAAAAFeNnl8=")</f>
        <v>#REF!</v>
      </c>
      <c r="CS30" t="e">
        <f>AND(Bills!#REF!,"AAAAAFeNnmA=")</f>
        <v>#REF!</v>
      </c>
      <c r="CT30" t="e">
        <f>AND(Bills!#REF!,"AAAAAFeNnmE=")</f>
        <v>#REF!</v>
      </c>
      <c r="CU30" t="e">
        <f>AND(Bills!#REF!,"AAAAAFeNnmI=")</f>
        <v>#REF!</v>
      </c>
      <c r="CV30" t="e">
        <f>AND(Bills!#REF!,"AAAAAFeNnmM=")</f>
        <v>#REF!</v>
      </c>
      <c r="CW30" t="e">
        <f>AND(Bills!#REF!,"AAAAAFeNnmQ=")</f>
        <v>#REF!</v>
      </c>
      <c r="CX30" t="e">
        <f>AND(Bills!#REF!,"AAAAAFeNnmU=")</f>
        <v>#REF!</v>
      </c>
      <c r="CY30" t="e">
        <f>AND(Bills!#REF!,"AAAAAFeNnmY=")</f>
        <v>#REF!</v>
      </c>
      <c r="CZ30" t="e">
        <f>AND(Bills!#REF!,"AAAAAFeNnmc=")</f>
        <v>#REF!</v>
      </c>
      <c r="DA30" t="e">
        <f>AND(Bills!#REF!,"AAAAAFeNnmg=")</f>
        <v>#REF!</v>
      </c>
      <c r="DB30" t="e">
        <f>AND(Bills!#REF!,"AAAAAFeNnmk=")</f>
        <v>#REF!</v>
      </c>
      <c r="DC30" t="e">
        <f>AND(Bills!#REF!,"AAAAAFeNnmo=")</f>
        <v>#REF!</v>
      </c>
      <c r="DD30" t="e">
        <f>AND(Bills!#REF!,"AAAAAFeNnms=")</f>
        <v>#REF!</v>
      </c>
      <c r="DE30" t="e">
        <f>AND(Bills!#REF!,"AAAAAFeNnmw=")</f>
        <v>#REF!</v>
      </c>
      <c r="DF30" t="e">
        <f>AND(Bills!#REF!,"AAAAAFeNnm0=")</f>
        <v>#REF!</v>
      </c>
      <c r="DG30" t="e">
        <f>AND(Bills!#REF!,"AAAAAFeNnm4=")</f>
        <v>#REF!</v>
      </c>
      <c r="DH30" t="e">
        <f>AND(Bills!#REF!,"AAAAAFeNnm8=")</f>
        <v>#REF!</v>
      </c>
      <c r="DI30" t="e">
        <f>IF(Bills!#REF!,"AAAAAFeNnnA=",0)</f>
        <v>#REF!</v>
      </c>
      <c r="DJ30" t="e">
        <f>AND(Bills!#REF!,"AAAAAFeNnnE=")</f>
        <v>#REF!</v>
      </c>
      <c r="DK30" t="e">
        <f>AND(Bills!#REF!,"AAAAAFeNnnI=")</f>
        <v>#REF!</v>
      </c>
      <c r="DL30" t="e">
        <f>AND(Bills!#REF!,"AAAAAFeNnnM=")</f>
        <v>#REF!</v>
      </c>
      <c r="DM30" t="e">
        <f>AND(Bills!#REF!,"AAAAAFeNnnQ=")</f>
        <v>#REF!</v>
      </c>
      <c r="DN30" t="e">
        <f>AND(Bills!#REF!,"AAAAAFeNnnU=")</f>
        <v>#REF!</v>
      </c>
      <c r="DO30" t="e">
        <f>AND(Bills!#REF!,"AAAAAFeNnnY=")</f>
        <v>#REF!</v>
      </c>
      <c r="DP30" t="e">
        <f>AND(Bills!#REF!,"AAAAAFeNnnc=")</f>
        <v>#REF!</v>
      </c>
      <c r="DQ30" t="e">
        <f>AND(Bills!#REF!,"AAAAAFeNnng=")</f>
        <v>#REF!</v>
      </c>
      <c r="DR30" t="e">
        <f>AND(Bills!#REF!,"AAAAAFeNnnk=")</f>
        <v>#REF!</v>
      </c>
      <c r="DS30" t="e">
        <f>AND(Bills!#REF!,"AAAAAFeNnno=")</f>
        <v>#REF!</v>
      </c>
      <c r="DT30" t="e">
        <f>AND(Bills!#REF!,"AAAAAFeNnns=")</f>
        <v>#REF!</v>
      </c>
      <c r="DU30" t="e">
        <f>AND(Bills!#REF!,"AAAAAFeNnnw=")</f>
        <v>#REF!</v>
      </c>
      <c r="DV30" t="e">
        <f>AND(Bills!#REF!,"AAAAAFeNnn0=")</f>
        <v>#REF!</v>
      </c>
      <c r="DW30" t="e">
        <f>AND(Bills!#REF!,"AAAAAFeNnn4=")</f>
        <v>#REF!</v>
      </c>
      <c r="DX30" t="e">
        <f>AND(Bills!#REF!,"AAAAAFeNnn8=")</f>
        <v>#REF!</v>
      </c>
      <c r="DY30" t="e">
        <f>AND(Bills!#REF!,"AAAAAFeNnoA=")</f>
        <v>#REF!</v>
      </c>
      <c r="DZ30" t="e">
        <f>AND(Bills!#REF!,"AAAAAFeNnoE=")</f>
        <v>#REF!</v>
      </c>
      <c r="EA30" t="e">
        <f>AND(Bills!#REF!,"AAAAAFeNnoI=")</f>
        <v>#REF!</v>
      </c>
      <c r="EB30" t="e">
        <f>AND(Bills!#REF!,"AAAAAFeNnoM=")</f>
        <v>#REF!</v>
      </c>
      <c r="EC30" t="e">
        <f>AND(Bills!#REF!,"AAAAAFeNnoQ=")</f>
        <v>#REF!</v>
      </c>
      <c r="ED30" t="e">
        <f>AND(Bills!#REF!,"AAAAAFeNnoU=")</f>
        <v>#REF!</v>
      </c>
      <c r="EE30" t="e">
        <f>AND(Bills!#REF!,"AAAAAFeNnoY=")</f>
        <v>#REF!</v>
      </c>
      <c r="EF30" t="e">
        <f>AND(Bills!#REF!,"AAAAAFeNnoc=")</f>
        <v>#REF!</v>
      </c>
      <c r="EG30" t="e">
        <f>AND(Bills!#REF!,"AAAAAFeNnog=")</f>
        <v>#REF!</v>
      </c>
      <c r="EH30" t="e">
        <f>AND(Bills!#REF!,"AAAAAFeNnok=")</f>
        <v>#REF!</v>
      </c>
      <c r="EI30" t="e">
        <f>AND(Bills!#REF!,"AAAAAFeNnoo=")</f>
        <v>#REF!</v>
      </c>
      <c r="EJ30" t="e">
        <f>AND(Bills!#REF!,"AAAAAFeNnos=")</f>
        <v>#REF!</v>
      </c>
      <c r="EK30" t="e">
        <f>AND(Bills!#REF!,"AAAAAFeNnow=")</f>
        <v>#REF!</v>
      </c>
      <c r="EL30" t="e">
        <f>AND(Bills!#REF!,"AAAAAFeNno0=")</f>
        <v>#REF!</v>
      </c>
      <c r="EM30" t="e">
        <f>AND(Bills!#REF!,"AAAAAFeNno4=")</f>
        <v>#REF!</v>
      </c>
      <c r="EN30" t="e">
        <f>AND(Bills!#REF!,"AAAAAFeNno8=")</f>
        <v>#REF!</v>
      </c>
      <c r="EO30" t="e">
        <f>AND(Bills!#REF!,"AAAAAFeNnpA=")</f>
        <v>#REF!</v>
      </c>
      <c r="EP30" t="e">
        <f>AND(Bills!#REF!,"AAAAAFeNnpE=")</f>
        <v>#REF!</v>
      </c>
      <c r="EQ30" t="e">
        <f>AND(Bills!#REF!,"AAAAAFeNnpI=")</f>
        <v>#REF!</v>
      </c>
      <c r="ER30" t="e">
        <f>AND(Bills!#REF!,"AAAAAFeNnpM=")</f>
        <v>#REF!</v>
      </c>
      <c r="ES30" t="e">
        <f>AND(Bills!#REF!,"AAAAAFeNnpQ=")</f>
        <v>#REF!</v>
      </c>
      <c r="ET30" t="e">
        <f>AND(Bills!#REF!,"AAAAAFeNnpU=")</f>
        <v>#REF!</v>
      </c>
      <c r="EU30" t="e">
        <f>AND(Bills!#REF!,"AAAAAFeNnpY=")</f>
        <v>#REF!</v>
      </c>
      <c r="EV30" t="e">
        <f>AND(Bills!#REF!,"AAAAAFeNnpc=")</f>
        <v>#REF!</v>
      </c>
      <c r="EW30" t="e">
        <f>AND(Bills!#REF!,"AAAAAFeNnpg=")</f>
        <v>#REF!</v>
      </c>
      <c r="EX30" t="e">
        <f>AND(Bills!#REF!,"AAAAAFeNnpk=")</f>
        <v>#REF!</v>
      </c>
      <c r="EY30" t="e">
        <f>AND(Bills!#REF!,"AAAAAFeNnpo=")</f>
        <v>#REF!</v>
      </c>
      <c r="EZ30" t="e">
        <f>AND(Bills!#REF!,"AAAAAFeNnps=")</f>
        <v>#REF!</v>
      </c>
      <c r="FA30" t="e">
        <f>AND(Bills!#REF!,"AAAAAFeNnpw=")</f>
        <v>#REF!</v>
      </c>
      <c r="FB30" t="e">
        <f>AND(Bills!#REF!,"AAAAAFeNnp0=")</f>
        <v>#REF!</v>
      </c>
      <c r="FC30" t="e">
        <f>AND(Bills!#REF!,"AAAAAFeNnp4=")</f>
        <v>#REF!</v>
      </c>
      <c r="FD30" t="e">
        <f>AND(Bills!#REF!,"AAAAAFeNnp8=")</f>
        <v>#REF!</v>
      </c>
      <c r="FE30" t="e">
        <f>AND(Bills!#REF!,"AAAAAFeNnqA=")</f>
        <v>#REF!</v>
      </c>
      <c r="FF30" t="e">
        <f>AND(Bills!#REF!,"AAAAAFeNnqE=")</f>
        <v>#REF!</v>
      </c>
      <c r="FG30" t="e">
        <f>AND(Bills!#REF!,"AAAAAFeNnqI=")</f>
        <v>#REF!</v>
      </c>
      <c r="FH30" t="e">
        <f>IF(Bills!#REF!,"AAAAAFeNnqM=",0)</f>
        <v>#REF!</v>
      </c>
      <c r="FI30" t="e">
        <f>AND(Bills!#REF!,"AAAAAFeNnqQ=")</f>
        <v>#REF!</v>
      </c>
      <c r="FJ30" t="e">
        <f>AND(Bills!#REF!,"AAAAAFeNnqU=")</f>
        <v>#REF!</v>
      </c>
      <c r="FK30" t="e">
        <f>AND(Bills!#REF!,"AAAAAFeNnqY=")</f>
        <v>#REF!</v>
      </c>
      <c r="FL30" t="e">
        <f>AND(Bills!#REF!,"AAAAAFeNnqc=")</f>
        <v>#REF!</v>
      </c>
      <c r="FM30" t="e">
        <f>AND(Bills!#REF!,"AAAAAFeNnqg=")</f>
        <v>#REF!</v>
      </c>
      <c r="FN30" t="e">
        <f>AND(Bills!#REF!,"AAAAAFeNnqk=")</f>
        <v>#REF!</v>
      </c>
      <c r="FO30" t="e">
        <f>AND(Bills!#REF!,"AAAAAFeNnqo=")</f>
        <v>#REF!</v>
      </c>
      <c r="FP30" t="e">
        <f>AND(Bills!#REF!,"AAAAAFeNnqs=")</f>
        <v>#REF!</v>
      </c>
      <c r="FQ30" t="e">
        <f>AND(Bills!#REF!,"AAAAAFeNnqw=")</f>
        <v>#REF!</v>
      </c>
      <c r="FR30" t="e">
        <f>AND(Bills!#REF!,"AAAAAFeNnq0=")</f>
        <v>#REF!</v>
      </c>
      <c r="FS30" t="e">
        <f>AND(Bills!#REF!,"AAAAAFeNnq4=")</f>
        <v>#REF!</v>
      </c>
      <c r="FT30" t="e">
        <f>AND(Bills!#REF!,"AAAAAFeNnq8=")</f>
        <v>#REF!</v>
      </c>
      <c r="FU30" t="e">
        <f>AND(Bills!#REF!,"AAAAAFeNnrA=")</f>
        <v>#REF!</v>
      </c>
      <c r="FV30" t="e">
        <f>AND(Bills!#REF!,"AAAAAFeNnrE=")</f>
        <v>#REF!</v>
      </c>
      <c r="FW30" t="e">
        <f>AND(Bills!#REF!,"AAAAAFeNnrI=")</f>
        <v>#REF!</v>
      </c>
      <c r="FX30" t="e">
        <f>AND(Bills!#REF!,"AAAAAFeNnrM=")</f>
        <v>#REF!</v>
      </c>
      <c r="FY30" t="e">
        <f>AND(Bills!#REF!,"AAAAAFeNnrQ=")</f>
        <v>#REF!</v>
      </c>
      <c r="FZ30" t="e">
        <f>AND(Bills!#REF!,"AAAAAFeNnrU=")</f>
        <v>#REF!</v>
      </c>
      <c r="GA30" t="e">
        <f>AND(Bills!#REF!,"AAAAAFeNnrY=")</f>
        <v>#REF!</v>
      </c>
      <c r="GB30" t="e">
        <f>AND(Bills!#REF!,"AAAAAFeNnrc=")</f>
        <v>#REF!</v>
      </c>
      <c r="GC30" t="e">
        <f>AND(Bills!#REF!,"AAAAAFeNnrg=")</f>
        <v>#REF!</v>
      </c>
      <c r="GD30" t="e">
        <f>AND(Bills!#REF!,"AAAAAFeNnrk=")</f>
        <v>#REF!</v>
      </c>
      <c r="GE30" t="e">
        <f>AND(Bills!#REF!,"AAAAAFeNnro=")</f>
        <v>#REF!</v>
      </c>
      <c r="GF30" t="e">
        <f>AND(Bills!#REF!,"AAAAAFeNnrs=")</f>
        <v>#REF!</v>
      </c>
      <c r="GG30" t="e">
        <f>AND(Bills!#REF!,"AAAAAFeNnrw=")</f>
        <v>#REF!</v>
      </c>
      <c r="GH30" t="e">
        <f>AND(Bills!#REF!,"AAAAAFeNnr0=")</f>
        <v>#REF!</v>
      </c>
      <c r="GI30" t="e">
        <f>AND(Bills!#REF!,"AAAAAFeNnr4=")</f>
        <v>#REF!</v>
      </c>
      <c r="GJ30" t="e">
        <f>AND(Bills!#REF!,"AAAAAFeNnr8=")</f>
        <v>#REF!</v>
      </c>
      <c r="GK30" t="e">
        <f>AND(Bills!#REF!,"AAAAAFeNnsA=")</f>
        <v>#REF!</v>
      </c>
      <c r="GL30" t="e">
        <f>AND(Bills!#REF!,"AAAAAFeNnsE=")</f>
        <v>#REF!</v>
      </c>
      <c r="GM30" t="e">
        <f>AND(Bills!#REF!,"AAAAAFeNnsI=")</f>
        <v>#REF!</v>
      </c>
      <c r="GN30" t="e">
        <f>AND(Bills!#REF!,"AAAAAFeNnsM=")</f>
        <v>#REF!</v>
      </c>
      <c r="GO30" t="e">
        <f>AND(Bills!#REF!,"AAAAAFeNnsQ=")</f>
        <v>#REF!</v>
      </c>
      <c r="GP30" t="e">
        <f>AND(Bills!#REF!,"AAAAAFeNnsU=")</f>
        <v>#REF!</v>
      </c>
      <c r="GQ30" t="e">
        <f>AND(Bills!#REF!,"AAAAAFeNnsY=")</f>
        <v>#REF!</v>
      </c>
      <c r="GR30" t="e">
        <f>AND(Bills!#REF!,"AAAAAFeNnsc=")</f>
        <v>#REF!</v>
      </c>
      <c r="GS30" t="e">
        <f>AND(Bills!#REF!,"AAAAAFeNnsg=")</f>
        <v>#REF!</v>
      </c>
      <c r="GT30" t="e">
        <f>AND(Bills!#REF!,"AAAAAFeNnsk=")</f>
        <v>#REF!</v>
      </c>
      <c r="GU30" t="e">
        <f>AND(Bills!#REF!,"AAAAAFeNnso=")</f>
        <v>#REF!</v>
      </c>
      <c r="GV30" t="e">
        <f>AND(Bills!#REF!,"AAAAAFeNnss=")</f>
        <v>#REF!</v>
      </c>
      <c r="GW30" t="e">
        <f>AND(Bills!#REF!,"AAAAAFeNnsw=")</f>
        <v>#REF!</v>
      </c>
      <c r="GX30" t="e">
        <f>AND(Bills!#REF!,"AAAAAFeNns0=")</f>
        <v>#REF!</v>
      </c>
      <c r="GY30" t="e">
        <f>AND(Bills!#REF!,"AAAAAFeNns4=")</f>
        <v>#REF!</v>
      </c>
      <c r="GZ30" t="e">
        <f>AND(Bills!#REF!,"AAAAAFeNns8=")</f>
        <v>#REF!</v>
      </c>
      <c r="HA30" t="e">
        <f>AND(Bills!#REF!,"AAAAAFeNntA=")</f>
        <v>#REF!</v>
      </c>
      <c r="HB30" t="e">
        <f>AND(Bills!#REF!,"AAAAAFeNntE=")</f>
        <v>#REF!</v>
      </c>
      <c r="HC30" t="e">
        <f>AND(Bills!#REF!,"AAAAAFeNntI=")</f>
        <v>#REF!</v>
      </c>
      <c r="HD30" t="e">
        <f>AND(Bills!#REF!,"AAAAAFeNntM=")</f>
        <v>#REF!</v>
      </c>
      <c r="HE30" t="e">
        <f>AND(Bills!#REF!,"AAAAAFeNntQ=")</f>
        <v>#REF!</v>
      </c>
      <c r="HF30" t="e">
        <f>AND(Bills!#REF!,"AAAAAFeNntU=")</f>
        <v>#REF!</v>
      </c>
      <c r="HG30" t="e">
        <f>IF(Bills!#REF!,"AAAAAFeNntY=",0)</f>
        <v>#REF!</v>
      </c>
      <c r="HH30" t="e">
        <f>AND(Bills!#REF!,"AAAAAFeNntc=")</f>
        <v>#REF!</v>
      </c>
      <c r="HI30" t="e">
        <f>AND(Bills!#REF!,"AAAAAFeNntg=")</f>
        <v>#REF!</v>
      </c>
      <c r="HJ30" t="e">
        <f>AND(Bills!#REF!,"AAAAAFeNntk=")</f>
        <v>#REF!</v>
      </c>
      <c r="HK30" t="e">
        <f>AND(Bills!#REF!,"AAAAAFeNnto=")</f>
        <v>#REF!</v>
      </c>
      <c r="HL30" t="e">
        <f>AND(Bills!#REF!,"AAAAAFeNnts=")</f>
        <v>#REF!</v>
      </c>
      <c r="HM30" t="e">
        <f>AND(Bills!#REF!,"AAAAAFeNntw=")</f>
        <v>#REF!</v>
      </c>
      <c r="HN30" t="e">
        <f>AND(Bills!#REF!,"AAAAAFeNnt0=")</f>
        <v>#REF!</v>
      </c>
      <c r="HO30" t="e">
        <f>AND(Bills!#REF!,"AAAAAFeNnt4=")</f>
        <v>#REF!</v>
      </c>
      <c r="HP30" t="e">
        <f>AND(Bills!#REF!,"AAAAAFeNnt8=")</f>
        <v>#REF!</v>
      </c>
      <c r="HQ30" t="e">
        <f>AND(Bills!#REF!,"AAAAAFeNnuA=")</f>
        <v>#REF!</v>
      </c>
      <c r="HR30" t="e">
        <f>AND(Bills!#REF!,"AAAAAFeNnuE=")</f>
        <v>#REF!</v>
      </c>
      <c r="HS30" t="e">
        <f>AND(Bills!#REF!,"AAAAAFeNnuI=")</f>
        <v>#REF!</v>
      </c>
      <c r="HT30" t="e">
        <f>AND(Bills!#REF!,"AAAAAFeNnuM=")</f>
        <v>#REF!</v>
      </c>
      <c r="HU30" t="e">
        <f>AND(Bills!#REF!,"AAAAAFeNnuQ=")</f>
        <v>#REF!</v>
      </c>
      <c r="HV30" t="e">
        <f>AND(Bills!#REF!,"AAAAAFeNnuU=")</f>
        <v>#REF!</v>
      </c>
      <c r="HW30" t="e">
        <f>AND(Bills!#REF!,"AAAAAFeNnuY=")</f>
        <v>#REF!</v>
      </c>
      <c r="HX30" t="e">
        <f>AND(Bills!#REF!,"AAAAAFeNnuc=")</f>
        <v>#REF!</v>
      </c>
      <c r="HY30" t="e">
        <f>AND(Bills!#REF!,"AAAAAFeNnug=")</f>
        <v>#REF!</v>
      </c>
      <c r="HZ30" t="e">
        <f>AND(Bills!#REF!,"AAAAAFeNnuk=")</f>
        <v>#REF!</v>
      </c>
      <c r="IA30" t="e">
        <f>AND(Bills!#REF!,"AAAAAFeNnuo=")</f>
        <v>#REF!</v>
      </c>
      <c r="IB30" t="e">
        <f>AND(Bills!#REF!,"AAAAAFeNnus=")</f>
        <v>#REF!</v>
      </c>
      <c r="IC30" t="e">
        <f>AND(Bills!#REF!,"AAAAAFeNnuw=")</f>
        <v>#REF!</v>
      </c>
      <c r="ID30" t="e">
        <f>AND(Bills!#REF!,"AAAAAFeNnu0=")</f>
        <v>#REF!</v>
      </c>
      <c r="IE30" t="e">
        <f>AND(Bills!#REF!,"AAAAAFeNnu4=")</f>
        <v>#REF!</v>
      </c>
      <c r="IF30" t="e">
        <f>AND(Bills!#REF!,"AAAAAFeNnu8=")</f>
        <v>#REF!</v>
      </c>
      <c r="IG30" t="e">
        <f>AND(Bills!#REF!,"AAAAAFeNnvA=")</f>
        <v>#REF!</v>
      </c>
      <c r="IH30" t="e">
        <f>AND(Bills!#REF!,"AAAAAFeNnvE=")</f>
        <v>#REF!</v>
      </c>
      <c r="II30" t="e">
        <f>AND(Bills!#REF!,"AAAAAFeNnvI=")</f>
        <v>#REF!</v>
      </c>
      <c r="IJ30" t="e">
        <f>AND(Bills!#REF!,"AAAAAFeNnvM=")</f>
        <v>#REF!</v>
      </c>
      <c r="IK30" t="e">
        <f>AND(Bills!#REF!,"AAAAAFeNnvQ=")</f>
        <v>#REF!</v>
      </c>
      <c r="IL30" t="e">
        <f>AND(Bills!#REF!,"AAAAAFeNnvU=")</f>
        <v>#REF!</v>
      </c>
      <c r="IM30" t="e">
        <f>AND(Bills!#REF!,"AAAAAFeNnvY=")</f>
        <v>#REF!</v>
      </c>
      <c r="IN30" t="e">
        <f>AND(Bills!#REF!,"AAAAAFeNnvc=")</f>
        <v>#REF!</v>
      </c>
      <c r="IO30" t="e">
        <f>AND(Bills!#REF!,"AAAAAFeNnvg=")</f>
        <v>#REF!</v>
      </c>
      <c r="IP30" t="e">
        <f>AND(Bills!#REF!,"AAAAAFeNnvk=")</f>
        <v>#REF!</v>
      </c>
      <c r="IQ30" t="e">
        <f>AND(Bills!#REF!,"AAAAAFeNnvo=")</f>
        <v>#REF!</v>
      </c>
      <c r="IR30" t="e">
        <f>AND(Bills!#REF!,"AAAAAFeNnvs=")</f>
        <v>#REF!</v>
      </c>
      <c r="IS30" t="e">
        <f>AND(Bills!#REF!,"AAAAAFeNnvw=")</f>
        <v>#REF!</v>
      </c>
      <c r="IT30" t="e">
        <f>AND(Bills!#REF!,"AAAAAFeNnv0=")</f>
        <v>#REF!</v>
      </c>
      <c r="IU30" t="e">
        <f>AND(Bills!#REF!,"AAAAAFeNnv4=")</f>
        <v>#REF!</v>
      </c>
      <c r="IV30" t="e">
        <f>AND(Bills!#REF!,"AAAAAFeNnv8=")</f>
        <v>#REF!</v>
      </c>
    </row>
    <row r="31" spans="1:256" x14ac:dyDescent="0.25">
      <c r="A31" t="e">
        <f>AND(Bills!#REF!,"AAAAAH7d6wA=")</f>
        <v>#REF!</v>
      </c>
      <c r="B31" t="e">
        <f>AND(Bills!#REF!,"AAAAAH7d6wE=")</f>
        <v>#REF!</v>
      </c>
      <c r="C31" t="e">
        <f>AND(Bills!#REF!,"AAAAAH7d6wI=")</f>
        <v>#REF!</v>
      </c>
      <c r="D31" t="e">
        <f>AND(Bills!#REF!,"AAAAAH7d6wM=")</f>
        <v>#REF!</v>
      </c>
      <c r="E31" t="e">
        <f>AND(Bills!#REF!,"AAAAAH7d6wQ=")</f>
        <v>#REF!</v>
      </c>
      <c r="F31" t="e">
        <f>AND(Bills!#REF!,"AAAAAH7d6wU=")</f>
        <v>#REF!</v>
      </c>
      <c r="G31" t="e">
        <f>AND(Bills!#REF!,"AAAAAH7d6wY=")</f>
        <v>#REF!</v>
      </c>
      <c r="H31" t="e">
        <f>AND(Bills!#REF!,"AAAAAH7d6wc=")</f>
        <v>#REF!</v>
      </c>
      <c r="I31" t="e">
        <f>AND(Bills!#REF!,"AAAAAH7d6wg=")</f>
        <v>#REF!</v>
      </c>
      <c r="J31" t="e">
        <f>IF(Bills!#REF!,"AAAAAH7d6wk=",0)</f>
        <v>#REF!</v>
      </c>
      <c r="K31" t="e">
        <f>AND(Bills!#REF!,"AAAAAH7d6wo=")</f>
        <v>#REF!</v>
      </c>
      <c r="L31" t="e">
        <f>AND(Bills!#REF!,"AAAAAH7d6ws=")</f>
        <v>#REF!</v>
      </c>
      <c r="M31" t="e">
        <f>AND(Bills!#REF!,"AAAAAH7d6ww=")</f>
        <v>#REF!</v>
      </c>
      <c r="N31" t="e">
        <f>AND(Bills!#REF!,"AAAAAH7d6w0=")</f>
        <v>#REF!</v>
      </c>
      <c r="O31" t="e">
        <f>AND(Bills!#REF!,"AAAAAH7d6w4=")</f>
        <v>#REF!</v>
      </c>
      <c r="P31" t="e">
        <f>AND(Bills!#REF!,"AAAAAH7d6w8=")</f>
        <v>#REF!</v>
      </c>
      <c r="Q31" t="e">
        <f>AND(Bills!#REF!,"AAAAAH7d6xA=")</f>
        <v>#REF!</v>
      </c>
      <c r="R31" t="e">
        <f>AND(Bills!#REF!,"AAAAAH7d6xE=")</f>
        <v>#REF!</v>
      </c>
      <c r="S31" t="e">
        <f>AND(Bills!#REF!,"AAAAAH7d6xI=")</f>
        <v>#REF!</v>
      </c>
      <c r="T31" t="e">
        <f>AND(Bills!#REF!,"AAAAAH7d6xM=")</f>
        <v>#REF!</v>
      </c>
      <c r="U31" t="e">
        <f>AND(Bills!#REF!,"AAAAAH7d6xQ=")</f>
        <v>#REF!</v>
      </c>
      <c r="V31" t="e">
        <f>AND(Bills!#REF!,"AAAAAH7d6xU=")</f>
        <v>#REF!</v>
      </c>
      <c r="W31" t="e">
        <f>AND(Bills!#REF!,"AAAAAH7d6xY=")</f>
        <v>#REF!</v>
      </c>
      <c r="X31" t="e">
        <f>AND(Bills!#REF!,"AAAAAH7d6xc=")</f>
        <v>#REF!</v>
      </c>
      <c r="Y31" t="e">
        <f>AND(Bills!#REF!,"AAAAAH7d6xg=")</f>
        <v>#REF!</v>
      </c>
      <c r="Z31" t="e">
        <f>AND(Bills!#REF!,"AAAAAH7d6xk=")</f>
        <v>#REF!</v>
      </c>
      <c r="AA31" t="e">
        <f>AND(Bills!#REF!,"AAAAAH7d6xo=")</f>
        <v>#REF!</v>
      </c>
      <c r="AB31" t="e">
        <f>AND(Bills!#REF!,"AAAAAH7d6xs=")</f>
        <v>#REF!</v>
      </c>
      <c r="AC31" t="e">
        <f>AND(Bills!#REF!,"AAAAAH7d6xw=")</f>
        <v>#REF!</v>
      </c>
      <c r="AD31" t="e">
        <f>AND(Bills!#REF!,"AAAAAH7d6x0=")</f>
        <v>#REF!</v>
      </c>
      <c r="AE31" t="e">
        <f>AND(Bills!#REF!,"AAAAAH7d6x4=")</f>
        <v>#REF!</v>
      </c>
      <c r="AF31" t="e">
        <f>AND(Bills!#REF!,"AAAAAH7d6x8=")</f>
        <v>#REF!</v>
      </c>
      <c r="AG31" t="e">
        <f>AND(Bills!#REF!,"AAAAAH7d6yA=")</f>
        <v>#REF!</v>
      </c>
      <c r="AH31" t="e">
        <f>AND(Bills!#REF!,"AAAAAH7d6yE=")</f>
        <v>#REF!</v>
      </c>
      <c r="AI31" t="e">
        <f>AND(Bills!#REF!,"AAAAAH7d6yI=")</f>
        <v>#REF!</v>
      </c>
      <c r="AJ31" t="e">
        <f>AND(Bills!#REF!,"AAAAAH7d6yM=")</f>
        <v>#REF!</v>
      </c>
      <c r="AK31" t="e">
        <f>AND(Bills!#REF!,"AAAAAH7d6yQ=")</f>
        <v>#REF!</v>
      </c>
      <c r="AL31" t="e">
        <f>AND(Bills!#REF!,"AAAAAH7d6yU=")</f>
        <v>#REF!</v>
      </c>
      <c r="AM31" t="e">
        <f>AND(Bills!#REF!,"AAAAAH7d6yY=")</f>
        <v>#REF!</v>
      </c>
      <c r="AN31" t="e">
        <f>AND(Bills!#REF!,"AAAAAH7d6yc=")</f>
        <v>#REF!</v>
      </c>
      <c r="AO31" t="e">
        <f>AND(Bills!#REF!,"AAAAAH7d6yg=")</f>
        <v>#REF!</v>
      </c>
      <c r="AP31" t="e">
        <f>AND(Bills!#REF!,"AAAAAH7d6yk=")</f>
        <v>#REF!</v>
      </c>
      <c r="AQ31" t="e">
        <f>AND(Bills!#REF!,"AAAAAH7d6yo=")</f>
        <v>#REF!</v>
      </c>
      <c r="AR31" t="e">
        <f>AND(Bills!#REF!,"AAAAAH7d6ys=")</f>
        <v>#REF!</v>
      </c>
      <c r="AS31" t="e">
        <f>AND(Bills!#REF!,"AAAAAH7d6yw=")</f>
        <v>#REF!</v>
      </c>
      <c r="AT31" t="e">
        <f>AND(Bills!#REF!,"AAAAAH7d6y0=")</f>
        <v>#REF!</v>
      </c>
      <c r="AU31" t="e">
        <f>AND(Bills!#REF!,"AAAAAH7d6y4=")</f>
        <v>#REF!</v>
      </c>
      <c r="AV31" t="e">
        <f>AND(Bills!#REF!,"AAAAAH7d6y8=")</f>
        <v>#REF!</v>
      </c>
      <c r="AW31" t="e">
        <f>AND(Bills!#REF!,"AAAAAH7d6zA=")</f>
        <v>#REF!</v>
      </c>
      <c r="AX31" t="e">
        <f>AND(Bills!#REF!,"AAAAAH7d6zE=")</f>
        <v>#REF!</v>
      </c>
      <c r="AY31" t="e">
        <f>AND(Bills!#REF!,"AAAAAH7d6zI=")</f>
        <v>#REF!</v>
      </c>
      <c r="AZ31" t="e">
        <f>AND(Bills!#REF!,"AAAAAH7d6zM=")</f>
        <v>#REF!</v>
      </c>
      <c r="BA31" t="e">
        <f>AND(Bills!#REF!,"AAAAAH7d6zQ=")</f>
        <v>#REF!</v>
      </c>
      <c r="BB31" t="e">
        <f>AND(Bills!#REF!,"AAAAAH7d6zU=")</f>
        <v>#REF!</v>
      </c>
      <c r="BC31" t="e">
        <f>AND(Bills!#REF!,"AAAAAH7d6zY=")</f>
        <v>#REF!</v>
      </c>
      <c r="BD31" t="e">
        <f>AND(Bills!#REF!,"AAAAAH7d6zc=")</f>
        <v>#REF!</v>
      </c>
      <c r="BE31" t="e">
        <f>AND(Bills!#REF!,"AAAAAH7d6zg=")</f>
        <v>#REF!</v>
      </c>
      <c r="BF31" t="e">
        <f>AND(Bills!#REF!,"AAAAAH7d6zk=")</f>
        <v>#REF!</v>
      </c>
      <c r="BG31" t="e">
        <f>AND(Bills!#REF!,"AAAAAH7d6zo=")</f>
        <v>#REF!</v>
      </c>
      <c r="BH31" t="e">
        <f>AND(Bills!#REF!,"AAAAAH7d6zs=")</f>
        <v>#REF!</v>
      </c>
      <c r="BI31" t="e">
        <f>IF(Bills!#REF!,"AAAAAH7d6zw=",0)</f>
        <v>#REF!</v>
      </c>
      <c r="BJ31" t="e">
        <f>AND(Bills!#REF!,"AAAAAH7d6z0=")</f>
        <v>#REF!</v>
      </c>
      <c r="BK31" t="e">
        <f>AND(Bills!#REF!,"AAAAAH7d6z4=")</f>
        <v>#REF!</v>
      </c>
      <c r="BL31" t="e">
        <f>AND(Bills!#REF!,"AAAAAH7d6z8=")</f>
        <v>#REF!</v>
      </c>
      <c r="BM31" t="e">
        <f>AND(Bills!#REF!,"AAAAAH7d60A=")</f>
        <v>#REF!</v>
      </c>
      <c r="BN31" t="e">
        <f>AND(Bills!#REF!,"AAAAAH7d60E=")</f>
        <v>#REF!</v>
      </c>
      <c r="BO31" t="e">
        <f>AND(Bills!#REF!,"AAAAAH7d60I=")</f>
        <v>#REF!</v>
      </c>
      <c r="BP31" t="e">
        <f>AND(Bills!#REF!,"AAAAAH7d60M=")</f>
        <v>#REF!</v>
      </c>
      <c r="BQ31" t="e">
        <f>AND(Bills!#REF!,"AAAAAH7d60Q=")</f>
        <v>#REF!</v>
      </c>
      <c r="BR31" t="e">
        <f>AND(Bills!#REF!,"AAAAAH7d60U=")</f>
        <v>#REF!</v>
      </c>
      <c r="BS31" t="e">
        <f>AND(Bills!#REF!,"AAAAAH7d60Y=")</f>
        <v>#REF!</v>
      </c>
      <c r="BT31" t="e">
        <f>AND(Bills!#REF!,"AAAAAH7d60c=")</f>
        <v>#REF!</v>
      </c>
      <c r="BU31" t="e">
        <f>AND(Bills!#REF!,"AAAAAH7d60g=")</f>
        <v>#REF!</v>
      </c>
      <c r="BV31" t="e">
        <f>AND(Bills!#REF!,"AAAAAH7d60k=")</f>
        <v>#REF!</v>
      </c>
      <c r="BW31" t="e">
        <f>AND(Bills!#REF!,"AAAAAH7d60o=")</f>
        <v>#REF!</v>
      </c>
      <c r="BX31" t="e">
        <f>AND(Bills!#REF!,"AAAAAH7d60s=")</f>
        <v>#REF!</v>
      </c>
      <c r="BY31" t="e">
        <f>AND(Bills!#REF!,"AAAAAH7d60w=")</f>
        <v>#REF!</v>
      </c>
      <c r="BZ31" t="e">
        <f>AND(Bills!#REF!,"AAAAAH7d600=")</f>
        <v>#REF!</v>
      </c>
      <c r="CA31" t="e">
        <f>AND(Bills!#REF!,"AAAAAH7d604=")</f>
        <v>#REF!</v>
      </c>
      <c r="CB31" t="e">
        <f>AND(Bills!#REF!,"AAAAAH7d608=")</f>
        <v>#REF!</v>
      </c>
      <c r="CC31" t="e">
        <f>AND(Bills!#REF!,"AAAAAH7d61A=")</f>
        <v>#REF!</v>
      </c>
      <c r="CD31" t="e">
        <f>AND(Bills!#REF!,"AAAAAH7d61E=")</f>
        <v>#REF!</v>
      </c>
      <c r="CE31" t="e">
        <f>AND(Bills!#REF!,"AAAAAH7d61I=")</f>
        <v>#REF!</v>
      </c>
      <c r="CF31" t="e">
        <f>AND(Bills!#REF!,"AAAAAH7d61M=")</f>
        <v>#REF!</v>
      </c>
      <c r="CG31" t="e">
        <f>AND(Bills!#REF!,"AAAAAH7d61Q=")</f>
        <v>#REF!</v>
      </c>
      <c r="CH31" t="e">
        <f>AND(Bills!#REF!,"AAAAAH7d61U=")</f>
        <v>#REF!</v>
      </c>
      <c r="CI31" t="e">
        <f>AND(Bills!#REF!,"AAAAAH7d61Y=")</f>
        <v>#REF!</v>
      </c>
      <c r="CJ31" t="e">
        <f>AND(Bills!#REF!,"AAAAAH7d61c=")</f>
        <v>#REF!</v>
      </c>
      <c r="CK31" t="e">
        <f>AND(Bills!#REF!,"AAAAAH7d61g=")</f>
        <v>#REF!</v>
      </c>
      <c r="CL31" t="e">
        <f>AND(Bills!#REF!,"AAAAAH7d61k=")</f>
        <v>#REF!</v>
      </c>
      <c r="CM31" t="e">
        <f>AND(Bills!#REF!,"AAAAAH7d61o=")</f>
        <v>#REF!</v>
      </c>
      <c r="CN31" t="e">
        <f>AND(Bills!#REF!,"AAAAAH7d61s=")</f>
        <v>#REF!</v>
      </c>
      <c r="CO31" t="e">
        <f>AND(Bills!#REF!,"AAAAAH7d61w=")</f>
        <v>#REF!</v>
      </c>
      <c r="CP31" t="e">
        <f>AND(Bills!#REF!,"AAAAAH7d610=")</f>
        <v>#REF!</v>
      </c>
      <c r="CQ31" t="e">
        <f>AND(Bills!#REF!,"AAAAAH7d614=")</f>
        <v>#REF!</v>
      </c>
      <c r="CR31" t="e">
        <f>AND(Bills!#REF!,"AAAAAH7d618=")</f>
        <v>#REF!</v>
      </c>
      <c r="CS31" t="e">
        <f>AND(Bills!#REF!,"AAAAAH7d62A=")</f>
        <v>#REF!</v>
      </c>
      <c r="CT31" t="e">
        <f>AND(Bills!#REF!,"AAAAAH7d62E=")</f>
        <v>#REF!</v>
      </c>
      <c r="CU31" t="e">
        <f>AND(Bills!#REF!,"AAAAAH7d62I=")</f>
        <v>#REF!</v>
      </c>
      <c r="CV31" t="e">
        <f>AND(Bills!#REF!,"AAAAAH7d62M=")</f>
        <v>#REF!</v>
      </c>
      <c r="CW31" t="e">
        <f>AND(Bills!#REF!,"AAAAAH7d62Q=")</f>
        <v>#REF!</v>
      </c>
      <c r="CX31" t="e">
        <f>AND(Bills!#REF!,"AAAAAH7d62U=")</f>
        <v>#REF!</v>
      </c>
      <c r="CY31" t="e">
        <f>AND(Bills!#REF!,"AAAAAH7d62Y=")</f>
        <v>#REF!</v>
      </c>
      <c r="CZ31" t="e">
        <f>AND(Bills!#REF!,"AAAAAH7d62c=")</f>
        <v>#REF!</v>
      </c>
      <c r="DA31" t="e">
        <f>AND(Bills!#REF!,"AAAAAH7d62g=")</f>
        <v>#REF!</v>
      </c>
      <c r="DB31" t="e">
        <f>AND(Bills!#REF!,"AAAAAH7d62k=")</f>
        <v>#REF!</v>
      </c>
      <c r="DC31" t="e">
        <f>AND(Bills!#REF!,"AAAAAH7d62o=")</f>
        <v>#REF!</v>
      </c>
      <c r="DD31" t="e">
        <f>AND(Bills!#REF!,"AAAAAH7d62s=")</f>
        <v>#REF!</v>
      </c>
      <c r="DE31" t="e">
        <f>AND(Bills!#REF!,"AAAAAH7d62w=")</f>
        <v>#REF!</v>
      </c>
      <c r="DF31" t="e">
        <f>AND(Bills!#REF!,"AAAAAH7d620=")</f>
        <v>#REF!</v>
      </c>
      <c r="DG31" t="e">
        <f>AND(Bills!#REF!,"AAAAAH7d624=")</f>
        <v>#REF!</v>
      </c>
      <c r="DH31" t="e">
        <f>IF(Bills!#REF!,"AAAAAH7d628=",0)</f>
        <v>#REF!</v>
      </c>
      <c r="DI31" t="e">
        <f>AND(Bills!#REF!,"AAAAAH7d63A=")</f>
        <v>#REF!</v>
      </c>
      <c r="DJ31" t="e">
        <f>AND(Bills!#REF!,"AAAAAH7d63E=")</f>
        <v>#REF!</v>
      </c>
      <c r="DK31" t="e">
        <f>AND(Bills!#REF!,"AAAAAH7d63I=")</f>
        <v>#REF!</v>
      </c>
      <c r="DL31" t="e">
        <f>AND(Bills!#REF!,"AAAAAH7d63M=")</f>
        <v>#REF!</v>
      </c>
      <c r="DM31" t="e">
        <f>AND(Bills!#REF!,"AAAAAH7d63Q=")</f>
        <v>#REF!</v>
      </c>
      <c r="DN31" t="e">
        <f>AND(Bills!#REF!,"AAAAAH7d63U=")</f>
        <v>#REF!</v>
      </c>
      <c r="DO31" t="e">
        <f>AND(Bills!#REF!,"AAAAAH7d63Y=")</f>
        <v>#REF!</v>
      </c>
      <c r="DP31" t="e">
        <f>AND(Bills!#REF!,"AAAAAH7d63c=")</f>
        <v>#REF!</v>
      </c>
      <c r="DQ31" t="e">
        <f>AND(Bills!#REF!,"AAAAAH7d63g=")</f>
        <v>#REF!</v>
      </c>
      <c r="DR31" t="e">
        <f>AND(Bills!#REF!,"AAAAAH7d63k=")</f>
        <v>#REF!</v>
      </c>
      <c r="DS31" t="e">
        <f>AND(Bills!#REF!,"AAAAAH7d63o=")</f>
        <v>#REF!</v>
      </c>
      <c r="DT31" t="e">
        <f>AND(Bills!#REF!,"AAAAAH7d63s=")</f>
        <v>#REF!</v>
      </c>
      <c r="DU31" t="e">
        <f>AND(Bills!#REF!,"AAAAAH7d63w=")</f>
        <v>#REF!</v>
      </c>
      <c r="DV31" t="e">
        <f>AND(Bills!#REF!,"AAAAAH7d630=")</f>
        <v>#REF!</v>
      </c>
      <c r="DW31" t="e">
        <f>AND(Bills!#REF!,"AAAAAH7d634=")</f>
        <v>#REF!</v>
      </c>
      <c r="DX31" t="e">
        <f>AND(Bills!#REF!,"AAAAAH7d638=")</f>
        <v>#REF!</v>
      </c>
      <c r="DY31" t="e">
        <f>AND(Bills!#REF!,"AAAAAH7d64A=")</f>
        <v>#REF!</v>
      </c>
      <c r="DZ31" t="e">
        <f>AND(Bills!#REF!,"AAAAAH7d64E=")</f>
        <v>#REF!</v>
      </c>
      <c r="EA31" t="e">
        <f>AND(Bills!#REF!,"AAAAAH7d64I=")</f>
        <v>#REF!</v>
      </c>
      <c r="EB31" t="e">
        <f>AND(Bills!#REF!,"AAAAAH7d64M=")</f>
        <v>#REF!</v>
      </c>
      <c r="EC31" t="e">
        <f>AND(Bills!#REF!,"AAAAAH7d64Q=")</f>
        <v>#REF!</v>
      </c>
      <c r="ED31" t="e">
        <f>AND(Bills!#REF!,"AAAAAH7d64U=")</f>
        <v>#REF!</v>
      </c>
      <c r="EE31" t="e">
        <f>AND(Bills!#REF!,"AAAAAH7d64Y=")</f>
        <v>#REF!</v>
      </c>
      <c r="EF31" t="e">
        <f>AND(Bills!#REF!,"AAAAAH7d64c=")</f>
        <v>#REF!</v>
      </c>
      <c r="EG31" t="e">
        <f>AND(Bills!#REF!,"AAAAAH7d64g=")</f>
        <v>#REF!</v>
      </c>
      <c r="EH31" t="e">
        <f>AND(Bills!#REF!,"AAAAAH7d64k=")</f>
        <v>#REF!</v>
      </c>
      <c r="EI31" t="e">
        <f>AND(Bills!#REF!,"AAAAAH7d64o=")</f>
        <v>#REF!</v>
      </c>
      <c r="EJ31" t="e">
        <f>AND(Bills!#REF!,"AAAAAH7d64s=")</f>
        <v>#REF!</v>
      </c>
      <c r="EK31" t="e">
        <f>AND(Bills!#REF!,"AAAAAH7d64w=")</f>
        <v>#REF!</v>
      </c>
      <c r="EL31" t="e">
        <f>AND(Bills!#REF!,"AAAAAH7d640=")</f>
        <v>#REF!</v>
      </c>
      <c r="EM31" t="e">
        <f>AND(Bills!#REF!,"AAAAAH7d644=")</f>
        <v>#REF!</v>
      </c>
      <c r="EN31" t="e">
        <f>AND(Bills!#REF!,"AAAAAH7d648=")</f>
        <v>#REF!</v>
      </c>
      <c r="EO31" t="e">
        <f>AND(Bills!#REF!,"AAAAAH7d65A=")</f>
        <v>#REF!</v>
      </c>
      <c r="EP31" t="e">
        <f>AND(Bills!#REF!,"AAAAAH7d65E=")</f>
        <v>#REF!</v>
      </c>
      <c r="EQ31" t="e">
        <f>AND(Bills!#REF!,"AAAAAH7d65I=")</f>
        <v>#REF!</v>
      </c>
      <c r="ER31" t="e">
        <f>AND(Bills!#REF!,"AAAAAH7d65M=")</f>
        <v>#REF!</v>
      </c>
      <c r="ES31" t="e">
        <f>AND(Bills!#REF!,"AAAAAH7d65Q=")</f>
        <v>#REF!</v>
      </c>
      <c r="ET31" t="e">
        <f>AND(Bills!#REF!,"AAAAAH7d65U=")</f>
        <v>#REF!</v>
      </c>
      <c r="EU31" t="e">
        <f>AND(Bills!#REF!,"AAAAAH7d65Y=")</f>
        <v>#REF!</v>
      </c>
      <c r="EV31" t="e">
        <f>AND(Bills!#REF!,"AAAAAH7d65c=")</f>
        <v>#REF!</v>
      </c>
      <c r="EW31" t="e">
        <f>AND(Bills!#REF!,"AAAAAH7d65g=")</f>
        <v>#REF!</v>
      </c>
      <c r="EX31" t="e">
        <f>AND(Bills!#REF!,"AAAAAH7d65k=")</f>
        <v>#REF!</v>
      </c>
      <c r="EY31" t="e">
        <f>AND(Bills!#REF!,"AAAAAH7d65o=")</f>
        <v>#REF!</v>
      </c>
      <c r="EZ31" t="e">
        <f>AND(Bills!#REF!,"AAAAAH7d65s=")</f>
        <v>#REF!</v>
      </c>
      <c r="FA31" t="e">
        <f>AND(Bills!#REF!,"AAAAAH7d65w=")</f>
        <v>#REF!</v>
      </c>
      <c r="FB31" t="e">
        <f>AND(Bills!#REF!,"AAAAAH7d650=")</f>
        <v>#REF!</v>
      </c>
      <c r="FC31" t="e">
        <f>AND(Bills!#REF!,"AAAAAH7d654=")</f>
        <v>#REF!</v>
      </c>
      <c r="FD31" t="e">
        <f>AND(Bills!#REF!,"AAAAAH7d658=")</f>
        <v>#REF!</v>
      </c>
      <c r="FE31" t="e">
        <f>AND(Bills!#REF!,"AAAAAH7d66A=")</f>
        <v>#REF!</v>
      </c>
      <c r="FF31" t="e">
        <f>AND(Bills!#REF!,"AAAAAH7d66E=")</f>
        <v>#REF!</v>
      </c>
      <c r="FG31" t="e">
        <f>IF(Bills!#REF!,"AAAAAH7d66I=",0)</f>
        <v>#REF!</v>
      </c>
      <c r="FH31" t="e">
        <f>AND(Bills!#REF!,"AAAAAH7d66M=")</f>
        <v>#REF!</v>
      </c>
      <c r="FI31" t="e">
        <f>AND(Bills!#REF!,"AAAAAH7d66Q=")</f>
        <v>#REF!</v>
      </c>
      <c r="FJ31" t="e">
        <f>AND(Bills!#REF!,"AAAAAH7d66U=")</f>
        <v>#REF!</v>
      </c>
      <c r="FK31" t="e">
        <f>AND(Bills!#REF!,"AAAAAH7d66Y=")</f>
        <v>#REF!</v>
      </c>
      <c r="FL31" t="e">
        <f>AND(Bills!#REF!,"AAAAAH7d66c=")</f>
        <v>#REF!</v>
      </c>
      <c r="FM31" t="e">
        <f>AND(Bills!#REF!,"AAAAAH7d66g=")</f>
        <v>#REF!</v>
      </c>
      <c r="FN31" t="e">
        <f>AND(Bills!#REF!,"AAAAAH7d66k=")</f>
        <v>#REF!</v>
      </c>
      <c r="FO31" t="e">
        <f>AND(Bills!#REF!,"AAAAAH7d66o=")</f>
        <v>#REF!</v>
      </c>
      <c r="FP31" t="e">
        <f>AND(Bills!#REF!,"AAAAAH7d66s=")</f>
        <v>#REF!</v>
      </c>
      <c r="FQ31" t="e">
        <f>AND(Bills!#REF!,"AAAAAH7d66w=")</f>
        <v>#REF!</v>
      </c>
      <c r="FR31" t="e">
        <f>AND(Bills!#REF!,"AAAAAH7d660=")</f>
        <v>#REF!</v>
      </c>
      <c r="FS31" t="e">
        <f>AND(Bills!#REF!,"AAAAAH7d664=")</f>
        <v>#REF!</v>
      </c>
      <c r="FT31" t="e">
        <f>AND(Bills!#REF!,"AAAAAH7d668=")</f>
        <v>#REF!</v>
      </c>
      <c r="FU31" t="e">
        <f>AND(Bills!#REF!,"AAAAAH7d67A=")</f>
        <v>#REF!</v>
      </c>
      <c r="FV31" t="e">
        <f>AND(Bills!#REF!,"AAAAAH7d67E=")</f>
        <v>#REF!</v>
      </c>
      <c r="FW31" t="e">
        <f>AND(Bills!#REF!,"AAAAAH7d67I=")</f>
        <v>#REF!</v>
      </c>
      <c r="FX31" t="e">
        <f>AND(Bills!#REF!,"AAAAAH7d67M=")</f>
        <v>#REF!</v>
      </c>
      <c r="FY31" t="e">
        <f>AND(Bills!#REF!,"AAAAAH7d67Q=")</f>
        <v>#REF!</v>
      </c>
      <c r="FZ31" t="e">
        <f>AND(Bills!#REF!,"AAAAAH7d67U=")</f>
        <v>#REF!</v>
      </c>
      <c r="GA31" t="e">
        <f>AND(Bills!#REF!,"AAAAAH7d67Y=")</f>
        <v>#REF!</v>
      </c>
      <c r="GB31" t="e">
        <f>AND(Bills!#REF!,"AAAAAH7d67c=")</f>
        <v>#REF!</v>
      </c>
      <c r="GC31" t="e">
        <f>AND(Bills!#REF!,"AAAAAH7d67g=")</f>
        <v>#REF!</v>
      </c>
      <c r="GD31" t="e">
        <f>AND(Bills!#REF!,"AAAAAH7d67k=")</f>
        <v>#REF!</v>
      </c>
      <c r="GE31" t="e">
        <f>AND(Bills!#REF!,"AAAAAH7d67o=")</f>
        <v>#REF!</v>
      </c>
      <c r="GF31" t="e">
        <f>AND(Bills!#REF!,"AAAAAH7d67s=")</f>
        <v>#REF!</v>
      </c>
      <c r="GG31" t="e">
        <f>AND(Bills!#REF!,"AAAAAH7d67w=")</f>
        <v>#REF!</v>
      </c>
      <c r="GH31" t="e">
        <f>AND(Bills!#REF!,"AAAAAH7d670=")</f>
        <v>#REF!</v>
      </c>
      <c r="GI31" t="e">
        <f>AND(Bills!#REF!,"AAAAAH7d674=")</f>
        <v>#REF!</v>
      </c>
      <c r="GJ31" t="e">
        <f>AND(Bills!#REF!,"AAAAAH7d678=")</f>
        <v>#REF!</v>
      </c>
      <c r="GK31" t="e">
        <f>AND(Bills!#REF!,"AAAAAH7d68A=")</f>
        <v>#REF!</v>
      </c>
      <c r="GL31" t="e">
        <f>AND(Bills!#REF!,"AAAAAH7d68E=")</f>
        <v>#REF!</v>
      </c>
      <c r="GM31" t="e">
        <f>AND(Bills!#REF!,"AAAAAH7d68I=")</f>
        <v>#REF!</v>
      </c>
      <c r="GN31" t="e">
        <f>AND(Bills!#REF!,"AAAAAH7d68M=")</f>
        <v>#REF!</v>
      </c>
      <c r="GO31" t="e">
        <f>AND(Bills!#REF!,"AAAAAH7d68Q=")</f>
        <v>#REF!</v>
      </c>
      <c r="GP31" t="e">
        <f>AND(Bills!#REF!,"AAAAAH7d68U=")</f>
        <v>#REF!</v>
      </c>
      <c r="GQ31" t="e">
        <f>AND(Bills!#REF!,"AAAAAH7d68Y=")</f>
        <v>#REF!</v>
      </c>
      <c r="GR31" t="e">
        <f>AND(Bills!#REF!,"AAAAAH7d68c=")</f>
        <v>#REF!</v>
      </c>
      <c r="GS31" t="e">
        <f>AND(Bills!#REF!,"AAAAAH7d68g=")</f>
        <v>#REF!</v>
      </c>
      <c r="GT31" t="e">
        <f>AND(Bills!#REF!,"AAAAAH7d68k=")</f>
        <v>#REF!</v>
      </c>
      <c r="GU31" t="e">
        <f>AND(Bills!#REF!,"AAAAAH7d68o=")</f>
        <v>#REF!</v>
      </c>
      <c r="GV31" t="e">
        <f>AND(Bills!#REF!,"AAAAAH7d68s=")</f>
        <v>#REF!</v>
      </c>
      <c r="GW31" t="e">
        <f>AND(Bills!#REF!,"AAAAAH7d68w=")</f>
        <v>#REF!</v>
      </c>
      <c r="GX31" t="e">
        <f>AND(Bills!#REF!,"AAAAAH7d680=")</f>
        <v>#REF!</v>
      </c>
      <c r="GY31" t="e">
        <f>AND(Bills!#REF!,"AAAAAH7d684=")</f>
        <v>#REF!</v>
      </c>
      <c r="GZ31" t="e">
        <f>AND(Bills!#REF!,"AAAAAH7d688=")</f>
        <v>#REF!</v>
      </c>
      <c r="HA31" t="e">
        <f>AND(Bills!#REF!,"AAAAAH7d69A=")</f>
        <v>#REF!</v>
      </c>
      <c r="HB31" t="e">
        <f>AND(Bills!#REF!,"AAAAAH7d69E=")</f>
        <v>#REF!</v>
      </c>
      <c r="HC31" t="e">
        <f>AND(Bills!#REF!,"AAAAAH7d69I=")</f>
        <v>#REF!</v>
      </c>
      <c r="HD31" t="e">
        <f>AND(Bills!#REF!,"AAAAAH7d69M=")</f>
        <v>#REF!</v>
      </c>
      <c r="HE31" t="e">
        <f>AND(Bills!#REF!,"AAAAAH7d69Q=")</f>
        <v>#REF!</v>
      </c>
      <c r="HF31">
        <f>IF(Bills!19:19,"AAAAAH7d69U=",0)</f>
        <v>0</v>
      </c>
      <c r="HG31" t="e">
        <f>AND(Bills!B19,"AAAAAH7d69Y=")</f>
        <v>#VALUE!</v>
      </c>
      <c r="HH31" t="e">
        <f>AND(Bills!#REF!,"AAAAAH7d69c=")</f>
        <v>#REF!</v>
      </c>
      <c r="HI31" t="e">
        <f>AND(Bills!C19,"AAAAAH7d69g=")</f>
        <v>#VALUE!</v>
      </c>
      <c r="HJ31" t="e">
        <f>AND(Bills!D19,"AAAAAH7d69k=")</f>
        <v>#VALUE!</v>
      </c>
      <c r="HK31" t="e">
        <f>AND(Bills!E19,"AAAAAH7d69o=")</f>
        <v>#VALUE!</v>
      </c>
      <c r="HL31" t="e">
        <f>AND(Bills!#REF!,"AAAAAH7d69s=")</f>
        <v>#REF!</v>
      </c>
      <c r="HM31" t="e">
        <f>AND(Bills!#REF!,"AAAAAH7d69w=")</f>
        <v>#REF!</v>
      </c>
      <c r="HN31" t="e">
        <f>AND(Bills!#REF!,"AAAAAH7d690=")</f>
        <v>#REF!</v>
      </c>
      <c r="HO31" t="e">
        <f>AND(Bills!F19,"AAAAAH7d694=")</f>
        <v>#VALUE!</v>
      </c>
      <c r="HP31" t="e">
        <f>AND(Bills!#REF!,"AAAAAH7d698=")</f>
        <v>#REF!</v>
      </c>
      <c r="HQ31" t="e">
        <f>AND(Bills!G19,"AAAAAH7d6+A=")</f>
        <v>#VALUE!</v>
      </c>
      <c r="HR31" t="e">
        <f>AND(Bills!H19,"AAAAAH7d6+E=")</f>
        <v>#VALUE!</v>
      </c>
      <c r="HS31" t="e">
        <f>AND(Bills!I19,"AAAAAH7d6+I=")</f>
        <v>#VALUE!</v>
      </c>
      <c r="HT31" t="e">
        <f>AND(Bills!J19,"AAAAAH7d6+M=")</f>
        <v>#VALUE!</v>
      </c>
      <c r="HU31" t="e">
        <f>AND(Bills!K19,"AAAAAH7d6+Q=")</f>
        <v>#VALUE!</v>
      </c>
      <c r="HV31" t="e">
        <f>AND(Bills!L19,"AAAAAH7d6+U=")</f>
        <v>#VALUE!</v>
      </c>
      <c r="HW31" t="e">
        <f>AND(Bills!#REF!,"AAAAAH7d6+Y=")</f>
        <v>#REF!</v>
      </c>
      <c r="HX31" t="e">
        <f>AND(Bills!M19,"AAAAAH7d6+c=")</f>
        <v>#VALUE!</v>
      </c>
      <c r="HY31" t="e">
        <f>AND(Bills!N19,"AAAAAH7d6+g=")</f>
        <v>#VALUE!</v>
      </c>
      <c r="HZ31" t="e">
        <f>AND(Bills!O19,"AAAAAH7d6+k=")</f>
        <v>#VALUE!</v>
      </c>
      <c r="IA31" t="e">
        <f>AND(Bills!P19,"AAAAAH7d6+o=")</f>
        <v>#VALUE!</v>
      </c>
      <c r="IB31" t="e">
        <f>AND(Bills!Q19,"AAAAAH7d6+s=")</f>
        <v>#VALUE!</v>
      </c>
      <c r="IC31" t="e">
        <f>AND(Bills!R19,"AAAAAH7d6+w=")</f>
        <v>#VALUE!</v>
      </c>
      <c r="ID31" t="e">
        <f>AND(Bills!S19,"AAAAAH7d6+0=")</f>
        <v>#VALUE!</v>
      </c>
      <c r="IE31" t="e">
        <f>AND(Bills!T19,"AAAAAH7d6+4=")</f>
        <v>#VALUE!</v>
      </c>
      <c r="IF31" t="e">
        <f>AND(Bills!#REF!,"AAAAAH7d6+8=")</f>
        <v>#REF!</v>
      </c>
      <c r="IG31" t="e">
        <f>AND(Bills!U19,"AAAAAH7d6/A=")</f>
        <v>#VALUE!</v>
      </c>
      <c r="IH31" t="e">
        <f>AND(Bills!V19,"AAAAAH7d6/E=")</f>
        <v>#VALUE!</v>
      </c>
      <c r="II31" t="e">
        <f>AND(Bills!W19,"AAAAAH7d6/I=")</f>
        <v>#VALUE!</v>
      </c>
      <c r="IJ31" t="e">
        <f>AND(Bills!#REF!,"AAAAAH7d6/M=")</f>
        <v>#REF!</v>
      </c>
      <c r="IK31" t="e">
        <f>AND(Bills!#REF!,"AAAAAH7d6/Q=")</f>
        <v>#REF!</v>
      </c>
      <c r="IL31" t="e">
        <f>AND(Bills!Y19,"AAAAAH7d6/U=")</f>
        <v>#VALUE!</v>
      </c>
      <c r="IM31" t="e">
        <f>AND(Bills!Z19,"AAAAAH7d6/Y=")</f>
        <v>#VALUE!</v>
      </c>
      <c r="IN31" t="e">
        <f>AND(Bills!#REF!,"AAAAAH7d6/c=")</f>
        <v>#REF!</v>
      </c>
      <c r="IO31" t="e">
        <f>AND(Bills!#REF!,"AAAAAH7d6/g=")</f>
        <v>#REF!</v>
      </c>
      <c r="IP31" t="e">
        <f>AND(Bills!#REF!,"AAAAAH7d6/k=")</f>
        <v>#REF!</v>
      </c>
      <c r="IQ31" t="e">
        <f>AND(Bills!#REF!,"AAAAAH7d6/o=")</f>
        <v>#REF!</v>
      </c>
      <c r="IR31" t="e">
        <f>AND(Bills!#REF!,"AAAAAH7d6/s=")</f>
        <v>#REF!</v>
      </c>
      <c r="IS31" t="e">
        <f>AND(Bills!#REF!,"AAAAAH7d6/w=")</f>
        <v>#REF!</v>
      </c>
      <c r="IT31" t="e">
        <f>AND(Bills!#REF!,"AAAAAH7d6/0=")</f>
        <v>#REF!</v>
      </c>
      <c r="IU31" t="e">
        <f>AND(Bills!#REF!,"AAAAAH7d6/4=")</f>
        <v>#REF!</v>
      </c>
      <c r="IV31" t="e">
        <f>AND(Bills!#REF!,"AAAAAH7d6/8=")</f>
        <v>#REF!</v>
      </c>
    </row>
    <row r="32" spans="1:256" x14ac:dyDescent="0.25">
      <c r="A32" t="e">
        <f>AND(Bills!AA19,"AAAAABNb7AA=")</f>
        <v>#VALUE!</v>
      </c>
      <c r="B32" t="e">
        <f>AND(Bills!AB19,"AAAAABNb7AE=")</f>
        <v>#VALUE!</v>
      </c>
      <c r="C32" t="e">
        <f>AND(Bills!#REF!,"AAAAABNb7AI=")</f>
        <v>#REF!</v>
      </c>
      <c r="D32" t="e">
        <f>AND(Bills!#REF!,"AAAAABNb7AM=")</f>
        <v>#REF!</v>
      </c>
      <c r="E32" t="e">
        <f>AND(Bills!#REF!,"AAAAABNb7AQ=")</f>
        <v>#REF!</v>
      </c>
      <c r="F32" t="e">
        <f>AND(Bills!AC19,"AAAAABNb7AU=")</f>
        <v>#VALUE!</v>
      </c>
      <c r="G32" t="e">
        <f>AND(Bills!AD19,"AAAAABNb7AY=")</f>
        <v>#VALUE!</v>
      </c>
      <c r="H32" t="e">
        <f>AND(Bills!AE19,"AAAAABNb7Ac=")</f>
        <v>#VALUE!</v>
      </c>
      <c r="I32" t="e">
        <f>IF(Bills!#REF!,"AAAAABNb7Ag=",0)</f>
        <v>#REF!</v>
      </c>
      <c r="J32" t="e">
        <f>AND(Bills!#REF!,"AAAAABNb7Ak=")</f>
        <v>#REF!</v>
      </c>
      <c r="K32" t="e">
        <f>AND(Bills!#REF!,"AAAAABNb7Ao=")</f>
        <v>#REF!</v>
      </c>
      <c r="L32" t="e">
        <f>AND(Bills!#REF!,"AAAAABNb7As=")</f>
        <v>#REF!</v>
      </c>
      <c r="M32" t="e">
        <f>AND(Bills!#REF!,"AAAAABNb7Aw=")</f>
        <v>#REF!</v>
      </c>
      <c r="N32" t="e">
        <f>AND(Bills!#REF!,"AAAAABNb7A0=")</f>
        <v>#REF!</v>
      </c>
      <c r="O32" t="e">
        <f>AND(Bills!#REF!,"AAAAABNb7A4=")</f>
        <v>#REF!</v>
      </c>
      <c r="P32" t="e">
        <f>AND(Bills!#REF!,"AAAAABNb7A8=")</f>
        <v>#REF!</v>
      </c>
      <c r="Q32" t="e">
        <f>AND(Bills!#REF!,"AAAAABNb7BA=")</f>
        <v>#REF!</v>
      </c>
      <c r="R32" t="e">
        <f>AND(Bills!#REF!,"AAAAABNb7BE=")</f>
        <v>#REF!</v>
      </c>
      <c r="S32" t="e">
        <f>AND(Bills!#REF!,"AAAAABNb7BI=")</f>
        <v>#REF!</v>
      </c>
      <c r="T32" t="e">
        <f>AND(Bills!#REF!,"AAAAABNb7BM=")</f>
        <v>#REF!</v>
      </c>
      <c r="U32" t="e">
        <f>AND(Bills!#REF!,"AAAAABNb7BQ=")</f>
        <v>#REF!</v>
      </c>
      <c r="V32" t="e">
        <f>AND(Bills!#REF!,"AAAAABNb7BU=")</f>
        <v>#REF!</v>
      </c>
      <c r="W32" t="e">
        <f>AND(Bills!#REF!,"AAAAABNb7BY=")</f>
        <v>#REF!</v>
      </c>
      <c r="X32" t="e">
        <f>AND(Bills!#REF!,"AAAAABNb7Bc=")</f>
        <v>#REF!</v>
      </c>
      <c r="Y32" t="e">
        <f>AND(Bills!#REF!,"AAAAABNb7Bg=")</f>
        <v>#REF!</v>
      </c>
      <c r="Z32" t="e">
        <f>AND(Bills!#REF!,"AAAAABNb7Bk=")</f>
        <v>#REF!</v>
      </c>
      <c r="AA32" t="e">
        <f>AND(Bills!#REF!,"AAAAABNb7Bo=")</f>
        <v>#REF!</v>
      </c>
      <c r="AB32" t="e">
        <f>AND(Bills!#REF!,"AAAAABNb7Bs=")</f>
        <v>#REF!</v>
      </c>
      <c r="AC32" t="e">
        <f>AND(Bills!#REF!,"AAAAABNb7Bw=")</f>
        <v>#REF!</v>
      </c>
      <c r="AD32" t="e">
        <f>AND(Bills!#REF!,"AAAAABNb7B0=")</f>
        <v>#REF!</v>
      </c>
      <c r="AE32" t="e">
        <f>AND(Bills!#REF!,"AAAAABNb7B4=")</f>
        <v>#REF!</v>
      </c>
      <c r="AF32" t="e">
        <f>AND(Bills!#REF!,"AAAAABNb7B8=")</f>
        <v>#REF!</v>
      </c>
      <c r="AG32" t="e">
        <f>AND(Bills!#REF!,"AAAAABNb7CA=")</f>
        <v>#REF!</v>
      </c>
      <c r="AH32" t="e">
        <f>AND(Bills!#REF!,"AAAAABNb7CE=")</f>
        <v>#REF!</v>
      </c>
      <c r="AI32" t="e">
        <f>AND(Bills!#REF!,"AAAAABNb7CI=")</f>
        <v>#REF!</v>
      </c>
      <c r="AJ32" t="e">
        <f>AND(Bills!#REF!,"AAAAABNb7CM=")</f>
        <v>#REF!</v>
      </c>
      <c r="AK32" t="e">
        <f>AND(Bills!#REF!,"AAAAABNb7CQ=")</f>
        <v>#REF!</v>
      </c>
      <c r="AL32" t="e">
        <f>AND(Bills!#REF!,"AAAAABNb7CU=")</f>
        <v>#REF!</v>
      </c>
      <c r="AM32" t="e">
        <f>AND(Bills!#REF!,"AAAAABNb7CY=")</f>
        <v>#REF!</v>
      </c>
      <c r="AN32" t="e">
        <f>AND(Bills!#REF!,"AAAAABNb7Cc=")</f>
        <v>#REF!</v>
      </c>
      <c r="AO32" t="e">
        <f>AND(Bills!#REF!,"AAAAABNb7Cg=")</f>
        <v>#REF!</v>
      </c>
      <c r="AP32" t="e">
        <f>AND(Bills!#REF!,"AAAAABNb7Ck=")</f>
        <v>#REF!</v>
      </c>
      <c r="AQ32" t="e">
        <f>AND(Bills!#REF!,"AAAAABNb7Co=")</f>
        <v>#REF!</v>
      </c>
      <c r="AR32" t="e">
        <f>AND(Bills!#REF!,"AAAAABNb7Cs=")</f>
        <v>#REF!</v>
      </c>
      <c r="AS32" t="e">
        <f>AND(Bills!#REF!,"AAAAABNb7Cw=")</f>
        <v>#REF!</v>
      </c>
      <c r="AT32" t="e">
        <f>AND(Bills!#REF!,"AAAAABNb7C0=")</f>
        <v>#REF!</v>
      </c>
      <c r="AU32" t="e">
        <f>AND(Bills!#REF!,"AAAAABNb7C4=")</f>
        <v>#REF!</v>
      </c>
      <c r="AV32" t="e">
        <f>AND(Bills!#REF!,"AAAAABNb7C8=")</f>
        <v>#REF!</v>
      </c>
      <c r="AW32" t="e">
        <f>AND(Bills!#REF!,"AAAAABNb7DA=")</f>
        <v>#REF!</v>
      </c>
      <c r="AX32" t="e">
        <f>AND(Bills!#REF!,"AAAAABNb7DE=")</f>
        <v>#REF!</v>
      </c>
      <c r="AY32" t="e">
        <f>AND(Bills!#REF!,"AAAAABNb7DI=")</f>
        <v>#REF!</v>
      </c>
      <c r="AZ32" t="e">
        <f>AND(Bills!#REF!,"AAAAABNb7DM=")</f>
        <v>#REF!</v>
      </c>
      <c r="BA32" t="e">
        <f>AND(Bills!#REF!,"AAAAABNb7DQ=")</f>
        <v>#REF!</v>
      </c>
      <c r="BB32" t="e">
        <f>AND(Bills!#REF!,"AAAAABNb7DU=")</f>
        <v>#REF!</v>
      </c>
      <c r="BC32" t="e">
        <f>AND(Bills!#REF!,"AAAAABNb7DY=")</f>
        <v>#REF!</v>
      </c>
      <c r="BD32" t="e">
        <f>AND(Bills!#REF!,"AAAAABNb7Dc=")</f>
        <v>#REF!</v>
      </c>
      <c r="BE32" t="e">
        <f>AND(Bills!#REF!,"AAAAABNb7Dg=")</f>
        <v>#REF!</v>
      </c>
      <c r="BF32" t="e">
        <f>AND(Bills!#REF!,"AAAAABNb7Dk=")</f>
        <v>#REF!</v>
      </c>
      <c r="BG32" t="e">
        <f>AND(Bills!#REF!,"AAAAABNb7Do=")</f>
        <v>#REF!</v>
      </c>
      <c r="BH32" t="e">
        <f>IF(Bills!#REF!,"AAAAABNb7Ds=",0)</f>
        <v>#REF!</v>
      </c>
      <c r="BI32" t="e">
        <f>AND(Bills!#REF!,"AAAAABNb7Dw=")</f>
        <v>#REF!</v>
      </c>
      <c r="BJ32" t="e">
        <f>AND(Bills!#REF!,"AAAAABNb7D0=")</f>
        <v>#REF!</v>
      </c>
      <c r="BK32" t="e">
        <f>AND(Bills!#REF!,"AAAAABNb7D4=")</f>
        <v>#REF!</v>
      </c>
      <c r="BL32" t="e">
        <f>AND(Bills!#REF!,"AAAAABNb7D8=")</f>
        <v>#REF!</v>
      </c>
      <c r="BM32" t="e">
        <f>AND(Bills!#REF!,"AAAAABNb7EA=")</f>
        <v>#REF!</v>
      </c>
      <c r="BN32" t="e">
        <f>AND(Bills!#REF!,"AAAAABNb7EE=")</f>
        <v>#REF!</v>
      </c>
      <c r="BO32" t="e">
        <f>AND(Bills!#REF!,"AAAAABNb7EI=")</f>
        <v>#REF!</v>
      </c>
      <c r="BP32" t="e">
        <f>AND(Bills!#REF!,"AAAAABNb7EM=")</f>
        <v>#REF!</v>
      </c>
      <c r="BQ32" t="e">
        <f>AND(Bills!#REF!,"AAAAABNb7EQ=")</f>
        <v>#REF!</v>
      </c>
      <c r="BR32" t="e">
        <f>AND(Bills!#REF!,"AAAAABNb7EU=")</f>
        <v>#REF!</v>
      </c>
      <c r="BS32" t="e">
        <f>AND(Bills!#REF!,"AAAAABNb7EY=")</f>
        <v>#REF!</v>
      </c>
      <c r="BT32" t="e">
        <f>AND(Bills!#REF!,"AAAAABNb7Ec=")</f>
        <v>#REF!</v>
      </c>
      <c r="BU32" t="e">
        <f>AND(Bills!#REF!,"AAAAABNb7Eg=")</f>
        <v>#REF!</v>
      </c>
      <c r="BV32" t="e">
        <f>AND(Bills!#REF!,"AAAAABNb7Ek=")</f>
        <v>#REF!</v>
      </c>
      <c r="BW32" t="e">
        <f>AND(Bills!#REF!,"AAAAABNb7Eo=")</f>
        <v>#REF!</v>
      </c>
      <c r="BX32" t="e">
        <f>AND(Bills!#REF!,"AAAAABNb7Es=")</f>
        <v>#REF!</v>
      </c>
      <c r="BY32" t="e">
        <f>AND(Bills!#REF!,"AAAAABNb7Ew=")</f>
        <v>#REF!</v>
      </c>
      <c r="BZ32" t="e">
        <f>AND(Bills!#REF!,"AAAAABNb7E0=")</f>
        <v>#REF!</v>
      </c>
      <c r="CA32" t="e">
        <f>AND(Bills!#REF!,"AAAAABNb7E4=")</f>
        <v>#REF!</v>
      </c>
      <c r="CB32" t="e">
        <f>AND(Bills!#REF!,"AAAAABNb7E8=")</f>
        <v>#REF!</v>
      </c>
      <c r="CC32" t="e">
        <f>AND(Bills!#REF!,"AAAAABNb7FA=")</f>
        <v>#REF!</v>
      </c>
      <c r="CD32" t="e">
        <f>AND(Bills!#REF!,"AAAAABNb7FE=")</f>
        <v>#REF!</v>
      </c>
      <c r="CE32" t="e">
        <f>AND(Bills!#REF!,"AAAAABNb7FI=")</f>
        <v>#REF!</v>
      </c>
      <c r="CF32" t="e">
        <f>AND(Bills!#REF!,"AAAAABNb7FM=")</f>
        <v>#REF!</v>
      </c>
      <c r="CG32" t="e">
        <f>AND(Bills!#REF!,"AAAAABNb7FQ=")</f>
        <v>#REF!</v>
      </c>
      <c r="CH32" t="e">
        <f>AND(Bills!#REF!,"AAAAABNb7FU=")</f>
        <v>#REF!</v>
      </c>
      <c r="CI32" t="e">
        <f>AND(Bills!#REF!,"AAAAABNb7FY=")</f>
        <v>#REF!</v>
      </c>
      <c r="CJ32" t="e">
        <f>AND(Bills!#REF!,"AAAAABNb7Fc=")</f>
        <v>#REF!</v>
      </c>
      <c r="CK32" t="e">
        <f>AND(Bills!#REF!,"AAAAABNb7Fg=")</f>
        <v>#REF!</v>
      </c>
      <c r="CL32" t="e">
        <f>AND(Bills!#REF!,"AAAAABNb7Fk=")</f>
        <v>#REF!</v>
      </c>
      <c r="CM32" t="e">
        <f>AND(Bills!#REF!,"AAAAABNb7Fo=")</f>
        <v>#REF!</v>
      </c>
      <c r="CN32" t="e">
        <f>AND(Bills!#REF!,"AAAAABNb7Fs=")</f>
        <v>#REF!</v>
      </c>
      <c r="CO32" t="e">
        <f>AND(Bills!#REF!,"AAAAABNb7Fw=")</f>
        <v>#REF!</v>
      </c>
      <c r="CP32" t="e">
        <f>AND(Bills!#REF!,"AAAAABNb7F0=")</f>
        <v>#REF!</v>
      </c>
      <c r="CQ32" t="e">
        <f>AND(Bills!#REF!,"AAAAABNb7F4=")</f>
        <v>#REF!</v>
      </c>
      <c r="CR32" t="e">
        <f>AND(Bills!#REF!,"AAAAABNb7F8=")</f>
        <v>#REF!</v>
      </c>
      <c r="CS32" t="e">
        <f>AND(Bills!#REF!,"AAAAABNb7GA=")</f>
        <v>#REF!</v>
      </c>
      <c r="CT32" t="e">
        <f>AND(Bills!#REF!,"AAAAABNb7GE=")</f>
        <v>#REF!</v>
      </c>
      <c r="CU32" t="e">
        <f>AND(Bills!#REF!,"AAAAABNb7GI=")</f>
        <v>#REF!</v>
      </c>
      <c r="CV32" t="e">
        <f>AND(Bills!#REF!,"AAAAABNb7GM=")</f>
        <v>#REF!</v>
      </c>
      <c r="CW32" t="e">
        <f>AND(Bills!#REF!,"AAAAABNb7GQ=")</f>
        <v>#REF!</v>
      </c>
      <c r="CX32" t="e">
        <f>AND(Bills!#REF!,"AAAAABNb7GU=")</f>
        <v>#REF!</v>
      </c>
      <c r="CY32" t="e">
        <f>AND(Bills!#REF!,"AAAAABNb7GY=")</f>
        <v>#REF!</v>
      </c>
      <c r="CZ32" t="e">
        <f>AND(Bills!#REF!,"AAAAABNb7Gc=")</f>
        <v>#REF!</v>
      </c>
      <c r="DA32" t="e">
        <f>AND(Bills!#REF!,"AAAAABNb7Gg=")</f>
        <v>#REF!</v>
      </c>
      <c r="DB32" t="e">
        <f>AND(Bills!#REF!,"AAAAABNb7Gk=")</f>
        <v>#REF!</v>
      </c>
      <c r="DC32" t="e">
        <f>AND(Bills!#REF!,"AAAAABNb7Go=")</f>
        <v>#REF!</v>
      </c>
      <c r="DD32" t="e">
        <f>AND(Bills!#REF!,"AAAAABNb7Gs=")</f>
        <v>#REF!</v>
      </c>
      <c r="DE32" t="e">
        <f>AND(Bills!#REF!,"AAAAABNb7Gw=")</f>
        <v>#REF!</v>
      </c>
      <c r="DF32" t="e">
        <f>AND(Bills!#REF!,"AAAAABNb7G0=")</f>
        <v>#REF!</v>
      </c>
      <c r="DG32" t="e">
        <f>IF(Bills!#REF!,"AAAAABNb7G4=",0)</f>
        <v>#REF!</v>
      </c>
      <c r="DH32" t="e">
        <f>AND(Bills!#REF!,"AAAAABNb7G8=")</f>
        <v>#REF!</v>
      </c>
      <c r="DI32" t="e">
        <f>AND(Bills!#REF!,"AAAAABNb7HA=")</f>
        <v>#REF!</v>
      </c>
      <c r="DJ32" t="e">
        <f>AND(Bills!#REF!,"AAAAABNb7HE=")</f>
        <v>#REF!</v>
      </c>
      <c r="DK32" t="e">
        <f>AND(Bills!#REF!,"AAAAABNb7HI=")</f>
        <v>#REF!</v>
      </c>
      <c r="DL32" t="e">
        <f>AND(Bills!#REF!,"AAAAABNb7HM=")</f>
        <v>#REF!</v>
      </c>
      <c r="DM32" t="e">
        <f>AND(Bills!#REF!,"AAAAABNb7HQ=")</f>
        <v>#REF!</v>
      </c>
      <c r="DN32" t="e">
        <f>AND(Bills!#REF!,"AAAAABNb7HU=")</f>
        <v>#REF!</v>
      </c>
      <c r="DO32" t="e">
        <f>AND(Bills!#REF!,"AAAAABNb7HY=")</f>
        <v>#REF!</v>
      </c>
      <c r="DP32" t="e">
        <f>AND(Bills!#REF!,"AAAAABNb7Hc=")</f>
        <v>#REF!</v>
      </c>
      <c r="DQ32" t="e">
        <f>AND(Bills!#REF!,"AAAAABNb7Hg=")</f>
        <v>#REF!</v>
      </c>
      <c r="DR32" t="e">
        <f>AND(Bills!#REF!,"AAAAABNb7Hk=")</f>
        <v>#REF!</v>
      </c>
      <c r="DS32" t="e">
        <f>AND(Bills!#REF!,"AAAAABNb7Ho=")</f>
        <v>#REF!</v>
      </c>
      <c r="DT32" t="e">
        <f>AND(Bills!#REF!,"AAAAABNb7Hs=")</f>
        <v>#REF!</v>
      </c>
      <c r="DU32" t="e">
        <f>AND(Bills!#REF!,"AAAAABNb7Hw=")</f>
        <v>#REF!</v>
      </c>
      <c r="DV32" t="e">
        <f>AND(Bills!#REF!,"AAAAABNb7H0=")</f>
        <v>#REF!</v>
      </c>
      <c r="DW32" t="e">
        <f>AND(Bills!#REF!,"AAAAABNb7H4=")</f>
        <v>#REF!</v>
      </c>
      <c r="DX32" t="e">
        <f>AND(Bills!#REF!,"AAAAABNb7H8=")</f>
        <v>#REF!</v>
      </c>
      <c r="DY32" t="e">
        <f>AND(Bills!#REF!,"AAAAABNb7IA=")</f>
        <v>#REF!</v>
      </c>
      <c r="DZ32" t="e">
        <f>AND(Bills!#REF!,"AAAAABNb7IE=")</f>
        <v>#REF!</v>
      </c>
      <c r="EA32" t="e">
        <f>AND(Bills!#REF!,"AAAAABNb7II=")</f>
        <v>#REF!</v>
      </c>
      <c r="EB32" t="e">
        <f>AND(Bills!#REF!,"AAAAABNb7IM=")</f>
        <v>#REF!</v>
      </c>
      <c r="EC32" t="e">
        <f>AND(Bills!#REF!,"AAAAABNb7IQ=")</f>
        <v>#REF!</v>
      </c>
      <c r="ED32" t="e">
        <f>AND(Bills!#REF!,"AAAAABNb7IU=")</f>
        <v>#REF!</v>
      </c>
      <c r="EE32" t="e">
        <f>AND(Bills!#REF!,"AAAAABNb7IY=")</f>
        <v>#REF!</v>
      </c>
      <c r="EF32" t="e">
        <f>AND(Bills!#REF!,"AAAAABNb7Ic=")</f>
        <v>#REF!</v>
      </c>
      <c r="EG32" t="e">
        <f>AND(Bills!#REF!,"AAAAABNb7Ig=")</f>
        <v>#REF!</v>
      </c>
      <c r="EH32" t="e">
        <f>AND(Bills!#REF!,"AAAAABNb7Ik=")</f>
        <v>#REF!</v>
      </c>
      <c r="EI32" t="e">
        <f>AND(Bills!#REF!,"AAAAABNb7Io=")</f>
        <v>#REF!</v>
      </c>
      <c r="EJ32" t="e">
        <f>AND(Bills!#REF!,"AAAAABNb7Is=")</f>
        <v>#REF!</v>
      </c>
      <c r="EK32" t="e">
        <f>AND(Bills!#REF!,"AAAAABNb7Iw=")</f>
        <v>#REF!</v>
      </c>
      <c r="EL32" t="e">
        <f>AND(Bills!#REF!,"AAAAABNb7I0=")</f>
        <v>#REF!</v>
      </c>
      <c r="EM32" t="e">
        <f>AND(Bills!#REF!,"AAAAABNb7I4=")</f>
        <v>#REF!</v>
      </c>
      <c r="EN32" t="e">
        <f>AND(Bills!#REF!,"AAAAABNb7I8=")</f>
        <v>#REF!</v>
      </c>
      <c r="EO32" t="e">
        <f>AND(Bills!#REF!,"AAAAABNb7JA=")</f>
        <v>#REF!</v>
      </c>
      <c r="EP32" t="e">
        <f>AND(Bills!#REF!,"AAAAABNb7JE=")</f>
        <v>#REF!</v>
      </c>
      <c r="EQ32" t="e">
        <f>AND(Bills!#REF!,"AAAAABNb7JI=")</f>
        <v>#REF!</v>
      </c>
      <c r="ER32" t="e">
        <f>AND(Bills!#REF!,"AAAAABNb7JM=")</f>
        <v>#REF!</v>
      </c>
      <c r="ES32" t="e">
        <f>AND(Bills!#REF!,"AAAAABNb7JQ=")</f>
        <v>#REF!</v>
      </c>
      <c r="ET32" t="e">
        <f>AND(Bills!#REF!,"AAAAABNb7JU=")</f>
        <v>#REF!</v>
      </c>
      <c r="EU32" t="e">
        <f>AND(Bills!#REF!,"AAAAABNb7JY=")</f>
        <v>#REF!</v>
      </c>
      <c r="EV32" t="e">
        <f>AND(Bills!#REF!,"AAAAABNb7Jc=")</f>
        <v>#REF!</v>
      </c>
      <c r="EW32" t="e">
        <f>AND(Bills!#REF!,"AAAAABNb7Jg=")</f>
        <v>#REF!</v>
      </c>
      <c r="EX32" t="e">
        <f>AND(Bills!#REF!,"AAAAABNb7Jk=")</f>
        <v>#REF!</v>
      </c>
      <c r="EY32" t="e">
        <f>AND(Bills!#REF!,"AAAAABNb7Jo=")</f>
        <v>#REF!</v>
      </c>
      <c r="EZ32" t="e">
        <f>AND(Bills!#REF!,"AAAAABNb7Js=")</f>
        <v>#REF!</v>
      </c>
      <c r="FA32" t="e">
        <f>AND(Bills!#REF!,"AAAAABNb7Jw=")</f>
        <v>#REF!</v>
      </c>
      <c r="FB32" t="e">
        <f>AND(Bills!#REF!,"AAAAABNb7J0=")</f>
        <v>#REF!</v>
      </c>
      <c r="FC32" t="e">
        <f>AND(Bills!#REF!,"AAAAABNb7J4=")</f>
        <v>#REF!</v>
      </c>
      <c r="FD32" t="e">
        <f>AND(Bills!#REF!,"AAAAABNb7J8=")</f>
        <v>#REF!</v>
      </c>
      <c r="FE32" t="e">
        <f>AND(Bills!#REF!,"AAAAABNb7KA=")</f>
        <v>#REF!</v>
      </c>
      <c r="FF32" t="e">
        <f>IF(Bills!#REF!,"AAAAABNb7KE=",0)</f>
        <v>#REF!</v>
      </c>
      <c r="FG32" t="e">
        <f>AND(Bills!#REF!,"AAAAABNb7KI=")</f>
        <v>#REF!</v>
      </c>
      <c r="FH32" t="e">
        <f>AND(Bills!#REF!,"AAAAABNb7KM=")</f>
        <v>#REF!</v>
      </c>
      <c r="FI32" t="e">
        <f>AND(Bills!#REF!,"AAAAABNb7KQ=")</f>
        <v>#REF!</v>
      </c>
      <c r="FJ32" t="e">
        <f>AND(Bills!#REF!,"AAAAABNb7KU=")</f>
        <v>#REF!</v>
      </c>
      <c r="FK32" t="e">
        <f>AND(Bills!#REF!,"AAAAABNb7KY=")</f>
        <v>#REF!</v>
      </c>
      <c r="FL32" t="e">
        <f>AND(Bills!#REF!,"AAAAABNb7Kc=")</f>
        <v>#REF!</v>
      </c>
      <c r="FM32" t="e">
        <f>AND(Bills!#REF!,"AAAAABNb7Kg=")</f>
        <v>#REF!</v>
      </c>
      <c r="FN32" t="e">
        <f>AND(Bills!#REF!,"AAAAABNb7Kk=")</f>
        <v>#REF!</v>
      </c>
      <c r="FO32" t="e">
        <f>AND(Bills!#REF!,"AAAAABNb7Ko=")</f>
        <v>#REF!</v>
      </c>
      <c r="FP32" t="e">
        <f>AND(Bills!#REF!,"AAAAABNb7Ks=")</f>
        <v>#REF!</v>
      </c>
      <c r="FQ32" t="e">
        <f>AND(Bills!#REF!,"AAAAABNb7Kw=")</f>
        <v>#REF!</v>
      </c>
      <c r="FR32" t="e">
        <f>AND(Bills!#REF!,"AAAAABNb7K0=")</f>
        <v>#REF!</v>
      </c>
      <c r="FS32" t="e">
        <f>AND(Bills!#REF!,"AAAAABNb7K4=")</f>
        <v>#REF!</v>
      </c>
      <c r="FT32" t="e">
        <f>AND(Bills!#REF!,"AAAAABNb7K8=")</f>
        <v>#REF!</v>
      </c>
      <c r="FU32" t="e">
        <f>AND(Bills!#REF!,"AAAAABNb7LA=")</f>
        <v>#REF!</v>
      </c>
      <c r="FV32" t="e">
        <f>AND(Bills!#REF!,"AAAAABNb7LE=")</f>
        <v>#REF!</v>
      </c>
      <c r="FW32" t="e">
        <f>AND(Bills!#REF!,"AAAAABNb7LI=")</f>
        <v>#REF!</v>
      </c>
      <c r="FX32" t="e">
        <f>AND(Bills!#REF!,"AAAAABNb7LM=")</f>
        <v>#REF!</v>
      </c>
      <c r="FY32" t="e">
        <f>AND(Bills!#REF!,"AAAAABNb7LQ=")</f>
        <v>#REF!</v>
      </c>
      <c r="FZ32" t="e">
        <f>AND(Bills!#REF!,"AAAAABNb7LU=")</f>
        <v>#REF!</v>
      </c>
      <c r="GA32" t="e">
        <f>AND(Bills!#REF!,"AAAAABNb7LY=")</f>
        <v>#REF!</v>
      </c>
      <c r="GB32" t="e">
        <f>AND(Bills!#REF!,"AAAAABNb7Lc=")</f>
        <v>#REF!</v>
      </c>
      <c r="GC32" t="e">
        <f>AND(Bills!#REF!,"AAAAABNb7Lg=")</f>
        <v>#REF!</v>
      </c>
      <c r="GD32" t="e">
        <f>AND(Bills!#REF!,"AAAAABNb7Lk=")</f>
        <v>#REF!</v>
      </c>
      <c r="GE32" t="e">
        <f>AND(Bills!#REF!,"AAAAABNb7Lo=")</f>
        <v>#REF!</v>
      </c>
      <c r="GF32" t="e">
        <f>AND(Bills!#REF!,"AAAAABNb7Ls=")</f>
        <v>#REF!</v>
      </c>
      <c r="GG32" t="e">
        <f>AND(Bills!#REF!,"AAAAABNb7Lw=")</f>
        <v>#REF!</v>
      </c>
      <c r="GH32" t="e">
        <f>AND(Bills!#REF!,"AAAAABNb7L0=")</f>
        <v>#REF!</v>
      </c>
      <c r="GI32" t="e">
        <f>AND(Bills!#REF!,"AAAAABNb7L4=")</f>
        <v>#REF!</v>
      </c>
      <c r="GJ32" t="e">
        <f>AND(Bills!#REF!,"AAAAABNb7L8=")</f>
        <v>#REF!</v>
      </c>
      <c r="GK32" t="e">
        <f>AND(Bills!#REF!,"AAAAABNb7MA=")</f>
        <v>#REF!</v>
      </c>
      <c r="GL32" t="e">
        <f>AND(Bills!#REF!,"AAAAABNb7ME=")</f>
        <v>#REF!</v>
      </c>
      <c r="GM32" t="e">
        <f>AND(Bills!#REF!,"AAAAABNb7MI=")</f>
        <v>#REF!</v>
      </c>
      <c r="GN32" t="e">
        <f>AND(Bills!#REF!,"AAAAABNb7MM=")</f>
        <v>#REF!</v>
      </c>
      <c r="GO32" t="e">
        <f>AND(Bills!#REF!,"AAAAABNb7MQ=")</f>
        <v>#REF!</v>
      </c>
      <c r="GP32" t="e">
        <f>AND(Bills!#REF!,"AAAAABNb7MU=")</f>
        <v>#REF!</v>
      </c>
      <c r="GQ32" t="e">
        <f>AND(Bills!#REF!,"AAAAABNb7MY=")</f>
        <v>#REF!</v>
      </c>
      <c r="GR32" t="e">
        <f>AND(Bills!#REF!,"AAAAABNb7Mc=")</f>
        <v>#REF!</v>
      </c>
      <c r="GS32" t="e">
        <f>AND(Bills!#REF!,"AAAAABNb7Mg=")</f>
        <v>#REF!</v>
      </c>
      <c r="GT32" t="e">
        <f>AND(Bills!#REF!,"AAAAABNb7Mk=")</f>
        <v>#REF!</v>
      </c>
      <c r="GU32" t="e">
        <f>AND(Bills!#REF!,"AAAAABNb7Mo=")</f>
        <v>#REF!</v>
      </c>
      <c r="GV32" t="e">
        <f>AND(Bills!#REF!,"AAAAABNb7Ms=")</f>
        <v>#REF!</v>
      </c>
      <c r="GW32" t="e">
        <f>AND(Bills!#REF!,"AAAAABNb7Mw=")</f>
        <v>#REF!</v>
      </c>
      <c r="GX32" t="e">
        <f>AND(Bills!#REF!,"AAAAABNb7M0=")</f>
        <v>#REF!</v>
      </c>
      <c r="GY32" t="e">
        <f>AND(Bills!#REF!,"AAAAABNb7M4=")</f>
        <v>#REF!</v>
      </c>
      <c r="GZ32" t="e">
        <f>AND(Bills!#REF!,"AAAAABNb7M8=")</f>
        <v>#REF!</v>
      </c>
      <c r="HA32" t="e">
        <f>AND(Bills!#REF!,"AAAAABNb7NA=")</f>
        <v>#REF!</v>
      </c>
      <c r="HB32" t="e">
        <f>AND(Bills!#REF!,"AAAAABNb7NE=")</f>
        <v>#REF!</v>
      </c>
      <c r="HC32" t="e">
        <f>AND(Bills!#REF!,"AAAAABNb7NI=")</f>
        <v>#REF!</v>
      </c>
      <c r="HD32" t="e">
        <f>AND(Bills!#REF!,"AAAAABNb7NM=")</f>
        <v>#REF!</v>
      </c>
      <c r="HE32" t="e">
        <f>IF(Bills!#REF!,"AAAAABNb7NQ=",0)</f>
        <v>#REF!</v>
      </c>
      <c r="HF32" t="e">
        <f>AND(Bills!#REF!,"AAAAABNb7NU=")</f>
        <v>#REF!</v>
      </c>
      <c r="HG32" t="e">
        <f>AND(Bills!#REF!,"AAAAABNb7NY=")</f>
        <v>#REF!</v>
      </c>
      <c r="HH32" t="e">
        <f>AND(Bills!#REF!,"AAAAABNb7Nc=")</f>
        <v>#REF!</v>
      </c>
      <c r="HI32" t="e">
        <f>AND(Bills!#REF!,"AAAAABNb7Ng=")</f>
        <v>#REF!</v>
      </c>
      <c r="HJ32" t="e">
        <f>AND(Bills!#REF!,"AAAAABNb7Nk=")</f>
        <v>#REF!</v>
      </c>
      <c r="HK32" t="e">
        <f>AND(Bills!#REF!,"AAAAABNb7No=")</f>
        <v>#REF!</v>
      </c>
      <c r="HL32" t="e">
        <f>AND(Bills!#REF!,"AAAAABNb7Ns=")</f>
        <v>#REF!</v>
      </c>
      <c r="HM32" t="e">
        <f>AND(Bills!#REF!,"AAAAABNb7Nw=")</f>
        <v>#REF!</v>
      </c>
      <c r="HN32" t="e">
        <f>AND(Bills!#REF!,"AAAAABNb7N0=")</f>
        <v>#REF!</v>
      </c>
      <c r="HO32" t="e">
        <f>AND(Bills!#REF!,"AAAAABNb7N4=")</f>
        <v>#REF!</v>
      </c>
      <c r="HP32" t="e">
        <f>AND(Bills!#REF!,"AAAAABNb7N8=")</f>
        <v>#REF!</v>
      </c>
      <c r="HQ32" t="e">
        <f>AND(Bills!#REF!,"AAAAABNb7OA=")</f>
        <v>#REF!</v>
      </c>
      <c r="HR32" t="e">
        <f>AND(Bills!#REF!,"AAAAABNb7OE=")</f>
        <v>#REF!</v>
      </c>
      <c r="HS32" t="e">
        <f>AND(Bills!#REF!,"AAAAABNb7OI=")</f>
        <v>#REF!</v>
      </c>
      <c r="HT32" t="e">
        <f>AND(Bills!#REF!,"AAAAABNb7OM=")</f>
        <v>#REF!</v>
      </c>
      <c r="HU32" t="e">
        <f>AND(Bills!#REF!,"AAAAABNb7OQ=")</f>
        <v>#REF!</v>
      </c>
      <c r="HV32" t="e">
        <f>AND(Bills!#REF!,"AAAAABNb7OU=")</f>
        <v>#REF!</v>
      </c>
      <c r="HW32" t="e">
        <f>AND(Bills!#REF!,"AAAAABNb7OY=")</f>
        <v>#REF!</v>
      </c>
      <c r="HX32" t="e">
        <f>AND(Bills!#REF!,"AAAAABNb7Oc=")</f>
        <v>#REF!</v>
      </c>
      <c r="HY32" t="e">
        <f>AND(Bills!#REF!,"AAAAABNb7Og=")</f>
        <v>#REF!</v>
      </c>
      <c r="HZ32" t="e">
        <f>AND(Bills!#REF!,"AAAAABNb7Ok=")</f>
        <v>#REF!</v>
      </c>
      <c r="IA32" t="e">
        <f>AND(Bills!#REF!,"AAAAABNb7Oo=")</f>
        <v>#REF!</v>
      </c>
      <c r="IB32" t="e">
        <f>AND(Bills!#REF!,"AAAAABNb7Os=")</f>
        <v>#REF!</v>
      </c>
      <c r="IC32" t="e">
        <f>AND(Bills!#REF!,"AAAAABNb7Ow=")</f>
        <v>#REF!</v>
      </c>
      <c r="ID32" t="e">
        <f>AND(Bills!#REF!,"AAAAABNb7O0=")</f>
        <v>#REF!</v>
      </c>
      <c r="IE32" t="e">
        <f>AND(Bills!#REF!,"AAAAABNb7O4=")</f>
        <v>#REF!</v>
      </c>
      <c r="IF32" t="e">
        <f>AND(Bills!#REF!,"AAAAABNb7O8=")</f>
        <v>#REF!</v>
      </c>
      <c r="IG32" t="e">
        <f>AND(Bills!#REF!,"AAAAABNb7PA=")</f>
        <v>#REF!</v>
      </c>
      <c r="IH32" t="e">
        <f>AND(Bills!#REF!,"AAAAABNb7PE=")</f>
        <v>#REF!</v>
      </c>
      <c r="II32" t="e">
        <f>AND(Bills!#REF!,"AAAAABNb7PI=")</f>
        <v>#REF!</v>
      </c>
      <c r="IJ32" t="e">
        <f>AND(Bills!#REF!,"AAAAABNb7PM=")</f>
        <v>#REF!</v>
      </c>
      <c r="IK32" t="e">
        <f>AND(Bills!#REF!,"AAAAABNb7PQ=")</f>
        <v>#REF!</v>
      </c>
      <c r="IL32" t="e">
        <f>AND(Bills!#REF!,"AAAAABNb7PU=")</f>
        <v>#REF!</v>
      </c>
      <c r="IM32" t="e">
        <f>AND(Bills!#REF!,"AAAAABNb7PY=")</f>
        <v>#REF!</v>
      </c>
      <c r="IN32" t="e">
        <f>AND(Bills!#REF!,"AAAAABNb7Pc=")</f>
        <v>#REF!</v>
      </c>
      <c r="IO32" t="e">
        <f>AND(Bills!#REF!,"AAAAABNb7Pg=")</f>
        <v>#REF!</v>
      </c>
      <c r="IP32" t="e">
        <f>AND(Bills!#REF!,"AAAAABNb7Pk=")</f>
        <v>#REF!</v>
      </c>
      <c r="IQ32" t="e">
        <f>AND(Bills!#REF!,"AAAAABNb7Po=")</f>
        <v>#REF!</v>
      </c>
      <c r="IR32" t="e">
        <f>AND(Bills!#REF!,"AAAAABNb7Ps=")</f>
        <v>#REF!</v>
      </c>
      <c r="IS32" t="e">
        <f>AND(Bills!#REF!,"AAAAABNb7Pw=")</f>
        <v>#REF!</v>
      </c>
      <c r="IT32" t="e">
        <f>AND(Bills!#REF!,"AAAAABNb7P0=")</f>
        <v>#REF!</v>
      </c>
      <c r="IU32" t="e">
        <f>AND(Bills!#REF!,"AAAAABNb7P4=")</f>
        <v>#REF!</v>
      </c>
      <c r="IV32" t="e">
        <f>AND(Bills!#REF!,"AAAAABNb7P8=")</f>
        <v>#REF!</v>
      </c>
    </row>
    <row r="33" spans="1:256" x14ac:dyDescent="0.25">
      <c r="A33" t="e">
        <f>AND(Bills!#REF!,"AAAAAD/vdQA=")</f>
        <v>#REF!</v>
      </c>
      <c r="B33" t="e">
        <f>AND(Bills!#REF!,"AAAAAD/vdQE=")</f>
        <v>#REF!</v>
      </c>
      <c r="C33" t="e">
        <f>AND(Bills!#REF!,"AAAAAD/vdQI=")</f>
        <v>#REF!</v>
      </c>
      <c r="D33" t="e">
        <f>AND(Bills!#REF!,"AAAAAD/vdQM=")</f>
        <v>#REF!</v>
      </c>
      <c r="E33" t="e">
        <f>AND(Bills!#REF!,"AAAAAD/vdQQ=")</f>
        <v>#REF!</v>
      </c>
      <c r="F33" t="e">
        <f>AND(Bills!#REF!,"AAAAAD/vdQU=")</f>
        <v>#REF!</v>
      </c>
      <c r="G33" t="e">
        <f>AND(Bills!#REF!,"AAAAAD/vdQY=")</f>
        <v>#REF!</v>
      </c>
      <c r="H33" t="e">
        <f>IF(Bills!#REF!,"AAAAAD/vdQc=",0)</f>
        <v>#REF!</v>
      </c>
      <c r="I33" t="e">
        <f>AND(Bills!#REF!,"AAAAAD/vdQg=")</f>
        <v>#REF!</v>
      </c>
      <c r="J33" t="e">
        <f>AND(Bills!#REF!,"AAAAAD/vdQk=")</f>
        <v>#REF!</v>
      </c>
      <c r="K33" t="e">
        <f>AND(Bills!#REF!,"AAAAAD/vdQo=")</f>
        <v>#REF!</v>
      </c>
      <c r="L33" t="e">
        <f>AND(Bills!#REF!,"AAAAAD/vdQs=")</f>
        <v>#REF!</v>
      </c>
      <c r="M33" t="e">
        <f>AND(Bills!#REF!,"AAAAAD/vdQw=")</f>
        <v>#REF!</v>
      </c>
      <c r="N33" t="e">
        <f>AND(Bills!#REF!,"AAAAAD/vdQ0=")</f>
        <v>#REF!</v>
      </c>
      <c r="O33" t="e">
        <f>AND(Bills!#REF!,"AAAAAD/vdQ4=")</f>
        <v>#REF!</v>
      </c>
      <c r="P33" t="e">
        <f>AND(Bills!#REF!,"AAAAAD/vdQ8=")</f>
        <v>#REF!</v>
      </c>
      <c r="Q33" t="e">
        <f>AND(Bills!#REF!,"AAAAAD/vdRA=")</f>
        <v>#REF!</v>
      </c>
      <c r="R33" t="e">
        <f>AND(Bills!#REF!,"AAAAAD/vdRE=")</f>
        <v>#REF!</v>
      </c>
      <c r="S33" t="e">
        <f>AND(Bills!#REF!,"AAAAAD/vdRI=")</f>
        <v>#REF!</v>
      </c>
      <c r="T33" t="e">
        <f>AND(Bills!#REF!,"AAAAAD/vdRM=")</f>
        <v>#REF!</v>
      </c>
      <c r="U33" t="e">
        <f>AND(Bills!#REF!,"AAAAAD/vdRQ=")</f>
        <v>#REF!</v>
      </c>
      <c r="V33" t="e">
        <f>AND(Bills!#REF!,"AAAAAD/vdRU=")</f>
        <v>#REF!</v>
      </c>
      <c r="W33" t="e">
        <f>AND(Bills!#REF!,"AAAAAD/vdRY=")</f>
        <v>#REF!</v>
      </c>
      <c r="X33" t="e">
        <f>AND(Bills!#REF!,"AAAAAD/vdRc=")</f>
        <v>#REF!</v>
      </c>
      <c r="Y33" t="e">
        <f>AND(Bills!#REF!,"AAAAAD/vdRg=")</f>
        <v>#REF!</v>
      </c>
      <c r="Z33" t="e">
        <f>AND(Bills!#REF!,"AAAAAD/vdRk=")</f>
        <v>#REF!</v>
      </c>
      <c r="AA33" t="e">
        <f>AND(Bills!#REF!,"AAAAAD/vdRo=")</f>
        <v>#REF!</v>
      </c>
      <c r="AB33" t="e">
        <f>AND(Bills!#REF!,"AAAAAD/vdRs=")</f>
        <v>#REF!</v>
      </c>
      <c r="AC33" t="e">
        <f>AND(Bills!#REF!,"AAAAAD/vdRw=")</f>
        <v>#REF!</v>
      </c>
      <c r="AD33" t="e">
        <f>AND(Bills!#REF!,"AAAAAD/vdR0=")</f>
        <v>#REF!</v>
      </c>
      <c r="AE33" t="e">
        <f>AND(Bills!#REF!,"AAAAAD/vdR4=")</f>
        <v>#REF!</v>
      </c>
      <c r="AF33" t="e">
        <f>AND(Bills!#REF!,"AAAAAD/vdR8=")</f>
        <v>#REF!</v>
      </c>
      <c r="AG33" t="e">
        <f>AND(Bills!#REF!,"AAAAAD/vdSA=")</f>
        <v>#REF!</v>
      </c>
      <c r="AH33" t="e">
        <f>AND(Bills!#REF!,"AAAAAD/vdSE=")</f>
        <v>#REF!</v>
      </c>
      <c r="AI33" t="e">
        <f>AND(Bills!#REF!,"AAAAAD/vdSI=")</f>
        <v>#REF!</v>
      </c>
      <c r="AJ33" t="e">
        <f>AND(Bills!#REF!,"AAAAAD/vdSM=")</f>
        <v>#REF!</v>
      </c>
      <c r="AK33" t="e">
        <f>AND(Bills!#REF!,"AAAAAD/vdSQ=")</f>
        <v>#REF!</v>
      </c>
      <c r="AL33" t="e">
        <f>AND(Bills!#REF!,"AAAAAD/vdSU=")</f>
        <v>#REF!</v>
      </c>
      <c r="AM33" t="e">
        <f>AND(Bills!#REF!,"AAAAAD/vdSY=")</f>
        <v>#REF!</v>
      </c>
      <c r="AN33" t="e">
        <f>AND(Bills!#REF!,"AAAAAD/vdSc=")</f>
        <v>#REF!</v>
      </c>
      <c r="AO33" t="e">
        <f>AND(Bills!#REF!,"AAAAAD/vdSg=")</f>
        <v>#REF!</v>
      </c>
      <c r="AP33" t="e">
        <f>AND(Bills!#REF!,"AAAAAD/vdSk=")</f>
        <v>#REF!</v>
      </c>
      <c r="AQ33" t="e">
        <f>AND(Bills!#REF!,"AAAAAD/vdSo=")</f>
        <v>#REF!</v>
      </c>
      <c r="AR33" t="e">
        <f>AND(Bills!#REF!,"AAAAAD/vdSs=")</f>
        <v>#REF!</v>
      </c>
      <c r="AS33" t="e">
        <f>AND(Bills!#REF!,"AAAAAD/vdSw=")</f>
        <v>#REF!</v>
      </c>
      <c r="AT33" t="e">
        <f>AND(Bills!#REF!,"AAAAAD/vdS0=")</f>
        <v>#REF!</v>
      </c>
      <c r="AU33" t="e">
        <f>AND(Bills!#REF!,"AAAAAD/vdS4=")</f>
        <v>#REF!</v>
      </c>
      <c r="AV33" t="e">
        <f>AND(Bills!#REF!,"AAAAAD/vdS8=")</f>
        <v>#REF!</v>
      </c>
      <c r="AW33" t="e">
        <f>AND(Bills!#REF!,"AAAAAD/vdTA=")</f>
        <v>#REF!</v>
      </c>
      <c r="AX33" t="e">
        <f>AND(Bills!#REF!,"AAAAAD/vdTE=")</f>
        <v>#REF!</v>
      </c>
      <c r="AY33" t="e">
        <f>AND(Bills!#REF!,"AAAAAD/vdTI=")</f>
        <v>#REF!</v>
      </c>
      <c r="AZ33" t="e">
        <f>AND(Bills!#REF!,"AAAAAD/vdTM=")</f>
        <v>#REF!</v>
      </c>
      <c r="BA33" t="e">
        <f>AND(Bills!#REF!,"AAAAAD/vdTQ=")</f>
        <v>#REF!</v>
      </c>
      <c r="BB33" t="e">
        <f>AND(Bills!#REF!,"AAAAAD/vdTU=")</f>
        <v>#REF!</v>
      </c>
      <c r="BC33" t="e">
        <f>AND(Bills!#REF!,"AAAAAD/vdTY=")</f>
        <v>#REF!</v>
      </c>
      <c r="BD33" t="e">
        <f>AND(Bills!#REF!,"AAAAAD/vdTc=")</f>
        <v>#REF!</v>
      </c>
      <c r="BE33" t="e">
        <f>AND(Bills!#REF!,"AAAAAD/vdTg=")</f>
        <v>#REF!</v>
      </c>
      <c r="BF33" t="e">
        <f>AND(Bills!#REF!,"AAAAAD/vdTk=")</f>
        <v>#REF!</v>
      </c>
      <c r="BG33">
        <f>IF(Bills!20:20,"AAAAAD/vdTo=",0)</f>
        <v>0</v>
      </c>
      <c r="BH33" t="e">
        <f>AND(Bills!B20,"AAAAAD/vdTs=")</f>
        <v>#VALUE!</v>
      </c>
      <c r="BI33" t="e">
        <f>AND(Bills!#REF!,"AAAAAD/vdTw=")</f>
        <v>#REF!</v>
      </c>
      <c r="BJ33" t="e">
        <f>AND(Bills!C20,"AAAAAD/vdT0=")</f>
        <v>#VALUE!</v>
      </c>
      <c r="BK33" t="e">
        <f>AND(Bills!D20,"AAAAAD/vdT4=")</f>
        <v>#VALUE!</v>
      </c>
      <c r="BL33" t="e">
        <f>AND(Bills!E20,"AAAAAD/vdT8=")</f>
        <v>#VALUE!</v>
      </c>
      <c r="BM33" t="e">
        <f>AND(Bills!#REF!,"AAAAAD/vdUA=")</f>
        <v>#REF!</v>
      </c>
      <c r="BN33" t="e">
        <f>AND(Bills!#REF!,"AAAAAD/vdUE=")</f>
        <v>#REF!</v>
      </c>
      <c r="BO33" t="e">
        <f>AND(Bills!#REF!,"AAAAAD/vdUI=")</f>
        <v>#REF!</v>
      </c>
      <c r="BP33" t="e">
        <f>AND(Bills!F20,"AAAAAD/vdUM=")</f>
        <v>#VALUE!</v>
      </c>
      <c r="BQ33" t="e">
        <f>AND(Bills!#REF!,"AAAAAD/vdUQ=")</f>
        <v>#REF!</v>
      </c>
      <c r="BR33" t="e">
        <f>AND(Bills!G20,"AAAAAD/vdUU=")</f>
        <v>#VALUE!</v>
      </c>
      <c r="BS33" t="e">
        <f>AND(Bills!H20,"AAAAAD/vdUY=")</f>
        <v>#VALUE!</v>
      </c>
      <c r="BT33" t="e">
        <f>AND(Bills!I20,"AAAAAD/vdUc=")</f>
        <v>#VALUE!</v>
      </c>
      <c r="BU33" t="e">
        <f>AND(Bills!J20,"AAAAAD/vdUg=")</f>
        <v>#VALUE!</v>
      </c>
      <c r="BV33" t="e">
        <f>AND(Bills!K20,"AAAAAD/vdUk=")</f>
        <v>#VALUE!</v>
      </c>
      <c r="BW33" t="e">
        <f>AND(Bills!L20,"AAAAAD/vdUo=")</f>
        <v>#VALUE!</v>
      </c>
      <c r="BX33" t="e">
        <f>AND(Bills!#REF!,"AAAAAD/vdUs=")</f>
        <v>#REF!</v>
      </c>
      <c r="BY33" t="e">
        <f>AND(Bills!M20,"AAAAAD/vdUw=")</f>
        <v>#VALUE!</v>
      </c>
      <c r="BZ33" t="e">
        <f>AND(Bills!N20,"AAAAAD/vdU0=")</f>
        <v>#VALUE!</v>
      </c>
      <c r="CA33" t="e">
        <f>AND(Bills!O20,"AAAAAD/vdU4=")</f>
        <v>#VALUE!</v>
      </c>
      <c r="CB33" t="e">
        <f>AND(Bills!P20,"AAAAAD/vdU8=")</f>
        <v>#VALUE!</v>
      </c>
      <c r="CC33" t="e">
        <f>AND(Bills!Q20,"AAAAAD/vdVA=")</f>
        <v>#VALUE!</v>
      </c>
      <c r="CD33" t="e">
        <f>AND(Bills!R20,"AAAAAD/vdVE=")</f>
        <v>#VALUE!</v>
      </c>
      <c r="CE33" t="e">
        <f>AND(Bills!S20,"AAAAAD/vdVI=")</f>
        <v>#VALUE!</v>
      </c>
      <c r="CF33" t="e">
        <f>AND(Bills!T20,"AAAAAD/vdVM=")</f>
        <v>#VALUE!</v>
      </c>
      <c r="CG33" t="e">
        <f>AND(Bills!#REF!,"AAAAAD/vdVQ=")</f>
        <v>#REF!</v>
      </c>
      <c r="CH33" t="e">
        <f>AND(Bills!U20,"AAAAAD/vdVU=")</f>
        <v>#VALUE!</v>
      </c>
      <c r="CI33" t="e">
        <f>AND(Bills!V20,"AAAAAD/vdVY=")</f>
        <v>#VALUE!</v>
      </c>
      <c r="CJ33" t="e">
        <f>AND(Bills!W20,"AAAAAD/vdVc=")</f>
        <v>#VALUE!</v>
      </c>
      <c r="CK33" t="e">
        <f>AND(Bills!#REF!,"AAAAAD/vdVg=")</f>
        <v>#REF!</v>
      </c>
      <c r="CL33" t="e">
        <f>AND(Bills!#REF!,"AAAAAD/vdVk=")</f>
        <v>#REF!</v>
      </c>
      <c r="CM33" t="e">
        <f>AND(Bills!Y20,"AAAAAD/vdVo=")</f>
        <v>#VALUE!</v>
      </c>
      <c r="CN33" t="e">
        <f>AND(Bills!Z20,"AAAAAD/vdVs=")</f>
        <v>#VALUE!</v>
      </c>
      <c r="CO33" t="e">
        <f>AND(Bills!#REF!,"AAAAAD/vdVw=")</f>
        <v>#REF!</v>
      </c>
      <c r="CP33" t="e">
        <f>AND(Bills!#REF!,"AAAAAD/vdV0=")</f>
        <v>#REF!</v>
      </c>
      <c r="CQ33" t="e">
        <f>AND(Bills!#REF!,"AAAAAD/vdV4=")</f>
        <v>#REF!</v>
      </c>
      <c r="CR33" t="e">
        <f>AND(Bills!#REF!,"AAAAAD/vdV8=")</f>
        <v>#REF!</v>
      </c>
      <c r="CS33" t="e">
        <f>AND(Bills!#REF!,"AAAAAD/vdWA=")</f>
        <v>#REF!</v>
      </c>
      <c r="CT33" t="e">
        <f>AND(Bills!#REF!,"AAAAAD/vdWE=")</f>
        <v>#REF!</v>
      </c>
      <c r="CU33" t="e">
        <f>AND(Bills!#REF!,"AAAAAD/vdWI=")</f>
        <v>#REF!</v>
      </c>
      <c r="CV33" t="e">
        <f>AND(Bills!#REF!,"AAAAAD/vdWM=")</f>
        <v>#REF!</v>
      </c>
      <c r="CW33" t="e">
        <f>AND(Bills!#REF!,"AAAAAD/vdWQ=")</f>
        <v>#REF!</v>
      </c>
      <c r="CX33" t="e">
        <f>AND(Bills!AA20,"AAAAAD/vdWU=")</f>
        <v>#VALUE!</v>
      </c>
      <c r="CY33" t="e">
        <f>AND(Bills!AB20,"AAAAAD/vdWY=")</f>
        <v>#VALUE!</v>
      </c>
      <c r="CZ33" t="e">
        <f>AND(Bills!#REF!,"AAAAAD/vdWc=")</f>
        <v>#REF!</v>
      </c>
      <c r="DA33" t="e">
        <f>AND(Bills!#REF!,"AAAAAD/vdWg=")</f>
        <v>#REF!</v>
      </c>
      <c r="DB33" t="e">
        <f>AND(Bills!#REF!,"AAAAAD/vdWk=")</f>
        <v>#REF!</v>
      </c>
      <c r="DC33" t="e">
        <f>AND(Bills!AC20,"AAAAAD/vdWo=")</f>
        <v>#VALUE!</v>
      </c>
      <c r="DD33" t="e">
        <f>AND(Bills!AD20,"AAAAAD/vdWs=")</f>
        <v>#VALUE!</v>
      </c>
      <c r="DE33" t="e">
        <f>AND(Bills!AE20,"AAAAAD/vdWw=")</f>
        <v>#VALUE!</v>
      </c>
      <c r="DF33" t="e">
        <f>IF(Bills!#REF!,"AAAAAD/vdW0=",0)</f>
        <v>#REF!</v>
      </c>
      <c r="DG33" t="e">
        <f>AND(Bills!#REF!,"AAAAAD/vdW4=")</f>
        <v>#REF!</v>
      </c>
      <c r="DH33" t="e">
        <f>AND(Bills!#REF!,"AAAAAD/vdW8=")</f>
        <v>#REF!</v>
      </c>
      <c r="DI33" t="e">
        <f>AND(Bills!#REF!,"AAAAAD/vdXA=")</f>
        <v>#REF!</v>
      </c>
      <c r="DJ33" t="e">
        <f>AND(Bills!#REF!,"AAAAAD/vdXE=")</f>
        <v>#REF!</v>
      </c>
      <c r="DK33" t="e">
        <f>AND(Bills!#REF!,"AAAAAD/vdXI=")</f>
        <v>#REF!</v>
      </c>
      <c r="DL33" t="e">
        <f>AND(Bills!#REF!,"AAAAAD/vdXM=")</f>
        <v>#REF!</v>
      </c>
      <c r="DM33" t="e">
        <f>AND(Bills!#REF!,"AAAAAD/vdXQ=")</f>
        <v>#REF!</v>
      </c>
      <c r="DN33" t="e">
        <f>AND(Bills!#REF!,"AAAAAD/vdXU=")</f>
        <v>#REF!</v>
      </c>
      <c r="DO33" t="e">
        <f>AND(Bills!#REF!,"AAAAAD/vdXY=")</f>
        <v>#REF!</v>
      </c>
      <c r="DP33" t="e">
        <f>AND(Bills!#REF!,"AAAAAD/vdXc=")</f>
        <v>#REF!</v>
      </c>
      <c r="DQ33" t="e">
        <f>AND(Bills!#REF!,"AAAAAD/vdXg=")</f>
        <v>#REF!</v>
      </c>
      <c r="DR33" t="e">
        <f>AND(Bills!#REF!,"AAAAAD/vdXk=")</f>
        <v>#REF!</v>
      </c>
      <c r="DS33" t="e">
        <f>AND(Bills!#REF!,"AAAAAD/vdXo=")</f>
        <v>#REF!</v>
      </c>
      <c r="DT33" t="e">
        <f>AND(Bills!#REF!,"AAAAAD/vdXs=")</f>
        <v>#REF!</v>
      </c>
      <c r="DU33" t="e">
        <f>AND(Bills!#REF!,"AAAAAD/vdXw=")</f>
        <v>#REF!</v>
      </c>
      <c r="DV33" t="e">
        <f>AND(Bills!#REF!,"AAAAAD/vdX0=")</f>
        <v>#REF!</v>
      </c>
      <c r="DW33" t="e">
        <f>AND(Bills!#REF!,"AAAAAD/vdX4=")</f>
        <v>#REF!</v>
      </c>
      <c r="DX33" t="e">
        <f>AND(Bills!#REF!,"AAAAAD/vdX8=")</f>
        <v>#REF!</v>
      </c>
      <c r="DY33" t="e">
        <f>AND(Bills!#REF!,"AAAAAD/vdYA=")</f>
        <v>#REF!</v>
      </c>
      <c r="DZ33" t="e">
        <f>AND(Bills!#REF!,"AAAAAD/vdYE=")</f>
        <v>#REF!</v>
      </c>
      <c r="EA33" t="e">
        <f>AND(Bills!#REF!,"AAAAAD/vdYI=")</f>
        <v>#REF!</v>
      </c>
      <c r="EB33" t="e">
        <f>AND(Bills!#REF!,"AAAAAD/vdYM=")</f>
        <v>#REF!</v>
      </c>
      <c r="EC33" t="e">
        <f>AND(Bills!#REF!,"AAAAAD/vdYQ=")</f>
        <v>#REF!</v>
      </c>
      <c r="ED33" t="e">
        <f>AND(Bills!#REF!,"AAAAAD/vdYU=")</f>
        <v>#REF!</v>
      </c>
      <c r="EE33" t="e">
        <f>AND(Bills!#REF!,"AAAAAD/vdYY=")</f>
        <v>#REF!</v>
      </c>
      <c r="EF33" t="e">
        <f>AND(Bills!#REF!,"AAAAAD/vdYc=")</f>
        <v>#REF!</v>
      </c>
      <c r="EG33" t="e">
        <f>AND(Bills!#REF!,"AAAAAD/vdYg=")</f>
        <v>#REF!</v>
      </c>
      <c r="EH33" t="e">
        <f>AND(Bills!#REF!,"AAAAAD/vdYk=")</f>
        <v>#REF!</v>
      </c>
      <c r="EI33" t="e">
        <f>AND(Bills!#REF!,"AAAAAD/vdYo=")</f>
        <v>#REF!</v>
      </c>
      <c r="EJ33" t="e">
        <f>AND(Bills!#REF!,"AAAAAD/vdYs=")</f>
        <v>#REF!</v>
      </c>
      <c r="EK33" t="e">
        <f>AND(Bills!#REF!,"AAAAAD/vdYw=")</f>
        <v>#REF!</v>
      </c>
      <c r="EL33" t="e">
        <f>AND(Bills!#REF!,"AAAAAD/vdY0=")</f>
        <v>#REF!</v>
      </c>
      <c r="EM33" t="e">
        <f>AND(Bills!#REF!,"AAAAAD/vdY4=")</f>
        <v>#REF!</v>
      </c>
      <c r="EN33" t="e">
        <f>AND(Bills!#REF!,"AAAAAD/vdY8=")</f>
        <v>#REF!</v>
      </c>
      <c r="EO33" t="e">
        <f>AND(Bills!#REF!,"AAAAAD/vdZA=")</f>
        <v>#REF!</v>
      </c>
      <c r="EP33" t="e">
        <f>AND(Bills!#REF!,"AAAAAD/vdZE=")</f>
        <v>#REF!</v>
      </c>
      <c r="EQ33" t="e">
        <f>AND(Bills!#REF!,"AAAAAD/vdZI=")</f>
        <v>#REF!</v>
      </c>
      <c r="ER33" t="e">
        <f>AND(Bills!#REF!,"AAAAAD/vdZM=")</f>
        <v>#REF!</v>
      </c>
      <c r="ES33" t="e">
        <f>AND(Bills!#REF!,"AAAAAD/vdZQ=")</f>
        <v>#REF!</v>
      </c>
      <c r="ET33" t="e">
        <f>AND(Bills!#REF!,"AAAAAD/vdZU=")</f>
        <v>#REF!</v>
      </c>
      <c r="EU33" t="e">
        <f>AND(Bills!#REF!,"AAAAAD/vdZY=")</f>
        <v>#REF!</v>
      </c>
      <c r="EV33" t="e">
        <f>AND(Bills!#REF!,"AAAAAD/vdZc=")</f>
        <v>#REF!</v>
      </c>
      <c r="EW33" t="e">
        <f>AND(Bills!#REF!,"AAAAAD/vdZg=")</f>
        <v>#REF!</v>
      </c>
      <c r="EX33" t="e">
        <f>AND(Bills!#REF!,"AAAAAD/vdZk=")</f>
        <v>#REF!</v>
      </c>
      <c r="EY33" t="e">
        <f>AND(Bills!#REF!,"AAAAAD/vdZo=")</f>
        <v>#REF!</v>
      </c>
      <c r="EZ33" t="e">
        <f>AND(Bills!#REF!,"AAAAAD/vdZs=")</f>
        <v>#REF!</v>
      </c>
      <c r="FA33" t="e">
        <f>AND(Bills!#REF!,"AAAAAD/vdZw=")</f>
        <v>#REF!</v>
      </c>
      <c r="FB33" t="e">
        <f>AND(Bills!#REF!,"AAAAAD/vdZ0=")</f>
        <v>#REF!</v>
      </c>
      <c r="FC33" t="e">
        <f>AND(Bills!#REF!,"AAAAAD/vdZ4=")</f>
        <v>#REF!</v>
      </c>
      <c r="FD33" t="e">
        <f>AND(Bills!#REF!,"AAAAAD/vdZ8=")</f>
        <v>#REF!</v>
      </c>
      <c r="FE33" t="e">
        <f>IF(Bills!#REF!,"AAAAAD/vdaA=",0)</f>
        <v>#REF!</v>
      </c>
      <c r="FF33" t="e">
        <f>AND(Bills!#REF!,"AAAAAD/vdaE=")</f>
        <v>#REF!</v>
      </c>
      <c r="FG33" t="e">
        <f>AND(Bills!#REF!,"AAAAAD/vdaI=")</f>
        <v>#REF!</v>
      </c>
      <c r="FH33" t="e">
        <f>AND(Bills!#REF!,"AAAAAD/vdaM=")</f>
        <v>#REF!</v>
      </c>
      <c r="FI33" t="e">
        <f>AND(Bills!#REF!,"AAAAAD/vdaQ=")</f>
        <v>#REF!</v>
      </c>
      <c r="FJ33" t="e">
        <f>AND(Bills!#REF!,"AAAAAD/vdaU=")</f>
        <v>#REF!</v>
      </c>
      <c r="FK33" t="e">
        <f>AND(Bills!#REF!,"AAAAAD/vdaY=")</f>
        <v>#REF!</v>
      </c>
      <c r="FL33" t="e">
        <f>AND(Bills!#REF!,"AAAAAD/vdac=")</f>
        <v>#REF!</v>
      </c>
      <c r="FM33" t="e">
        <f>AND(Bills!#REF!,"AAAAAD/vdag=")</f>
        <v>#REF!</v>
      </c>
      <c r="FN33" t="e">
        <f>AND(Bills!#REF!,"AAAAAD/vdak=")</f>
        <v>#REF!</v>
      </c>
      <c r="FO33" t="e">
        <f>AND(Bills!#REF!,"AAAAAD/vdao=")</f>
        <v>#REF!</v>
      </c>
      <c r="FP33" t="e">
        <f>AND(Bills!#REF!,"AAAAAD/vdas=")</f>
        <v>#REF!</v>
      </c>
      <c r="FQ33" t="e">
        <f>AND(Bills!#REF!,"AAAAAD/vdaw=")</f>
        <v>#REF!</v>
      </c>
      <c r="FR33" t="e">
        <f>AND(Bills!#REF!,"AAAAAD/vda0=")</f>
        <v>#REF!</v>
      </c>
      <c r="FS33" t="e">
        <f>AND(Bills!#REF!,"AAAAAD/vda4=")</f>
        <v>#REF!</v>
      </c>
      <c r="FT33" t="e">
        <f>AND(Bills!#REF!,"AAAAAD/vda8=")</f>
        <v>#REF!</v>
      </c>
      <c r="FU33" t="e">
        <f>AND(Bills!#REF!,"AAAAAD/vdbA=")</f>
        <v>#REF!</v>
      </c>
      <c r="FV33" t="e">
        <f>AND(Bills!#REF!,"AAAAAD/vdbE=")</f>
        <v>#REF!</v>
      </c>
      <c r="FW33" t="e">
        <f>AND(Bills!#REF!,"AAAAAD/vdbI=")</f>
        <v>#REF!</v>
      </c>
      <c r="FX33" t="e">
        <f>AND(Bills!#REF!,"AAAAAD/vdbM=")</f>
        <v>#REF!</v>
      </c>
      <c r="FY33" t="e">
        <f>AND(Bills!#REF!,"AAAAAD/vdbQ=")</f>
        <v>#REF!</v>
      </c>
      <c r="FZ33" t="e">
        <f>AND(Bills!#REF!,"AAAAAD/vdbU=")</f>
        <v>#REF!</v>
      </c>
      <c r="GA33" t="e">
        <f>AND(Bills!#REF!,"AAAAAD/vdbY=")</f>
        <v>#REF!</v>
      </c>
      <c r="GB33" t="e">
        <f>AND(Bills!#REF!,"AAAAAD/vdbc=")</f>
        <v>#REF!</v>
      </c>
      <c r="GC33" t="e">
        <f>AND(Bills!#REF!,"AAAAAD/vdbg=")</f>
        <v>#REF!</v>
      </c>
      <c r="GD33" t="e">
        <f>AND(Bills!#REF!,"AAAAAD/vdbk=")</f>
        <v>#REF!</v>
      </c>
      <c r="GE33" t="e">
        <f>AND(Bills!#REF!,"AAAAAD/vdbo=")</f>
        <v>#REF!</v>
      </c>
      <c r="GF33" t="e">
        <f>AND(Bills!#REF!,"AAAAAD/vdbs=")</f>
        <v>#REF!</v>
      </c>
      <c r="GG33" t="e">
        <f>AND(Bills!#REF!,"AAAAAD/vdbw=")</f>
        <v>#REF!</v>
      </c>
      <c r="GH33" t="e">
        <f>AND(Bills!#REF!,"AAAAAD/vdb0=")</f>
        <v>#REF!</v>
      </c>
      <c r="GI33" t="e">
        <f>AND(Bills!#REF!,"AAAAAD/vdb4=")</f>
        <v>#REF!</v>
      </c>
      <c r="GJ33" t="e">
        <f>AND(Bills!#REF!,"AAAAAD/vdb8=")</f>
        <v>#REF!</v>
      </c>
      <c r="GK33" t="e">
        <f>AND(Bills!#REF!,"AAAAAD/vdcA=")</f>
        <v>#REF!</v>
      </c>
      <c r="GL33" t="e">
        <f>AND(Bills!#REF!,"AAAAAD/vdcE=")</f>
        <v>#REF!</v>
      </c>
      <c r="GM33" t="e">
        <f>AND(Bills!#REF!,"AAAAAD/vdcI=")</f>
        <v>#REF!</v>
      </c>
      <c r="GN33" t="e">
        <f>AND(Bills!#REF!,"AAAAAD/vdcM=")</f>
        <v>#REF!</v>
      </c>
      <c r="GO33" t="e">
        <f>AND(Bills!#REF!,"AAAAAD/vdcQ=")</f>
        <v>#REF!</v>
      </c>
      <c r="GP33" t="e">
        <f>AND(Bills!#REF!,"AAAAAD/vdcU=")</f>
        <v>#REF!</v>
      </c>
      <c r="GQ33" t="e">
        <f>AND(Bills!#REF!,"AAAAAD/vdcY=")</f>
        <v>#REF!</v>
      </c>
      <c r="GR33" t="e">
        <f>AND(Bills!#REF!,"AAAAAD/vdcc=")</f>
        <v>#REF!</v>
      </c>
      <c r="GS33" t="e">
        <f>AND(Bills!#REF!,"AAAAAD/vdcg=")</f>
        <v>#REF!</v>
      </c>
      <c r="GT33" t="e">
        <f>AND(Bills!#REF!,"AAAAAD/vdck=")</f>
        <v>#REF!</v>
      </c>
      <c r="GU33" t="e">
        <f>AND(Bills!#REF!,"AAAAAD/vdco=")</f>
        <v>#REF!</v>
      </c>
      <c r="GV33" t="e">
        <f>AND(Bills!#REF!,"AAAAAD/vdcs=")</f>
        <v>#REF!</v>
      </c>
      <c r="GW33" t="e">
        <f>AND(Bills!#REF!,"AAAAAD/vdcw=")</f>
        <v>#REF!</v>
      </c>
      <c r="GX33" t="e">
        <f>AND(Bills!#REF!,"AAAAAD/vdc0=")</f>
        <v>#REF!</v>
      </c>
      <c r="GY33" t="e">
        <f>AND(Bills!#REF!,"AAAAAD/vdc4=")</f>
        <v>#REF!</v>
      </c>
      <c r="GZ33" t="e">
        <f>AND(Bills!#REF!,"AAAAAD/vdc8=")</f>
        <v>#REF!</v>
      </c>
      <c r="HA33" t="e">
        <f>AND(Bills!#REF!,"AAAAAD/vddA=")</f>
        <v>#REF!</v>
      </c>
      <c r="HB33" t="e">
        <f>AND(Bills!#REF!,"AAAAAD/vddE=")</f>
        <v>#REF!</v>
      </c>
      <c r="HC33" t="e">
        <f>AND(Bills!#REF!,"AAAAAD/vddI=")</f>
        <v>#REF!</v>
      </c>
      <c r="HD33" t="e">
        <f>IF(Bills!#REF!,"AAAAAD/vddM=",0)</f>
        <v>#REF!</v>
      </c>
      <c r="HE33" t="e">
        <f>AND(Bills!#REF!,"AAAAAD/vddQ=")</f>
        <v>#REF!</v>
      </c>
      <c r="HF33" t="e">
        <f>AND(Bills!#REF!,"AAAAAD/vddU=")</f>
        <v>#REF!</v>
      </c>
      <c r="HG33" t="e">
        <f>AND(Bills!#REF!,"AAAAAD/vddY=")</f>
        <v>#REF!</v>
      </c>
      <c r="HH33" t="e">
        <f>AND(Bills!#REF!,"AAAAAD/vddc=")</f>
        <v>#REF!</v>
      </c>
      <c r="HI33" t="e">
        <f>AND(Bills!#REF!,"AAAAAD/vddg=")</f>
        <v>#REF!</v>
      </c>
      <c r="HJ33" t="e">
        <f>AND(Bills!#REF!,"AAAAAD/vddk=")</f>
        <v>#REF!</v>
      </c>
      <c r="HK33" t="e">
        <f>AND(Bills!#REF!,"AAAAAD/vddo=")</f>
        <v>#REF!</v>
      </c>
      <c r="HL33" t="e">
        <f>AND(Bills!#REF!,"AAAAAD/vdds=")</f>
        <v>#REF!</v>
      </c>
      <c r="HM33" t="e">
        <f>AND(Bills!#REF!,"AAAAAD/vddw=")</f>
        <v>#REF!</v>
      </c>
      <c r="HN33" t="e">
        <f>AND(Bills!#REF!,"AAAAAD/vdd0=")</f>
        <v>#REF!</v>
      </c>
      <c r="HO33" t="e">
        <f>AND(Bills!#REF!,"AAAAAD/vdd4=")</f>
        <v>#REF!</v>
      </c>
      <c r="HP33" t="e">
        <f>AND(Bills!#REF!,"AAAAAD/vdd8=")</f>
        <v>#REF!</v>
      </c>
      <c r="HQ33" t="e">
        <f>AND(Bills!#REF!,"AAAAAD/vdeA=")</f>
        <v>#REF!</v>
      </c>
      <c r="HR33" t="e">
        <f>AND(Bills!#REF!,"AAAAAD/vdeE=")</f>
        <v>#REF!</v>
      </c>
      <c r="HS33" t="e">
        <f>AND(Bills!#REF!,"AAAAAD/vdeI=")</f>
        <v>#REF!</v>
      </c>
      <c r="HT33" t="e">
        <f>AND(Bills!#REF!,"AAAAAD/vdeM=")</f>
        <v>#REF!</v>
      </c>
      <c r="HU33" t="e">
        <f>AND(Bills!#REF!,"AAAAAD/vdeQ=")</f>
        <v>#REF!</v>
      </c>
      <c r="HV33" t="e">
        <f>AND(Bills!#REF!,"AAAAAD/vdeU=")</f>
        <v>#REF!</v>
      </c>
      <c r="HW33" t="e">
        <f>AND(Bills!#REF!,"AAAAAD/vdeY=")</f>
        <v>#REF!</v>
      </c>
      <c r="HX33" t="e">
        <f>AND(Bills!#REF!,"AAAAAD/vdec=")</f>
        <v>#REF!</v>
      </c>
      <c r="HY33" t="e">
        <f>AND(Bills!#REF!,"AAAAAD/vdeg=")</f>
        <v>#REF!</v>
      </c>
      <c r="HZ33" t="e">
        <f>AND(Bills!#REF!,"AAAAAD/vdek=")</f>
        <v>#REF!</v>
      </c>
      <c r="IA33" t="e">
        <f>AND(Bills!#REF!,"AAAAAD/vdeo=")</f>
        <v>#REF!</v>
      </c>
      <c r="IB33" t="e">
        <f>AND(Bills!#REF!,"AAAAAD/vdes=")</f>
        <v>#REF!</v>
      </c>
      <c r="IC33" t="e">
        <f>AND(Bills!#REF!,"AAAAAD/vdew=")</f>
        <v>#REF!</v>
      </c>
      <c r="ID33" t="e">
        <f>AND(Bills!#REF!,"AAAAAD/vde0=")</f>
        <v>#REF!</v>
      </c>
      <c r="IE33" t="e">
        <f>AND(Bills!#REF!,"AAAAAD/vde4=")</f>
        <v>#REF!</v>
      </c>
      <c r="IF33" t="e">
        <f>AND(Bills!#REF!,"AAAAAD/vde8=")</f>
        <v>#REF!</v>
      </c>
      <c r="IG33" t="e">
        <f>AND(Bills!#REF!,"AAAAAD/vdfA=")</f>
        <v>#REF!</v>
      </c>
      <c r="IH33" t="e">
        <f>AND(Bills!#REF!,"AAAAAD/vdfE=")</f>
        <v>#REF!</v>
      </c>
      <c r="II33" t="e">
        <f>AND(Bills!#REF!,"AAAAAD/vdfI=")</f>
        <v>#REF!</v>
      </c>
      <c r="IJ33" t="e">
        <f>AND(Bills!#REF!,"AAAAAD/vdfM=")</f>
        <v>#REF!</v>
      </c>
      <c r="IK33" t="e">
        <f>AND(Bills!#REF!,"AAAAAD/vdfQ=")</f>
        <v>#REF!</v>
      </c>
      <c r="IL33" t="e">
        <f>AND(Bills!#REF!,"AAAAAD/vdfU=")</f>
        <v>#REF!</v>
      </c>
      <c r="IM33" t="e">
        <f>AND(Bills!#REF!,"AAAAAD/vdfY=")</f>
        <v>#REF!</v>
      </c>
      <c r="IN33" t="e">
        <f>AND(Bills!#REF!,"AAAAAD/vdfc=")</f>
        <v>#REF!</v>
      </c>
      <c r="IO33" t="e">
        <f>AND(Bills!#REF!,"AAAAAD/vdfg=")</f>
        <v>#REF!</v>
      </c>
      <c r="IP33" t="e">
        <f>AND(Bills!#REF!,"AAAAAD/vdfk=")</f>
        <v>#REF!</v>
      </c>
      <c r="IQ33" t="e">
        <f>AND(Bills!#REF!,"AAAAAD/vdfo=")</f>
        <v>#REF!</v>
      </c>
      <c r="IR33" t="e">
        <f>AND(Bills!#REF!,"AAAAAD/vdfs=")</f>
        <v>#REF!</v>
      </c>
      <c r="IS33" t="e">
        <f>AND(Bills!#REF!,"AAAAAD/vdfw=")</f>
        <v>#REF!</v>
      </c>
      <c r="IT33" t="e">
        <f>AND(Bills!#REF!,"AAAAAD/vdf0=")</f>
        <v>#REF!</v>
      </c>
      <c r="IU33" t="e">
        <f>AND(Bills!#REF!,"AAAAAD/vdf4=")</f>
        <v>#REF!</v>
      </c>
      <c r="IV33" t="e">
        <f>AND(Bills!#REF!,"AAAAAD/vdf8=")</f>
        <v>#REF!</v>
      </c>
    </row>
    <row r="34" spans="1:256" x14ac:dyDescent="0.25">
      <c r="A34" t="e">
        <f>AND(Bills!#REF!,"AAAAAHvX9wA=")</f>
        <v>#REF!</v>
      </c>
      <c r="B34" t="e">
        <f>AND(Bills!#REF!,"AAAAAHvX9wE=")</f>
        <v>#REF!</v>
      </c>
      <c r="C34" t="e">
        <f>AND(Bills!#REF!,"AAAAAHvX9wI=")</f>
        <v>#REF!</v>
      </c>
      <c r="D34" t="e">
        <f>AND(Bills!#REF!,"AAAAAHvX9wM=")</f>
        <v>#REF!</v>
      </c>
      <c r="E34" t="e">
        <f>AND(Bills!#REF!,"AAAAAHvX9wQ=")</f>
        <v>#REF!</v>
      </c>
      <c r="F34" t="e">
        <f>AND(Bills!#REF!,"AAAAAHvX9wU=")</f>
        <v>#REF!</v>
      </c>
      <c r="G34" t="e">
        <f>IF(Bills!#REF!,"AAAAAHvX9wY=",0)</f>
        <v>#REF!</v>
      </c>
      <c r="H34" t="e">
        <f>AND(Bills!#REF!,"AAAAAHvX9wc=")</f>
        <v>#REF!</v>
      </c>
      <c r="I34" t="e">
        <f>AND(Bills!#REF!,"AAAAAHvX9wg=")</f>
        <v>#REF!</v>
      </c>
      <c r="J34" t="e">
        <f>AND(Bills!#REF!,"AAAAAHvX9wk=")</f>
        <v>#REF!</v>
      </c>
      <c r="K34" t="e">
        <f>AND(Bills!#REF!,"AAAAAHvX9wo=")</f>
        <v>#REF!</v>
      </c>
      <c r="L34" t="e">
        <f>AND(Bills!#REF!,"AAAAAHvX9ws=")</f>
        <v>#REF!</v>
      </c>
      <c r="M34" t="e">
        <f>AND(Bills!#REF!,"AAAAAHvX9ww=")</f>
        <v>#REF!</v>
      </c>
      <c r="N34" t="e">
        <f>AND(Bills!#REF!,"AAAAAHvX9w0=")</f>
        <v>#REF!</v>
      </c>
      <c r="O34" t="e">
        <f>AND(Bills!#REF!,"AAAAAHvX9w4=")</f>
        <v>#REF!</v>
      </c>
      <c r="P34" t="e">
        <f>AND(Bills!#REF!,"AAAAAHvX9w8=")</f>
        <v>#REF!</v>
      </c>
      <c r="Q34" t="e">
        <f>AND(Bills!#REF!,"AAAAAHvX9xA=")</f>
        <v>#REF!</v>
      </c>
      <c r="R34" t="e">
        <f>AND(Bills!#REF!,"AAAAAHvX9xE=")</f>
        <v>#REF!</v>
      </c>
      <c r="S34" t="e">
        <f>AND(Bills!#REF!,"AAAAAHvX9xI=")</f>
        <v>#REF!</v>
      </c>
      <c r="T34" t="e">
        <f>AND(Bills!#REF!,"AAAAAHvX9xM=")</f>
        <v>#REF!</v>
      </c>
      <c r="U34" t="e">
        <f>AND(Bills!#REF!,"AAAAAHvX9xQ=")</f>
        <v>#REF!</v>
      </c>
      <c r="V34" t="e">
        <f>AND(Bills!#REF!,"AAAAAHvX9xU=")</f>
        <v>#REF!</v>
      </c>
      <c r="W34" t="e">
        <f>AND(Bills!#REF!,"AAAAAHvX9xY=")</f>
        <v>#REF!</v>
      </c>
      <c r="X34" t="e">
        <f>AND(Bills!#REF!,"AAAAAHvX9xc=")</f>
        <v>#REF!</v>
      </c>
      <c r="Y34" t="e">
        <f>AND(Bills!#REF!,"AAAAAHvX9xg=")</f>
        <v>#REF!</v>
      </c>
      <c r="Z34" t="e">
        <f>AND(Bills!#REF!,"AAAAAHvX9xk=")</f>
        <v>#REF!</v>
      </c>
      <c r="AA34" t="e">
        <f>AND(Bills!#REF!,"AAAAAHvX9xo=")</f>
        <v>#REF!</v>
      </c>
      <c r="AB34" t="e">
        <f>AND(Bills!#REF!,"AAAAAHvX9xs=")</f>
        <v>#REF!</v>
      </c>
      <c r="AC34" t="e">
        <f>AND(Bills!#REF!,"AAAAAHvX9xw=")</f>
        <v>#REF!</v>
      </c>
      <c r="AD34" t="e">
        <f>AND(Bills!#REF!,"AAAAAHvX9x0=")</f>
        <v>#REF!</v>
      </c>
      <c r="AE34" t="e">
        <f>AND(Bills!#REF!,"AAAAAHvX9x4=")</f>
        <v>#REF!</v>
      </c>
      <c r="AF34" t="e">
        <f>AND(Bills!#REF!,"AAAAAHvX9x8=")</f>
        <v>#REF!</v>
      </c>
      <c r="AG34" t="e">
        <f>AND(Bills!#REF!,"AAAAAHvX9yA=")</f>
        <v>#REF!</v>
      </c>
      <c r="AH34" t="e">
        <f>AND(Bills!#REF!,"AAAAAHvX9yE=")</f>
        <v>#REF!</v>
      </c>
      <c r="AI34" t="e">
        <f>AND(Bills!#REF!,"AAAAAHvX9yI=")</f>
        <v>#REF!</v>
      </c>
      <c r="AJ34" t="e">
        <f>AND(Bills!#REF!,"AAAAAHvX9yM=")</f>
        <v>#REF!</v>
      </c>
      <c r="AK34" t="e">
        <f>AND(Bills!#REF!,"AAAAAHvX9yQ=")</f>
        <v>#REF!</v>
      </c>
      <c r="AL34" t="e">
        <f>AND(Bills!#REF!,"AAAAAHvX9yU=")</f>
        <v>#REF!</v>
      </c>
      <c r="AM34" t="e">
        <f>AND(Bills!#REF!,"AAAAAHvX9yY=")</f>
        <v>#REF!</v>
      </c>
      <c r="AN34" t="e">
        <f>AND(Bills!#REF!,"AAAAAHvX9yc=")</f>
        <v>#REF!</v>
      </c>
      <c r="AO34" t="e">
        <f>AND(Bills!#REF!,"AAAAAHvX9yg=")</f>
        <v>#REF!</v>
      </c>
      <c r="AP34" t="e">
        <f>AND(Bills!#REF!,"AAAAAHvX9yk=")</f>
        <v>#REF!</v>
      </c>
      <c r="AQ34" t="e">
        <f>AND(Bills!#REF!,"AAAAAHvX9yo=")</f>
        <v>#REF!</v>
      </c>
      <c r="AR34" t="e">
        <f>AND(Bills!#REF!,"AAAAAHvX9ys=")</f>
        <v>#REF!</v>
      </c>
      <c r="AS34" t="e">
        <f>AND(Bills!#REF!,"AAAAAHvX9yw=")</f>
        <v>#REF!</v>
      </c>
      <c r="AT34" t="e">
        <f>AND(Bills!#REF!,"AAAAAHvX9y0=")</f>
        <v>#REF!</v>
      </c>
      <c r="AU34" t="e">
        <f>AND(Bills!#REF!,"AAAAAHvX9y4=")</f>
        <v>#REF!</v>
      </c>
      <c r="AV34" t="e">
        <f>AND(Bills!#REF!,"AAAAAHvX9y8=")</f>
        <v>#REF!</v>
      </c>
      <c r="AW34" t="e">
        <f>AND(Bills!#REF!,"AAAAAHvX9zA=")</f>
        <v>#REF!</v>
      </c>
      <c r="AX34" t="e">
        <f>AND(Bills!#REF!,"AAAAAHvX9zE=")</f>
        <v>#REF!</v>
      </c>
      <c r="AY34" t="e">
        <f>AND(Bills!#REF!,"AAAAAHvX9zI=")</f>
        <v>#REF!</v>
      </c>
      <c r="AZ34" t="e">
        <f>AND(Bills!#REF!,"AAAAAHvX9zM=")</f>
        <v>#REF!</v>
      </c>
      <c r="BA34" t="e">
        <f>AND(Bills!#REF!,"AAAAAHvX9zQ=")</f>
        <v>#REF!</v>
      </c>
      <c r="BB34" t="e">
        <f>AND(Bills!#REF!,"AAAAAHvX9zU=")</f>
        <v>#REF!</v>
      </c>
      <c r="BC34" t="e">
        <f>AND(Bills!#REF!,"AAAAAHvX9zY=")</f>
        <v>#REF!</v>
      </c>
      <c r="BD34" t="e">
        <f>AND(Bills!#REF!,"AAAAAHvX9zc=")</f>
        <v>#REF!</v>
      </c>
      <c r="BE34" t="e">
        <f>AND(Bills!#REF!,"AAAAAHvX9zg=")</f>
        <v>#REF!</v>
      </c>
      <c r="BF34" t="e">
        <f>IF(Bills!#REF!,"AAAAAHvX9zk=",0)</f>
        <v>#REF!</v>
      </c>
      <c r="BG34" t="e">
        <f>AND(Bills!#REF!,"AAAAAHvX9zo=")</f>
        <v>#REF!</v>
      </c>
      <c r="BH34" t="e">
        <f>AND(Bills!#REF!,"AAAAAHvX9zs=")</f>
        <v>#REF!</v>
      </c>
      <c r="BI34" t="e">
        <f>AND(Bills!#REF!,"AAAAAHvX9zw=")</f>
        <v>#REF!</v>
      </c>
      <c r="BJ34" t="e">
        <f>AND(Bills!#REF!,"AAAAAHvX9z0=")</f>
        <v>#REF!</v>
      </c>
      <c r="BK34" t="e">
        <f>AND(Bills!#REF!,"AAAAAHvX9z4=")</f>
        <v>#REF!</v>
      </c>
      <c r="BL34" t="e">
        <f>AND(Bills!#REF!,"AAAAAHvX9z8=")</f>
        <v>#REF!</v>
      </c>
      <c r="BM34" t="e">
        <f>AND(Bills!#REF!,"AAAAAHvX90A=")</f>
        <v>#REF!</v>
      </c>
      <c r="BN34" t="e">
        <f>AND(Bills!#REF!,"AAAAAHvX90E=")</f>
        <v>#REF!</v>
      </c>
      <c r="BO34" t="e">
        <f>AND(Bills!#REF!,"AAAAAHvX90I=")</f>
        <v>#REF!</v>
      </c>
      <c r="BP34" t="e">
        <f>AND(Bills!#REF!,"AAAAAHvX90M=")</f>
        <v>#REF!</v>
      </c>
      <c r="BQ34" t="e">
        <f>AND(Bills!#REF!,"AAAAAHvX90Q=")</f>
        <v>#REF!</v>
      </c>
      <c r="BR34" t="e">
        <f>AND(Bills!#REF!,"AAAAAHvX90U=")</f>
        <v>#REF!</v>
      </c>
      <c r="BS34" t="e">
        <f>AND(Bills!#REF!,"AAAAAHvX90Y=")</f>
        <v>#REF!</v>
      </c>
      <c r="BT34" t="e">
        <f>AND(Bills!#REF!,"AAAAAHvX90c=")</f>
        <v>#REF!</v>
      </c>
      <c r="BU34" t="e">
        <f>AND(Bills!#REF!,"AAAAAHvX90g=")</f>
        <v>#REF!</v>
      </c>
      <c r="BV34" t="e">
        <f>AND(Bills!#REF!,"AAAAAHvX90k=")</f>
        <v>#REF!</v>
      </c>
      <c r="BW34" t="e">
        <f>AND(Bills!#REF!,"AAAAAHvX90o=")</f>
        <v>#REF!</v>
      </c>
      <c r="BX34" t="e">
        <f>AND(Bills!#REF!,"AAAAAHvX90s=")</f>
        <v>#REF!</v>
      </c>
      <c r="BY34" t="e">
        <f>AND(Bills!#REF!,"AAAAAHvX90w=")</f>
        <v>#REF!</v>
      </c>
      <c r="BZ34" t="e">
        <f>AND(Bills!#REF!,"AAAAAHvX900=")</f>
        <v>#REF!</v>
      </c>
      <c r="CA34" t="e">
        <f>AND(Bills!#REF!,"AAAAAHvX904=")</f>
        <v>#REF!</v>
      </c>
      <c r="CB34" t="e">
        <f>AND(Bills!#REF!,"AAAAAHvX908=")</f>
        <v>#REF!</v>
      </c>
      <c r="CC34" t="e">
        <f>AND(Bills!#REF!,"AAAAAHvX91A=")</f>
        <v>#REF!</v>
      </c>
      <c r="CD34" t="e">
        <f>AND(Bills!#REF!,"AAAAAHvX91E=")</f>
        <v>#REF!</v>
      </c>
      <c r="CE34" t="e">
        <f>AND(Bills!#REF!,"AAAAAHvX91I=")</f>
        <v>#REF!</v>
      </c>
      <c r="CF34" t="e">
        <f>AND(Bills!#REF!,"AAAAAHvX91M=")</f>
        <v>#REF!</v>
      </c>
      <c r="CG34" t="e">
        <f>AND(Bills!#REF!,"AAAAAHvX91Q=")</f>
        <v>#REF!</v>
      </c>
      <c r="CH34" t="e">
        <f>AND(Bills!#REF!,"AAAAAHvX91U=")</f>
        <v>#REF!</v>
      </c>
      <c r="CI34" t="e">
        <f>AND(Bills!#REF!,"AAAAAHvX91Y=")</f>
        <v>#REF!</v>
      </c>
      <c r="CJ34" t="e">
        <f>AND(Bills!#REF!,"AAAAAHvX91c=")</f>
        <v>#REF!</v>
      </c>
      <c r="CK34" t="e">
        <f>AND(Bills!#REF!,"AAAAAHvX91g=")</f>
        <v>#REF!</v>
      </c>
      <c r="CL34" t="e">
        <f>AND(Bills!#REF!,"AAAAAHvX91k=")</f>
        <v>#REF!</v>
      </c>
      <c r="CM34" t="e">
        <f>AND(Bills!#REF!,"AAAAAHvX91o=")</f>
        <v>#REF!</v>
      </c>
      <c r="CN34" t="e">
        <f>AND(Bills!#REF!,"AAAAAHvX91s=")</f>
        <v>#REF!</v>
      </c>
      <c r="CO34" t="e">
        <f>AND(Bills!#REF!,"AAAAAHvX91w=")</f>
        <v>#REF!</v>
      </c>
      <c r="CP34" t="e">
        <f>AND(Bills!#REF!,"AAAAAHvX910=")</f>
        <v>#REF!</v>
      </c>
      <c r="CQ34" t="e">
        <f>AND(Bills!#REF!,"AAAAAHvX914=")</f>
        <v>#REF!</v>
      </c>
      <c r="CR34" t="e">
        <f>AND(Bills!#REF!,"AAAAAHvX918=")</f>
        <v>#REF!</v>
      </c>
      <c r="CS34" t="e">
        <f>AND(Bills!#REF!,"AAAAAHvX92A=")</f>
        <v>#REF!</v>
      </c>
      <c r="CT34" t="e">
        <f>AND(Bills!#REF!,"AAAAAHvX92E=")</f>
        <v>#REF!</v>
      </c>
      <c r="CU34" t="e">
        <f>AND(Bills!#REF!,"AAAAAHvX92I=")</f>
        <v>#REF!</v>
      </c>
      <c r="CV34" t="e">
        <f>AND(Bills!#REF!,"AAAAAHvX92M=")</f>
        <v>#REF!</v>
      </c>
      <c r="CW34" t="e">
        <f>AND(Bills!#REF!,"AAAAAHvX92Q=")</f>
        <v>#REF!</v>
      </c>
      <c r="CX34" t="e">
        <f>AND(Bills!#REF!,"AAAAAHvX92U=")</f>
        <v>#REF!</v>
      </c>
      <c r="CY34" t="e">
        <f>AND(Bills!#REF!,"AAAAAHvX92Y=")</f>
        <v>#REF!</v>
      </c>
      <c r="CZ34" t="e">
        <f>AND(Bills!#REF!,"AAAAAHvX92c=")</f>
        <v>#REF!</v>
      </c>
      <c r="DA34" t="e">
        <f>AND(Bills!#REF!,"AAAAAHvX92g=")</f>
        <v>#REF!</v>
      </c>
      <c r="DB34" t="e">
        <f>AND(Bills!#REF!,"AAAAAHvX92k=")</f>
        <v>#REF!</v>
      </c>
      <c r="DC34" t="e">
        <f>AND(Bills!#REF!,"AAAAAHvX92o=")</f>
        <v>#REF!</v>
      </c>
      <c r="DD34" t="e">
        <f>AND(Bills!#REF!,"AAAAAHvX92s=")</f>
        <v>#REF!</v>
      </c>
      <c r="DE34" t="e">
        <f>IF(Bills!#REF!,"AAAAAHvX92w=",0)</f>
        <v>#REF!</v>
      </c>
      <c r="DF34" t="e">
        <f>AND(Bills!#REF!,"AAAAAHvX920=")</f>
        <v>#REF!</v>
      </c>
      <c r="DG34" t="e">
        <f>AND(Bills!#REF!,"AAAAAHvX924=")</f>
        <v>#REF!</v>
      </c>
      <c r="DH34" t="e">
        <f>AND(Bills!#REF!,"AAAAAHvX928=")</f>
        <v>#REF!</v>
      </c>
      <c r="DI34" t="e">
        <f>AND(Bills!#REF!,"AAAAAHvX93A=")</f>
        <v>#REF!</v>
      </c>
      <c r="DJ34" t="e">
        <f>AND(Bills!#REF!,"AAAAAHvX93E=")</f>
        <v>#REF!</v>
      </c>
      <c r="DK34" t="e">
        <f>AND(Bills!#REF!,"AAAAAHvX93I=")</f>
        <v>#REF!</v>
      </c>
      <c r="DL34" t="e">
        <f>AND(Bills!#REF!,"AAAAAHvX93M=")</f>
        <v>#REF!</v>
      </c>
      <c r="DM34" t="e">
        <f>AND(Bills!#REF!,"AAAAAHvX93Q=")</f>
        <v>#REF!</v>
      </c>
      <c r="DN34" t="e">
        <f>AND(Bills!#REF!,"AAAAAHvX93U=")</f>
        <v>#REF!</v>
      </c>
      <c r="DO34" t="e">
        <f>AND(Bills!#REF!,"AAAAAHvX93Y=")</f>
        <v>#REF!</v>
      </c>
      <c r="DP34" t="e">
        <f>AND(Bills!#REF!,"AAAAAHvX93c=")</f>
        <v>#REF!</v>
      </c>
      <c r="DQ34" t="e">
        <f>AND(Bills!#REF!,"AAAAAHvX93g=")</f>
        <v>#REF!</v>
      </c>
      <c r="DR34" t="e">
        <f>AND(Bills!#REF!,"AAAAAHvX93k=")</f>
        <v>#REF!</v>
      </c>
      <c r="DS34" t="e">
        <f>AND(Bills!#REF!,"AAAAAHvX93o=")</f>
        <v>#REF!</v>
      </c>
      <c r="DT34" t="e">
        <f>AND(Bills!#REF!,"AAAAAHvX93s=")</f>
        <v>#REF!</v>
      </c>
      <c r="DU34" t="e">
        <f>AND(Bills!#REF!,"AAAAAHvX93w=")</f>
        <v>#REF!</v>
      </c>
      <c r="DV34" t="e">
        <f>AND(Bills!#REF!,"AAAAAHvX930=")</f>
        <v>#REF!</v>
      </c>
      <c r="DW34" t="e">
        <f>AND(Bills!#REF!,"AAAAAHvX934=")</f>
        <v>#REF!</v>
      </c>
      <c r="DX34" t="e">
        <f>AND(Bills!#REF!,"AAAAAHvX938=")</f>
        <v>#REF!</v>
      </c>
      <c r="DY34" t="e">
        <f>AND(Bills!#REF!,"AAAAAHvX94A=")</f>
        <v>#REF!</v>
      </c>
      <c r="DZ34" t="e">
        <f>AND(Bills!#REF!,"AAAAAHvX94E=")</f>
        <v>#REF!</v>
      </c>
      <c r="EA34" t="e">
        <f>AND(Bills!#REF!,"AAAAAHvX94I=")</f>
        <v>#REF!</v>
      </c>
      <c r="EB34" t="e">
        <f>AND(Bills!#REF!,"AAAAAHvX94M=")</f>
        <v>#REF!</v>
      </c>
      <c r="EC34" t="e">
        <f>AND(Bills!#REF!,"AAAAAHvX94Q=")</f>
        <v>#REF!</v>
      </c>
      <c r="ED34" t="e">
        <f>AND(Bills!#REF!,"AAAAAHvX94U=")</f>
        <v>#REF!</v>
      </c>
      <c r="EE34" t="e">
        <f>AND(Bills!#REF!,"AAAAAHvX94Y=")</f>
        <v>#REF!</v>
      </c>
      <c r="EF34" t="e">
        <f>AND(Bills!#REF!,"AAAAAHvX94c=")</f>
        <v>#REF!</v>
      </c>
      <c r="EG34" t="e">
        <f>AND(Bills!#REF!,"AAAAAHvX94g=")</f>
        <v>#REF!</v>
      </c>
      <c r="EH34" t="e">
        <f>AND(Bills!#REF!,"AAAAAHvX94k=")</f>
        <v>#REF!</v>
      </c>
      <c r="EI34" t="e">
        <f>AND(Bills!#REF!,"AAAAAHvX94o=")</f>
        <v>#REF!</v>
      </c>
      <c r="EJ34" t="e">
        <f>AND(Bills!#REF!,"AAAAAHvX94s=")</f>
        <v>#REF!</v>
      </c>
      <c r="EK34" t="e">
        <f>AND(Bills!#REF!,"AAAAAHvX94w=")</f>
        <v>#REF!</v>
      </c>
      <c r="EL34" t="e">
        <f>AND(Bills!#REF!,"AAAAAHvX940=")</f>
        <v>#REF!</v>
      </c>
      <c r="EM34" t="e">
        <f>AND(Bills!#REF!,"AAAAAHvX944=")</f>
        <v>#REF!</v>
      </c>
      <c r="EN34" t="e">
        <f>AND(Bills!#REF!,"AAAAAHvX948=")</f>
        <v>#REF!</v>
      </c>
      <c r="EO34" t="e">
        <f>AND(Bills!#REF!,"AAAAAHvX95A=")</f>
        <v>#REF!</v>
      </c>
      <c r="EP34" t="e">
        <f>AND(Bills!#REF!,"AAAAAHvX95E=")</f>
        <v>#REF!</v>
      </c>
      <c r="EQ34" t="e">
        <f>AND(Bills!#REF!,"AAAAAHvX95I=")</f>
        <v>#REF!</v>
      </c>
      <c r="ER34" t="e">
        <f>AND(Bills!#REF!,"AAAAAHvX95M=")</f>
        <v>#REF!</v>
      </c>
      <c r="ES34" t="e">
        <f>AND(Bills!#REF!,"AAAAAHvX95Q=")</f>
        <v>#REF!</v>
      </c>
      <c r="ET34" t="e">
        <f>AND(Bills!#REF!,"AAAAAHvX95U=")</f>
        <v>#REF!</v>
      </c>
      <c r="EU34" t="e">
        <f>AND(Bills!#REF!,"AAAAAHvX95Y=")</f>
        <v>#REF!</v>
      </c>
      <c r="EV34" t="e">
        <f>AND(Bills!#REF!,"AAAAAHvX95c=")</f>
        <v>#REF!</v>
      </c>
      <c r="EW34" t="e">
        <f>AND(Bills!#REF!,"AAAAAHvX95g=")</f>
        <v>#REF!</v>
      </c>
      <c r="EX34" t="e">
        <f>AND(Bills!#REF!,"AAAAAHvX95k=")</f>
        <v>#REF!</v>
      </c>
      <c r="EY34" t="e">
        <f>AND(Bills!#REF!,"AAAAAHvX95o=")</f>
        <v>#REF!</v>
      </c>
      <c r="EZ34" t="e">
        <f>AND(Bills!#REF!,"AAAAAHvX95s=")</f>
        <v>#REF!</v>
      </c>
      <c r="FA34" t="e">
        <f>AND(Bills!#REF!,"AAAAAHvX95w=")</f>
        <v>#REF!</v>
      </c>
      <c r="FB34" t="e">
        <f>AND(Bills!#REF!,"AAAAAHvX950=")</f>
        <v>#REF!</v>
      </c>
      <c r="FC34" t="e">
        <f>AND(Bills!#REF!,"AAAAAHvX954=")</f>
        <v>#REF!</v>
      </c>
      <c r="FD34">
        <f>IF(Bills!22:22,"AAAAAHvX958=",0)</f>
        <v>0</v>
      </c>
      <c r="FE34" t="e">
        <f>AND(Bills!B22,"AAAAAHvX96A=")</f>
        <v>#VALUE!</v>
      </c>
      <c r="FF34" t="e">
        <f>AND(Bills!#REF!,"AAAAAHvX96E=")</f>
        <v>#REF!</v>
      </c>
      <c r="FG34" t="e">
        <f>AND(Bills!C22,"AAAAAHvX96I=")</f>
        <v>#VALUE!</v>
      </c>
      <c r="FH34" t="e">
        <f>AND(Bills!D22,"AAAAAHvX96M=")</f>
        <v>#VALUE!</v>
      </c>
      <c r="FI34" t="e">
        <f>AND(Bills!E22,"AAAAAHvX96Q=")</f>
        <v>#VALUE!</v>
      </c>
      <c r="FJ34" t="e">
        <f>AND(Bills!#REF!,"AAAAAHvX96U=")</f>
        <v>#REF!</v>
      </c>
      <c r="FK34" t="e">
        <f>AND(Bills!#REF!,"AAAAAHvX96Y=")</f>
        <v>#REF!</v>
      </c>
      <c r="FL34" t="e">
        <f>AND(Bills!#REF!,"AAAAAHvX96c=")</f>
        <v>#REF!</v>
      </c>
      <c r="FM34" t="e">
        <f>AND(Bills!F22,"AAAAAHvX96g=")</f>
        <v>#VALUE!</v>
      </c>
      <c r="FN34" t="e">
        <f>AND(Bills!#REF!,"AAAAAHvX96k=")</f>
        <v>#REF!</v>
      </c>
      <c r="FO34" t="e">
        <f>AND(Bills!G22,"AAAAAHvX96o=")</f>
        <v>#VALUE!</v>
      </c>
      <c r="FP34" t="e">
        <f>AND(Bills!H22,"AAAAAHvX96s=")</f>
        <v>#VALUE!</v>
      </c>
      <c r="FQ34" t="e">
        <f>AND(Bills!I22,"AAAAAHvX96w=")</f>
        <v>#VALUE!</v>
      </c>
      <c r="FR34" t="e">
        <f>AND(Bills!J22,"AAAAAHvX960=")</f>
        <v>#VALUE!</v>
      </c>
      <c r="FS34" t="e">
        <f>AND(Bills!K22,"AAAAAHvX964=")</f>
        <v>#VALUE!</v>
      </c>
      <c r="FT34" t="e">
        <f>AND(Bills!L22,"AAAAAHvX968=")</f>
        <v>#VALUE!</v>
      </c>
      <c r="FU34" t="e">
        <f>AND(Bills!#REF!,"AAAAAHvX97A=")</f>
        <v>#REF!</v>
      </c>
      <c r="FV34" t="e">
        <f>AND(Bills!M22,"AAAAAHvX97E=")</f>
        <v>#VALUE!</v>
      </c>
      <c r="FW34" t="e">
        <f>AND(Bills!N22,"AAAAAHvX97I=")</f>
        <v>#VALUE!</v>
      </c>
      <c r="FX34" t="e">
        <f>AND(Bills!O22,"AAAAAHvX97M=")</f>
        <v>#VALUE!</v>
      </c>
      <c r="FY34" t="e">
        <f>AND(Bills!P22,"AAAAAHvX97Q=")</f>
        <v>#VALUE!</v>
      </c>
      <c r="FZ34" t="e">
        <f>AND(Bills!Q22,"AAAAAHvX97U=")</f>
        <v>#VALUE!</v>
      </c>
      <c r="GA34" t="e">
        <f>AND(Bills!R22,"AAAAAHvX97Y=")</f>
        <v>#VALUE!</v>
      </c>
      <c r="GB34" t="e">
        <f>AND(Bills!S22,"AAAAAHvX97c=")</f>
        <v>#VALUE!</v>
      </c>
      <c r="GC34" t="e">
        <f>AND(Bills!T22,"AAAAAHvX97g=")</f>
        <v>#VALUE!</v>
      </c>
      <c r="GD34" t="e">
        <f>AND(Bills!#REF!,"AAAAAHvX97k=")</f>
        <v>#REF!</v>
      </c>
      <c r="GE34" t="e">
        <f>AND(Bills!U22,"AAAAAHvX97o=")</f>
        <v>#VALUE!</v>
      </c>
      <c r="GF34" t="e">
        <f>AND(Bills!V22,"AAAAAHvX97s=")</f>
        <v>#VALUE!</v>
      </c>
      <c r="GG34" t="e">
        <f>AND(Bills!W22,"AAAAAHvX97w=")</f>
        <v>#VALUE!</v>
      </c>
      <c r="GH34" t="e">
        <f>AND(Bills!#REF!,"AAAAAHvX970=")</f>
        <v>#REF!</v>
      </c>
      <c r="GI34" t="e">
        <f>AND(Bills!#REF!,"AAAAAHvX974=")</f>
        <v>#REF!</v>
      </c>
      <c r="GJ34" t="e">
        <f>AND(Bills!Y22,"AAAAAHvX978=")</f>
        <v>#VALUE!</v>
      </c>
      <c r="GK34" t="e">
        <f>AND(Bills!Z22,"AAAAAHvX98A=")</f>
        <v>#VALUE!</v>
      </c>
      <c r="GL34" t="e">
        <f>AND(Bills!#REF!,"AAAAAHvX98E=")</f>
        <v>#REF!</v>
      </c>
      <c r="GM34" t="e">
        <f>AND(Bills!#REF!,"AAAAAHvX98I=")</f>
        <v>#REF!</v>
      </c>
      <c r="GN34" t="e">
        <f>AND(Bills!#REF!,"AAAAAHvX98M=")</f>
        <v>#REF!</v>
      </c>
      <c r="GO34" t="e">
        <f>AND(Bills!#REF!,"AAAAAHvX98Q=")</f>
        <v>#REF!</v>
      </c>
      <c r="GP34" t="e">
        <f>AND(Bills!#REF!,"AAAAAHvX98U=")</f>
        <v>#REF!</v>
      </c>
      <c r="GQ34" t="e">
        <f>AND(Bills!#REF!,"AAAAAHvX98Y=")</f>
        <v>#REF!</v>
      </c>
      <c r="GR34" t="e">
        <f>AND(Bills!#REF!,"AAAAAHvX98c=")</f>
        <v>#REF!</v>
      </c>
      <c r="GS34" t="e">
        <f>AND(Bills!#REF!,"AAAAAHvX98g=")</f>
        <v>#REF!</v>
      </c>
      <c r="GT34" t="e">
        <f>AND(Bills!#REF!,"AAAAAHvX98k=")</f>
        <v>#REF!</v>
      </c>
      <c r="GU34" t="e">
        <f>AND(Bills!AA22,"AAAAAHvX98o=")</f>
        <v>#VALUE!</v>
      </c>
      <c r="GV34" t="e">
        <f>AND(Bills!AB22,"AAAAAHvX98s=")</f>
        <v>#VALUE!</v>
      </c>
      <c r="GW34" t="e">
        <f>AND(Bills!#REF!,"AAAAAHvX98w=")</f>
        <v>#REF!</v>
      </c>
      <c r="GX34" t="e">
        <f>AND(Bills!#REF!,"AAAAAHvX980=")</f>
        <v>#REF!</v>
      </c>
      <c r="GY34" t="e">
        <f>AND(Bills!#REF!,"AAAAAHvX984=")</f>
        <v>#REF!</v>
      </c>
      <c r="GZ34" t="e">
        <f>AND(Bills!AC22,"AAAAAHvX988=")</f>
        <v>#VALUE!</v>
      </c>
      <c r="HA34" t="e">
        <f>AND(Bills!AD22,"AAAAAHvX99A=")</f>
        <v>#VALUE!</v>
      </c>
      <c r="HB34" t="e">
        <f>AND(Bills!AE22,"AAAAAHvX99E=")</f>
        <v>#VALUE!</v>
      </c>
      <c r="HC34" t="e">
        <f>IF(Bills!#REF!,"AAAAAHvX99I=",0)</f>
        <v>#REF!</v>
      </c>
      <c r="HD34" t="e">
        <f>AND(Bills!#REF!,"AAAAAHvX99M=")</f>
        <v>#REF!</v>
      </c>
      <c r="HE34" t="e">
        <f>AND(Bills!#REF!,"AAAAAHvX99Q=")</f>
        <v>#REF!</v>
      </c>
      <c r="HF34" t="e">
        <f>AND(Bills!#REF!,"AAAAAHvX99U=")</f>
        <v>#REF!</v>
      </c>
      <c r="HG34" t="e">
        <f>AND(Bills!#REF!,"AAAAAHvX99Y=")</f>
        <v>#REF!</v>
      </c>
      <c r="HH34" t="e">
        <f>AND(Bills!#REF!,"AAAAAHvX99c=")</f>
        <v>#REF!</v>
      </c>
      <c r="HI34" t="e">
        <f>AND(Bills!#REF!,"AAAAAHvX99g=")</f>
        <v>#REF!</v>
      </c>
      <c r="HJ34" t="e">
        <f>AND(Bills!#REF!,"AAAAAHvX99k=")</f>
        <v>#REF!</v>
      </c>
      <c r="HK34" t="e">
        <f>AND(Bills!#REF!,"AAAAAHvX99o=")</f>
        <v>#REF!</v>
      </c>
      <c r="HL34" t="e">
        <f>AND(Bills!#REF!,"AAAAAHvX99s=")</f>
        <v>#REF!</v>
      </c>
      <c r="HM34" t="e">
        <f>AND(Bills!#REF!,"AAAAAHvX99w=")</f>
        <v>#REF!</v>
      </c>
      <c r="HN34" t="e">
        <f>AND(Bills!#REF!,"AAAAAHvX990=")</f>
        <v>#REF!</v>
      </c>
      <c r="HO34" t="e">
        <f>AND(Bills!#REF!,"AAAAAHvX994=")</f>
        <v>#REF!</v>
      </c>
      <c r="HP34" t="e">
        <f>AND(Bills!#REF!,"AAAAAHvX998=")</f>
        <v>#REF!</v>
      </c>
      <c r="HQ34" t="e">
        <f>AND(Bills!#REF!,"AAAAAHvX9+A=")</f>
        <v>#REF!</v>
      </c>
      <c r="HR34" t="e">
        <f>AND(Bills!#REF!,"AAAAAHvX9+E=")</f>
        <v>#REF!</v>
      </c>
      <c r="HS34" t="e">
        <f>AND(Bills!#REF!,"AAAAAHvX9+I=")</f>
        <v>#REF!</v>
      </c>
      <c r="HT34" t="e">
        <f>AND(Bills!#REF!,"AAAAAHvX9+M=")</f>
        <v>#REF!</v>
      </c>
      <c r="HU34" t="e">
        <f>AND(Bills!#REF!,"AAAAAHvX9+Q=")</f>
        <v>#REF!</v>
      </c>
      <c r="HV34" t="e">
        <f>AND(Bills!#REF!,"AAAAAHvX9+U=")</f>
        <v>#REF!</v>
      </c>
      <c r="HW34" t="e">
        <f>AND(Bills!#REF!,"AAAAAHvX9+Y=")</f>
        <v>#REF!</v>
      </c>
      <c r="HX34" t="e">
        <f>AND(Bills!#REF!,"AAAAAHvX9+c=")</f>
        <v>#REF!</v>
      </c>
      <c r="HY34" t="e">
        <f>AND(Bills!#REF!,"AAAAAHvX9+g=")</f>
        <v>#REF!</v>
      </c>
      <c r="HZ34" t="e">
        <f>AND(Bills!#REF!,"AAAAAHvX9+k=")</f>
        <v>#REF!</v>
      </c>
      <c r="IA34" t="e">
        <f>AND(Bills!#REF!,"AAAAAHvX9+o=")</f>
        <v>#REF!</v>
      </c>
      <c r="IB34" t="e">
        <f>AND(Bills!#REF!,"AAAAAHvX9+s=")</f>
        <v>#REF!</v>
      </c>
      <c r="IC34" t="e">
        <f>AND(Bills!#REF!,"AAAAAHvX9+w=")</f>
        <v>#REF!</v>
      </c>
      <c r="ID34" t="e">
        <f>AND(Bills!#REF!,"AAAAAHvX9+0=")</f>
        <v>#REF!</v>
      </c>
      <c r="IE34" t="e">
        <f>AND(Bills!#REF!,"AAAAAHvX9+4=")</f>
        <v>#REF!</v>
      </c>
      <c r="IF34" t="e">
        <f>AND(Bills!#REF!,"AAAAAHvX9+8=")</f>
        <v>#REF!</v>
      </c>
      <c r="IG34" t="e">
        <f>AND(Bills!#REF!,"AAAAAHvX9/A=")</f>
        <v>#REF!</v>
      </c>
      <c r="IH34" t="e">
        <f>AND(Bills!#REF!,"AAAAAHvX9/E=")</f>
        <v>#REF!</v>
      </c>
      <c r="II34" t="e">
        <f>AND(Bills!#REF!,"AAAAAHvX9/I=")</f>
        <v>#REF!</v>
      </c>
      <c r="IJ34" t="e">
        <f>AND(Bills!#REF!,"AAAAAHvX9/M=")</f>
        <v>#REF!</v>
      </c>
      <c r="IK34" t="e">
        <f>AND(Bills!#REF!,"AAAAAHvX9/Q=")</f>
        <v>#REF!</v>
      </c>
      <c r="IL34" t="e">
        <f>AND(Bills!#REF!,"AAAAAHvX9/U=")</f>
        <v>#REF!</v>
      </c>
      <c r="IM34" t="e">
        <f>AND(Bills!#REF!,"AAAAAHvX9/Y=")</f>
        <v>#REF!</v>
      </c>
      <c r="IN34" t="e">
        <f>AND(Bills!#REF!,"AAAAAHvX9/c=")</f>
        <v>#REF!</v>
      </c>
      <c r="IO34" t="e">
        <f>AND(Bills!#REF!,"AAAAAHvX9/g=")</f>
        <v>#REF!</v>
      </c>
      <c r="IP34" t="e">
        <f>AND(Bills!#REF!,"AAAAAHvX9/k=")</f>
        <v>#REF!</v>
      </c>
      <c r="IQ34" t="e">
        <f>AND(Bills!#REF!,"AAAAAHvX9/o=")</f>
        <v>#REF!</v>
      </c>
      <c r="IR34" t="e">
        <f>AND(Bills!#REF!,"AAAAAHvX9/s=")</f>
        <v>#REF!</v>
      </c>
      <c r="IS34" t="e">
        <f>AND(Bills!#REF!,"AAAAAHvX9/w=")</f>
        <v>#REF!</v>
      </c>
      <c r="IT34" t="e">
        <f>AND(Bills!#REF!,"AAAAAHvX9/0=")</f>
        <v>#REF!</v>
      </c>
      <c r="IU34" t="e">
        <f>AND(Bills!#REF!,"AAAAAHvX9/4=")</f>
        <v>#REF!</v>
      </c>
      <c r="IV34" t="e">
        <f>AND(Bills!#REF!,"AAAAAHvX9/8=")</f>
        <v>#REF!</v>
      </c>
    </row>
    <row r="35" spans="1:256" x14ac:dyDescent="0.25">
      <c r="A35" t="e">
        <f>AND(Bills!#REF!,"AAAAACf+dwA=")</f>
        <v>#REF!</v>
      </c>
      <c r="B35" t="e">
        <f>AND(Bills!#REF!,"AAAAACf+dwE=")</f>
        <v>#REF!</v>
      </c>
      <c r="C35" t="e">
        <f>AND(Bills!#REF!,"AAAAACf+dwI=")</f>
        <v>#REF!</v>
      </c>
      <c r="D35" t="e">
        <f>AND(Bills!#REF!,"AAAAACf+dwM=")</f>
        <v>#REF!</v>
      </c>
      <c r="E35" t="e">
        <f>AND(Bills!#REF!,"AAAAACf+dwQ=")</f>
        <v>#REF!</v>
      </c>
      <c r="F35" t="e">
        <f>IF(Bills!#REF!,"AAAAACf+dwU=",0)</f>
        <v>#REF!</v>
      </c>
      <c r="G35" t="e">
        <f>AND(Bills!#REF!,"AAAAACf+dwY=")</f>
        <v>#REF!</v>
      </c>
      <c r="H35" t="e">
        <f>AND(Bills!#REF!,"AAAAACf+dwc=")</f>
        <v>#REF!</v>
      </c>
      <c r="I35" t="e">
        <f>AND(Bills!#REF!,"AAAAACf+dwg=")</f>
        <v>#REF!</v>
      </c>
      <c r="J35" t="e">
        <f>AND(Bills!#REF!,"AAAAACf+dwk=")</f>
        <v>#REF!</v>
      </c>
      <c r="K35" t="e">
        <f>AND(Bills!#REF!,"AAAAACf+dwo=")</f>
        <v>#REF!</v>
      </c>
      <c r="L35" t="e">
        <f>AND(Bills!#REF!,"AAAAACf+dws=")</f>
        <v>#REF!</v>
      </c>
      <c r="M35" t="e">
        <f>AND(Bills!#REF!,"AAAAACf+dww=")</f>
        <v>#REF!</v>
      </c>
      <c r="N35" t="e">
        <f>AND(Bills!#REF!,"AAAAACf+dw0=")</f>
        <v>#REF!</v>
      </c>
      <c r="O35" t="e">
        <f>AND(Bills!#REF!,"AAAAACf+dw4=")</f>
        <v>#REF!</v>
      </c>
      <c r="P35" t="e">
        <f>AND(Bills!#REF!,"AAAAACf+dw8=")</f>
        <v>#REF!</v>
      </c>
      <c r="Q35" t="e">
        <f>AND(Bills!#REF!,"AAAAACf+dxA=")</f>
        <v>#REF!</v>
      </c>
      <c r="R35" t="e">
        <f>AND(Bills!#REF!,"AAAAACf+dxE=")</f>
        <v>#REF!</v>
      </c>
      <c r="S35" t="e">
        <f>AND(Bills!#REF!,"AAAAACf+dxI=")</f>
        <v>#REF!</v>
      </c>
      <c r="T35" t="e">
        <f>AND(Bills!#REF!,"AAAAACf+dxM=")</f>
        <v>#REF!</v>
      </c>
      <c r="U35" t="e">
        <f>AND(Bills!#REF!,"AAAAACf+dxQ=")</f>
        <v>#REF!</v>
      </c>
      <c r="V35" t="e">
        <f>AND(Bills!#REF!,"AAAAACf+dxU=")</f>
        <v>#REF!</v>
      </c>
      <c r="W35" t="e">
        <f>AND(Bills!#REF!,"AAAAACf+dxY=")</f>
        <v>#REF!</v>
      </c>
      <c r="X35" t="e">
        <f>AND(Bills!#REF!,"AAAAACf+dxc=")</f>
        <v>#REF!</v>
      </c>
      <c r="Y35" t="e">
        <f>AND(Bills!#REF!,"AAAAACf+dxg=")</f>
        <v>#REF!</v>
      </c>
      <c r="Z35" t="e">
        <f>AND(Bills!#REF!,"AAAAACf+dxk=")</f>
        <v>#REF!</v>
      </c>
      <c r="AA35" t="e">
        <f>AND(Bills!#REF!,"AAAAACf+dxo=")</f>
        <v>#REF!</v>
      </c>
      <c r="AB35" t="e">
        <f>AND(Bills!#REF!,"AAAAACf+dxs=")</f>
        <v>#REF!</v>
      </c>
      <c r="AC35" t="e">
        <f>AND(Bills!#REF!,"AAAAACf+dxw=")</f>
        <v>#REF!</v>
      </c>
      <c r="AD35" t="e">
        <f>AND(Bills!#REF!,"AAAAACf+dx0=")</f>
        <v>#REF!</v>
      </c>
      <c r="AE35" t="e">
        <f>AND(Bills!#REF!,"AAAAACf+dx4=")</f>
        <v>#REF!</v>
      </c>
      <c r="AF35" t="e">
        <f>AND(Bills!#REF!,"AAAAACf+dx8=")</f>
        <v>#REF!</v>
      </c>
      <c r="AG35" t="e">
        <f>AND(Bills!#REF!,"AAAAACf+dyA=")</f>
        <v>#REF!</v>
      </c>
      <c r="AH35" t="e">
        <f>AND(Bills!#REF!,"AAAAACf+dyE=")</f>
        <v>#REF!</v>
      </c>
      <c r="AI35" t="e">
        <f>AND(Bills!#REF!,"AAAAACf+dyI=")</f>
        <v>#REF!</v>
      </c>
      <c r="AJ35" t="e">
        <f>AND(Bills!#REF!,"AAAAACf+dyM=")</f>
        <v>#REF!</v>
      </c>
      <c r="AK35" t="e">
        <f>AND(Bills!#REF!,"AAAAACf+dyQ=")</f>
        <v>#REF!</v>
      </c>
      <c r="AL35" t="e">
        <f>AND(Bills!#REF!,"AAAAACf+dyU=")</f>
        <v>#REF!</v>
      </c>
      <c r="AM35" t="e">
        <f>AND(Bills!#REF!,"AAAAACf+dyY=")</f>
        <v>#REF!</v>
      </c>
      <c r="AN35" t="e">
        <f>AND(Bills!#REF!,"AAAAACf+dyc=")</f>
        <v>#REF!</v>
      </c>
      <c r="AO35" t="e">
        <f>AND(Bills!#REF!,"AAAAACf+dyg=")</f>
        <v>#REF!</v>
      </c>
      <c r="AP35" t="e">
        <f>AND(Bills!#REF!,"AAAAACf+dyk=")</f>
        <v>#REF!</v>
      </c>
      <c r="AQ35" t="e">
        <f>AND(Bills!#REF!,"AAAAACf+dyo=")</f>
        <v>#REF!</v>
      </c>
      <c r="AR35" t="e">
        <f>AND(Bills!#REF!,"AAAAACf+dys=")</f>
        <v>#REF!</v>
      </c>
      <c r="AS35" t="e">
        <f>AND(Bills!#REF!,"AAAAACf+dyw=")</f>
        <v>#REF!</v>
      </c>
      <c r="AT35" t="e">
        <f>AND(Bills!#REF!,"AAAAACf+dy0=")</f>
        <v>#REF!</v>
      </c>
      <c r="AU35" t="e">
        <f>AND(Bills!#REF!,"AAAAACf+dy4=")</f>
        <v>#REF!</v>
      </c>
      <c r="AV35" t="e">
        <f>AND(Bills!#REF!,"AAAAACf+dy8=")</f>
        <v>#REF!</v>
      </c>
      <c r="AW35" t="e">
        <f>AND(Bills!#REF!,"AAAAACf+dzA=")</f>
        <v>#REF!</v>
      </c>
      <c r="AX35" t="e">
        <f>AND(Bills!#REF!,"AAAAACf+dzE=")</f>
        <v>#REF!</v>
      </c>
      <c r="AY35" t="e">
        <f>AND(Bills!#REF!,"AAAAACf+dzI=")</f>
        <v>#REF!</v>
      </c>
      <c r="AZ35" t="e">
        <f>AND(Bills!#REF!,"AAAAACf+dzM=")</f>
        <v>#REF!</v>
      </c>
      <c r="BA35" t="e">
        <f>AND(Bills!#REF!,"AAAAACf+dzQ=")</f>
        <v>#REF!</v>
      </c>
      <c r="BB35" t="e">
        <f>AND(Bills!#REF!,"AAAAACf+dzU=")</f>
        <v>#REF!</v>
      </c>
      <c r="BC35" t="e">
        <f>AND(Bills!#REF!,"AAAAACf+dzY=")</f>
        <v>#REF!</v>
      </c>
      <c r="BD35" t="e">
        <f>AND(Bills!#REF!,"AAAAACf+dzc=")</f>
        <v>#REF!</v>
      </c>
      <c r="BE35" t="e">
        <f>IF(Bills!#REF!,"AAAAACf+dzg=",0)</f>
        <v>#REF!</v>
      </c>
      <c r="BF35" t="e">
        <f>AND(Bills!#REF!,"AAAAACf+dzk=")</f>
        <v>#REF!</v>
      </c>
      <c r="BG35" t="e">
        <f>AND(Bills!#REF!,"AAAAACf+dzo=")</f>
        <v>#REF!</v>
      </c>
      <c r="BH35" t="e">
        <f>AND(Bills!#REF!,"AAAAACf+dzs=")</f>
        <v>#REF!</v>
      </c>
      <c r="BI35" t="e">
        <f>AND(Bills!#REF!,"AAAAACf+dzw=")</f>
        <v>#REF!</v>
      </c>
      <c r="BJ35" t="e">
        <f>AND(Bills!#REF!,"AAAAACf+dz0=")</f>
        <v>#REF!</v>
      </c>
      <c r="BK35" t="e">
        <f>AND(Bills!#REF!,"AAAAACf+dz4=")</f>
        <v>#REF!</v>
      </c>
      <c r="BL35" t="e">
        <f>AND(Bills!#REF!,"AAAAACf+dz8=")</f>
        <v>#REF!</v>
      </c>
      <c r="BM35" t="e">
        <f>AND(Bills!#REF!,"AAAAACf+d0A=")</f>
        <v>#REF!</v>
      </c>
      <c r="BN35" t="e">
        <f>AND(Bills!#REF!,"AAAAACf+d0E=")</f>
        <v>#REF!</v>
      </c>
      <c r="BO35" t="e">
        <f>AND(Bills!#REF!,"AAAAACf+d0I=")</f>
        <v>#REF!</v>
      </c>
      <c r="BP35" t="e">
        <f>AND(Bills!#REF!,"AAAAACf+d0M=")</f>
        <v>#REF!</v>
      </c>
      <c r="BQ35" t="e">
        <f>AND(Bills!#REF!,"AAAAACf+d0Q=")</f>
        <v>#REF!</v>
      </c>
      <c r="BR35" t="e">
        <f>AND(Bills!#REF!,"AAAAACf+d0U=")</f>
        <v>#REF!</v>
      </c>
      <c r="BS35" t="e">
        <f>AND(Bills!#REF!,"AAAAACf+d0Y=")</f>
        <v>#REF!</v>
      </c>
      <c r="BT35" t="e">
        <f>AND(Bills!#REF!,"AAAAACf+d0c=")</f>
        <v>#REF!</v>
      </c>
      <c r="BU35" t="e">
        <f>AND(Bills!#REF!,"AAAAACf+d0g=")</f>
        <v>#REF!</v>
      </c>
      <c r="BV35" t="e">
        <f>AND(Bills!#REF!,"AAAAACf+d0k=")</f>
        <v>#REF!</v>
      </c>
      <c r="BW35" t="e">
        <f>AND(Bills!#REF!,"AAAAACf+d0o=")</f>
        <v>#REF!</v>
      </c>
      <c r="BX35" t="e">
        <f>AND(Bills!#REF!,"AAAAACf+d0s=")</f>
        <v>#REF!</v>
      </c>
      <c r="BY35" t="e">
        <f>AND(Bills!#REF!,"AAAAACf+d0w=")</f>
        <v>#REF!</v>
      </c>
      <c r="BZ35" t="e">
        <f>AND(Bills!#REF!,"AAAAACf+d00=")</f>
        <v>#REF!</v>
      </c>
      <c r="CA35" t="e">
        <f>AND(Bills!#REF!,"AAAAACf+d04=")</f>
        <v>#REF!</v>
      </c>
      <c r="CB35" t="e">
        <f>AND(Bills!#REF!,"AAAAACf+d08=")</f>
        <v>#REF!</v>
      </c>
      <c r="CC35" t="e">
        <f>AND(Bills!#REF!,"AAAAACf+d1A=")</f>
        <v>#REF!</v>
      </c>
      <c r="CD35" t="e">
        <f>AND(Bills!#REF!,"AAAAACf+d1E=")</f>
        <v>#REF!</v>
      </c>
      <c r="CE35" t="e">
        <f>AND(Bills!#REF!,"AAAAACf+d1I=")</f>
        <v>#REF!</v>
      </c>
      <c r="CF35" t="e">
        <f>AND(Bills!#REF!,"AAAAACf+d1M=")</f>
        <v>#REF!</v>
      </c>
      <c r="CG35" t="e">
        <f>AND(Bills!#REF!,"AAAAACf+d1Q=")</f>
        <v>#REF!</v>
      </c>
      <c r="CH35" t="e">
        <f>AND(Bills!#REF!,"AAAAACf+d1U=")</f>
        <v>#REF!</v>
      </c>
      <c r="CI35" t="e">
        <f>AND(Bills!#REF!,"AAAAACf+d1Y=")</f>
        <v>#REF!</v>
      </c>
      <c r="CJ35" t="e">
        <f>AND(Bills!#REF!,"AAAAACf+d1c=")</f>
        <v>#REF!</v>
      </c>
      <c r="CK35" t="e">
        <f>AND(Bills!#REF!,"AAAAACf+d1g=")</f>
        <v>#REF!</v>
      </c>
      <c r="CL35" t="e">
        <f>AND(Bills!#REF!,"AAAAACf+d1k=")</f>
        <v>#REF!</v>
      </c>
      <c r="CM35" t="e">
        <f>AND(Bills!#REF!,"AAAAACf+d1o=")</f>
        <v>#REF!</v>
      </c>
      <c r="CN35" t="e">
        <f>AND(Bills!#REF!,"AAAAACf+d1s=")</f>
        <v>#REF!</v>
      </c>
      <c r="CO35" t="e">
        <f>AND(Bills!#REF!,"AAAAACf+d1w=")</f>
        <v>#REF!</v>
      </c>
      <c r="CP35" t="e">
        <f>AND(Bills!#REF!,"AAAAACf+d10=")</f>
        <v>#REF!</v>
      </c>
      <c r="CQ35" t="e">
        <f>AND(Bills!#REF!,"AAAAACf+d14=")</f>
        <v>#REF!</v>
      </c>
      <c r="CR35" t="e">
        <f>AND(Bills!#REF!,"AAAAACf+d18=")</f>
        <v>#REF!</v>
      </c>
      <c r="CS35" t="e">
        <f>AND(Bills!#REF!,"AAAAACf+d2A=")</f>
        <v>#REF!</v>
      </c>
      <c r="CT35" t="e">
        <f>AND(Bills!#REF!,"AAAAACf+d2E=")</f>
        <v>#REF!</v>
      </c>
      <c r="CU35" t="e">
        <f>AND(Bills!#REF!,"AAAAACf+d2I=")</f>
        <v>#REF!</v>
      </c>
      <c r="CV35" t="e">
        <f>AND(Bills!#REF!,"AAAAACf+d2M=")</f>
        <v>#REF!</v>
      </c>
      <c r="CW35" t="e">
        <f>AND(Bills!#REF!,"AAAAACf+d2Q=")</f>
        <v>#REF!</v>
      </c>
      <c r="CX35" t="e">
        <f>AND(Bills!#REF!,"AAAAACf+d2U=")</f>
        <v>#REF!</v>
      </c>
      <c r="CY35" t="e">
        <f>AND(Bills!#REF!,"AAAAACf+d2Y=")</f>
        <v>#REF!</v>
      </c>
      <c r="CZ35" t="e">
        <f>AND(Bills!#REF!,"AAAAACf+d2c=")</f>
        <v>#REF!</v>
      </c>
      <c r="DA35" t="e">
        <f>AND(Bills!#REF!,"AAAAACf+d2g=")</f>
        <v>#REF!</v>
      </c>
      <c r="DB35" t="e">
        <f>AND(Bills!#REF!,"AAAAACf+d2k=")</f>
        <v>#REF!</v>
      </c>
      <c r="DC35" t="e">
        <f>AND(Bills!#REF!,"AAAAACf+d2o=")</f>
        <v>#REF!</v>
      </c>
      <c r="DD35" t="e">
        <f>IF(Bills!#REF!,"AAAAACf+d2s=",0)</f>
        <v>#REF!</v>
      </c>
      <c r="DE35" t="e">
        <f>AND(Bills!#REF!,"AAAAACf+d2w=")</f>
        <v>#REF!</v>
      </c>
      <c r="DF35" t="e">
        <f>AND(Bills!#REF!,"AAAAACf+d20=")</f>
        <v>#REF!</v>
      </c>
      <c r="DG35" t="e">
        <f>AND(Bills!#REF!,"AAAAACf+d24=")</f>
        <v>#REF!</v>
      </c>
      <c r="DH35" t="e">
        <f>AND(Bills!#REF!,"AAAAACf+d28=")</f>
        <v>#REF!</v>
      </c>
      <c r="DI35" t="e">
        <f>AND(Bills!#REF!,"AAAAACf+d3A=")</f>
        <v>#REF!</v>
      </c>
      <c r="DJ35" t="e">
        <f>AND(Bills!#REF!,"AAAAACf+d3E=")</f>
        <v>#REF!</v>
      </c>
      <c r="DK35" t="e">
        <f>AND(Bills!#REF!,"AAAAACf+d3I=")</f>
        <v>#REF!</v>
      </c>
      <c r="DL35" t="e">
        <f>AND(Bills!#REF!,"AAAAACf+d3M=")</f>
        <v>#REF!</v>
      </c>
      <c r="DM35" t="e">
        <f>AND(Bills!#REF!,"AAAAACf+d3Q=")</f>
        <v>#REF!</v>
      </c>
      <c r="DN35" t="e">
        <f>AND(Bills!#REF!,"AAAAACf+d3U=")</f>
        <v>#REF!</v>
      </c>
      <c r="DO35" t="e">
        <f>AND(Bills!#REF!,"AAAAACf+d3Y=")</f>
        <v>#REF!</v>
      </c>
      <c r="DP35" t="e">
        <f>AND(Bills!#REF!,"AAAAACf+d3c=")</f>
        <v>#REF!</v>
      </c>
      <c r="DQ35" t="e">
        <f>AND(Bills!#REF!,"AAAAACf+d3g=")</f>
        <v>#REF!</v>
      </c>
      <c r="DR35" t="e">
        <f>AND(Bills!#REF!,"AAAAACf+d3k=")</f>
        <v>#REF!</v>
      </c>
      <c r="DS35" t="e">
        <f>AND(Bills!#REF!,"AAAAACf+d3o=")</f>
        <v>#REF!</v>
      </c>
      <c r="DT35" t="e">
        <f>AND(Bills!#REF!,"AAAAACf+d3s=")</f>
        <v>#REF!</v>
      </c>
      <c r="DU35" t="e">
        <f>AND(Bills!#REF!,"AAAAACf+d3w=")</f>
        <v>#REF!</v>
      </c>
      <c r="DV35" t="e">
        <f>AND(Bills!#REF!,"AAAAACf+d30=")</f>
        <v>#REF!</v>
      </c>
      <c r="DW35" t="e">
        <f>AND(Bills!#REF!,"AAAAACf+d34=")</f>
        <v>#REF!</v>
      </c>
      <c r="DX35" t="e">
        <f>AND(Bills!#REF!,"AAAAACf+d38=")</f>
        <v>#REF!</v>
      </c>
      <c r="DY35" t="e">
        <f>AND(Bills!#REF!,"AAAAACf+d4A=")</f>
        <v>#REF!</v>
      </c>
      <c r="DZ35" t="e">
        <f>AND(Bills!#REF!,"AAAAACf+d4E=")</f>
        <v>#REF!</v>
      </c>
      <c r="EA35" t="e">
        <f>AND(Bills!#REF!,"AAAAACf+d4I=")</f>
        <v>#REF!</v>
      </c>
      <c r="EB35" t="e">
        <f>AND(Bills!#REF!,"AAAAACf+d4M=")</f>
        <v>#REF!</v>
      </c>
      <c r="EC35" t="e">
        <f>AND(Bills!#REF!,"AAAAACf+d4Q=")</f>
        <v>#REF!</v>
      </c>
      <c r="ED35" t="e">
        <f>AND(Bills!#REF!,"AAAAACf+d4U=")</f>
        <v>#REF!</v>
      </c>
      <c r="EE35" t="e">
        <f>AND(Bills!#REF!,"AAAAACf+d4Y=")</f>
        <v>#REF!</v>
      </c>
      <c r="EF35" t="e">
        <f>AND(Bills!#REF!,"AAAAACf+d4c=")</f>
        <v>#REF!</v>
      </c>
      <c r="EG35" t="e">
        <f>AND(Bills!#REF!,"AAAAACf+d4g=")</f>
        <v>#REF!</v>
      </c>
      <c r="EH35" t="e">
        <f>AND(Bills!#REF!,"AAAAACf+d4k=")</f>
        <v>#REF!</v>
      </c>
      <c r="EI35" t="e">
        <f>AND(Bills!#REF!,"AAAAACf+d4o=")</f>
        <v>#REF!</v>
      </c>
      <c r="EJ35" t="e">
        <f>AND(Bills!#REF!,"AAAAACf+d4s=")</f>
        <v>#REF!</v>
      </c>
      <c r="EK35" t="e">
        <f>AND(Bills!#REF!,"AAAAACf+d4w=")</f>
        <v>#REF!</v>
      </c>
      <c r="EL35" t="e">
        <f>AND(Bills!#REF!,"AAAAACf+d40=")</f>
        <v>#REF!</v>
      </c>
      <c r="EM35" t="e">
        <f>AND(Bills!#REF!,"AAAAACf+d44=")</f>
        <v>#REF!</v>
      </c>
      <c r="EN35" t="e">
        <f>AND(Bills!#REF!,"AAAAACf+d48=")</f>
        <v>#REF!</v>
      </c>
      <c r="EO35" t="e">
        <f>AND(Bills!#REF!,"AAAAACf+d5A=")</f>
        <v>#REF!</v>
      </c>
      <c r="EP35" t="e">
        <f>AND(Bills!#REF!,"AAAAACf+d5E=")</f>
        <v>#REF!</v>
      </c>
      <c r="EQ35" t="e">
        <f>AND(Bills!#REF!,"AAAAACf+d5I=")</f>
        <v>#REF!</v>
      </c>
      <c r="ER35" t="e">
        <f>AND(Bills!#REF!,"AAAAACf+d5M=")</f>
        <v>#REF!</v>
      </c>
      <c r="ES35" t="e">
        <f>AND(Bills!#REF!,"AAAAACf+d5Q=")</f>
        <v>#REF!</v>
      </c>
      <c r="ET35" t="e">
        <f>AND(Bills!#REF!,"AAAAACf+d5U=")</f>
        <v>#REF!</v>
      </c>
      <c r="EU35" t="e">
        <f>AND(Bills!#REF!,"AAAAACf+d5Y=")</f>
        <v>#REF!</v>
      </c>
      <c r="EV35" t="e">
        <f>AND(Bills!#REF!,"AAAAACf+d5c=")</f>
        <v>#REF!</v>
      </c>
      <c r="EW35" t="e">
        <f>AND(Bills!#REF!,"AAAAACf+d5g=")</f>
        <v>#REF!</v>
      </c>
      <c r="EX35" t="e">
        <f>AND(Bills!#REF!,"AAAAACf+d5k=")</f>
        <v>#REF!</v>
      </c>
      <c r="EY35" t="e">
        <f>AND(Bills!#REF!,"AAAAACf+d5o=")</f>
        <v>#REF!</v>
      </c>
      <c r="EZ35" t="e">
        <f>AND(Bills!#REF!,"AAAAACf+d5s=")</f>
        <v>#REF!</v>
      </c>
      <c r="FA35" t="e">
        <f>AND(Bills!#REF!,"AAAAACf+d5w=")</f>
        <v>#REF!</v>
      </c>
      <c r="FB35" t="e">
        <f>AND(Bills!#REF!,"AAAAACf+d50=")</f>
        <v>#REF!</v>
      </c>
      <c r="FC35" t="e">
        <f>IF(Bills!#REF!,"AAAAACf+d54=",0)</f>
        <v>#REF!</v>
      </c>
      <c r="FD35" t="e">
        <f>AND(Bills!#REF!,"AAAAACf+d58=")</f>
        <v>#REF!</v>
      </c>
      <c r="FE35" t="e">
        <f>AND(Bills!#REF!,"AAAAACf+d6A=")</f>
        <v>#REF!</v>
      </c>
      <c r="FF35" t="e">
        <f>AND(Bills!#REF!,"AAAAACf+d6E=")</f>
        <v>#REF!</v>
      </c>
      <c r="FG35" t="e">
        <f>AND(Bills!#REF!,"AAAAACf+d6I=")</f>
        <v>#REF!</v>
      </c>
      <c r="FH35" t="e">
        <f>AND(Bills!#REF!,"AAAAACf+d6M=")</f>
        <v>#REF!</v>
      </c>
      <c r="FI35" t="e">
        <f>AND(Bills!#REF!,"AAAAACf+d6Q=")</f>
        <v>#REF!</v>
      </c>
      <c r="FJ35" t="e">
        <f>AND(Bills!#REF!,"AAAAACf+d6U=")</f>
        <v>#REF!</v>
      </c>
      <c r="FK35" t="e">
        <f>AND(Bills!#REF!,"AAAAACf+d6Y=")</f>
        <v>#REF!</v>
      </c>
      <c r="FL35" t="e">
        <f>AND(Bills!#REF!,"AAAAACf+d6c=")</f>
        <v>#REF!</v>
      </c>
      <c r="FM35" t="e">
        <f>AND(Bills!#REF!,"AAAAACf+d6g=")</f>
        <v>#REF!</v>
      </c>
      <c r="FN35" t="e">
        <f>AND(Bills!#REF!,"AAAAACf+d6k=")</f>
        <v>#REF!</v>
      </c>
      <c r="FO35" t="e">
        <f>AND(Bills!#REF!,"AAAAACf+d6o=")</f>
        <v>#REF!</v>
      </c>
      <c r="FP35" t="e">
        <f>AND(Bills!#REF!,"AAAAACf+d6s=")</f>
        <v>#REF!</v>
      </c>
      <c r="FQ35" t="e">
        <f>AND(Bills!#REF!,"AAAAACf+d6w=")</f>
        <v>#REF!</v>
      </c>
      <c r="FR35" t="e">
        <f>AND(Bills!#REF!,"AAAAACf+d60=")</f>
        <v>#REF!</v>
      </c>
      <c r="FS35" t="e">
        <f>AND(Bills!#REF!,"AAAAACf+d64=")</f>
        <v>#REF!</v>
      </c>
      <c r="FT35" t="e">
        <f>AND(Bills!#REF!,"AAAAACf+d68=")</f>
        <v>#REF!</v>
      </c>
      <c r="FU35" t="e">
        <f>AND(Bills!#REF!,"AAAAACf+d7A=")</f>
        <v>#REF!</v>
      </c>
      <c r="FV35" t="e">
        <f>AND(Bills!#REF!,"AAAAACf+d7E=")</f>
        <v>#REF!</v>
      </c>
      <c r="FW35" t="e">
        <f>AND(Bills!#REF!,"AAAAACf+d7I=")</f>
        <v>#REF!</v>
      </c>
      <c r="FX35" t="e">
        <f>AND(Bills!#REF!,"AAAAACf+d7M=")</f>
        <v>#REF!</v>
      </c>
      <c r="FY35" t="e">
        <f>AND(Bills!#REF!,"AAAAACf+d7Q=")</f>
        <v>#REF!</v>
      </c>
      <c r="FZ35" t="e">
        <f>AND(Bills!#REF!,"AAAAACf+d7U=")</f>
        <v>#REF!</v>
      </c>
      <c r="GA35" t="e">
        <f>AND(Bills!#REF!,"AAAAACf+d7Y=")</f>
        <v>#REF!</v>
      </c>
      <c r="GB35" t="e">
        <f>AND(Bills!#REF!,"AAAAACf+d7c=")</f>
        <v>#REF!</v>
      </c>
      <c r="GC35" t="e">
        <f>AND(Bills!#REF!,"AAAAACf+d7g=")</f>
        <v>#REF!</v>
      </c>
      <c r="GD35" t="e">
        <f>AND(Bills!#REF!,"AAAAACf+d7k=")</f>
        <v>#REF!</v>
      </c>
      <c r="GE35" t="e">
        <f>AND(Bills!#REF!,"AAAAACf+d7o=")</f>
        <v>#REF!</v>
      </c>
      <c r="GF35" t="e">
        <f>AND(Bills!#REF!,"AAAAACf+d7s=")</f>
        <v>#REF!</v>
      </c>
      <c r="GG35" t="e">
        <f>AND(Bills!#REF!,"AAAAACf+d7w=")</f>
        <v>#REF!</v>
      </c>
      <c r="GH35" t="e">
        <f>AND(Bills!#REF!,"AAAAACf+d70=")</f>
        <v>#REF!</v>
      </c>
      <c r="GI35" t="e">
        <f>AND(Bills!#REF!,"AAAAACf+d74=")</f>
        <v>#REF!</v>
      </c>
      <c r="GJ35" t="e">
        <f>AND(Bills!#REF!,"AAAAACf+d78=")</f>
        <v>#REF!</v>
      </c>
      <c r="GK35" t="e">
        <f>AND(Bills!#REF!,"AAAAACf+d8A=")</f>
        <v>#REF!</v>
      </c>
      <c r="GL35" t="e">
        <f>AND(Bills!#REF!,"AAAAACf+d8E=")</f>
        <v>#REF!</v>
      </c>
      <c r="GM35" t="e">
        <f>AND(Bills!#REF!,"AAAAACf+d8I=")</f>
        <v>#REF!</v>
      </c>
      <c r="GN35" t="e">
        <f>AND(Bills!#REF!,"AAAAACf+d8M=")</f>
        <v>#REF!</v>
      </c>
      <c r="GO35" t="e">
        <f>AND(Bills!#REF!,"AAAAACf+d8Q=")</f>
        <v>#REF!</v>
      </c>
      <c r="GP35" t="e">
        <f>AND(Bills!#REF!,"AAAAACf+d8U=")</f>
        <v>#REF!</v>
      </c>
      <c r="GQ35" t="e">
        <f>AND(Bills!#REF!,"AAAAACf+d8Y=")</f>
        <v>#REF!</v>
      </c>
      <c r="GR35" t="e">
        <f>AND(Bills!#REF!,"AAAAACf+d8c=")</f>
        <v>#REF!</v>
      </c>
      <c r="GS35" t="e">
        <f>AND(Bills!#REF!,"AAAAACf+d8g=")</f>
        <v>#REF!</v>
      </c>
      <c r="GT35" t="e">
        <f>AND(Bills!#REF!,"AAAAACf+d8k=")</f>
        <v>#REF!</v>
      </c>
      <c r="GU35" t="e">
        <f>AND(Bills!#REF!,"AAAAACf+d8o=")</f>
        <v>#REF!</v>
      </c>
      <c r="GV35" t="e">
        <f>AND(Bills!#REF!,"AAAAACf+d8s=")</f>
        <v>#REF!</v>
      </c>
      <c r="GW35" t="e">
        <f>AND(Bills!#REF!,"AAAAACf+d8w=")</f>
        <v>#REF!</v>
      </c>
      <c r="GX35" t="e">
        <f>AND(Bills!#REF!,"AAAAACf+d80=")</f>
        <v>#REF!</v>
      </c>
      <c r="GY35" t="e">
        <f>AND(Bills!#REF!,"AAAAACf+d84=")</f>
        <v>#REF!</v>
      </c>
      <c r="GZ35" t="e">
        <f>AND(Bills!#REF!,"AAAAACf+d88=")</f>
        <v>#REF!</v>
      </c>
      <c r="HA35" t="e">
        <f>AND(Bills!#REF!,"AAAAACf+d9A=")</f>
        <v>#REF!</v>
      </c>
      <c r="HB35" t="e">
        <f>IF(Bills!#REF!,"AAAAACf+d9E=",0)</f>
        <v>#REF!</v>
      </c>
      <c r="HC35" t="e">
        <f>AND(Bills!#REF!,"AAAAACf+d9I=")</f>
        <v>#REF!</v>
      </c>
      <c r="HD35" t="e">
        <f>AND(Bills!#REF!,"AAAAACf+d9M=")</f>
        <v>#REF!</v>
      </c>
      <c r="HE35" t="e">
        <f>AND(Bills!#REF!,"AAAAACf+d9Q=")</f>
        <v>#REF!</v>
      </c>
      <c r="HF35" t="e">
        <f>AND(Bills!#REF!,"AAAAACf+d9U=")</f>
        <v>#REF!</v>
      </c>
      <c r="HG35" t="e">
        <f>AND(Bills!#REF!,"AAAAACf+d9Y=")</f>
        <v>#REF!</v>
      </c>
      <c r="HH35" t="e">
        <f>AND(Bills!#REF!,"AAAAACf+d9c=")</f>
        <v>#REF!</v>
      </c>
      <c r="HI35" t="e">
        <f>AND(Bills!#REF!,"AAAAACf+d9g=")</f>
        <v>#REF!</v>
      </c>
      <c r="HJ35" t="e">
        <f>AND(Bills!#REF!,"AAAAACf+d9k=")</f>
        <v>#REF!</v>
      </c>
      <c r="HK35" t="e">
        <f>AND(Bills!#REF!,"AAAAACf+d9o=")</f>
        <v>#REF!</v>
      </c>
      <c r="HL35" t="e">
        <f>AND(Bills!#REF!,"AAAAACf+d9s=")</f>
        <v>#REF!</v>
      </c>
      <c r="HM35" t="e">
        <f>AND(Bills!#REF!,"AAAAACf+d9w=")</f>
        <v>#REF!</v>
      </c>
      <c r="HN35" t="e">
        <f>AND(Bills!#REF!,"AAAAACf+d90=")</f>
        <v>#REF!</v>
      </c>
      <c r="HO35" t="e">
        <f>AND(Bills!#REF!,"AAAAACf+d94=")</f>
        <v>#REF!</v>
      </c>
      <c r="HP35" t="e">
        <f>AND(Bills!#REF!,"AAAAACf+d98=")</f>
        <v>#REF!</v>
      </c>
      <c r="HQ35" t="e">
        <f>AND(Bills!#REF!,"AAAAACf+d+A=")</f>
        <v>#REF!</v>
      </c>
      <c r="HR35" t="e">
        <f>AND(Bills!#REF!,"AAAAACf+d+E=")</f>
        <v>#REF!</v>
      </c>
      <c r="HS35" t="e">
        <f>AND(Bills!#REF!,"AAAAACf+d+I=")</f>
        <v>#REF!</v>
      </c>
      <c r="HT35" t="e">
        <f>AND(Bills!#REF!,"AAAAACf+d+M=")</f>
        <v>#REF!</v>
      </c>
      <c r="HU35" t="e">
        <f>AND(Bills!#REF!,"AAAAACf+d+Q=")</f>
        <v>#REF!</v>
      </c>
      <c r="HV35" t="e">
        <f>AND(Bills!#REF!,"AAAAACf+d+U=")</f>
        <v>#REF!</v>
      </c>
      <c r="HW35" t="e">
        <f>AND(Bills!#REF!,"AAAAACf+d+Y=")</f>
        <v>#REF!</v>
      </c>
      <c r="HX35" t="e">
        <f>AND(Bills!#REF!,"AAAAACf+d+c=")</f>
        <v>#REF!</v>
      </c>
      <c r="HY35" t="e">
        <f>AND(Bills!#REF!,"AAAAACf+d+g=")</f>
        <v>#REF!</v>
      </c>
      <c r="HZ35" t="e">
        <f>AND(Bills!#REF!,"AAAAACf+d+k=")</f>
        <v>#REF!</v>
      </c>
      <c r="IA35" t="e">
        <f>AND(Bills!#REF!,"AAAAACf+d+o=")</f>
        <v>#REF!</v>
      </c>
      <c r="IB35" t="e">
        <f>AND(Bills!#REF!,"AAAAACf+d+s=")</f>
        <v>#REF!</v>
      </c>
      <c r="IC35" t="e">
        <f>AND(Bills!#REF!,"AAAAACf+d+w=")</f>
        <v>#REF!</v>
      </c>
      <c r="ID35" t="e">
        <f>AND(Bills!#REF!,"AAAAACf+d+0=")</f>
        <v>#REF!</v>
      </c>
      <c r="IE35" t="e">
        <f>AND(Bills!#REF!,"AAAAACf+d+4=")</f>
        <v>#REF!</v>
      </c>
      <c r="IF35" t="e">
        <f>AND(Bills!#REF!,"AAAAACf+d+8=")</f>
        <v>#REF!</v>
      </c>
      <c r="IG35" t="e">
        <f>AND(Bills!#REF!,"AAAAACf+d/A=")</f>
        <v>#REF!</v>
      </c>
      <c r="IH35" t="e">
        <f>AND(Bills!#REF!,"AAAAACf+d/E=")</f>
        <v>#REF!</v>
      </c>
      <c r="II35" t="e">
        <f>AND(Bills!#REF!,"AAAAACf+d/I=")</f>
        <v>#REF!</v>
      </c>
      <c r="IJ35" t="e">
        <f>AND(Bills!#REF!,"AAAAACf+d/M=")</f>
        <v>#REF!</v>
      </c>
      <c r="IK35" t="e">
        <f>AND(Bills!#REF!,"AAAAACf+d/Q=")</f>
        <v>#REF!</v>
      </c>
      <c r="IL35" t="e">
        <f>AND(Bills!#REF!,"AAAAACf+d/U=")</f>
        <v>#REF!</v>
      </c>
      <c r="IM35" t="e">
        <f>AND(Bills!#REF!,"AAAAACf+d/Y=")</f>
        <v>#REF!</v>
      </c>
      <c r="IN35" t="e">
        <f>AND(Bills!#REF!,"AAAAACf+d/c=")</f>
        <v>#REF!</v>
      </c>
      <c r="IO35" t="e">
        <f>AND(Bills!#REF!,"AAAAACf+d/g=")</f>
        <v>#REF!</v>
      </c>
      <c r="IP35" t="e">
        <f>AND(Bills!#REF!,"AAAAACf+d/k=")</f>
        <v>#REF!</v>
      </c>
      <c r="IQ35" t="e">
        <f>AND(Bills!#REF!,"AAAAACf+d/o=")</f>
        <v>#REF!</v>
      </c>
      <c r="IR35" t="e">
        <f>AND(Bills!#REF!,"AAAAACf+d/s=")</f>
        <v>#REF!</v>
      </c>
      <c r="IS35" t="e">
        <f>AND(Bills!#REF!,"AAAAACf+d/w=")</f>
        <v>#REF!</v>
      </c>
      <c r="IT35" t="e">
        <f>AND(Bills!#REF!,"AAAAACf+d/0=")</f>
        <v>#REF!</v>
      </c>
      <c r="IU35" t="e">
        <f>AND(Bills!#REF!,"AAAAACf+d/4=")</f>
        <v>#REF!</v>
      </c>
      <c r="IV35" t="e">
        <f>AND(Bills!#REF!,"AAAAACf+d/8=")</f>
        <v>#REF!</v>
      </c>
    </row>
    <row r="36" spans="1:256" x14ac:dyDescent="0.25">
      <c r="A36" t="e">
        <f>AND(Bills!#REF!,"AAAAAAuZqQA=")</f>
        <v>#REF!</v>
      </c>
      <c r="B36" t="e">
        <f>AND(Bills!#REF!,"AAAAAAuZqQE=")</f>
        <v>#REF!</v>
      </c>
      <c r="C36" t="e">
        <f>AND(Bills!#REF!,"AAAAAAuZqQI=")</f>
        <v>#REF!</v>
      </c>
      <c r="D36" t="e">
        <f>AND(Bills!#REF!,"AAAAAAuZqQM=")</f>
        <v>#REF!</v>
      </c>
      <c r="E36" t="e">
        <f>IF(Bills!#REF!,"AAAAAAuZqQQ=",0)</f>
        <v>#REF!</v>
      </c>
      <c r="F36" t="e">
        <f>AND(Bills!#REF!,"AAAAAAuZqQU=")</f>
        <v>#REF!</v>
      </c>
      <c r="G36" t="e">
        <f>AND(Bills!#REF!,"AAAAAAuZqQY=")</f>
        <v>#REF!</v>
      </c>
      <c r="H36" t="e">
        <f>AND(Bills!#REF!,"AAAAAAuZqQc=")</f>
        <v>#REF!</v>
      </c>
      <c r="I36" t="e">
        <f>AND(Bills!#REF!,"AAAAAAuZqQg=")</f>
        <v>#REF!</v>
      </c>
      <c r="J36" t="e">
        <f>AND(Bills!#REF!,"AAAAAAuZqQk=")</f>
        <v>#REF!</v>
      </c>
      <c r="K36" t="e">
        <f>AND(Bills!#REF!,"AAAAAAuZqQo=")</f>
        <v>#REF!</v>
      </c>
      <c r="L36" t="e">
        <f>AND(Bills!#REF!,"AAAAAAuZqQs=")</f>
        <v>#REF!</v>
      </c>
      <c r="M36" t="e">
        <f>AND(Bills!#REF!,"AAAAAAuZqQw=")</f>
        <v>#REF!</v>
      </c>
      <c r="N36" t="e">
        <f>AND(Bills!#REF!,"AAAAAAuZqQ0=")</f>
        <v>#REF!</v>
      </c>
      <c r="O36" t="e">
        <f>AND(Bills!#REF!,"AAAAAAuZqQ4=")</f>
        <v>#REF!</v>
      </c>
      <c r="P36" t="e">
        <f>AND(Bills!#REF!,"AAAAAAuZqQ8=")</f>
        <v>#REF!</v>
      </c>
      <c r="Q36" t="e">
        <f>AND(Bills!#REF!,"AAAAAAuZqRA=")</f>
        <v>#REF!</v>
      </c>
      <c r="R36" t="e">
        <f>AND(Bills!#REF!,"AAAAAAuZqRE=")</f>
        <v>#REF!</v>
      </c>
      <c r="S36" t="e">
        <f>AND(Bills!#REF!,"AAAAAAuZqRI=")</f>
        <v>#REF!</v>
      </c>
      <c r="T36" t="e">
        <f>AND(Bills!#REF!,"AAAAAAuZqRM=")</f>
        <v>#REF!</v>
      </c>
      <c r="U36" t="e">
        <f>AND(Bills!#REF!,"AAAAAAuZqRQ=")</f>
        <v>#REF!</v>
      </c>
      <c r="V36" t="e">
        <f>AND(Bills!#REF!,"AAAAAAuZqRU=")</f>
        <v>#REF!</v>
      </c>
      <c r="W36" t="e">
        <f>AND(Bills!#REF!,"AAAAAAuZqRY=")</f>
        <v>#REF!</v>
      </c>
      <c r="X36" t="e">
        <f>AND(Bills!#REF!,"AAAAAAuZqRc=")</f>
        <v>#REF!</v>
      </c>
      <c r="Y36" t="e">
        <f>AND(Bills!#REF!,"AAAAAAuZqRg=")</f>
        <v>#REF!</v>
      </c>
      <c r="Z36" t="e">
        <f>AND(Bills!#REF!,"AAAAAAuZqRk=")</f>
        <v>#REF!</v>
      </c>
      <c r="AA36" t="e">
        <f>AND(Bills!#REF!,"AAAAAAuZqRo=")</f>
        <v>#REF!</v>
      </c>
      <c r="AB36" t="e">
        <f>AND(Bills!#REF!,"AAAAAAuZqRs=")</f>
        <v>#REF!</v>
      </c>
      <c r="AC36" t="e">
        <f>AND(Bills!#REF!,"AAAAAAuZqRw=")</f>
        <v>#REF!</v>
      </c>
      <c r="AD36" t="e">
        <f>AND(Bills!#REF!,"AAAAAAuZqR0=")</f>
        <v>#REF!</v>
      </c>
      <c r="AE36" t="e">
        <f>AND(Bills!#REF!,"AAAAAAuZqR4=")</f>
        <v>#REF!</v>
      </c>
      <c r="AF36" t="e">
        <f>AND(Bills!#REF!,"AAAAAAuZqR8=")</f>
        <v>#REF!</v>
      </c>
      <c r="AG36" t="e">
        <f>AND(Bills!#REF!,"AAAAAAuZqSA=")</f>
        <v>#REF!</v>
      </c>
      <c r="AH36" t="e">
        <f>AND(Bills!#REF!,"AAAAAAuZqSE=")</f>
        <v>#REF!</v>
      </c>
      <c r="AI36" t="e">
        <f>AND(Bills!#REF!,"AAAAAAuZqSI=")</f>
        <v>#REF!</v>
      </c>
      <c r="AJ36" t="e">
        <f>AND(Bills!#REF!,"AAAAAAuZqSM=")</f>
        <v>#REF!</v>
      </c>
      <c r="AK36" t="e">
        <f>AND(Bills!#REF!,"AAAAAAuZqSQ=")</f>
        <v>#REF!</v>
      </c>
      <c r="AL36" t="e">
        <f>AND(Bills!#REF!,"AAAAAAuZqSU=")</f>
        <v>#REF!</v>
      </c>
      <c r="AM36" t="e">
        <f>AND(Bills!#REF!,"AAAAAAuZqSY=")</f>
        <v>#REF!</v>
      </c>
      <c r="AN36" t="e">
        <f>AND(Bills!#REF!,"AAAAAAuZqSc=")</f>
        <v>#REF!</v>
      </c>
      <c r="AO36" t="e">
        <f>AND(Bills!#REF!,"AAAAAAuZqSg=")</f>
        <v>#REF!</v>
      </c>
      <c r="AP36" t="e">
        <f>AND(Bills!#REF!,"AAAAAAuZqSk=")</f>
        <v>#REF!</v>
      </c>
      <c r="AQ36" t="e">
        <f>AND(Bills!#REF!,"AAAAAAuZqSo=")</f>
        <v>#REF!</v>
      </c>
      <c r="AR36" t="e">
        <f>AND(Bills!#REF!,"AAAAAAuZqSs=")</f>
        <v>#REF!</v>
      </c>
      <c r="AS36" t="e">
        <f>AND(Bills!#REF!,"AAAAAAuZqSw=")</f>
        <v>#REF!</v>
      </c>
      <c r="AT36" t="e">
        <f>AND(Bills!#REF!,"AAAAAAuZqS0=")</f>
        <v>#REF!</v>
      </c>
      <c r="AU36" t="e">
        <f>AND(Bills!#REF!,"AAAAAAuZqS4=")</f>
        <v>#REF!</v>
      </c>
      <c r="AV36" t="e">
        <f>AND(Bills!#REF!,"AAAAAAuZqS8=")</f>
        <v>#REF!</v>
      </c>
      <c r="AW36" t="e">
        <f>AND(Bills!#REF!,"AAAAAAuZqTA=")</f>
        <v>#REF!</v>
      </c>
      <c r="AX36" t="e">
        <f>AND(Bills!#REF!,"AAAAAAuZqTE=")</f>
        <v>#REF!</v>
      </c>
      <c r="AY36" t="e">
        <f>AND(Bills!#REF!,"AAAAAAuZqTI=")</f>
        <v>#REF!</v>
      </c>
      <c r="AZ36" t="e">
        <f>AND(Bills!#REF!,"AAAAAAuZqTM=")</f>
        <v>#REF!</v>
      </c>
      <c r="BA36" t="e">
        <f>AND(Bills!#REF!,"AAAAAAuZqTQ=")</f>
        <v>#REF!</v>
      </c>
      <c r="BB36" t="e">
        <f>AND(Bills!#REF!,"AAAAAAuZqTU=")</f>
        <v>#REF!</v>
      </c>
      <c r="BC36" t="e">
        <f>AND(Bills!#REF!,"AAAAAAuZqTY=")</f>
        <v>#REF!</v>
      </c>
      <c r="BD36">
        <f>IF(Bills!23:23,"AAAAAAuZqTc=",0)</f>
        <v>0</v>
      </c>
      <c r="BE36" t="e">
        <f>AND(Bills!B23,"AAAAAAuZqTg=")</f>
        <v>#VALUE!</v>
      </c>
      <c r="BF36" t="e">
        <f>AND(Bills!#REF!,"AAAAAAuZqTk=")</f>
        <v>#REF!</v>
      </c>
      <c r="BG36" t="e">
        <f>AND(Bills!C23,"AAAAAAuZqTo=")</f>
        <v>#VALUE!</v>
      </c>
      <c r="BH36" t="e">
        <f>AND(Bills!D23,"AAAAAAuZqTs=")</f>
        <v>#VALUE!</v>
      </c>
      <c r="BI36" t="e">
        <f>AND(Bills!E23,"AAAAAAuZqTw=")</f>
        <v>#VALUE!</v>
      </c>
      <c r="BJ36" t="e">
        <f>AND(Bills!#REF!,"AAAAAAuZqT0=")</f>
        <v>#REF!</v>
      </c>
      <c r="BK36" t="e">
        <f>AND(Bills!#REF!,"AAAAAAuZqT4=")</f>
        <v>#REF!</v>
      </c>
      <c r="BL36" t="e">
        <f>AND(Bills!#REF!,"AAAAAAuZqT8=")</f>
        <v>#REF!</v>
      </c>
      <c r="BM36" t="e">
        <f>AND(Bills!F23,"AAAAAAuZqUA=")</f>
        <v>#VALUE!</v>
      </c>
      <c r="BN36" t="e">
        <f>AND(Bills!#REF!,"AAAAAAuZqUE=")</f>
        <v>#REF!</v>
      </c>
      <c r="BO36" t="e">
        <f>AND(Bills!G23,"AAAAAAuZqUI=")</f>
        <v>#VALUE!</v>
      </c>
      <c r="BP36" t="e">
        <f>AND(Bills!H23,"AAAAAAuZqUM=")</f>
        <v>#VALUE!</v>
      </c>
      <c r="BQ36" t="e">
        <f>AND(Bills!I23,"AAAAAAuZqUQ=")</f>
        <v>#VALUE!</v>
      </c>
      <c r="BR36" t="e">
        <f>AND(Bills!J23,"AAAAAAuZqUU=")</f>
        <v>#VALUE!</v>
      </c>
      <c r="BS36" t="e">
        <f>AND(Bills!K23,"AAAAAAuZqUY=")</f>
        <v>#VALUE!</v>
      </c>
      <c r="BT36" t="e">
        <f>AND(Bills!L23,"AAAAAAuZqUc=")</f>
        <v>#VALUE!</v>
      </c>
      <c r="BU36" t="e">
        <f>AND(Bills!#REF!,"AAAAAAuZqUg=")</f>
        <v>#REF!</v>
      </c>
      <c r="BV36" t="e">
        <f>AND(Bills!M23,"AAAAAAuZqUk=")</f>
        <v>#VALUE!</v>
      </c>
      <c r="BW36" t="e">
        <f>AND(Bills!N23,"AAAAAAuZqUo=")</f>
        <v>#VALUE!</v>
      </c>
      <c r="BX36" t="e">
        <f>AND(Bills!O23,"AAAAAAuZqUs=")</f>
        <v>#VALUE!</v>
      </c>
      <c r="BY36" t="e">
        <f>AND(Bills!P23,"AAAAAAuZqUw=")</f>
        <v>#VALUE!</v>
      </c>
      <c r="BZ36" t="e">
        <f>AND(Bills!Q23,"AAAAAAuZqU0=")</f>
        <v>#VALUE!</v>
      </c>
      <c r="CA36" t="e">
        <f>AND(Bills!R23,"AAAAAAuZqU4=")</f>
        <v>#VALUE!</v>
      </c>
      <c r="CB36" t="e">
        <f>AND(Bills!S23,"AAAAAAuZqU8=")</f>
        <v>#VALUE!</v>
      </c>
      <c r="CC36" t="e">
        <f>AND(Bills!T23,"AAAAAAuZqVA=")</f>
        <v>#VALUE!</v>
      </c>
      <c r="CD36" t="e">
        <f>AND(Bills!#REF!,"AAAAAAuZqVE=")</f>
        <v>#REF!</v>
      </c>
      <c r="CE36" t="e">
        <f>AND(Bills!U23,"AAAAAAuZqVI=")</f>
        <v>#VALUE!</v>
      </c>
      <c r="CF36" t="e">
        <f>AND(Bills!V23,"AAAAAAuZqVM=")</f>
        <v>#VALUE!</v>
      </c>
      <c r="CG36" t="e">
        <f>AND(Bills!W23,"AAAAAAuZqVQ=")</f>
        <v>#VALUE!</v>
      </c>
      <c r="CH36" t="e">
        <f>AND(Bills!#REF!,"AAAAAAuZqVU=")</f>
        <v>#REF!</v>
      </c>
      <c r="CI36" t="e">
        <f>AND(Bills!#REF!,"AAAAAAuZqVY=")</f>
        <v>#REF!</v>
      </c>
      <c r="CJ36" t="e">
        <f>AND(Bills!Y23,"AAAAAAuZqVc=")</f>
        <v>#VALUE!</v>
      </c>
      <c r="CK36" t="e">
        <f>AND(Bills!Z23,"AAAAAAuZqVg=")</f>
        <v>#VALUE!</v>
      </c>
      <c r="CL36" t="e">
        <f>AND(Bills!#REF!,"AAAAAAuZqVk=")</f>
        <v>#REF!</v>
      </c>
      <c r="CM36" t="e">
        <f>AND(Bills!#REF!,"AAAAAAuZqVo=")</f>
        <v>#REF!</v>
      </c>
      <c r="CN36" t="e">
        <f>AND(Bills!#REF!,"AAAAAAuZqVs=")</f>
        <v>#REF!</v>
      </c>
      <c r="CO36" t="e">
        <f>AND(Bills!#REF!,"AAAAAAuZqVw=")</f>
        <v>#REF!</v>
      </c>
      <c r="CP36" t="e">
        <f>AND(Bills!#REF!,"AAAAAAuZqV0=")</f>
        <v>#REF!</v>
      </c>
      <c r="CQ36" t="e">
        <f>AND(Bills!#REF!,"AAAAAAuZqV4=")</f>
        <v>#REF!</v>
      </c>
      <c r="CR36" t="e">
        <f>AND(Bills!#REF!,"AAAAAAuZqV8=")</f>
        <v>#REF!</v>
      </c>
      <c r="CS36" t="e">
        <f>AND(Bills!#REF!,"AAAAAAuZqWA=")</f>
        <v>#REF!</v>
      </c>
      <c r="CT36" t="e">
        <f>AND(Bills!#REF!,"AAAAAAuZqWE=")</f>
        <v>#REF!</v>
      </c>
      <c r="CU36" t="e">
        <f>AND(Bills!AA23,"AAAAAAuZqWI=")</f>
        <v>#VALUE!</v>
      </c>
      <c r="CV36" t="e">
        <f>AND(Bills!AB23,"AAAAAAuZqWM=")</f>
        <v>#VALUE!</v>
      </c>
      <c r="CW36" t="e">
        <f>AND(Bills!#REF!,"AAAAAAuZqWQ=")</f>
        <v>#REF!</v>
      </c>
      <c r="CX36" t="e">
        <f>AND(Bills!#REF!,"AAAAAAuZqWU=")</f>
        <v>#REF!</v>
      </c>
      <c r="CY36" t="e">
        <f>AND(Bills!#REF!,"AAAAAAuZqWY=")</f>
        <v>#REF!</v>
      </c>
      <c r="CZ36" t="e">
        <f>AND(Bills!AC23,"AAAAAAuZqWc=")</f>
        <v>#VALUE!</v>
      </c>
      <c r="DA36" t="e">
        <f>AND(Bills!AD23,"AAAAAAuZqWg=")</f>
        <v>#VALUE!</v>
      </c>
      <c r="DB36" t="e">
        <f>AND(Bills!AE23,"AAAAAAuZqWk=")</f>
        <v>#VALUE!</v>
      </c>
      <c r="DC36" t="e">
        <f>IF(Bills!#REF!,"AAAAAAuZqWo=",0)</f>
        <v>#REF!</v>
      </c>
      <c r="DD36" t="e">
        <f>AND(Bills!#REF!,"AAAAAAuZqWs=")</f>
        <v>#REF!</v>
      </c>
      <c r="DE36" t="e">
        <f>AND(Bills!#REF!,"AAAAAAuZqWw=")</f>
        <v>#REF!</v>
      </c>
      <c r="DF36" t="e">
        <f>AND(Bills!#REF!,"AAAAAAuZqW0=")</f>
        <v>#REF!</v>
      </c>
      <c r="DG36" t="e">
        <f>AND(Bills!#REF!,"AAAAAAuZqW4=")</f>
        <v>#REF!</v>
      </c>
      <c r="DH36" t="e">
        <f>AND(Bills!#REF!,"AAAAAAuZqW8=")</f>
        <v>#REF!</v>
      </c>
      <c r="DI36" t="e">
        <f>AND(Bills!#REF!,"AAAAAAuZqXA=")</f>
        <v>#REF!</v>
      </c>
      <c r="DJ36" t="e">
        <f>AND(Bills!#REF!,"AAAAAAuZqXE=")</f>
        <v>#REF!</v>
      </c>
      <c r="DK36" t="e">
        <f>AND(Bills!#REF!,"AAAAAAuZqXI=")</f>
        <v>#REF!</v>
      </c>
      <c r="DL36" t="e">
        <f>AND(Bills!#REF!,"AAAAAAuZqXM=")</f>
        <v>#REF!</v>
      </c>
      <c r="DM36" t="e">
        <f>AND(Bills!#REF!,"AAAAAAuZqXQ=")</f>
        <v>#REF!</v>
      </c>
      <c r="DN36" t="e">
        <f>AND(Bills!#REF!,"AAAAAAuZqXU=")</f>
        <v>#REF!</v>
      </c>
      <c r="DO36" t="e">
        <f>AND(Bills!#REF!,"AAAAAAuZqXY=")</f>
        <v>#REF!</v>
      </c>
      <c r="DP36" t="e">
        <f>AND(Bills!#REF!,"AAAAAAuZqXc=")</f>
        <v>#REF!</v>
      </c>
      <c r="DQ36" t="e">
        <f>AND(Bills!#REF!,"AAAAAAuZqXg=")</f>
        <v>#REF!</v>
      </c>
      <c r="DR36" t="e">
        <f>AND(Bills!#REF!,"AAAAAAuZqXk=")</f>
        <v>#REF!</v>
      </c>
      <c r="DS36" t="e">
        <f>AND(Bills!#REF!,"AAAAAAuZqXo=")</f>
        <v>#REF!</v>
      </c>
      <c r="DT36" t="e">
        <f>AND(Bills!#REF!,"AAAAAAuZqXs=")</f>
        <v>#REF!</v>
      </c>
      <c r="DU36" t="e">
        <f>AND(Bills!#REF!,"AAAAAAuZqXw=")</f>
        <v>#REF!</v>
      </c>
      <c r="DV36" t="e">
        <f>AND(Bills!#REF!,"AAAAAAuZqX0=")</f>
        <v>#REF!</v>
      </c>
      <c r="DW36" t="e">
        <f>AND(Bills!#REF!,"AAAAAAuZqX4=")</f>
        <v>#REF!</v>
      </c>
      <c r="DX36" t="e">
        <f>AND(Bills!#REF!,"AAAAAAuZqX8=")</f>
        <v>#REF!</v>
      </c>
      <c r="DY36" t="e">
        <f>AND(Bills!#REF!,"AAAAAAuZqYA=")</f>
        <v>#REF!</v>
      </c>
      <c r="DZ36" t="e">
        <f>AND(Bills!#REF!,"AAAAAAuZqYE=")</f>
        <v>#REF!</v>
      </c>
      <c r="EA36" t="e">
        <f>AND(Bills!#REF!,"AAAAAAuZqYI=")</f>
        <v>#REF!</v>
      </c>
      <c r="EB36" t="e">
        <f>AND(Bills!#REF!,"AAAAAAuZqYM=")</f>
        <v>#REF!</v>
      </c>
      <c r="EC36" t="e">
        <f>AND(Bills!#REF!,"AAAAAAuZqYQ=")</f>
        <v>#REF!</v>
      </c>
      <c r="ED36" t="e">
        <f>AND(Bills!#REF!,"AAAAAAuZqYU=")</f>
        <v>#REF!</v>
      </c>
      <c r="EE36" t="e">
        <f>AND(Bills!#REF!,"AAAAAAuZqYY=")</f>
        <v>#REF!</v>
      </c>
      <c r="EF36" t="e">
        <f>AND(Bills!#REF!,"AAAAAAuZqYc=")</f>
        <v>#REF!</v>
      </c>
      <c r="EG36" t="e">
        <f>AND(Bills!#REF!,"AAAAAAuZqYg=")</f>
        <v>#REF!</v>
      </c>
      <c r="EH36" t="e">
        <f>AND(Bills!#REF!,"AAAAAAuZqYk=")</f>
        <v>#REF!</v>
      </c>
      <c r="EI36" t="e">
        <f>AND(Bills!#REF!,"AAAAAAuZqYo=")</f>
        <v>#REF!</v>
      </c>
      <c r="EJ36" t="e">
        <f>AND(Bills!#REF!,"AAAAAAuZqYs=")</f>
        <v>#REF!</v>
      </c>
      <c r="EK36" t="e">
        <f>AND(Bills!#REF!,"AAAAAAuZqYw=")</f>
        <v>#REF!</v>
      </c>
      <c r="EL36" t="e">
        <f>AND(Bills!#REF!,"AAAAAAuZqY0=")</f>
        <v>#REF!</v>
      </c>
      <c r="EM36" t="e">
        <f>AND(Bills!#REF!,"AAAAAAuZqY4=")</f>
        <v>#REF!</v>
      </c>
      <c r="EN36" t="e">
        <f>AND(Bills!#REF!,"AAAAAAuZqY8=")</f>
        <v>#REF!</v>
      </c>
      <c r="EO36" t="e">
        <f>AND(Bills!#REF!,"AAAAAAuZqZA=")</f>
        <v>#REF!</v>
      </c>
      <c r="EP36" t="e">
        <f>AND(Bills!#REF!,"AAAAAAuZqZE=")</f>
        <v>#REF!</v>
      </c>
      <c r="EQ36" t="e">
        <f>AND(Bills!#REF!,"AAAAAAuZqZI=")</f>
        <v>#REF!</v>
      </c>
      <c r="ER36" t="e">
        <f>AND(Bills!#REF!,"AAAAAAuZqZM=")</f>
        <v>#REF!</v>
      </c>
      <c r="ES36" t="e">
        <f>AND(Bills!#REF!,"AAAAAAuZqZQ=")</f>
        <v>#REF!</v>
      </c>
      <c r="ET36" t="e">
        <f>AND(Bills!#REF!,"AAAAAAuZqZU=")</f>
        <v>#REF!</v>
      </c>
      <c r="EU36" t="e">
        <f>AND(Bills!#REF!,"AAAAAAuZqZY=")</f>
        <v>#REF!</v>
      </c>
      <c r="EV36" t="e">
        <f>AND(Bills!#REF!,"AAAAAAuZqZc=")</f>
        <v>#REF!</v>
      </c>
      <c r="EW36" t="e">
        <f>AND(Bills!#REF!,"AAAAAAuZqZg=")</f>
        <v>#REF!</v>
      </c>
      <c r="EX36" t="e">
        <f>AND(Bills!#REF!,"AAAAAAuZqZk=")</f>
        <v>#REF!</v>
      </c>
      <c r="EY36" t="e">
        <f>AND(Bills!#REF!,"AAAAAAuZqZo=")</f>
        <v>#REF!</v>
      </c>
      <c r="EZ36" t="e">
        <f>AND(Bills!#REF!,"AAAAAAuZqZs=")</f>
        <v>#REF!</v>
      </c>
      <c r="FA36" t="e">
        <f>AND(Bills!#REF!,"AAAAAAuZqZw=")</f>
        <v>#REF!</v>
      </c>
      <c r="FB36" t="e">
        <f>IF(Bills!#REF!,"AAAAAAuZqZ0=",0)</f>
        <v>#REF!</v>
      </c>
      <c r="FC36" t="e">
        <f>AND(Bills!#REF!,"AAAAAAuZqZ4=")</f>
        <v>#REF!</v>
      </c>
      <c r="FD36" t="e">
        <f>AND(Bills!#REF!,"AAAAAAuZqZ8=")</f>
        <v>#REF!</v>
      </c>
      <c r="FE36" t="e">
        <f>AND(Bills!#REF!,"AAAAAAuZqaA=")</f>
        <v>#REF!</v>
      </c>
      <c r="FF36" t="e">
        <f>AND(Bills!#REF!,"AAAAAAuZqaE=")</f>
        <v>#REF!</v>
      </c>
      <c r="FG36" t="e">
        <f>AND(Bills!#REF!,"AAAAAAuZqaI=")</f>
        <v>#REF!</v>
      </c>
      <c r="FH36" t="e">
        <f>AND(Bills!#REF!,"AAAAAAuZqaM=")</f>
        <v>#REF!</v>
      </c>
      <c r="FI36" t="e">
        <f>AND(Bills!#REF!,"AAAAAAuZqaQ=")</f>
        <v>#REF!</v>
      </c>
      <c r="FJ36" t="e">
        <f>AND(Bills!#REF!,"AAAAAAuZqaU=")</f>
        <v>#REF!</v>
      </c>
      <c r="FK36" t="e">
        <f>AND(Bills!#REF!,"AAAAAAuZqaY=")</f>
        <v>#REF!</v>
      </c>
      <c r="FL36" t="e">
        <f>AND(Bills!#REF!,"AAAAAAuZqac=")</f>
        <v>#REF!</v>
      </c>
      <c r="FM36" t="e">
        <f>AND(Bills!#REF!,"AAAAAAuZqag=")</f>
        <v>#REF!</v>
      </c>
      <c r="FN36" t="e">
        <f>AND(Bills!#REF!,"AAAAAAuZqak=")</f>
        <v>#REF!</v>
      </c>
      <c r="FO36" t="e">
        <f>AND(Bills!#REF!,"AAAAAAuZqao=")</f>
        <v>#REF!</v>
      </c>
      <c r="FP36" t="e">
        <f>AND(Bills!#REF!,"AAAAAAuZqas=")</f>
        <v>#REF!</v>
      </c>
      <c r="FQ36" t="e">
        <f>AND(Bills!#REF!,"AAAAAAuZqaw=")</f>
        <v>#REF!</v>
      </c>
      <c r="FR36" t="e">
        <f>AND(Bills!#REF!,"AAAAAAuZqa0=")</f>
        <v>#REF!</v>
      </c>
      <c r="FS36" t="e">
        <f>AND(Bills!#REF!,"AAAAAAuZqa4=")</f>
        <v>#REF!</v>
      </c>
      <c r="FT36" t="e">
        <f>AND(Bills!#REF!,"AAAAAAuZqa8=")</f>
        <v>#REF!</v>
      </c>
      <c r="FU36" t="e">
        <f>AND(Bills!#REF!,"AAAAAAuZqbA=")</f>
        <v>#REF!</v>
      </c>
      <c r="FV36" t="e">
        <f>AND(Bills!#REF!,"AAAAAAuZqbE=")</f>
        <v>#REF!</v>
      </c>
      <c r="FW36" t="e">
        <f>AND(Bills!#REF!,"AAAAAAuZqbI=")</f>
        <v>#REF!</v>
      </c>
      <c r="FX36" t="e">
        <f>AND(Bills!#REF!,"AAAAAAuZqbM=")</f>
        <v>#REF!</v>
      </c>
      <c r="FY36" t="e">
        <f>AND(Bills!#REF!,"AAAAAAuZqbQ=")</f>
        <v>#REF!</v>
      </c>
      <c r="FZ36" t="e">
        <f>AND(Bills!#REF!,"AAAAAAuZqbU=")</f>
        <v>#REF!</v>
      </c>
      <c r="GA36" t="e">
        <f>AND(Bills!#REF!,"AAAAAAuZqbY=")</f>
        <v>#REF!</v>
      </c>
      <c r="GB36" t="e">
        <f>AND(Bills!#REF!,"AAAAAAuZqbc=")</f>
        <v>#REF!</v>
      </c>
      <c r="GC36" t="e">
        <f>AND(Bills!#REF!,"AAAAAAuZqbg=")</f>
        <v>#REF!</v>
      </c>
      <c r="GD36" t="e">
        <f>AND(Bills!#REF!,"AAAAAAuZqbk=")</f>
        <v>#REF!</v>
      </c>
      <c r="GE36" t="e">
        <f>AND(Bills!#REF!,"AAAAAAuZqbo=")</f>
        <v>#REF!</v>
      </c>
      <c r="GF36" t="e">
        <f>AND(Bills!#REF!,"AAAAAAuZqbs=")</f>
        <v>#REF!</v>
      </c>
      <c r="GG36" t="e">
        <f>AND(Bills!#REF!,"AAAAAAuZqbw=")</f>
        <v>#REF!</v>
      </c>
      <c r="GH36" t="e">
        <f>AND(Bills!#REF!,"AAAAAAuZqb0=")</f>
        <v>#REF!</v>
      </c>
      <c r="GI36" t="e">
        <f>AND(Bills!#REF!,"AAAAAAuZqb4=")</f>
        <v>#REF!</v>
      </c>
      <c r="GJ36" t="e">
        <f>AND(Bills!#REF!,"AAAAAAuZqb8=")</f>
        <v>#REF!</v>
      </c>
      <c r="GK36" t="e">
        <f>AND(Bills!#REF!,"AAAAAAuZqcA=")</f>
        <v>#REF!</v>
      </c>
      <c r="GL36" t="e">
        <f>AND(Bills!#REF!,"AAAAAAuZqcE=")</f>
        <v>#REF!</v>
      </c>
      <c r="GM36" t="e">
        <f>AND(Bills!#REF!,"AAAAAAuZqcI=")</f>
        <v>#REF!</v>
      </c>
      <c r="GN36" t="e">
        <f>AND(Bills!#REF!,"AAAAAAuZqcM=")</f>
        <v>#REF!</v>
      </c>
      <c r="GO36" t="e">
        <f>AND(Bills!#REF!,"AAAAAAuZqcQ=")</f>
        <v>#REF!</v>
      </c>
      <c r="GP36" t="e">
        <f>AND(Bills!#REF!,"AAAAAAuZqcU=")</f>
        <v>#REF!</v>
      </c>
      <c r="GQ36" t="e">
        <f>AND(Bills!#REF!,"AAAAAAuZqcY=")</f>
        <v>#REF!</v>
      </c>
      <c r="GR36" t="e">
        <f>AND(Bills!#REF!,"AAAAAAuZqcc=")</f>
        <v>#REF!</v>
      </c>
      <c r="GS36" t="e">
        <f>AND(Bills!#REF!,"AAAAAAuZqcg=")</f>
        <v>#REF!</v>
      </c>
      <c r="GT36" t="e">
        <f>AND(Bills!#REF!,"AAAAAAuZqck=")</f>
        <v>#REF!</v>
      </c>
      <c r="GU36" t="e">
        <f>AND(Bills!#REF!,"AAAAAAuZqco=")</f>
        <v>#REF!</v>
      </c>
      <c r="GV36" t="e">
        <f>AND(Bills!#REF!,"AAAAAAuZqcs=")</f>
        <v>#REF!</v>
      </c>
      <c r="GW36" t="e">
        <f>AND(Bills!#REF!,"AAAAAAuZqcw=")</f>
        <v>#REF!</v>
      </c>
      <c r="GX36" t="e">
        <f>AND(Bills!#REF!,"AAAAAAuZqc0=")</f>
        <v>#REF!</v>
      </c>
      <c r="GY36" t="e">
        <f>AND(Bills!#REF!,"AAAAAAuZqc4=")</f>
        <v>#REF!</v>
      </c>
      <c r="GZ36" t="e">
        <f>AND(Bills!#REF!,"AAAAAAuZqc8=")</f>
        <v>#REF!</v>
      </c>
      <c r="HA36" t="e">
        <f>IF(Bills!#REF!,"AAAAAAuZqdA=",0)</f>
        <v>#REF!</v>
      </c>
      <c r="HB36" t="e">
        <f>AND(Bills!#REF!,"AAAAAAuZqdE=")</f>
        <v>#REF!</v>
      </c>
      <c r="HC36" t="e">
        <f>AND(Bills!#REF!,"AAAAAAuZqdI=")</f>
        <v>#REF!</v>
      </c>
      <c r="HD36" t="e">
        <f>AND(Bills!#REF!,"AAAAAAuZqdM=")</f>
        <v>#REF!</v>
      </c>
      <c r="HE36" t="e">
        <f>AND(Bills!#REF!,"AAAAAAuZqdQ=")</f>
        <v>#REF!</v>
      </c>
      <c r="HF36" t="e">
        <f>AND(Bills!#REF!,"AAAAAAuZqdU=")</f>
        <v>#REF!</v>
      </c>
      <c r="HG36" t="e">
        <f>AND(Bills!#REF!,"AAAAAAuZqdY=")</f>
        <v>#REF!</v>
      </c>
      <c r="HH36" t="e">
        <f>AND(Bills!#REF!,"AAAAAAuZqdc=")</f>
        <v>#REF!</v>
      </c>
      <c r="HI36" t="e">
        <f>AND(Bills!#REF!,"AAAAAAuZqdg=")</f>
        <v>#REF!</v>
      </c>
      <c r="HJ36" t="e">
        <f>AND(Bills!#REF!,"AAAAAAuZqdk=")</f>
        <v>#REF!</v>
      </c>
      <c r="HK36" t="e">
        <f>AND(Bills!#REF!,"AAAAAAuZqdo=")</f>
        <v>#REF!</v>
      </c>
      <c r="HL36" t="e">
        <f>AND(Bills!#REF!,"AAAAAAuZqds=")</f>
        <v>#REF!</v>
      </c>
      <c r="HM36" t="e">
        <f>AND(Bills!#REF!,"AAAAAAuZqdw=")</f>
        <v>#REF!</v>
      </c>
      <c r="HN36" t="e">
        <f>AND(Bills!#REF!,"AAAAAAuZqd0=")</f>
        <v>#REF!</v>
      </c>
      <c r="HO36" t="e">
        <f>AND(Bills!#REF!,"AAAAAAuZqd4=")</f>
        <v>#REF!</v>
      </c>
      <c r="HP36" t="e">
        <f>AND(Bills!#REF!,"AAAAAAuZqd8=")</f>
        <v>#REF!</v>
      </c>
      <c r="HQ36" t="e">
        <f>AND(Bills!#REF!,"AAAAAAuZqeA=")</f>
        <v>#REF!</v>
      </c>
      <c r="HR36" t="e">
        <f>AND(Bills!#REF!,"AAAAAAuZqeE=")</f>
        <v>#REF!</v>
      </c>
      <c r="HS36" t="e">
        <f>AND(Bills!#REF!,"AAAAAAuZqeI=")</f>
        <v>#REF!</v>
      </c>
      <c r="HT36" t="e">
        <f>AND(Bills!#REF!,"AAAAAAuZqeM=")</f>
        <v>#REF!</v>
      </c>
      <c r="HU36" t="e">
        <f>AND(Bills!#REF!,"AAAAAAuZqeQ=")</f>
        <v>#REF!</v>
      </c>
      <c r="HV36" t="e">
        <f>AND(Bills!#REF!,"AAAAAAuZqeU=")</f>
        <v>#REF!</v>
      </c>
      <c r="HW36" t="e">
        <f>AND(Bills!#REF!,"AAAAAAuZqeY=")</f>
        <v>#REF!</v>
      </c>
      <c r="HX36" t="e">
        <f>AND(Bills!#REF!,"AAAAAAuZqec=")</f>
        <v>#REF!</v>
      </c>
      <c r="HY36" t="e">
        <f>AND(Bills!#REF!,"AAAAAAuZqeg=")</f>
        <v>#REF!</v>
      </c>
      <c r="HZ36" t="e">
        <f>AND(Bills!#REF!,"AAAAAAuZqek=")</f>
        <v>#REF!</v>
      </c>
      <c r="IA36" t="e">
        <f>AND(Bills!#REF!,"AAAAAAuZqeo=")</f>
        <v>#REF!</v>
      </c>
      <c r="IB36" t="e">
        <f>AND(Bills!#REF!,"AAAAAAuZqes=")</f>
        <v>#REF!</v>
      </c>
      <c r="IC36" t="e">
        <f>AND(Bills!#REF!,"AAAAAAuZqew=")</f>
        <v>#REF!</v>
      </c>
      <c r="ID36" t="e">
        <f>AND(Bills!#REF!,"AAAAAAuZqe0=")</f>
        <v>#REF!</v>
      </c>
      <c r="IE36" t="e">
        <f>AND(Bills!#REF!,"AAAAAAuZqe4=")</f>
        <v>#REF!</v>
      </c>
      <c r="IF36" t="e">
        <f>AND(Bills!#REF!,"AAAAAAuZqe8=")</f>
        <v>#REF!</v>
      </c>
      <c r="IG36" t="e">
        <f>AND(Bills!#REF!,"AAAAAAuZqfA=")</f>
        <v>#REF!</v>
      </c>
      <c r="IH36" t="e">
        <f>AND(Bills!#REF!,"AAAAAAuZqfE=")</f>
        <v>#REF!</v>
      </c>
      <c r="II36" t="e">
        <f>AND(Bills!#REF!,"AAAAAAuZqfI=")</f>
        <v>#REF!</v>
      </c>
      <c r="IJ36" t="e">
        <f>AND(Bills!#REF!,"AAAAAAuZqfM=")</f>
        <v>#REF!</v>
      </c>
      <c r="IK36" t="e">
        <f>AND(Bills!#REF!,"AAAAAAuZqfQ=")</f>
        <v>#REF!</v>
      </c>
      <c r="IL36" t="e">
        <f>AND(Bills!#REF!,"AAAAAAuZqfU=")</f>
        <v>#REF!</v>
      </c>
      <c r="IM36" t="e">
        <f>AND(Bills!#REF!,"AAAAAAuZqfY=")</f>
        <v>#REF!</v>
      </c>
      <c r="IN36" t="e">
        <f>AND(Bills!#REF!,"AAAAAAuZqfc=")</f>
        <v>#REF!</v>
      </c>
      <c r="IO36" t="e">
        <f>AND(Bills!#REF!,"AAAAAAuZqfg=")</f>
        <v>#REF!</v>
      </c>
      <c r="IP36" t="e">
        <f>AND(Bills!#REF!,"AAAAAAuZqfk=")</f>
        <v>#REF!</v>
      </c>
      <c r="IQ36" t="e">
        <f>AND(Bills!#REF!,"AAAAAAuZqfo=")</f>
        <v>#REF!</v>
      </c>
      <c r="IR36" t="e">
        <f>AND(Bills!#REF!,"AAAAAAuZqfs=")</f>
        <v>#REF!</v>
      </c>
      <c r="IS36" t="e">
        <f>AND(Bills!#REF!,"AAAAAAuZqfw=")</f>
        <v>#REF!</v>
      </c>
      <c r="IT36" t="e">
        <f>AND(Bills!#REF!,"AAAAAAuZqf0=")</f>
        <v>#REF!</v>
      </c>
      <c r="IU36" t="e">
        <f>AND(Bills!#REF!,"AAAAAAuZqf4=")</f>
        <v>#REF!</v>
      </c>
      <c r="IV36" t="e">
        <f>AND(Bills!#REF!,"AAAAAAuZqf8=")</f>
        <v>#REF!</v>
      </c>
    </row>
    <row r="37" spans="1:256" x14ac:dyDescent="0.25">
      <c r="A37" t="e">
        <f>AND(Bills!#REF!,"AAAAAFxa/wA=")</f>
        <v>#REF!</v>
      </c>
      <c r="B37" t="e">
        <f>AND(Bills!#REF!,"AAAAAFxa/wE=")</f>
        <v>#REF!</v>
      </c>
      <c r="C37" t="e">
        <f>AND(Bills!#REF!,"AAAAAFxa/wI=")</f>
        <v>#REF!</v>
      </c>
      <c r="D37" t="e">
        <f>IF(Bills!#REF!,"AAAAAFxa/wM=",0)</f>
        <v>#REF!</v>
      </c>
      <c r="E37" t="e">
        <f>AND(Bills!#REF!,"AAAAAFxa/wQ=")</f>
        <v>#REF!</v>
      </c>
      <c r="F37" t="e">
        <f>AND(Bills!#REF!,"AAAAAFxa/wU=")</f>
        <v>#REF!</v>
      </c>
      <c r="G37" t="e">
        <f>AND(Bills!#REF!,"AAAAAFxa/wY=")</f>
        <v>#REF!</v>
      </c>
      <c r="H37" t="e">
        <f>AND(Bills!#REF!,"AAAAAFxa/wc=")</f>
        <v>#REF!</v>
      </c>
      <c r="I37" t="e">
        <f>AND(Bills!#REF!,"AAAAAFxa/wg=")</f>
        <v>#REF!</v>
      </c>
      <c r="J37" t="e">
        <f>AND(Bills!#REF!,"AAAAAFxa/wk=")</f>
        <v>#REF!</v>
      </c>
      <c r="K37" t="e">
        <f>AND(Bills!#REF!,"AAAAAFxa/wo=")</f>
        <v>#REF!</v>
      </c>
      <c r="L37" t="e">
        <f>AND(Bills!#REF!,"AAAAAFxa/ws=")</f>
        <v>#REF!</v>
      </c>
      <c r="M37" t="e">
        <f>AND(Bills!#REF!,"AAAAAFxa/ww=")</f>
        <v>#REF!</v>
      </c>
      <c r="N37" t="e">
        <f>AND(Bills!#REF!,"AAAAAFxa/w0=")</f>
        <v>#REF!</v>
      </c>
      <c r="O37" t="e">
        <f>AND(Bills!#REF!,"AAAAAFxa/w4=")</f>
        <v>#REF!</v>
      </c>
      <c r="P37" t="e">
        <f>AND(Bills!#REF!,"AAAAAFxa/w8=")</f>
        <v>#REF!</v>
      </c>
      <c r="Q37" t="e">
        <f>AND(Bills!#REF!,"AAAAAFxa/xA=")</f>
        <v>#REF!</v>
      </c>
      <c r="R37" t="e">
        <f>AND(Bills!#REF!,"AAAAAFxa/xE=")</f>
        <v>#REF!</v>
      </c>
      <c r="S37" t="e">
        <f>AND(Bills!#REF!,"AAAAAFxa/xI=")</f>
        <v>#REF!</v>
      </c>
      <c r="T37" t="e">
        <f>AND(Bills!#REF!,"AAAAAFxa/xM=")</f>
        <v>#REF!</v>
      </c>
      <c r="U37" t="e">
        <f>AND(Bills!#REF!,"AAAAAFxa/xQ=")</f>
        <v>#REF!</v>
      </c>
      <c r="V37" t="e">
        <f>AND(Bills!#REF!,"AAAAAFxa/xU=")</f>
        <v>#REF!</v>
      </c>
      <c r="W37" t="e">
        <f>AND(Bills!#REF!,"AAAAAFxa/xY=")</f>
        <v>#REF!</v>
      </c>
      <c r="X37" t="e">
        <f>AND(Bills!#REF!,"AAAAAFxa/xc=")</f>
        <v>#REF!</v>
      </c>
      <c r="Y37" t="e">
        <f>AND(Bills!#REF!,"AAAAAFxa/xg=")</f>
        <v>#REF!</v>
      </c>
      <c r="Z37" t="e">
        <f>AND(Bills!#REF!,"AAAAAFxa/xk=")</f>
        <v>#REF!</v>
      </c>
      <c r="AA37" t="e">
        <f>AND(Bills!#REF!,"AAAAAFxa/xo=")</f>
        <v>#REF!</v>
      </c>
      <c r="AB37" t="e">
        <f>AND(Bills!#REF!,"AAAAAFxa/xs=")</f>
        <v>#REF!</v>
      </c>
      <c r="AC37" t="e">
        <f>AND(Bills!#REF!,"AAAAAFxa/xw=")</f>
        <v>#REF!</v>
      </c>
      <c r="AD37" t="e">
        <f>AND(Bills!#REF!,"AAAAAFxa/x0=")</f>
        <v>#REF!</v>
      </c>
      <c r="AE37" t="e">
        <f>AND(Bills!#REF!,"AAAAAFxa/x4=")</f>
        <v>#REF!</v>
      </c>
      <c r="AF37" t="e">
        <f>AND(Bills!#REF!,"AAAAAFxa/x8=")</f>
        <v>#REF!</v>
      </c>
      <c r="AG37" t="e">
        <f>AND(Bills!#REF!,"AAAAAFxa/yA=")</f>
        <v>#REF!</v>
      </c>
      <c r="AH37" t="e">
        <f>AND(Bills!#REF!,"AAAAAFxa/yE=")</f>
        <v>#REF!</v>
      </c>
      <c r="AI37" t="e">
        <f>AND(Bills!#REF!,"AAAAAFxa/yI=")</f>
        <v>#REF!</v>
      </c>
      <c r="AJ37" t="e">
        <f>AND(Bills!#REF!,"AAAAAFxa/yM=")</f>
        <v>#REF!</v>
      </c>
      <c r="AK37" t="e">
        <f>AND(Bills!#REF!,"AAAAAFxa/yQ=")</f>
        <v>#REF!</v>
      </c>
      <c r="AL37" t="e">
        <f>AND(Bills!#REF!,"AAAAAFxa/yU=")</f>
        <v>#REF!</v>
      </c>
      <c r="AM37" t="e">
        <f>AND(Bills!#REF!,"AAAAAFxa/yY=")</f>
        <v>#REF!</v>
      </c>
      <c r="AN37" t="e">
        <f>AND(Bills!#REF!,"AAAAAFxa/yc=")</f>
        <v>#REF!</v>
      </c>
      <c r="AO37" t="e">
        <f>AND(Bills!#REF!,"AAAAAFxa/yg=")</f>
        <v>#REF!</v>
      </c>
      <c r="AP37" t="e">
        <f>AND(Bills!#REF!,"AAAAAFxa/yk=")</f>
        <v>#REF!</v>
      </c>
      <c r="AQ37" t="e">
        <f>AND(Bills!#REF!,"AAAAAFxa/yo=")</f>
        <v>#REF!</v>
      </c>
      <c r="AR37" t="e">
        <f>AND(Bills!#REF!,"AAAAAFxa/ys=")</f>
        <v>#REF!</v>
      </c>
      <c r="AS37" t="e">
        <f>AND(Bills!#REF!,"AAAAAFxa/yw=")</f>
        <v>#REF!</v>
      </c>
      <c r="AT37" t="e">
        <f>AND(Bills!#REF!,"AAAAAFxa/y0=")</f>
        <v>#REF!</v>
      </c>
      <c r="AU37" t="e">
        <f>AND(Bills!#REF!,"AAAAAFxa/y4=")</f>
        <v>#REF!</v>
      </c>
      <c r="AV37" t="e">
        <f>AND(Bills!#REF!,"AAAAAFxa/y8=")</f>
        <v>#REF!</v>
      </c>
      <c r="AW37" t="e">
        <f>AND(Bills!#REF!,"AAAAAFxa/zA=")</f>
        <v>#REF!</v>
      </c>
      <c r="AX37" t="e">
        <f>AND(Bills!#REF!,"AAAAAFxa/zE=")</f>
        <v>#REF!</v>
      </c>
      <c r="AY37" t="e">
        <f>AND(Bills!#REF!,"AAAAAFxa/zI=")</f>
        <v>#REF!</v>
      </c>
      <c r="AZ37" t="e">
        <f>AND(Bills!#REF!,"AAAAAFxa/zM=")</f>
        <v>#REF!</v>
      </c>
      <c r="BA37" t="e">
        <f>AND(Bills!#REF!,"AAAAAFxa/zQ=")</f>
        <v>#REF!</v>
      </c>
      <c r="BB37" t="e">
        <f>AND(Bills!#REF!,"AAAAAFxa/zU=")</f>
        <v>#REF!</v>
      </c>
      <c r="BC37" t="e">
        <f>IF(Bills!#REF!,"AAAAAFxa/zY=",0)</f>
        <v>#REF!</v>
      </c>
      <c r="BD37" t="e">
        <f>AND(Bills!#REF!,"AAAAAFxa/zc=")</f>
        <v>#REF!</v>
      </c>
      <c r="BE37" t="e">
        <f>AND(Bills!#REF!,"AAAAAFxa/zg=")</f>
        <v>#REF!</v>
      </c>
      <c r="BF37" t="e">
        <f>AND(Bills!#REF!,"AAAAAFxa/zk=")</f>
        <v>#REF!</v>
      </c>
      <c r="BG37" t="e">
        <f>AND(Bills!#REF!,"AAAAAFxa/zo=")</f>
        <v>#REF!</v>
      </c>
      <c r="BH37" t="e">
        <f>AND(Bills!#REF!,"AAAAAFxa/zs=")</f>
        <v>#REF!</v>
      </c>
      <c r="BI37" t="e">
        <f>AND(Bills!#REF!,"AAAAAFxa/zw=")</f>
        <v>#REF!</v>
      </c>
      <c r="BJ37" t="e">
        <f>AND(Bills!#REF!,"AAAAAFxa/z0=")</f>
        <v>#REF!</v>
      </c>
      <c r="BK37" t="e">
        <f>AND(Bills!#REF!,"AAAAAFxa/z4=")</f>
        <v>#REF!</v>
      </c>
      <c r="BL37" t="e">
        <f>AND(Bills!#REF!,"AAAAAFxa/z8=")</f>
        <v>#REF!</v>
      </c>
      <c r="BM37" t="e">
        <f>AND(Bills!#REF!,"AAAAAFxa/0A=")</f>
        <v>#REF!</v>
      </c>
      <c r="BN37" t="e">
        <f>AND(Bills!#REF!,"AAAAAFxa/0E=")</f>
        <v>#REF!</v>
      </c>
      <c r="BO37" t="e">
        <f>AND(Bills!#REF!,"AAAAAFxa/0I=")</f>
        <v>#REF!</v>
      </c>
      <c r="BP37" t="e">
        <f>AND(Bills!#REF!,"AAAAAFxa/0M=")</f>
        <v>#REF!</v>
      </c>
      <c r="BQ37" t="e">
        <f>AND(Bills!#REF!,"AAAAAFxa/0Q=")</f>
        <v>#REF!</v>
      </c>
      <c r="BR37" t="e">
        <f>AND(Bills!#REF!,"AAAAAFxa/0U=")</f>
        <v>#REF!</v>
      </c>
      <c r="BS37" t="e">
        <f>AND(Bills!#REF!,"AAAAAFxa/0Y=")</f>
        <v>#REF!</v>
      </c>
      <c r="BT37" t="e">
        <f>AND(Bills!#REF!,"AAAAAFxa/0c=")</f>
        <v>#REF!</v>
      </c>
      <c r="BU37" t="e">
        <f>AND(Bills!#REF!,"AAAAAFxa/0g=")</f>
        <v>#REF!</v>
      </c>
      <c r="BV37" t="e">
        <f>AND(Bills!#REF!,"AAAAAFxa/0k=")</f>
        <v>#REF!</v>
      </c>
      <c r="BW37" t="e">
        <f>AND(Bills!#REF!,"AAAAAFxa/0o=")</f>
        <v>#REF!</v>
      </c>
      <c r="BX37" t="e">
        <f>AND(Bills!#REF!,"AAAAAFxa/0s=")</f>
        <v>#REF!</v>
      </c>
      <c r="BY37" t="e">
        <f>AND(Bills!#REF!,"AAAAAFxa/0w=")</f>
        <v>#REF!</v>
      </c>
      <c r="BZ37" t="e">
        <f>AND(Bills!#REF!,"AAAAAFxa/00=")</f>
        <v>#REF!</v>
      </c>
      <c r="CA37" t="e">
        <f>AND(Bills!#REF!,"AAAAAFxa/04=")</f>
        <v>#REF!</v>
      </c>
      <c r="CB37" t="e">
        <f>AND(Bills!#REF!,"AAAAAFxa/08=")</f>
        <v>#REF!</v>
      </c>
      <c r="CC37" t="e">
        <f>AND(Bills!#REF!,"AAAAAFxa/1A=")</f>
        <v>#REF!</v>
      </c>
      <c r="CD37" t="e">
        <f>AND(Bills!#REF!,"AAAAAFxa/1E=")</f>
        <v>#REF!</v>
      </c>
      <c r="CE37" t="e">
        <f>AND(Bills!#REF!,"AAAAAFxa/1I=")</f>
        <v>#REF!</v>
      </c>
      <c r="CF37" t="e">
        <f>AND(Bills!#REF!,"AAAAAFxa/1M=")</f>
        <v>#REF!</v>
      </c>
      <c r="CG37" t="e">
        <f>AND(Bills!#REF!,"AAAAAFxa/1Q=")</f>
        <v>#REF!</v>
      </c>
      <c r="CH37" t="e">
        <f>AND(Bills!#REF!,"AAAAAFxa/1U=")</f>
        <v>#REF!</v>
      </c>
      <c r="CI37" t="e">
        <f>AND(Bills!#REF!,"AAAAAFxa/1Y=")</f>
        <v>#REF!</v>
      </c>
      <c r="CJ37" t="e">
        <f>AND(Bills!#REF!,"AAAAAFxa/1c=")</f>
        <v>#REF!</v>
      </c>
      <c r="CK37" t="e">
        <f>AND(Bills!#REF!,"AAAAAFxa/1g=")</f>
        <v>#REF!</v>
      </c>
      <c r="CL37" t="e">
        <f>AND(Bills!#REF!,"AAAAAFxa/1k=")</f>
        <v>#REF!</v>
      </c>
      <c r="CM37" t="e">
        <f>AND(Bills!#REF!,"AAAAAFxa/1o=")</f>
        <v>#REF!</v>
      </c>
      <c r="CN37" t="e">
        <f>AND(Bills!#REF!,"AAAAAFxa/1s=")</f>
        <v>#REF!</v>
      </c>
      <c r="CO37" t="e">
        <f>AND(Bills!#REF!,"AAAAAFxa/1w=")</f>
        <v>#REF!</v>
      </c>
      <c r="CP37" t="e">
        <f>AND(Bills!#REF!,"AAAAAFxa/10=")</f>
        <v>#REF!</v>
      </c>
      <c r="CQ37" t="e">
        <f>AND(Bills!#REF!,"AAAAAFxa/14=")</f>
        <v>#REF!</v>
      </c>
      <c r="CR37" t="e">
        <f>AND(Bills!#REF!,"AAAAAFxa/18=")</f>
        <v>#REF!</v>
      </c>
      <c r="CS37" t="e">
        <f>AND(Bills!#REF!,"AAAAAFxa/2A=")</f>
        <v>#REF!</v>
      </c>
      <c r="CT37" t="e">
        <f>AND(Bills!#REF!,"AAAAAFxa/2E=")</f>
        <v>#REF!</v>
      </c>
      <c r="CU37" t="e">
        <f>AND(Bills!#REF!,"AAAAAFxa/2I=")</f>
        <v>#REF!</v>
      </c>
      <c r="CV37" t="e">
        <f>AND(Bills!#REF!,"AAAAAFxa/2M=")</f>
        <v>#REF!</v>
      </c>
      <c r="CW37" t="e">
        <f>AND(Bills!#REF!,"AAAAAFxa/2Q=")</f>
        <v>#REF!</v>
      </c>
      <c r="CX37" t="e">
        <f>AND(Bills!#REF!,"AAAAAFxa/2U=")</f>
        <v>#REF!</v>
      </c>
      <c r="CY37" t="e">
        <f>AND(Bills!#REF!,"AAAAAFxa/2Y=")</f>
        <v>#REF!</v>
      </c>
      <c r="CZ37" t="e">
        <f>AND(Bills!#REF!,"AAAAAFxa/2c=")</f>
        <v>#REF!</v>
      </c>
      <c r="DA37" t="e">
        <f>AND(Bills!#REF!,"AAAAAFxa/2g=")</f>
        <v>#REF!</v>
      </c>
      <c r="DB37" t="e">
        <f>IF(Bills!#REF!,"AAAAAFxa/2k=",0)</f>
        <v>#REF!</v>
      </c>
      <c r="DC37" t="e">
        <f>AND(Bills!#REF!,"AAAAAFxa/2o=")</f>
        <v>#REF!</v>
      </c>
      <c r="DD37" t="e">
        <f>AND(Bills!#REF!,"AAAAAFxa/2s=")</f>
        <v>#REF!</v>
      </c>
      <c r="DE37" t="e">
        <f>AND(Bills!#REF!,"AAAAAFxa/2w=")</f>
        <v>#REF!</v>
      </c>
      <c r="DF37" t="e">
        <f>AND(Bills!#REF!,"AAAAAFxa/20=")</f>
        <v>#REF!</v>
      </c>
      <c r="DG37" t="e">
        <f>AND(Bills!#REF!,"AAAAAFxa/24=")</f>
        <v>#REF!</v>
      </c>
      <c r="DH37" t="e">
        <f>AND(Bills!#REF!,"AAAAAFxa/28=")</f>
        <v>#REF!</v>
      </c>
      <c r="DI37" t="e">
        <f>AND(Bills!#REF!,"AAAAAFxa/3A=")</f>
        <v>#REF!</v>
      </c>
      <c r="DJ37" t="e">
        <f>AND(Bills!#REF!,"AAAAAFxa/3E=")</f>
        <v>#REF!</v>
      </c>
      <c r="DK37" t="e">
        <f>AND(Bills!#REF!,"AAAAAFxa/3I=")</f>
        <v>#REF!</v>
      </c>
      <c r="DL37" t="e">
        <f>AND(Bills!#REF!,"AAAAAFxa/3M=")</f>
        <v>#REF!</v>
      </c>
      <c r="DM37" t="e">
        <f>AND(Bills!#REF!,"AAAAAFxa/3Q=")</f>
        <v>#REF!</v>
      </c>
      <c r="DN37" t="e">
        <f>AND(Bills!#REF!,"AAAAAFxa/3U=")</f>
        <v>#REF!</v>
      </c>
      <c r="DO37" t="e">
        <f>AND(Bills!#REF!,"AAAAAFxa/3Y=")</f>
        <v>#REF!</v>
      </c>
      <c r="DP37" t="e">
        <f>AND(Bills!#REF!,"AAAAAFxa/3c=")</f>
        <v>#REF!</v>
      </c>
      <c r="DQ37" t="e">
        <f>AND(Bills!#REF!,"AAAAAFxa/3g=")</f>
        <v>#REF!</v>
      </c>
      <c r="DR37" t="e">
        <f>AND(Bills!#REF!,"AAAAAFxa/3k=")</f>
        <v>#REF!</v>
      </c>
      <c r="DS37" t="e">
        <f>AND(Bills!#REF!,"AAAAAFxa/3o=")</f>
        <v>#REF!</v>
      </c>
      <c r="DT37" t="e">
        <f>AND(Bills!#REF!,"AAAAAFxa/3s=")</f>
        <v>#REF!</v>
      </c>
      <c r="DU37" t="e">
        <f>AND(Bills!#REF!,"AAAAAFxa/3w=")</f>
        <v>#REF!</v>
      </c>
      <c r="DV37" t="e">
        <f>AND(Bills!#REF!,"AAAAAFxa/30=")</f>
        <v>#REF!</v>
      </c>
      <c r="DW37" t="e">
        <f>AND(Bills!#REF!,"AAAAAFxa/34=")</f>
        <v>#REF!</v>
      </c>
      <c r="DX37" t="e">
        <f>AND(Bills!#REF!,"AAAAAFxa/38=")</f>
        <v>#REF!</v>
      </c>
      <c r="DY37" t="e">
        <f>AND(Bills!#REF!,"AAAAAFxa/4A=")</f>
        <v>#REF!</v>
      </c>
      <c r="DZ37" t="e">
        <f>AND(Bills!#REF!,"AAAAAFxa/4E=")</f>
        <v>#REF!</v>
      </c>
      <c r="EA37" t="e">
        <f>AND(Bills!#REF!,"AAAAAFxa/4I=")</f>
        <v>#REF!</v>
      </c>
      <c r="EB37" t="e">
        <f>AND(Bills!#REF!,"AAAAAFxa/4M=")</f>
        <v>#REF!</v>
      </c>
      <c r="EC37" t="e">
        <f>AND(Bills!#REF!,"AAAAAFxa/4Q=")</f>
        <v>#REF!</v>
      </c>
      <c r="ED37" t="e">
        <f>AND(Bills!#REF!,"AAAAAFxa/4U=")</f>
        <v>#REF!</v>
      </c>
      <c r="EE37" t="e">
        <f>AND(Bills!#REF!,"AAAAAFxa/4Y=")</f>
        <v>#REF!</v>
      </c>
      <c r="EF37" t="e">
        <f>AND(Bills!#REF!,"AAAAAFxa/4c=")</f>
        <v>#REF!</v>
      </c>
      <c r="EG37" t="e">
        <f>AND(Bills!#REF!,"AAAAAFxa/4g=")</f>
        <v>#REF!</v>
      </c>
      <c r="EH37" t="e">
        <f>AND(Bills!#REF!,"AAAAAFxa/4k=")</f>
        <v>#REF!</v>
      </c>
      <c r="EI37" t="e">
        <f>AND(Bills!#REF!,"AAAAAFxa/4o=")</f>
        <v>#REF!</v>
      </c>
      <c r="EJ37" t="e">
        <f>AND(Bills!#REF!,"AAAAAFxa/4s=")</f>
        <v>#REF!</v>
      </c>
      <c r="EK37" t="e">
        <f>AND(Bills!#REF!,"AAAAAFxa/4w=")</f>
        <v>#REF!</v>
      </c>
      <c r="EL37" t="e">
        <f>AND(Bills!#REF!,"AAAAAFxa/40=")</f>
        <v>#REF!</v>
      </c>
      <c r="EM37" t="e">
        <f>AND(Bills!#REF!,"AAAAAFxa/44=")</f>
        <v>#REF!</v>
      </c>
      <c r="EN37" t="e">
        <f>AND(Bills!#REF!,"AAAAAFxa/48=")</f>
        <v>#REF!</v>
      </c>
      <c r="EO37" t="e">
        <f>AND(Bills!#REF!,"AAAAAFxa/5A=")</f>
        <v>#REF!</v>
      </c>
      <c r="EP37" t="e">
        <f>AND(Bills!#REF!,"AAAAAFxa/5E=")</f>
        <v>#REF!</v>
      </c>
      <c r="EQ37" t="e">
        <f>AND(Bills!#REF!,"AAAAAFxa/5I=")</f>
        <v>#REF!</v>
      </c>
      <c r="ER37" t="e">
        <f>AND(Bills!#REF!,"AAAAAFxa/5M=")</f>
        <v>#REF!</v>
      </c>
      <c r="ES37" t="e">
        <f>AND(Bills!#REF!,"AAAAAFxa/5Q=")</f>
        <v>#REF!</v>
      </c>
      <c r="ET37" t="e">
        <f>AND(Bills!#REF!,"AAAAAFxa/5U=")</f>
        <v>#REF!</v>
      </c>
      <c r="EU37" t="e">
        <f>AND(Bills!#REF!,"AAAAAFxa/5Y=")</f>
        <v>#REF!</v>
      </c>
      <c r="EV37" t="e">
        <f>AND(Bills!#REF!,"AAAAAFxa/5c=")</f>
        <v>#REF!</v>
      </c>
      <c r="EW37" t="e">
        <f>AND(Bills!#REF!,"AAAAAFxa/5g=")</f>
        <v>#REF!</v>
      </c>
      <c r="EX37" t="e">
        <f>AND(Bills!#REF!,"AAAAAFxa/5k=")</f>
        <v>#REF!</v>
      </c>
      <c r="EY37" t="e">
        <f>AND(Bills!#REF!,"AAAAAFxa/5o=")</f>
        <v>#REF!</v>
      </c>
      <c r="EZ37" t="e">
        <f>AND(Bills!#REF!,"AAAAAFxa/5s=")</f>
        <v>#REF!</v>
      </c>
      <c r="FA37" t="e">
        <f>IF(Bills!#REF!,"AAAAAFxa/5w=",0)</f>
        <v>#REF!</v>
      </c>
      <c r="FB37" t="e">
        <f>AND(Bills!#REF!,"AAAAAFxa/50=")</f>
        <v>#REF!</v>
      </c>
      <c r="FC37" t="e">
        <f>AND(Bills!#REF!,"AAAAAFxa/54=")</f>
        <v>#REF!</v>
      </c>
      <c r="FD37" t="e">
        <f>AND(Bills!#REF!,"AAAAAFxa/58=")</f>
        <v>#REF!</v>
      </c>
      <c r="FE37" t="e">
        <f>AND(Bills!#REF!,"AAAAAFxa/6A=")</f>
        <v>#REF!</v>
      </c>
      <c r="FF37" t="e">
        <f>AND(Bills!#REF!,"AAAAAFxa/6E=")</f>
        <v>#REF!</v>
      </c>
      <c r="FG37" t="e">
        <f>AND(Bills!#REF!,"AAAAAFxa/6I=")</f>
        <v>#REF!</v>
      </c>
      <c r="FH37" t="e">
        <f>AND(Bills!#REF!,"AAAAAFxa/6M=")</f>
        <v>#REF!</v>
      </c>
      <c r="FI37" t="e">
        <f>AND(Bills!#REF!,"AAAAAFxa/6Q=")</f>
        <v>#REF!</v>
      </c>
      <c r="FJ37" t="e">
        <f>AND(Bills!#REF!,"AAAAAFxa/6U=")</f>
        <v>#REF!</v>
      </c>
      <c r="FK37" t="e">
        <f>AND(Bills!#REF!,"AAAAAFxa/6Y=")</f>
        <v>#REF!</v>
      </c>
      <c r="FL37" t="e">
        <f>AND(Bills!#REF!,"AAAAAFxa/6c=")</f>
        <v>#REF!</v>
      </c>
      <c r="FM37" t="e">
        <f>AND(Bills!#REF!,"AAAAAFxa/6g=")</f>
        <v>#REF!</v>
      </c>
      <c r="FN37" t="e">
        <f>AND(Bills!#REF!,"AAAAAFxa/6k=")</f>
        <v>#REF!</v>
      </c>
      <c r="FO37" t="e">
        <f>AND(Bills!#REF!,"AAAAAFxa/6o=")</f>
        <v>#REF!</v>
      </c>
      <c r="FP37" t="e">
        <f>AND(Bills!#REF!,"AAAAAFxa/6s=")</f>
        <v>#REF!</v>
      </c>
      <c r="FQ37" t="e">
        <f>AND(Bills!#REF!,"AAAAAFxa/6w=")</f>
        <v>#REF!</v>
      </c>
      <c r="FR37" t="e">
        <f>AND(Bills!#REF!,"AAAAAFxa/60=")</f>
        <v>#REF!</v>
      </c>
      <c r="FS37" t="e">
        <f>AND(Bills!#REF!,"AAAAAFxa/64=")</f>
        <v>#REF!</v>
      </c>
      <c r="FT37" t="e">
        <f>AND(Bills!#REF!,"AAAAAFxa/68=")</f>
        <v>#REF!</v>
      </c>
      <c r="FU37" t="e">
        <f>AND(Bills!#REF!,"AAAAAFxa/7A=")</f>
        <v>#REF!</v>
      </c>
      <c r="FV37" t="e">
        <f>AND(Bills!#REF!,"AAAAAFxa/7E=")</f>
        <v>#REF!</v>
      </c>
      <c r="FW37" t="e">
        <f>AND(Bills!#REF!,"AAAAAFxa/7I=")</f>
        <v>#REF!</v>
      </c>
      <c r="FX37" t="e">
        <f>AND(Bills!#REF!,"AAAAAFxa/7M=")</f>
        <v>#REF!</v>
      </c>
      <c r="FY37" t="e">
        <f>AND(Bills!#REF!,"AAAAAFxa/7Q=")</f>
        <v>#REF!</v>
      </c>
      <c r="FZ37" t="e">
        <f>AND(Bills!#REF!,"AAAAAFxa/7U=")</f>
        <v>#REF!</v>
      </c>
      <c r="GA37" t="e">
        <f>AND(Bills!#REF!,"AAAAAFxa/7Y=")</f>
        <v>#REF!</v>
      </c>
      <c r="GB37" t="e">
        <f>AND(Bills!#REF!,"AAAAAFxa/7c=")</f>
        <v>#REF!</v>
      </c>
      <c r="GC37" t="e">
        <f>AND(Bills!#REF!,"AAAAAFxa/7g=")</f>
        <v>#REF!</v>
      </c>
      <c r="GD37" t="e">
        <f>AND(Bills!#REF!,"AAAAAFxa/7k=")</f>
        <v>#REF!</v>
      </c>
      <c r="GE37" t="e">
        <f>AND(Bills!#REF!,"AAAAAFxa/7o=")</f>
        <v>#REF!</v>
      </c>
      <c r="GF37" t="e">
        <f>AND(Bills!#REF!,"AAAAAFxa/7s=")</f>
        <v>#REF!</v>
      </c>
      <c r="GG37" t="e">
        <f>AND(Bills!#REF!,"AAAAAFxa/7w=")</f>
        <v>#REF!</v>
      </c>
      <c r="GH37" t="e">
        <f>AND(Bills!#REF!,"AAAAAFxa/70=")</f>
        <v>#REF!</v>
      </c>
      <c r="GI37" t="e">
        <f>AND(Bills!#REF!,"AAAAAFxa/74=")</f>
        <v>#REF!</v>
      </c>
      <c r="GJ37" t="e">
        <f>AND(Bills!#REF!,"AAAAAFxa/78=")</f>
        <v>#REF!</v>
      </c>
      <c r="GK37" t="e">
        <f>AND(Bills!#REF!,"AAAAAFxa/8A=")</f>
        <v>#REF!</v>
      </c>
      <c r="GL37" t="e">
        <f>AND(Bills!#REF!,"AAAAAFxa/8E=")</f>
        <v>#REF!</v>
      </c>
      <c r="GM37" t="e">
        <f>AND(Bills!#REF!,"AAAAAFxa/8I=")</f>
        <v>#REF!</v>
      </c>
      <c r="GN37" t="e">
        <f>AND(Bills!#REF!,"AAAAAFxa/8M=")</f>
        <v>#REF!</v>
      </c>
      <c r="GO37" t="e">
        <f>AND(Bills!#REF!,"AAAAAFxa/8Q=")</f>
        <v>#REF!</v>
      </c>
      <c r="GP37" t="e">
        <f>AND(Bills!#REF!,"AAAAAFxa/8U=")</f>
        <v>#REF!</v>
      </c>
      <c r="GQ37" t="e">
        <f>AND(Bills!#REF!,"AAAAAFxa/8Y=")</f>
        <v>#REF!</v>
      </c>
      <c r="GR37" t="e">
        <f>AND(Bills!#REF!,"AAAAAFxa/8c=")</f>
        <v>#REF!</v>
      </c>
      <c r="GS37" t="e">
        <f>AND(Bills!#REF!,"AAAAAFxa/8g=")</f>
        <v>#REF!</v>
      </c>
      <c r="GT37" t="e">
        <f>AND(Bills!#REF!,"AAAAAFxa/8k=")</f>
        <v>#REF!</v>
      </c>
      <c r="GU37" t="e">
        <f>AND(Bills!#REF!,"AAAAAFxa/8o=")</f>
        <v>#REF!</v>
      </c>
      <c r="GV37" t="e">
        <f>AND(Bills!#REF!,"AAAAAFxa/8s=")</f>
        <v>#REF!</v>
      </c>
      <c r="GW37" t="e">
        <f>AND(Bills!#REF!,"AAAAAFxa/8w=")</f>
        <v>#REF!</v>
      </c>
      <c r="GX37" t="e">
        <f>AND(Bills!#REF!,"AAAAAFxa/80=")</f>
        <v>#REF!</v>
      </c>
      <c r="GY37" t="e">
        <f>AND(Bills!#REF!,"AAAAAFxa/84=")</f>
        <v>#REF!</v>
      </c>
      <c r="GZ37">
        <f>IF(Bills!27:27,"AAAAAFxa/88=",0)</f>
        <v>0</v>
      </c>
      <c r="HA37" t="e">
        <f>AND(Bills!B27,"AAAAAFxa/9A=")</f>
        <v>#VALUE!</v>
      </c>
      <c r="HB37" t="e">
        <f>AND(Bills!#REF!,"AAAAAFxa/9E=")</f>
        <v>#REF!</v>
      </c>
      <c r="HC37" t="e">
        <f>AND(Bills!C27,"AAAAAFxa/9I=")</f>
        <v>#VALUE!</v>
      </c>
      <c r="HD37" t="e">
        <f>AND(Bills!D27,"AAAAAFxa/9M=")</f>
        <v>#VALUE!</v>
      </c>
      <c r="HE37" t="e">
        <f>AND(Bills!E27,"AAAAAFxa/9Q=")</f>
        <v>#VALUE!</v>
      </c>
      <c r="HF37" t="e">
        <f>AND(Bills!#REF!,"AAAAAFxa/9U=")</f>
        <v>#REF!</v>
      </c>
      <c r="HG37" t="e">
        <f>AND(Bills!#REF!,"AAAAAFxa/9Y=")</f>
        <v>#REF!</v>
      </c>
      <c r="HH37" t="e">
        <f>AND(Bills!#REF!,"AAAAAFxa/9c=")</f>
        <v>#REF!</v>
      </c>
      <c r="HI37" t="e">
        <f>AND(Bills!F27,"AAAAAFxa/9g=")</f>
        <v>#VALUE!</v>
      </c>
      <c r="HJ37" t="e">
        <f>AND(Bills!#REF!,"AAAAAFxa/9k=")</f>
        <v>#REF!</v>
      </c>
      <c r="HK37" t="e">
        <f>AND(Bills!G27,"AAAAAFxa/9o=")</f>
        <v>#VALUE!</v>
      </c>
      <c r="HL37" t="e">
        <f>AND(Bills!H27,"AAAAAFxa/9s=")</f>
        <v>#VALUE!</v>
      </c>
      <c r="HM37" t="e">
        <f>AND(Bills!I27,"AAAAAFxa/9w=")</f>
        <v>#VALUE!</v>
      </c>
      <c r="HN37" t="e">
        <f>AND(Bills!J27,"AAAAAFxa/90=")</f>
        <v>#VALUE!</v>
      </c>
      <c r="HO37" t="e">
        <f>AND(Bills!K27,"AAAAAFxa/94=")</f>
        <v>#VALUE!</v>
      </c>
      <c r="HP37" t="e">
        <f>AND(Bills!L27,"AAAAAFxa/98=")</f>
        <v>#VALUE!</v>
      </c>
      <c r="HQ37" t="e">
        <f>AND(Bills!#REF!,"AAAAAFxa/+A=")</f>
        <v>#REF!</v>
      </c>
      <c r="HR37" t="e">
        <f>AND(Bills!M27,"AAAAAFxa/+E=")</f>
        <v>#VALUE!</v>
      </c>
      <c r="HS37" t="e">
        <f>AND(Bills!N27,"AAAAAFxa/+I=")</f>
        <v>#VALUE!</v>
      </c>
      <c r="HT37" t="e">
        <f>AND(Bills!O27,"AAAAAFxa/+M=")</f>
        <v>#VALUE!</v>
      </c>
      <c r="HU37" t="e">
        <f>AND(Bills!P27,"AAAAAFxa/+Q=")</f>
        <v>#VALUE!</v>
      </c>
      <c r="HV37" t="e">
        <f>AND(Bills!Q27,"AAAAAFxa/+U=")</f>
        <v>#VALUE!</v>
      </c>
      <c r="HW37" t="e">
        <f>AND(Bills!R27,"AAAAAFxa/+Y=")</f>
        <v>#VALUE!</v>
      </c>
      <c r="HX37" t="e">
        <f>AND(Bills!S27,"AAAAAFxa/+c=")</f>
        <v>#VALUE!</v>
      </c>
      <c r="HY37" t="e">
        <f>AND(Bills!T27,"AAAAAFxa/+g=")</f>
        <v>#VALUE!</v>
      </c>
      <c r="HZ37" t="e">
        <f>AND(Bills!#REF!,"AAAAAFxa/+k=")</f>
        <v>#REF!</v>
      </c>
      <c r="IA37" t="e">
        <f>AND(Bills!U27,"AAAAAFxa/+o=")</f>
        <v>#VALUE!</v>
      </c>
      <c r="IB37" t="e">
        <f>AND(Bills!V27,"AAAAAFxa/+s=")</f>
        <v>#VALUE!</v>
      </c>
      <c r="IC37" t="e">
        <f>AND(Bills!W27,"AAAAAFxa/+w=")</f>
        <v>#VALUE!</v>
      </c>
      <c r="ID37" t="e">
        <f>AND(Bills!#REF!,"AAAAAFxa/+0=")</f>
        <v>#REF!</v>
      </c>
      <c r="IE37" t="e">
        <f>AND(Bills!#REF!,"AAAAAFxa/+4=")</f>
        <v>#REF!</v>
      </c>
      <c r="IF37" t="e">
        <f>AND(Bills!Y27,"AAAAAFxa/+8=")</f>
        <v>#VALUE!</v>
      </c>
      <c r="IG37" t="e">
        <f>AND(Bills!Z27,"AAAAAFxa//A=")</f>
        <v>#VALUE!</v>
      </c>
      <c r="IH37" t="e">
        <f>AND(Bills!#REF!,"AAAAAFxa//E=")</f>
        <v>#REF!</v>
      </c>
      <c r="II37" t="e">
        <f>AND(Bills!#REF!,"AAAAAFxa//I=")</f>
        <v>#REF!</v>
      </c>
      <c r="IJ37" t="e">
        <f>AND(Bills!#REF!,"AAAAAFxa//M=")</f>
        <v>#REF!</v>
      </c>
      <c r="IK37" t="e">
        <f>AND(Bills!#REF!,"AAAAAFxa//Q=")</f>
        <v>#REF!</v>
      </c>
      <c r="IL37" t="e">
        <f>AND(Bills!#REF!,"AAAAAFxa//U=")</f>
        <v>#REF!</v>
      </c>
      <c r="IM37" t="e">
        <f>AND(Bills!#REF!,"AAAAAFxa//Y=")</f>
        <v>#REF!</v>
      </c>
      <c r="IN37" t="e">
        <f>AND(Bills!#REF!,"AAAAAFxa//c=")</f>
        <v>#REF!</v>
      </c>
      <c r="IO37" t="e">
        <f>AND(Bills!#REF!,"AAAAAFxa//g=")</f>
        <v>#REF!</v>
      </c>
      <c r="IP37" t="e">
        <f>AND(Bills!#REF!,"AAAAAFxa//k=")</f>
        <v>#REF!</v>
      </c>
      <c r="IQ37" t="e">
        <f>AND(Bills!AA27,"AAAAAFxa//o=")</f>
        <v>#VALUE!</v>
      </c>
      <c r="IR37" t="e">
        <f>AND(Bills!AB27,"AAAAAFxa//s=")</f>
        <v>#VALUE!</v>
      </c>
      <c r="IS37" t="e">
        <f>AND(Bills!#REF!,"AAAAAFxa//w=")</f>
        <v>#REF!</v>
      </c>
      <c r="IT37" t="e">
        <f>AND(Bills!#REF!,"AAAAAFxa//0=")</f>
        <v>#REF!</v>
      </c>
      <c r="IU37" t="e">
        <f>AND(Bills!#REF!,"AAAAAFxa//4=")</f>
        <v>#REF!</v>
      </c>
      <c r="IV37" t="e">
        <f>AND(Bills!AC27,"AAAAAFxa//8=")</f>
        <v>#VALUE!</v>
      </c>
    </row>
    <row r="38" spans="1:256" x14ac:dyDescent="0.25">
      <c r="A38" t="e">
        <f>AND(Bills!AD27,"AAAAAGvk7gA=")</f>
        <v>#VALUE!</v>
      </c>
      <c r="B38" t="e">
        <f>AND(Bills!AE27,"AAAAAGvk7gE=")</f>
        <v>#VALUE!</v>
      </c>
      <c r="C38">
        <f>IF(Bills!28:28,"AAAAAGvk7gI=",0)</f>
        <v>0</v>
      </c>
      <c r="D38" t="e">
        <f>AND(Bills!B28,"AAAAAGvk7gM=")</f>
        <v>#VALUE!</v>
      </c>
      <c r="E38" t="e">
        <f>AND(Bills!#REF!,"AAAAAGvk7gQ=")</f>
        <v>#REF!</v>
      </c>
      <c r="F38" t="e">
        <f>AND(Bills!C28,"AAAAAGvk7gU=")</f>
        <v>#VALUE!</v>
      </c>
      <c r="G38" t="e">
        <f>AND(Bills!D28,"AAAAAGvk7gY=")</f>
        <v>#VALUE!</v>
      </c>
      <c r="H38" t="e">
        <f>AND(Bills!E28,"AAAAAGvk7gc=")</f>
        <v>#VALUE!</v>
      </c>
      <c r="I38" t="e">
        <f>AND(Bills!#REF!,"AAAAAGvk7gg=")</f>
        <v>#REF!</v>
      </c>
      <c r="J38" t="e">
        <f>AND(Bills!#REF!,"AAAAAGvk7gk=")</f>
        <v>#REF!</v>
      </c>
      <c r="K38" t="e">
        <f>AND(Bills!#REF!,"AAAAAGvk7go=")</f>
        <v>#REF!</v>
      </c>
      <c r="L38" t="e">
        <f>AND(Bills!F28,"AAAAAGvk7gs=")</f>
        <v>#VALUE!</v>
      </c>
      <c r="M38" t="e">
        <f>AND(Bills!#REF!,"AAAAAGvk7gw=")</f>
        <v>#REF!</v>
      </c>
      <c r="N38" t="e">
        <f>AND(Bills!G28,"AAAAAGvk7g0=")</f>
        <v>#VALUE!</v>
      </c>
      <c r="O38" t="e">
        <f>AND(Bills!H28,"AAAAAGvk7g4=")</f>
        <v>#VALUE!</v>
      </c>
      <c r="P38" t="e">
        <f>AND(Bills!I28,"AAAAAGvk7g8=")</f>
        <v>#VALUE!</v>
      </c>
      <c r="Q38" t="e">
        <f>AND(Bills!J28,"AAAAAGvk7hA=")</f>
        <v>#VALUE!</v>
      </c>
      <c r="R38" t="e">
        <f>AND(Bills!K28,"AAAAAGvk7hE=")</f>
        <v>#VALUE!</v>
      </c>
      <c r="S38" t="e">
        <f>AND(Bills!L28,"AAAAAGvk7hI=")</f>
        <v>#VALUE!</v>
      </c>
      <c r="T38" t="e">
        <f>AND(Bills!#REF!,"AAAAAGvk7hM=")</f>
        <v>#REF!</v>
      </c>
      <c r="U38" t="e">
        <f>AND(Bills!M28,"AAAAAGvk7hQ=")</f>
        <v>#VALUE!</v>
      </c>
      <c r="V38" t="e">
        <f>AND(Bills!N28,"AAAAAGvk7hU=")</f>
        <v>#VALUE!</v>
      </c>
      <c r="W38" t="e">
        <f>AND(Bills!O28,"AAAAAGvk7hY=")</f>
        <v>#VALUE!</v>
      </c>
      <c r="X38" t="e">
        <f>AND(Bills!P28,"AAAAAGvk7hc=")</f>
        <v>#VALUE!</v>
      </c>
      <c r="Y38" t="e">
        <f>AND(Bills!Q28,"AAAAAGvk7hg=")</f>
        <v>#VALUE!</v>
      </c>
      <c r="Z38" t="e">
        <f>AND(Bills!R28,"AAAAAGvk7hk=")</f>
        <v>#VALUE!</v>
      </c>
      <c r="AA38" t="e">
        <f>AND(Bills!S28,"AAAAAGvk7ho=")</f>
        <v>#VALUE!</v>
      </c>
      <c r="AB38" t="e">
        <f>AND(Bills!T28,"AAAAAGvk7hs=")</f>
        <v>#VALUE!</v>
      </c>
      <c r="AC38" t="e">
        <f>AND(Bills!#REF!,"AAAAAGvk7hw=")</f>
        <v>#REF!</v>
      </c>
      <c r="AD38" t="e">
        <f>AND(Bills!U28,"AAAAAGvk7h0=")</f>
        <v>#VALUE!</v>
      </c>
      <c r="AE38" t="e">
        <f>AND(Bills!V28,"AAAAAGvk7h4=")</f>
        <v>#VALUE!</v>
      </c>
      <c r="AF38" t="e">
        <f>AND(Bills!W28,"AAAAAGvk7h8=")</f>
        <v>#VALUE!</v>
      </c>
      <c r="AG38" t="e">
        <f>AND(Bills!#REF!,"AAAAAGvk7iA=")</f>
        <v>#REF!</v>
      </c>
      <c r="AH38" t="e">
        <f>AND(Bills!#REF!,"AAAAAGvk7iE=")</f>
        <v>#REF!</v>
      </c>
      <c r="AI38" t="e">
        <f>AND(Bills!Y28,"AAAAAGvk7iI=")</f>
        <v>#VALUE!</v>
      </c>
      <c r="AJ38" t="e">
        <f>AND(Bills!Z28,"AAAAAGvk7iM=")</f>
        <v>#VALUE!</v>
      </c>
      <c r="AK38" t="e">
        <f>AND(Bills!#REF!,"AAAAAGvk7iQ=")</f>
        <v>#REF!</v>
      </c>
      <c r="AL38" t="e">
        <f>AND(Bills!#REF!,"AAAAAGvk7iU=")</f>
        <v>#REF!</v>
      </c>
      <c r="AM38" t="e">
        <f>AND(Bills!#REF!,"AAAAAGvk7iY=")</f>
        <v>#REF!</v>
      </c>
      <c r="AN38" t="e">
        <f>AND(Bills!#REF!,"AAAAAGvk7ic=")</f>
        <v>#REF!</v>
      </c>
      <c r="AO38" t="e">
        <f>AND(Bills!#REF!,"AAAAAGvk7ig=")</f>
        <v>#REF!</v>
      </c>
      <c r="AP38" t="e">
        <f>AND(Bills!#REF!,"AAAAAGvk7ik=")</f>
        <v>#REF!</v>
      </c>
      <c r="AQ38" t="e">
        <f>AND(Bills!#REF!,"AAAAAGvk7io=")</f>
        <v>#REF!</v>
      </c>
      <c r="AR38" t="e">
        <f>AND(Bills!#REF!,"AAAAAGvk7is=")</f>
        <v>#REF!</v>
      </c>
      <c r="AS38" t="e">
        <f>AND(Bills!#REF!,"AAAAAGvk7iw=")</f>
        <v>#REF!</v>
      </c>
      <c r="AT38" t="e">
        <f>AND(Bills!AA28,"AAAAAGvk7i0=")</f>
        <v>#VALUE!</v>
      </c>
      <c r="AU38" t="e">
        <f>AND(Bills!AB28,"AAAAAGvk7i4=")</f>
        <v>#VALUE!</v>
      </c>
      <c r="AV38" t="e">
        <f>AND(Bills!#REF!,"AAAAAGvk7i8=")</f>
        <v>#REF!</v>
      </c>
      <c r="AW38" t="e">
        <f>AND(Bills!#REF!,"AAAAAGvk7jA=")</f>
        <v>#REF!</v>
      </c>
      <c r="AX38" t="e">
        <f>AND(Bills!#REF!,"AAAAAGvk7jE=")</f>
        <v>#REF!</v>
      </c>
      <c r="AY38" t="e">
        <f>AND(Bills!AC28,"AAAAAGvk7jI=")</f>
        <v>#VALUE!</v>
      </c>
      <c r="AZ38" t="e">
        <f>AND(Bills!AD28,"AAAAAGvk7jM=")</f>
        <v>#VALUE!</v>
      </c>
      <c r="BA38" t="e">
        <f>AND(Bills!AE28,"AAAAAGvk7jQ=")</f>
        <v>#VALUE!</v>
      </c>
      <c r="BB38">
        <f>IF(Bills!29:29,"AAAAAGvk7jU=",0)</f>
        <v>0</v>
      </c>
      <c r="BC38" t="e">
        <f>AND(Bills!B29,"AAAAAGvk7jY=")</f>
        <v>#VALUE!</v>
      </c>
      <c r="BD38" t="e">
        <f>AND(Bills!#REF!,"AAAAAGvk7jc=")</f>
        <v>#REF!</v>
      </c>
      <c r="BE38" t="e">
        <f>AND(Bills!C29,"AAAAAGvk7jg=")</f>
        <v>#VALUE!</v>
      </c>
      <c r="BF38" t="e">
        <f>AND(Bills!D29,"AAAAAGvk7jk=")</f>
        <v>#VALUE!</v>
      </c>
      <c r="BG38" t="e">
        <f>AND(Bills!E29,"AAAAAGvk7jo=")</f>
        <v>#VALUE!</v>
      </c>
      <c r="BH38" t="e">
        <f>AND(Bills!#REF!,"AAAAAGvk7js=")</f>
        <v>#REF!</v>
      </c>
      <c r="BI38" t="e">
        <f>AND(Bills!#REF!,"AAAAAGvk7jw=")</f>
        <v>#REF!</v>
      </c>
      <c r="BJ38" t="e">
        <f>AND(Bills!#REF!,"AAAAAGvk7j0=")</f>
        <v>#REF!</v>
      </c>
      <c r="BK38" t="e">
        <f>AND(Bills!F29,"AAAAAGvk7j4=")</f>
        <v>#VALUE!</v>
      </c>
      <c r="BL38" t="e">
        <f>AND(Bills!#REF!,"AAAAAGvk7j8=")</f>
        <v>#REF!</v>
      </c>
      <c r="BM38" t="e">
        <f>AND(Bills!G29,"AAAAAGvk7kA=")</f>
        <v>#VALUE!</v>
      </c>
      <c r="BN38" t="e">
        <f>AND(Bills!H29,"AAAAAGvk7kE=")</f>
        <v>#VALUE!</v>
      </c>
      <c r="BO38" t="e">
        <f>AND(Bills!I29,"AAAAAGvk7kI=")</f>
        <v>#VALUE!</v>
      </c>
      <c r="BP38" t="e">
        <f>AND(Bills!J29,"AAAAAGvk7kM=")</f>
        <v>#VALUE!</v>
      </c>
      <c r="BQ38" t="e">
        <f>AND(Bills!K29,"AAAAAGvk7kQ=")</f>
        <v>#VALUE!</v>
      </c>
      <c r="BR38" t="e">
        <f>AND(Bills!L29,"AAAAAGvk7kU=")</f>
        <v>#VALUE!</v>
      </c>
      <c r="BS38" t="e">
        <f>AND(Bills!#REF!,"AAAAAGvk7kY=")</f>
        <v>#REF!</v>
      </c>
      <c r="BT38" t="e">
        <f>AND(Bills!M29,"AAAAAGvk7kc=")</f>
        <v>#VALUE!</v>
      </c>
      <c r="BU38" t="e">
        <f>AND(Bills!N29,"AAAAAGvk7kg=")</f>
        <v>#VALUE!</v>
      </c>
      <c r="BV38" t="e">
        <f>AND(Bills!O29,"AAAAAGvk7kk=")</f>
        <v>#VALUE!</v>
      </c>
      <c r="BW38" t="e">
        <f>AND(Bills!P29,"AAAAAGvk7ko=")</f>
        <v>#VALUE!</v>
      </c>
      <c r="BX38" t="e">
        <f>AND(Bills!Q29,"AAAAAGvk7ks=")</f>
        <v>#VALUE!</v>
      </c>
      <c r="BY38" t="e">
        <f>AND(Bills!R29,"AAAAAGvk7kw=")</f>
        <v>#VALUE!</v>
      </c>
      <c r="BZ38" t="e">
        <f>AND(Bills!S29,"AAAAAGvk7k0=")</f>
        <v>#VALUE!</v>
      </c>
      <c r="CA38" t="e">
        <f>AND(Bills!T29,"AAAAAGvk7k4=")</f>
        <v>#VALUE!</v>
      </c>
      <c r="CB38" t="e">
        <f>AND(Bills!#REF!,"AAAAAGvk7k8=")</f>
        <v>#REF!</v>
      </c>
      <c r="CC38" t="e">
        <f>AND(Bills!U29,"AAAAAGvk7lA=")</f>
        <v>#VALUE!</v>
      </c>
      <c r="CD38" t="e">
        <f>AND(Bills!V29,"AAAAAGvk7lE=")</f>
        <v>#VALUE!</v>
      </c>
      <c r="CE38" t="e">
        <f>AND(Bills!W29,"AAAAAGvk7lI=")</f>
        <v>#VALUE!</v>
      </c>
      <c r="CF38" t="e">
        <f>AND(Bills!#REF!,"AAAAAGvk7lM=")</f>
        <v>#REF!</v>
      </c>
      <c r="CG38" t="e">
        <f>AND(Bills!#REF!,"AAAAAGvk7lQ=")</f>
        <v>#REF!</v>
      </c>
      <c r="CH38" t="e">
        <f>AND(Bills!Y29,"AAAAAGvk7lU=")</f>
        <v>#VALUE!</v>
      </c>
      <c r="CI38" t="e">
        <f>AND(Bills!Z29,"AAAAAGvk7lY=")</f>
        <v>#VALUE!</v>
      </c>
      <c r="CJ38" t="e">
        <f>AND(Bills!#REF!,"AAAAAGvk7lc=")</f>
        <v>#REF!</v>
      </c>
      <c r="CK38" t="e">
        <f>AND(Bills!#REF!,"AAAAAGvk7lg=")</f>
        <v>#REF!</v>
      </c>
      <c r="CL38" t="e">
        <f>AND(Bills!#REF!,"AAAAAGvk7lk=")</f>
        <v>#REF!</v>
      </c>
      <c r="CM38" t="e">
        <f>AND(Bills!#REF!,"AAAAAGvk7lo=")</f>
        <v>#REF!</v>
      </c>
      <c r="CN38" t="e">
        <f>AND(Bills!#REF!,"AAAAAGvk7ls=")</f>
        <v>#REF!</v>
      </c>
      <c r="CO38" t="e">
        <f>AND(Bills!#REF!,"AAAAAGvk7lw=")</f>
        <v>#REF!</v>
      </c>
      <c r="CP38" t="e">
        <f>AND(Bills!#REF!,"AAAAAGvk7l0=")</f>
        <v>#REF!</v>
      </c>
      <c r="CQ38" t="e">
        <f>AND(Bills!#REF!,"AAAAAGvk7l4=")</f>
        <v>#REF!</v>
      </c>
      <c r="CR38" t="e">
        <f>AND(Bills!#REF!,"AAAAAGvk7l8=")</f>
        <v>#REF!</v>
      </c>
      <c r="CS38" t="e">
        <f>AND(Bills!AA29,"AAAAAGvk7mA=")</f>
        <v>#VALUE!</v>
      </c>
      <c r="CT38" t="e">
        <f>AND(Bills!AB29,"AAAAAGvk7mE=")</f>
        <v>#VALUE!</v>
      </c>
      <c r="CU38" t="e">
        <f>AND(Bills!#REF!,"AAAAAGvk7mI=")</f>
        <v>#REF!</v>
      </c>
      <c r="CV38" t="e">
        <f>AND(Bills!#REF!,"AAAAAGvk7mM=")</f>
        <v>#REF!</v>
      </c>
      <c r="CW38" t="e">
        <f>AND(Bills!#REF!,"AAAAAGvk7mQ=")</f>
        <v>#REF!</v>
      </c>
      <c r="CX38" t="e">
        <f>AND(Bills!AC29,"AAAAAGvk7mU=")</f>
        <v>#VALUE!</v>
      </c>
      <c r="CY38" t="e">
        <f>AND(Bills!AD29,"AAAAAGvk7mY=")</f>
        <v>#VALUE!</v>
      </c>
      <c r="CZ38" t="e">
        <f>AND(Bills!AE29,"AAAAAGvk7mc=")</f>
        <v>#VALUE!</v>
      </c>
      <c r="DA38">
        <f>IF(Bills!30:30,"AAAAAGvk7mg=",0)</f>
        <v>0</v>
      </c>
      <c r="DB38" t="e">
        <f>AND(Bills!B30,"AAAAAGvk7mk=")</f>
        <v>#VALUE!</v>
      </c>
      <c r="DC38" t="e">
        <f>AND(Bills!#REF!,"AAAAAGvk7mo=")</f>
        <v>#REF!</v>
      </c>
      <c r="DD38" t="e">
        <f>AND(Bills!C30,"AAAAAGvk7ms=")</f>
        <v>#VALUE!</v>
      </c>
      <c r="DE38" t="e">
        <f>AND(Bills!D30,"AAAAAGvk7mw=")</f>
        <v>#VALUE!</v>
      </c>
      <c r="DF38" t="e">
        <f>AND(Bills!E30,"AAAAAGvk7m0=")</f>
        <v>#VALUE!</v>
      </c>
      <c r="DG38" t="e">
        <f>AND(Bills!#REF!,"AAAAAGvk7m4=")</f>
        <v>#REF!</v>
      </c>
      <c r="DH38" t="e">
        <f>AND(Bills!#REF!,"AAAAAGvk7m8=")</f>
        <v>#REF!</v>
      </c>
      <c r="DI38" t="e">
        <f>AND(Bills!#REF!,"AAAAAGvk7nA=")</f>
        <v>#REF!</v>
      </c>
      <c r="DJ38" t="e">
        <f>AND(Bills!F30,"AAAAAGvk7nE=")</f>
        <v>#VALUE!</v>
      </c>
      <c r="DK38" t="e">
        <f>AND(Bills!#REF!,"AAAAAGvk7nI=")</f>
        <v>#REF!</v>
      </c>
      <c r="DL38" t="e">
        <f>AND(Bills!G30,"AAAAAGvk7nM=")</f>
        <v>#VALUE!</v>
      </c>
      <c r="DM38" t="e">
        <f>AND(Bills!H30,"AAAAAGvk7nQ=")</f>
        <v>#VALUE!</v>
      </c>
      <c r="DN38" t="e">
        <f>AND(Bills!I30,"AAAAAGvk7nU=")</f>
        <v>#VALUE!</v>
      </c>
      <c r="DO38" t="e">
        <f>AND(Bills!J30,"AAAAAGvk7nY=")</f>
        <v>#VALUE!</v>
      </c>
      <c r="DP38" t="e">
        <f>AND(Bills!K30,"AAAAAGvk7nc=")</f>
        <v>#VALUE!</v>
      </c>
      <c r="DQ38" t="e">
        <f>AND(Bills!L30,"AAAAAGvk7ng=")</f>
        <v>#VALUE!</v>
      </c>
      <c r="DR38" t="e">
        <f>AND(Bills!#REF!,"AAAAAGvk7nk=")</f>
        <v>#REF!</v>
      </c>
      <c r="DS38" t="e">
        <f>AND(Bills!M30,"AAAAAGvk7no=")</f>
        <v>#VALUE!</v>
      </c>
      <c r="DT38" t="e">
        <f>AND(Bills!N30,"AAAAAGvk7ns=")</f>
        <v>#VALUE!</v>
      </c>
      <c r="DU38" t="e">
        <f>AND(Bills!O30,"AAAAAGvk7nw=")</f>
        <v>#VALUE!</v>
      </c>
      <c r="DV38" t="e">
        <f>AND(Bills!P30,"AAAAAGvk7n0=")</f>
        <v>#VALUE!</v>
      </c>
      <c r="DW38" t="e">
        <f>AND(Bills!Q30,"AAAAAGvk7n4=")</f>
        <v>#VALUE!</v>
      </c>
      <c r="DX38" t="e">
        <f>AND(Bills!R30,"AAAAAGvk7n8=")</f>
        <v>#VALUE!</v>
      </c>
      <c r="DY38" t="e">
        <f>AND(Bills!S30,"AAAAAGvk7oA=")</f>
        <v>#VALUE!</v>
      </c>
      <c r="DZ38" t="e">
        <f>AND(Bills!T30,"AAAAAGvk7oE=")</f>
        <v>#VALUE!</v>
      </c>
      <c r="EA38" t="e">
        <f>AND(Bills!#REF!,"AAAAAGvk7oI=")</f>
        <v>#REF!</v>
      </c>
      <c r="EB38" t="e">
        <f>AND(Bills!U30,"AAAAAGvk7oM=")</f>
        <v>#VALUE!</v>
      </c>
      <c r="EC38" t="e">
        <f>AND(Bills!V30,"AAAAAGvk7oQ=")</f>
        <v>#VALUE!</v>
      </c>
      <c r="ED38" t="e">
        <f>AND(Bills!W30,"AAAAAGvk7oU=")</f>
        <v>#VALUE!</v>
      </c>
      <c r="EE38" t="e">
        <f>AND(Bills!#REF!,"AAAAAGvk7oY=")</f>
        <v>#REF!</v>
      </c>
      <c r="EF38" t="e">
        <f>AND(Bills!#REF!,"AAAAAGvk7oc=")</f>
        <v>#REF!</v>
      </c>
      <c r="EG38" t="e">
        <f>AND(Bills!Y30,"AAAAAGvk7og=")</f>
        <v>#VALUE!</v>
      </c>
      <c r="EH38" t="e">
        <f>AND(Bills!Z30,"AAAAAGvk7ok=")</f>
        <v>#VALUE!</v>
      </c>
      <c r="EI38" t="e">
        <f>AND(Bills!#REF!,"AAAAAGvk7oo=")</f>
        <v>#REF!</v>
      </c>
      <c r="EJ38" t="e">
        <f>AND(Bills!#REF!,"AAAAAGvk7os=")</f>
        <v>#REF!</v>
      </c>
      <c r="EK38" t="e">
        <f>AND(Bills!#REF!,"AAAAAGvk7ow=")</f>
        <v>#REF!</v>
      </c>
      <c r="EL38" t="e">
        <f>AND(Bills!#REF!,"AAAAAGvk7o0=")</f>
        <v>#REF!</v>
      </c>
      <c r="EM38" t="e">
        <f>AND(Bills!#REF!,"AAAAAGvk7o4=")</f>
        <v>#REF!</v>
      </c>
      <c r="EN38" t="e">
        <f>AND(Bills!#REF!,"AAAAAGvk7o8=")</f>
        <v>#REF!</v>
      </c>
      <c r="EO38" t="e">
        <f>AND(Bills!#REF!,"AAAAAGvk7pA=")</f>
        <v>#REF!</v>
      </c>
      <c r="EP38" t="e">
        <f>AND(Bills!#REF!,"AAAAAGvk7pE=")</f>
        <v>#REF!</v>
      </c>
      <c r="EQ38" t="e">
        <f>AND(Bills!#REF!,"AAAAAGvk7pI=")</f>
        <v>#REF!</v>
      </c>
      <c r="ER38" t="e">
        <f>AND(Bills!AA30,"AAAAAGvk7pM=")</f>
        <v>#VALUE!</v>
      </c>
      <c r="ES38" t="e">
        <f>AND(Bills!AB30,"AAAAAGvk7pQ=")</f>
        <v>#VALUE!</v>
      </c>
      <c r="ET38" t="e">
        <f>AND(Bills!#REF!,"AAAAAGvk7pU=")</f>
        <v>#REF!</v>
      </c>
      <c r="EU38" t="e">
        <f>AND(Bills!#REF!,"AAAAAGvk7pY=")</f>
        <v>#REF!</v>
      </c>
      <c r="EV38" t="e">
        <f>AND(Bills!#REF!,"AAAAAGvk7pc=")</f>
        <v>#REF!</v>
      </c>
      <c r="EW38" t="e">
        <f>AND(Bills!AC30,"AAAAAGvk7pg=")</f>
        <v>#VALUE!</v>
      </c>
      <c r="EX38" t="e">
        <f>AND(Bills!AD30,"AAAAAGvk7pk=")</f>
        <v>#VALUE!</v>
      </c>
      <c r="EY38" t="e">
        <f>AND(Bills!AE30,"AAAAAGvk7po=")</f>
        <v>#VALUE!</v>
      </c>
      <c r="EZ38">
        <f>IF(Bills!31:31,"AAAAAGvk7ps=",0)</f>
        <v>0</v>
      </c>
      <c r="FA38" t="e">
        <f>AND(Bills!B31,"AAAAAGvk7pw=")</f>
        <v>#VALUE!</v>
      </c>
      <c r="FB38" t="e">
        <f>AND(Bills!#REF!,"AAAAAGvk7p0=")</f>
        <v>#REF!</v>
      </c>
      <c r="FC38" t="e">
        <f>AND(Bills!C31,"AAAAAGvk7p4=")</f>
        <v>#VALUE!</v>
      </c>
      <c r="FD38" t="e">
        <f>AND(Bills!D31,"AAAAAGvk7p8=")</f>
        <v>#VALUE!</v>
      </c>
      <c r="FE38" t="e">
        <f>AND(Bills!E31,"AAAAAGvk7qA=")</f>
        <v>#VALUE!</v>
      </c>
      <c r="FF38" t="e">
        <f>AND(Bills!#REF!,"AAAAAGvk7qE=")</f>
        <v>#REF!</v>
      </c>
      <c r="FG38" t="e">
        <f>AND(Bills!#REF!,"AAAAAGvk7qI=")</f>
        <v>#REF!</v>
      </c>
      <c r="FH38" t="e">
        <f>AND(Bills!#REF!,"AAAAAGvk7qM=")</f>
        <v>#REF!</v>
      </c>
      <c r="FI38" t="e">
        <f>AND(Bills!F31,"AAAAAGvk7qQ=")</f>
        <v>#VALUE!</v>
      </c>
      <c r="FJ38" t="e">
        <f>AND(Bills!#REF!,"AAAAAGvk7qU=")</f>
        <v>#REF!</v>
      </c>
      <c r="FK38" t="e">
        <f>AND(Bills!G31,"AAAAAGvk7qY=")</f>
        <v>#VALUE!</v>
      </c>
      <c r="FL38" t="e">
        <f>AND(Bills!H31,"AAAAAGvk7qc=")</f>
        <v>#VALUE!</v>
      </c>
      <c r="FM38" t="e">
        <f>AND(Bills!I31,"AAAAAGvk7qg=")</f>
        <v>#VALUE!</v>
      </c>
      <c r="FN38" t="e">
        <f>AND(Bills!J31,"AAAAAGvk7qk=")</f>
        <v>#VALUE!</v>
      </c>
      <c r="FO38" t="e">
        <f>AND(Bills!K31,"AAAAAGvk7qo=")</f>
        <v>#VALUE!</v>
      </c>
      <c r="FP38" t="e">
        <f>AND(Bills!L31,"AAAAAGvk7qs=")</f>
        <v>#VALUE!</v>
      </c>
      <c r="FQ38" t="e">
        <f>AND(Bills!#REF!,"AAAAAGvk7qw=")</f>
        <v>#REF!</v>
      </c>
      <c r="FR38" t="e">
        <f>AND(Bills!M31,"AAAAAGvk7q0=")</f>
        <v>#VALUE!</v>
      </c>
      <c r="FS38" t="e">
        <f>AND(Bills!N31,"AAAAAGvk7q4=")</f>
        <v>#VALUE!</v>
      </c>
      <c r="FT38" t="e">
        <f>AND(Bills!O31,"AAAAAGvk7q8=")</f>
        <v>#VALUE!</v>
      </c>
      <c r="FU38" t="e">
        <f>AND(Bills!P31,"AAAAAGvk7rA=")</f>
        <v>#VALUE!</v>
      </c>
      <c r="FV38" t="e">
        <f>AND(Bills!Q31,"AAAAAGvk7rE=")</f>
        <v>#VALUE!</v>
      </c>
      <c r="FW38" t="e">
        <f>AND(Bills!R31,"AAAAAGvk7rI=")</f>
        <v>#VALUE!</v>
      </c>
      <c r="FX38" t="e">
        <f>AND(Bills!S31,"AAAAAGvk7rM=")</f>
        <v>#VALUE!</v>
      </c>
      <c r="FY38" t="e">
        <f>AND(Bills!T31,"AAAAAGvk7rQ=")</f>
        <v>#VALUE!</v>
      </c>
      <c r="FZ38" t="e">
        <f>AND(Bills!#REF!,"AAAAAGvk7rU=")</f>
        <v>#REF!</v>
      </c>
      <c r="GA38" t="e">
        <f>AND(Bills!U31,"AAAAAGvk7rY=")</f>
        <v>#VALUE!</v>
      </c>
      <c r="GB38" t="e">
        <f>AND(Bills!V31,"AAAAAGvk7rc=")</f>
        <v>#VALUE!</v>
      </c>
      <c r="GC38" t="e">
        <f>AND(Bills!W31,"AAAAAGvk7rg=")</f>
        <v>#VALUE!</v>
      </c>
      <c r="GD38" t="e">
        <f>AND(Bills!#REF!,"AAAAAGvk7rk=")</f>
        <v>#REF!</v>
      </c>
      <c r="GE38" t="e">
        <f>AND(Bills!#REF!,"AAAAAGvk7ro=")</f>
        <v>#REF!</v>
      </c>
      <c r="GF38" t="e">
        <f>AND(Bills!Y31,"AAAAAGvk7rs=")</f>
        <v>#VALUE!</v>
      </c>
      <c r="GG38" t="e">
        <f>AND(Bills!Z31,"AAAAAGvk7rw=")</f>
        <v>#VALUE!</v>
      </c>
      <c r="GH38" t="e">
        <f>AND(Bills!#REF!,"AAAAAGvk7r0=")</f>
        <v>#REF!</v>
      </c>
      <c r="GI38" t="e">
        <f>AND(Bills!#REF!,"AAAAAGvk7r4=")</f>
        <v>#REF!</v>
      </c>
      <c r="GJ38" t="e">
        <f>AND(Bills!#REF!,"AAAAAGvk7r8=")</f>
        <v>#REF!</v>
      </c>
      <c r="GK38" t="e">
        <f>AND(Bills!#REF!,"AAAAAGvk7sA=")</f>
        <v>#REF!</v>
      </c>
      <c r="GL38" t="e">
        <f>AND(Bills!#REF!,"AAAAAGvk7sE=")</f>
        <v>#REF!</v>
      </c>
      <c r="GM38" t="e">
        <f>AND(Bills!#REF!,"AAAAAGvk7sI=")</f>
        <v>#REF!</v>
      </c>
      <c r="GN38" t="e">
        <f>AND(Bills!#REF!,"AAAAAGvk7sM=")</f>
        <v>#REF!</v>
      </c>
      <c r="GO38" t="e">
        <f>AND(Bills!#REF!,"AAAAAGvk7sQ=")</f>
        <v>#REF!</v>
      </c>
      <c r="GP38" t="e">
        <f>AND(Bills!#REF!,"AAAAAGvk7sU=")</f>
        <v>#REF!</v>
      </c>
      <c r="GQ38" t="e">
        <f>AND(Bills!AA31,"AAAAAGvk7sY=")</f>
        <v>#VALUE!</v>
      </c>
      <c r="GR38" t="e">
        <f>AND(Bills!AB31,"AAAAAGvk7sc=")</f>
        <v>#VALUE!</v>
      </c>
      <c r="GS38" t="e">
        <f>AND(Bills!#REF!,"AAAAAGvk7sg=")</f>
        <v>#REF!</v>
      </c>
      <c r="GT38" t="e">
        <f>AND(Bills!#REF!,"AAAAAGvk7sk=")</f>
        <v>#REF!</v>
      </c>
      <c r="GU38" t="e">
        <f>AND(Bills!#REF!,"AAAAAGvk7so=")</f>
        <v>#REF!</v>
      </c>
      <c r="GV38" t="e">
        <f>AND(Bills!AC31,"AAAAAGvk7ss=")</f>
        <v>#VALUE!</v>
      </c>
      <c r="GW38" t="e">
        <f>AND(Bills!AD31,"AAAAAGvk7sw=")</f>
        <v>#VALUE!</v>
      </c>
      <c r="GX38" t="e">
        <f>AND(Bills!AE31,"AAAAAGvk7s0=")</f>
        <v>#VALUE!</v>
      </c>
      <c r="GY38">
        <f>IF(Bills!32:32,"AAAAAGvk7s4=",0)</f>
        <v>0</v>
      </c>
      <c r="GZ38" t="e">
        <f>AND(Bills!B32,"AAAAAGvk7s8=")</f>
        <v>#VALUE!</v>
      </c>
      <c r="HA38" t="e">
        <f>AND(Bills!#REF!,"AAAAAGvk7tA=")</f>
        <v>#REF!</v>
      </c>
      <c r="HB38" t="e">
        <f>AND(Bills!C32,"AAAAAGvk7tE=")</f>
        <v>#VALUE!</v>
      </c>
      <c r="HC38" t="e">
        <f>AND(Bills!D32,"AAAAAGvk7tI=")</f>
        <v>#VALUE!</v>
      </c>
      <c r="HD38" t="e">
        <f>AND(Bills!E32,"AAAAAGvk7tM=")</f>
        <v>#VALUE!</v>
      </c>
      <c r="HE38" t="e">
        <f>AND(Bills!#REF!,"AAAAAGvk7tQ=")</f>
        <v>#REF!</v>
      </c>
      <c r="HF38" t="e">
        <f>AND(Bills!#REF!,"AAAAAGvk7tU=")</f>
        <v>#REF!</v>
      </c>
      <c r="HG38" t="e">
        <f>AND(Bills!#REF!,"AAAAAGvk7tY=")</f>
        <v>#REF!</v>
      </c>
      <c r="HH38" t="e">
        <f>AND(Bills!F32,"AAAAAGvk7tc=")</f>
        <v>#VALUE!</v>
      </c>
      <c r="HI38" t="e">
        <f>AND(Bills!#REF!,"AAAAAGvk7tg=")</f>
        <v>#REF!</v>
      </c>
      <c r="HJ38" t="e">
        <f>AND(Bills!G32,"AAAAAGvk7tk=")</f>
        <v>#VALUE!</v>
      </c>
      <c r="HK38" t="e">
        <f>AND(Bills!H32,"AAAAAGvk7to=")</f>
        <v>#VALUE!</v>
      </c>
      <c r="HL38" t="e">
        <f>AND(Bills!I32,"AAAAAGvk7ts=")</f>
        <v>#VALUE!</v>
      </c>
      <c r="HM38" t="e">
        <f>AND(Bills!J32,"AAAAAGvk7tw=")</f>
        <v>#VALUE!</v>
      </c>
      <c r="HN38" t="e">
        <f>AND(Bills!K32,"AAAAAGvk7t0=")</f>
        <v>#VALUE!</v>
      </c>
      <c r="HO38" t="e">
        <f>AND(Bills!L32,"AAAAAGvk7t4=")</f>
        <v>#VALUE!</v>
      </c>
      <c r="HP38" t="e">
        <f>AND(Bills!#REF!,"AAAAAGvk7t8=")</f>
        <v>#REF!</v>
      </c>
      <c r="HQ38" t="e">
        <f>AND(Bills!M32,"AAAAAGvk7uA=")</f>
        <v>#VALUE!</v>
      </c>
      <c r="HR38" t="e">
        <f>AND(Bills!N32,"AAAAAGvk7uE=")</f>
        <v>#VALUE!</v>
      </c>
      <c r="HS38" t="e">
        <f>AND(Bills!O32,"AAAAAGvk7uI=")</f>
        <v>#VALUE!</v>
      </c>
      <c r="HT38" t="e">
        <f>AND(Bills!P32,"AAAAAGvk7uM=")</f>
        <v>#VALUE!</v>
      </c>
      <c r="HU38" t="e">
        <f>AND(Bills!Q32,"AAAAAGvk7uQ=")</f>
        <v>#VALUE!</v>
      </c>
      <c r="HV38" t="e">
        <f>AND(Bills!R32,"AAAAAGvk7uU=")</f>
        <v>#VALUE!</v>
      </c>
      <c r="HW38" t="e">
        <f>AND(Bills!S32,"AAAAAGvk7uY=")</f>
        <v>#VALUE!</v>
      </c>
      <c r="HX38" t="e">
        <f>AND(Bills!T32,"AAAAAGvk7uc=")</f>
        <v>#VALUE!</v>
      </c>
      <c r="HY38" t="e">
        <f>AND(Bills!#REF!,"AAAAAGvk7ug=")</f>
        <v>#REF!</v>
      </c>
      <c r="HZ38" t="e">
        <f>AND(Bills!U32,"AAAAAGvk7uk=")</f>
        <v>#VALUE!</v>
      </c>
      <c r="IA38" t="e">
        <f>AND(Bills!V32,"AAAAAGvk7uo=")</f>
        <v>#VALUE!</v>
      </c>
      <c r="IB38" t="e">
        <f>AND(Bills!W32,"AAAAAGvk7us=")</f>
        <v>#VALUE!</v>
      </c>
      <c r="IC38" t="e">
        <f>AND(Bills!#REF!,"AAAAAGvk7uw=")</f>
        <v>#REF!</v>
      </c>
      <c r="ID38" t="e">
        <f>AND(Bills!#REF!,"AAAAAGvk7u0=")</f>
        <v>#REF!</v>
      </c>
      <c r="IE38" t="e">
        <f>AND(Bills!Y32,"AAAAAGvk7u4=")</f>
        <v>#VALUE!</v>
      </c>
      <c r="IF38" t="e">
        <f>AND(Bills!Z32,"AAAAAGvk7u8=")</f>
        <v>#VALUE!</v>
      </c>
      <c r="IG38" t="e">
        <f>AND(Bills!#REF!,"AAAAAGvk7vA=")</f>
        <v>#REF!</v>
      </c>
      <c r="IH38" t="e">
        <f>AND(Bills!#REF!,"AAAAAGvk7vE=")</f>
        <v>#REF!</v>
      </c>
      <c r="II38" t="e">
        <f>AND(Bills!#REF!,"AAAAAGvk7vI=")</f>
        <v>#REF!</v>
      </c>
      <c r="IJ38" t="e">
        <f>AND(Bills!#REF!,"AAAAAGvk7vM=")</f>
        <v>#REF!</v>
      </c>
      <c r="IK38" t="e">
        <f>AND(Bills!#REF!,"AAAAAGvk7vQ=")</f>
        <v>#REF!</v>
      </c>
      <c r="IL38" t="e">
        <f>AND(Bills!#REF!,"AAAAAGvk7vU=")</f>
        <v>#REF!</v>
      </c>
      <c r="IM38" t="e">
        <f>AND(Bills!#REF!,"AAAAAGvk7vY=")</f>
        <v>#REF!</v>
      </c>
      <c r="IN38" t="e">
        <f>AND(Bills!#REF!,"AAAAAGvk7vc=")</f>
        <v>#REF!</v>
      </c>
      <c r="IO38" t="e">
        <f>AND(Bills!#REF!,"AAAAAGvk7vg=")</f>
        <v>#REF!</v>
      </c>
      <c r="IP38" t="e">
        <f>AND(Bills!AA32,"AAAAAGvk7vk=")</f>
        <v>#VALUE!</v>
      </c>
      <c r="IQ38" t="e">
        <f>AND(Bills!AB32,"AAAAAGvk7vo=")</f>
        <v>#VALUE!</v>
      </c>
      <c r="IR38" t="e">
        <f>AND(Bills!#REF!,"AAAAAGvk7vs=")</f>
        <v>#REF!</v>
      </c>
      <c r="IS38" t="e">
        <f>AND(Bills!#REF!,"AAAAAGvk7vw=")</f>
        <v>#REF!</v>
      </c>
      <c r="IT38" t="e">
        <f>AND(Bills!#REF!,"AAAAAGvk7v0=")</f>
        <v>#REF!</v>
      </c>
      <c r="IU38" t="e">
        <f>AND(Bills!AC32,"AAAAAGvk7v4=")</f>
        <v>#VALUE!</v>
      </c>
      <c r="IV38" t="e">
        <f>AND(Bills!AD32,"AAAAAGvk7v8=")</f>
        <v>#VALUE!</v>
      </c>
    </row>
    <row r="39" spans="1:256" x14ac:dyDescent="0.25">
      <c r="A39" t="e">
        <f>AND(Bills!AE32,"AAAAAD8zdwA=")</f>
        <v>#VALUE!</v>
      </c>
      <c r="B39">
        <f>IF(Bills!33:33,"AAAAAD8zdwE=",0)</f>
        <v>0</v>
      </c>
      <c r="C39" t="e">
        <f>AND(Bills!B33,"AAAAAD8zdwI=")</f>
        <v>#VALUE!</v>
      </c>
      <c r="D39" t="e">
        <f>AND(Bills!#REF!,"AAAAAD8zdwM=")</f>
        <v>#REF!</v>
      </c>
      <c r="E39" t="e">
        <f>AND(Bills!C33,"AAAAAD8zdwQ=")</f>
        <v>#VALUE!</v>
      </c>
      <c r="F39" t="e">
        <f>AND(Bills!D33,"AAAAAD8zdwU=")</f>
        <v>#VALUE!</v>
      </c>
      <c r="G39" t="e">
        <f>AND(Bills!E33,"AAAAAD8zdwY=")</f>
        <v>#VALUE!</v>
      </c>
      <c r="H39" t="e">
        <f>AND(Bills!#REF!,"AAAAAD8zdwc=")</f>
        <v>#REF!</v>
      </c>
      <c r="I39" t="e">
        <f>AND(Bills!#REF!,"AAAAAD8zdwg=")</f>
        <v>#REF!</v>
      </c>
      <c r="J39" t="e">
        <f>AND(Bills!#REF!,"AAAAAD8zdwk=")</f>
        <v>#REF!</v>
      </c>
      <c r="K39" t="e">
        <f>AND(Bills!F33,"AAAAAD8zdwo=")</f>
        <v>#VALUE!</v>
      </c>
      <c r="L39" t="e">
        <f>AND(Bills!#REF!,"AAAAAD8zdws=")</f>
        <v>#REF!</v>
      </c>
      <c r="M39" t="e">
        <f>AND(Bills!G33,"AAAAAD8zdww=")</f>
        <v>#VALUE!</v>
      </c>
      <c r="N39" t="e">
        <f>AND(Bills!H33,"AAAAAD8zdw0=")</f>
        <v>#VALUE!</v>
      </c>
      <c r="O39" t="e">
        <f>AND(Bills!I33,"AAAAAD8zdw4=")</f>
        <v>#VALUE!</v>
      </c>
      <c r="P39" t="e">
        <f>AND(Bills!J33,"AAAAAD8zdw8=")</f>
        <v>#VALUE!</v>
      </c>
      <c r="Q39" t="e">
        <f>AND(Bills!K33,"AAAAAD8zdxA=")</f>
        <v>#VALUE!</v>
      </c>
      <c r="R39" t="e">
        <f>AND(Bills!L33,"AAAAAD8zdxE=")</f>
        <v>#VALUE!</v>
      </c>
      <c r="S39" t="e">
        <f>AND(Bills!#REF!,"AAAAAD8zdxI=")</f>
        <v>#REF!</v>
      </c>
      <c r="T39" t="e">
        <f>AND(Bills!M33,"AAAAAD8zdxM=")</f>
        <v>#VALUE!</v>
      </c>
      <c r="U39" t="e">
        <f>AND(Bills!N33,"AAAAAD8zdxQ=")</f>
        <v>#VALUE!</v>
      </c>
      <c r="V39" t="e">
        <f>AND(Bills!O33,"AAAAAD8zdxU=")</f>
        <v>#VALUE!</v>
      </c>
      <c r="W39" t="e">
        <f>AND(Bills!P33,"AAAAAD8zdxY=")</f>
        <v>#VALUE!</v>
      </c>
      <c r="X39" t="e">
        <f>AND(Bills!Q33,"AAAAAD8zdxc=")</f>
        <v>#VALUE!</v>
      </c>
      <c r="Y39" t="e">
        <f>AND(Bills!R33,"AAAAAD8zdxg=")</f>
        <v>#VALUE!</v>
      </c>
      <c r="Z39" t="e">
        <f>AND(Bills!S33,"AAAAAD8zdxk=")</f>
        <v>#VALUE!</v>
      </c>
      <c r="AA39" t="e">
        <f>AND(Bills!T33,"AAAAAD8zdxo=")</f>
        <v>#VALUE!</v>
      </c>
      <c r="AB39" t="e">
        <f>AND(Bills!#REF!,"AAAAAD8zdxs=")</f>
        <v>#REF!</v>
      </c>
      <c r="AC39" t="e">
        <f>AND(Bills!U33,"AAAAAD8zdxw=")</f>
        <v>#VALUE!</v>
      </c>
      <c r="AD39" t="e">
        <f>AND(Bills!V33,"AAAAAD8zdx0=")</f>
        <v>#VALUE!</v>
      </c>
      <c r="AE39" t="e">
        <f>AND(Bills!W33,"AAAAAD8zdx4=")</f>
        <v>#VALUE!</v>
      </c>
      <c r="AF39" t="e">
        <f>AND(Bills!#REF!,"AAAAAD8zdx8=")</f>
        <v>#REF!</v>
      </c>
      <c r="AG39" t="e">
        <f>AND(Bills!#REF!,"AAAAAD8zdyA=")</f>
        <v>#REF!</v>
      </c>
      <c r="AH39" t="e">
        <f>AND(Bills!Y33,"AAAAAD8zdyE=")</f>
        <v>#VALUE!</v>
      </c>
      <c r="AI39" t="e">
        <f>AND(Bills!Z33,"AAAAAD8zdyI=")</f>
        <v>#VALUE!</v>
      </c>
      <c r="AJ39" t="e">
        <f>AND(Bills!#REF!,"AAAAAD8zdyM=")</f>
        <v>#REF!</v>
      </c>
      <c r="AK39" t="e">
        <f>AND(Bills!#REF!,"AAAAAD8zdyQ=")</f>
        <v>#REF!</v>
      </c>
      <c r="AL39" t="e">
        <f>AND(Bills!#REF!,"AAAAAD8zdyU=")</f>
        <v>#REF!</v>
      </c>
      <c r="AM39" t="e">
        <f>AND(Bills!#REF!,"AAAAAD8zdyY=")</f>
        <v>#REF!</v>
      </c>
      <c r="AN39" t="e">
        <f>AND(Bills!#REF!,"AAAAAD8zdyc=")</f>
        <v>#REF!</v>
      </c>
      <c r="AO39" t="e">
        <f>AND(Bills!#REF!,"AAAAAD8zdyg=")</f>
        <v>#REF!</v>
      </c>
      <c r="AP39" t="e">
        <f>AND(Bills!#REF!,"AAAAAD8zdyk=")</f>
        <v>#REF!</v>
      </c>
      <c r="AQ39" t="e">
        <f>AND(Bills!#REF!,"AAAAAD8zdyo=")</f>
        <v>#REF!</v>
      </c>
      <c r="AR39" t="e">
        <f>AND(Bills!#REF!,"AAAAAD8zdys=")</f>
        <v>#REF!</v>
      </c>
      <c r="AS39" t="e">
        <f>AND(Bills!AA33,"AAAAAD8zdyw=")</f>
        <v>#VALUE!</v>
      </c>
      <c r="AT39" t="e">
        <f>AND(Bills!AB33,"AAAAAD8zdy0=")</f>
        <v>#VALUE!</v>
      </c>
      <c r="AU39" t="e">
        <f>AND(Bills!#REF!,"AAAAAD8zdy4=")</f>
        <v>#REF!</v>
      </c>
      <c r="AV39" t="e">
        <f>AND(Bills!#REF!,"AAAAAD8zdy8=")</f>
        <v>#REF!</v>
      </c>
      <c r="AW39" t="e">
        <f>AND(Bills!#REF!,"AAAAAD8zdzA=")</f>
        <v>#REF!</v>
      </c>
      <c r="AX39" t="e">
        <f>AND(Bills!AC33,"AAAAAD8zdzE=")</f>
        <v>#VALUE!</v>
      </c>
      <c r="AY39" t="e">
        <f>AND(Bills!AD33,"AAAAAD8zdzI=")</f>
        <v>#VALUE!</v>
      </c>
      <c r="AZ39" t="e">
        <f>AND(Bills!AE33,"AAAAAD8zdzM=")</f>
        <v>#VALUE!</v>
      </c>
      <c r="BA39">
        <f>IF(Bills!34:34,"AAAAAD8zdzQ=",0)</f>
        <v>0</v>
      </c>
      <c r="BB39" t="e">
        <f>AND(Bills!B34,"AAAAAD8zdzU=")</f>
        <v>#VALUE!</v>
      </c>
      <c r="BC39" t="e">
        <f>AND(Bills!#REF!,"AAAAAD8zdzY=")</f>
        <v>#REF!</v>
      </c>
      <c r="BD39" t="e">
        <f>AND(Bills!C34,"AAAAAD8zdzc=")</f>
        <v>#VALUE!</v>
      </c>
      <c r="BE39" t="e">
        <f>AND(Bills!D34,"AAAAAD8zdzg=")</f>
        <v>#VALUE!</v>
      </c>
      <c r="BF39" t="e">
        <f>AND(Bills!E34,"AAAAAD8zdzk=")</f>
        <v>#VALUE!</v>
      </c>
      <c r="BG39" t="e">
        <f>AND(Bills!#REF!,"AAAAAD8zdzo=")</f>
        <v>#REF!</v>
      </c>
      <c r="BH39" t="e">
        <f>AND(Bills!#REF!,"AAAAAD8zdzs=")</f>
        <v>#REF!</v>
      </c>
      <c r="BI39" t="e">
        <f>AND(Bills!#REF!,"AAAAAD8zdzw=")</f>
        <v>#REF!</v>
      </c>
      <c r="BJ39" t="e">
        <f>AND(Bills!F34,"AAAAAD8zdz0=")</f>
        <v>#VALUE!</v>
      </c>
      <c r="BK39" t="e">
        <f>AND(Bills!#REF!,"AAAAAD8zdz4=")</f>
        <v>#REF!</v>
      </c>
      <c r="BL39" t="e">
        <f>AND(Bills!G34,"AAAAAD8zdz8=")</f>
        <v>#VALUE!</v>
      </c>
      <c r="BM39" t="e">
        <f>AND(Bills!H34,"AAAAAD8zd0A=")</f>
        <v>#VALUE!</v>
      </c>
      <c r="BN39" t="e">
        <f>AND(Bills!I34,"AAAAAD8zd0E=")</f>
        <v>#VALUE!</v>
      </c>
      <c r="BO39" t="e">
        <f>AND(Bills!J34,"AAAAAD8zd0I=")</f>
        <v>#VALUE!</v>
      </c>
      <c r="BP39" t="e">
        <f>AND(Bills!K34,"AAAAAD8zd0M=")</f>
        <v>#VALUE!</v>
      </c>
      <c r="BQ39" t="e">
        <f>AND(Bills!L34,"AAAAAD8zd0Q=")</f>
        <v>#VALUE!</v>
      </c>
      <c r="BR39" t="e">
        <f>AND(Bills!#REF!,"AAAAAD8zd0U=")</f>
        <v>#REF!</v>
      </c>
      <c r="BS39" t="e">
        <f>AND(Bills!M34,"AAAAAD8zd0Y=")</f>
        <v>#VALUE!</v>
      </c>
      <c r="BT39" t="e">
        <f>AND(Bills!N34,"AAAAAD8zd0c=")</f>
        <v>#VALUE!</v>
      </c>
      <c r="BU39" t="e">
        <f>AND(Bills!O34,"AAAAAD8zd0g=")</f>
        <v>#VALUE!</v>
      </c>
      <c r="BV39" t="e">
        <f>AND(Bills!P34,"AAAAAD8zd0k=")</f>
        <v>#VALUE!</v>
      </c>
      <c r="BW39" t="e">
        <f>AND(Bills!Q34,"AAAAAD8zd0o=")</f>
        <v>#VALUE!</v>
      </c>
      <c r="BX39" t="e">
        <f>AND(Bills!R34,"AAAAAD8zd0s=")</f>
        <v>#VALUE!</v>
      </c>
      <c r="BY39" t="e">
        <f>AND(Bills!S34,"AAAAAD8zd0w=")</f>
        <v>#VALUE!</v>
      </c>
      <c r="BZ39" t="e">
        <f>AND(Bills!T34,"AAAAAD8zd00=")</f>
        <v>#VALUE!</v>
      </c>
      <c r="CA39" t="e">
        <f>AND(Bills!#REF!,"AAAAAD8zd04=")</f>
        <v>#REF!</v>
      </c>
      <c r="CB39" t="e">
        <f>AND(Bills!U34,"AAAAAD8zd08=")</f>
        <v>#VALUE!</v>
      </c>
      <c r="CC39" t="e">
        <f>AND(Bills!V34,"AAAAAD8zd1A=")</f>
        <v>#VALUE!</v>
      </c>
      <c r="CD39" t="e">
        <f>AND(Bills!W34,"AAAAAD8zd1E=")</f>
        <v>#VALUE!</v>
      </c>
      <c r="CE39" t="e">
        <f>AND(Bills!#REF!,"AAAAAD8zd1I=")</f>
        <v>#REF!</v>
      </c>
      <c r="CF39" t="e">
        <f>AND(Bills!#REF!,"AAAAAD8zd1M=")</f>
        <v>#REF!</v>
      </c>
      <c r="CG39" t="e">
        <f>AND(Bills!Y34,"AAAAAD8zd1Q=")</f>
        <v>#VALUE!</v>
      </c>
      <c r="CH39" t="e">
        <f>AND(Bills!Z34,"AAAAAD8zd1U=")</f>
        <v>#VALUE!</v>
      </c>
      <c r="CI39" t="e">
        <f>AND(Bills!#REF!,"AAAAAD8zd1Y=")</f>
        <v>#REF!</v>
      </c>
      <c r="CJ39" t="e">
        <f>AND(Bills!#REF!,"AAAAAD8zd1c=")</f>
        <v>#REF!</v>
      </c>
      <c r="CK39" t="e">
        <f>AND(Bills!#REF!,"AAAAAD8zd1g=")</f>
        <v>#REF!</v>
      </c>
      <c r="CL39" t="e">
        <f>AND(Bills!#REF!,"AAAAAD8zd1k=")</f>
        <v>#REF!</v>
      </c>
      <c r="CM39" t="e">
        <f>AND(Bills!#REF!,"AAAAAD8zd1o=")</f>
        <v>#REF!</v>
      </c>
      <c r="CN39" t="e">
        <f>AND(Bills!#REF!,"AAAAAD8zd1s=")</f>
        <v>#REF!</v>
      </c>
      <c r="CO39" t="e">
        <f>AND(Bills!#REF!,"AAAAAD8zd1w=")</f>
        <v>#REF!</v>
      </c>
      <c r="CP39" t="e">
        <f>AND(Bills!#REF!,"AAAAAD8zd10=")</f>
        <v>#REF!</v>
      </c>
      <c r="CQ39" t="e">
        <f>AND(Bills!#REF!,"AAAAAD8zd14=")</f>
        <v>#REF!</v>
      </c>
      <c r="CR39" t="e">
        <f>AND(Bills!AA34,"AAAAAD8zd18=")</f>
        <v>#VALUE!</v>
      </c>
      <c r="CS39" t="e">
        <f>AND(Bills!AB34,"AAAAAD8zd2A=")</f>
        <v>#VALUE!</v>
      </c>
      <c r="CT39" t="e">
        <f>AND(Bills!#REF!,"AAAAAD8zd2E=")</f>
        <v>#REF!</v>
      </c>
      <c r="CU39" t="e">
        <f>AND(Bills!#REF!,"AAAAAD8zd2I=")</f>
        <v>#REF!</v>
      </c>
      <c r="CV39" t="e">
        <f>AND(Bills!#REF!,"AAAAAD8zd2M=")</f>
        <v>#REF!</v>
      </c>
      <c r="CW39" t="e">
        <f>AND(Bills!AC34,"AAAAAD8zd2Q=")</f>
        <v>#VALUE!</v>
      </c>
      <c r="CX39" t="e">
        <f>AND(Bills!AD34,"AAAAAD8zd2U=")</f>
        <v>#VALUE!</v>
      </c>
      <c r="CY39" t="e">
        <f>AND(Bills!AE34,"AAAAAD8zd2Y=")</f>
        <v>#VALUE!</v>
      </c>
      <c r="CZ39">
        <f>IF(Bills!35:35,"AAAAAD8zd2c=",0)</f>
        <v>0</v>
      </c>
      <c r="DA39" t="e">
        <f>AND(Bills!B35,"AAAAAD8zd2g=")</f>
        <v>#VALUE!</v>
      </c>
      <c r="DB39" t="e">
        <f>AND(Bills!#REF!,"AAAAAD8zd2k=")</f>
        <v>#REF!</v>
      </c>
      <c r="DC39" t="e">
        <f>AND(Bills!C35,"AAAAAD8zd2o=")</f>
        <v>#VALUE!</v>
      </c>
      <c r="DD39" t="e">
        <f>AND(Bills!D35,"AAAAAD8zd2s=")</f>
        <v>#VALUE!</v>
      </c>
      <c r="DE39" t="e">
        <f>AND(Bills!E35,"AAAAAD8zd2w=")</f>
        <v>#VALUE!</v>
      </c>
      <c r="DF39" t="e">
        <f>AND(Bills!#REF!,"AAAAAD8zd20=")</f>
        <v>#REF!</v>
      </c>
      <c r="DG39" t="e">
        <f>AND(Bills!#REF!,"AAAAAD8zd24=")</f>
        <v>#REF!</v>
      </c>
      <c r="DH39" t="e">
        <f>AND(Bills!#REF!,"AAAAAD8zd28=")</f>
        <v>#REF!</v>
      </c>
      <c r="DI39" t="e">
        <f>AND(Bills!F35,"AAAAAD8zd3A=")</f>
        <v>#VALUE!</v>
      </c>
      <c r="DJ39" t="e">
        <f>AND(Bills!#REF!,"AAAAAD8zd3E=")</f>
        <v>#REF!</v>
      </c>
      <c r="DK39" t="e">
        <f>AND(Bills!G35,"AAAAAD8zd3I=")</f>
        <v>#VALUE!</v>
      </c>
      <c r="DL39" t="e">
        <f>AND(Bills!H35,"AAAAAD8zd3M=")</f>
        <v>#VALUE!</v>
      </c>
      <c r="DM39" t="e">
        <f>AND(Bills!I35,"AAAAAD8zd3Q=")</f>
        <v>#VALUE!</v>
      </c>
      <c r="DN39" t="e">
        <f>AND(Bills!J35,"AAAAAD8zd3U=")</f>
        <v>#VALUE!</v>
      </c>
      <c r="DO39" t="e">
        <f>AND(Bills!K35,"AAAAAD8zd3Y=")</f>
        <v>#VALUE!</v>
      </c>
      <c r="DP39" t="e">
        <f>AND(Bills!L35,"AAAAAD8zd3c=")</f>
        <v>#VALUE!</v>
      </c>
      <c r="DQ39" t="e">
        <f>AND(Bills!#REF!,"AAAAAD8zd3g=")</f>
        <v>#REF!</v>
      </c>
      <c r="DR39" t="e">
        <f>AND(Bills!M35,"AAAAAD8zd3k=")</f>
        <v>#VALUE!</v>
      </c>
      <c r="DS39" t="e">
        <f>AND(Bills!N35,"AAAAAD8zd3o=")</f>
        <v>#VALUE!</v>
      </c>
      <c r="DT39" t="e">
        <f>AND(Bills!O35,"AAAAAD8zd3s=")</f>
        <v>#VALUE!</v>
      </c>
      <c r="DU39" t="e">
        <f>AND(Bills!P35,"AAAAAD8zd3w=")</f>
        <v>#VALUE!</v>
      </c>
      <c r="DV39" t="e">
        <f>AND(Bills!Q35,"AAAAAD8zd30=")</f>
        <v>#VALUE!</v>
      </c>
      <c r="DW39" t="e">
        <f>AND(Bills!R35,"AAAAAD8zd34=")</f>
        <v>#VALUE!</v>
      </c>
      <c r="DX39" t="e">
        <f>AND(Bills!S35,"AAAAAD8zd38=")</f>
        <v>#VALUE!</v>
      </c>
      <c r="DY39" t="e">
        <f>AND(Bills!T35,"AAAAAD8zd4A=")</f>
        <v>#VALUE!</v>
      </c>
      <c r="DZ39" t="e">
        <f>AND(Bills!#REF!,"AAAAAD8zd4E=")</f>
        <v>#REF!</v>
      </c>
      <c r="EA39" t="e">
        <f>AND(Bills!U35,"AAAAAD8zd4I=")</f>
        <v>#VALUE!</v>
      </c>
      <c r="EB39" t="e">
        <f>AND(Bills!V35,"AAAAAD8zd4M=")</f>
        <v>#VALUE!</v>
      </c>
      <c r="EC39" t="e">
        <f>AND(Bills!W35,"AAAAAD8zd4Q=")</f>
        <v>#VALUE!</v>
      </c>
      <c r="ED39" t="e">
        <f>AND(Bills!#REF!,"AAAAAD8zd4U=")</f>
        <v>#REF!</v>
      </c>
      <c r="EE39" t="e">
        <f>AND(Bills!#REF!,"AAAAAD8zd4Y=")</f>
        <v>#REF!</v>
      </c>
      <c r="EF39" t="e">
        <f>AND(Bills!Y35,"AAAAAD8zd4c=")</f>
        <v>#VALUE!</v>
      </c>
      <c r="EG39" t="e">
        <f>AND(Bills!Z35,"AAAAAD8zd4g=")</f>
        <v>#VALUE!</v>
      </c>
      <c r="EH39" t="e">
        <f>AND(Bills!#REF!,"AAAAAD8zd4k=")</f>
        <v>#REF!</v>
      </c>
      <c r="EI39" t="e">
        <f>AND(Bills!#REF!,"AAAAAD8zd4o=")</f>
        <v>#REF!</v>
      </c>
      <c r="EJ39" t="e">
        <f>AND(Bills!#REF!,"AAAAAD8zd4s=")</f>
        <v>#REF!</v>
      </c>
      <c r="EK39" t="e">
        <f>AND(Bills!#REF!,"AAAAAD8zd4w=")</f>
        <v>#REF!</v>
      </c>
      <c r="EL39" t="e">
        <f>AND(Bills!#REF!,"AAAAAD8zd40=")</f>
        <v>#REF!</v>
      </c>
      <c r="EM39" t="e">
        <f>AND(Bills!#REF!,"AAAAAD8zd44=")</f>
        <v>#REF!</v>
      </c>
      <c r="EN39" t="e">
        <f>AND(Bills!#REF!,"AAAAAD8zd48=")</f>
        <v>#REF!</v>
      </c>
      <c r="EO39" t="e">
        <f>AND(Bills!#REF!,"AAAAAD8zd5A=")</f>
        <v>#REF!</v>
      </c>
      <c r="EP39" t="e">
        <f>AND(Bills!#REF!,"AAAAAD8zd5E=")</f>
        <v>#REF!</v>
      </c>
      <c r="EQ39" t="e">
        <f>AND(Bills!AA35,"AAAAAD8zd5I=")</f>
        <v>#VALUE!</v>
      </c>
      <c r="ER39" t="e">
        <f>AND(Bills!AB35,"AAAAAD8zd5M=")</f>
        <v>#VALUE!</v>
      </c>
      <c r="ES39" t="e">
        <f>AND(Bills!#REF!,"AAAAAD8zd5Q=")</f>
        <v>#REF!</v>
      </c>
      <c r="ET39" t="e">
        <f>AND(Bills!#REF!,"AAAAAD8zd5U=")</f>
        <v>#REF!</v>
      </c>
      <c r="EU39" t="e">
        <f>AND(Bills!#REF!,"AAAAAD8zd5Y=")</f>
        <v>#REF!</v>
      </c>
      <c r="EV39" t="e">
        <f>AND(Bills!AC35,"AAAAAD8zd5c=")</f>
        <v>#VALUE!</v>
      </c>
      <c r="EW39" t="e">
        <f>AND(Bills!AD35,"AAAAAD8zd5g=")</f>
        <v>#VALUE!</v>
      </c>
      <c r="EX39" t="e">
        <f>AND(Bills!AE35,"AAAAAD8zd5k=")</f>
        <v>#VALUE!</v>
      </c>
      <c r="EY39">
        <f>IF(Bills!36:36,"AAAAAD8zd5o=",0)</f>
        <v>0</v>
      </c>
      <c r="EZ39" t="e">
        <f>AND(Bills!B36,"AAAAAD8zd5s=")</f>
        <v>#VALUE!</v>
      </c>
      <c r="FA39" t="e">
        <f>AND(Bills!#REF!,"AAAAAD8zd5w=")</f>
        <v>#REF!</v>
      </c>
      <c r="FB39" t="e">
        <f>AND(Bills!C36,"AAAAAD8zd50=")</f>
        <v>#VALUE!</v>
      </c>
      <c r="FC39" t="e">
        <f>AND(Bills!D36,"AAAAAD8zd54=")</f>
        <v>#VALUE!</v>
      </c>
      <c r="FD39" t="e">
        <f>AND(Bills!E36,"AAAAAD8zd58=")</f>
        <v>#VALUE!</v>
      </c>
      <c r="FE39" t="e">
        <f>AND(Bills!#REF!,"AAAAAD8zd6A=")</f>
        <v>#REF!</v>
      </c>
      <c r="FF39" t="e">
        <f>AND(Bills!#REF!,"AAAAAD8zd6E=")</f>
        <v>#REF!</v>
      </c>
      <c r="FG39" t="e">
        <f>AND(Bills!#REF!,"AAAAAD8zd6I=")</f>
        <v>#REF!</v>
      </c>
      <c r="FH39" t="e">
        <f>AND(Bills!F36,"AAAAAD8zd6M=")</f>
        <v>#VALUE!</v>
      </c>
      <c r="FI39" t="e">
        <f>AND(Bills!#REF!,"AAAAAD8zd6Q=")</f>
        <v>#REF!</v>
      </c>
      <c r="FJ39" t="e">
        <f>AND(Bills!G36,"AAAAAD8zd6U=")</f>
        <v>#VALUE!</v>
      </c>
      <c r="FK39" t="e">
        <f>AND(Bills!H36,"AAAAAD8zd6Y=")</f>
        <v>#VALUE!</v>
      </c>
      <c r="FL39" t="e">
        <f>AND(Bills!I36,"AAAAAD8zd6c=")</f>
        <v>#VALUE!</v>
      </c>
      <c r="FM39" t="e">
        <f>AND(Bills!J36,"AAAAAD8zd6g=")</f>
        <v>#VALUE!</v>
      </c>
      <c r="FN39" t="e">
        <f>AND(Bills!K36,"AAAAAD8zd6k=")</f>
        <v>#VALUE!</v>
      </c>
      <c r="FO39" t="e">
        <f>AND(Bills!L36,"AAAAAD8zd6o=")</f>
        <v>#VALUE!</v>
      </c>
      <c r="FP39" t="e">
        <f>AND(Bills!#REF!,"AAAAAD8zd6s=")</f>
        <v>#REF!</v>
      </c>
      <c r="FQ39" t="e">
        <f>AND(Bills!M36,"AAAAAD8zd6w=")</f>
        <v>#VALUE!</v>
      </c>
      <c r="FR39" t="e">
        <f>AND(Bills!N36,"AAAAAD8zd60=")</f>
        <v>#VALUE!</v>
      </c>
      <c r="FS39" t="e">
        <f>AND(Bills!O36,"AAAAAD8zd64=")</f>
        <v>#VALUE!</v>
      </c>
      <c r="FT39" t="e">
        <f>AND(Bills!P36,"AAAAAD8zd68=")</f>
        <v>#VALUE!</v>
      </c>
      <c r="FU39" t="e">
        <f>AND(Bills!Q36,"AAAAAD8zd7A=")</f>
        <v>#VALUE!</v>
      </c>
      <c r="FV39" t="e">
        <f>AND(Bills!R36,"AAAAAD8zd7E=")</f>
        <v>#VALUE!</v>
      </c>
      <c r="FW39" t="e">
        <f>AND(Bills!S36,"AAAAAD8zd7I=")</f>
        <v>#VALUE!</v>
      </c>
      <c r="FX39" t="e">
        <f>AND(Bills!T36,"AAAAAD8zd7M=")</f>
        <v>#VALUE!</v>
      </c>
      <c r="FY39" t="e">
        <f>AND(Bills!#REF!,"AAAAAD8zd7Q=")</f>
        <v>#REF!</v>
      </c>
      <c r="FZ39" t="e">
        <f>AND(Bills!U36,"AAAAAD8zd7U=")</f>
        <v>#VALUE!</v>
      </c>
      <c r="GA39" t="e">
        <f>AND(Bills!V36,"AAAAAD8zd7Y=")</f>
        <v>#VALUE!</v>
      </c>
      <c r="GB39" t="e">
        <f>AND(Bills!W36,"AAAAAD8zd7c=")</f>
        <v>#VALUE!</v>
      </c>
      <c r="GC39" t="e">
        <f>AND(Bills!#REF!,"AAAAAD8zd7g=")</f>
        <v>#REF!</v>
      </c>
      <c r="GD39" t="e">
        <f>AND(Bills!#REF!,"AAAAAD8zd7k=")</f>
        <v>#REF!</v>
      </c>
      <c r="GE39" t="e">
        <f>AND(Bills!Y36,"AAAAAD8zd7o=")</f>
        <v>#VALUE!</v>
      </c>
      <c r="GF39" t="e">
        <f>AND(Bills!Z36,"AAAAAD8zd7s=")</f>
        <v>#VALUE!</v>
      </c>
      <c r="GG39" t="e">
        <f>AND(Bills!#REF!,"AAAAAD8zd7w=")</f>
        <v>#REF!</v>
      </c>
      <c r="GH39" t="e">
        <f>AND(Bills!#REF!,"AAAAAD8zd70=")</f>
        <v>#REF!</v>
      </c>
      <c r="GI39" t="e">
        <f>AND(Bills!#REF!,"AAAAAD8zd74=")</f>
        <v>#REF!</v>
      </c>
      <c r="GJ39" t="e">
        <f>AND(Bills!#REF!,"AAAAAD8zd78=")</f>
        <v>#REF!</v>
      </c>
      <c r="GK39" t="e">
        <f>AND(Bills!#REF!,"AAAAAD8zd8A=")</f>
        <v>#REF!</v>
      </c>
      <c r="GL39" t="e">
        <f>AND(Bills!#REF!,"AAAAAD8zd8E=")</f>
        <v>#REF!</v>
      </c>
      <c r="GM39" t="e">
        <f>AND(Bills!#REF!,"AAAAAD8zd8I=")</f>
        <v>#REF!</v>
      </c>
      <c r="GN39" t="e">
        <f>AND(Bills!#REF!,"AAAAAD8zd8M=")</f>
        <v>#REF!</v>
      </c>
      <c r="GO39" t="e">
        <f>AND(Bills!#REF!,"AAAAAD8zd8Q=")</f>
        <v>#REF!</v>
      </c>
      <c r="GP39" t="e">
        <f>AND(Bills!AA36,"AAAAAD8zd8U=")</f>
        <v>#VALUE!</v>
      </c>
      <c r="GQ39" t="e">
        <f>AND(Bills!AB36,"AAAAAD8zd8Y=")</f>
        <v>#VALUE!</v>
      </c>
      <c r="GR39" t="e">
        <f>AND(Bills!#REF!,"AAAAAD8zd8c=")</f>
        <v>#REF!</v>
      </c>
      <c r="GS39" t="e">
        <f>AND(Bills!#REF!,"AAAAAD8zd8g=")</f>
        <v>#REF!</v>
      </c>
      <c r="GT39" t="e">
        <f>AND(Bills!#REF!,"AAAAAD8zd8k=")</f>
        <v>#REF!</v>
      </c>
      <c r="GU39" t="e">
        <f>AND(Bills!AC36,"AAAAAD8zd8o=")</f>
        <v>#VALUE!</v>
      </c>
      <c r="GV39" t="e">
        <f>AND(Bills!AD36,"AAAAAD8zd8s=")</f>
        <v>#VALUE!</v>
      </c>
      <c r="GW39" t="e">
        <f>AND(Bills!AE36,"AAAAAD8zd8w=")</f>
        <v>#VALUE!</v>
      </c>
      <c r="GX39">
        <f>IF(Bills!37:37,"AAAAAD8zd80=",0)</f>
        <v>0</v>
      </c>
      <c r="GY39" t="e">
        <f>AND(Bills!B37,"AAAAAD8zd84=")</f>
        <v>#VALUE!</v>
      </c>
      <c r="GZ39" t="e">
        <f>AND(Bills!#REF!,"AAAAAD8zd88=")</f>
        <v>#REF!</v>
      </c>
      <c r="HA39" t="e">
        <f>AND(Bills!C37,"AAAAAD8zd9A=")</f>
        <v>#VALUE!</v>
      </c>
      <c r="HB39" t="e">
        <f>AND(Bills!D37,"AAAAAD8zd9E=")</f>
        <v>#VALUE!</v>
      </c>
      <c r="HC39" t="e">
        <f>AND(Bills!E37,"AAAAAD8zd9I=")</f>
        <v>#VALUE!</v>
      </c>
      <c r="HD39" t="e">
        <f>AND(Bills!#REF!,"AAAAAD8zd9M=")</f>
        <v>#REF!</v>
      </c>
      <c r="HE39" t="e">
        <f>AND(Bills!#REF!,"AAAAAD8zd9Q=")</f>
        <v>#REF!</v>
      </c>
      <c r="HF39" t="e">
        <f>AND(Bills!#REF!,"AAAAAD8zd9U=")</f>
        <v>#REF!</v>
      </c>
      <c r="HG39" t="e">
        <f>AND(Bills!F37,"AAAAAD8zd9Y=")</f>
        <v>#VALUE!</v>
      </c>
      <c r="HH39" t="e">
        <f>AND(Bills!#REF!,"AAAAAD8zd9c=")</f>
        <v>#REF!</v>
      </c>
      <c r="HI39" t="e">
        <f>AND(Bills!G37,"AAAAAD8zd9g=")</f>
        <v>#VALUE!</v>
      </c>
      <c r="HJ39" t="e">
        <f>AND(Bills!H37,"AAAAAD8zd9k=")</f>
        <v>#VALUE!</v>
      </c>
      <c r="HK39" t="e">
        <f>AND(Bills!I37,"AAAAAD8zd9o=")</f>
        <v>#VALUE!</v>
      </c>
      <c r="HL39" t="e">
        <f>AND(Bills!J37,"AAAAAD8zd9s=")</f>
        <v>#VALUE!</v>
      </c>
      <c r="HM39" t="e">
        <f>AND(Bills!K37,"AAAAAD8zd9w=")</f>
        <v>#VALUE!</v>
      </c>
      <c r="HN39" t="e">
        <f>AND(Bills!L37,"AAAAAD8zd90=")</f>
        <v>#VALUE!</v>
      </c>
      <c r="HO39" t="e">
        <f>AND(Bills!#REF!,"AAAAAD8zd94=")</f>
        <v>#REF!</v>
      </c>
      <c r="HP39" t="e">
        <f>AND(Bills!M37,"AAAAAD8zd98=")</f>
        <v>#VALUE!</v>
      </c>
      <c r="HQ39" t="e">
        <f>AND(Bills!N37,"AAAAAD8zd+A=")</f>
        <v>#VALUE!</v>
      </c>
      <c r="HR39" t="e">
        <f>AND(Bills!O37,"AAAAAD8zd+E=")</f>
        <v>#VALUE!</v>
      </c>
      <c r="HS39" t="e">
        <f>AND(Bills!P37,"AAAAAD8zd+I=")</f>
        <v>#VALUE!</v>
      </c>
      <c r="HT39" t="e">
        <f>AND(Bills!Q37,"AAAAAD8zd+M=")</f>
        <v>#VALUE!</v>
      </c>
      <c r="HU39" t="e">
        <f>AND(Bills!R37,"AAAAAD8zd+Q=")</f>
        <v>#VALUE!</v>
      </c>
      <c r="HV39" t="e">
        <f>AND(Bills!S37,"AAAAAD8zd+U=")</f>
        <v>#VALUE!</v>
      </c>
      <c r="HW39" t="e">
        <f>AND(Bills!T37,"AAAAAD8zd+Y=")</f>
        <v>#VALUE!</v>
      </c>
      <c r="HX39" t="e">
        <f>AND(Bills!#REF!,"AAAAAD8zd+c=")</f>
        <v>#REF!</v>
      </c>
      <c r="HY39" t="e">
        <f>AND(Bills!U37,"AAAAAD8zd+g=")</f>
        <v>#VALUE!</v>
      </c>
      <c r="HZ39" t="e">
        <f>AND(Bills!V37,"AAAAAD8zd+k=")</f>
        <v>#VALUE!</v>
      </c>
      <c r="IA39" t="e">
        <f>AND(Bills!W37,"AAAAAD8zd+o=")</f>
        <v>#VALUE!</v>
      </c>
      <c r="IB39" t="e">
        <f>AND(Bills!#REF!,"AAAAAD8zd+s=")</f>
        <v>#REF!</v>
      </c>
      <c r="IC39" t="e">
        <f>AND(Bills!#REF!,"AAAAAD8zd+w=")</f>
        <v>#REF!</v>
      </c>
      <c r="ID39" t="e">
        <f>AND(Bills!Y37,"AAAAAD8zd+0=")</f>
        <v>#VALUE!</v>
      </c>
      <c r="IE39" t="e">
        <f>AND(Bills!Z37,"AAAAAD8zd+4=")</f>
        <v>#VALUE!</v>
      </c>
      <c r="IF39" t="e">
        <f>AND(Bills!#REF!,"AAAAAD8zd+8=")</f>
        <v>#REF!</v>
      </c>
      <c r="IG39" t="e">
        <f>AND(Bills!#REF!,"AAAAAD8zd/A=")</f>
        <v>#REF!</v>
      </c>
      <c r="IH39" t="e">
        <f>AND(Bills!#REF!,"AAAAAD8zd/E=")</f>
        <v>#REF!</v>
      </c>
      <c r="II39" t="e">
        <f>AND(Bills!#REF!,"AAAAAD8zd/I=")</f>
        <v>#REF!</v>
      </c>
      <c r="IJ39" t="e">
        <f>AND(Bills!#REF!,"AAAAAD8zd/M=")</f>
        <v>#REF!</v>
      </c>
      <c r="IK39" t="e">
        <f>AND(Bills!#REF!,"AAAAAD8zd/Q=")</f>
        <v>#REF!</v>
      </c>
      <c r="IL39" t="e">
        <f>AND(Bills!#REF!,"AAAAAD8zd/U=")</f>
        <v>#REF!</v>
      </c>
      <c r="IM39" t="e">
        <f>AND(Bills!#REF!,"AAAAAD8zd/Y=")</f>
        <v>#REF!</v>
      </c>
      <c r="IN39" t="e">
        <f>AND(Bills!#REF!,"AAAAAD8zd/c=")</f>
        <v>#REF!</v>
      </c>
      <c r="IO39" t="e">
        <f>AND(Bills!AA37,"AAAAAD8zd/g=")</f>
        <v>#VALUE!</v>
      </c>
      <c r="IP39" t="e">
        <f>AND(Bills!AB37,"AAAAAD8zd/k=")</f>
        <v>#VALUE!</v>
      </c>
      <c r="IQ39" t="e">
        <f>AND(Bills!#REF!,"AAAAAD8zd/o=")</f>
        <v>#REF!</v>
      </c>
      <c r="IR39" t="e">
        <f>AND(Bills!#REF!,"AAAAAD8zd/s=")</f>
        <v>#REF!</v>
      </c>
      <c r="IS39" t="e">
        <f>AND(Bills!#REF!,"AAAAAD8zd/w=")</f>
        <v>#REF!</v>
      </c>
      <c r="IT39" t="e">
        <f>AND(Bills!AC37,"AAAAAD8zd/0=")</f>
        <v>#VALUE!</v>
      </c>
      <c r="IU39" t="e">
        <f>AND(Bills!AD37,"AAAAAD8zd/4=")</f>
        <v>#VALUE!</v>
      </c>
      <c r="IV39" t="e">
        <f>AND(Bills!AE37,"AAAAAD8zd/8=")</f>
        <v>#VALUE!</v>
      </c>
    </row>
    <row r="40" spans="1:256" x14ac:dyDescent="0.25">
      <c r="A40">
        <f>IF(Bills!38:38,"AAAAADqr6AA=",0)</f>
        <v>0</v>
      </c>
      <c r="B40" t="e">
        <f>AND(Bills!B38,"AAAAADqr6AE=")</f>
        <v>#VALUE!</v>
      </c>
      <c r="C40" t="e">
        <f>AND(Bills!#REF!,"AAAAADqr6AI=")</f>
        <v>#REF!</v>
      </c>
      <c r="D40" t="e">
        <f>AND(Bills!C38,"AAAAADqr6AM=")</f>
        <v>#VALUE!</v>
      </c>
      <c r="E40" t="e">
        <f>AND(Bills!D38,"AAAAADqr6AQ=")</f>
        <v>#VALUE!</v>
      </c>
      <c r="F40" t="e">
        <f>AND(Bills!E38,"AAAAADqr6AU=")</f>
        <v>#VALUE!</v>
      </c>
      <c r="G40" t="e">
        <f>AND(Bills!#REF!,"AAAAADqr6AY=")</f>
        <v>#REF!</v>
      </c>
      <c r="H40" t="e">
        <f>AND(Bills!#REF!,"AAAAADqr6Ac=")</f>
        <v>#REF!</v>
      </c>
      <c r="I40" t="e">
        <f>AND(Bills!#REF!,"AAAAADqr6Ag=")</f>
        <v>#REF!</v>
      </c>
      <c r="J40" t="e">
        <f>AND(Bills!F38,"AAAAADqr6Ak=")</f>
        <v>#VALUE!</v>
      </c>
      <c r="K40" t="e">
        <f>AND(Bills!#REF!,"AAAAADqr6Ao=")</f>
        <v>#REF!</v>
      </c>
      <c r="L40" t="e">
        <f>AND(Bills!G38,"AAAAADqr6As=")</f>
        <v>#VALUE!</v>
      </c>
      <c r="M40" t="e">
        <f>AND(Bills!H38,"AAAAADqr6Aw=")</f>
        <v>#VALUE!</v>
      </c>
      <c r="N40" t="e">
        <f>AND(Bills!I38,"AAAAADqr6A0=")</f>
        <v>#VALUE!</v>
      </c>
      <c r="O40" t="e">
        <f>AND(Bills!J38,"AAAAADqr6A4=")</f>
        <v>#VALUE!</v>
      </c>
      <c r="P40" t="e">
        <f>AND(Bills!K38,"AAAAADqr6A8=")</f>
        <v>#VALUE!</v>
      </c>
      <c r="Q40" t="e">
        <f>AND(Bills!L38,"AAAAADqr6BA=")</f>
        <v>#VALUE!</v>
      </c>
      <c r="R40" t="e">
        <f>AND(Bills!#REF!,"AAAAADqr6BE=")</f>
        <v>#REF!</v>
      </c>
      <c r="S40" t="e">
        <f>AND(Bills!M38,"AAAAADqr6BI=")</f>
        <v>#VALUE!</v>
      </c>
      <c r="T40" t="e">
        <f>AND(Bills!N38,"AAAAADqr6BM=")</f>
        <v>#VALUE!</v>
      </c>
      <c r="U40" t="e">
        <f>AND(Bills!O38,"AAAAADqr6BQ=")</f>
        <v>#VALUE!</v>
      </c>
      <c r="V40" t="e">
        <f>AND(Bills!P38,"AAAAADqr6BU=")</f>
        <v>#VALUE!</v>
      </c>
      <c r="W40" t="e">
        <f>AND(Bills!Q38,"AAAAADqr6BY=")</f>
        <v>#VALUE!</v>
      </c>
      <c r="X40" t="e">
        <f>AND(Bills!R38,"AAAAADqr6Bc=")</f>
        <v>#VALUE!</v>
      </c>
      <c r="Y40" t="e">
        <f>AND(Bills!S38,"AAAAADqr6Bg=")</f>
        <v>#VALUE!</v>
      </c>
      <c r="Z40" t="e">
        <f>AND(Bills!T38,"AAAAADqr6Bk=")</f>
        <v>#VALUE!</v>
      </c>
      <c r="AA40" t="e">
        <f>AND(Bills!#REF!,"AAAAADqr6Bo=")</f>
        <v>#REF!</v>
      </c>
      <c r="AB40" t="e">
        <f>AND(Bills!U38,"AAAAADqr6Bs=")</f>
        <v>#VALUE!</v>
      </c>
      <c r="AC40" t="e">
        <f>AND(Bills!V38,"AAAAADqr6Bw=")</f>
        <v>#VALUE!</v>
      </c>
      <c r="AD40" t="e">
        <f>AND(Bills!W38,"AAAAADqr6B0=")</f>
        <v>#VALUE!</v>
      </c>
      <c r="AE40" t="e">
        <f>AND(Bills!#REF!,"AAAAADqr6B4=")</f>
        <v>#REF!</v>
      </c>
      <c r="AF40" t="e">
        <f>AND(Bills!#REF!,"AAAAADqr6B8=")</f>
        <v>#REF!</v>
      </c>
      <c r="AG40" t="e">
        <f>AND(Bills!Y38,"AAAAADqr6CA=")</f>
        <v>#VALUE!</v>
      </c>
      <c r="AH40" t="e">
        <f>AND(Bills!Z38,"AAAAADqr6CE=")</f>
        <v>#VALUE!</v>
      </c>
      <c r="AI40" t="e">
        <f>AND(Bills!#REF!,"AAAAADqr6CI=")</f>
        <v>#REF!</v>
      </c>
      <c r="AJ40" t="e">
        <f>AND(Bills!#REF!,"AAAAADqr6CM=")</f>
        <v>#REF!</v>
      </c>
      <c r="AK40" t="e">
        <f>AND(Bills!#REF!,"AAAAADqr6CQ=")</f>
        <v>#REF!</v>
      </c>
      <c r="AL40" t="e">
        <f>AND(Bills!#REF!,"AAAAADqr6CU=")</f>
        <v>#REF!</v>
      </c>
      <c r="AM40" t="e">
        <f>AND(Bills!#REF!,"AAAAADqr6CY=")</f>
        <v>#REF!</v>
      </c>
      <c r="AN40" t="e">
        <f>AND(Bills!#REF!,"AAAAADqr6Cc=")</f>
        <v>#REF!</v>
      </c>
      <c r="AO40" t="e">
        <f>AND(Bills!#REF!,"AAAAADqr6Cg=")</f>
        <v>#REF!</v>
      </c>
      <c r="AP40" t="e">
        <f>AND(Bills!#REF!,"AAAAADqr6Ck=")</f>
        <v>#REF!</v>
      </c>
      <c r="AQ40" t="e">
        <f>AND(Bills!#REF!,"AAAAADqr6Co=")</f>
        <v>#REF!</v>
      </c>
      <c r="AR40" t="e">
        <f>AND(Bills!AA38,"AAAAADqr6Cs=")</f>
        <v>#VALUE!</v>
      </c>
      <c r="AS40" t="e">
        <f>AND(Bills!AB38,"AAAAADqr6Cw=")</f>
        <v>#VALUE!</v>
      </c>
      <c r="AT40" t="e">
        <f>AND(Bills!#REF!,"AAAAADqr6C0=")</f>
        <v>#REF!</v>
      </c>
      <c r="AU40" t="e">
        <f>AND(Bills!#REF!,"AAAAADqr6C4=")</f>
        <v>#REF!</v>
      </c>
      <c r="AV40" t="e">
        <f>AND(Bills!#REF!,"AAAAADqr6C8=")</f>
        <v>#REF!</v>
      </c>
      <c r="AW40" t="e">
        <f>AND(Bills!AC38,"AAAAADqr6DA=")</f>
        <v>#VALUE!</v>
      </c>
      <c r="AX40" t="e">
        <f>AND(Bills!AD38,"AAAAADqr6DE=")</f>
        <v>#VALUE!</v>
      </c>
      <c r="AY40" t="e">
        <f>AND(Bills!AE38,"AAAAADqr6DI=")</f>
        <v>#VALUE!</v>
      </c>
      <c r="AZ40">
        <f>IF(Bills!39:39,"AAAAADqr6DM=",0)</f>
        <v>0</v>
      </c>
      <c r="BA40" t="e">
        <f>AND(Bills!B39,"AAAAADqr6DQ=")</f>
        <v>#VALUE!</v>
      </c>
      <c r="BB40" t="e">
        <f>AND(Bills!#REF!,"AAAAADqr6DU=")</f>
        <v>#REF!</v>
      </c>
      <c r="BC40" t="e">
        <f>AND(Bills!C39,"AAAAADqr6DY=")</f>
        <v>#VALUE!</v>
      </c>
      <c r="BD40" t="e">
        <f>AND(Bills!D39,"AAAAADqr6Dc=")</f>
        <v>#VALUE!</v>
      </c>
      <c r="BE40" t="e">
        <f>AND(Bills!E39,"AAAAADqr6Dg=")</f>
        <v>#VALUE!</v>
      </c>
      <c r="BF40" t="e">
        <f>AND(Bills!#REF!,"AAAAADqr6Dk=")</f>
        <v>#REF!</v>
      </c>
      <c r="BG40" t="e">
        <f>AND(Bills!#REF!,"AAAAADqr6Do=")</f>
        <v>#REF!</v>
      </c>
      <c r="BH40" t="e">
        <f>AND(Bills!#REF!,"AAAAADqr6Ds=")</f>
        <v>#REF!</v>
      </c>
      <c r="BI40" t="e">
        <f>AND(Bills!F39,"AAAAADqr6Dw=")</f>
        <v>#VALUE!</v>
      </c>
      <c r="BJ40" t="e">
        <f>AND(Bills!#REF!,"AAAAADqr6D0=")</f>
        <v>#REF!</v>
      </c>
      <c r="BK40" t="e">
        <f>AND(Bills!G39,"AAAAADqr6D4=")</f>
        <v>#VALUE!</v>
      </c>
      <c r="BL40" t="e">
        <f>AND(Bills!H39,"AAAAADqr6D8=")</f>
        <v>#VALUE!</v>
      </c>
      <c r="BM40" t="e">
        <f>AND(Bills!I39,"AAAAADqr6EA=")</f>
        <v>#VALUE!</v>
      </c>
      <c r="BN40" t="e">
        <f>AND(Bills!J39,"AAAAADqr6EE=")</f>
        <v>#VALUE!</v>
      </c>
      <c r="BO40" t="e">
        <f>AND(Bills!K39,"AAAAADqr6EI=")</f>
        <v>#VALUE!</v>
      </c>
      <c r="BP40" t="e">
        <f>AND(Bills!L39,"AAAAADqr6EM=")</f>
        <v>#VALUE!</v>
      </c>
      <c r="BQ40" t="e">
        <f>AND(Bills!#REF!,"AAAAADqr6EQ=")</f>
        <v>#REF!</v>
      </c>
      <c r="BR40" t="e">
        <f>AND(Bills!M39,"AAAAADqr6EU=")</f>
        <v>#VALUE!</v>
      </c>
      <c r="BS40" t="e">
        <f>AND(Bills!N39,"AAAAADqr6EY=")</f>
        <v>#VALUE!</v>
      </c>
      <c r="BT40" t="e">
        <f>AND(Bills!O39,"AAAAADqr6Ec=")</f>
        <v>#VALUE!</v>
      </c>
      <c r="BU40" t="e">
        <f>AND(Bills!P39,"AAAAADqr6Eg=")</f>
        <v>#VALUE!</v>
      </c>
      <c r="BV40" t="e">
        <f>AND(Bills!Q39,"AAAAADqr6Ek=")</f>
        <v>#VALUE!</v>
      </c>
      <c r="BW40" t="e">
        <f>AND(Bills!R39,"AAAAADqr6Eo=")</f>
        <v>#VALUE!</v>
      </c>
      <c r="BX40" t="e">
        <f>AND(Bills!S39,"AAAAADqr6Es=")</f>
        <v>#VALUE!</v>
      </c>
      <c r="BY40" t="e">
        <f>AND(Bills!T39,"AAAAADqr6Ew=")</f>
        <v>#VALUE!</v>
      </c>
      <c r="BZ40" t="e">
        <f>AND(Bills!#REF!,"AAAAADqr6E0=")</f>
        <v>#REF!</v>
      </c>
      <c r="CA40" t="e">
        <f>AND(Bills!U39,"AAAAADqr6E4=")</f>
        <v>#VALUE!</v>
      </c>
      <c r="CB40" t="e">
        <f>AND(Bills!V39,"AAAAADqr6E8=")</f>
        <v>#VALUE!</v>
      </c>
      <c r="CC40" t="e">
        <f>AND(Bills!W39,"AAAAADqr6FA=")</f>
        <v>#VALUE!</v>
      </c>
      <c r="CD40" t="e">
        <f>AND(Bills!#REF!,"AAAAADqr6FE=")</f>
        <v>#REF!</v>
      </c>
      <c r="CE40" t="e">
        <f>AND(Bills!#REF!,"AAAAADqr6FI=")</f>
        <v>#REF!</v>
      </c>
      <c r="CF40" t="e">
        <f>AND(Bills!Y39,"AAAAADqr6FM=")</f>
        <v>#VALUE!</v>
      </c>
      <c r="CG40" t="e">
        <f>AND(Bills!Z39,"AAAAADqr6FQ=")</f>
        <v>#VALUE!</v>
      </c>
      <c r="CH40" t="e">
        <f>AND(Bills!#REF!,"AAAAADqr6FU=")</f>
        <v>#REF!</v>
      </c>
      <c r="CI40" t="e">
        <f>AND(Bills!#REF!,"AAAAADqr6FY=")</f>
        <v>#REF!</v>
      </c>
      <c r="CJ40" t="e">
        <f>AND(Bills!#REF!,"AAAAADqr6Fc=")</f>
        <v>#REF!</v>
      </c>
      <c r="CK40" t="e">
        <f>AND(Bills!#REF!,"AAAAADqr6Fg=")</f>
        <v>#REF!</v>
      </c>
      <c r="CL40" t="e">
        <f>AND(Bills!#REF!,"AAAAADqr6Fk=")</f>
        <v>#REF!</v>
      </c>
      <c r="CM40" t="e">
        <f>AND(Bills!#REF!,"AAAAADqr6Fo=")</f>
        <v>#REF!</v>
      </c>
      <c r="CN40" t="e">
        <f>AND(Bills!#REF!,"AAAAADqr6Fs=")</f>
        <v>#REF!</v>
      </c>
      <c r="CO40" t="e">
        <f>AND(Bills!#REF!,"AAAAADqr6Fw=")</f>
        <v>#REF!</v>
      </c>
      <c r="CP40" t="e">
        <f>AND(Bills!#REF!,"AAAAADqr6F0=")</f>
        <v>#REF!</v>
      </c>
      <c r="CQ40" t="e">
        <f>AND(Bills!AA39,"AAAAADqr6F4=")</f>
        <v>#VALUE!</v>
      </c>
      <c r="CR40" t="e">
        <f>AND(Bills!AB39,"AAAAADqr6F8=")</f>
        <v>#VALUE!</v>
      </c>
      <c r="CS40" t="e">
        <f>AND(Bills!#REF!,"AAAAADqr6GA=")</f>
        <v>#REF!</v>
      </c>
      <c r="CT40" t="e">
        <f>AND(Bills!#REF!,"AAAAADqr6GE=")</f>
        <v>#REF!</v>
      </c>
      <c r="CU40" t="e">
        <f>AND(Bills!#REF!,"AAAAADqr6GI=")</f>
        <v>#REF!</v>
      </c>
      <c r="CV40" t="e">
        <f>AND(Bills!AC39,"AAAAADqr6GM=")</f>
        <v>#VALUE!</v>
      </c>
      <c r="CW40" t="e">
        <f>AND(Bills!AD39,"AAAAADqr6GQ=")</f>
        <v>#VALUE!</v>
      </c>
      <c r="CX40" t="e">
        <f>AND(Bills!AE39,"AAAAADqr6GU=")</f>
        <v>#VALUE!</v>
      </c>
      <c r="CY40">
        <f>IF(Bills!40:40,"AAAAADqr6GY=",0)</f>
        <v>0</v>
      </c>
      <c r="CZ40" t="e">
        <f>AND(Bills!B40,"AAAAADqr6Gc=")</f>
        <v>#VALUE!</v>
      </c>
      <c r="DA40" t="e">
        <f>AND(Bills!#REF!,"AAAAADqr6Gg=")</f>
        <v>#REF!</v>
      </c>
      <c r="DB40" t="e">
        <f>AND(Bills!C40,"AAAAADqr6Gk=")</f>
        <v>#VALUE!</v>
      </c>
      <c r="DC40" t="e">
        <f>AND(Bills!D40,"AAAAADqr6Go=")</f>
        <v>#VALUE!</v>
      </c>
      <c r="DD40" t="e">
        <f>AND(Bills!E40,"AAAAADqr6Gs=")</f>
        <v>#VALUE!</v>
      </c>
      <c r="DE40" t="e">
        <f>AND(Bills!#REF!,"AAAAADqr6Gw=")</f>
        <v>#REF!</v>
      </c>
      <c r="DF40" t="e">
        <f>AND(Bills!#REF!,"AAAAADqr6G0=")</f>
        <v>#REF!</v>
      </c>
      <c r="DG40" t="e">
        <f>AND(Bills!#REF!,"AAAAADqr6G4=")</f>
        <v>#REF!</v>
      </c>
      <c r="DH40" t="e">
        <f>AND(Bills!F40,"AAAAADqr6G8=")</f>
        <v>#VALUE!</v>
      </c>
      <c r="DI40" t="e">
        <f>AND(Bills!#REF!,"AAAAADqr6HA=")</f>
        <v>#REF!</v>
      </c>
      <c r="DJ40" t="e">
        <f>AND(Bills!G40,"AAAAADqr6HE=")</f>
        <v>#VALUE!</v>
      </c>
      <c r="DK40" t="e">
        <f>AND(Bills!H40,"AAAAADqr6HI=")</f>
        <v>#VALUE!</v>
      </c>
      <c r="DL40" t="e">
        <f>AND(Bills!I40,"AAAAADqr6HM=")</f>
        <v>#VALUE!</v>
      </c>
      <c r="DM40" t="e">
        <f>AND(Bills!J40,"AAAAADqr6HQ=")</f>
        <v>#VALUE!</v>
      </c>
      <c r="DN40" t="e">
        <f>AND(Bills!K40,"AAAAADqr6HU=")</f>
        <v>#VALUE!</v>
      </c>
      <c r="DO40" t="e">
        <f>AND(Bills!L40,"AAAAADqr6HY=")</f>
        <v>#VALUE!</v>
      </c>
      <c r="DP40" t="e">
        <f>AND(Bills!#REF!,"AAAAADqr6Hc=")</f>
        <v>#REF!</v>
      </c>
      <c r="DQ40" t="e">
        <f>AND(Bills!M40,"AAAAADqr6Hg=")</f>
        <v>#VALUE!</v>
      </c>
      <c r="DR40" t="e">
        <f>AND(Bills!N40,"AAAAADqr6Hk=")</f>
        <v>#VALUE!</v>
      </c>
      <c r="DS40" t="e">
        <f>AND(Bills!O40,"AAAAADqr6Ho=")</f>
        <v>#VALUE!</v>
      </c>
      <c r="DT40" t="e">
        <f>AND(Bills!P40,"AAAAADqr6Hs=")</f>
        <v>#VALUE!</v>
      </c>
      <c r="DU40" t="e">
        <f>AND(Bills!Q40,"AAAAADqr6Hw=")</f>
        <v>#VALUE!</v>
      </c>
      <c r="DV40" t="e">
        <f>AND(Bills!R40,"AAAAADqr6H0=")</f>
        <v>#VALUE!</v>
      </c>
      <c r="DW40" t="e">
        <f>AND(Bills!S40,"AAAAADqr6H4=")</f>
        <v>#VALUE!</v>
      </c>
      <c r="DX40" t="e">
        <f>AND(Bills!T40,"AAAAADqr6H8=")</f>
        <v>#VALUE!</v>
      </c>
      <c r="DY40" t="e">
        <f>AND(Bills!#REF!,"AAAAADqr6IA=")</f>
        <v>#REF!</v>
      </c>
      <c r="DZ40" t="e">
        <f>AND(Bills!U40,"AAAAADqr6IE=")</f>
        <v>#VALUE!</v>
      </c>
      <c r="EA40" t="e">
        <f>AND(Bills!V40,"AAAAADqr6II=")</f>
        <v>#VALUE!</v>
      </c>
      <c r="EB40" t="e">
        <f>AND(Bills!W40,"AAAAADqr6IM=")</f>
        <v>#VALUE!</v>
      </c>
      <c r="EC40" t="e">
        <f>AND(Bills!#REF!,"AAAAADqr6IQ=")</f>
        <v>#REF!</v>
      </c>
      <c r="ED40" t="e">
        <f>AND(Bills!#REF!,"AAAAADqr6IU=")</f>
        <v>#REF!</v>
      </c>
      <c r="EE40" t="e">
        <f>AND(Bills!Y40,"AAAAADqr6IY=")</f>
        <v>#VALUE!</v>
      </c>
      <c r="EF40" t="e">
        <f>AND(Bills!Z40,"AAAAADqr6Ic=")</f>
        <v>#VALUE!</v>
      </c>
      <c r="EG40" t="e">
        <f>AND(Bills!#REF!,"AAAAADqr6Ig=")</f>
        <v>#REF!</v>
      </c>
      <c r="EH40" t="e">
        <f>AND(Bills!#REF!,"AAAAADqr6Ik=")</f>
        <v>#REF!</v>
      </c>
      <c r="EI40" t="e">
        <f>AND(Bills!#REF!,"AAAAADqr6Io=")</f>
        <v>#REF!</v>
      </c>
      <c r="EJ40" t="e">
        <f>AND(Bills!#REF!,"AAAAADqr6Is=")</f>
        <v>#REF!</v>
      </c>
      <c r="EK40" t="e">
        <f>AND(Bills!#REF!,"AAAAADqr6Iw=")</f>
        <v>#REF!</v>
      </c>
      <c r="EL40" t="e">
        <f>AND(Bills!#REF!,"AAAAADqr6I0=")</f>
        <v>#REF!</v>
      </c>
      <c r="EM40" t="e">
        <f>AND(Bills!#REF!,"AAAAADqr6I4=")</f>
        <v>#REF!</v>
      </c>
      <c r="EN40" t="e">
        <f>AND(Bills!#REF!,"AAAAADqr6I8=")</f>
        <v>#REF!</v>
      </c>
      <c r="EO40" t="e">
        <f>AND(Bills!#REF!,"AAAAADqr6JA=")</f>
        <v>#REF!</v>
      </c>
      <c r="EP40" t="e">
        <f>AND(Bills!AA40,"AAAAADqr6JE=")</f>
        <v>#VALUE!</v>
      </c>
      <c r="EQ40" t="e">
        <f>AND(Bills!AB40,"AAAAADqr6JI=")</f>
        <v>#VALUE!</v>
      </c>
      <c r="ER40" t="e">
        <f>AND(Bills!#REF!,"AAAAADqr6JM=")</f>
        <v>#REF!</v>
      </c>
      <c r="ES40" t="e">
        <f>AND(Bills!#REF!,"AAAAADqr6JQ=")</f>
        <v>#REF!</v>
      </c>
      <c r="ET40" t="e">
        <f>AND(Bills!#REF!,"AAAAADqr6JU=")</f>
        <v>#REF!</v>
      </c>
      <c r="EU40" t="e">
        <f>AND(Bills!AC40,"AAAAADqr6JY=")</f>
        <v>#VALUE!</v>
      </c>
      <c r="EV40" t="e">
        <f>AND(Bills!AD40,"AAAAADqr6Jc=")</f>
        <v>#VALUE!</v>
      </c>
      <c r="EW40" t="e">
        <f>AND(Bills!AE40,"AAAAADqr6Jg=")</f>
        <v>#VALUE!</v>
      </c>
      <c r="EX40">
        <f>IF(Bills!41:41,"AAAAADqr6Jk=",0)</f>
        <v>0</v>
      </c>
      <c r="EY40" t="e">
        <f>AND(Bills!B41,"AAAAADqr6Jo=")</f>
        <v>#VALUE!</v>
      </c>
      <c r="EZ40" t="e">
        <f>AND(Bills!#REF!,"AAAAADqr6Js=")</f>
        <v>#REF!</v>
      </c>
      <c r="FA40" t="e">
        <f>AND(Bills!C41,"AAAAADqr6Jw=")</f>
        <v>#VALUE!</v>
      </c>
      <c r="FB40" t="e">
        <f>AND(Bills!D41,"AAAAADqr6J0=")</f>
        <v>#VALUE!</v>
      </c>
      <c r="FC40" t="e">
        <f>AND(Bills!E41,"AAAAADqr6J4=")</f>
        <v>#VALUE!</v>
      </c>
      <c r="FD40" t="e">
        <f>AND(Bills!#REF!,"AAAAADqr6J8=")</f>
        <v>#REF!</v>
      </c>
      <c r="FE40" t="e">
        <f>AND(Bills!#REF!,"AAAAADqr6KA=")</f>
        <v>#REF!</v>
      </c>
      <c r="FF40" t="e">
        <f>AND(Bills!#REF!,"AAAAADqr6KE=")</f>
        <v>#REF!</v>
      </c>
      <c r="FG40" t="e">
        <f>AND(Bills!F41,"AAAAADqr6KI=")</f>
        <v>#VALUE!</v>
      </c>
      <c r="FH40" t="e">
        <f>AND(Bills!#REF!,"AAAAADqr6KM=")</f>
        <v>#REF!</v>
      </c>
      <c r="FI40" t="e">
        <f>AND(Bills!G41,"AAAAADqr6KQ=")</f>
        <v>#VALUE!</v>
      </c>
      <c r="FJ40" t="e">
        <f>AND(Bills!H41,"AAAAADqr6KU=")</f>
        <v>#VALUE!</v>
      </c>
      <c r="FK40" t="e">
        <f>AND(Bills!I41,"AAAAADqr6KY=")</f>
        <v>#VALUE!</v>
      </c>
      <c r="FL40" t="e">
        <f>AND(Bills!J41,"AAAAADqr6Kc=")</f>
        <v>#VALUE!</v>
      </c>
      <c r="FM40" t="e">
        <f>AND(Bills!K41,"AAAAADqr6Kg=")</f>
        <v>#VALUE!</v>
      </c>
      <c r="FN40" t="e">
        <f>AND(Bills!L41,"AAAAADqr6Kk=")</f>
        <v>#VALUE!</v>
      </c>
      <c r="FO40" t="e">
        <f>AND(Bills!#REF!,"AAAAADqr6Ko=")</f>
        <v>#REF!</v>
      </c>
      <c r="FP40" t="e">
        <f>AND(Bills!M41,"AAAAADqr6Ks=")</f>
        <v>#VALUE!</v>
      </c>
      <c r="FQ40" t="e">
        <f>AND(Bills!N41,"AAAAADqr6Kw=")</f>
        <v>#VALUE!</v>
      </c>
      <c r="FR40" t="e">
        <f>AND(Bills!O41,"AAAAADqr6K0=")</f>
        <v>#VALUE!</v>
      </c>
      <c r="FS40" t="e">
        <f>AND(Bills!P41,"AAAAADqr6K4=")</f>
        <v>#VALUE!</v>
      </c>
      <c r="FT40" t="e">
        <f>AND(Bills!Q41,"AAAAADqr6K8=")</f>
        <v>#VALUE!</v>
      </c>
      <c r="FU40" t="e">
        <f>AND(Bills!R41,"AAAAADqr6LA=")</f>
        <v>#VALUE!</v>
      </c>
      <c r="FV40" t="e">
        <f>AND(Bills!S41,"AAAAADqr6LE=")</f>
        <v>#VALUE!</v>
      </c>
      <c r="FW40" t="e">
        <f>AND(Bills!T41,"AAAAADqr6LI=")</f>
        <v>#VALUE!</v>
      </c>
      <c r="FX40" t="e">
        <f>AND(Bills!#REF!,"AAAAADqr6LM=")</f>
        <v>#REF!</v>
      </c>
      <c r="FY40" t="e">
        <f>AND(Bills!U41,"AAAAADqr6LQ=")</f>
        <v>#VALUE!</v>
      </c>
      <c r="FZ40" t="e">
        <f>AND(Bills!V41,"AAAAADqr6LU=")</f>
        <v>#VALUE!</v>
      </c>
      <c r="GA40" t="e">
        <f>AND(Bills!W41,"AAAAADqr6LY=")</f>
        <v>#VALUE!</v>
      </c>
      <c r="GB40" t="e">
        <f>AND(Bills!#REF!,"AAAAADqr6Lc=")</f>
        <v>#REF!</v>
      </c>
      <c r="GC40" t="e">
        <f>AND(Bills!#REF!,"AAAAADqr6Lg=")</f>
        <v>#REF!</v>
      </c>
      <c r="GD40" t="e">
        <f>AND(Bills!Y41,"AAAAADqr6Lk=")</f>
        <v>#VALUE!</v>
      </c>
      <c r="GE40" t="e">
        <f>AND(Bills!Z41,"AAAAADqr6Lo=")</f>
        <v>#VALUE!</v>
      </c>
      <c r="GF40" t="e">
        <f>AND(Bills!#REF!,"AAAAADqr6Ls=")</f>
        <v>#REF!</v>
      </c>
      <c r="GG40" t="e">
        <f>AND(Bills!#REF!,"AAAAADqr6Lw=")</f>
        <v>#REF!</v>
      </c>
      <c r="GH40" t="e">
        <f>AND(Bills!#REF!,"AAAAADqr6L0=")</f>
        <v>#REF!</v>
      </c>
      <c r="GI40" t="e">
        <f>AND(Bills!#REF!,"AAAAADqr6L4=")</f>
        <v>#REF!</v>
      </c>
      <c r="GJ40" t="e">
        <f>AND(Bills!#REF!,"AAAAADqr6L8=")</f>
        <v>#REF!</v>
      </c>
      <c r="GK40" t="e">
        <f>AND(Bills!#REF!,"AAAAADqr6MA=")</f>
        <v>#REF!</v>
      </c>
      <c r="GL40" t="e">
        <f>AND(Bills!#REF!,"AAAAADqr6ME=")</f>
        <v>#REF!</v>
      </c>
      <c r="GM40" t="e">
        <f>AND(Bills!#REF!,"AAAAADqr6MI=")</f>
        <v>#REF!</v>
      </c>
      <c r="GN40" t="e">
        <f>AND(Bills!#REF!,"AAAAADqr6MM=")</f>
        <v>#REF!</v>
      </c>
      <c r="GO40" t="e">
        <f>AND(Bills!AA41,"AAAAADqr6MQ=")</f>
        <v>#VALUE!</v>
      </c>
      <c r="GP40" t="e">
        <f>AND(Bills!AB41,"AAAAADqr6MU=")</f>
        <v>#VALUE!</v>
      </c>
      <c r="GQ40" t="e">
        <f>AND(Bills!#REF!,"AAAAADqr6MY=")</f>
        <v>#REF!</v>
      </c>
      <c r="GR40" t="e">
        <f>AND(Bills!#REF!,"AAAAADqr6Mc=")</f>
        <v>#REF!</v>
      </c>
      <c r="GS40" t="e">
        <f>AND(Bills!#REF!,"AAAAADqr6Mg=")</f>
        <v>#REF!</v>
      </c>
      <c r="GT40" t="e">
        <f>AND(Bills!AC41,"AAAAADqr6Mk=")</f>
        <v>#VALUE!</v>
      </c>
      <c r="GU40" t="e">
        <f>AND(Bills!AD41,"AAAAADqr6Mo=")</f>
        <v>#VALUE!</v>
      </c>
      <c r="GV40" t="e">
        <f>AND(Bills!AE41,"AAAAADqr6Ms=")</f>
        <v>#VALUE!</v>
      </c>
      <c r="GW40">
        <f>IF(Bills!42:42,"AAAAADqr6Mw=",0)</f>
        <v>0</v>
      </c>
      <c r="GX40" t="e">
        <f>AND(Bills!B42,"AAAAADqr6M0=")</f>
        <v>#VALUE!</v>
      </c>
      <c r="GY40" t="e">
        <f>AND(Bills!#REF!,"AAAAADqr6M4=")</f>
        <v>#REF!</v>
      </c>
      <c r="GZ40" t="e">
        <f>AND(Bills!C42,"AAAAADqr6M8=")</f>
        <v>#VALUE!</v>
      </c>
      <c r="HA40" t="e">
        <f>AND(Bills!D42,"AAAAADqr6NA=")</f>
        <v>#VALUE!</v>
      </c>
      <c r="HB40" t="e">
        <f>AND(Bills!E42,"AAAAADqr6NE=")</f>
        <v>#VALUE!</v>
      </c>
      <c r="HC40" t="e">
        <f>AND(Bills!#REF!,"AAAAADqr6NI=")</f>
        <v>#REF!</v>
      </c>
      <c r="HD40" t="e">
        <f>AND(Bills!#REF!,"AAAAADqr6NM=")</f>
        <v>#REF!</v>
      </c>
      <c r="HE40" t="e">
        <f>AND(Bills!#REF!,"AAAAADqr6NQ=")</f>
        <v>#REF!</v>
      </c>
      <c r="HF40" t="e">
        <f>AND(Bills!F42,"AAAAADqr6NU=")</f>
        <v>#VALUE!</v>
      </c>
      <c r="HG40" t="e">
        <f>AND(Bills!#REF!,"AAAAADqr6NY=")</f>
        <v>#REF!</v>
      </c>
      <c r="HH40" t="e">
        <f>AND(Bills!G42,"AAAAADqr6Nc=")</f>
        <v>#VALUE!</v>
      </c>
      <c r="HI40" t="e">
        <f>AND(Bills!H42,"AAAAADqr6Ng=")</f>
        <v>#VALUE!</v>
      </c>
      <c r="HJ40" t="e">
        <f>AND(Bills!I42,"AAAAADqr6Nk=")</f>
        <v>#VALUE!</v>
      </c>
      <c r="HK40" t="e">
        <f>AND(Bills!J42,"AAAAADqr6No=")</f>
        <v>#VALUE!</v>
      </c>
      <c r="HL40" t="e">
        <f>AND(Bills!K42,"AAAAADqr6Ns=")</f>
        <v>#VALUE!</v>
      </c>
      <c r="HM40" t="e">
        <f>AND(Bills!L42,"AAAAADqr6Nw=")</f>
        <v>#VALUE!</v>
      </c>
      <c r="HN40" t="e">
        <f>AND(Bills!#REF!,"AAAAADqr6N0=")</f>
        <v>#REF!</v>
      </c>
      <c r="HO40" t="e">
        <f>AND(Bills!M42,"AAAAADqr6N4=")</f>
        <v>#VALUE!</v>
      </c>
      <c r="HP40" t="e">
        <f>AND(Bills!N42,"AAAAADqr6N8=")</f>
        <v>#VALUE!</v>
      </c>
      <c r="HQ40" t="e">
        <f>AND(Bills!O42,"AAAAADqr6OA=")</f>
        <v>#VALUE!</v>
      </c>
      <c r="HR40" t="e">
        <f>AND(Bills!P42,"AAAAADqr6OE=")</f>
        <v>#VALUE!</v>
      </c>
      <c r="HS40" t="e">
        <f>AND(Bills!Q42,"AAAAADqr6OI=")</f>
        <v>#VALUE!</v>
      </c>
      <c r="HT40" t="e">
        <f>AND(Bills!R42,"AAAAADqr6OM=")</f>
        <v>#VALUE!</v>
      </c>
      <c r="HU40" t="e">
        <f>AND(Bills!S42,"AAAAADqr6OQ=")</f>
        <v>#VALUE!</v>
      </c>
      <c r="HV40" t="e">
        <f>AND(Bills!T42,"AAAAADqr6OU=")</f>
        <v>#VALUE!</v>
      </c>
      <c r="HW40" t="e">
        <f>AND(Bills!#REF!,"AAAAADqr6OY=")</f>
        <v>#REF!</v>
      </c>
      <c r="HX40" t="e">
        <f>AND(Bills!U42,"AAAAADqr6Oc=")</f>
        <v>#VALUE!</v>
      </c>
      <c r="HY40" t="e">
        <f>AND(Bills!V42,"AAAAADqr6Og=")</f>
        <v>#VALUE!</v>
      </c>
      <c r="HZ40" t="e">
        <f>AND(Bills!W42,"AAAAADqr6Ok=")</f>
        <v>#VALUE!</v>
      </c>
      <c r="IA40" t="e">
        <f>AND(Bills!#REF!,"AAAAADqr6Oo=")</f>
        <v>#REF!</v>
      </c>
      <c r="IB40" t="e">
        <f>AND(Bills!#REF!,"AAAAADqr6Os=")</f>
        <v>#REF!</v>
      </c>
      <c r="IC40" t="e">
        <f>AND(Bills!Y42,"AAAAADqr6Ow=")</f>
        <v>#VALUE!</v>
      </c>
      <c r="ID40" t="e">
        <f>AND(Bills!Z42,"AAAAADqr6O0=")</f>
        <v>#VALUE!</v>
      </c>
      <c r="IE40" t="e">
        <f>AND(Bills!#REF!,"AAAAADqr6O4=")</f>
        <v>#REF!</v>
      </c>
      <c r="IF40" t="e">
        <f>AND(Bills!#REF!,"AAAAADqr6O8=")</f>
        <v>#REF!</v>
      </c>
      <c r="IG40" t="e">
        <f>AND(Bills!#REF!,"AAAAADqr6PA=")</f>
        <v>#REF!</v>
      </c>
      <c r="IH40" t="e">
        <f>AND(Bills!#REF!,"AAAAADqr6PE=")</f>
        <v>#REF!</v>
      </c>
      <c r="II40" t="e">
        <f>AND(Bills!#REF!,"AAAAADqr6PI=")</f>
        <v>#REF!</v>
      </c>
      <c r="IJ40" t="e">
        <f>AND(Bills!#REF!,"AAAAADqr6PM=")</f>
        <v>#REF!</v>
      </c>
      <c r="IK40" t="e">
        <f>AND(Bills!#REF!,"AAAAADqr6PQ=")</f>
        <v>#REF!</v>
      </c>
      <c r="IL40" t="e">
        <f>AND(Bills!#REF!,"AAAAADqr6PU=")</f>
        <v>#REF!</v>
      </c>
      <c r="IM40" t="e">
        <f>AND(Bills!#REF!,"AAAAADqr6PY=")</f>
        <v>#REF!</v>
      </c>
      <c r="IN40" t="e">
        <f>AND(Bills!AA42,"AAAAADqr6Pc=")</f>
        <v>#VALUE!</v>
      </c>
      <c r="IO40" t="e">
        <f>AND(Bills!AB42,"AAAAADqr6Pg=")</f>
        <v>#VALUE!</v>
      </c>
      <c r="IP40" t="e">
        <f>AND(Bills!#REF!,"AAAAADqr6Pk=")</f>
        <v>#REF!</v>
      </c>
      <c r="IQ40" t="e">
        <f>AND(Bills!#REF!,"AAAAADqr6Po=")</f>
        <v>#REF!</v>
      </c>
      <c r="IR40" t="e">
        <f>AND(Bills!#REF!,"AAAAADqr6Ps=")</f>
        <v>#REF!</v>
      </c>
      <c r="IS40" t="e">
        <f>AND(Bills!AC42,"AAAAADqr6Pw=")</f>
        <v>#VALUE!</v>
      </c>
      <c r="IT40" t="e">
        <f>AND(Bills!AD42,"AAAAADqr6P0=")</f>
        <v>#VALUE!</v>
      </c>
      <c r="IU40" t="e">
        <f>AND(Bills!AE42,"AAAAADqr6P4=")</f>
        <v>#VALUE!</v>
      </c>
      <c r="IV40">
        <f>IF(Bills!43:43,"AAAAADqr6P8=",0)</f>
        <v>0</v>
      </c>
    </row>
    <row r="41" spans="1:256" x14ac:dyDescent="0.25">
      <c r="A41" t="e">
        <f>AND(Bills!B43,"AAAAAH3/+wA=")</f>
        <v>#VALUE!</v>
      </c>
      <c r="B41" t="e">
        <f>AND(Bills!#REF!,"AAAAAH3/+wE=")</f>
        <v>#REF!</v>
      </c>
      <c r="C41" t="e">
        <f>AND(Bills!C43,"AAAAAH3/+wI=")</f>
        <v>#VALUE!</v>
      </c>
      <c r="D41" t="e">
        <f>AND(Bills!D43,"AAAAAH3/+wM=")</f>
        <v>#VALUE!</v>
      </c>
      <c r="E41" t="e">
        <f>AND(Bills!E43,"AAAAAH3/+wQ=")</f>
        <v>#VALUE!</v>
      </c>
      <c r="F41" t="e">
        <f>AND(Bills!#REF!,"AAAAAH3/+wU=")</f>
        <v>#REF!</v>
      </c>
      <c r="G41" t="e">
        <f>AND(Bills!#REF!,"AAAAAH3/+wY=")</f>
        <v>#REF!</v>
      </c>
      <c r="H41" t="e">
        <f>AND(Bills!#REF!,"AAAAAH3/+wc=")</f>
        <v>#REF!</v>
      </c>
      <c r="I41" t="e">
        <f>AND(Bills!F43,"AAAAAH3/+wg=")</f>
        <v>#VALUE!</v>
      </c>
      <c r="J41" t="e">
        <f>AND(Bills!#REF!,"AAAAAH3/+wk=")</f>
        <v>#REF!</v>
      </c>
      <c r="K41" t="e">
        <f>AND(Bills!G43,"AAAAAH3/+wo=")</f>
        <v>#VALUE!</v>
      </c>
      <c r="L41" t="e">
        <f>AND(Bills!H43,"AAAAAH3/+ws=")</f>
        <v>#VALUE!</v>
      </c>
      <c r="M41" t="e">
        <f>AND(Bills!I43,"AAAAAH3/+ww=")</f>
        <v>#VALUE!</v>
      </c>
      <c r="N41" t="e">
        <f>AND(Bills!J43,"AAAAAH3/+w0=")</f>
        <v>#VALUE!</v>
      </c>
      <c r="O41" t="e">
        <f>AND(Bills!K43,"AAAAAH3/+w4=")</f>
        <v>#VALUE!</v>
      </c>
      <c r="P41" t="e">
        <f>AND(Bills!L43,"AAAAAH3/+w8=")</f>
        <v>#VALUE!</v>
      </c>
      <c r="Q41" t="e">
        <f>AND(Bills!#REF!,"AAAAAH3/+xA=")</f>
        <v>#REF!</v>
      </c>
      <c r="R41" t="e">
        <f>AND(Bills!M43,"AAAAAH3/+xE=")</f>
        <v>#VALUE!</v>
      </c>
      <c r="S41" t="e">
        <f>AND(Bills!N43,"AAAAAH3/+xI=")</f>
        <v>#VALUE!</v>
      </c>
      <c r="T41" t="e">
        <f>AND(Bills!O43,"AAAAAH3/+xM=")</f>
        <v>#VALUE!</v>
      </c>
      <c r="U41" t="e">
        <f>AND(Bills!P43,"AAAAAH3/+xQ=")</f>
        <v>#VALUE!</v>
      </c>
      <c r="V41" t="e">
        <f>AND(Bills!Q43,"AAAAAH3/+xU=")</f>
        <v>#VALUE!</v>
      </c>
      <c r="W41" t="e">
        <f>AND(Bills!R43,"AAAAAH3/+xY=")</f>
        <v>#VALUE!</v>
      </c>
      <c r="X41" t="e">
        <f>AND(Bills!S43,"AAAAAH3/+xc=")</f>
        <v>#VALUE!</v>
      </c>
      <c r="Y41" t="e">
        <f>AND(Bills!T43,"AAAAAH3/+xg=")</f>
        <v>#VALUE!</v>
      </c>
      <c r="Z41" t="e">
        <f>AND(Bills!#REF!,"AAAAAH3/+xk=")</f>
        <v>#REF!</v>
      </c>
      <c r="AA41" t="e">
        <f>AND(Bills!U43,"AAAAAH3/+xo=")</f>
        <v>#VALUE!</v>
      </c>
      <c r="AB41" t="e">
        <f>AND(Bills!V43,"AAAAAH3/+xs=")</f>
        <v>#VALUE!</v>
      </c>
      <c r="AC41" t="e">
        <f>AND(Bills!W43,"AAAAAH3/+xw=")</f>
        <v>#VALUE!</v>
      </c>
      <c r="AD41" t="e">
        <f>AND(Bills!#REF!,"AAAAAH3/+x0=")</f>
        <v>#REF!</v>
      </c>
      <c r="AE41" t="e">
        <f>AND(Bills!#REF!,"AAAAAH3/+x4=")</f>
        <v>#REF!</v>
      </c>
      <c r="AF41" t="e">
        <f>AND(Bills!Y43,"AAAAAH3/+x8=")</f>
        <v>#VALUE!</v>
      </c>
      <c r="AG41" t="e">
        <f>AND(Bills!Z43,"AAAAAH3/+yA=")</f>
        <v>#VALUE!</v>
      </c>
      <c r="AH41" t="e">
        <f>AND(Bills!#REF!,"AAAAAH3/+yE=")</f>
        <v>#REF!</v>
      </c>
      <c r="AI41" t="e">
        <f>AND(Bills!#REF!,"AAAAAH3/+yI=")</f>
        <v>#REF!</v>
      </c>
      <c r="AJ41" t="e">
        <f>AND(Bills!#REF!,"AAAAAH3/+yM=")</f>
        <v>#REF!</v>
      </c>
      <c r="AK41" t="e">
        <f>AND(Bills!#REF!,"AAAAAH3/+yQ=")</f>
        <v>#REF!</v>
      </c>
      <c r="AL41" t="e">
        <f>AND(Bills!#REF!,"AAAAAH3/+yU=")</f>
        <v>#REF!</v>
      </c>
      <c r="AM41" t="e">
        <f>AND(Bills!#REF!,"AAAAAH3/+yY=")</f>
        <v>#REF!</v>
      </c>
      <c r="AN41" t="e">
        <f>AND(Bills!#REF!,"AAAAAH3/+yc=")</f>
        <v>#REF!</v>
      </c>
      <c r="AO41" t="e">
        <f>AND(Bills!#REF!,"AAAAAH3/+yg=")</f>
        <v>#REF!</v>
      </c>
      <c r="AP41" t="e">
        <f>AND(Bills!#REF!,"AAAAAH3/+yk=")</f>
        <v>#REF!</v>
      </c>
      <c r="AQ41" t="e">
        <f>AND(Bills!AA43,"AAAAAH3/+yo=")</f>
        <v>#VALUE!</v>
      </c>
      <c r="AR41" t="e">
        <f>AND(Bills!AB43,"AAAAAH3/+ys=")</f>
        <v>#VALUE!</v>
      </c>
      <c r="AS41" t="e">
        <f>AND(Bills!#REF!,"AAAAAH3/+yw=")</f>
        <v>#REF!</v>
      </c>
      <c r="AT41" t="e">
        <f>AND(Bills!#REF!,"AAAAAH3/+y0=")</f>
        <v>#REF!</v>
      </c>
      <c r="AU41" t="e">
        <f>AND(Bills!#REF!,"AAAAAH3/+y4=")</f>
        <v>#REF!</v>
      </c>
      <c r="AV41" t="e">
        <f>AND(Bills!AC43,"AAAAAH3/+y8=")</f>
        <v>#VALUE!</v>
      </c>
      <c r="AW41" t="e">
        <f>AND(Bills!AD43,"AAAAAH3/+zA=")</f>
        <v>#VALUE!</v>
      </c>
      <c r="AX41" t="e">
        <f>AND(Bills!AE43,"AAAAAH3/+zE=")</f>
        <v>#VALUE!</v>
      </c>
      <c r="AY41">
        <f>IF(Bills!44:44,"AAAAAH3/+zI=",0)</f>
        <v>0</v>
      </c>
      <c r="AZ41" t="e">
        <f>AND(Bills!B44,"AAAAAH3/+zM=")</f>
        <v>#VALUE!</v>
      </c>
      <c r="BA41" t="e">
        <f>AND(Bills!#REF!,"AAAAAH3/+zQ=")</f>
        <v>#REF!</v>
      </c>
      <c r="BB41" t="e">
        <f>AND(Bills!C44,"AAAAAH3/+zU=")</f>
        <v>#VALUE!</v>
      </c>
      <c r="BC41" t="e">
        <f>AND(Bills!D44,"AAAAAH3/+zY=")</f>
        <v>#VALUE!</v>
      </c>
      <c r="BD41" t="e">
        <f>AND(Bills!E44,"AAAAAH3/+zc=")</f>
        <v>#VALUE!</v>
      </c>
      <c r="BE41" t="e">
        <f>AND(Bills!#REF!,"AAAAAH3/+zg=")</f>
        <v>#REF!</v>
      </c>
      <c r="BF41" t="e">
        <f>AND(Bills!#REF!,"AAAAAH3/+zk=")</f>
        <v>#REF!</v>
      </c>
      <c r="BG41" t="e">
        <f>AND(Bills!#REF!,"AAAAAH3/+zo=")</f>
        <v>#REF!</v>
      </c>
      <c r="BH41" t="e">
        <f>AND(Bills!F44,"AAAAAH3/+zs=")</f>
        <v>#VALUE!</v>
      </c>
      <c r="BI41" t="e">
        <f>AND(Bills!#REF!,"AAAAAH3/+zw=")</f>
        <v>#REF!</v>
      </c>
      <c r="BJ41" t="e">
        <f>AND(Bills!G44,"AAAAAH3/+z0=")</f>
        <v>#VALUE!</v>
      </c>
      <c r="BK41" t="e">
        <f>AND(Bills!H44,"AAAAAH3/+z4=")</f>
        <v>#VALUE!</v>
      </c>
      <c r="BL41" t="e">
        <f>AND(Bills!I44,"AAAAAH3/+z8=")</f>
        <v>#VALUE!</v>
      </c>
      <c r="BM41" t="e">
        <f>AND(Bills!J44,"AAAAAH3/+0A=")</f>
        <v>#VALUE!</v>
      </c>
      <c r="BN41" t="e">
        <f>AND(Bills!K44,"AAAAAH3/+0E=")</f>
        <v>#VALUE!</v>
      </c>
      <c r="BO41" t="e">
        <f>AND(Bills!L44,"AAAAAH3/+0I=")</f>
        <v>#VALUE!</v>
      </c>
      <c r="BP41" t="e">
        <f>AND(Bills!#REF!,"AAAAAH3/+0M=")</f>
        <v>#REF!</v>
      </c>
      <c r="BQ41" t="e">
        <f>AND(Bills!M44,"AAAAAH3/+0Q=")</f>
        <v>#VALUE!</v>
      </c>
      <c r="BR41" t="e">
        <f>AND(Bills!N44,"AAAAAH3/+0U=")</f>
        <v>#VALUE!</v>
      </c>
      <c r="BS41" t="e">
        <f>AND(Bills!O44,"AAAAAH3/+0Y=")</f>
        <v>#VALUE!</v>
      </c>
      <c r="BT41" t="e">
        <f>AND(Bills!P44,"AAAAAH3/+0c=")</f>
        <v>#VALUE!</v>
      </c>
      <c r="BU41" t="e">
        <f>AND(Bills!Q44,"AAAAAH3/+0g=")</f>
        <v>#VALUE!</v>
      </c>
      <c r="BV41" t="e">
        <f>AND(Bills!R44,"AAAAAH3/+0k=")</f>
        <v>#VALUE!</v>
      </c>
      <c r="BW41" t="e">
        <f>AND(Bills!S44,"AAAAAH3/+0o=")</f>
        <v>#VALUE!</v>
      </c>
      <c r="BX41" t="e">
        <f>AND(Bills!T44,"AAAAAH3/+0s=")</f>
        <v>#VALUE!</v>
      </c>
      <c r="BY41" t="e">
        <f>AND(Bills!#REF!,"AAAAAH3/+0w=")</f>
        <v>#REF!</v>
      </c>
      <c r="BZ41" t="e">
        <f>AND(Bills!U44,"AAAAAH3/+00=")</f>
        <v>#VALUE!</v>
      </c>
      <c r="CA41" t="e">
        <f>AND(Bills!V44,"AAAAAH3/+04=")</f>
        <v>#VALUE!</v>
      </c>
      <c r="CB41" t="e">
        <f>AND(Bills!W44,"AAAAAH3/+08=")</f>
        <v>#VALUE!</v>
      </c>
      <c r="CC41" t="e">
        <f>AND(Bills!#REF!,"AAAAAH3/+1A=")</f>
        <v>#REF!</v>
      </c>
      <c r="CD41" t="e">
        <f>AND(Bills!#REF!,"AAAAAH3/+1E=")</f>
        <v>#REF!</v>
      </c>
      <c r="CE41" t="e">
        <f>AND(Bills!Y44,"AAAAAH3/+1I=")</f>
        <v>#VALUE!</v>
      </c>
      <c r="CF41" t="e">
        <f>AND(Bills!Z44,"AAAAAH3/+1M=")</f>
        <v>#VALUE!</v>
      </c>
      <c r="CG41" t="e">
        <f>AND(Bills!#REF!,"AAAAAH3/+1Q=")</f>
        <v>#REF!</v>
      </c>
      <c r="CH41" t="e">
        <f>AND(Bills!#REF!,"AAAAAH3/+1U=")</f>
        <v>#REF!</v>
      </c>
      <c r="CI41" t="e">
        <f>AND(Bills!#REF!,"AAAAAH3/+1Y=")</f>
        <v>#REF!</v>
      </c>
      <c r="CJ41" t="e">
        <f>AND(Bills!#REF!,"AAAAAH3/+1c=")</f>
        <v>#REF!</v>
      </c>
      <c r="CK41" t="e">
        <f>AND(Bills!#REF!,"AAAAAH3/+1g=")</f>
        <v>#REF!</v>
      </c>
      <c r="CL41" t="e">
        <f>AND(Bills!#REF!,"AAAAAH3/+1k=")</f>
        <v>#REF!</v>
      </c>
      <c r="CM41" t="e">
        <f>AND(Bills!#REF!,"AAAAAH3/+1o=")</f>
        <v>#REF!</v>
      </c>
      <c r="CN41" t="e">
        <f>AND(Bills!#REF!,"AAAAAH3/+1s=")</f>
        <v>#REF!</v>
      </c>
      <c r="CO41" t="e">
        <f>AND(Bills!#REF!,"AAAAAH3/+1w=")</f>
        <v>#REF!</v>
      </c>
      <c r="CP41" t="e">
        <f>AND(Bills!AA44,"AAAAAH3/+10=")</f>
        <v>#VALUE!</v>
      </c>
      <c r="CQ41" t="e">
        <f>AND(Bills!AB44,"AAAAAH3/+14=")</f>
        <v>#VALUE!</v>
      </c>
      <c r="CR41" t="e">
        <f>AND(Bills!#REF!,"AAAAAH3/+18=")</f>
        <v>#REF!</v>
      </c>
      <c r="CS41" t="e">
        <f>AND(Bills!#REF!,"AAAAAH3/+2A=")</f>
        <v>#REF!</v>
      </c>
      <c r="CT41" t="e">
        <f>AND(Bills!#REF!,"AAAAAH3/+2E=")</f>
        <v>#REF!</v>
      </c>
      <c r="CU41" t="e">
        <f>AND(Bills!AC44,"AAAAAH3/+2I=")</f>
        <v>#VALUE!</v>
      </c>
      <c r="CV41" t="e">
        <f>AND(Bills!AD44,"AAAAAH3/+2M=")</f>
        <v>#VALUE!</v>
      </c>
      <c r="CW41" t="e">
        <f>AND(Bills!AE44,"AAAAAH3/+2Q=")</f>
        <v>#VALUE!</v>
      </c>
      <c r="CX41">
        <f>IF(Bills!45:45,"AAAAAH3/+2U=",0)</f>
        <v>0</v>
      </c>
      <c r="CY41" t="e">
        <f>AND(Bills!B45,"AAAAAH3/+2Y=")</f>
        <v>#VALUE!</v>
      </c>
      <c r="CZ41" t="e">
        <f>AND(Bills!#REF!,"AAAAAH3/+2c=")</f>
        <v>#REF!</v>
      </c>
      <c r="DA41" t="e">
        <f>AND(Bills!C45,"AAAAAH3/+2g=")</f>
        <v>#VALUE!</v>
      </c>
      <c r="DB41" t="e">
        <f>AND(Bills!D45,"AAAAAH3/+2k=")</f>
        <v>#VALUE!</v>
      </c>
      <c r="DC41" t="e">
        <f>AND(Bills!E45,"AAAAAH3/+2o=")</f>
        <v>#VALUE!</v>
      </c>
      <c r="DD41" t="e">
        <f>AND(Bills!#REF!,"AAAAAH3/+2s=")</f>
        <v>#REF!</v>
      </c>
      <c r="DE41" t="e">
        <f>AND(Bills!#REF!,"AAAAAH3/+2w=")</f>
        <v>#REF!</v>
      </c>
      <c r="DF41" t="e">
        <f>AND(Bills!#REF!,"AAAAAH3/+20=")</f>
        <v>#REF!</v>
      </c>
      <c r="DG41" t="e">
        <f>AND(Bills!F45,"AAAAAH3/+24=")</f>
        <v>#VALUE!</v>
      </c>
      <c r="DH41" t="e">
        <f>AND(Bills!#REF!,"AAAAAH3/+28=")</f>
        <v>#REF!</v>
      </c>
      <c r="DI41" t="e">
        <f>AND(Bills!G45,"AAAAAH3/+3A=")</f>
        <v>#VALUE!</v>
      </c>
      <c r="DJ41" t="e">
        <f>AND(Bills!H45,"AAAAAH3/+3E=")</f>
        <v>#VALUE!</v>
      </c>
      <c r="DK41" t="e">
        <f>AND(Bills!I45,"AAAAAH3/+3I=")</f>
        <v>#VALUE!</v>
      </c>
      <c r="DL41" t="e">
        <f>AND(Bills!J45,"AAAAAH3/+3M=")</f>
        <v>#VALUE!</v>
      </c>
      <c r="DM41" t="e">
        <f>AND(Bills!K45,"AAAAAH3/+3Q=")</f>
        <v>#VALUE!</v>
      </c>
      <c r="DN41" t="e">
        <f>AND(Bills!L45,"AAAAAH3/+3U=")</f>
        <v>#VALUE!</v>
      </c>
      <c r="DO41" t="e">
        <f>AND(Bills!#REF!,"AAAAAH3/+3Y=")</f>
        <v>#REF!</v>
      </c>
      <c r="DP41" t="e">
        <f>AND(Bills!M45,"AAAAAH3/+3c=")</f>
        <v>#VALUE!</v>
      </c>
      <c r="DQ41" t="e">
        <f>AND(Bills!N45,"AAAAAH3/+3g=")</f>
        <v>#VALUE!</v>
      </c>
      <c r="DR41" t="e">
        <f>AND(Bills!O45,"AAAAAH3/+3k=")</f>
        <v>#VALUE!</v>
      </c>
      <c r="DS41" t="e">
        <f>AND(Bills!P45,"AAAAAH3/+3o=")</f>
        <v>#VALUE!</v>
      </c>
      <c r="DT41" t="e">
        <f>AND(Bills!Q45,"AAAAAH3/+3s=")</f>
        <v>#VALUE!</v>
      </c>
      <c r="DU41" t="e">
        <f>AND(Bills!R45,"AAAAAH3/+3w=")</f>
        <v>#VALUE!</v>
      </c>
      <c r="DV41" t="e">
        <f>AND(Bills!S45,"AAAAAH3/+30=")</f>
        <v>#VALUE!</v>
      </c>
      <c r="DW41" t="e">
        <f>AND(Bills!T45,"AAAAAH3/+34=")</f>
        <v>#VALUE!</v>
      </c>
      <c r="DX41" t="e">
        <f>AND(Bills!#REF!,"AAAAAH3/+38=")</f>
        <v>#REF!</v>
      </c>
      <c r="DY41" t="e">
        <f>AND(Bills!U45,"AAAAAH3/+4A=")</f>
        <v>#VALUE!</v>
      </c>
      <c r="DZ41" t="e">
        <f>AND(Bills!V45,"AAAAAH3/+4E=")</f>
        <v>#VALUE!</v>
      </c>
      <c r="EA41" t="e">
        <f>AND(Bills!W45,"AAAAAH3/+4I=")</f>
        <v>#VALUE!</v>
      </c>
      <c r="EB41" t="e">
        <f>AND(Bills!#REF!,"AAAAAH3/+4M=")</f>
        <v>#REF!</v>
      </c>
      <c r="EC41" t="e">
        <f>AND(Bills!#REF!,"AAAAAH3/+4Q=")</f>
        <v>#REF!</v>
      </c>
      <c r="ED41" t="e">
        <f>AND(Bills!Y45,"AAAAAH3/+4U=")</f>
        <v>#VALUE!</v>
      </c>
      <c r="EE41" t="e">
        <f>AND(Bills!Z45,"AAAAAH3/+4Y=")</f>
        <v>#VALUE!</v>
      </c>
      <c r="EF41" t="e">
        <f>AND(Bills!#REF!,"AAAAAH3/+4c=")</f>
        <v>#REF!</v>
      </c>
      <c r="EG41" t="e">
        <f>AND(Bills!#REF!,"AAAAAH3/+4g=")</f>
        <v>#REF!</v>
      </c>
      <c r="EH41" t="e">
        <f>AND(Bills!#REF!,"AAAAAH3/+4k=")</f>
        <v>#REF!</v>
      </c>
      <c r="EI41" t="e">
        <f>AND(Bills!#REF!,"AAAAAH3/+4o=")</f>
        <v>#REF!</v>
      </c>
      <c r="EJ41" t="e">
        <f>AND(Bills!#REF!,"AAAAAH3/+4s=")</f>
        <v>#REF!</v>
      </c>
      <c r="EK41" t="e">
        <f>AND(Bills!#REF!,"AAAAAH3/+4w=")</f>
        <v>#REF!</v>
      </c>
      <c r="EL41" t="e">
        <f>AND(Bills!#REF!,"AAAAAH3/+40=")</f>
        <v>#REF!</v>
      </c>
      <c r="EM41" t="e">
        <f>AND(Bills!#REF!,"AAAAAH3/+44=")</f>
        <v>#REF!</v>
      </c>
      <c r="EN41" t="e">
        <f>AND(Bills!#REF!,"AAAAAH3/+48=")</f>
        <v>#REF!</v>
      </c>
      <c r="EO41" t="e">
        <f>AND(Bills!AA45,"AAAAAH3/+5A=")</f>
        <v>#VALUE!</v>
      </c>
      <c r="EP41" t="e">
        <f>AND(Bills!AB45,"AAAAAH3/+5E=")</f>
        <v>#VALUE!</v>
      </c>
      <c r="EQ41" t="e">
        <f>AND(Bills!#REF!,"AAAAAH3/+5I=")</f>
        <v>#REF!</v>
      </c>
      <c r="ER41" t="e">
        <f>AND(Bills!#REF!,"AAAAAH3/+5M=")</f>
        <v>#REF!</v>
      </c>
      <c r="ES41" t="e">
        <f>AND(Bills!#REF!,"AAAAAH3/+5Q=")</f>
        <v>#REF!</v>
      </c>
      <c r="ET41" t="e">
        <f>AND(Bills!AC45,"AAAAAH3/+5U=")</f>
        <v>#VALUE!</v>
      </c>
      <c r="EU41" t="e">
        <f>AND(Bills!AD45,"AAAAAH3/+5Y=")</f>
        <v>#VALUE!</v>
      </c>
      <c r="EV41" t="e">
        <f>AND(Bills!AE45,"AAAAAH3/+5c=")</f>
        <v>#VALUE!</v>
      </c>
      <c r="EW41">
        <f>IF(Bills!46:46,"AAAAAH3/+5g=",0)</f>
        <v>0</v>
      </c>
      <c r="EX41" t="e">
        <f>AND(Bills!B46,"AAAAAH3/+5k=")</f>
        <v>#VALUE!</v>
      </c>
      <c r="EY41" t="e">
        <f>AND(Bills!#REF!,"AAAAAH3/+5o=")</f>
        <v>#REF!</v>
      </c>
      <c r="EZ41" t="e">
        <f>AND(Bills!C46,"AAAAAH3/+5s=")</f>
        <v>#VALUE!</v>
      </c>
      <c r="FA41" t="e">
        <f>AND(Bills!D46,"AAAAAH3/+5w=")</f>
        <v>#VALUE!</v>
      </c>
      <c r="FB41" t="e">
        <f>AND(Bills!E46,"AAAAAH3/+50=")</f>
        <v>#VALUE!</v>
      </c>
      <c r="FC41" t="e">
        <f>AND(Bills!#REF!,"AAAAAH3/+54=")</f>
        <v>#REF!</v>
      </c>
      <c r="FD41" t="e">
        <f>AND(Bills!#REF!,"AAAAAH3/+58=")</f>
        <v>#REF!</v>
      </c>
      <c r="FE41" t="e">
        <f>AND(Bills!#REF!,"AAAAAH3/+6A=")</f>
        <v>#REF!</v>
      </c>
      <c r="FF41" t="e">
        <f>AND(Bills!F46,"AAAAAH3/+6E=")</f>
        <v>#VALUE!</v>
      </c>
      <c r="FG41" t="e">
        <f>AND(Bills!#REF!,"AAAAAH3/+6I=")</f>
        <v>#REF!</v>
      </c>
      <c r="FH41" t="e">
        <f>AND(Bills!G46,"AAAAAH3/+6M=")</f>
        <v>#VALUE!</v>
      </c>
      <c r="FI41" t="e">
        <f>AND(Bills!H46,"AAAAAH3/+6Q=")</f>
        <v>#VALUE!</v>
      </c>
      <c r="FJ41" t="e">
        <f>AND(Bills!I46,"AAAAAH3/+6U=")</f>
        <v>#VALUE!</v>
      </c>
      <c r="FK41" t="e">
        <f>AND(Bills!J46,"AAAAAH3/+6Y=")</f>
        <v>#VALUE!</v>
      </c>
      <c r="FL41" t="e">
        <f>AND(Bills!K46,"AAAAAH3/+6c=")</f>
        <v>#VALUE!</v>
      </c>
      <c r="FM41" t="e">
        <f>AND(Bills!L46,"AAAAAH3/+6g=")</f>
        <v>#VALUE!</v>
      </c>
      <c r="FN41" t="e">
        <f>AND(Bills!#REF!,"AAAAAH3/+6k=")</f>
        <v>#REF!</v>
      </c>
      <c r="FO41" t="e">
        <f>AND(Bills!M46,"AAAAAH3/+6o=")</f>
        <v>#VALUE!</v>
      </c>
      <c r="FP41" t="e">
        <f>AND(Bills!N46,"AAAAAH3/+6s=")</f>
        <v>#VALUE!</v>
      </c>
      <c r="FQ41" t="e">
        <f>AND(Bills!O46,"AAAAAH3/+6w=")</f>
        <v>#VALUE!</v>
      </c>
      <c r="FR41" t="e">
        <f>AND(Bills!P46,"AAAAAH3/+60=")</f>
        <v>#VALUE!</v>
      </c>
      <c r="FS41" t="e">
        <f>AND(Bills!Q46,"AAAAAH3/+64=")</f>
        <v>#VALUE!</v>
      </c>
      <c r="FT41" t="e">
        <f>AND(Bills!R46,"AAAAAH3/+68=")</f>
        <v>#VALUE!</v>
      </c>
      <c r="FU41" t="e">
        <f>AND(Bills!S46,"AAAAAH3/+7A=")</f>
        <v>#VALUE!</v>
      </c>
      <c r="FV41" t="e">
        <f>AND(Bills!T46,"AAAAAH3/+7E=")</f>
        <v>#VALUE!</v>
      </c>
      <c r="FW41" t="e">
        <f>AND(Bills!#REF!,"AAAAAH3/+7I=")</f>
        <v>#REF!</v>
      </c>
      <c r="FX41" t="e">
        <f>AND(Bills!U46,"AAAAAH3/+7M=")</f>
        <v>#VALUE!</v>
      </c>
      <c r="FY41" t="e">
        <f>AND(Bills!V46,"AAAAAH3/+7Q=")</f>
        <v>#VALUE!</v>
      </c>
      <c r="FZ41" t="e">
        <f>AND(Bills!W46,"AAAAAH3/+7U=")</f>
        <v>#VALUE!</v>
      </c>
      <c r="GA41" t="e">
        <f>AND(Bills!#REF!,"AAAAAH3/+7Y=")</f>
        <v>#REF!</v>
      </c>
      <c r="GB41" t="e">
        <f>AND(Bills!#REF!,"AAAAAH3/+7c=")</f>
        <v>#REF!</v>
      </c>
      <c r="GC41" t="e">
        <f>AND(Bills!Y46,"AAAAAH3/+7g=")</f>
        <v>#VALUE!</v>
      </c>
      <c r="GD41" t="e">
        <f>AND(Bills!Z46,"AAAAAH3/+7k=")</f>
        <v>#VALUE!</v>
      </c>
      <c r="GE41" t="e">
        <f>AND(Bills!#REF!,"AAAAAH3/+7o=")</f>
        <v>#REF!</v>
      </c>
      <c r="GF41" t="e">
        <f>AND(Bills!#REF!,"AAAAAH3/+7s=")</f>
        <v>#REF!</v>
      </c>
      <c r="GG41" t="e">
        <f>AND(Bills!#REF!,"AAAAAH3/+7w=")</f>
        <v>#REF!</v>
      </c>
      <c r="GH41" t="e">
        <f>AND(Bills!#REF!,"AAAAAH3/+70=")</f>
        <v>#REF!</v>
      </c>
      <c r="GI41" t="e">
        <f>AND(Bills!#REF!,"AAAAAH3/+74=")</f>
        <v>#REF!</v>
      </c>
      <c r="GJ41" t="e">
        <f>AND(Bills!#REF!,"AAAAAH3/+78=")</f>
        <v>#REF!</v>
      </c>
      <c r="GK41" t="e">
        <f>AND(Bills!#REF!,"AAAAAH3/+8A=")</f>
        <v>#REF!</v>
      </c>
      <c r="GL41" t="e">
        <f>AND(Bills!#REF!,"AAAAAH3/+8E=")</f>
        <v>#REF!</v>
      </c>
      <c r="GM41" t="e">
        <f>AND(Bills!#REF!,"AAAAAH3/+8I=")</f>
        <v>#REF!</v>
      </c>
      <c r="GN41" t="e">
        <f>AND(Bills!AA46,"AAAAAH3/+8M=")</f>
        <v>#VALUE!</v>
      </c>
      <c r="GO41" t="e">
        <f>AND(Bills!AB46,"AAAAAH3/+8Q=")</f>
        <v>#VALUE!</v>
      </c>
      <c r="GP41" t="e">
        <f>AND(Bills!#REF!,"AAAAAH3/+8U=")</f>
        <v>#REF!</v>
      </c>
      <c r="GQ41" t="e">
        <f>AND(Bills!#REF!,"AAAAAH3/+8Y=")</f>
        <v>#REF!</v>
      </c>
      <c r="GR41" t="e">
        <f>AND(Bills!#REF!,"AAAAAH3/+8c=")</f>
        <v>#REF!</v>
      </c>
      <c r="GS41" t="e">
        <f>AND(Bills!AC46,"AAAAAH3/+8g=")</f>
        <v>#VALUE!</v>
      </c>
      <c r="GT41" t="e">
        <f>AND(Bills!AD46,"AAAAAH3/+8k=")</f>
        <v>#VALUE!</v>
      </c>
      <c r="GU41" t="e">
        <f>AND(Bills!AE46,"AAAAAH3/+8o=")</f>
        <v>#VALUE!</v>
      </c>
      <c r="GV41">
        <f>IF(Bills!47:47,"AAAAAH3/+8s=",0)</f>
        <v>0</v>
      </c>
      <c r="GW41" t="e">
        <f>AND(Bills!B47,"AAAAAH3/+8w=")</f>
        <v>#VALUE!</v>
      </c>
      <c r="GX41" t="e">
        <f>AND(Bills!#REF!,"AAAAAH3/+80=")</f>
        <v>#REF!</v>
      </c>
      <c r="GY41" t="e">
        <f>AND(Bills!C47,"AAAAAH3/+84=")</f>
        <v>#VALUE!</v>
      </c>
      <c r="GZ41" t="e">
        <f>AND(Bills!D47,"AAAAAH3/+88=")</f>
        <v>#VALUE!</v>
      </c>
      <c r="HA41" t="e">
        <f>AND(Bills!E47,"AAAAAH3/+9A=")</f>
        <v>#VALUE!</v>
      </c>
      <c r="HB41" t="e">
        <f>AND(Bills!#REF!,"AAAAAH3/+9E=")</f>
        <v>#REF!</v>
      </c>
      <c r="HC41" t="e">
        <f>AND(Bills!#REF!,"AAAAAH3/+9I=")</f>
        <v>#REF!</v>
      </c>
      <c r="HD41" t="e">
        <f>AND(Bills!#REF!,"AAAAAH3/+9M=")</f>
        <v>#REF!</v>
      </c>
      <c r="HE41" t="e">
        <f>AND(Bills!F47,"AAAAAH3/+9Q=")</f>
        <v>#VALUE!</v>
      </c>
      <c r="HF41" t="e">
        <f>AND(Bills!#REF!,"AAAAAH3/+9U=")</f>
        <v>#REF!</v>
      </c>
      <c r="HG41" t="e">
        <f>AND(Bills!G47,"AAAAAH3/+9Y=")</f>
        <v>#VALUE!</v>
      </c>
      <c r="HH41" t="e">
        <f>AND(Bills!H47,"AAAAAH3/+9c=")</f>
        <v>#VALUE!</v>
      </c>
      <c r="HI41" t="e">
        <f>AND(Bills!I47,"AAAAAH3/+9g=")</f>
        <v>#VALUE!</v>
      </c>
      <c r="HJ41" t="e">
        <f>AND(Bills!J47,"AAAAAH3/+9k=")</f>
        <v>#VALUE!</v>
      </c>
      <c r="HK41" t="e">
        <f>AND(Bills!K47,"AAAAAH3/+9o=")</f>
        <v>#VALUE!</v>
      </c>
      <c r="HL41" t="e">
        <f>AND(Bills!L47,"AAAAAH3/+9s=")</f>
        <v>#VALUE!</v>
      </c>
      <c r="HM41" t="e">
        <f>AND(Bills!#REF!,"AAAAAH3/+9w=")</f>
        <v>#REF!</v>
      </c>
      <c r="HN41" t="e">
        <f>AND(Bills!M47,"AAAAAH3/+90=")</f>
        <v>#VALUE!</v>
      </c>
      <c r="HO41" t="e">
        <f>AND(Bills!N47,"AAAAAH3/+94=")</f>
        <v>#VALUE!</v>
      </c>
      <c r="HP41" t="e">
        <f>AND(Bills!O47,"AAAAAH3/+98=")</f>
        <v>#VALUE!</v>
      </c>
      <c r="HQ41" t="e">
        <f>AND(Bills!P47,"AAAAAH3/++A=")</f>
        <v>#VALUE!</v>
      </c>
      <c r="HR41" t="e">
        <f>AND(Bills!Q47,"AAAAAH3/++E=")</f>
        <v>#VALUE!</v>
      </c>
      <c r="HS41" t="e">
        <f>AND(Bills!R47,"AAAAAH3/++I=")</f>
        <v>#VALUE!</v>
      </c>
      <c r="HT41" t="e">
        <f>AND(Bills!S47,"AAAAAH3/++M=")</f>
        <v>#VALUE!</v>
      </c>
      <c r="HU41" t="e">
        <f>AND(Bills!T47,"AAAAAH3/++Q=")</f>
        <v>#VALUE!</v>
      </c>
      <c r="HV41" t="e">
        <f>AND(Bills!#REF!,"AAAAAH3/++U=")</f>
        <v>#REF!</v>
      </c>
      <c r="HW41" t="e">
        <f>AND(Bills!U47,"AAAAAH3/++Y=")</f>
        <v>#VALUE!</v>
      </c>
      <c r="HX41" t="e">
        <f>AND(Bills!V47,"AAAAAH3/++c=")</f>
        <v>#VALUE!</v>
      </c>
      <c r="HY41" t="e">
        <f>AND(Bills!W47,"AAAAAH3/++g=")</f>
        <v>#VALUE!</v>
      </c>
      <c r="HZ41" t="e">
        <f>AND(Bills!#REF!,"AAAAAH3/++k=")</f>
        <v>#REF!</v>
      </c>
      <c r="IA41" t="e">
        <f>AND(Bills!#REF!,"AAAAAH3/++o=")</f>
        <v>#REF!</v>
      </c>
      <c r="IB41" t="e">
        <f>AND(Bills!Y47,"AAAAAH3/++s=")</f>
        <v>#VALUE!</v>
      </c>
      <c r="IC41" t="e">
        <f>AND(Bills!Z47,"AAAAAH3/++w=")</f>
        <v>#VALUE!</v>
      </c>
      <c r="ID41" t="e">
        <f>AND(Bills!#REF!,"AAAAAH3/++0=")</f>
        <v>#REF!</v>
      </c>
      <c r="IE41" t="e">
        <f>AND(Bills!#REF!,"AAAAAH3/++4=")</f>
        <v>#REF!</v>
      </c>
      <c r="IF41" t="e">
        <f>AND(Bills!#REF!,"AAAAAH3/++8=")</f>
        <v>#REF!</v>
      </c>
      <c r="IG41" t="e">
        <f>AND(Bills!#REF!,"AAAAAH3/+/A=")</f>
        <v>#REF!</v>
      </c>
      <c r="IH41" t="e">
        <f>AND(Bills!#REF!,"AAAAAH3/+/E=")</f>
        <v>#REF!</v>
      </c>
      <c r="II41" t="e">
        <f>AND(Bills!#REF!,"AAAAAH3/+/I=")</f>
        <v>#REF!</v>
      </c>
      <c r="IJ41" t="e">
        <f>AND(Bills!#REF!,"AAAAAH3/+/M=")</f>
        <v>#REF!</v>
      </c>
      <c r="IK41" t="e">
        <f>AND(Bills!#REF!,"AAAAAH3/+/Q=")</f>
        <v>#REF!</v>
      </c>
      <c r="IL41" t="e">
        <f>AND(Bills!#REF!,"AAAAAH3/+/U=")</f>
        <v>#REF!</v>
      </c>
      <c r="IM41" t="e">
        <f>AND(Bills!AA47,"AAAAAH3/+/Y=")</f>
        <v>#VALUE!</v>
      </c>
      <c r="IN41" t="e">
        <f>AND(Bills!AB47,"AAAAAH3/+/c=")</f>
        <v>#VALUE!</v>
      </c>
      <c r="IO41" t="e">
        <f>AND(Bills!#REF!,"AAAAAH3/+/g=")</f>
        <v>#REF!</v>
      </c>
      <c r="IP41" t="e">
        <f>AND(Bills!#REF!,"AAAAAH3/+/k=")</f>
        <v>#REF!</v>
      </c>
      <c r="IQ41" t="e">
        <f>AND(Bills!#REF!,"AAAAAH3/+/o=")</f>
        <v>#REF!</v>
      </c>
      <c r="IR41" t="e">
        <f>AND(Bills!AC47,"AAAAAH3/+/s=")</f>
        <v>#VALUE!</v>
      </c>
      <c r="IS41" t="e">
        <f>AND(Bills!AD47,"AAAAAH3/+/w=")</f>
        <v>#VALUE!</v>
      </c>
      <c r="IT41" t="e">
        <f>AND(Bills!AE47,"AAAAAH3/+/0=")</f>
        <v>#VALUE!</v>
      </c>
      <c r="IU41">
        <f>IF(Bills!48:48,"AAAAAH3/+/4=",0)</f>
        <v>0</v>
      </c>
      <c r="IV41" t="e">
        <f>AND(Bills!B48,"AAAAAH3/+/8=")</f>
        <v>#VALUE!</v>
      </c>
    </row>
    <row r="42" spans="1:256" x14ac:dyDescent="0.25">
      <c r="A42" t="e">
        <f>AND(Bills!#REF!,"AAAAAEdf3wA=")</f>
        <v>#REF!</v>
      </c>
      <c r="B42" t="e">
        <f>AND(Bills!C48,"AAAAAEdf3wE=")</f>
        <v>#VALUE!</v>
      </c>
      <c r="C42" t="e">
        <f>AND(Bills!D48,"AAAAAEdf3wI=")</f>
        <v>#VALUE!</v>
      </c>
      <c r="D42" t="e">
        <f>AND(Bills!E48,"AAAAAEdf3wM=")</f>
        <v>#VALUE!</v>
      </c>
      <c r="E42" t="e">
        <f>AND(Bills!#REF!,"AAAAAEdf3wQ=")</f>
        <v>#REF!</v>
      </c>
      <c r="F42" t="e">
        <f>AND(Bills!#REF!,"AAAAAEdf3wU=")</f>
        <v>#REF!</v>
      </c>
      <c r="G42" t="e">
        <f>AND(Bills!#REF!,"AAAAAEdf3wY=")</f>
        <v>#REF!</v>
      </c>
      <c r="H42" t="e">
        <f>AND(Bills!F48,"AAAAAEdf3wc=")</f>
        <v>#VALUE!</v>
      </c>
      <c r="I42" t="e">
        <f>AND(Bills!#REF!,"AAAAAEdf3wg=")</f>
        <v>#REF!</v>
      </c>
      <c r="J42" t="e">
        <f>AND(Bills!G48,"AAAAAEdf3wk=")</f>
        <v>#VALUE!</v>
      </c>
      <c r="K42" t="e">
        <f>AND(Bills!H48,"AAAAAEdf3wo=")</f>
        <v>#VALUE!</v>
      </c>
      <c r="L42" t="e">
        <f>AND(Bills!I48,"AAAAAEdf3ws=")</f>
        <v>#VALUE!</v>
      </c>
      <c r="M42" t="e">
        <f>AND(Bills!J48,"AAAAAEdf3ww=")</f>
        <v>#VALUE!</v>
      </c>
      <c r="N42" t="e">
        <f>AND(Bills!K48,"AAAAAEdf3w0=")</f>
        <v>#VALUE!</v>
      </c>
      <c r="O42" t="e">
        <f>AND(Bills!L48,"AAAAAEdf3w4=")</f>
        <v>#VALUE!</v>
      </c>
      <c r="P42" t="e">
        <f>AND(Bills!#REF!,"AAAAAEdf3w8=")</f>
        <v>#REF!</v>
      </c>
      <c r="Q42" t="e">
        <f>AND(Bills!M48,"AAAAAEdf3xA=")</f>
        <v>#VALUE!</v>
      </c>
      <c r="R42" t="e">
        <f>AND(Bills!N48,"AAAAAEdf3xE=")</f>
        <v>#VALUE!</v>
      </c>
      <c r="S42" t="e">
        <f>AND(Bills!O48,"AAAAAEdf3xI=")</f>
        <v>#VALUE!</v>
      </c>
      <c r="T42" t="e">
        <f>AND(Bills!P48,"AAAAAEdf3xM=")</f>
        <v>#VALUE!</v>
      </c>
      <c r="U42" t="e">
        <f>AND(Bills!Q48,"AAAAAEdf3xQ=")</f>
        <v>#VALUE!</v>
      </c>
      <c r="V42" t="e">
        <f>AND(Bills!R48,"AAAAAEdf3xU=")</f>
        <v>#VALUE!</v>
      </c>
      <c r="W42" t="e">
        <f>AND(Bills!S48,"AAAAAEdf3xY=")</f>
        <v>#VALUE!</v>
      </c>
      <c r="X42" t="e">
        <f>AND(Bills!T48,"AAAAAEdf3xc=")</f>
        <v>#VALUE!</v>
      </c>
      <c r="Y42" t="e">
        <f>AND(Bills!#REF!,"AAAAAEdf3xg=")</f>
        <v>#REF!</v>
      </c>
      <c r="Z42" t="e">
        <f>AND(Bills!U48,"AAAAAEdf3xk=")</f>
        <v>#VALUE!</v>
      </c>
      <c r="AA42" t="e">
        <f>AND(Bills!V48,"AAAAAEdf3xo=")</f>
        <v>#VALUE!</v>
      </c>
      <c r="AB42" t="e">
        <f>AND(Bills!W48,"AAAAAEdf3xs=")</f>
        <v>#VALUE!</v>
      </c>
      <c r="AC42" t="e">
        <f>AND(Bills!#REF!,"AAAAAEdf3xw=")</f>
        <v>#REF!</v>
      </c>
      <c r="AD42" t="e">
        <f>AND(Bills!#REF!,"AAAAAEdf3x0=")</f>
        <v>#REF!</v>
      </c>
      <c r="AE42" t="e">
        <f>AND(Bills!Y48,"AAAAAEdf3x4=")</f>
        <v>#VALUE!</v>
      </c>
      <c r="AF42" t="e">
        <f>AND(Bills!Z48,"AAAAAEdf3x8=")</f>
        <v>#VALUE!</v>
      </c>
      <c r="AG42" t="e">
        <f>AND(Bills!#REF!,"AAAAAEdf3yA=")</f>
        <v>#REF!</v>
      </c>
      <c r="AH42" t="e">
        <f>AND(Bills!#REF!,"AAAAAEdf3yE=")</f>
        <v>#REF!</v>
      </c>
      <c r="AI42" t="e">
        <f>AND(Bills!#REF!,"AAAAAEdf3yI=")</f>
        <v>#REF!</v>
      </c>
      <c r="AJ42" t="e">
        <f>AND(Bills!#REF!,"AAAAAEdf3yM=")</f>
        <v>#REF!</v>
      </c>
      <c r="AK42" t="e">
        <f>AND(Bills!#REF!,"AAAAAEdf3yQ=")</f>
        <v>#REF!</v>
      </c>
      <c r="AL42" t="e">
        <f>AND(Bills!#REF!,"AAAAAEdf3yU=")</f>
        <v>#REF!</v>
      </c>
      <c r="AM42" t="e">
        <f>AND(Bills!#REF!,"AAAAAEdf3yY=")</f>
        <v>#REF!</v>
      </c>
      <c r="AN42" t="e">
        <f>AND(Bills!#REF!,"AAAAAEdf3yc=")</f>
        <v>#REF!</v>
      </c>
      <c r="AO42" t="e">
        <f>AND(Bills!#REF!,"AAAAAEdf3yg=")</f>
        <v>#REF!</v>
      </c>
      <c r="AP42" t="e">
        <f>AND(Bills!AA48,"AAAAAEdf3yk=")</f>
        <v>#VALUE!</v>
      </c>
      <c r="AQ42" t="e">
        <f>AND(Bills!AB48,"AAAAAEdf3yo=")</f>
        <v>#VALUE!</v>
      </c>
      <c r="AR42" t="e">
        <f>AND(Bills!#REF!,"AAAAAEdf3ys=")</f>
        <v>#REF!</v>
      </c>
      <c r="AS42" t="e">
        <f>AND(Bills!#REF!,"AAAAAEdf3yw=")</f>
        <v>#REF!</v>
      </c>
      <c r="AT42" t="e">
        <f>AND(Bills!#REF!,"AAAAAEdf3y0=")</f>
        <v>#REF!</v>
      </c>
      <c r="AU42" t="e">
        <f>AND(Bills!AC48,"AAAAAEdf3y4=")</f>
        <v>#VALUE!</v>
      </c>
      <c r="AV42" t="e">
        <f>AND(Bills!AD48,"AAAAAEdf3y8=")</f>
        <v>#VALUE!</v>
      </c>
      <c r="AW42" t="e">
        <f>AND(Bills!AE48,"AAAAAEdf3zA=")</f>
        <v>#VALUE!</v>
      </c>
      <c r="AX42">
        <f>IF(Bills!49:49,"AAAAAEdf3zE=",0)</f>
        <v>0</v>
      </c>
      <c r="AY42" t="e">
        <f>AND(Bills!B49,"AAAAAEdf3zI=")</f>
        <v>#VALUE!</v>
      </c>
      <c r="AZ42" t="e">
        <f>AND(Bills!#REF!,"AAAAAEdf3zM=")</f>
        <v>#REF!</v>
      </c>
      <c r="BA42" t="e">
        <f>AND(Bills!C49,"AAAAAEdf3zQ=")</f>
        <v>#VALUE!</v>
      </c>
      <c r="BB42" t="e">
        <f>AND(Bills!D49,"AAAAAEdf3zU=")</f>
        <v>#VALUE!</v>
      </c>
      <c r="BC42" t="e">
        <f>AND(Bills!E49,"AAAAAEdf3zY=")</f>
        <v>#VALUE!</v>
      </c>
      <c r="BD42" t="e">
        <f>AND(Bills!#REF!,"AAAAAEdf3zc=")</f>
        <v>#REF!</v>
      </c>
      <c r="BE42" t="e">
        <f>AND(Bills!#REF!,"AAAAAEdf3zg=")</f>
        <v>#REF!</v>
      </c>
      <c r="BF42" t="e">
        <f>AND(Bills!#REF!,"AAAAAEdf3zk=")</f>
        <v>#REF!</v>
      </c>
      <c r="BG42" t="e">
        <f>AND(Bills!F49,"AAAAAEdf3zo=")</f>
        <v>#VALUE!</v>
      </c>
      <c r="BH42" t="e">
        <f>AND(Bills!#REF!,"AAAAAEdf3zs=")</f>
        <v>#REF!</v>
      </c>
      <c r="BI42" t="e">
        <f>AND(Bills!G49,"AAAAAEdf3zw=")</f>
        <v>#VALUE!</v>
      </c>
      <c r="BJ42" t="e">
        <f>AND(Bills!H49,"AAAAAEdf3z0=")</f>
        <v>#VALUE!</v>
      </c>
      <c r="BK42" t="e">
        <f>AND(Bills!I49,"AAAAAEdf3z4=")</f>
        <v>#VALUE!</v>
      </c>
      <c r="BL42" t="e">
        <f>AND(Bills!J49,"AAAAAEdf3z8=")</f>
        <v>#VALUE!</v>
      </c>
      <c r="BM42" t="e">
        <f>AND(Bills!K49,"AAAAAEdf30A=")</f>
        <v>#VALUE!</v>
      </c>
      <c r="BN42" t="e">
        <f>AND(Bills!L49,"AAAAAEdf30E=")</f>
        <v>#VALUE!</v>
      </c>
      <c r="BO42" t="e">
        <f>AND(Bills!#REF!,"AAAAAEdf30I=")</f>
        <v>#REF!</v>
      </c>
      <c r="BP42" t="e">
        <f>AND(Bills!M49,"AAAAAEdf30M=")</f>
        <v>#VALUE!</v>
      </c>
      <c r="BQ42" t="e">
        <f>AND(Bills!N49,"AAAAAEdf30Q=")</f>
        <v>#VALUE!</v>
      </c>
      <c r="BR42" t="e">
        <f>AND(Bills!O49,"AAAAAEdf30U=")</f>
        <v>#VALUE!</v>
      </c>
      <c r="BS42" t="e">
        <f>AND(Bills!P49,"AAAAAEdf30Y=")</f>
        <v>#VALUE!</v>
      </c>
      <c r="BT42" t="e">
        <f>AND(Bills!Q49,"AAAAAEdf30c=")</f>
        <v>#VALUE!</v>
      </c>
      <c r="BU42" t="e">
        <f>AND(Bills!R49,"AAAAAEdf30g=")</f>
        <v>#VALUE!</v>
      </c>
      <c r="BV42" t="e">
        <f>AND(Bills!S49,"AAAAAEdf30k=")</f>
        <v>#VALUE!</v>
      </c>
      <c r="BW42" t="e">
        <f>AND(Bills!T49,"AAAAAEdf30o=")</f>
        <v>#VALUE!</v>
      </c>
      <c r="BX42" t="e">
        <f>AND(Bills!#REF!,"AAAAAEdf30s=")</f>
        <v>#REF!</v>
      </c>
      <c r="BY42" t="e">
        <f>AND(Bills!U49,"AAAAAEdf30w=")</f>
        <v>#VALUE!</v>
      </c>
      <c r="BZ42" t="e">
        <f>AND(Bills!V49,"AAAAAEdf300=")</f>
        <v>#VALUE!</v>
      </c>
      <c r="CA42" t="e">
        <f>AND(Bills!W49,"AAAAAEdf304=")</f>
        <v>#VALUE!</v>
      </c>
      <c r="CB42" t="e">
        <f>AND(Bills!#REF!,"AAAAAEdf308=")</f>
        <v>#REF!</v>
      </c>
      <c r="CC42" t="e">
        <f>AND(Bills!#REF!,"AAAAAEdf31A=")</f>
        <v>#REF!</v>
      </c>
      <c r="CD42" t="e">
        <f>AND(Bills!Y49,"AAAAAEdf31E=")</f>
        <v>#VALUE!</v>
      </c>
      <c r="CE42" t="e">
        <f>AND(Bills!Z49,"AAAAAEdf31I=")</f>
        <v>#VALUE!</v>
      </c>
      <c r="CF42" t="e">
        <f>AND(Bills!#REF!,"AAAAAEdf31M=")</f>
        <v>#REF!</v>
      </c>
      <c r="CG42" t="e">
        <f>AND(Bills!#REF!,"AAAAAEdf31Q=")</f>
        <v>#REF!</v>
      </c>
      <c r="CH42" t="e">
        <f>AND(Bills!#REF!,"AAAAAEdf31U=")</f>
        <v>#REF!</v>
      </c>
      <c r="CI42" t="e">
        <f>AND(Bills!#REF!,"AAAAAEdf31Y=")</f>
        <v>#REF!</v>
      </c>
      <c r="CJ42" t="e">
        <f>AND(Bills!#REF!,"AAAAAEdf31c=")</f>
        <v>#REF!</v>
      </c>
      <c r="CK42" t="e">
        <f>AND(Bills!#REF!,"AAAAAEdf31g=")</f>
        <v>#REF!</v>
      </c>
      <c r="CL42" t="e">
        <f>AND(Bills!#REF!,"AAAAAEdf31k=")</f>
        <v>#REF!</v>
      </c>
      <c r="CM42" t="e">
        <f>AND(Bills!#REF!,"AAAAAEdf31o=")</f>
        <v>#REF!</v>
      </c>
      <c r="CN42" t="e">
        <f>AND(Bills!#REF!,"AAAAAEdf31s=")</f>
        <v>#REF!</v>
      </c>
      <c r="CO42" t="e">
        <f>AND(Bills!AA49,"AAAAAEdf31w=")</f>
        <v>#VALUE!</v>
      </c>
      <c r="CP42" t="e">
        <f>AND(Bills!AB49,"AAAAAEdf310=")</f>
        <v>#VALUE!</v>
      </c>
      <c r="CQ42" t="e">
        <f>AND(Bills!#REF!,"AAAAAEdf314=")</f>
        <v>#REF!</v>
      </c>
      <c r="CR42" t="e">
        <f>AND(Bills!#REF!,"AAAAAEdf318=")</f>
        <v>#REF!</v>
      </c>
      <c r="CS42" t="e">
        <f>AND(Bills!#REF!,"AAAAAEdf32A=")</f>
        <v>#REF!</v>
      </c>
      <c r="CT42" t="e">
        <f>AND(Bills!AC49,"AAAAAEdf32E=")</f>
        <v>#VALUE!</v>
      </c>
      <c r="CU42" t="e">
        <f>AND(Bills!AD49,"AAAAAEdf32I=")</f>
        <v>#VALUE!</v>
      </c>
      <c r="CV42" t="e">
        <f>AND(Bills!AE49,"AAAAAEdf32M=")</f>
        <v>#VALUE!</v>
      </c>
      <c r="CW42">
        <f>IF(Bills!50:50,"AAAAAEdf32Q=",0)</f>
        <v>0</v>
      </c>
      <c r="CX42" t="e">
        <f>AND(Bills!B50,"AAAAAEdf32U=")</f>
        <v>#VALUE!</v>
      </c>
      <c r="CY42" t="e">
        <f>AND(Bills!#REF!,"AAAAAEdf32Y=")</f>
        <v>#REF!</v>
      </c>
      <c r="CZ42" t="e">
        <f>AND(Bills!C50,"AAAAAEdf32c=")</f>
        <v>#VALUE!</v>
      </c>
      <c r="DA42" t="e">
        <f>AND(Bills!D50,"AAAAAEdf32g=")</f>
        <v>#VALUE!</v>
      </c>
      <c r="DB42" t="e">
        <f>AND(Bills!E50,"AAAAAEdf32k=")</f>
        <v>#VALUE!</v>
      </c>
      <c r="DC42" t="e">
        <f>AND(Bills!#REF!,"AAAAAEdf32o=")</f>
        <v>#REF!</v>
      </c>
      <c r="DD42" t="e">
        <f>AND(Bills!#REF!,"AAAAAEdf32s=")</f>
        <v>#REF!</v>
      </c>
      <c r="DE42" t="e">
        <f>AND(Bills!#REF!,"AAAAAEdf32w=")</f>
        <v>#REF!</v>
      </c>
      <c r="DF42" t="e">
        <f>AND(Bills!F50,"AAAAAEdf320=")</f>
        <v>#VALUE!</v>
      </c>
      <c r="DG42" t="e">
        <f>AND(Bills!#REF!,"AAAAAEdf324=")</f>
        <v>#REF!</v>
      </c>
      <c r="DH42" t="e">
        <f>AND(Bills!G50,"AAAAAEdf328=")</f>
        <v>#VALUE!</v>
      </c>
      <c r="DI42" t="e">
        <f>AND(Bills!H50,"AAAAAEdf33A=")</f>
        <v>#VALUE!</v>
      </c>
      <c r="DJ42" t="e">
        <f>AND(Bills!I50,"AAAAAEdf33E=")</f>
        <v>#VALUE!</v>
      </c>
      <c r="DK42" t="e">
        <f>AND(Bills!J50,"AAAAAEdf33I=")</f>
        <v>#VALUE!</v>
      </c>
      <c r="DL42" t="e">
        <f>AND(Bills!K50,"AAAAAEdf33M=")</f>
        <v>#VALUE!</v>
      </c>
      <c r="DM42" t="e">
        <f>AND(Bills!L50,"AAAAAEdf33Q=")</f>
        <v>#VALUE!</v>
      </c>
      <c r="DN42" t="e">
        <f>AND(Bills!#REF!,"AAAAAEdf33U=")</f>
        <v>#REF!</v>
      </c>
      <c r="DO42" t="e">
        <f>AND(Bills!M50,"AAAAAEdf33Y=")</f>
        <v>#VALUE!</v>
      </c>
      <c r="DP42" t="e">
        <f>AND(Bills!N50,"AAAAAEdf33c=")</f>
        <v>#VALUE!</v>
      </c>
      <c r="DQ42" t="e">
        <f>AND(Bills!O50,"AAAAAEdf33g=")</f>
        <v>#VALUE!</v>
      </c>
      <c r="DR42" t="e">
        <f>AND(Bills!P50,"AAAAAEdf33k=")</f>
        <v>#VALUE!</v>
      </c>
      <c r="DS42" t="e">
        <f>AND(Bills!Q50,"AAAAAEdf33o=")</f>
        <v>#VALUE!</v>
      </c>
      <c r="DT42" t="e">
        <f>AND(Bills!R50,"AAAAAEdf33s=")</f>
        <v>#VALUE!</v>
      </c>
      <c r="DU42" t="e">
        <f>AND(Bills!S50,"AAAAAEdf33w=")</f>
        <v>#VALUE!</v>
      </c>
      <c r="DV42" t="e">
        <f>AND(Bills!T50,"AAAAAEdf330=")</f>
        <v>#VALUE!</v>
      </c>
      <c r="DW42" t="e">
        <f>AND(Bills!#REF!,"AAAAAEdf334=")</f>
        <v>#REF!</v>
      </c>
      <c r="DX42" t="e">
        <f>AND(Bills!U50,"AAAAAEdf338=")</f>
        <v>#VALUE!</v>
      </c>
      <c r="DY42" t="e">
        <f>AND(Bills!V50,"AAAAAEdf34A=")</f>
        <v>#VALUE!</v>
      </c>
      <c r="DZ42" t="e">
        <f>AND(Bills!W50,"AAAAAEdf34E=")</f>
        <v>#VALUE!</v>
      </c>
      <c r="EA42" t="e">
        <f>AND(Bills!#REF!,"AAAAAEdf34I=")</f>
        <v>#REF!</v>
      </c>
      <c r="EB42" t="e">
        <f>AND(Bills!#REF!,"AAAAAEdf34M=")</f>
        <v>#REF!</v>
      </c>
      <c r="EC42" t="e">
        <f>AND(Bills!Y50,"AAAAAEdf34Q=")</f>
        <v>#VALUE!</v>
      </c>
      <c r="ED42" t="e">
        <f>AND(Bills!Z50,"AAAAAEdf34U=")</f>
        <v>#VALUE!</v>
      </c>
      <c r="EE42" t="e">
        <f>AND(Bills!#REF!,"AAAAAEdf34Y=")</f>
        <v>#REF!</v>
      </c>
      <c r="EF42" t="e">
        <f>AND(Bills!#REF!,"AAAAAEdf34c=")</f>
        <v>#REF!</v>
      </c>
      <c r="EG42" t="e">
        <f>AND(Bills!#REF!,"AAAAAEdf34g=")</f>
        <v>#REF!</v>
      </c>
      <c r="EH42" t="e">
        <f>AND(Bills!#REF!,"AAAAAEdf34k=")</f>
        <v>#REF!</v>
      </c>
      <c r="EI42" t="e">
        <f>AND(Bills!#REF!,"AAAAAEdf34o=")</f>
        <v>#REF!</v>
      </c>
      <c r="EJ42" t="e">
        <f>AND(Bills!#REF!,"AAAAAEdf34s=")</f>
        <v>#REF!</v>
      </c>
      <c r="EK42" t="e">
        <f>AND(Bills!#REF!,"AAAAAEdf34w=")</f>
        <v>#REF!</v>
      </c>
      <c r="EL42" t="e">
        <f>AND(Bills!#REF!,"AAAAAEdf340=")</f>
        <v>#REF!</v>
      </c>
      <c r="EM42" t="e">
        <f>AND(Bills!#REF!,"AAAAAEdf344=")</f>
        <v>#REF!</v>
      </c>
      <c r="EN42" t="e">
        <f>AND(Bills!AA50,"AAAAAEdf348=")</f>
        <v>#VALUE!</v>
      </c>
      <c r="EO42" t="e">
        <f>AND(Bills!AB50,"AAAAAEdf35A=")</f>
        <v>#VALUE!</v>
      </c>
      <c r="EP42" t="e">
        <f>AND(Bills!#REF!,"AAAAAEdf35E=")</f>
        <v>#REF!</v>
      </c>
      <c r="EQ42" t="e">
        <f>AND(Bills!#REF!,"AAAAAEdf35I=")</f>
        <v>#REF!</v>
      </c>
      <c r="ER42" t="e">
        <f>AND(Bills!#REF!,"AAAAAEdf35M=")</f>
        <v>#REF!</v>
      </c>
      <c r="ES42" t="e">
        <f>AND(Bills!AC50,"AAAAAEdf35Q=")</f>
        <v>#VALUE!</v>
      </c>
      <c r="ET42" t="e">
        <f>AND(Bills!AD50,"AAAAAEdf35U=")</f>
        <v>#VALUE!</v>
      </c>
      <c r="EU42" t="e">
        <f>AND(Bills!AE50,"AAAAAEdf35Y=")</f>
        <v>#VALUE!</v>
      </c>
      <c r="EV42">
        <f>IF(Bills!51:51,"AAAAAEdf35c=",0)</f>
        <v>0</v>
      </c>
      <c r="EW42" t="e">
        <f>AND(Bills!B51,"AAAAAEdf35g=")</f>
        <v>#VALUE!</v>
      </c>
      <c r="EX42" t="e">
        <f>AND(Bills!#REF!,"AAAAAEdf35k=")</f>
        <v>#REF!</v>
      </c>
      <c r="EY42" t="e">
        <f>AND(Bills!C51,"AAAAAEdf35o=")</f>
        <v>#VALUE!</v>
      </c>
      <c r="EZ42" t="e">
        <f>AND(Bills!D51,"AAAAAEdf35s=")</f>
        <v>#VALUE!</v>
      </c>
      <c r="FA42" t="e">
        <f>AND(Bills!E51,"AAAAAEdf35w=")</f>
        <v>#VALUE!</v>
      </c>
      <c r="FB42" t="e">
        <f>AND(Bills!#REF!,"AAAAAEdf350=")</f>
        <v>#REF!</v>
      </c>
      <c r="FC42" t="e">
        <f>AND(Bills!#REF!,"AAAAAEdf354=")</f>
        <v>#REF!</v>
      </c>
      <c r="FD42" t="e">
        <f>AND(Bills!#REF!,"AAAAAEdf358=")</f>
        <v>#REF!</v>
      </c>
      <c r="FE42" t="e">
        <f>AND(Bills!F51,"AAAAAEdf36A=")</f>
        <v>#VALUE!</v>
      </c>
      <c r="FF42" t="e">
        <f>AND(Bills!#REF!,"AAAAAEdf36E=")</f>
        <v>#REF!</v>
      </c>
      <c r="FG42" t="e">
        <f>AND(Bills!G51,"AAAAAEdf36I=")</f>
        <v>#VALUE!</v>
      </c>
      <c r="FH42" t="e">
        <f>AND(Bills!H51,"AAAAAEdf36M=")</f>
        <v>#VALUE!</v>
      </c>
      <c r="FI42" t="e">
        <f>AND(Bills!I51,"AAAAAEdf36Q=")</f>
        <v>#VALUE!</v>
      </c>
      <c r="FJ42" t="e">
        <f>AND(Bills!J51,"AAAAAEdf36U=")</f>
        <v>#VALUE!</v>
      </c>
      <c r="FK42" t="e">
        <f>AND(Bills!K51,"AAAAAEdf36Y=")</f>
        <v>#VALUE!</v>
      </c>
      <c r="FL42" t="e">
        <f>AND(Bills!L51,"AAAAAEdf36c=")</f>
        <v>#VALUE!</v>
      </c>
      <c r="FM42" t="e">
        <f>AND(Bills!#REF!,"AAAAAEdf36g=")</f>
        <v>#REF!</v>
      </c>
      <c r="FN42" t="e">
        <f>AND(Bills!M51,"AAAAAEdf36k=")</f>
        <v>#VALUE!</v>
      </c>
      <c r="FO42" t="e">
        <f>AND(Bills!N51,"AAAAAEdf36o=")</f>
        <v>#VALUE!</v>
      </c>
      <c r="FP42" t="e">
        <f>AND(Bills!O51,"AAAAAEdf36s=")</f>
        <v>#VALUE!</v>
      </c>
      <c r="FQ42" t="e">
        <f>AND(Bills!P51,"AAAAAEdf36w=")</f>
        <v>#VALUE!</v>
      </c>
      <c r="FR42" t="e">
        <f>AND(Bills!Q51,"AAAAAEdf360=")</f>
        <v>#VALUE!</v>
      </c>
      <c r="FS42" t="e">
        <f>AND(Bills!R51,"AAAAAEdf364=")</f>
        <v>#VALUE!</v>
      </c>
      <c r="FT42" t="e">
        <f>AND(Bills!S51,"AAAAAEdf368=")</f>
        <v>#VALUE!</v>
      </c>
      <c r="FU42" t="e">
        <f>AND(Bills!T51,"AAAAAEdf37A=")</f>
        <v>#VALUE!</v>
      </c>
      <c r="FV42" t="e">
        <f>AND(Bills!#REF!,"AAAAAEdf37E=")</f>
        <v>#REF!</v>
      </c>
      <c r="FW42" t="e">
        <f>AND(Bills!U51,"AAAAAEdf37I=")</f>
        <v>#VALUE!</v>
      </c>
      <c r="FX42" t="e">
        <f>AND(Bills!V51,"AAAAAEdf37M=")</f>
        <v>#VALUE!</v>
      </c>
      <c r="FY42" t="e">
        <f>AND(Bills!W51,"AAAAAEdf37Q=")</f>
        <v>#VALUE!</v>
      </c>
      <c r="FZ42" t="e">
        <f>AND(Bills!#REF!,"AAAAAEdf37U=")</f>
        <v>#REF!</v>
      </c>
      <c r="GA42" t="e">
        <f>AND(Bills!#REF!,"AAAAAEdf37Y=")</f>
        <v>#REF!</v>
      </c>
      <c r="GB42" t="e">
        <f>AND(Bills!Y51,"AAAAAEdf37c=")</f>
        <v>#VALUE!</v>
      </c>
      <c r="GC42" t="e">
        <f>AND(Bills!Z51,"AAAAAEdf37g=")</f>
        <v>#VALUE!</v>
      </c>
      <c r="GD42" t="e">
        <f>AND(Bills!#REF!,"AAAAAEdf37k=")</f>
        <v>#REF!</v>
      </c>
      <c r="GE42" t="e">
        <f>AND(Bills!#REF!,"AAAAAEdf37o=")</f>
        <v>#REF!</v>
      </c>
      <c r="GF42" t="e">
        <f>AND(Bills!#REF!,"AAAAAEdf37s=")</f>
        <v>#REF!</v>
      </c>
      <c r="GG42" t="e">
        <f>AND(Bills!#REF!,"AAAAAEdf37w=")</f>
        <v>#REF!</v>
      </c>
      <c r="GH42" t="e">
        <f>AND(Bills!#REF!,"AAAAAEdf370=")</f>
        <v>#REF!</v>
      </c>
      <c r="GI42" t="e">
        <f>AND(Bills!#REF!,"AAAAAEdf374=")</f>
        <v>#REF!</v>
      </c>
      <c r="GJ42" t="e">
        <f>AND(Bills!#REF!,"AAAAAEdf378=")</f>
        <v>#REF!</v>
      </c>
      <c r="GK42" t="e">
        <f>AND(Bills!#REF!,"AAAAAEdf38A=")</f>
        <v>#REF!</v>
      </c>
      <c r="GL42" t="e">
        <f>AND(Bills!#REF!,"AAAAAEdf38E=")</f>
        <v>#REF!</v>
      </c>
      <c r="GM42" t="e">
        <f>AND(Bills!AA51,"AAAAAEdf38I=")</f>
        <v>#VALUE!</v>
      </c>
      <c r="GN42" t="e">
        <f>AND(Bills!AB51,"AAAAAEdf38M=")</f>
        <v>#VALUE!</v>
      </c>
      <c r="GO42" t="e">
        <f>AND(Bills!#REF!,"AAAAAEdf38Q=")</f>
        <v>#REF!</v>
      </c>
      <c r="GP42" t="e">
        <f>AND(Bills!#REF!,"AAAAAEdf38U=")</f>
        <v>#REF!</v>
      </c>
      <c r="GQ42" t="e">
        <f>AND(Bills!#REF!,"AAAAAEdf38Y=")</f>
        <v>#REF!</v>
      </c>
      <c r="GR42" t="e">
        <f>AND(Bills!AC51,"AAAAAEdf38c=")</f>
        <v>#VALUE!</v>
      </c>
      <c r="GS42" t="e">
        <f>AND(Bills!AD51,"AAAAAEdf38g=")</f>
        <v>#VALUE!</v>
      </c>
      <c r="GT42" t="e">
        <f>AND(Bills!AE51,"AAAAAEdf38k=")</f>
        <v>#VALUE!</v>
      </c>
      <c r="GU42">
        <f>IF(Bills!52:52,"AAAAAEdf38o=",0)</f>
        <v>0</v>
      </c>
      <c r="GV42" t="e">
        <f>AND(Bills!B52,"AAAAAEdf38s=")</f>
        <v>#VALUE!</v>
      </c>
      <c r="GW42" t="e">
        <f>AND(Bills!#REF!,"AAAAAEdf38w=")</f>
        <v>#REF!</v>
      </c>
      <c r="GX42" t="e">
        <f>AND(Bills!C52,"AAAAAEdf380=")</f>
        <v>#VALUE!</v>
      </c>
      <c r="GY42" t="e">
        <f>AND(Bills!D52,"AAAAAEdf384=")</f>
        <v>#VALUE!</v>
      </c>
      <c r="GZ42" t="e">
        <f>AND(Bills!E52,"AAAAAEdf388=")</f>
        <v>#VALUE!</v>
      </c>
      <c r="HA42" t="e">
        <f>AND(Bills!#REF!,"AAAAAEdf39A=")</f>
        <v>#REF!</v>
      </c>
      <c r="HB42" t="e">
        <f>AND(Bills!#REF!,"AAAAAEdf39E=")</f>
        <v>#REF!</v>
      </c>
      <c r="HC42" t="e">
        <f>AND(Bills!#REF!,"AAAAAEdf39I=")</f>
        <v>#REF!</v>
      </c>
      <c r="HD42" t="e">
        <f>AND(Bills!F52,"AAAAAEdf39M=")</f>
        <v>#VALUE!</v>
      </c>
      <c r="HE42" t="e">
        <f>AND(Bills!#REF!,"AAAAAEdf39Q=")</f>
        <v>#REF!</v>
      </c>
      <c r="HF42" t="e">
        <f>AND(Bills!G52,"AAAAAEdf39U=")</f>
        <v>#VALUE!</v>
      </c>
      <c r="HG42" t="e">
        <f>AND(Bills!H52,"AAAAAEdf39Y=")</f>
        <v>#VALUE!</v>
      </c>
      <c r="HH42" t="e">
        <f>AND(Bills!I52,"AAAAAEdf39c=")</f>
        <v>#VALUE!</v>
      </c>
      <c r="HI42" t="e">
        <f>AND(Bills!J52,"AAAAAEdf39g=")</f>
        <v>#VALUE!</v>
      </c>
      <c r="HJ42" t="e">
        <f>AND(Bills!K52,"AAAAAEdf39k=")</f>
        <v>#VALUE!</v>
      </c>
      <c r="HK42" t="e">
        <f>AND(Bills!L52,"AAAAAEdf39o=")</f>
        <v>#VALUE!</v>
      </c>
      <c r="HL42" t="e">
        <f>AND(Bills!#REF!,"AAAAAEdf39s=")</f>
        <v>#REF!</v>
      </c>
      <c r="HM42" t="e">
        <f>AND(Bills!M52,"AAAAAEdf39w=")</f>
        <v>#VALUE!</v>
      </c>
      <c r="HN42" t="e">
        <f>AND(Bills!N52,"AAAAAEdf390=")</f>
        <v>#VALUE!</v>
      </c>
      <c r="HO42" t="e">
        <f>AND(Bills!O52,"AAAAAEdf394=")</f>
        <v>#VALUE!</v>
      </c>
      <c r="HP42" t="e">
        <f>AND(Bills!P52,"AAAAAEdf398=")</f>
        <v>#VALUE!</v>
      </c>
      <c r="HQ42" t="e">
        <f>AND(Bills!Q52,"AAAAAEdf3+A=")</f>
        <v>#VALUE!</v>
      </c>
      <c r="HR42" t="e">
        <f>AND(Bills!R52,"AAAAAEdf3+E=")</f>
        <v>#VALUE!</v>
      </c>
      <c r="HS42" t="e">
        <f>AND(Bills!S52,"AAAAAEdf3+I=")</f>
        <v>#VALUE!</v>
      </c>
      <c r="HT42" t="e">
        <f>AND(Bills!T52,"AAAAAEdf3+M=")</f>
        <v>#VALUE!</v>
      </c>
      <c r="HU42" t="e">
        <f>AND(Bills!#REF!,"AAAAAEdf3+Q=")</f>
        <v>#REF!</v>
      </c>
      <c r="HV42" t="e">
        <f>AND(Bills!U52,"AAAAAEdf3+U=")</f>
        <v>#VALUE!</v>
      </c>
      <c r="HW42" t="e">
        <f>AND(Bills!V52,"AAAAAEdf3+Y=")</f>
        <v>#VALUE!</v>
      </c>
      <c r="HX42" t="e">
        <f>AND(Bills!W52,"AAAAAEdf3+c=")</f>
        <v>#VALUE!</v>
      </c>
      <c r="HY42" t="e">
        <f>AND(Bills!#REF!,"AAAAAEdf3+g=")</f>
        <v>#REF!</v>
      </c>
      <c r="HZ42" t="e">
        <f>AND(Bills!#REF!,"AAAAAEdf3+k=")</f>
        <v>#REF!</v>
      </c>
      <c r="IA42" t="e">
        <f>AND(Bills!Y52,"AAAAAEdf3+o=")</f>
        <v>#VALUE!</v>
      </c>
      <c r="IB42" t="e">
        <f>AND(Bills!Z52,"AAAAAEdf3+s=")</f>
        <v>#VALUE!</v>
      </c>
      <c r="IC42" t="e">
        <f>AND(Bills!#REF!,"AAAAAEdf3+w=")</f>
        <v>#REF!</v>
      </c>
      <c r="ID42" t="e">
        <f>AND(Bills!#REF!,"AAAAAEdf3+0=")</f>
        <v>#REF!</v>
      </c>
      <c r="IE42" t="e">
        <f>AND(Bills!#REF!,"AAAAAEdf3+4=")</f>
        <v>#REF!</v>
      </c>
      <c r="IF42" t="e">
        <f>AND(Bills!#REF!,"AAAAAEdf3+8=")</f>
        <v>#REF!</v>
      </c>
      <c r="IG42" t="e">
        <f>AND(Bills!#REF!,"AAAAAEdf3/A=")</f>
        <v>#REF!</v>
      </c>
      <c r="IH42" t="e">
        <f>AND(Bills!#REF!,"AAAAAEdf3/E=")</f>
        <v>#REF!</v>
      </c>
      <c r="II42" t="e">
        <f>AND(Bills!#REF!,"AAAAAEdf3/I=")</f>
        <v>#REF!</v>
      </c>
      <c r="IJ42" t="e">
        <f>AND(Bills!#REF!,"AAAAAEdf3/M=")</f>
        <v>#REF!</v>
      </c>
      <c r="IK42" t="e">
        <f>AND(Bills!#REF!,"AAAAAEdf3/Q=")</f>
        <v>#REF!</v>
      </c>
      <c r="IL42" t="e">
        <f>AND(Bills!AA52,"AAAAAEdf3/U=")</f>
        <v>#VALUE!</v>
      </c>
      <c r="IM42" t="e">
        <f>AND(Bills!AB52,"AAAAAEdf3/Y=")</f>
        <v>#VALUE!</v>
      </c>
      <c r="IN42" t="e">
        <f>AND(Bills!#REF!,"AAAAAEdf3/c=")</f>
        <v>#REF!</v>
      </c>
      <c r="IO42" t="e">
        <f>AND(Bills!#REF!,"AAAAAEdf3/g=")</f>
        <v>#REF!</v>
      </c>
      <c r="IP42" t="e">
        <f>AND(Bills!#REF!,"AAAAAEdf3/k=")</f>
        <v>#REF!</v>
      </c>
      <c r="IQ42" t="e">
        <f>AND(Bills!AC52,"AAAAAEdf3/o=")</f>
        <v>#VALUE!</v>
      </c>
      <c r="IR42" t="e">
        <f>AND(Bills!AD52,"AAAAAEdf3/s=")</f>
        <v>#VALUE!</v>
      </c>
      <c r="IS42" t="e">
        <f>AND(Bills!AE52,"AAAAAEdf3/w=")</f>
        <v>#VALUE!</v>
      </c>
      <c r="IT42">
        <f>IF(Bills!53:53,"AAAAAEdf3/0=",0)</f>
        <v>0</v>
      </c>
      <c r="IU42" t="e">
        <f>AND(Bills!B53,"AAAAAEdf3/4=")</f>
        <v>#VALUE!</v>
      </c>
      <c r="IV42" t="e">
        <f>AND(Bills!#REF!,"AAAAAEdf3/8=")</f>
        <v>#REF!</v>
      </c>
    </row>
    <row r="43" spans="1:256" x14ac:dyDescent="0.25">
      <c r="A43" t="e">
        <f>AND(Bills!C53,"AAAAAD99mQA=")</f>
        <v>#VALUE!</v>
      </c>
      <c r="B43" t="e">
        <f>AND(Bills!D53,"AAAAAD99mQE=")</f>
        <v>#VALUE!</v>
      </c>
      <c r="C43" t="e">
        <f>AND(Bills!E53,"AAAAAD99mQI=")</f>
        <v>#VALUE!</v>
      </c>
      <c r="D43" t="e">
        <f>AND(Bills!#REF!,"AAAAAD99mQM=")</f>
        <v>#REF!</v>
      </c>
      <c r="E43" t="e">
        <f>AND(Bills!#REF!,"AAAAAD99mQQ=")</f>
        <v>#REF!</v>
      </c>
      <c r="F43" t="e">
        <f>AND(Bills!#REF!,"AAAAAD99mQU=")</f>
        <v>#REF!</v>
      </c>
      <c r="G43" t="e">
        <f>AND(Bills!F53,"AAAAAD99mQY=")</f>
        <v>#VALUE!</v>
      </c>
      <c r="H43" t="e">
        <f>AND(Bills!#REF!,"AAAAAD99mQc=")</f>
        <v>#REF!</v>
      </c>
      <c r="I43" t="e">
        <f>AND(Bills!G53,"AAAAAD99mQg=")</f>
        <v>#VALUE!</v>
      </c>
      <c r="J43" t="e">
        <f>AND(Bills!H53,"AAAAAD99mQk=")</f>
        <v>#VALUE!</v>
      </c>
      <c r="K43" t="e">
        <f>AND(Bills!I53,"AAAAAD99mQo=")</f>
        <v>#VALUE!</v>
      </c>
      <c r="L43" t="e">
        <f>AND(Bills!J53,"AAAAAD99mQs=")</f>
        <v>#VALUE!</v>
      </c>
      <c r="M43" t="e">
        <f>AND(Bills!K53,"AAAAAD99mQw=")</f>
        <v>#VALUE!</v>
      </c>
      <c r="N43" t="e">
        <f>AND(Bills!L53,"AAAAAD99mQ0=")</f>
        <v>#VALUE!</v>
      </c>
      <c r="O43" t="e">
        <f>AND(Bills!#REF!,"AAAAAD99mQ4=")</f>
        <v>#REF!</v>
      </c>
      <c r="P43" t="e">
        <f>AND(Bills!M53,"AAAAAD99mQ8=")</f>
        <v>#VALUE!</v>
      </c>
      <c r="Q43" t="e">
        <f>AND(Bills!N53,"AAAAAD99mRA=")</f>
        <v>#VALUE!</v>
      </c>
      <c r="R43" t="e">
        <f>AND(Bills!O53,"AAAAAD99mRE=")</f>
        <v>#VALUE!</v>
      </c>
      <c r="S43" t="e">
        <f>AND(Bills!P53,"AAAAAD99mRI=")</f>
        <v>#VALUE!</v>
      </c>
      <c r="T43" t="e">
        <f>AND(Bills!Q53,"AAAAAD99mRM=")</f>
        <v>#VALUE!</v>
      </c>
      <c r="U43" t="e">
        <f>AND(Bills!R53,"AAAAAD99mRQ=")</f>
        <v>#VALUE!</v>
      </c>
      <c r="V43" t="e">
        <f>AND(Bills!S53,"AAAAAD99mRU=")</f>
        <v>#VALUE!</v>
      </c>
      <c r="W43" t="e">
        <f>AND(Bills!T53,"AAAAAD99mRY=")</f>
        <v>#VALUE!</v>
      </c>
      <c r="X43" t="e">
        <f>AND(Bills!#REF!,"AAAAAD99mRc=")</f>
        <v>#REF!</v>
      </c>
      <c r="Y43" t="e">
        <f>AND(Bills!U53,"AAAAAD99mRg=")</f>
        <v>#VALUE!</v>
      </c>
      <c r="Z43" t="e">
        <f>AND(Bills!V53,"AAAAAD99mRk=")</f>
        <v>#VALUE!</v>
      </c>
      <c r="AA43" t="e">
        <f>AND(Bills!W53,"AAAAAD99mRo=")</f>
        <v>#VALUE!</v>
      </c>
      <c r="AB43" t="e">
        <f>AND(Bills!#REF!,"AAAAAD99mRs=")</f>
        <v>#REF!</v>
      </c>
      <c r="AC43" t="e">
        <f>AND(Bills!#REF!,"AAAAAD99mRw=")</f>
        <v>#REF!</v>
      </c>
      <c r="AD43" t="e">
        <f>AND(Bills!Y53,"AAAAAD99mR0=")</f>
        <v>#VALUE!</v>
      </c>
      <c r="AE43" t="e">
        <f>AND(Bills!Z53,"AAAAAD99mR4=")</f>
        <v>#VALUE!</v>
      </c>
      <c r="AF43" t="e">
        <f>AND(Bills!#REF!,"AAAAAD99mR8=")</f>
        <v>#REF!</v>
      </c>
      <c r="AG43" t="e">
        <f>AND(Bills!#REF!,"AAAAAD99mSA=")</f>
        <v>#REF!</v>
      </c>
      <c r="AH43" t="e">
        <f>AND(Bills!#REF!,"AAAAAD99mSE=")</f>
        <v>#REF!</v>
      </c>
      <c r="AI43" t="e">
        <f>AND(Bills!#REF!,"AAAAAD99mSI=")</f>
        <v>#REF!</v>
      </c>
      <c r="AJ43" t="e">
        <f>AND(Bills!#REF!,"AAAAAD99mSM=")</f>
        <v>#REF!</v>
      </c>
      <c r="AK43" t="e">
        <f>AND(Bills!#REF!,"AAAAAD99mSQ=")</f>
        <v>#REF!</v>
      </c>
      <c r="AL43" t="e">
        <f>AND(Bills!#REF!,"AAAAAD99mSU=")</f>
        <v>#REF!</v>
      </c>
      <c r="AM43" t="e">
        <f>AND(Bills!#REF!,"AAAAAD99mSY=")</f>
        <v>#REF!</v>
      </c>
      <c r="AN43" t="e">
        <f>AND(Bills!#REF!,"AAAAAD99mSc=")</f>
        <v>#REF!</v>
      </c>
      <c r="AO43" t="e">
        <f>AND(Bills!AA53,"AAAAAD99mSg=")</f>
        <v>#VALUE!</v>
      </c>
      <c r="AP43" t="e">
        <f>AND(Bills!AB53,"AAAAAD99mSk=")</f>
        <v>#VALUE!</v>
      </c>
      <c r="AQ43" t="e">
        <f>AND(Bills!#REF!,"AAAAAD99mSo=")</f>
        <v>#REF!</v>
      </c>
      <c r="AR43" t="e">
        <f>AND(Bills!#REF!,"AAAAAD99mSs=")</f>
        <v>#REF!</v>
      </c>
      <c r="AS43" t="e">
        <f>AND(Bills!#REF!,"AAAAAD99mSw=")</f>
        <v>#REF!</v>
      </c>
      <c r="AT43" t="e">
        <f>AND(Bills!AC53,"AAAAAD99mS0=")</f>
        <v>#VALUE!</v>
      </c>
      <c r="AU43" t="e">
        <f>AND(Bills!AD53,"AAAAAD99mS4=")</f>
        <v>#VALUE!</v>
      </c>
      <c r="AV43" t="e">
        <f>AND(Bills!AE53,"AAAAAD99mS8=")</f>
        <v>#VALUE!</v>
      </c>
      <c r="AW43">
        <f>IF(Bills!54:54,"AAAAAD99mTA=",0)</f>
        <v>0</v>
      </c>
      <c r="AX43" t="e">
        <f>AND(Bills!B54,"AAAAAD99mTE=")</f>
        <v>#VALUE!</v>
      </c>
      <c r="AY43" t="e">
        <f>AND(Bills!#REF!,"AAAAAD99mTI=")</f>
        <v>#REF!</v>
      </c>
      <c r="AZ43" t="e">
        <f>AND(Bills!C54,"AAAAAD99mTM=")</f>
        <v>#VALUE!</v>
      </c>
      <c r="BA43" t="e">
        <f>AND(Bills!D54,"AAAAAD99mTQ=")</f>
        <v>#VALUE!</v>
      </c>
      <c r="BB43" t="e">
        <f>AND(Bills!E54,"AAAAAD99mTU=")</f>
        <v>#VALUE!</v>
      </c>
      <c r="BC43" t="e">
        <f>AND(Bills!#REF!,"AAAAAD99mTY=")</f>
        <v>#REF!</v>
      </c>
      <c r="BD43" t="e">
        <f>AND(Bills!#REF!,"AAAAAD99mTc=")</f>
        <v>#REF!</v>
      </c>
      <c r="BE43" t="e">
        <f>AND(Bills!#REF!,"AAAAAD99mTg=")</f>
        <v>#REF!</v>
      </c>
      <c r="BF43" t="e">
        <f>AND(Bills!F54,"AAAAAD99mTk=")</f>
        <v>#VALUE!</v>
      </c>
      <c r="BG43" t="e">
        <f>AND(Bills!#REF!,"AAAAAD99mTo=")</f>
        <v>#REF!</v>
      </c>
      <c r="BH43" t="e">
        <f>AND(Bills!G54,"AAAAAD99mTs=")</f>
        <v>#VALUE!</v>
      </c>
      <c r="BI43" t="e">
        <f>AND(Bills!H54,"AAAAAD99mTw=")</f>
        <v>#VALUE!</v>
      </c>
      <c r="BJ43" t="e">
        <f>AND(Bills!I54,"AAAAAD99mT0=")</f>
        <v>#VALUE!</v>
      </c>
      <c r="BK43" t="e">
        <f>AND(Bills!J54,"AAAAAD99mT4=")</f>
        <v>#VALUE!</v>
      </c>
      <c r="BL43" t="e">
        <f>AND(Bills!K54,"AAAAAD99mT8=")</f>
        <v>#VALUE!</v>
      </c>
      <c r="BM43" t="e">
        <f>AND(Bills!L54,"AAAAAD99mUA=")</f>
        <v>#VALUE!</v>
      </c>
      <c r="BN43" t="e">
        <f>AND(Bills!#REF!,"AAAAAD99mUE=")</f>
        <v>#REF!</v>
      </c>
      <c r="BO43" t="e">
        <f>AND(Bills!M54,"AAAAAD99mUI=")</f>
        <v>#VALUE!</v>
      </c>
      <c r="BP43" t="e">
        <f>AND(Bills!N54,"AAAAAD99mUM=")</f>
        <v>#VALUE!</v>
      </c>
      <c r="BQ43" t="e">
        <f>AND(Bills!O54,"AAAAAD99mUQ=")</f>
        <v>#VALUE!</v>
      </c>
      <c r="BR43" t="e">
        <f>AND(Bills!P54,"AAAAAD99mUU=")</f>
        <v>#VALUE!</v>
      </c>
      <c r="BS43" t="e">
        <f>AND(Bills!Q54,"AAAAAD99mUY=")</f>
        <v>#VALUE!</v>
      </c>
      <c r="BT43" t="e">
        <f>AND(Bills!R54,"AAAAAD99mUc=")</f>
        <v>#VALUE!</v>
      </c>
      <c r="BU43" t="e">
        <f>AND(Bills!S54,"AAAAAD99mUg=")</f>
        <v>#VALUE!</v>
      </c>
      <c r="BV43" t="e">
        <f>AND(Bills!T54,"AAAAAD99mUk=")</f>
        <v>#VALUE!</v>
      </c>
      <c r="BW43" t="e">
        <f>AND(Bills!#REF!,"AAAAAD99mUo=")</f>
        <v>#REF!</v>
      </c>
      <c r="BX43" t="e">
        <f>AND(Bills!U54,"AAAAAD99mUs=")</f>
        <v>#VALUE!</v>
      </c>
      <c r="BY43" t="e">
        <f>AND(Bills!V54,"AAAAAD99mUw=")</f>
        <v>#VALUE!</v>
      </c>
      <c r="BZ43" t="e">
        <f>AND(Bills!W54,"AAAAAD99mU0=")</f>
        <v>#VALUE!</v>
      </c>
      <c r="CA43" t="e">
        <f>AND(Bills!#REF!,"AAAAAD99mU4=")</f>
        <v>#REF!</v>
      </c>
      <c r="CB43" t="e">
        <f>AND(Bills!#REF!,"AAAAAD99mU8=")</f>
        <v>#REF!</v>
      </c>
      <c r="CC43" t="e">
        <f>AND(Bills!Y54,"AAAAAD99mVA=")</f>
        <v>#VALUE!</v>
      </c>
      <c r="CD43" t="e">
        <f>AND(Bills!Z54,"AAAAAD99mVE=")</f>
        <v>#VALUE!</v>
      </c>
      <c r="CE43" t="e">
        <f>AND(Bills!#REF!,"AAAAAD99mVI=")</f>
        <v>#REF!</v>
      </c>
      <c r="CF43" t="e">
        <f>AND(Bills!#REF!,"AAAAAD99mVM=")</f>
        <v>#REF!</v>
      </c>
      <c r="CG43" t="e">
        <f>AND(Bills!#REF!,"AAAAAD99mVQ=")</f>
        <v>#REF!</v>
      </c>
      <c r="CH43" t="e">
        <f>AND(Bills!#REF!,"AAAAAD99mVU=")</f>
        <v>#REF!</v>
      </c>
      <c r="CI43" t="e">
        <f>AND(Bills!#REF!,"AAAAAD99mVY=")</f>
        <v>#REF!</v>
      </c>
      <c r="CJ43" t="e">
        <f>AND(Bills!#REF!,"AAAAAD99mVc=")</f>
        <v>#REF!</v>
      </c>
      <c r="CK43" t="e">
        <f>AND(Bills!#REF!,"AAAAAD99mVg=")</f>
        <v>#REF!</v>
      </c>
      <c r="CL43" t="e">
        <f>AND(Bills!#REF!,"AAAAAD99mVk=")</f>
        <v>#REF!</v>
      </c>
      <c r="CM43" t="e">
        <f>AND(Bills!#REF!,"AAAAAD99mVo=")</f>
        <v>#REF!</v>
      </c>
      <c r="CN43" t="e">
        <f>AND(Bills!AA54,"AAAAAD99mVs=")</f>
        <v>#VALUE!</v>
      </c>
      <c r="CO43" t="e">
        <f>AND(Bills!AB54,"AAAAAD99mVw=")</f>
        <v>#VALUE!</v>
      </c>
      <c r="CP43" t="e">
        <f>AND(Bills!#REF!,"AAAAAD99mV0=")</f>
        <v>#REF!</v>
      </c>
      <c r="CQ43" t="e">
        <f>AND(Bills!#REF!,"AAAAAD99mV4=")</f>
        <v>#REF!</v>
      </c>
      <c r="CR43" t="e">
        <f>AND(Bills!#REF!,"AAAAAD99mV8=")</f>
        <v>#REF!</v>
      </c>
      <c r="CS43" t="e">
        <f>AND(Bills!AC54,"AAAAAD99mWA=")</f>
        <v>#VALUE!</v>
      </c>
      <c r="CT43" t="e">
        <f>AND(Bills!AD54,"AAAAAD99mWE=")</f>
        <v>#VALUE!</v>
      </c>
      <c r="CU43" t="e">
        <f>AND(Bills!AE54,"AAAAAD99mWI=")</f>
        <v>#VALUE!</v>
      </c>
      <c r="CV43">
        <f>IF(Bills!55:55,"AAAAAD99mWM=",0)</f>
        <v>0</v>
      </c>
      <c r="CW43" t="e">
        <f>AND(Bills!B55,"AAAAAD99mWQ=")</f>
        <v>#VALUE!</v>
      </c>
      <c r="CX43" t="e">
        <f>AND(Bills!#REF!,"AAAAAD99mWU=")</f>
        <v>#REF!</v>
      </c>
      <c r="CY43" t="e">
        <f>AND(Bills!C55,"AAAAAD99mWY=")</f>
        <v>#VALUE!</v>
      </c>
      <c r="CZ43" t="e">
        <f>AND(Bills!D55,"AAAAAD99mWc=")</f>
        <v>#VALUE!</v>
      </c>
      <c r="DA43" t="e">
        <f>AND(Bills!E55,"AAAAAD99mWg=")</f>
        <v>#VALUE!</v>
      </c>
      <c r="DB43" t="e">
        <f>AND(Bills!#REF!,"AAAAAD99mWk=")</f>
        <v>#REF!</v>
      </c>
      <c r="DC43" t="e">
        <f>AND(Bills!#REF!,"AAAAAD99mWo=")</f>
        <v>#REF!</v>
      </c>
      <c r="DD43" t="e">
        <f>AND(Bills!#REF!,"AAAAAD99mWs=")</f>
        <v>#REF!</v>
      </c>
      <c r="DE43" t="e">
        <f>AND(Bills!F55,"AAAAAD99mWw=")</f>
        <v>#VALUE!</v>
      </c>
      <c r="DF43" t="e">
        <f>AND(Bills!#REF!,"AAAAAD99mW0=")</f>
        <v>#REF!</v>
      </c>
      <c r="DG43" t="e">
        <f>AND(Bills!G55,"AAAAAD99mW4=")</f>
        <v>#VALUE!</v>
      </c>
      <c r="DH43" t="e">
        <f>AND(Bills!H55,"AAAAAD99mW8=")</f>
        <v>#VALUE!</v>
      </c>
      <c r="DI43" t="e">
        <f>AND(Bills!I55,"AAAAAD99mXA=")</f>
        <v>#VALUE!</v>
      </c>
      <c r="DJ43" t="e">
        <f>AND(Bills!J55,"AAAAAD99mXE=")</f>
        <v>#VALUE!</v>
      </c>
      <c r="DK43" t="e">
        <f>AND(Bills!K55,"AAAAAD99mXI=")</f>
        <v>#VALUE!</v>
      </c>
      <c r="DL43" t="e">
        <f>AND(Bills!L55,"AAAAAD99mXM=")</f>
        <v>#VALUE!</v>
      </c>
      <c r="DM43" t="e">
        <f>AND(Bills!#REF!,"AAAAAD99mXQ=")</f>
        <v>#REF!</v>
      </c>
      <c r="DN43" t="e">
        <f>AND(Bills!M55,"AAAAAD99mXU=")</f>
        <v>#VALUE!</v>
      </c>
      <c r="DO43" t="e">
        <f>AND(Bills!N55,"AAAAAD99mXY=")</f>
        <v>#VALUE!</v>
      </c>
      <c r="DP43" t="e">
        <f>AND(Bills!O55,"AAAAAD99mXc=")</f>
        <v>#VALUE!</v>
      </c>
      <c r="DQ43" t="e">
        <f>AND(Bills!P55,"AAAAAD99mXg=")</f>
        <v>#VALUE!</v>
      </c>
      <c r="DR43" t="e">
        <f>AND(Bills!Q55,"AAAAAD99mXk=")</f>
        <v>#VALUE!</v>
      </c>
      <c r="DS43" t="e">
        <f>AND(Bills!R55,"AAAAAD99mXo=")</f>
        <v>#VALUE!</v>
      </c>
      <c r="DT43" t="e">
        <f>AND(Bills!S55,"AAAAAD99mXs=")</f>
        <v>#VALUE!</v>
      </c>
      <c r="DU43" t="e">
        <f>AND(Bills!T55,"AAAAAD99mXw=")</f>
        <v>#VALUE!</v>
      </c>
      <c r="DV43" t="e">
        <f>AND(Bills!#REF!,"AAAAAD99mX0=")</f>
        <v>#REF!</v>
      </c>
      <c r="DW43" t="e">
        <f>AND(Bills!U55,"AAAAAD99mX4=")</f>
        <v>#VALUE!</v>
      </c>
      <c r="DX43" t="e">
        <f>AND(Bills!V55,"AAAAAD99mX8=")</f>
        <v>#VALUE!</v>
      </c>
      <c r="DY43" t="e">
        <f>AND(Bills!W55,"AAAAAD99mYA=")</f>
        <v>#VALUE!</v>
      </c>
      <c r="DZ43" t="e">
        <f>AND(Bills!#REF!,"AAAAAD99mYE=")</f>
        <v>#REF!</v>
      </c>
      <c r="EA43" t="e">
        <f>AND(Bills!#REF!,"AAAAAD99mYI=")</f>
        <v>#REF!</v>
      </c>
      <c r="EB43" t="e">
        <f>AND(Bills!Y55,"AAAAAD99mYM=")</f>
        <v>#VALUE!</v>
      </c>
      <c r="EC43" t="e">
        <f>AND(Bills!Z55,"AAAAAD99mYQ=")</f>
        <v>#VALUE!</v>
      </c>
      <c r="ED43" t="e">
        <f>AND(Bills!#REF!,"AAAAAD99mYU=")</f>
        <v>#REF!</v>
      </c>
      <c r="EE43" t="e">
        <f>AND(Bills!#REF!,"AAAAAD99mYY=")</f>
        <v>#REF!</v>
      </c>
      <c r="EF43" t="e">
        <f>AND(Bills!#REF!,"AAAAAD99mYc=")</f>
        <v>#REF!</v>
      </c>
      <c r="EG43" t="e">
        <f>AND(Bills!#REF!,"AAAAAD99mYg=")</f>
        <v>#REF!</v>
      </c>
      <c r="EH43" t="e">
        <f>AND(Bills!#REF!,"AAAAAD99mYk=")</f>
        <v>#REF!</v>
      </c>
      <c r="EI43" t="e">
        <f>AND(Bills!#REF!,"AAAAAD99mYo=")</f>
        <v>#REF!</v>
      </c>
      <c r="EJ43" t="e">
        <f>AND(Bills!#REF!,"AAAAAD99mYs=")</f>
        <v>#REF!</v>
      </c>
      <c r="EK43" t="e">
        <f>AND(Bills!#REF!,"AAAAAD99mYw=")</f>
        <v>#REF!</v>
      </c>
      <c r="EL43" t="e">
        <f>AND(Bills!#REF!,"AAAAAD99mY0=")</f>
        <v>#REF!</v>
      </c>
      <c r="EM43" t="e">
        <f>AND(Bills!AA55,"AAAAAD99mY4=")</f>
        <v>#VALUE!</v>
      </c>
      <c r="EN43" t="e">
        <f>AND(Bills!AB55,"AAAAAD99mY8=")</f>
        <v>#VALUE!</v>
      </c>
      <c r="EO43" t="e">
        <f>AND(Bills!#REF!,"AAAAAD99mZA=")</f>
        <v>#REF!</v>
      </c>
      <c r="EP43" t="e">
        <f>AND(Bills!#REF!,"AAAAAD99mZE=")</f>
        <v>#REF!</v>
      </c>
      <c r="EQ43" t="e">
        <f>AND(Bills!#REF!,"AAAAAD99mZI=")</f>
        <v>#REF!</v>
      </c>
      <c r="ER43" t="e">
        <f>AND(Bills!AC55,"AAAAAD99mZM=")</f>
        <v>#VALUE!</v>
      </c>
      <c r="ES43" t="e">
        <f>AND(Bills!AD55,"AAAAAD99mZQ=")</f>
        <v>#VALUE!</v>
      </c>
      <c r="ET43" t="e">
        <f>AND(Bills!AE55,"AAAAAD99mZU=")</f>
        <v>#VALUE!</v>
      </c>
      <c r="EU43">
        <f>IF(Bills!56:56,"AAAAAD99mZY=",0)</f>
        <v>0</v>
      </c>
      <c r="EV43" t="e">
        <f>AND(Bills!B56,"AAAAAD99mZc=")</f>
        <v>#VALUE!</v>
      </c>
      <c r="EW43" t="e">
        <f>AND(Bills!#REF!,"AAAAAD99mZg=")</f>
        <v>#REF!</v>
      </c>
      <c r="EX43" t="e">
        <f>AND(Bills!C56,"AAAAAD99mZk=")</f>
        <v>#VALUE!</v>
      </c>
      <c r="EY43" t="e">
        <f>AND(Bills!D56,"AAAAAD99mZo=")</f>
        <v>#VALUE!</v>
      </c>
      <c r="EZ43" t="e">
        <f>AND(Bills!E56,"AAAAAD99mZs=")</f>
        <v>#VALUE!</v>
      </c>
      <c r="FA43" t="e">
        <f>AND(Bills!#REF!,"AAAAAD99mZw=")</f>
        <v>#REF!</v>
      </c>
      <c r="FB43" t="e">
        <f>AND(Bills!#REF!,"AAAAAD99mZ0=")</f>
        <v>#REF!</v>
      </c>
      <c r="FC43" t="e">
        <f>AND(Bills!#REF!,"AAAAAD99mZ4=")</f>
        <v>#REF!</v>
      </c>
      <c r="FD43" t="e">
        <f>AND(Bills!F56,"AAAAAD99mZ8=")</f>
        <v>#VALUE!</v>
      </c>
      <c r="FE43" t="e">
        <f>AND(Bills!#REF!,"AAAAAD99maA=")</f>
        <v>#REF!</v>
      </c>
      <c r="FF43" t="e">
        <f>AND(Bills!G56,"AAAAAD99maE=")</f>
        <v>#VALUE!</v>
      </c>
      <c r="FG43" t="e">
        <f>AND(Bills!H56,"AAAAAD99maI=")</f>
        <v>#VALUE!</v>
      </c>
      <c r="FH43" t="e">
        <f>AND(Bills!I56,"AAAAAD99maM=")</f>
        <v>#VALUE!</v>
      </c>
      <c r="FI43" t="e">
        <f>AND(Bills!J56,"AAAAAD99maQ=")</f>
        <v>#VALUE!</v>
      </c>
      <c r="FJ43" t="e">
        <f>AND(Bills!K56,"AAAAAD99maU=")</f>
        <v>#VALUE!</v>
      </c>
      <c r="FK43" t="e">
        <f>AND(Bills!L56,"AAAAAD99maY=")</f>
        <v>#VALUE!</v>
      </c>
      <c r="FL43" t="e">
        <f>AND(Bills!#REF!,"AAAAAD99mac=")</f>
        <v>#REF!</v>
      </c>
      <c r="FM43" t="e">
        <f>AND(Bills!M56,"AAAAAD99mag=")</f>
        <v>#VALUE!</v>
      </c>
      <c r="FN43" t="e">
        <f>AND(Bills!N56,"AAAAAD99mak=")</f>
        <v>#VALUE!</v>
      </c>
      <c r="FO43" t="e">
        <f>AND(Bills!O56,"AAAAAD99mao=")</f>
        <v>#VALUE!</v>
      </c>
      <c r="FP43" t="e">
        <f>AND(Bills!P56,"AAAAAD99mas=")</f>
        <v>#VALUE!</v>
      </c>
      <c r="FQ43" t="e">
        <f>AND(Bills!Q56,"AAAAAD99maw=")</f>
        <v>#VALUE!</v>
      </c>
      <c r="FR43" t="e">
        <f>AND(Bills!R56,"AAAAAD99ma0=")</f>
        <v>#VALUE!</v>
      </c>
      <c r="FS43" t="e">
        <f>AND(Bills!S56,"AAAAAD99ma4=")</f>
        <v>#VALUE!</v>
      </c>
      <c r="FT43" t="e">
        <f>AND(Bills!T56,"AAAAAD99ma8=")</f>
        <v>#VALUE!</v>
      </c>
      <c r="FU43" t="e">
        <f>AND(Bills!#REF!,"AAAAAD99mbA=")</f>
        <v>#REF!</v>
      </c>
      <c r="FV43" t="e">
        <f>AND(Bills!U56,"AAAAAD99mbE=")</f>
        <v>#VALUE!</v>
      </c>
      <c r="FW43" t="e">
        <f>AND(Bills!V56,"AAAAAD99mbI=")</f>
        <v>#VALUE!</v>
      </c>
      <c r="FX43" t="e">
        <f>AND(Bills!W56,"AAAAAD99mbM=")</f>
        <v>#VALUE!</v>
      </c>
      <c r="FY43" t="e">
        <f>AND(Bills!#REF!,"AAAAAD99mbQ=")</f>
        <v>#REF!</v>
      </c>
      <c r="FZ43" t="e">
        <f>AND(Bills!#REF!,"AAAAAD99mbU=")</f>
        <v>#REF!</v>
      </c>
      <c r="GA43" t="e">
        <f>AND(Bills!Y56,"AAAAAD99mbY=")</f>
        <v>#VALUE!</v>
      </c>
      <c r="GB43" t="e">
        <f>AND(Bills!Z56,"AAAAAD99mbc=")</f>
        <v>#VALUE!</v>
      </c>
      <c r="GC43" t="e">
        <f>AND(Bills!#REF!,"AAAAAD99mbg=")</f>
        <v>#REF!</v>
      </c>
      <c r="GD43" t="e">
        <f>AND(Bills!#REF!,"AAAAAD99mbk=")</f>
        <v>#REF!</v>
      </c>
      <c r="GE43" t="e">
        <f>AND(Bills!#REF!,"AAAAAD99mbo=")</f>
        <v>#REF!</v>
      </c>
      <c r="GF43" t="e">
        <f>AND(Bills!#REF!,"AAAAAD99mbs=")</f>
        <v>#REF!</v>
      </c>
      <c r="GG43" t="e">
        <f>AND(Bills!#REF!,"AAAAAD99mbw=")</f>
        <v>#REF!</v>
      </c>
      <c r="GH43" t="e">
        <f>AND(Bills!#REF!,"AAAAAD99mb0=")</f>
        <v>#REF!</v>
      </c>
      <c r="GI43" t="e">
        <f>AND(Bills!#REF!,"AAAAAD99mb4=")</f>
        <v>#REF!</v>
      </c>
      <c r="GJ43" t="e">
        <f>AND(Bills!#REF!,"AAAAAD99mb8=")</f>
        <v>#REF!</v>
      </c>
      <c r="GK43" t="e">
        <f>AND(Bills!#REF!,"AAAAAD99mcA=")</f>
        <v>#REF!</v>
      </c>
      <c r="GL43" t="e">
        <f>AND(Bills!AA56,"AAAAAD99mcE=")</f>
        <v>#VALUE!</v>
      </c>
      <c r="GM43" t="e">
        <f>AND(Bills!AB56,"AAAAAD99mcI=")</f>
        <v>#VALUE!</v>
      </c>
      <c r="GN43" t="e">
        <f>AND(Bills!#REF!,"AAAAAD99mcM=")</f>
        <v>#REF!</v>
      </c>
      <c r="GO43" t="e">
        <f>AND(Bills!#REF!,"AAAAAD99mcQ=")</f>
        <v>#REF!</v>
      </c>
      <c r="GP43" t="e">
        <f>AND(Bills!#REF!,"AAAAAD99mcU=")</f>
        <v>#REF!</v>
      </c>
      <c r="GQ43" t="e">
        <f>AND(Bills!AC56,"AAAAAD99mcY=")</f>
        <v>#VALUE!</v>
      </c>
      <c r="GR43" t="e">
        <f>AND(Bills!AD56,"AAAAAD99mcc=")</f>
        <v>#VALUE!</v>
      </c>
      <c r="GS43" t="e">
        <f>AND(Bills!AE56,"AAAAAD99mcg=")</f>
        <v>#VALUE!</v>
      </c>
      <c r="GT43">
        <f>IF(Bills!57:57,"AAAAAD99mck=",0)</f>
        <v>0</v>
      </c>
      <c r="GU43" t="e">
        <f>AND(Bills!B57,"AAAAAD99mco=")</f>
        <v>#VALUE!</v>
      </c>
      <c r="GV43" t="e">
        <f>AND(Bills!#REF!,"AAAAAD99mcs=")</f>
        <v>#REF!</v>
      </c>
      <c r="GW43" t="e">
        <f>AND(Bills!C57,"AAAAAD99mcw=")</f>
        <v>#VALUE!</v>
      </c>
      <c r="GX43" t="e">
        <f>AND(Bills!D57,"AAAAAD99mc0=")</f>
        <v>#VALUE!</v>
      </c>
      <c r="GY43" t="e">
        <f>AND(Bills!E57,"AAAAAD99mc4=")</f>
        <v>#VALUE!</v>
      </c>
      <c r="GZ43" t="e">
        <f>AND(Bills!#REF!,"AAAAAD99mc8=")</f>
        <v>#REF!</v>
      </c>
      <c r="HA43" t="e">
        <f>AND(Bills!#REF!,"AAAAAD99mdA=")</f>
        <v>#REF!</v>
      </c>
      <c r="HB43" t="e">
        <f>AND(Bills!#REF!,"AAAAAD99mdE=")</f>
        <v>#REF!</v>
      </c>
      <c r="HC43" t="e">
        <f>AND(Bills!F57,"AAAAAD99mdI=")</f>
        <v>#VALUE!</v>
      </c>
      <c r="HD43" t="e">
        <f>AND(Bills!#REF!,"AAAAAD99mdM=")</f>
        <v>#REF!</v>
      </c>
      <c r="HE43" t="e">
        <f>AND(Bills!G57,"AAAAAD99mdQ=")</f>
        <v>#VALUE!</v>
      </c>
      <c r="HF43" t="e">
        <f>AND(Bills!H57,"AAAAAD99mdU=")</f>
        <v>#VALUE!</v>
      </c>
      <c r="HG43" t="e">
        <f>AND(Bills!I57,"AAAAAD99mdY=")</f>
        <v>#VALUE!</v>
      </c>
      <c r="HH43" t="e">
        <f>AND(Bills!J57,"AAAAAD99mdc=")</f>
        <v>#VALUE!</v>
      </c>
      <c r="HI43" t="e">
        <f>AND(Bills!K57,"AAAAAD99mdg=")</f>
        <v>#VALUE!</v>
      </c>
      <c r="HJ43" t="e">
        <f>AND(Bills!L57,"AAAAAD99mdk=")</f>
        <v>#VALUE!</v>
      </c>
      <c r="HK43" t="e">
        <f>AND(Bills!#REF!,"AAAAAD99mdo=")</f>
        <v>#REF!</v>
      </c>
      <c r="HL43" t="e">
        <f>AND(Bills!M57,"AAAAAD99mds=")</f>
        <v>#VALUE!</v>
      </c>
      <c r="HM43" t="e">
        <f>AND(Bills!N57,"AAAAAD99mdw=")</f>
        <v>#VALUE!</v>
      </c>
      <c r="HN43" t="e">
        <f>AND(Bills!O57,"AAAAAD99md0=")</f>
        <v>#VALUE!</v>
      </c>
      <c r="HO43" t="e">
        <f>AND(Bills!P57,"AAAAAD99md4=")</f>
        <v>#VALUE!</v>
      </c>
      <c r="HP43" t="e">
        <f>AND(Bills!Q57,"AAAAAD99md8=")</f>
        <v>#VALUE!</v>
      </c>
      <c r="HQ43" t="e">
        <f>AND(Bills!R57,"AAAAAD99meA=")</f>
        <v>#VALUE!</v>
      </c>
      <c r="HR43" t="e">
        <f>AND(Bills!S57,"AAAAAD99meE=")</f>
        <v>#VALUE!</v>
      </c>
      <c r="HS43" t="e">
        <f>AND(Bills!T57,"AAAAAD99meI=")</f>
        <v>#VALUE!</v>
      </c>
      <c r="HT43" t="e">
        <f>AND(Bills!#REF!,"AAAAAD99meM=")</f>
        <v>#REF!</v>
      </c>
      <c r="HU43" t="e">
        <f>AND(Bills!U57,"AAAAAD99meQ=")</f>
        <v>#VALUE!</v>
      </c>
      <c r="HV43" t="e">
        <f>AND(Bills!V57,"AAAAAD99meU=")</f>
        <v>#VALUE!</v>
      </c>
      <c r="HW43" t="e">
        <f>AND(Bills!W57,"AAAAAD99meY=")</f>
        <v>#VALUE!</v>
      </c>
      <c r="HX43" t="e">
        <f>AND(Bills!#REF!,"AAAAAD99mec=")</f>
        <v>#REF!</v>
      </c>
      <c r="HY43" t="e">
        <f>AND(Bills!#REF!,"AAAAAD99meg=")</f>
        <v>#REF!</v>
      </c>
      <c r="HZ43" t="e">
        <f>AND(Bills!Y57,"AAAAAD99mek=")</f>
        <v>#VALUE!</v>
      </c>
      <c r="IA43" t="e">
        <f>AND(Bills!Z57,"AAAAAD99meo=")</f>
        <v>#VALUE!</v>
      </c>
      <c r="IB43" t="e">
        <f>AND(Bills!#REF!,"AAAAAD99mes=")</f>
        <v>#REF!</v>
      </c>
      <c r="IC43" t="e">
        <f>AND(Bills!#REF!,"AAAAAD99mew=")</f>
        <v>#REF!</v>
      </c>
      <c r="ID43" t="e">
        <f>AND(Bills!#REF!,"AAAAAD99me0=")</f>
        <v>#REF!</v>
      </c>
      <c r="IE43" t="e">
        <f>AND(Bills!#REF!,"AAAAAD99me4=")</f>
        <v>#REF!</v>
      </c>
      <c r="IF43" t="e">
        <f>AND(Bills!#REF!,"AAAAAD99me8=")</f>
        <v>#REF!</v>
      </c>
      <c r="IG43" t="e">
        <f>AND(Bills!#REF!,"AAAAAD99mfA=")</f>
        <v>#REF!</v>
      </c>
      <c r="IH43" t="e">
        <f>AND(Bills!#REF!,"AAAAAD99mfE=")</f>
        <v>#REF!</v>
      </c>
      <c r="II43" t="e">
        <f>AND(Bills!#REF!,"AAAAAD99mfI=")</f>
        <v>#REF!</v>
      </c>
      <c r="IJ43" t="e">
        <f>AND(Bills!#REF!,"AAAAAD99mfM=")</f>
        <v>#REF!</v>
      </c>
      <c r="IK43" t="e">
        <f>AND(Bills!AA57,"AAAAAD99mfQ=")</f>
        <v>#VALUE!</v>
      </c>
      <c r="IL43" t="e">
        <f>AND(Bills!AB57,"AAAAAD99mfU=")</f>
        <v>#VALUE!</v>
      </c>
      <c r="IM43" t="e">
        <f>AND(Bills!#REF!,"AAAAAD99mfY=")</f>
        <v>#REF!</v>
      </c>
      <c r="IN43" t="e">
        <f>AND(Bills!#REF!,"AAAAAD99mfc=")</f>
        <v>#REF!</v>
      </c>
      <c r="IO43" t="e">
        <f>AND(Bills!#REF!,"AAAAAD99mfg=")</f>
        <v>#REF!</v>
      </c>
      <c r="IP43" t="e">
        <f>AND(Bills!AC57,"AAAAAD99mfk=")</f>
        <v>#VALUE!</v>
      </c>
      <c r="IQ43" t="e">
        <f>AND(Bills!AD57,"AAAAAD99mfo=")</f>
        <v>#VALUE!</v>
      </c>
      <c r="IR43" t="e">
        <f>AND(Bills!AE57,"AAAAAD99mfs=")</f>
        <v>#VALUE!</v>
      </c>
      <c r="IS43">
        <f>IF(Bills!58:58,"AAAAAD99mfw=",0)</f>
        <v>0</v>
      </c>
      <c r="IT43" t="e">
        <f>AND(Bills!B58,"AAAAAD99mf0=")</f>
        <v>#VALUE!</v>
      </c>
      <c r="IU43" t="e">
        <f>AND(Bills!#REF!,"AAAAAD99mf4=")</f>
        <v>#REF!</v>
      </c>
      <c r="IV43" t="e">
        <f>AND(Bills!C58,"AAAAAD99mf8=")</f>
        <v>#VALUE!</v>
      </c>
    </row>
    <row r="44" spans="1:256" x14ac:dyDescent="0.25">
      <c r="A44" t="e">
        <f>AND(Bills!D58,"AAAAAHt/+wA=")</f>
        <v>#VALUE!</v>
      </c>
      <c r="B44" t="e">
        <f>AND(Bills!E58,"AAAAAHt/+wE=")</f>
        <v>#VALUE!</v>
      </c>
      <c r="C44" t="e">
        <f>AND(Bills!#REF!,"AAAAAHt/+wI=")</f>
        <v>#REF!</v>
      </c>
      <c r="D44" t="e">
        <f>AND(Bills!#REF!,"AAAAAHt/+wM=")</f>
        <v>#REF!</v>
      </c>
      <c r="E44" t="e">
        <f>AND(Bills!#REF!,"AAAAAHt/+wQ=")</f>
        <v>#REF!</v>
      </c>
      <c r="F44" t="e">
        <f>AND(Bills!F58,"AAAAAHt/+wU=")</f>
        <v>#VALUE!</v>
      </c>
      <c r="G44" t="e">
        <f>AND(Bills!#REF!,"AAAAAHt/+wY=")</f>
        <v>#REF!</v>
      </c>
      <c r="H44" t="e">
        <f>AND(Bills!G58,"AAAAAHt/+wc=")</f>
        <v>#VALUE!</v>
      </c>
      <c r="I44" t="e">
        <f>AND(Bills!H58,"AAAAAHt/+wg=")</f>
        <v>#VALUE!</v>
      </c>
      <c r="J44" t="e">
        <f>AND(Bills!I58,"AAAAAHt/+wk=")</f>
        <v>#VALUE!</v>
      </c>
      <c r="K44" t="e">
        <f>AND(Bills!J58,"AAAAAHt/+wo=")</f>
        <v>#VALUE!</v>
      </c>
      <c r="L44" t="e">
        <f>AND(Bills!K58,"AAAAAHt/+ws=")</f>
        <v>#VALUE!</v>
      </c>
      <c r="M44" t="e">
        <f>AND(Bills!L58,"AAAAAHt/+ww=")</f>
        <v>#VALUE!</v>
      </c>
      <c r="N44" t="e">
        <f>AND(Bills!#REF!,"AAAAAHt/+w0=")</f>
        <v>#REF!</v>
      </c>
      <c r="O44" t="e">
        <f>AND(Bills!M58,"AAAAAHt/+w4=")</f>
        <v>#VALUE!</v>
      </c>
      <c r="P44" t="e">
        <f>AND(Bills!N58,"AAAAAHt/+w8=")</f>
        <v>#VALUE!</v>
      </c>
      <c r="Q44" t="e">
        <f>AND(Bills!O58,"AAAAAHt/+xA=")</f>
        <v>#VALUE!</v>
      </c>
      <c r="R44" t="e">
        <f>AND(Bills!P58,"AAAAAHt/+xE=")</f>
        <v>#VALUE!</v>
      </c>
      <c r="S44" t="e">
        <f>AND(Bills!Q58,"AAAAAHt/+xI=")</f>
        <v>#VALUE!</v>
      </c>
      <c r="T44" t="e">
        <f>AND(Bills!R58,"AAAAAHt/+xM=")</f>
        <v>#VALUE!</v>
      </c>
      <c r="U44" t="e">
        <f>AND(Bills!S58,"AAAAAHt/+xQ=")</f>
        <v>#VALUE!</v>
      </c>
      <c r="V44" t="e">
        <f>AND(Bills!T58,"AAAAAHt/+xU=")</f>
        <v>#VALUE!</v>
      </c>
      <c r="W44" t="e">
        <f>AND(Bills!#REF!,"AAAAAHt/+xY=")</f>
        <v>#REF!</v>
      </c>
      <c r="X44" t="e">
        <f>AND(Bills!U58,"AAAAAHt/+xc=")</f>
        <v>#VALUE!</v>
      </c>
      <c r="Y44" t="e">
        <f>AND(Bills!V58,"AAAAAHt/+xg=")</f>
        <v>#VALUE!</v>
      </c>
      <c r="Z44" t="e">
        <f>AND(Bills!W58,"AAAAAHt/+xk=")</f>
        <v>#VALUE!</v>
      </c>
      <c r="AA44" t="e">
        <f>AND(Bills!#REF!,"AAAAAHt/+xo=")</f>
        <v>#REF!</v>
      </c>
      <c r="AB44" t="e">
        <f>AND(Bills!#REF!,"AAAAAHt/+xs=")</f>
        <v>#REF!</v>
      </c>
      <c r="AC44" t="e">
        <f>AND(Bills!Y58,"AAAAAHt/+xw=")</f>
        <v>#VALUE!</v>
      </c>
      <c r="AD44" t="e">
        <f>AND(Bills!Z58,"AAAAAHt/+x0=")</f>
        <v>#VALUE!</v>
      </c>
      <c r="AE44" t="e">
        <f>AND(Bills!#REF!,"AAAAAHt/+x4=")</f>
        <v>#REF!</v>
      </c>
      <c r="AF44" t="e">
        <f>AND(Bills!#REF!,"AAAAAHt/+x8=")</f>
        <v>#REF!</v>
      </c>
      <c r="AG44" t="e">
        <f>AND(Bills!#REF!,"AAAAAHt/+yA=")</f>
        <v>#REF!</v>
      </c>
      <c r="AH44" t="e">
        <f>AND(Bills!#REF!,"AAAAAHt/+yE=")</f>
        <v>#REF!</v>
      </c>
      <c r="AI44" t="e">
        <f>AND(Bills!#REF!,"AAAAAHt/+yI=")</f>
        <v>#REF!</v>
      </c>
      <c r="AJ44" t="e">
        <f>AND(Bills!#REF!,"AAAAAHt/+yM=")</f>
        <v>#REF!</v>
      </c>
      <c r="AK44" t="e">
        <f>AND(Bills!#REF!,"AAAAAHt/+yQ=")</f>
        <v>#REF!</v>
      </c>
      <c r="AL44" t="e">
        <f>AND(Bills!#REF!,"AAAAAHt/+yU=")</f>
        <v>#REF!</v>
      </c>
      <c r="AM44" t="e">
        <f>AND(Bills!#REF!,"AAAAAHt/+yY=")</f>
        <v>#REF!</v>
      </c>
      <c r="AN44" t="e">
        <f>AND(Bills!AA58,"AAAAAHt/+yc=")</f>
        <v>#VALUE!</v>
      </c>
      <c r="AO44" t="e">
        <f>AND(Bills!AB58,"AAAAAHt/+yg=")</f>
        <v>#VALUE!</v>
      </c>
      <c r="AP44" t="e">
        <f>AND(Bills!#REF!,"AAAAAHt/+yk=")</f>
        <v>#REF!</v>
      </c>
      <c r="AQ44" t="e">
        <f>AND(Bills!#REF!,"AAAAAHt/+yo=")</f>
        <v>#REF!</v>
      </c>
      <c r="AR44" t="e">
        <f>AND(Bills!#REF!,"AAAAAHt/+ys=")</f>
        <v>#REF!</v>
      </c>
      <c r="AS44" t="e">
        <f>AND(Bills!AC58,"AAAAAHt/+yw=")</f>
        <v>#VALUE!</v>
      </c>
      <c r="AT44" t="e">
        <f>AND(Bills!AD58,"AAAAAHt/+y0=")</f>
        <v>#VALUE!</v>
      </c>
      <c r="AU44" t="e">
        <f>AND(Bills!AE58,"AAAAAHt/+y4=")</f>
        <v>#VALUE!</v>
      </c>
      <c r="AV44">
        <f>IF(Bills!59:59,"AAAAAHt/+y8=",0)</f>
        <v>0</v>
      </c>
      <c r="AW44" t="e">
        <f>AND(Bills!B59,"AAAAAHt/+zA=")</f>
        <v>#VALUE!</v>
      </c>
      <c r="AX44" t="e">
        <f>AND(Bills!#REF!,"AAAAAHt/+zE=")</f>
        <v>#REF!</v>
      </c>
      <c r="AY44" t="e">
        <f>AND(Bills!C59,"AAAAAHt/+zI=")</f>
        <v>#VALUE!</v>
      </c>
      <c r="AZ44" t="e">
        <f>AND(Bills!D59,"AAAAAHt/+zM=")</f>
        <v>#VALUE!</v>
      </c>
      <c r="BA44" t="e">
        <f>AND(Bills!E59,"AAAAAHt/+zQ=")</f>
        <v>#VALUE!</v>
      </c>
      <c r="BB44" t="e">
        <f>AND(Bills!#REF!,"AAAAAHt/+zU=")</f>
        <v>#REF!</v>
      </c>
      <c r="BC44" t="e">
        <f>AND(Bills!#REF!,"AAAAAHt/+zY=")</f>
        <v>#REF!</v>
      </c>
      <c r="BD44" t="e">
        <f>AND(Bills!#REF!,"AAAAAHt/+zc=")</f>
        <v>#REF!</v>
      </c>
      <c r="BE44" t="e">
        <f>AND(Bills!F59,"AAAAAHt/+zg=")</f>
        <v>#VALUE!</v>
      </c>
      <c r="BF44" t="e">
        <f>AND(Bills!#REF!,"AAAAAHt/+zk=")</f>
        <v>#REF!</v>
      </c>
      <c r="BG44" t="e">
        <f>AND(Bills!G59,"AAAAAHt/+zo=")</f>
        <v>#VALUE!</v>
      </c>
      <c r="BH44" t="e">
        <f>AND(Bills!H59,"AAAAAHt/+zs=")</f>
        <v>#VALUE!</v>
      </c>
      <c r="BI44" t="e">
        <f>AND(Bills!I59,"AAAAAHt/+zw=")</f>
        <v>#VALUE!</v>
      </c>
      <c r="BJ44" t="e">
        <f>AND(Bills!J59,"AAAAAHt/+z0=")</f>
        <v>#VALUE!</v>
      </c>
      <c r="BK44" t="e">
        <f>AND(Bills!K59,"AAAAAHt/+z4=")</f>
        <v>#VALUE!</v>
      </c>
      <c r="BL44" t="e">
        <f>AND(Bills!L59,"AAAAAHt/+z8=")</f>
        <v>#VALUE!</v>
      </c>
      <c r="BM44" t="e">
        <f>AND(Bills!#REF!,"AAAAAHt/+0A=")</f>
        <v>#REF!</v>
      </c>
      <c r="BN44" t="e">
        <f>AND(Bills!M59,"AAAAAHt/+0E=")</f>
        <v>#VALUE!</v>
      </c>
      <c r="BO44" t="e">
        <f>AND(Bills!N59,"AAAAAHt/+0I=")</f>
        <v>#VALUE!</v>
      </c>
      <c r="BP44" t="e">
        <f>AND(Bills!O59,"AAAAAHt/+0M=")</f>
        <v>#VALUE!</v>
      </c>
      <c r="BQ44" t="e">
        <f>AND(Bills!P59,"AAAAAHt/+0Q=")</f>
        <v>#VALUE!</v>
      </c>
      <c r="BR44" t="e">
        <f>AND(Bills!Q59,"AAAAAHt/+0U=")</f>
        <v>#VALUE!</v>
      </c>
      <c r="BS44" t="e">
        <f>AND(Bills!R59,"AAAAAHt/+0Y=")</f>
        <v>#VALUE!</v>
      </c>
      <c r="BT44" t="e">
        <f>AND(Bills!S59,"AAAAAHt/+0c=")</f>
        <v>#VALUE!</v>
      </c>
      <c r="BU44" t="e">
        <f>AND(Bills!T59,"AAAAAHt/+0g=")</f>
        <v>#VALUE!</v>
      </c>
      <c r="BV44" t="e">
        <f>AND(Bills!#REF!,"AAAAAHt/+0k=")</f>
        <v>#REF!</v>
      </c>
      <c r="BW44" t="e">
        <f>AND(Bills!U59,"AAAAAHt/+0o=")</f>
        <v>#VALUE!</v>
      </c>
      <c r="BX44" t="e">
        <f>AND(Bills!V59,"AAAAAHt/+0s=")</f>
        <v>#VALUE!</v>
      </c>
      <c r="BY44" t="e">
        <f>AND(Bills!W59,"AAAAAHt/+0w=")</f>
        <v>#VALUE!</v>
      </c>
      <c r="BZ44" t="e">
        <f>AND(Bills!#REF!,"AAAAAHt/+00=")</f>
        <v>#REF!</v>
      </c>
      <c r="CA44" t="e">
        <f>AND(Bills!#REF!,"AAAAAHt/+04=")</f>
        <v>#REF!</v>
      </c>
      <c r="CB44" t="e">
        <f>AND(Bills!Y59,"AAAAAHt/+08=")</f>
        <v>#VALUE!</v>
      </c>
      <c r="CC44" t="e">
        <f>AND(Bills!Z59,"AAAAAHt/+1A=")</f>
        <v>#VALUE!</v>
      </c>
      <c r="CD44" t="e">
        <f>AND(Bills!#REF!,"AAAAAHt/+1E=")</f>
        <v>#REF!</v>
      </c>
      <c r="CE44" t="e">
        <f>AND(Bills!#REF!,"AAAAAHt/+1I=")</f>
        <v>#REF!</v>
      </c>
      <c r="CF44" t="e">
        <f>AND(Bills!#REF!,"AAAAAHt/+1M=")</f>
        <v>#REF!</v>
      </c>
      <c r="CG44" t="e">
        <f>AND(Bills!#REF!,"AAAAAHt/+1Q=")</f>
        <v>#REF!</v>
      </c>
      <c r="CH44" t="e">
        <f>AND(Bills!#REF!,"AAAAAHt/+1U=")</f>
        <v>#REF!</v>
      </c>
      <c r="CI44" t="e">
        <f>AND(Bills!#REF!,"AAAAAHt/+1Y=")</f>
        <v>#REF!</v>
      </c>
      <c r="CJ44" t="e">
        <f>AND(Bills!#REF!,"AAAAAHt/+1c=")</f>
        <v>#REF!</v>
      </c>
      <c r="CK44" t="e">
        <f>AND(Bills!#REF!,"AAAAAHt/+1g=")</f>
        <v>#REF!</v>
      </c>
      <c r="CL44" t="e">
        <f>AND(Bills!#REF!,"AAAAAHt/+1k=")</f>
        <v>#REF!</v>
      </c>
      <c r="CM44" t="e">
        <f>AND(Bills!AA59,"AAAAAHt/+1o=")</f>
        <v>#VALUE!</v>
      </c>
      <c r="CN44" t="e">
        <f>AND(Bills!AB59,"AAAAAHt/+1s=")</f>
        <v>#VALUE!</v>
      </c>
      <c r="CO44" t="e">
        <f>AND(Bills!#REF!,"AAAAAHt/+1w=")</f>
        <v>#REF!</v>
      </c>
      <c r="CP44" t="e">
        <f>AND(Bills!#REF!,"AAAAAHt/+10=")</f>
        <v>#REF!</v>
      </c>
      <c r="CQ44" t="e">
        <f>AND(Bills!#REF!,"AAAAAHt/+14=")</f>
        <v>#REF!</v>
      </c>
      <c r="CR44" t="e">
        <f>AND(Bills!AC59,"AAAAAHt/+18=")</f>
        <v>#VALUE!</v>
      </c>
      <c r="CS44" t="e">
        <f>AND(Bills!AD59,"AAAAAHt/+2A=")</f>
        <v>#VALUE!</v>
      </c>
      <c r="CT44" t="e">
        <f>AND(Bills!AE59,"AAAAAHt/+2E=")</f>
        <v>#VALUE!</v>
      </c>
      <c r="CU44">
        <f>IF(Bills!60:60,"AAAAAHt/+2I=",0)</f>
        <v>0</v>
      </c>
      <c r="CV44" t="e">
        <f>AND(Bills!B60,"AAAAAHt/+2M=")</f>
        <v>#VALUE!</v>
      </c>
      <c r="CW44" t="e">
        <f>AND(Bills!#REF!,"AAAAAHt/+2Q=")</f>
        <v>#REF!</v>
      </c>
      <c r="CX44" t="e">
        <f>AND(Bills!C60,"AAAAAHt/+2U=")</f>
        <v>#VALUE!</v>
      </c>
      <c r="CY44" t="e">
        <f>AND(Bills!D60,"AAAAAHt/+2Y=")</f>
        <v>#VALUE!</v>
      </c>
      <c r="CZ44" t="e">
        <f>AND(Bills!E60,"AAAAAHt/+2c=")</f>
        <v>#VALUE!</v>
      </c>
      <c r="DA44" t="e">
        <f>AND(Bills!#REF!,"AAAAAHt/+2g=")</f>
        <v>#REF!</v>
      </c>
      <c r="DB44" t="e">
        <f>AND(Bills!#REF!,"AAAAAHt/+2k=")</f>
        <v>#REF!</v>
      </c>
      <c r="DC44" t="e">
        <f>AND(Bills!#REF!,"AAAAAHt/+2o=")</f>
        <v>#REF!</v>
      </c>
      <c r="DD44" t="e">
        <f>AND(Bills!F60,"AAAAAHt/+2s=")</f>
        <v>#VALUE!</v>
      </c>
      <c r="DE44" t="e">
        <f>AND(Bills!#REF!,"AAAAAHt/+2w=")</f>
        <v>#REF!</v>
      </c>
      <c r="DF44" t="e">
        <f>AND(Bills!G60,"AAAAAHt/+20=")</f>
        <v>#VALUE!</v>
      </c>
      <c r="DG44" t="e">
        <f>AND(Bills!H60,"AAAAAHt/+24=")</f>
        <v>#VALUE!</v>
      </c>
      <c r="DH44" t="e">
        <f>AND(Bills!I60,"AAAAAHt/+28=")</f>
        <v>#VALUE!</v>
      </c>
      <c r="DI44" t="e">
        <f>AND(Bills!J60,"AAAAAHt/+3A=")</f>
        <v>#VALUE!</v>
      </c>
      <c r="DJ44" t="e">
        <f>AND(Bills!K60,"AAAAAHt/+3E=")</f>
        <v>#VALUE!</v>
      </c>
      <c r="DK44" t="e">
        <f>AND(Bills!L60,"AAAAAHt/+3I=")</f>
        <v>#VALUE!</v>
      </c>
      <c r="DL44" t="e">
        <f>AND(Bills!#REF!,"AAAAAHt/+3M=")</f>
        <v>#REF!</v>
      </c>
      <c r="DM44" t="e">
        <f>AND(Bills!M60,"AAAAAHt/+3Q=")</f>
        <v>#VALUE!</v>
      </c>
      <c r="DN44" t="e">
        <f>AND(Bills!N60,"AAAAAHt/+3U=")</f>
        <v>#VALUE!</v>
      </c>
      <c r="DO44" t="e">
        <f>AND(Bills!O60,"AAAAAHt/+3Y=")</f>
        <v>#VALUE!</v>
      </c>
      <c r="DP44" t="e">
        <f>AND(Bills!P60,"AAAAAHt/+3c=")</f>
        <v>#VALUE!</v>
      </c>
      <c r="DQ44" t="e">
        <f>AND(Bills!Q60,"AAAAAHt/+3g=")</f>
        <v>#VALUE!</v>
      </c>
      <c r="DR44" t="e">
        <f>AND(Bills!R60,"AAAAAHt/+3k=")</f>
        <v>#VALUE!</v>
      </c>
      <c r="DS44" t="e">
        <f>AND(Bills!S60,"AAAAAHt/+3o=")</f>
        <v>#VALUE!</v>
      </c>
      <c r="DT44" t="e">
        <f>AND(Bills!T60,"AAAAAHt/+3s=")</f>
        <v>#VALUE!</v>
      </c>
      <c r="DU44" t="e">
        <f>AND(Bills!#REF!,"AAAAAHt/+3w=")</f>
        <v>#REF!</v>
      </c>
      <c r="DV44" t="e">
        <f>AND(Bills!U60,"AAAAAHt/+30=")</f>
        <v>#VALUE!</v>
      </c>
      <c r="DW44" t="e">
        <f>AND(Bills!V60,"AAAAAHt/+34=")</f>
        <v>#VALUE!</v>
      </c>
      <c r="DX44" t="e">
        <f>AND(Bills!W60,"AAAAAHt/+38=")</f>
        <v>#VALUE!</v>
      </c>
      <c r="DY44" t="e">
        <f>AND(Bills!#REF!,"AAAAAHt/+4A=")</f>
        <v>#REF!</v>
      </c>
      <c r="DZ44" t="e">
        <f>AND(Bills!#REF!,"AAAAAHt/+4E=")</f>
        <v>#REF!</v>
      </c>
      <c r="EA44" t="e">
        <f>AND(Bills!Y60,"AAAAAHt/+4I=")</f>
        <v>#VALUE!</v>
      </c>
      <c r="EB44" t="e">
        <f>AND(Bills!Z60,"AAAAAHt/+4M=")</f>
        <v>#VALUE!</v>
      </c>
      <c r="EC44" t="e">
        <f>AND(Bills!#REF!,"AAAAAHt/+4Q=")</f>
        <v>#REF!</v>
      </c>
      <c r="ED44" t="e">
        <f>AND(Bills!#REF!,"AAAAAHt/+4U=")</f>
        <v>#REF!</v>
      </c>
      <c r="EE44" t="e">
        <f>AND(Bills!#REF!,"AAAAAHt/+4Y=")</f>
        <v>#REF!</v>
      </c>
      <c r="EF44" t="e">
        <f>AND(Bills!#REF!,"AAAAAHt/+4c=")</f>
        <v>#REF!</v>
      </c>
      <c r="EG44" t="e">
        <f>AND(Bills!#REF!,"AAAAAHt/+4g=")</f>
        <v>#REF!</v>
      </c>
      <c r="EH44" t="e">
        <f>AND(Bills!#REF!,"AAAAAHt/+4k=")</f>
        <v>#REF!</v>
      </c>
      <c r="EI44" t="e">
        <f>AND(Bills!#REF!,"AAAAAHt/+4o=")</f>
        <v>#REF!</v>
      </c>
      <c r="EJ44" t="e">
        <f>AND(Bills!#REF!,"AAAAAHt/+4s=")</f>
        <v>#REF!</v>
      </c>
      <c r="EK44" t="e">
        <f>AND(Bills!#REF!,"AAAAAHt/+4w=")</f>
        <v>#REF!</v>
      </c>
      <c r="EL44" t="e">
        <f>AND(Bills!AA60,"AAAAAHt/+40=")</f>
        <v>#VALUE!</v>
      </c>
      <c r="EM44" t="e">
        <f>AND(Bills!AB60,"AAAAAHt/+44=")</f>
        <v>#VALUE!</v>
      </c>
      <c r="EN44" t="e">
        <f>AND(Bills!#REF!,"AAAAAHt/+48=")</f>
        <v>#REF!</v>
      </c>
      <c r="EO44" t="e">
        <f>AND(Bills!#REF!,"AAAAAHt/+5A=")</f>
        <v>#REF!</v>
      </c>
      <c r="EP44" t="e">
        <f>AND(Bills!#REF!,"AAAAAHt/+5E=")</f>
        <v>#REF!</v>
      </c>
      <c r="EQ44" t="e">
        <f>AND(Bills!AC60,"AAAAAHt/+5I=")</f>
        <v>#VALUE!</v>
      </c>
      <c r="ER44" t="e">
        <f>AND(Bills!AD60,"AAAAAHt/+5M=")</f>
        <v>#VALUE!</v>
      </c>
      <c r="ES44" t="e">
        <f>AND(Bills!AE60,"AAAAAHt/+5Q=")</f>
        <v>#VALUE!</v>
      </c>
      <c r="ET44">
        <f>IF(Bills!61:61,"AAAAAHt/+5U=",0)</f>
        <v>0</v>
      </c>
      <c r="EU44" t="e">
        <f>AND(Bills!B61,"AAAAAHt/+5Y=")</f>
        <v>#VALUE!</v>
      </c>
      <c r="EV44" t="e">
        <f>AND(Bills!#REF!,"AAAAAHt/+5c=")</f>
        <v>#REF!</v>
      </c>
      <c r="EW44" t="e">
        <f>AND(Bills!C61,"AAAAAHt/+5g=")</f>
        <v>#VALUE!</v>
      </c>
      <c r="EX44" t="e">
        <f>AND(Bills!D61,"AAAAAHt/+5k=")</f>
        <v>#VALUE!</v>
      </c>
      <c r="EY44" t="e">
        <f>AND(Bills!E61,"AAAAAHt/+5o=")</f>
        <v>#VALUE!</v>
      </c>
      <c r="EZ44" t="e">
        <f>AND(Bills!#REF!,"AAAAAHt/+5s=")</f>
        <v>#REF!</v>
      </c>
      <c r="FA44" t="e">
        <f>AND(Bills!#REF!,"AAAAAHt/+5w=")</f>
        <v>#REF!</v>
      </c>
      <c r="FB44" t="e">
        <f>AND(Bills!#REF!,"AAAAAHt/+50=")</f>
        <v>#REF!</v>
      </c>
      <c r="FC44" t="e">
        <f>AND(Bills!F61,"AAAAAHt/+54=")</f>
        <v>#VALUE!</v>
      </c>
      <c r="FD44" t="e">
        <f>AND(Bills!#REF!,"AAAAAHt/+58=")</f>
        <v>#REF!</v>
      </c>
      <c r="FE44" t="e">
        <f>AND(Bills!G61,"AAAAAHt/+6A=")</f>
        <v>#VALUE!</v>
      </c>
      <c r="FF44" t="e">
        <f>AND(Bills!H61,"AAAAAHt/+6E=")</f>
        <v>#VALUE!</v>
      </c>
      <c r="FG44" t="e">
        <f>AND(Bills!I61,"AAAAAHt/+6I=")</f>
        <v>#VALUE!</v>
      </c>
      <c r="FH44" t="e">
        <f>AND(Bills!J61,"AAAAAHt/+6M=")</f>
        <v>#VALUE!</v>
      </c>
      <c r="FI44" t="e">
        <f>AND(Bills!K61,"AAAAAHt/+6Q=")</f>
        <v>#VALUE!</v>
      </c>
      <c r="FJ44" t="e">
        <f>AND(Bills!L61,"AAAAAHt/+6U=")</f>
        <v>#VALUE!</v>
      </c>
      <c r="FK44" t="e">
        <f>AND(Bills!#REF!,"AAAAAHt/+6Y=")</f>
        <v>#REF!</v>
      </c>
      <c r="FL44" t="e">
        <f>AND(Bills!M61,"AAAAAHt/+6c=")</f>
        <v>#VALUE!</v>
      </c>
      <c r="FM44" t="e">
        <f>AND(Bills!N61,"AAAAAHt/+6g=")</f>
        <v>#VALUE!</v>
      </c>
      <c r="FN44" t="e">
        <f>AND(Bills!O61,"AAAAAHt/+6k=")</f>
        <v>#VALUE!</v>
      </c>
      <c r="FO44" t="e">
        <f>AND(Bills!P61,"AAAAAHt/+6o=")</f>
        <v>#VALUE!</v>
      </c>
      <c r="FP44" t="e">
        <f>AND(Bills!Q61,"AAAAAHt/+6s=")</f>
        <v>#VALUE!</v>
      </c>
      <c r="FQ44" t="e">
        <f>AND(Bills!R61,"AAAAAHt/+6w=")</f>
        <v>#VALUE!</v>
      </c>
      <c r="FR44" t="e">
        <f>AND(Bills!S61,"AAAAAHt/+60=")</f>
        <v>#VALUE!</v>
      </c>
      <c r="FS44" t="e">
        <f>AND(Bills!T61,"AAAAAHt/+64=")</f>
        <v>#VALUE!</v>
      </c>
      <c r="FT44" t="e">
        <f>AND(Bills!#REF!,"AAAAAHt/+68=")</f>
        <v>#REF!</v>
      </c>
      <c r="FU44" t="e">
        <f>AND(Bills!U61,"AAAAAHt/+7A=")</f>
        <v>#VALUE!</v>
      </c>
      <c r="FV44" t="e">
        <f>AND(Bills!V61,"AAAAAHt/+7E=")</f>
        <v>#VALUE!</v>
      </c>
      <c r="FW44" t="e">
        <f>AND(Bills!W61,"AAAAAHt/+7I=")</f>
        <v>#VALUE!</v>
      </c>
      <c r="FX44" t="e">
        <f>AND(Bills!#REF!,"AAAAAHt/+7M=")</f>
        <v>#REF!</v>
      </c>
      <c r="FY44" t="e">
        <f>AND(Bills!#REF!,"AAAAAHt/+7Q=")</f>
        <v>#REF!</v>
      </c>
      <c r="FZ44" t="e">
        <f>AND(Bills!Y61,"AAAAAHt/+7U=")</f>
        <v>#VALUE!</v>
      </c>
      <c r="GA44" t="e">
        <f>AND(Bills!Z61,"AAAAAHt/+7Y=")</f>
        <v>#VALUE!</v>
      </c>
      <c r="GB44" t="e">
        <f>AND(Bills!#REF!,"AAAAAHt/+7c=")</f>
        <v>#REF!</v>
      </c>
      <c r="GC44" t="e">
        <f>AND(Bills!#REF!,"AAAAAHt/+7g=")</f>
        <v>#REF!</v>
      </c>
      <c r="GD44" t="e">
        <f>AND(Bills!#REF!,"AAAAAHt/+7k=")</f>
        <v>#REF!</v>
      </c>
      <c r="GE44" t="e">
        <f>AND(Bills!#REF!,"AAAAAHt/+7o=")</f>
        <v>#REF!</v>
      </c>
      <c r="GF44" t="e">
        <f>AND(Bills!#REF!,"AAAAAHt/+7s=")</f>
        <v>#REF!</v>
      </c>
      <c r="GG44" t="e">
        <f>AND(Bills!#REF!,"AAAAAHt/+7w=")</f>
        <v>#REF!</v>
      </c>
      <c r="GH44" t="e">
        <f>AND(Bills!#REF!,"AAAAAHt/+70=")</f>
        <v>#REF!</v>
      </c>
      <c r="GI44" t="e">
        <f>AND(Bills!#REF!,"AAAAAHt/+74=")</f>
        <v>#REF!</v>
      </c>
      <c r="GJ44" t="e">
        <f>AND(Bills!#REF!,"AAAAAHt/+78=")</f>
        <v>#REF!</v>
      </c>
      <c r="GK44" t="e">
        <f>AND(Bills!AA61,"AAAAAHt/+8A=")</f>
        <v>#VALUE!</v>
      </c>
      <c r="GL44" t="e">
        <f>AND(Bills!AB61,"AAAAAHt/+8E=")</f>
        <v>#VALUE!</v>
      </c>
      <c r="GM44" t="e">
        <f>AND(Bills!#REF!,"AAAAAHt/+8I=")</f>
        <v>#REF!</v>
      </c>
      <c r="GN44" t="e">
        <f>AND(Bills!#REF!,"AAAAAHt/+8M=")</f>
        <v>#REF!</v>
      </c>
      <c r="GO44" t="e">
        <f>AND(Bills!#REF!,"AAAAAHt/+8Q=")</f>
        <v>#REF!</v>
      </c>
      <c r="GP44" t="e">
        <f>AND(Bills!AC61,"AAAAAHt/+8U=")</f>
        <v>#VALUE!</v>
      </c>
      <c r="GQ44" t="e">
        <f>AND(Bills!AD61,"AAAAAHt/+8Y=")</f>
        <v>#VALUE!</v>
      </c>
      <c r="GR44" t="e">
        <f>AND(Bills!AE61,"AAAAAHt/+8c=")</f>
        <v>#VALUE!</v>
      </c>
      <c r="GS44">
        <f>IF(Bills!62:62,"AAAAAHt/+8g=",0)</f>
        <v>0</v>
      </c>
      <c r="GT44" t="e">
        <f>AND(Bills!B62,"AAAAAHt/+8k=")</f>
        <v>#VALUE!</v>
      </c>
      <c r="GU44" t="e">
        <f>AND(Bills!#REF!,"AAAAAHt/+8o=")</f>
        <v>#REF!</v>
      </c>
      <c r="GV44" t="e">
        <f>AND(Bills!C62,"AAAAAHt/+8s=")</f>
        <v>#VALUE!</v>
      </c>
      <c r="GW44" t="e">
        <f>AND(Bills!D62,"AAAAAHt/+8w=")</f>
        <v>#VALUE!</v>
      </c>
      <c r="GX44" t="e">
        <f>AND(Bills!E62,"AAAAAHt/+80=")</f>
        <v>#VALUE!</v>
      </c>
      <c r="GY44" t="e">
        <f>AND(Bills!#REF!,"AAAAAHt/+84=")</f>
        <v>#REF!</v>
      </c>
      <c r="GZ44" t="e">
        <f>AND(Bills!#REF!,"AAAAAHt/+88=")</f>
        <v>#REF!</v>
      </c>
      <c r="HA44" t="e">
        <f>AND(Bills!#REF!,"AAAAAHt/+9A=")</f>
        <v>#REF!</v>
      </c>
      <c r="HB44" t="e">
        <f>AND(Bills!F62,"AAAAAHt/+9E=")</f>
        <v>#VALUE!</v>
      </c>
      <c r="HC44" t="e">
        <f>AND(Bills!#REF!,"AAAAAHt/+9I=")</f>
        <v>#REF!</v>
      </c>
      <c r="HD44" t="e">
        <f>AND(Bills!G62,"AAAAAHt/+9M=")</f>
        <v>#VALUE!</v>
      </c>
      <c r="HE44" t="e">
        <f>AND(Bills!H62,"AAAAAHt/+9Q=")</f>
        <v>#VALUE!</v>
      </c>
      <c r="HF44" t="e">
        <f>AND(Bills!I62,"AAAAAHt/+9U=")</f>
        <v>#VALUE!</v>
      </c>
      <c r="HG44" t="e">
        <f>AND(Bills!J62,"AAAAAHt/+9Y=")</f>
        <v>#VALUE!</v>
      </c>
      <c r="HH44" t="e">
        <f>AND(Bills!K62,"AAAAAHt/+9c=")</f>
        <v>#VALUE!</v>
      </c>
      <c r="HI44" t="e">
        <f>AND(Bills!L62,"AAAAAHt/+9g=")</f>
        <v>#VALUE!</v>
      </c>
      <c r="HJ44" t="e">
        <f>AND(Bills!#REF!,"AAAAAHt/+9k=")</f>
        <v>#REF!</v>
      </c>
      <c r="HK44" t="e">
        <f>AND(Bills!M62,"AAAAAHt/+9o=")</f>
        <v>#VALUE!</v>
      </c>
      <c r="HL44" t="e">
        <f>AND(Bills!N62,"AAAAAHt/+9s=")</f>
        <v>#VALUE!</v>
      </c>
      <c r="HM44" t="e">
        <f>AND(Bills!O62,"AAAAAHt/+9w=")</f>
        <v>#VALUE!</v>
      </c>
      <c r="HN44" t="e">
        <f>AND(Bills!P62,"AAAAAHt/+90=")</f>
        <v>#VALUE!</v>
      </c>
      <c r="HO44" t="e">
        <f>AND(Bills!Q62,"AAAAAHt/+94=")</f>
        <v>#VALUE!</v>
      </c>
      <c r="HP44" t="e">
        <f>AND(Bills!R62,"AAAAAHt/+98=")</f>
        <v>#VALUE!</v>
      </c>
      <c r="HQ44" t="e">
        <f>AND(Bills!S62,"AAAAAHt/++A=")</f>
        <v>#VALUE!</v>
      </c>
      <c r="HR44" t="e">
        <f>AND(Bills!T62,"AAAAAHt/++E=")</f>
        <v>#VALUE!</v>
      </c>
      <c r="HS44" t="e">
        <f>AND(Bills!#REF!,"AAAAAHt/++I=")</f>
        <v>#REF!</v>
      </c>
      <c r="HT44" t="e">
        <f>AND(Bills!U62,"AAAAAHt/++M=")</f>
        <v>#VALUE!</v>
      </c>
      <c r="HU44" t="e">
        <f>AND(Bills!V62,"AAAAAHt/++Q=")</f>
        <v>#VALUE!</v>
      </c>
      <c r="HV44" t="e">
        <f>AND(Bills!W62,"AAAAAHt/++U=")</f>
        <v>#VALUE!</v>
      </c>
      <c r="HW44" t="e">
        <f>AND(Bills!#REF!,"AAAAAHt/++Y=")</f>
        <v>#REF!</v>
      </c>
      <c r="HX44" t="e">
        <f>AND(Bills!#REF!,"AAAAAHt/++c=")</f>
        <v>#REF!</v>
      </c>
      <c r="HY44" t="e">
        <f>AND(Bills!Y62,"AAAAAHt/++g=")</f>
        <v>#VALUE!</v>
      </c>
      <c r="HZ44" t="e">
        <f>AND(Bills!Z62,"AAAAAHt/++k=")</f>
        <v>#VALUE!</v>
      </c>
      <c r="IA44" t="e">
        <f>AND(Bills!#REF!,"AAAAAHt/++o=")</f>
        <v>#REF!</v>
      </c>
      <c r="IB44" t="e">
        <f>AND(Bills!#REF!,"AAAAAHt/++s=")</f>
        <v>#REF!</v>
      </c>
      <c r="IC44" t="e">
        <f>AND(Bills!#REF!,"AAAAAHt/++w=")</f>
        <v>#REF!</v>
      </c>
      <c r="ID44" t="e">
        <f>AND(Bills!#REF!,"AAAAAHt/++0=")</f>
        <v>#REF!</v>
      </c>
      <c r="IE44" t="e">
        <f>AND(Bills!#REF!,"AAAAAHt/++4=")</f>
        <v>#REF!</v>
      </c>
      <c r="IF44" t="e">
        <f>AND(Bills!#REF!,"AAAAAHt/++8=")</f>
        <v>#REF!</v>
      </c>
      <c r="IG44" t="e">
        <f>AND(Bills!#REF!,"AAAAAHt/+/A=")</f>
        <v>#REF!</v>
      </c>
      <c r="IH44" t="e">
        <f>AND(Bills!#REF!,"AAAAAHt/+/E=")</f>
        <v>#REF!</v>
      </c>
      <c r="II44" t="e">
        <f>AND(Bills!#REF!,"AAAAAHt/+/I=")</f>
        <v>#REF!</v>
      </c>
      <c r="IJ44" t="e">
        <f>AND(Bills!AA62,"AAAAAHt/+/M=")</f>
        <v>#VALUE!</v>
      </c>
      <c r="IK44" t="e">
        <f>AND(Bills!AB62,"AAAAAHt/+/Q=")</f>
        <v>#VALUE!</v>
      </c>
      <c r="IL44" t="e">
        <f>AND(Bills!#REF!,"AAAAAHt/+/U=")</f>
        <v>#REF!</v>
      </c>
      <c r="IM44" t="e">
        <f>AND(Bills!#REF!,"AAAAAHt/+/Y=")</f>
        <v>#REF!</v>
      </c>
      <c r="IN44" t="e">
        <f>AND(Bills!#REF!,"AAAAAHt/+/c=")</f>
        <v>#REF!</v>
      </c>
      <c r="IO44" t="e">
        <f>AND(Bills!AC62,"AAAAAHt/+/g=")</f>
        <v>#VALUE!</v>
      </c>
      <c r="IP44" t="e">
        <f>AND(Bills!AD62,"AAAAAHt/+/k=")</f>
        <v>#VALUE!</v>
      </c>
      <c r="IQ44" t="e">
        <f>AND(Bills!AE62,"AAAAAHt/+/o=")</f>
        <v>#VALUE!</v>
      </c>
      <c r="IR44">
        <f>IF(Bills!63:63,"AAAAAHt/+/s=",0)</f>
        <v>0</v>
      </c>
      <c r="IS44" t="e">
        <f>AND(Bills!B63,"AAAAAHt/+/w=")</f>
        <v>#VALUE!</v>
      </c>
      <c r="IT44" t="e">
        <f>AND(Bills!#REF!,"AAAAAHt/+/0=")</f>
        <v>#REF!</v>
      </c>
      <c r="IU44" t="e">
        <f>AND(Bills!C63,"AAAAAHt/+/4=")</f>
        <v>#VALUE!</v>
      </c>
      <c r="IV44" t="e">
        <f>AND(Bills!D63,"AAAAAHt/+/8=")</f>
        <v>#VALUE!</v>
      </c>
    </row>
    <row r="45" spans="1:256" x14ac:dyDescent="0.25">
      <c r="A45" t="e">
        <f>AND(Bills!E63,"AAAAACsvvwA=")</f>
        <v>#VALUE!</v>
      </c>
      <c r="B45" t="e">
        <f>AND(Bills!#REF!,"AAAAACsvvwE=")</f>
        <v>#REF!</v>
      </c>
      <c r="C45" t="e">
        <f>AND(Bills!#REF!,"AAAAACsvvwI=")</f>
        <v>#REF!</v>
      </c>
      <c r="D45" t="e">
        <f>AND(Bills!#REF!,"AAAAACsvvwM=")</f>
        <v>#REF!</v>
      </c>
      <c r="E45" t="e">
        <f>AND(Bills!F63,"AAAAACsvvwQ=")</f>
        <v>#VALUE!</v>
      </c>
      <c r="F45" t="e">
        <f>AND(Bills!#REF!,"AAAAACsvvwU=")</f>
        <v>#REF!</v>
      </c>
      <c r="G45" t="e">
        <f>AND(Bills!G63,"AAAAACsvvwY=")</f>
        <v>#VALUE!</v>
      </c>
      <c r="H45" t="e">
        <f>AND(Bills!H63,"AAAAACsvvwc=")</f>
        <v>#VALUE!</v>
      </c>
      <c r="I45" t="e">
        <f>AND(Bills!I63,"AAAAACsvvwg=")</f>
        <v>#VALUE!</v>
      </c>
      <c r="J45" t="e">
        <f>AND(Bills!J63,"AAAAACsvvwk=")</f>
        <v>#VALUE!</v>
      </c>
      <c r="K45" t="e">
        <f>AND(Bills!K63,"AAAAACsvvwo=")</f>
        <v>#VALUE!</v>
      </c>
      <c r="L45" t="e">
        <f>AND(Bills!L63,"AAAAACsvvws=")</f>
        <v>#VALUE!</v>
      </c>
      <c r="M45" t="e">
        <f>AND(Bills!#REF!,"AAAAACsvvww=")</f>
        <v>#REF!</v>
      </c>
      <c r="N45" t="e">
        <f>AND(Bills!M63,"AAAAACsvvw0=")</f>
        <v>#VALUE!</v>
      </c>
      <c r="O45" t="e">
        <f>AND(Bills!N63,"AAAAACsvvw4=")</f>
        <v>#VALUE!</v>
      </c>
      <c r="P45" t="e">
        <f>AND(Bills!O63,"AAAAACsvvw8=")</f>
        <v>#VALUE!</v>
      </c>
      <c r="Q45" t="e">
        <f>AND(Bills!P63,"AAAAACsvvxA=")</f>
        <v>#VALUE!</v>
      </c>
      <c r="R45" t="e">
        <f>AND(Bills!Q63,"AAAAACsvvxE=")</f>
        <v>#VALUE!</v>
      </c>
      <c r="S45" t="e">
        <f>AND(Bills!R63,"AAAAACsvvxI=")</f>
        <v>#VALUE!</v>
      </c>
      <c r="T45" t="e">
        <f>AND(Bills!S63,"AAAAACsvvxM=")</f>
        <v>#VALUE!</v>
      </c>
      <c r="U45" t="e">
        <f>AND(Bills!T63,"AAAAACsvvxQ=")</f>
        <v>#VALUE!</v>
      </c>
      <c r="V45" t="e">
        <f>AND(Bills!#REF!,"AAAAACsvvxU=")</f>
        <v>#REF!</v>
      </c>
      <c r="W45" t="e">
        <f>AND(Bills!U63,"AAAAACsvvxY=")</f>
        <v>#VALUE!</v>
      </c>
      <c r="X45" t="e">
        <f>AND(Bills!V63,"AAAAACsvvxc=")</f>
        <v>#VALUE!</v>
      </c>
      <c r="Y45" t="e">
        <f>AND(Bills!W63,"AAAAACsvvxg=")</f>
        <v>#VALUE!</v>
      </c>
      <c r="Z45" t="e">
        <f>AND(Bills!#REF!,"AAAAACsvvxk=")</f>
        <v>#REF!</v>
      </c>
      <c r="AA45" t="e">
        <f>AND(Bills!#REF!,"AAAAACsvvxo=")</f>
        <v>#REF!</v>
      </c>
      <c r="AB45" t="e">
        <f>AND(Bills!Y63,"AAAAACsvvxs=")</f>
        <v>#VALUE!</v>
      </c>
      <c r="AC45" t="e">
        <f>AND(Bills!Z63,"AAAAACsvvxw=")</f>
        <v>#VALUE!</v>
      </c>
      <c r="AD45" t="e">
        <f>AND(Bills!#REF!,"AAAAACsvvx0=")</f>
        <v>#REF!</v>
      </c>
      <c r="AE45" t="e">
        <f>AND(Bills!#REF!,"AAAAACsvvx4=")</f>
        <v>#REF!</v>
      </c>
      <c r="AF45" t="e">
        <f>AND(Bills!#REF!,"AAAAACsvvx8=")</f>
        <v>#REF!</v>
      </c>
      <c r="AG45" t="e">
        <f>AND(Bills!#REF!,"AAAAACsvvyA=")</f>
        <v>#REF!</v>
      </c>
      <c r="AH45" t="e">
        <f>AND(Bills!#REF!,"AAAAACsvvyE=")</f>
        <v>#REF!</v>
      </c>
      <c r="AI45" t="e">
        <f>AND(Bills!#REF!,"AAAAACsvvyI=")</f>
        <v>#REF!</v>
      </c>
      <c r="AJ45" t="e">
        <f>AND(Bills!#REF!,"AAAAACsvvyM=")</f>
        <v>#REF!</v>
      </c>
      <c r="AK45" t="e">
        <f>AND(Bills!#REF!,"AAAAACsvvyQ=")</f>
        <v>#REF!</v>
      </c>
      <c r="AL45" t="e">
        <f>AND(Bills!#REF!,"AAAAACsvvyU=")</f>
        <v>#REF!</v>
      </c>
      <c r="AM45" t="e">
        <f>AND(Bills!AA63,"AAAAACsvvyY=")</f>
        <v>#VALUE!</v>
      </c>
      <c r="AN45" t="e">
        <f>AND(Bills!AB63,"AAAAACsvvyc=")</f>
        <v>#VALUE!</v>
      </c>
      <c r="AO45" t="e">
        <f>AND(Bills!#REF!,"AAAAACsvvyg=")</f>
        <v>#REF!</v>
      </c>
      <c r="AP45" t="e">
        <f>AND(Bills!#REF!,"AAAAACsvvyk=")</f>
        <v>#REF!</v>
      </c>
      <c r="AQ45" t="e">
        <f>AND(Bills!#REF!,"AAAAACsvvyo=")</f>
        <v>#REF!</v>
      </c>
      <c r="AR45" t="e">
        <f>AND(Bills!AC63,"AAAAACsvvys=")</f>
        <v>#VALUE!</v>
      </c>
      <c r="AS45" t="e">
        <f>AND(Bills!AD63,"AAAAACsvvyw=")</f>
        <v>#VALUE!</v>
      </c>
      <c r="AT45" t="e">
        <f>AND(Bills!AE63,"AAAAACsvvy0=")</f>
        <v>#VALUE!</v>
      </c>
      <c r="AU45">
        <f>IF(Bills!64:64,"AAAAACsvvy4=",0)</f>
        <v>0</v>
      </c>
      <c r="AV45" t="e">
        <f>AND(Bills!B64,"AAAAACsvvy8=")</f>
        <v>#VALUE!</v>
      </c>
      <c r="AW45" t="e">
        <f>AND(Bills!#REF!,"AAAAACsvvzA=")</f>
        <v>#REF!</v>
      </c>
      <c r="AX45" t="e">
        <f>AND(Bills!C64,"AAAAACsvvzE=")</f>
        <v>#VALUE!</v>
      </c>
      <c r="AY45" t="e">
        <f>AND(Bills!D64,"AAAAACsvvzI=")</f>
        <v>#VALUE!</v>
      </c>
      <c r="AZ45" t="e">
        <f>AND(Bills!E64,"AAAAACsvvzM=")</f>
        <v>#VALUE!</v>
      </c>
      <c r="BA45" t="e">
        <f>AND(Bills!#REF!,"AAAAACsvvzQ=")</f>
        <v>#REF!</v>
      </c>
      <c r="BB45" t="e">
        <f>AND(Bills!#REF!,"AAAAACsvvzU=")</f>
        <v>#REF!</v>
      </c>
      <c r="BC45" t="e">
        <f>AND(Bills!#REF!,"AAAAACsvvzY=")</f>
        <v>#REF!</v>
      </c>
      <c r="BD45" t="e">
        <f>AND(Bills!F64,"AAAAACsvvzc=")</f>
        <v>#VALUE!</v>
      </c>
      <c r="BE45" t="e">
        <f>AND(Bills!#REF!,"AAAAACsvvzg=")</f>
        <v>#REF!</v>
      </c>
      <c r="BF45" t="e">
        <f>AND(Bills!G64,"AAAAACsvvzk=")</f>
        <v>#VALUE!</v>
      </c>
      <c r="BG45" t="e">
        <f>AND(Bills!H64,"AAAAACsvvzo=")</f>
        <v>#VALUE!</v>
      </c>
      <c r="BH45" t="e">
        <f>AND(Bills!I64,"AAAAACsvvzs=")</f>
        <v>#VALUE!</v>
      </c>
      <c r="BI45" t="e">
        <f>AND(Bills!J64,"AAAAACsvvzw=")</f>
        <v>#VALUE!</v>
      </c>
      <c r="BJ45" t="e">
        <f>AND(Bills!K64,"AAAAACsvvz0=")</f>
        <v>#VALUE!</v>
      </c>
      <c r="BK45" t="e">
        <f>AND(Bills!L64,"AAAAACsvvz4=")</f>
        <v>#VALUE!</v>
      </c>
      <c r="BL45" t="e">
        <f>AND(Bills!#REF!,"AAAAACsvvz8=")</f>
        <v>#REF!</v>
      </c>
      <c r="BM45" t="e">
        <f>AND(Bills!M64,"AAAAACsvv0A=")</f>
        <v>#VALUE!</v>
      </c>
      <c r="BN45" t="e">
        <f>AND(Bills!N64,"AAAAACsvv0E=")</f>
        <v>#VALUE!</v>
      </c>
      <c r="BO45" t="e">
        <f>AND(Bills!O64,"AAAAACsvv0I=")</f>
        <v>#VALUE!</v>
      </c>
      <c r="BP45" t="e">
        <f>AND(Bills!P64,"AAAAACsvv0M=")</f>
        <v>#VALUE!</v>
      </c>
      <c r="BQ45" t="e">
        <f>AND(Bills!Q64,"AAAAACsvv0Q=")</f>
        <v>#VALUE!</v>
      </c>
      <c r="BR45" t="e">
        <f>AND(Bills!R64,"AAAAACsvv0U=")</f>
        <v>#VALUE!</v>
      </c>
      <c r="BS45" t="e">
        <f>AND(Bills!S64,"AAAAACsvv0Y=")</f>
        <v>#VALUE!</v>
      </c>
      <c r="BT45" t="e">
        <f>AND(Bills!T64,"AAAAACsvv0c=")</f>
        <v>#VALUE!</v>
      </c>
      <c r="BU45" t="e">
        <f>AND(Bills!#REF!,"AAAAACsvv0g=")</f>
        <v>#REF!</v>
      </c>
      <c r="BV45" t="e">
        <f>AND(Bills!U64,"AAAAACsvv0k=")</f>
        <v>#VALUE!</v>
      </c>
      <c r="BW45" t="e">
        <f>AND(Bills!V64,"AAAAACsvv0o=")</f>
        <v>#VALUE!</v>
      </c>
      <c r="BX45" t="e">
        <f>AND(Bills!W64,"AAAAACsvv0s=")</f>
        <v>#VALUE!</v>
      </c>
      <c r="BY45" t="e">
        <f>AND(Bills!#REF!,"AAAAACsvv0w=")</f>
        <v>#REF!</v>
      </c>
      <c r="BZ45" t="e">
        <f>AND(Bills!#REF!,"AAAAACsvv00=")</f>
        <v>#REF!</v>
      </c>
      <c r="CA45" t="e">
        <f>AND(Bills!Y64,"AAAAACsvv04=")</f>
        <v>#VALUE!</v>
      </c>
      <c r="CB45" t="e">
        <f>AND(Bills!Z64,"AAAAACsvv08=")</f>
        <v>#VALUE!</v>
      </c>
      <c r="CC45" t="e">
        <f>AND(Bills!#REF!,"AAAAACsvv1A=")</f>
        <v>#REF!</v>
      </c>
      <c r="CD45" t="e">
        <f>AND(Bills!#REF!,"AAAAACsvv1E=")</f>
        <v>#REF!</v>
      </c>
      <c r="CE45" t="e">
        <f>AND(Bills!#REF!,"AAAAACsvv1I=")</f>
        <v>#REF!</v>
      </c>
      <c r="CF45" t="e">
        <f>AND(Bills!#REF!,"AAAAACsvv1M=")</f>
        <v>#REF!</v>
      </c>
      <c r="CG45" t="e">
        <f>AND(Bills!#REF!,"AAAAACsvv1Q=")</f>
        <v>#REF!</v>
      </c>
      <c r="CH45" t="e">
        <f>AND(Bills!#REF!,"AAAAACsvv1U=")</f>
        <v>#REF!</v>
      </c>
      <c r="CI45" t="e">
        <f>AND(Bills!#REF!,"AAAAACsvv1Y=")</f>
        <v>#REF!</v>
      </c>
      <c r="CJ45" t="e">
        <f>AND(Bills!#REF!,"AAAAACsvv1c=")</f>
        <v>#REF!</v>
      </c>
      <c r="CK45" t="e">
        <f>AND(Bills!#REF!,"AAAAACsvv1g=")</f>
        <v>#REF!</v>
      </c>
      <c r="CL45" t="e">
        <f>AND(Bills!AA64,"AAAAACsvv1k=")</f>
        <v>#VALUE!</v>
      </c>
      <c r="CM45" t="e">
        <f>AND(Bills!AB64,"AAAAACsvv1o=")</f>
        <v>#VALUE!</v>
      </c>
      <c r="CN45" t="e">
        <f>AND(Bills!#REF!,"AAAAACsvv1s=")</f>
        <v>#REF!</v>
      </c>
      <c r="CO45" t="e">
        <f>AND(Bills!#REF!,"AAAAACsvv1w=")</f>
        <v>#REF!</v>
      </c>
      <c r="CP45" t="e">
        <f>AND(Bills!#REF!,"AAAAACsvv10=")</f>
        <v>#REF!</v>
      </c>
      <c r="CQ45" t="e">
        <f>AND(Bills!AC64,"AAAAACsvv14=")</f>
        <v>#VALUE!</v>
      </c>
      <c r="CR45" t="e">
        <f>AND(Bills!AD64,"AAAAACsvv18=")</f>
        <v>#VALUE!</v>
      </c>
      <c r="CS45" t="e">
        <f>AND(Bills!AE64,"AAAAACsvv2A=")</f>
        <v>#VALUE!</v>
      </c>
      <c r="CT45">
        <f>IF(Bills!65:65,"AAAAACsvv2E=",0)</f>
        <v>0</v>
      </c>
      <c r="CU45" t="e">
        <f>AND(Bills!B65,"AAAAACsvv2I=")</f>
        <v>#VALUE!</v>
      </c>
      <c r="CV45" t="e">
        <f>AND(Bills!#REF!,"AAAAACsvv2M=")</f>
        <v>#REF!</v>
      </c>
      <c r="CW45" t="e">
        <f>AND(Bills!C65,"AAAAACsvv2Q=")</f>
        <v>#VALUE!</v>
      </c>
      <c r="CX45" t="e">
        <f>AND(Bills!D65,"AAAAACsvv2U=")</f>
        <v>#VALUE!</v>
      </c>
      <c r="CY45" t="e">
        <f>AND(Bills!E65,"AAAAACsvv2Y=")</f>
        <v>#VALUE!</v>
      </c>
      <c r="CZ45" t="e">
        <f>AND(Bills!#REF!,"AAAAACsvv2c=")</f>
        <v>#REF!</v>
      </c>
      <c r="DA45" t="e">
        <f>AND(Bills!#REF!,"AAAAACsvv2g=")</f>
        <v>#REF!</v>
      </c>
      <c r="DB45" t="e">
        <f>AND(Bills!#REF!,"AAAAACsvv2k=")</f>
        <v>#REF!</v>
      </c>
      <c r="DC45" t="e">
        <f>AND(Bills!F65,"AAAAACsvv2o=")</f>
        <v>#VALUE!</v>
      </c>
      <c r="DD45" t="e">
        <f>AND(Bills!#REF!,"AAAAACsvv2s=")</f>
        <v>#REF!</v>
      </c>
      <c r="DE45" t="e">
        <f>AND(Bills!G65,"AAAAACsvv2w=")</f>
        <v>#VALUE!</v>
      </c>
      <c r="DF45" t="e">
        <f>AND(Bills!H65,"AAAAACsvv20=")</f>
        <v>#VALUE!</v>
      </c>
      <c r="DG45" t="e">
        <f>AND(Bills!I65,"AAAAACsvv24=")</f>
        <v>#VALUE!</v>
      </c>
      <c r="DH45" t="e">
        <f>AND(Bills!J65,"AAAAACsvv28=")</f>
        <v>#VALUE!</v>
      </c>
      <c r="DI45" t="e">
        <f>AND(Bills!K65,"AAAAACsvv3A=")</f>
        <v>#VALUE!</v>
      </c>
      <c r="DJ45" t="e">
        <f>AND(Bills!L65,"AAAAACsvv3E=")</f>
        <v>#VALUE!</v>
      </c>
      <c r="DK45" t="e">
        <f>AND(Bills!#REF!,"AAAAACsvv3I=")</f>
        <v>#REF!</v>
      </c>
      <c r="DL45" t="e">
        <f>AND(Bills!M65,"AAAAACsvv3M=")</f>
        <v>#VALUE!</v>
      </c>
      <c r="DM45" t="e">
        <f>AND(Bills!N65,"AAAAACsvv3Q=")</f>
        <v>#VALUE!</v>
      </c>
      <c r="DN45" t="e">
        <f>AND(Bills!O65,"AAAAACsvv3U=")</f>
        <v>#VALUE!</v>
      </c>
      <c r="DO45" t="e">
        <f>AND(Bills!P65,"AAAAACsvv3Y=")</f>
        <v>#VALUE!</v>
      </c>
      <c r="DP45" t="e">
        <f>AND(Bills!Q65,"AAAAACsvv3c=")</f>
        <v>#VALUE!</v>
      </c>
      <c r="DQ45" t="e">
        <f>AND(Bills!R65,"AAAAACsvv3g=")</f>
        <v>#VALUE!</v>
      </c>
      <c r="DR45" t="e">
        <f>AND(Bills!S65,"AAAAACsvv3k=")</f>
        <v>#VALUE!</v>
      </c>
      <c r="DS45" t="e">
        <f>AND(Bills!T65,"AAAAACsvv3o=")</f>
        <v>#VALUE!</v>
      </c>
      <c r="DT45" t="e">
        <f>AND(Bills!#REF!,"AAAAACsvv3s=")</f>
        <v>#REF!</v>
      </c>
      <c r="DU45" t="e">
        <f>AND(Bills!U65,"AAAAACsvv3w=")</f>
        <v>#VALUE!</v>
      </c>
      <c r="DV45" t="e">
        <f>AND(Bills!V65,"AAAAACsvv30=")</f>
        <v>#VALUE!</v>
      </c>
      <c r="DW45" t="e">
        <f>AND(Bills!W65,"AAAAACsvv34=")</f>
        <v>#VALUE!</v>
      </c>
      <c r="DX45" t="e">
        <f>AND(Bills!#REF!,"AAAAACsvv38=")</f>
        <v>#REF!</v>
      </c>
      <c r="DY45" t="e">
        <f>AND(Bills!#REF!,"AAAAACsvv4A=")</f>
        <v>#REF!</v>
      </c>
      <c r="DZ45" t="e">
        <f>AND(Bills!Y65,"AAAAACsvv4E=")</f>
        <v>#VALUE!</v>
      </c>
      <c r="EA45" t="e">
        <f>AND(Bills!Z65,"AAAAACsvv4I=")</f>
        <v>#VALUE!</v>
      </c>
      <c r="EB45" t="e">
        <f>AND(Bills!#REF!,"AAAAACsvv4M=")</f>
        <v>#REF!</v>
      </c>
      <c r="EC45" t="e">
        <f>AND(Bills!#REF!,"AAAAACsvv4Q=")</f>
        <v>#REF!</v>
      </c>
      <c r="ED45" t="e">
        <f>AND(Bills!#REF!,"AAAAACsvv4U=")</f>
        <v>#REF!</v>
      </c>
      <c r="EE45" t="e">
        <f>AND(Bills!#REF!,"AAAAACsvv4Y=")</f>
        <v>#REF!</v>
      </c>
      <c r="EF45" t="e">
        <f>AND(Bills!#REF!,"AAAAACsvv4c=")</f>
        <v>#REF!</v>
      </c>
      <c r="EG45" t="e">
        <f>AND(Bills!#REF!,"AAAAACsvv4g=")</f>
        <v>#REF!</v>
      </c>
      <c r="EH45" t="e">
        <f>AND(Bills!#REF!,"AAAAACsvv4k=")</f>
        <v>#REF!</v>
      </c>
      <c r="EI45" t="e">
        <f>AND(Bills!#REF!,"AAAAACsvv4o=")</f>
        <v>#REF!</v>
      </c>
      <c r="EJ45" t="e">
        <f>AND(Bills!#REF!,"AAAAACsvv4s=")</f>
        <v>#REF!</v>
      </c>
      <c r="EK45" t="e">
        <f>AND(Bills!AA65,"AAAAACsvv4w=")</f>
        <v>#VALUE!</v>
      </c>
      <c r="EL45" t="e">
        <f>AND(Bills!AB65,"AAAAACsvv40=")</f>
        <v>#VALUE!</v>
      </c>
      <c r="EM45" t="e">
        <f>AND(Bills!#REF!,"AAAAACsvv44=")</f>
        <v>#REF!</v>
      </c>
      <c r="EN45" t="e">
        <f>AND(Bills!#REF!,"AAAAACsvv48=")</f>
        <v>#REF!</v>
      </c>
      <c r="EO45" t="e">
        <f>AND(Bills!#REF!,"AAAAACsvv5A=")</f>
        <v>#REF!</v>
      </c>
      <c r="EP45" t="e">
        <f>AND(Bills!AC65,"AAAAACsvv5E=")</f>
        <v>#VALUE!</v>
      </c>
      <c r="EQ45" t="e">
        <f>AND(Bills!AD65,"AAAAACsvv5I=")</f>
        <v>#VALUE!</v>
      </c>
      <c r="ER45" t="e">
        <f>AND(Bills!AE65,"AAAAACsvv5M=")</f>
        <v>#VALUE!</v>
      </c>
      <c r="ES45">
        <f>IF(Bills!66:66,"AAAAACsvv5Q=",0)</f>
        <v>0</v>
      </c>
      <c r="ET45" t="e">
        <f>AND(Bills!B66,"AAAAACsvv5U=")</f>
        <v>#VALUE!</v>
      </c>
      <c r="EU45" t="e">
        <f>AND(Bills!#REF!,"AAAAACsvv5Y=")</f>
        <v>#REF!</v>
      </c>
      <c r="EV45" t="e">
        <f>AND(Bills!C66,"AAAAACsvv5c=")</f>
        <v>#VALUE!</v>
      </c>
      <c r="EW45" t="e">
        <f>AND(Bills!D66,"AAAAACsvv5g=")</f>
        <v>#VALUE!</v>
      </c>
      <c r="EX45" t="e">
        <f>AND(Bills!E66,"AAAAACsvv5k=")</f>
        <v>#VALUE!</v>
      </c>
      <c r="EY45" t="e">
        <f>AND(Bills!#REF!,"AAAAACsvv5o=")</f>
        <v>#REF!</v>
      </c>
      <c r="EZ45" t="e">
        <f>AND(Bills!#REF!,"AAAAACsvv5s=")</f>
        <v>#REF!</v>
      </c>
      <c r="FA45" t="e">
        <f>AND(Bills!#REF!,"AAAAACsvv5w=")</f>
        <v>#REF!</v>
      </c>
      <c r="FB45" t="e">
        <f>AND(Bills!F66,"AAAAACsvv50=")</f>
        <v>#VALUE!</v>
      </c>
      <c r="FC45" t="e">
        <f>AND(Bills!#REF!,"AAAAACsvv54=")</f>
        <v>#REF!</v>
      </c>
      <c r="FD45" t="e">
        <f>AND(Bills!G66,"AAAAACsvv58=")</f>
        <v>#VALUE!</v>
      </c>
      <c r="FE45" t="e">
        <f>AND(Bills!H66,"AAAAACsvv6A=")</f>
        <v>#VALUE!</v>
      </c>
      <c r="FF45" t="e">
        <f>AND(Bills!I66,"AAAAACsvv6E=")</f>
        <v>#VALUE!</v>
      </c>
      <c r="FG45" t="e">
        <f>AND(Bills!J66,"AAAAACsvv6I=")</f>
        <v>#VALUE!</v>
      </c>
      <c r="FH45" t="e">
        <f>AND(Bills!K66,"AAAAACsvv6M=")</f>
        <v>#VALUE!</v>
      </c>
      <c r="FI45" t="e">
        <f>AND(Bills!L66,"AAAAACsvv6Q=")</f>
        <v>#VALUE!</v>
      </c>
      <c r="FJ45" t="e">
        <f>AND(Bills!#REF!,"AAAAACsvv6U=")</f>
        <v>#REF!</v>
      </c>
      <c r="FK45" t="e">
        <f>AND(Bills!M66,"AAAAACsvv6Y=")</f>
        <v>#VALUE!</v>
      </c>
      <c r="FL45" t="e">
        <f>AND(Bills!N66,"AAAAACsvv6c=")</f>
        <v>#VALUE!</v>
      </c>
      <c r="FM45" t="e">
        <f>AND(Bills!O66,"AAAAACsvv6g=")</f>
        <v>#VALUE!</v>
      </c>
      <c r="FN45" t="e">
        <f>AND(Bills!P66,"AAAAACsvv6k=")</f>
        <v>#VALUE!</v>
      </c>
      <c r="FO45" t="e">
        <f>AND(Bills!Q66,"AAAAACsvv6o=")</f>
        <v>#VALUE!</v>
      </c>
      <c r="FP45" t="e">
        <f>AND(Bills!R66,"AAAAACsvv6s=")</f>
        <v>#VALUE!</v>
      </c>
      <c r="FQ45" t="e">
        <f>AND(Bills!S66,"AAAAACsvv6w=")</f>
        <v>#VALUE!</v>
      </c>
      <c r="FR45" t="e">
        <f>AND(Bills!T66,"AAAAACsvv60=")</f>
        <v>#VALUE!</v>
      </c>
      <c r="FS45" t="e">
        <f>AND(Bills!#REF!,"AAAAACsvv64=")</f>
        <v>#REF!</v>
      </c>
      <c r="FT45" t="e">
        <f>AND(Bills!U66,"AAAAACsvv68=")</f>
        <v>#VALUE!</v>
      </c>
      <c r="FU45" t="e">
        <f>AND(Bills!V66,"AAAAACsvv7A=")</f>
        <v>#VALUE!</v>
      </c>
      <c r="FV45" t="e">
        <f>AND(Bills!W66,"AAAAACsvv7E=")</f>
        <v>#VALUE!</v>
      </c>
      <c r="FW45" t="e">
        <f>AND(Bills!#REF!,"AAAAACsvv7I=")</f>
        <v>#REF!</v>
      </c>
      <c r="FX45" t="e">
        <f>AND(Bills!#REF!,"AAAAACsvv7M=")</f>
        <v>#REF!</v>
      </c>
      <c r="FY45" t="e">
        <f>AND(Bills!Y66,"AAAAACsvv7Q=")</f>
        <v>#VALUE!</v>
      </c>
      <c r="FZ45" t="e">
        <f>AND(Bills!Z66,"AAAAACsvv7U=")</f>
        <v>#VALUE!</v>
      </c>
      <c r="GA45" t="e">
        <f>AND(Bills!#REF!,"AAAAACsvv7Y=")</f>
        <v>#REF!</v>
      </c>
      <c r="GB45" t="e">
        <f>AND(Bills!#REF!,"AAAAACsvv7c=")</f>
        <v>#REF!</v>
      </c>
      <c r="GC45" t="e">
        <f>AND(Bills!#REF!,"AAAAACsvv7g=")</f>
        <v>#REF!</v>
      </c>
      <c r="GD45" t="e">
        <f>AND(Bills!#REF!,"AAAAACsvv7k=")</f>
        <v>#REF!</v>
      </c>
      <c r="GE45" t="e">
        <f>AND(Bills!#REF!,"AAAAACsvv7o=")</f>
        <v>#REF!</v>
      </c>
      <c r="GF45" t="e">
        <f>AND(Bills!#REF!,"AAAAACsvv7s=")</f>
        <v>#REF!</v>
      </c>
      <c r="GG45" t="e">
        <f>AND(Bills!#REF!,"AAAAACsvv7w=")</f>
        <v>#REF!</v>
      </c>
      <c r="GH45" t="e">
        <f>AND(Bills!#REF!,"AAAAACsvv70=")</f>
        <v>#REF!</v>
      </c>
      <c r="GI45" t="e">
        <f>AND(Bills!#REF!,"AAAAACsvv74=")</f>
        <v>#REF!</v>
      </c>
      <c r="GJ45" t="e">
        <f>AND(Bills!AA66,"AAAAACsvv78=")</f>
        <v>#VALUE!</v>
      </c>
      <c r="GK45" t="e">
        <f>AND(Bills!AB66,"AAAAACsvv8A=")</f>
        <v>#VALUE!</v>
      </c>
      <c r="GL45" t="e">
        <f>AND(Bills!#REF!,"AAAAACsvv8E=")</f>
        <v>#REF!</v>
      </c>
      <c r="GM45" t="e">
        <f>AND(Bills!#REF!,"AAAAACsvv8I=")</f>
        <v>#REF!</v>
      </c>
      <c r="GN45" t="e">
        <f>AND(Bills!#REF!,"AAAAACsvv8M=")</f>
        <v>#REF!</v>
      </c>
      <c r="GO45" t="e">
        <f>AND(Bills!AC66,"AAAAACsvv8Q=")</f>
        <v>#VALUE!</v>
      </c>
      <c r="GP45" t="e">
        <f>AND(Bills!AD66,"AAAAACsvv8U=")</f>
        <v>#VALUE!</v>
      </c>
      <c r="GQ45" t="e">
        <f>AND(Bills!AE66,"AAAAACsvv8Y=")</f>
        <v>#VALUE!</v>
      </c>
      <c r="GR45">
        <f>IF(Bills!67:67,"AAAAACsvv8c=",0)</f>
        <v>0</v>
      </c>
      <c r="GS45" t="e">
        <f>AND(Bills!B67,"AAAAACsvv8g=")</f>
        <v>#VALUE!</v>
      </c>
      <c r="GT45" t="e">
        <f>AND(Bills!#REF!,"AAAAACsvv8k=")</f>
        <v>#REF!</v>
      </c>
      <c r="GU45" t="e">
        <f>AND(Bills!C67,"AAAAACsvv8o=")</f>
        <v>#VALUE!</v>
      </c>
      <c r="GV45" t="e">
        <f>AND(Bills!D67,"AAAAACsvv8s=")</f>
        <v>#VALUE!</v>
      </c>
      <c r="GW45" t="e">
        <f>AND(Bills!E67,"AAAAACsvv8w=")</f>
        <v>#VALUE!</v>
      </c>
      <c r="GX45" t="e">
        <f>AND(Bills!#REF!,"AAAAACsvv80=")</f>
        <v>#REF!</v>
      </c>
      <c r="GY45" t="e">
        <f>AND(Bills!#REF!,"AAAAACsvv84=")</f>
        <v>#REF!</v>
      </c>
      <c r="GZ45" t="e">
        <f>AND(Bills!#REF!,"AAAAACsvv88=")</f>
        <v>#REF!</v>
      </c>
      <c r="HA45" t="e">
        <f>AND(Bills!F67,"AAAAACsvv9A=")</f>
        <v>#VALUE!</v>
      </c>
      <c r="HB45" t="e">
        <f>AND(Bills!#REF!,"AAAAACsvv9E=")</f>
        <v>#REF!</v>
      </c>
      <c r="HC45" t="e">
        <f>AND(Bills!G67,"AAAAACsvv9I=")</f>
        <v>#VALUE!</v>
      </c>
      <c r="HD45" t="e">
        <f>AND(Bills!H67,"AAAAACsvv9M=")</f>
        <v>#VALUE!</v>
      </c>
      <c r="HE45" t="e">
        <f>AND(Bills!I67,"AAAAACsvv9Q=")</f>
        <v>#VALUE!</v>
      </c>
      <c r="HF45" t="e">
        <f>AND(Bills!J67,"AAAAACsvv9U=")</f>
        <v>#VALUE!</v>
      </c>
      <c r="HG45" t="e">
        <f>AND(Bills!K67,"AAAAACsvv9Y=")</f>
        <v>#VALUE!</v>
      </c>
      <c r="HH45" t="e">
        <f>AND(Bills!L67,"AAAAACsvv9c=")</f>
        <v>#VALUE!</v>
      </c>
      <c r="HI45" t="e">
        <f>AND(Bills!#REF!,"AAAAACsvv9g=")</f>
        <v>#REF!</v>
      </c>
      <c r="HJ45" t="e">
        <f>AND(Bills!M67,"AAAAACsvv9k=")</f>
        <v>#VALUE!</v>
      </c>
      <c r="HK45" t="e">
        <f>AND(Bills!N67,"AAAAACsvv9o=")</f>
        <v>#VALUE!</v>
      </c>
      <c r="HL45" t="e">
        <f>AND(Bills!O67,"AAAAACsvv9s=")</f>
        <v>#VALUE!</v>
      </c>
      <c r="HM45" t="e">
        <f>AND(Bills!P67,"AAAAACsvv9w=")</f>
        <v>#VALUE!</v>
      </c>
      <c r="HN45" t="e">
        <f>AND(Bills!Q67,"AAAAACsvv90=")</f>
        <v>#VALUE!</v>
      </c>
      <c r="HO45" t="e">
        <f>AND(Bills!R67,"AAAAACsvv94=")</f>
        <v>#VALUE!</v>
      </c>
      <c r="HP45" t="e">
        <f>AND(Bills!S67,"AAAAACsvv98=")</f>
        <v>#VALUE!</v>
      </c>
      <c r="HQ45" t="e">
        <f>AND(Bills!T67,"AAAAACsvv+A=")</f>
        <v>#VALUE!</v>
      </c>
      <c r="HR45" t="e">
        <f>AND(Bills!#REF!,"AAAAACsvv+E=")</f>
        <v>#REF!</v>
      </c>
      <c r="HS45" t="e">
        <f>AND(Bills!U67,"AAAAACsvv+I=")</f>
        <v>#VALUE!</v>
      </c>
      <c r="HT45" t="e">
        <f>AND(Bills!V67,"AAAAACsvv+M=")</f>
        <v>#VALUE!</v>
      </c>
      <c r="HU45" t="e">
        <f>AND(Bills!W67,"AAAAACsvv+Q=")</f>
        <v>#VALUE!</v>
      </c>
      <c r="HV45" t="e">
        <f>AND(Bills!#REF!,"AAAAACsvv+U=")</f>
        <v>#REF!</v>
      </c>
      <c r="HW45" t="e">
        <f>AND(Bills!#REF!,"AAAAACsvv+Y=")</f>
        <v>#REF!</v>
      </c>
      <c r="HX45" t="e">
        <f>AND(Bills!Y67,"AAAAACsvv+c=")</f>
        <v>#VALUE!</v>
      </c>
      <c r="HY45" t="e">
        <f>AND(Bills!Z67,"AAAAACsvv+g=")</f>
        <v>#VALUE!</v>
      </c>
      <c r="HZ45" t="e">
        <f>AND(Bills!#REF!,"AAAAACsvv+k=")</f>
        <v>#REF!</v>
      </c>
      <c r="IA45" t="e">
        <f>AND(Bills!#REF!,"AAAAACsvv+o=")</f>
        <v>#REF!</v>
      </c>
      <c r="IB45" t="e">
        <f>AND(Bills!#REF!,"AAAAACsvv+s=")</f>
        <v>#REF!</v>
      </c>
      <c r="IC45" t="e">
        <f>AND(Bills!#REF!,"AAAAACsvv+w=")</f>
        <v>#REF!</v>
      </c>
      <c r="ID45" t="e">
        <f>AND(Bills!#REF!,"AAAAACsvv+0=")</f>
        <v>#REF!</v>
      </c>
      <c r="IE45" t="e">
        <f>AND(Bills!#REF!,"AAAAACsvv+4=")</f>
        <v>#REF!</v>
      </c>
      <c r="IF45" t="e">
        <f>AND(Bills!#REF!,"AAAAACsvv+8=")</f>
        <v>#REF!</v>
      </c>
      <c r="IG45" t="e">
        <f>AND(Bills!#REF!,"AAAAACsvv/A=")</f>
        <v>#REF!</v>
      </c>
      <c r="IH45" t="e">
        <f>AND(Bills!#REF!,"AAAAACsvv/E=")</f>
        <v>#REF!</v>
      </c>
      <c r="II45" t="e">
        <f>AND(Bills!AA67,"AAAAACsvv/I=")</f>
        <v>#VALUE!</v>
      </c>
      <c r="IJ45" t="e">
        <f>AND(Bills!AB67,"AAAAACsvv/M=")</f>
        <v>#VALUE!</v>
      </c>
      <c r="IK45" t="e">
        <f>AND(Bills!#REF!,"AAAAACsvv/Q=")</f>
        <v>#REF!</v>
      </c>
      <c r="IL45" t="e">
        <f>AND(Bills!#REF!,"AAAAACsvv/U=")</f>
        <v>#REF!</v>
      </c>
      <c r="IM45" t="e">
        <f>AND(Bills!#REF!,"AAAAACsvv/Y=")</f>
        <v>#REF!</v>
      </c>
      <c r="IN45" t="e">
        <f>AND(Bills!AC67,"AAAAACsvv/c=")</f>
        <v>#VALUE!</v>
      </c>
      <c r="IO45" t="e">
        <f>AND(Bills!AD67,"AAAAACsvv/g=")</f>
        <v>#VALUE!</v>
      </c>
      <c r="IP45" t="e">
        <f>AND(Bills!AE67,"AAAAACsvv/k=")</f>
        <v>#VALUE!</v>
      </c>
      <c r="IQ45">
        <f>IF(Bills!68:68,"AAAAACsvv/o=",0)</f>
        <v>0</v>
      </c>
      <c r="IR45" t="e">
        <f>AND(Bills!B68,"AAAAACsvv/s=")</f>
        <v>#VALUE!</v>
      </c>
      <c r="IS45" t="e">
        <f>AND(Bills!#REF!,"AAAAACsvv/w=")</f>
        <v>#REF!</v>
      </c>
      <c r="IT45" t="e">
        <f>AND(Bills!C68,"AAAAACsvv/0=")</f>
        <v>#VALUE!</v>
      </c>
      <c r="IU45" t="e">
        <f>AND(Bills!D68,"AAAAACsvv/4=")</f>
        <v>#VALUE!</v>
      </c>
      <c r="IV45" t="e">
        <f>AND(Bills!E68,"AAAAACsvv/8=")</f>
        <v>#VALUE!</v>
      </c>
    </row>
    <row r="46" spans="1:256" x14ac:dyDescent="0.25">
      <c r="A46" t="e">
        <f>AND(Bills!#REF!,"AAAAAHm9fAA=")</f>
        <v>#REF!</v>
      </c>
      <c r="B46" t="e">
        <f>AND(Bills!#REF!,"AAAAAHm9fAE=")</f>
        <v>#REF!</v>
      </c>
      <c r="C46" t="e">
        <f>AND(Bills!#REF!,"AAAAAHm9fAI=")</f>
        <v>#REF!</v>
      </c>
      <c r="D46" t="e">
        <f>AND(Bills!F68,"AAAAAHm9fAM=")</f>
        <v>#VALUE!</v>
      </c>
      <c r="E46" t="e">
        <f>AND(Bills!#REF!,"AAAAAHm9fAQ=")</f>
        <v>#REF!</v>
      </c>
      <c r="F46" t="e">
        <f>AND(Bills!G68,"AAAAAHm9fAU=")</f>
        <v>#VALUE!</v>
      </c>
      <c r="G46" t="e">
        <f>AND(Bills!H68,"AAAAAHm9fAY=")</f>
        <v>#VALUE!</v>
      </c>
      <c r="H46" t="e">
        <f>AND(Bills!I68,"AAAAAHm9fAc=")</f>
        <v>#VALUE!</v>
      </c>
      <c r="I46" t="e">
        <f>AND(Bills!J68,"AAAAAHm9fAg=")</f>
        <v>#VALUE!</v>
      </c>
      <c r="J46" t="e">
        <f>AND(Bills!K68,"AAAAAHm9fAk=")</f>
        <v>#VALUE!</v>
      </c>
      <c r="K46" t="e">
        <f>AND(Bills!L68,"AAAAAHm9fAo=")</f>
        <v>#VALUE!</v>
      </c>
      <c r="L46" t="e">
        <f>AND(Bills!#REF!,"AAAAAHm9fAs=")</f>
        <v>#REF!</v>
      </c>
      <c r="M46" t="e">
        <f>AND(Bills!M68,"AAAAAHm9fAw=")</f>
        <v>#VALUE!</v>
      </c>
      <c r="N46" t="e">
        <f>AND(Bills!N68,"AAAAAHm9fA0=")</f>
        <v>#VALUE!</v>
      </c>
      <c r="O46" t="e">
        <f>AND(Bills!O68,"AAAAAHm9fA4=")</f>
        <v>#VALUE!</v>
      </c>
      <c r="P46" t="e">
        <f>AND(Bills!P68,"AAAAAHm9fA8=")</f>
        <v>#VALUE!</v>
      </c>
      <c r="Q46" t="e">
        <f>AND(Bills!Q68,"AAAAAHm9fBA=")</f>
        <v>#VALUE!</v>
      </c>
      <c r="R46" t="e">
        <f>AND(Bills!R68,"AAAAAHm9fBE=")</f>
        <v>#VALUE!</v>
      </c>
      <c r="S46" t="e">
        <f>AND(Bills!S68,"AAAAAHm9fBI=")</f>
        <v>#VALUE!</v>
      </c>
      <c r="T46" t="e">
        <f>AND(Bills!T68,"AAAAAHm9fBM=")</f>
        <v>#VALUE!</v>
      </c>
      <c r="U46" t="e">
        <f>AND(Bills!#REF!,"AAAAAHm9fBQ=")</f>
        <v>#REF!</v>
      </c>
      <c r="V46" t="e">
        <f>AND(Bills!U68,"AAAAAHm9fBU=")</f>
        <v>#VALUE!</v>
      </c>
      <c r="W46" t="e">
        <f>AND(Bills!V68,"AAAAAHm9fBY=")</f>
        <v>#VALUE!</v>
      </c>
      <c r="X46" t="e">
        <f>AND(Bills!W68,"AAAAAHm9fBc=")</f>
        <v>#VALUE!</v>
      </c>
      <c r="Y46" t="e">
        <f>AND(Bills!#REF!,"AAAAAHm9fBg=")</f>
        <v>#REF!</v>
      </c>
      <c r="Z46" t="e">
        <f>AND(Bills!#REF!,"AAAAAHm9fBk=")</f>
        <v>#REF!</v>
      </c>
      <c r="AA46" t="e">
        <f>AND(Bills!Y68,"AAAAAHm9fBo=")</f>
        <v>#VALUE!</v>
      </c>
      <c r="AB46" t="e">
        <f>AND(Bills!Z68,"AAAAAHm9fBs=")</f>
        <v>#VALUE!</v>
      </c>
      <c r="AC46" t="e">
        <f>AND(Bills!#REF!,"AAAAAHm9fBw=")</f>
        <v>#REF!</v>
      </c>
      <c r="AD46" t="e">
        <f>AND(Bills!#REF!,"AAAAAHm9fB0=")</f>
        <v>#REF!</v>
      </c>
      <c r="AE46" t="e">
        <f>AND(Bills!#REF!,"AAAAAHm9fB4=")</f>
        <v>#REF!</v>
      </c>
      <c r="AF46" t="e">
        <f>AND(Bills!#REF!,"AAAAAHm9fB8=")</f>
        <v>#REF!</v>
      </c>
      <c r="AG46" t="e">
        <f>AND(Bills!#REF!,"AAAAAHm9fCA=")</f>
        <v>#REF!</v>
      </c>
      <c r="AH46" t="e">
        <f>AND(Bills!#REF!,"AAAAAHm9fCE=")</f>
        <v>#REF!</v>
      </c>
      <c r="AI46" t="e">
        <f>AND(Bills!#REF!,"AAAAAHm9fCI=")</f>
        <v>#REF!</v>
      </c>
      <c r="AJ46" t="e">
        <f>AND(Bills!#REF!,"AAAAAHm9fCM=")</f>
        <v>#REF!</v>
      </c>
      <c r="AK46" t="e">
        <f>AND(Bills!#REF!,"AAAAAHm9fCQ=")</f>
        <v>#REF!</v>
      </c>
      <c r="AL46" t="e">
        <f>AND(Bills!AA68,"AAAAAHm9fCU=")</f>
        <v>#VALUE!</v>
      </c>
      <c r="AM46" t="e">
        <f>AND(Bills!AB68,"AAAAAHm9fCY=")</f>
        <v>#VALUE!</v>
      </c>
      <c r="AN46" t="e">
        <f>AND(Bills!#REF!,"AAAAAHm9fCc=")</f>
        <v>#REF!</v>
      </c>
      <c r="AO46" t="e">
        <f>AND(Bills!#REF!,"AAAAAHm9fCg=")</f>
        <v>#REF!</v>
      </c>
      <c r="AP46" t="e">
        <f>AND(Bills!#REF!,"AAAAAHm9fCk=")</f>
        <v>#REF!</v>
      </c>
      <c r="AQ46" t="e">
        <f>AND(Bills!AC68,"AAAAAHm9fCo=")</f>
        <v>#VALUE!</v>
      </c>
      <c r="AR46" t="e">
        <f>AND(Bills!AD68,"AAAAAHm9fCs=")</f>
        <v>#VALUE!</v>
      </c>
      <c r="AS46" t="e">
        <f>AND(Bills!AE68,"AAAAAHm9fCw=")</f>
        <v>#VALUE!</v>
      </c>
      <c r="AT46">
        <f>IF(Bills!69:69,"AAAAAHm9fC0=",0)</f>
        <v>0</v>
      </c>
      <c r="AU46" t="e">
        <f>AND(Bills!B69,"AAAAAHm9fC4=")</f>
        <v>#VALUE!</v>
      </c>
      <c r="AV46" t="e">
        <f>AND(Bills!#REF!,"AAAAAHm9fC8=")</f>
        <v>#REF!</v>
      </c>
      <c r="AW46" t="e">
        <f>AND(Bills!C69,"AAAAAHm9fDA=")</f>
        <v>#VALUE!</v>
      </c>
      <c r="AX46" t="e">
        <f>AND(Bills!D69,"AAAAAHm9fDE=")</f>
        <v>#VALUE!</v>
      </c>
      <c r="AY46" t="e">
        <f>AND(Bills!E69,"AAAAAHm9fDI=")</f>
        <v>#VALUE!</v>
      </c>
      <c r="AZ46" t="e">
        <f>AND(Bills!#REF!,"AAAAAHm9fDM=")</f>
        <v>#REF!</v>
      </c>
      <c r="BA46" t="e">
        <f>AND(Bills!#REF!,"AAAAAHm9fDQ=")</f>
        <v>#REF!</v>
      </c>
      <c r="BB46" t="e">
        <f>AND(Bills!#REF!,"AAAAAHm9fDU=")</f>
        <v>#REF!</v>
      </c>
      <c r="BC46" t="e">
        <f>AND(Bills!F69,"AAAAAHm9fDY=")</f>
        <v>#VALUE!</v>
      </c>
      <c r="BD46" t="e">
        <f>AND(Bills!#REF!,"AAAAAHm9fDc=")</f>
        <v>#REF!</v>
      </c>
      <c r="BE46" t="e">
        <f>AND(Bills!G69,"AAAAAHm9fDg=")</f>
        <v>#VALUE!</v>
      </c>
      <c r="BF46" t="e">
        <f>AND(Bills!H69,"AAAAAHm9fDk=")</f>
        <v>#VALUE!</v>
      </c>
      <c r="BG46" t="e">
        <f>AND(Bills!I69,"AAAAAHm9fDo=")</f>
        <v>#VALUE!</v>
      </c>
      <c r="BH46" t="e">
        <f>AND(Bills!J69,"AAAAAHm9fDs=")</f>
        <v>#VALUE!</v>
      </c>
      <c r="BI46" t="e">
        <f>AND(Bills!K69,"AAAAAHm9fDw=")</f>
        <v>#VALUE!</v>
      </c>
      <c r="BJ46" t="e">
        <f>AND(Bills!L69,"AAAAAHm9fD0=")</f>
        <v>#VALUE!</v>
      </c>
      <c r="BK46" t="e">
        <f>AND(Bills!#REF!,"AAAAAHm9fD4=")</f>
        <v>#REF!</v>
      </c>
      <c r="BL46" t="e">
        <f>AND(Bills!M69,"AAAAAHm9fD8=")</f>
        <v>#VALUE!</v>
      </c>
      <c r="BM46" t="e">
        <f>AND(Bills!N69,"AAAAAHm9fEA=")</f>
        <v>#VALUE!</v>
      </c>
      <c r="BN46" t="e">
        <f>AND(Bills!O69,"AAAAAHm9fEE=")</f>
        <v>#VALUE!</v>
      </c>
      <c r="BO46" t="e">
        <f>AND(Bills!P69,"AAAAAHm9fEI=")</f>
        <v>#VALUE!</v>
      </c>
      <c r="BP46" t="e">
        <f>AND(Bills!Q69,"AAAAAHm9fEM=")</f>
        <v>#VALUE!</v>
      </c>
      <c r="BQ46" t="e">
        <f>AND(Bills!R69,"AAAAAHm9fEQ=")</f>
        <v>#VALUE!</v>
      </c>
      <c r="BR46" t="e">
        <f>AND(Bills!S69,"AAAAAHm9fEU=")</f>
        <v>#VALUE!</v>
      </c>
      <c r="BS46" t="e">
        <f>AND(Bills!T69,"AAAAAHm9fEY=")</f>
        <v>#VALUE!</v>
      </c>
      <c r="BT46" t="e">
        <f>AND(Bills!#REF!,"AAAAAHm9fEc=")</f>
        <v>#REF!</v>
      </c>
      <c r="BU46" t="e">
        <f>AND(Bills!U69,"AAAAAHm9fEg=")</f>
        <v>#VALUE!</v>
      </c>
      <c r="BV46" t="e">
        <f>AND(Bills!V69,"AAAAAHm9fEk=")</f>
        <v>#VALUE!</v>
      </c>
      <c r="BW46" t="e">
        <f>AND(Bills!W69,"AAAAAHm9fEo=")</f>
        <v>#VALUE!</v>
      </c>
      <c r="BX46" t="e">
        <f>AND(Bills!#REF!,"AAAAAHm9fEs=")</f>
        <v>#REF!</v>
      </c>
      <c r="BY46" t="e">
        <f>AND(Bills!#REF!,"AAAAAHm9fEw=")</f>
        <v>#REF!</v>
      </c>
      <c r="BZ46" t="e">
        <f>AND(Bills!Y69,"AAAAAHm9fE0=")</f>
        <v>#VALUE!</v>
      </c>
      <c r="CA46" t="e">
        <f>AND(Bills!Z69,"AAAAAHm9fE4=")</f>
        <v>#VALUE!</v>
      </c>
      <c r="CB46" t="e">
        <f>AND(Bills!#REF!,"AAAAAHm9fE8=")</f>
        <v>#REF!</v>
      </c>
      <c r="CC46" t="e">
        <f>AND(Bills!#REF!,"AAAAAHm9fFA=")</f>
        <v>#REF!</v>
      </c>
      <c r="CD46" t="e">
        <f>AND(Bills!#REF!,"AAAAAHm9fFE=")</f>
        <v>#REF!</v>
      </c>
      <c r="CE46" t="e">
        <f>AND(Bills!#REF!,"AAAAAHm9fFI=")</f>
        <v>#REF!</v>
      </c>
      <c r="CF46" t="e">
        <f>AND(Bills!#REF!,"AAAAAHm9fFM=")</f>
        <v>#REF!</v>
      </c>
      <c r="CG46" t="e">
        <f>AND(Bills!#REF!,"AAAAAHm9fFQ=")</f>
        <v>#REF!</v>
      </c>
      <c r="CH46" t="e">
        <f>AND(Bills!#REF!,"AAAAAHm9fFU=")</f>
        <v>#REF!</v>
      </c>
      <c r="CI46" t="e">
        <f>AND(Bills!#REF!,"AAAAAHm9fFY=")</f>
        <v>#REF!</v>
      </c>
      <c r="CJ46" t="e">
        <f>AND(Bills!#REF!,"AAAAAHm9fFc=")</f>
        <v>#REF!</v>
      </c>
      <c r="CK46" t="e">
        <f>AND(Bills!AA69,"AAAAAHm9fFg=")</f>
        <v>#VALUE!</v>
      </c>
      <c r="CL46" t="e">
        <f>AND(Bills!AB69,"AAAAAHm9fFk=")</f>
        <v>#VALUE!</v>
      </c>
      <c r="CM46" t="e">
        <f>AND(Bills!#REF!,"AAAAAHm9fFo=")</f>
        <v>#REF!</v>
      </c>
      <c r="CN46" t="e">
        <f>AND(Bills!#REF!,"AAAAAHm9fFs=")</f>
        <v>#REF!</v>
      </c>
      <c r="CO46" t="e">
        <f>AND(Bills!#REF!,"AAAAAHm9fFw=")</f>
        <v>#REF!</v>
      </c>
      <c r="CP46" t="e">
        <f>AND(Bills!AC69,"AAAAAHm9fF0=")</f>
        <v>#VALUE!</v>
      </c>
      <c r="CQ46" t="e">
        <f>AND(Bills!AD69,"AAAAAHm9fF4=")</f>
        <v>#VALUE!</v>
      </c>
      <c r="CR46" t="e">
        <f>AND(Bills!AE69,"AAAAAHm9fF8=")</f>
        <v>#VALUE!</v>
      </c>
      <c r="CS46">
        <f>IF(Bills!70:70,"AAAAAHm9fGA=",0)</f>
        <v>0</v>
      </c>
      <c r="CT46" t="e">
        <f>AND(Bills!B70,"AAAAAHm9fGE=")</f>
        <v>#VALUE!</v>
      </c>
      <c r="CU46" t="e">
        <f>AND(Bills!#REF!,"AAAAAHm9fGI=")</f>
        <v>#REF!</v>
      </c>
      <c r="CV46" t="e">
        <f>AND(Bills!C70,"AAAAAHm9fGM=")</f>
        <v>#VALUE!</v>
      </c>
      <c r="CW46" t="e">
        <f>AND(Bills!D70,"AAAAAHm9fGQ=")</f>
        <v>#VALUE!</v>
      </c>
      <c r="CX46" t="e">
        <f>AND(Bills!E70,"AAAAAHm9fGU=")</f>
        <v>#VALUE!</v>
      </c>
      <c r="CY46" t="e">
        <f>AND(Bills!#REF!,"AAAAAHm9fGY=")</f>
        <v>#REF!</v>
      </c>
      <c r="CZ46" t="e">
        <f>AND(Bills!#REF!,"AAAAAHm9fGc=")</f>
        <v>#REF!</v>
      </c>
      <c r="DA46" t="e">
        <f>AND(Bills!#REF!,"AAAAAHm9fGg=")</f>
        <v>#REF!</v>
      </c>
      <c r="DB46" t="e">
        <f>AND(Bills!F70,"AAAAAHm9fGk=")</f>
        <v>#VALUE!</v>
      </c>
      <c r="DC46" t="e">
        <f>AND(Bills!#REF!,"AAAAAHm9fGo=")</f>
        <v>#REF!</v>
      </c>
      <c r="DD46" t="e">
        <f>AND(Bills!G70,"AAAAAHm9fGs=")</f>
        <v>#VALUE!</v>
      </c>
      <c r="DE46" t="e">
        <f>AND(Bills!H70,"AAAAAHm9fGw=")</f>
        <v>#VALUE!</v>
      </c>
      <c r="DF46" t="e">
        <f>AND(Bills!I70,"AAAAAHm9fG0=")</f>
        <v>#VALUE!</v>
      </c>
      <c r="DG46" t="e">
        <f>AND(Bills!J70,"AAAAAHm9fG4=")</f>
        <v>#VALUE!</v>
      </c>
      <c r="DH46" t="e">
        <f>AND(Bills!K70,"AAAAAHm9fG8=")</f>
        <v>#VALUE!</v>
      </c>
      <c r="DI46" t="e">
        <f>AND(Bills!L70,"AAAAAHm9fHA=")</f>
        <v>#VALUE!</v>
      </c>
      <c r="DJ46" t="e">
        <f>AND(Bills!#REF!,"AAAAAHm9fHE=")</f>
        <v>#REF!</v>
      </c>
      <c r="DK46" t="e">
        <f>AND(Bills!M70,"AAAAAHm9fHI=")</f>
        <v>#VALUE!</v>
      </c>
      <c r="DL46" t="e">
        <f>AND(Bills!N70,"AAAAAHm9fHM=")</f>
        <v>#VALUE!</v>
      </c>
      <c r="DM46" t="e">
        <f>AND(Bills!O70,"AAAAAHm9fHQ=")</f>
        <v>#VALUE!</v>
      </c>
      <c r="DN46" t="e">
        <f>AND(Bills!P70,"AAAAAHm9fHU=")</f>
        <v>#VALUE!</v>
      </c>
      <c r="DO46" t="e">
        <f>AND(Bills!Q70,"AAAAAHm9fHY=")</f>
        <v>#VALUE!</v>
      </c>
      <c r="DP46" t="e">
        <f>AND(Bills!R70,"AAAAAHm9fHc=")</f>
        <v>#VALUE!</v>
      </c>
      <c r="DQ46" t="e">
        <f>AND(Bills!S70,"AAAAAHm9fHg=")</f>
        <v>#VALUE!</v>
      </c>
      <c r="DR46" t="e">
        <f>AND(Bills!T70,"AAAAAHm9fHk=")</f>
        <v>#VALUE!</v>
      </c>
      <c r="DS46" t="e">
        <f>AND(Bills!#REF!,"AAAAAHm9fHo=")</f>
        <v>#REF!</v>
      </c>
      <c r="DT46" t="e">
        <f>AND(Bills!U70,"AAAAAHm9fHs=")</f>
        <v>#VALUE!</v>
      </c>
      <c r="DU46" t="e">
        <f>AND(Bills!V70,"AAAAAHm9fHw=")</f>
        <v>#VALUE!</v>
      </c>
      <c r="DV46" t="e">
        <f>AND(Bills!W70,"AAAAAHm9fH0=")</f>
        <v>#VALUE!</v>
      </c>
      <c r="DW46" t="e">
        <f>AND(Bills!#REF!,"AAAAAHm9fH4=")</f>
        <v>#REF!</v>
      </c>
      <c r="DX46" t="e">
        <f>AND(Bills!#REF!,"AAAAAHm9fH8=")</f>
        <v>#REF!</v>
      </c>
      <c r="DY46" t="e">
        <f>AND(Bills!Y70,"AAAAAHm9fIA=")</f>
        <v>#VALUE!</v>
      </c>
      <c r="DZ46" t="e">
        <f>AND(Bills!Z70,"AAAAAHm9fIE=")</f>
        <v>#VALUE!</v>
      </c>
      <c r="EA46" t="e">
        <f>AND(Bills!#REF!,"AAAAAHm9fII=")</f>
        <v>#REF!</v>
      </c>
      <c r="EB46" t="e">
        <f>AND(Bills!#REF!,"AAAAAHm9fIM=")</f>
        <v>#REF!</v>
      </c>
      <c r="EC46" t="e">
        <f>AND(Bills!#REF!,"AAAAAHm9fIQ=")</f>
        <v>#REF!</v>
      </c>
      <c r="ED46" t="e">
        <f>AND(Bills!#REF!,"AAAAAHm9fIU=")</f>
        <v>#REF!</v>
      </c>
      <c r="EE46" t="e">
        <f>AND(Bills!#REF!,"AAAAAHm9fIY=")</f>
        <v>#REF!</v>
      </c>
      <c r="EF46" t="e">
        <f>AND(Bills!#REF!,"AAAAAHm9fIc=")</f>
        <v>#REF!</v>
      </c>
      <c r="EG46" t="e">
        <f>AND(Bills!#REF!,"AAAAAHm9fIg=")</f>
        <v>#REF!</v>
      </c>
      <c r="EH46" t="e">
        <f>AND(Bills!#REF!,"AAAAAHm9fIk=")</f>
        <v>#REF!</v>
      </c>
      <c r="EI46" t="e">
        <f>AND(Bills!#REF!,"AAAAAHm9fIo=")</f>
        <v>#REF!</v>
      </c>
      <c r="EJ46" t="e">
        <f>AND(Bills!AA70,"AAAAAHm9fIs=")</f>
        <v>#VALUE!</v>
      </c>
      <c r="EK46" t="e">
        <f>AND(Bills!AB70,"AAAAAHm9fIw=")</f>
        <v>#VALUE!</v>
      </c>
      <c r="EL46" t="e">
        <f>AND(Bills!#REF!,"AAAAAHm9fI0=")</f>
        <v>#REF!</v>
      </c>
      <c r="EM46" t="e">
        <f>AND(Bills!#REF!,"AAAAAHm9fI4=")</f>
        <v>#REF!</v>
      </c>
      <c r="EN46" t="e">
        <f>AND(Bills!#REF!,"AAAAAHm9fI8=")</f>
        <v>#REF!</v>
      </c>
      <c r="EO46" t="e">
        <f>AND(Bills!AC70,"AAAAAHm9fJA=")</f>
        <v>#VALUE!</v>
      </c>
      <c r="EP46" t="e">
        <f>AND(Bills!AD70,"AAAAAHm9fJE=")</f>
        <v>#VALUE!</v>
      </c>
      <c r="EQ46" t="e">
        <f>AND(Bills!AE70,"AAAAAHm9fJI=")</f>
        <v>#VALUE!</v>
      </c>
      <c r="ER46">
        <f>IF(Bills!71:71,"AAAAAHm9fJM=",0)</f>
        <v>0</v>
      </c>
      <c r="ES46" t="e">
        <f>AND(Bills!B71,"AAAAAHm9fJQ=")</f>
        <v>#VALUE!</v>
      </c>
      <c r="ET46" t="e">
        <f>AND(Bills!#REF!,"AAAAAHm9fJU=")</f>
        <v>#REF!</v>
      </c>
      <c r="EU46" t="e">
        <f>AND(Bills!C71,"AAAAAHm9fJY=")</f>
        <v>#VALUE!</v>
      </c>
      <c r="EV46" t="e">
        <f>AND(Bills!D71,"AAAAAHm9fJc=")</f>
        <v>#VALUE!</v>
      </c>
      <c r="EW46" t="e">
        <f>AND(Bills!E71,"AAAAAHm9fJg=")</f>
        <v>#VALUE!</v>
      </c>
      <c r="EX46" t="e">
        <f>AND(Bills!#REF!,"AAAAAHm9fJk=")</f>
        <v>#REF!</v>
      </c>
      <c r="EY46" t="e">
        <f>AND(Bills!#REF!,"AAAAAHm9fJo=")</f>
        <v>#REF!</v>
      </c>
      <c r="EZ46" t="e">
        <f>AND(Bills!#REF!,"AAAAAHm9fJs=")</f>
        <v>#REF!</v>
      </c>
      <c r="FA46" t="e">
        <f>AND(Bills!F71,"AAAAAHm9fJw=")</f>
        <v>#VALUE!</v>
      </c>
      <c r="FB46" t="e">
        <f>AND(Bills!#REF!,"AAAAAHm9fJ0=")</f>
        <v>#REF!</v>
      </c>
      <c r="FC46" t="e">
        <f>AND(Bills!G71,"AAAAAHm9fJ4=")</f>
        <v>#VALUE!</v>
      </c>
      <c r="FD46" t="e">
        <f>AND(Bills!H71,"AAAAAHm9fJ8=")</f>
        <v>#VALUE!</v>
      </c>
      <c r="FE46" t="e">
        <f>AND(Bills!I71,"AAAAAHm9fKA=")</f>
        <v>#VALUE!</v>
      </c>
      <c r="FF46" t="e">
        <f>AND(Bills!J71,"AAAAAHm9fKE=")</f>
        <v>#VALUE!</v>
      </c>
      <c r="FG46" t="e">
        <f>AND(Bills!K71,"AAAAAHm9fKI=")</f>
        <v>#VALUE!</v>
      </c>
      <c r="FH46" t="e">
        <f>AND(Bills!L71,"AAAAAHm9fKM=")</f>
        <v>#VALUE!</v>
      </c>
      <c r="FI46" t="e">
        <f>AND(Bills!#REF!,"AAAAAHm9fKQ=")</f>
        <v>#REF!</v>
      </c>
      <c r="FJ46" t="e">
        <f>AND(Bills!M71,"AAAAAHm9fKU=")</f>
        <v>#VALUE!</v>
      </c>
      <c r="FK46" t="e">
        <f>AND(Bills!N71,"AAAAAHm9fKY=")</f>
        <v>#VALUE!</v>
      </c>
      <c r="FL46" t="e">
        <f>AND(Bills!O71,"AAAAAHm9fKc=")</f>
        <v>#VALUE!</v>
      </c>
      <c r="FM46" t="e">
        <f>AND(Bills!P71,"AAAAAHm9fKg=")</f>
        <v>#VALUE!</v>
      </c>
      <c r="FN46" t="e">
        <f>AND(Bills!Q71,"AAAAAHm9fKk=")</f>
        <v>#VALUE!</v>
      </c>
      <c r="FO46" t="e">
        <f>AND(Bills!R71,"AAAAAHm9fKo=")</f>
        <v>#VALUE!</v>
      </c>
      <c r="FP46" t="e">
        <f>AND(Bills!S71,"AAAAAHm9fKs=")</f>
        <v>#VALUE!</v>
      </c>
      <c r="FQ46" t="e">
        <f>AND(Bills!T71,"AAAAAHm9fKw=")</f>
        <v>#VALUE!</v>
      </c>
      <c r="FR46" t="e">
        <f>AND(Bills!#REF!,"AAAAAHm9fK0=")</f>
        <v>#REF!</v>
      </c>
      <c r="FS46" t="e">
        <f>AND(Bills!U71,"AAAAAHm9fK4=")</f>
        <v>#VALUE!</v>
      </c>
      <c r="FT46" t="e">
        <f>AND(Bills!V71,"AAAAAHm9fK8=")</f>
        <v>#VALUE!</v>
      </c>
      <c r="FU46" t="e">
        <f>AND(Bills!W71,"AAAAAHm9fLA=")</f>
        <v>#VALUE!</v>
      </c>
      <c r="FV46" t="e">
        <f>AND(Bills!#REF!,"AAAAAHm9fLE=")</f>
        <v>#REF!</v>
      </c>
      <c r="FW46" t="e">
        <f>AND(Bills!#REF!,"AAAAAHm9fLI=")</f>
        <v>#REF!</v>
      </c>
      <c r="FX46" t="e">
        <f>AND(Bills!Y71,"AAAAAHm9fLM=")</f>
        <v>#VALUE!</v>
      </c>
      <c r="FY46" t="e">
        <f>AND(Bills!Z71,"AAAAAHm9fLQ=")</f>
        <v>#VALUE!</v>
      </c>
      <c r="FZ46" t="e">
        <f>AND(Bills!#REF!,"AAAAAHm9fLU=")</f>
        <v>#REF!</v>
      </c>
      <c r="GA46" t="e">
        <f>AND(Bills!#REF!,"AAAAAHm9fLY=")</f>
        <v>#REF!</v>
      </c>
      <c r="GB46" t="e">
        <f>AND(Bills!#REF!,"AAAAAHm9fLc=")</f>
        <v>#REF!</v>
      </c>
      <c r="GC46" t="e">
        <f>AND(Bills!#REF!,"AAAAAHm9fLg=")</f>
        <v>#REF!</v>
      </c>
      <c r="GD46" t="e">
        <f>AND(Bills!#REF!,"AAAAAHm9fLk=")</f>
        <v>#REF!</v>
      </c>
      <c r="GE46" t="e">
        <f>AND(Bills!#REF!,"AAAAAHm9fLo=")</f>
        <v>#REF!</v>
      </c>
      <c r="GF46" t="e">
        <f>AND(Bills!#REF!,"AAAAAHm9fLs=")</f>
        <v>#REF!</v>
      </c>
      <c r="GG46" t="e">
        <f>AND(Bills!#REF!,"AAAAAHm9fLw=")</f>
        <v>#REF!</v>
      </c>
      <c r="GH46" t="e">
        <f>AND(Bills!#REF!,"AAAAAHm9fL0=")</f>
        <v>#REF!</v>
      </c>
      <c r="GI46" t="e">
        <f>AND(Bills!AA71,"AAAAAHm9fL4=")</f>
        <v>#VALUE!</v>
      </c>
      <c r="GJ46" t="e">
        <f>AND(Bills!AB71,"AAAAAHm9fL8=")</f>
        <v>#VALUE!</v>
      </c>
      <c r="GK46" t="e">
        <f>AND(Bills!#REF!,"AAAAAHm9fMA=")</f>
        <v>#REF!</v>
      </c>
      <c r="GL46" t="e">
        <f>AND(Bills!#REF!,"AAAAAHm9fME=")</f>
        <v>#REF!</v>
      </c>
      <c r="GM46" t="e">
        <f>AND(Bills!#REF!,"AAAAAHm9fMI=")</f>
        <v>#REF!</v>
      </c>
      <c r="GN46" t="e">
        <f>AND(Bills!AC71,"AAAAAHm9fMM=")</f>
        <v>#VALUE!</v>
      </c>
      <c r="GO46" t="e">
        <f>AND(Bills!AD71,"AAAAAHm9fMQ=")</f>
        <v>#VALUE!</v>
      </c>
      <c r="GP46" t="e">
        <f>AND(Bills!AE71,"AAAAAHm9fMU=")</f>
        <v>#VALUE!</v>
      </c>
      <c r="GQ46">
        <f>IF(Bills!72:72,"AAAAAHm9fMY=",0)</f>
        <v>0</v>
      </c>
      <c r="GR46" t="e">
        <f>AND(Bills!B72,"AAAAAHm9fMc=")</f>
        <v>#VALUE!</v>
      </c>
      <c r="GS46" t="e">
        <f>AND(Bills!#REF!,"AAAAAHm9fMg=")</f>
        <v>#REF!</v>
      </c>
      <c r="GT46" t="e">
        <f>AND(Bills!C72,"AAAAAHm9fMk=")</f>
        <v>#VALUE!</v>
      </c>
      <c r="GU46" t="e">
        <f>AND(Bills!D72,"AAAAAHm9fMo=")</f>
        <v>#VALUE!</v>
      </c>
      <c r="GV46" t="e">
        <f>AND(Bills!E72,"AAAAAHm9fMs=")</f>
        <v>#VALUE!</v>
      </c>
      <c r="GW46" t="e">
        <f>AND(Bills!#REF!,"AAAAAHm9fMw=")</f>
        <v>#REF!</v>
      </c>
      <c r="GX46" t="e">
        <f>AND(Bills!#REF!,"AAAAAHm9fM0=")</f>
        <v>#REF!</v>
      </c>
      <c r="GY46" t="e">
        <f>AND(Bills!#REF!,"AAAAAHm9fM4=")</f>
        <v>#REF!</v>
      </c>
      <c r="GZ46" t="e">
        <f>AND(Bills!F72,"AAAAAHm9fM8=")</f>
        <v>#VALUE!</v>
      </c>
      <c r="HA46" t="e">
        <f>AND(Bills!#REF!,"AAAAAHm9fNA=")</f>
        <v>#REF!</v>
      </c>
      <c r="HB46" t="e">
        <f>AND(Bills!G72,"AAAAAHm9fNE=")</f>
        <v>#VALUE!</v>
      </c>
      <c r="HC46" t="e">
        <f>AND(Bills!H72,"AAAAAHm9fNI=")</f>
        <v>#VALUE!</v>
      </c>
      <c r="HD46" t="e">
        <f>AND(Bills!I72,"AAAAAHm9fNM=")</f>
        <v>#VALUE!</v>
      </c>
      <c r="HE46" t="e">
        <f>AND(Bills!J72,"AAAAAHm9fNQ=")</f>
        <v>#VALUE!</v>
      </c>
      <c r="HF46" t="e">
        <f>AND(Bills!K72,"AAAAAHm9fNU=")</f>
        <v>#VALUE!</v>
      </c>
      <c r="HG46" t="e">
        <f>AND(Bills!L72,"AAAAAHm9fNY=")</f>
        <v>#VALUE!</v>
      </c>
      <c r="HH46" t="e">
        <f>AND(Bills!#REF!,"AAAAAHm9fNc=")</f>
        <v>#REF!</v>
      </c>
      <c r="HI46" t="e">
        <f>AND(Bills!M72,"AAAAAHm9fNg=")</f>
        <v>#VALUE!</v>
      </c>
      <c r="HJ46" t="e">
        <f>AND(Bills!N72,"AAAAAHm9fNk=")</f>
        <v>#VALUE!</v>
      </c>
      <c r="HK46" t="e">
        <f>AND(Bills!O72,"AAAAAHm9fNo=")</f>
        <v>#VALUE!</v>
      </c>
      <c r="HL46" t="e">
        <f>AND(Bills!P72,"AAAAAHm9fNs=")</f>
        <v>#VALUE!</v>
      </c>
      <c r="HM46" t="e">
        <f>AND(Bills!Q72,"AAAAAHm9fNw=")</f>
        <v>#VALUE!</v>
      </c>
      <c r="HN46" t="e">
        <f>AND(Bills!R72,"AAAAAHm9fN0=")</f>
        <v>#VALUE!</v>
      </c>
      <c r="HO46" t="e">
        <f>AND(Bills!S72,"AAAAAHm9fN4=")</f>
        <v>#VALUE!</v>
      </c>
      <c r="HP46" t="e">
        <f>AND(Bills!T72,"AAAAAHm9fN8=")</f>
        <v>#VALUE!</v>
      </c>
      <c r="HQ46" t="e">
        <f>AND(Bills!#REF!,"AAAAAHm9fOA=")</f>
        <v>#REF!</v>
      </c>
      <c r="HR46" t="e">
        <f>AND(Bills!U72,"AAAAAHm9fOE=")</f>
        <v>#VALUE!</v>
      </c>
      <c r="HS46" t="e">
        <f>AND(Bills!V72,"AAAAAHm9fOI=")</f>
        <v>#VALUE!</v>
      </c>
      <c r="HT46" t="e">
        <f>AND(Bills!W72,"AAAAAHm9fOM=")</f>
        <v>#VALUE!</v>
      </c>
      <c r="HU46" t="e">
        <f>AND(Bills!#REF!,"AAAAAHm9fOQ=")</f>
        <v>#REF!</v>
      </c>
      <c r="HV46" t="e">
        <f>AND(Bills!#REF!,"AAAAAHm9fOU=")</f>
        <v>#REF!</v>
      </c>
      <c r="HW46" t="e">
        <f>AND(Bills!Y72,"AAAAAHm9fOY=")</f>
        <v>#VALUE!</v>
      </c>
      <c r="HX46" t="e">
        <f>AND(Bills!Z72,"AAAAAHm9fOc=")</f>
        <v>#VALUE!</v>
      </c>
      <c r="HY46" t="e">
        <f>AND(Bills!#REF!,"AAAAAHm9fOg=")</f>
        <v>#REF!</v>
      </c>
      <c r="HZ46" t="e">
        <f>AND(Bills!#REF!,"AAAAAHm9fOk=")</f>
        <v>#REF!</v>
      </c>
      <c r="IA46" t="e">
        <f>AND(Bills!#REF!,"AAAAAHm9fOo=")</f>
        <v>#REF!</v>
      </c>
      <c r="IB46" t="e">
        <f>AND(Bills!#REF!,"AAAAAHm9fOs=")</f>
        <v>#REF!</v>
      </c>
      <c r="IC46" t="e">
        <f>AND(Bills!#REF!,"AAAAAHm9fOw=")</f>
        <v>#REF!</v>
      </c>
      <c r="ID46" t="e">
        <f>AND(Bills!#REF!,"AAAAAHm9fO0=")</f>
        <v>#REF!</v>
      </c>
      <c r="IE46" t="e">
        <f>AND(Bills!#REF!,"AAAAAHm9fO4=")</f>
        <v>#REF!</v>
      </c>
      <c r="IF46" t="e">
        <f>AND(Bills!#REF!,"AAAAAHm9fO8=")</f>
        <v>#REF!</v>
      </c>
      <c r="IG46" t="e">
        <f>AND(Bills!#REF!,"AAAAAHm9fPA=")</f>
        <v>#REF!</v>
      </c>
      <c r="IH46" t="e">
        <f>AND(Bills!AA72,"AAAAAHm9fPE=")</f>
        <v>#VALUE!</v>
      </c>
      <c r="II46" t="e">
        <f>AND(Bills!AB72,"AAAAAHm9fPI=")</f>
        <v>#VALUE!</v>
      </c>
      <c r="IJ46" t="e">
        <f>AND(Bills!#REF!,"AAAAAHm9fPM=")</f>
        <v>#REF!</v>
      </c>
      <c r="IK46" t="e">
        <f>AND(Bills!#REF!,"AAAAAHm9fPQ=")</f>
        <v>#REF!</v>
      </c>
      <c r="IL46" t="e">
        <f>AND(Bills!#REF!,"AAAAAHm9fPU=")</f>
        <v>#REF!</v>
      </c>
      <c r="IM46" t="e">
        <f>AND(Bills!AC72,"AAAAAHm9fPY=")</f>
        <v>#VALUE!</v>
      </c>
      <c r="IN46" t="e">
        <f>AND(Bills!AD72,"AAAAAHm9fPc=")</f>
        <v>#VALUE!</v>
      </c>
      <c r="IO46" t="e">
        <f>AND(Bills!AE72,"AAAAAHm9fPg=")</f>
        <v>#VALUE!</v>
      </c>
      <c r="IP46">
        <f>IF(Bills!73:73,"AAAAAHm9fPk=",0)</f>
        <v>0</v>
      </c>
      <c r="IQ46" t="e">
        <f>AND(Bills!B73,"AAAAAHm9fPo=")</f>
        <v>#VALUE!</v>
      </c>
      <c r="IR46" t="e">
        <f>AND(Bills!#REF!,"AAAAAHm9fPs=")</f>
        <v>#REF!</v>
      </c>
      <c r="IS46" t="e">
        <f>AND(Bills!C73,"AAAAAHm9fPw=")</f>
        <v>#VALUE!</v>
      </c>
      <c r="IT46" t="e">
        <f>AND(Bills!D73,"AAAAAHm9fP0=")</f>
        <v>#VALUE!</v>
      </c>
      <c r="IU46" t="e">
        <f>AND(Bills!E73,"AAAAAHm9fP4=")</f>
        <v>#VALUE!</v>
      </c>
      <c r="IV46" t="e">
        <f>AND(Bills!#REF!,"AAAAAHm9fP8=")</f>
        <v>#REF!</v>
      </c>
    </row>
    <row r="47" spans="1:256" x14ac:dyDescent="0.25">
      <c r="A47" t="e">
        <f>AND(Bills!#REF!,"AAAAAH6/3wA=")</f>
        <v>#REF!</v>
      </c>
      <c r="B47" t="e">
        <f>AND(Bills!#REF!,"AAAAAH6/3wE=")</f>
        <v>#REF!</v>
      </c>
      <c r="C47" t="e">
        <f>AND(Bills!F73,"AAAAAH6/3wI=")</f>
        <v>#VALUE!</v>
      </c>
      <c r="D47" t="e">
        <f>AND(Bills!#REF!,"AAAAAH6/3wM=")</f>
        <v>#REF!</v>
      </c>
      <c r="E47" t="e">
        <f>AND(Bills!G73,"AAAAAH6/3wQ=")</f>
        <v>#VALUE!</v>
      </c>
      <c r="F47" t="e">
        <f>AND(Bills!H73,"AAAAAH6/3wU=")</f>
        <v>#VALUE!</v>
      </c>
      <c r="G47" t="e">
        <f>AND(Bills!I73,"AAAAAH6/3wY=")</f>
        <v>#VALUE!</v>
      </c>
      <c r="H47" t="e">
        <f>AND(Bills!J73,"AAAAAH6/3wc=")</f>
        <v>#VALUE!</v>
      </c>
      <c r="I47" t="e">
        <f>AND(Bills!K73,"AAAAAH6/3wg=")</f>
        <v>#VALUE!</v>
      </c>
      <c r="J47" t="e">
        <f>AND(Bills!L73,"AAAAAH6/3wk=")</f>
        <v>#VALUE!</v>
      </c>
      <c r="K47" t="e">
        <f>AND(Bills!#REF!,"AAAAAH6/3wo=")</f>
        <v>#REF!</v>
      </c>
      <c r="L47" t="e">
        <f>AND(Bills!M73,"AAAAAH6/3ws=")</f>
        <v>#VALUE!</v>
      </c>
      <c r="M47" t="e">
        <f>AND(Bills!N73,"AAAAAH6/3ww=")</f>
        <v>#VALUE!</v>
      </c>
      <c r="N47" t="e">
        <f>AND(Bills!O73,"AAAAAH6/3w0=")</f>
        <v>#VALUE!</v>
      </c>
      <c r="O47" t="e">
        <f>AND(Bills!P73,"AAAAAH6/3w4=")</f>
        <v>#VALUE!</v>
      </c>
      <c r="P47" t="e">
        <f>AND(Bills!Q73,"AAAAAH6/3w8=")</f>
        <v>#VALUE!</v>
      </c>
      <c r="Q47" t="e">
        <f>AND(Bills!R73,"AAAAAH6/3xA=")</f>
        <v>#VALUE!</v>
      </c>
      <c r="R47" t="e">
        <f>AND(Bills!S73,"AAAAAH6/3xE=")</f>
        <v>#VALUE!</v>
      </c>
      <c r="S47" t="e">
        <f>AND(Bills!T73,"AAAAAH6/3xI=")</f>
        <v>#VALUE!</v>
      </c>
      <c r="T47" t="e">
        <f>AND(Bills!#REF!,"AAAAAH6/3xM=")</f>
        <v>#REF!</v>
      </c>
      <c r="U47" t="e">
        <f>AND(Bills!U73,"AAAAAH6/3xQ=")</f>
        <v>#VALUE!</v>
      </c>
      <c r="V47" t="e">
        <f>AND(Bills!V73,"AAAAAH6/3xU=")</f>
        <v>#VALUE!</v>
      </c>
      <c r="W47" t="e">
        <f>AND(Bills!W73,"AAAAAH6/3xY=")</f>
        <v>#VALUE!</v>
      </c>
      <c r="X47" t="e">
        <f>AND(Bills!#REF!,"AAAAAH6/3xc=")</f>
        <v>#REF!</v>
      </c>
      <c r="Y47" t="e">
        <f>AND(Bills!#REF!,"AAAAAH6/3xg=")</f>
        <v>#REF!</v>
      </c>
      <c r="Z47" t="e">
        <f>AND(Bills!Y73,"AAAAAH6/3xk=")</f>
        <v>#VALUE!</v>
      </c>
      <c r="AA47" t="e">
        <f>AND(Bills!Z73,"AAAAAH6/3xo=")</f>
        <v>#VALUE!</v>
      </c>
      <c r="AB47" t="e">
        <f>AND(Bills!#REF!,"AAAAAH6/3xs=")</f>
        <v>#REF!</v>
      </c>
      <c r="AC47" t="e">
        <f>AND(Bills!#REF!,"AAAAAH6/3xw=")</f>
        <v>#REF!</v>
      </c>
      <c r="AD47" t="e">
        <f>AND(Bills!#REF!,"AAAAAH6/3x0=")</f>
        <v>#REF!</v>
      </c>
      <c r="AE47" t="e">
        <f>AND(Bills!#REF!,"AAAAAH6/3x4=")</f>
        <v>#REF!</v>
      </c>
      <c r="AF47" t="e">
        <f>AND(Bills!#REF!,"AAAAAH6/3x8=")</f>
        <v>#REF!</v>
      </c>
      <c r="AG47" t="e">
        <f>AND(Bills!#REF!,"AAAAAH6/3yA=")</f>
        <v>#REF!</v>
      </c>
      <c r="AH47" t="e">
        <f>AND(Bills!#REF!,"AAAAAH6/3yE=")</f>
        <v>#REF!</v>
      </c>
      <c r="AI47" t="e">
        <f>AND(Bills!#REF!,"AAAAAH6/3yI=")</f>
        <v>#REF!</v>
      </c>
      <c r="AJ47" t="e">
        <f>AND(Bills!#REF!,"AAAAAH6/3yM=")</f>
        <v>#REF!</v>
      </c>
      <c r="AK47" t="e">
        <f>AND(Bills!AA73,"AAAAAH6/3yQ=")</f>
        <v>#VALUE!</v>
      </c>
      <c r="AL47" t="e">
        <f>AND(Bills!AB73,"AAAAAH6/3yU=")</f>
        <v>#VALUE!</v>
      </c>
      <c r="AM47" t="e">
        <f>AND(Bills!#REF!,"AAAAAH6/3yY=")</f>
        <v>#REF!</v>
      </c>
      <c r="AN47" t="e">
        <f>AND(Bills!#REF!,"AAAAAH6/3yc=")</f>
        <v>#REF!</v>
      </c>
      <c r="AO47" t="e">
        <f>AND(Bills!#REF!,"AAAAAH6/3yg=")</f>
        <v>#REF!</v>
      </c>
      <c r="AP47" t="e">
        <f>AND(Bills!AC73,"AAAAAH6/3yk=")</f>
        <v>#VALUE!</v>
      </c>
      <c r="AQ47" t="e">
        <f>AND(Bills!AD73,"AAAAAH6/3yo=")</f>
        <v>#VALUE!</v>
      </c>
      <c r="AR47" t="e">
        <f>AND(Bills!AE73,"AAAAAH6/3ys=")</f>
        <v>#VALUE!</v>
      </c>
      <c r="AS47">
        <f>IF(Bills!74:74,"AAAAAH6/3yw=",0)</f>
        <v>0</v>
      </c>
      <c r="AT47" t="e">
        <f>AND(Bills!B74,"AAAAAH6/3y0=")</f>
        <v>#VALUE!</v>
      </c>
      <c r="AU47" t="e">
        <f>AND(Bills!#REF!,"AAAAAH6/3y4=")</f>
        <v>#REF!</v>
      </c>
      <c r="AV47" t="e">
        <f>AND(Bills!C74,"AAAAAH6/3y8=")</f>
        <v>#VALUE!</v>
      </c>
      <c r="AW47" t="e">
        <f>AND(Bills!D74,"AAAAAH6/3zA=")</f>
        <v>#VALUE!</v>
      </c>
      <c r="AX47" t="e">
        <f>AND(Bills!E74,"AAAAAH6/3zE=")</f>
        <v>#VALUE!</v>
      </c>
      <c r="AY47" t="e">
        <f>AND(Bills!#REF!,"AAAAAH6/3zI=")</f>
        <v>#REF!</v>
      </c>
      <c r="AZ47" t="e">
        <f>AND(Bills!#REF!,"AAAAAH6/3zM=")</f>
        <v>#REF!</v>
      </c>
      <c r="BA47" t="e">
        <f>AND(Bills!#REF!,"AAAAAH6/3zQ=")</f>
        <v>#REF!</v>
      </c>
      <c r="BB47" t="e">
        <f>AND(Bills!F74,"AAAAAH6/3zU=")</f>
        <v>#VALUE!</v>
      </c>
      <c r="BC47" t="e">
        <f>AND(Bills!#REF!,"AAAAAH6/3zY=")</f>
        <v>#REF!</v>
      </c>
      <c r="BD47" t="e">
        <f>AND(Bills!G74,"AAAAAH6/3zc=")</f>
        <v>#VALUE!</v>
      </c>
      <c r="BE47" t="e">
        <f>AND(Bills!H74,"AAAAAH6/3zg=")</f>
        <v>#VALUE!</v>
      </c>
      <c r="BF47" t="e">
        <f>AND(Bills!I74,"AAAAAH6/3zk=")</f>
        <v>#VALUE!</v>
      </c>
      <c r="BG47" t="e">
        <f>AND(Bills!J74,"AAAAAH6/3zo=")</f>
        <v>#VALUE!</v>
      </c>
      <c r="BH47" t="e">
        <f>AND(Bills!K74,"AAAAAH6/3zs=")</f>
        <v>#VALUE!</v>
      </c>
      <c r="BI47" t="e">
        <f>AND(Bills!L74,"AAAAAH6/3zw=")</f>
        <v>#VALUE!</v>
      </c>
      <c r="BJ47" t="e">
        <f>AND(Bills!#REF!,"AAAAAH6/3z0=")</f>
        <v>#REF!</v>
      </c>
      <c r="BK47" t="e">
        <f>AND(Bills!M74,"AAAAAH6/3z4=")</f>
        <v>#VALUE!</v>
      </c>
      <c r="BL47" t="e">
        <f>AND(Bills!N74,"AAAAAH6/3z8=")</f>
        <v>#VALUE!</v>
      </c>
      <c r="BM47" t="e">
        <f>AND(Bills!O74,"AAAAAH6/30A=")</f>
        <v>#VALUE!</v>
      </c>
      <c r="BN47" t="e">
        <f>AND(Bills!P74,"AAAAAH6/30E=")</f>
        <v>#VALUE!</v>
      </c>
      <c r="BO47" t="e">
        <f>AND(Bills!Q74,"AAAAAH6/30I=")</f>
        <v>#VALUE!</v>
      </c>
      <c r="BP47" t="e">
        <f>AND(Bills!R74,"AAAAAH6/30M=")</f>
        <v>#VALUE!</v>
      </c>
      <c r="BQ47" t="e">
        <f>AND(Bills!S74,"AAAAAH6/30Q=")</f>
        <v>#VALUE!</v>
      </c>
      <c r="BR47" t="e">
        <f>AND(Bills!T74,"AAAAAH6/30U=")</f>
        <v>#VALUE!</v>
      </c>
      <c r="BS47" t="e">
        <f>AND(Bills!#REF!,"AAAAAH6/30Y=")</f>
        <v>#REF!</v>
      </c>
      <c r="BT47" t="e">
        <f>AND(Bills!U74,"AAAAAH6/30c=")</f>
        <v>#VALUE!</v>
      </c>
      <c r="BU47" t="e">
        <f>AND(Bills!V74,"AAAAAH6/30g=")</f>
        <v>#VALUE!</v>
      </c>
      <c r="BV47" t="e">
        <f>AND(Bills!W74,"AAAAAH6/30k=")</f>
        <v>#VALUE!</v>
      </c>
      <c r="BW47" t="e">
        <f>AND(Bills!#REF!,"AAAAAH6/30o=")</f>
        <v>#REF!</v>
      </c>
      <c r="BX47" t="e">
        <f>AND(Bills!#REF!,"AAAAAH6/30s=")</f>
        <v>#REF!</v>
      </c>
      <c r="BY47" t="e">
        <f>AND(Bills!Y74,"AAAAAH6/30w=")</f>
        <v>#VALUE!</v>
      </c>
      <c r="BZ47" t="e">
        <f>AND(Bills!Z74,"AAAAAH6/300=")</f>
        <v>#VALUE!</v>
      </c>
      <c r="CA47" t="e">
        <f>AND(Bills!#REF!,"AAAAAH6/304=")</f>
        <v>#REF!</v>
      </c>
      <c r="CB47" t="e">
        <f>AND(Bills!#REF!,"AAAAAH6/308=")</f>
        <v>#REF!</v>
      </c>
      <c r="CC47" t="e">
        <f>AND(Bills!#REF!,"AAAAAH6/31A=")</f>
        <v>#REF!</v>
      </c>
      <c r="CD47" t="e">
        <f>AND(Bills!#REF!,"AAAAAH6/31E=")</f>
        <v>#REF!</v>
      </c>
      <c r="CE47" t="e">
        <f>AND(Bills!#REF!,"AAAAAH6/31I=")</f>
        <v>#REF!</v>
      </c>
      <c r="CF47" t="e">
        <f>AND(Bills!#REF!,"AAAAAH6/31M=")</f>
        <v>#REF!</v>
      </c>
      <c r="CG47" t="e">
        <f>AND(Bills!#REF!,"AAAAAH6/31Q=")</f>
        <v>#REF!</v>
      </c>
      <c r="CH47" t="e">
        <f>AND(Bills!#REF!,"AAAAAH6/31U=")</f>
        <v>#REF!</v>
      </c>
      <c r="CI47" t="e">
        <f>AND(Bills!#REF!,"AAAAAH6/31Y=")</f>
        <v>#REF!</v>
      </c>
      <c r="CJ47" t="e">
        <f>AND(Bills!AA74,"AAAAAH6/31c=")</f>
        <v>#VALUE!</v>
      </c>
      <c r="CK47" t="e">
        <f>AND(Bills!AB74,"AAAAAH6/31g=")</f>
        <v>#VALUE!</v>
      </c>
      <c r="CL47" t="e">
        <f>AND(Bills!#REF!,"AAAAAH6/31k=")</f>
        <v>#REF!</v>
      </c>
      <c r="CM47" t="e">
        <f>AND(Bills!#REF!,"AAAAAH6/31o=")</f>
        <v>#REF!</v>
      </c>
      <c r="CN47" t="e">
        <f>AND(Bills!#REF!,"AAAAAH6/31s=")</f>
        <v>#REF!</v>
      </c>
      <c r="CO47" t="e">
        <f>AND(Bills!AC74,"AAAAAH6/31w=")</f>
        <v>#VALUE!</v>
      </c>
      <c r="CP47" t="e">
        <f>AND(Bills!AD74,"AAAAAH6/310=")</f>
        <v>#VALUE!</v>
      </c>
      <c r="CQ47" t="e">
        <f>AND(Bills!AE74,"AAAAAH6/314=")</f>
        <v>#VALUE!</v>
      </c>
      <c r="CR47">
        <f>IF(Bills!75:75,"AAAAAH6/318=",0)</f>
        <v>0</v>
      </c>
      <c r="CS47" t="e">
        <f>AND(Bills!B75,"AAAAAH6/32A=")</f>
        <v>#VALUE!</v>
      </c>
      <c r="CT47" t="e">
        <f>AND(Bills!#REF!,"AAAAAH6/32E=")</f>
        <v>#REF!</v>
      </c>
      <c r="CU47" t="e">
        <f>AND(Bills!C75,"AAAAAH6/32I=")</f>
        <v>#VALUE!</v>
      </c>
      <c r="CV47" t="e">
        <f>AND(Bills!D75,"AAAAAH6/32M=")</f>
        <v>#VALUE!</v>
      </c>
      <c r="CW47" t="e">
        <f>AND(Bills!E75,"AAAAAH6/32Q=")</f>
        <v>#VALUE!</v>
      </c>
      <c r="CX47" t="e">
        <f>AND(Bills!#REF!,"AAAAAH6/32U=")</f>
        <v>#REF!</v>
      </c>
      <c r="CY47" t="e">
        <f>AND(Bills!#REF!,"AAAAAH6/32Y=")</f>
        <v>#REF!</v>
      </c>
      <c r="CZ47" t="e">
        <f>AND(Bills!#REF!,"AAAAAH6/32c=")</f>
        <v>#REF!</v>
      </c>
      <c r="DA47" t="e">
        <f>AND(Bills!F75,"AAAAAH6/32g=")</f>
        <v>#VALUE!</v>
      </c>
      <c r="DB47" t="e">
        <f>AND(Bills!#REF!,"AAAAAH6/32k=")</f>
        <v>#REF!</v>
      </c>
      <c r="DC47" t="e">
        <f>AND(Bills!G75,"AAAAAH6/32o=")</f>
        <v>#VALUE!</v>
      </c>
      <c r="DD47" t="e">
        <f>AND(Bills!H75,"AAAAAH6/32s=")</f>
        <v>#VALUE!</v>
      </c>
      <c r="DE47" t="e">
        <f>AND(Bills!I75,"AAAAAH6/32w=")</f>
        <v>#VALUE!</v>
      </c>
      <c r="DF47" t="e">
        <f>AND(Bills!J75,"AAAAAH6/320=")</f>
        <v>#VALUE!</v>
      </c>
      <c r="DG47" t="e">
        <f>AND(Bills!K75,"AAAAAH6/324=")</f>
        <v>#VALUE!</v>
      </c>
      <c r="DH47" t="e">
        <f>AND(Bills!L75,"AAAAAH6/328=")</f>
        <v>#VALUE!</v>
      </c>
      <c r="DI47" t="e">
        <f>AND(Bills!#REF!,"AAAAAH6/33A=")</f>
        <v>#REF!</v>
      </c>
      <c r="DJ47" t="e">
        <f>AND(Bills!M75,"AAAAAH6/33E=")</f>
        <v>#VALUE!</v>
      </c>
      <c r="DK47" t="e">
        <f>AND(Bills!N75,"AAAAAH6/33I=")</f>
        <v>#VALUE!</v>
      </c>
      <c r="DL47" t="e">
        <f>AND(Bills!O75,"AAAAAH6/33M=")</f>
        <v>#VALUE!</v>
      </c>
      <c r="DM47" t="e">
        <f>AND(Bills!P75,"AAAAAH6/33Q=")</f>
        <v>#VALUE!</v>
      </c>
      <c r="DN47" t="e">
        <f>AND(Bills!Q75,"AAAAAH6/33U=")</f>
        <v>#VALUE!</v>
      </c>
      <c r="DO47" t="e">
        <f>AND(Bills!R75,"AAAAAH6/33Y=")</f>
        <v>#VALUE!</v>
      </c>
      <c r="DP47" t="e">
        <f>AND(Bills!S75,"AAAAAH6/33c=")</f>
        <v>#VALUE!</v>
      </c>
      <c r="DQ47" t="e">
        <f>AND(Bills!T75,"AAAAAH6/33g=")</f>
        <v>#VALUE!</v>
      </c>
      <c r="DR47" t="e">
        <f>AND(Bills!#REF!,"AAAAAH6/33k=")</f>
        <v>#REF!</v>
      </c>
      <c r="DS47" t="e">
        <f>AND(Bills!U75,"AAAAAH6/33o=")</f>
        <v>#VALUE!</v>
      </c>
      <c r="DT47" t="e">
        <f>AND(Bills!V75,"AAAAAH6/33s=")</f>
        <v>#VALUE!</v>
      </c>
      <c r="DU47" t="e">
        <f>AND(Bills!W75,"AAAAAH6/33w=")</f>
        <v>#VALUE!</v>
      </c>
      <c r="DV47" t="e">
        <f>AND(Bills!#REF!,"AAAAAH6/330=")</f>
        <v>#REF!</v>
      </c>
      <c r="DW47" t="e">
        <f>AND(Bills!#REF!,"AAAAAH6/334=")</f>
        <v>#REF!</v>
      </c>
      <c r="DX47" t="e">
        <f>AND(Bills!Y75,"AAAAAH6/338=")</f>
        <v>#VALUE!</v>
      </c>
      <c r="DY47" t="e">
        <f>AND(Bills!Z75,"AAAAAH6/34A=")</f>
        <v>#VALUE!</v>
      </c>
      <c r="DZ47" t="e">
        <f>AND(Bills!#REF!,"AAAAAH6/34E=")</f>
        <v>#REF!</v>
      </c>
      <c r="EA47" t="e">
        <f>AND(Bills!#REF!,"AAAAAH6/34I=")</f>
        <v>#REF!</v>
      </c>
      <c r="EB47" t="e">
        <f>AND(Bills!#REF!,"AAAAAH6/34M=")</f>
        <v>#REF!</v>
      </c>
      <c r="EC47" t="e">
        <f>AND(Bills!#REF!,"AAAAAH6/34Q=")</f>
        <v>#REF!</v>
      </c>
      <c r="ED47" t="e">
        <f>AND(Bills!#REF!,"AAAAAH6/34U=")</f>
        <v>#REF!</v>
      </c>
      <c r="EE47" t="e">
        <f>AND(Bills!#REF!,"AAAAAH6/34Y=")</f>
        <v>#REF!</v>
      </c>
      <c r="EF47" t="e">
        <f>AND(Bills!#REF!,"AAAAAH6/34c=")</f>
        <v>#REF!</v>
      </c>
      <c r="EG47" t="e">
        <f>AND(Bills!#REF!,"AAAAAH6/34g=")</f>
        <v>#REF!</v>
      </c>
      <c r="EH47" t="e">
        <f>AND(Bills!#REF!,"AAAAAH6/34k=")</f>
        <v>#REF!</v>
      </c>
      <c r="EI47" t="e">
        <f>AND(Bills!AA75,"AAAAAH6/34o=")</f>
        <v>#VALUE!</v>
      </c>
      <c r="EJ47" t="e">
        <f>AND(Bills!AB75,"AAAAAH6/34s=")</f>
        <v>#VALUE!</v>
      </c>
      <c r="EK47" t="e">
        <f>AND(Bills!#REF!,"AAAAAH6/34w=")</f>
        <v>#REF!</v>
      </c>
      <c r="EL47" t="e">
        <f>AND(Bills!#REF!,"AAAAAH6/340=")</f>
        <v>#REF!</v>
      </c>
      <c r="EM47" t="e">
        <f>AND(Bills!#REF!,"AAAAAH6/344=")</f>
        <v>#REF!</v>
      </c>
      <c r="EN47" t="e">
        <f>AND(Bills!AC75,"AAAAAH6/348=")</f>
        <v>#VALUE!</v>
      </c>
      <c r="EO47" t="e">
        <f>AND(Bills!AD75,"AAAAAH6/35A=")</f>
        <v>#VALUE!</v>
      </c>
      <c r="EP47" t="e">
        <f>AND(Bills!AE75,"AAAAAH6/35E=")</f>
        <v>#VALUE!</v>
      </c>
      <c r="EQ47">
        <f>IF(Bills!76:76,"AAAAAH6/35I=",0)</f>
        <v>0</v>
      </c>
      <c r="ER47" t="e">
        <f>AND(Bills!B76,"AAAAAH6/35M=")</f>
        <v>#VALUE!</v>
      </c>
      <c r="ES47" t="e">
        <f>AND(Bills!#REF!,"AAAAAH6/35Q=")</f>
        <v>#REF!</v>
      </c>
      <c r="ET47" t="e">
        <f>AND(Bills!C76,"AAAAAH6/35U=")</f>
        <v>#VALUE!</v>
      </c>
      <c r="EU47" t="e">
        <f>AND(Bills!D76,"AAAAAH6/35Y=")</f>
        <v>#VALUE!</v>
      </c>
      <c r="EV47" t="e">
        <f>AND(Bills!E76,"AAAAAH6/35c=")</f>
        <v>#VALUE!</v>
      </c>
      <c r="EW47" t="e">
        <f>AND(Bills!#REF!,"AAAAAH6/35g=")</f>
        <v>#REF!</v>
      </c>
      <c r="EX47" t="e">
        <f>AND(Bills!#REF!,"AAAAAH6/35k=")</f>
        <v>#REF!</v>
      </c>
      <c r="EY47" t="e">
        <f>AND(Bills!#REF!,"AAAAAH6/35o=")</f>
        <v>#REF!</v>
      </c>
      <c r="EZ47" t="e">
        <f>AND(Bills!F76,"AAAAAH6/35s=")</f>
        <v>#VALUE!</v>
      </c>
      <c r="FA47" t="e">
        <f>AND(Bills!#REF!,"AAAAAH6/35w=")</f>
        <v>#REF!</v>
      </c>
      <c r="FB47" t="e">
        <f>AND(Bills!G76,"AAAAAH6/350=")</f>
        <v>#VALUE!</v>
      </c>
      <c r="FC47" t="e">
        <f>AND(Bills!H76,"AAAAAH6/354=")</f>
        <v>#VALUE!</v>
      </c>
      <c r="FD47" t="e">
        <f>AND(Bills!I76,"AAAAAH6/358=")</f>
        <v>#VALUE!</v>
      </c>
      <c r="FE47" t="e">
        <f>AND(Bills!J76,"AAAAAH6/36A=")</f>
        <v>#VALUE!</v>
      </c>
      <c r="FF47" t="e">
        <f>AND(Bills!K76,"AAAAAH6/36E=")</f>
        <v>#VALUE!</v>
      </c>
      <c r="FG47" t="e">
        <f>AND(Bills!L76,"AAAAAH6/36I=")</f>
        <v>#VALUE!</v>
      </c>
      <c r="FH47" t="e">
        <f>AND(Bills!#REF!,"AAAAAH6/36M=")</f>
        <v>#REF!</v>
      </c>
      <c r="FI47" t="e">
        <f>AND(Bills!M76,"AAAAAH6/36Q=")</f>
        <v>#VALUE!</v>
      </c>
      <c r="FJ47" t="e">
        <f>AND(Bills!N76,"AAAAAH6/36U=")</f>
        <v>#VALUE!</v>
      </c>
      <c r="FK47" t="e">
        <f>AND(Bills!O76,"AAAAAH6/36Y=")</f>
        <v>#VALUE!</v>
      </c>
      <c r="FL47" t="e">
        <f>AND(Bills!P76,"AAAAAH6/36c=")</f>
        <v>#VALUE!</v>
      </c>
      <c r="FM47" t="e">
        <f>AND(Bills!Q76,"AAAAAH6/36g=")</f>
        <v>#VALUE!</v>
      </c>
      <c r="FN47" t="e">
        <f>AND(Bills!R76,"AAAAAH6/36k=")</f>
        <v>#VALUE!</v>
      </c>
      <c r="FO47" t="e">
        <f>AND(Bills!S76,"AAAAAH6/36o=")</f>
        <v>#VALUE!</v>
      </c>
      <c r="FP47" t="e">
        <f>AND(Bills!T76,"AAAAAH6/36s=")</f>
        <v>#VALUE!</v>
      </c>
      <c r="FQ47" t="e">
        <f>AND(Bills!#REF!,"AAAAAH6/36w=")</f>
        <v>#REF!</v>
      </c>
      <c r="FR47" t="e">
        <f>AND(Bills!U76,"AAAAAH6/360=")</f>
        <v>#VALUE!</v>
      </c>
      <c r="FS47" t="e">
        <f>AND(Bills!V76,"AAAAAH6/364=")</f>
        <v>#VALUE!</v>
      </c>
      <c r="FT47" t="e">
        <f>AND(Bills!W76,"AAAAAH6/368=")</f>
        <v>#VALUE!</v>
      </c>
      <c r="FU47" t="e">
        <f>AND(Bills!#REF!,"AAAAAH6/37A=")</f>
        <v>#REF!</v>
      </c>
      <c r="FV47" t="e">
        <f>AND(Bills!#REF!,"AAAAAH6/37E=")</f>
        <v>#REF!</v>
      </c>
      <c r="FW47" t="e">
        <f>AND(Bills!Y76,"AAAAAH6/37I=")</f>
        <v>#VALUE!</v>
      </c>
      <c r="FX47" t="e">
        <f>AND(Bills!Z76,"AAAAAH6/37M=")</f>
        <v>#VALUE!</v>
      </c>
      <c r="FY47" t="e">
        <f>AND(Bills!#REF!,"AAAAAH6/37Q=")</f>
        <v>#REF!</v>
      </c>
      <c r="FZ47" t="e">
        <f>AND(Bills!#REF!,"AAAAAH6/37U=")</f>
        <v>#REF!</v>
      </c>
      <c r="GA47" t="e">
        <f>AND(Bills!#REF!,"AAAAAH6/37Y=")</f>
        <v>#REF!</v>
      </c>
      <c r="GB47" t="e">
        <f>AND(Bills!#REF!,"AAAAAH6/37c=")</f>
        <v>#REF!</v>
      </c>
      <c r="GC47" t="e">
        <f>AND(Bills!#REF!,"AAAAAH6/37g=")</f>
        <v>#REF!</v>
      </c>
      <c r="GD47" t="e">
        <f>AND(Bills!#REF!,"AAAAAH6/37k=")</f>
        <v>#REF!</v>
      </c>
      <c r="GE47" t="e">
        <f>AND(Bills!#REF!,"AAAAAH6/37o=")</f>
        <v>#REF!</v>
      </c>
      <c r="GF47" t="e">
        <f>AND(Bills!#REF!,"AAAAAH6/37s=")</f>
        <v>#REF!</v>
      </c>
      <c r="GG47" t="e">
        <f>AND(Bills!#REF!,"AAAAAH6/37w=")</f>
        <v>#REF!</v>
      </c>
      <c r="GH47" t="e">
        <f>AND(Bills!AA76,"AAAAAH6/370=")</f>
        <v>#VALUE!</v>
      </c>
      <c r="GI47" t="e">
        <f>AND(Bills!AB76,"AAAAAH6/374=")</f>
        <v>#VALUE!</v>
      </c>
      <c r="GJ47" t="e">
        <f>AND(Bills!#REF!,"AAAAAH6/378=")</f>
        <v>#REF!</v>
      </c>
      <c r="GK47" t="e">
        <f>AND(Bills!#REF!,"AAAAAH6/38A=")</f>
        <v>#REF!</v>
      </c>
      <c r="GL47" t="e">
        <f>AND(Bills!#REF!,"AAAAAH6/38E=")</f>
        <v>#REF!</v>
      </c>
      <c r="GM47" t="e">
        <f>AND(Bills!AC76,"AAAAAH6/38I=")</f>
        <v>#VALUE!</v>
      </c>
      <c r="GN47" t="e">
        <f>AND(Bills!AD76,"AAAAAH6/38M=")</f>
        <v>#VALUE!</v>
      </c>
      <c r="GO47" t="e">
        <f>AND(Bills!AE76,"AAAAAH6/38Q=")</f>
        <v>#VALUE!</v>
      </c>
      <c r="GP47">
        <f>IF(Bills!77:77,"AAAAAH6/38U=",0)</f>
        <v>0</v>
      </c>
      <c r="GQ47" t="e">
        <f>AND(Bills!B77,"AAAAAH6/38Y=")</f>
        <v>#VALUE!</v>
      </c>
      <c r="GR47" t="e">
        <f>AND(Bills!#REF!,"AAAAAH6/38c=")</f>
        <v>#REF!</v>
      </c>
      <c r="GS47" t="e">
        <f>AND(Bills!C77,"AAAAAH6/38g=")</f>
        <v>#VALUE!</v>
      </c>
      <c r="GT47" t="e">
        <f>AND(Bills!D77,"AAAAAH6/38k=")</f>
        <v>#VALUE!</v>
      </c>
      <c r="GU47" t="e">
        <f>AND(Bills!E77,"AAAAAH6/38o=")</f>
        <v>#VALUE!</v>
      </c>
      <c r="GV47" t="e">
        <f>AND(Bills!#REF!,"AAAAAH6/38s=")</f>
        <v>#REF!</v>
      </c>
      <c r="GW47" t="e">
        <f>AND(Bills!#REF!,"AAAAAH6/38w=")</f>
        <v>#REF!</v>
      </c>
      <c r="GX47" t="e">
        <f>AND(Bills!#REF!,"AAAAAH6/380=")</f>
        <v>#REF!</v>
      </c>
      <c r="GY47" t="e">
        <f>AND(Bills!F77,"AAAAAH6/384=")</f>
        <v>#VALUE!</v>
      </c>
      <c r="GZ47" t="e">
        <f>AND(Bills!#REF!,"AAAAAH6/388=")</f>
        <v>#REF!</v>
      </c>
      <c r="HA47" t="e">
        <f>AND(Bills!G77,"AAAAAH6/39A=")</f>
        <v>#VALUE!</v>
      </c>
      <c r="HB47" t="e">
        <f>AND(Bills!H77,"AAAAAH6/39E=")</f>
        <v>#VALUE!</v>
      </c>
      <c r="HC47" t="e">
        <f>AND(Bills!I77,"AAAAAH6/39I=")</f>
        <v>#VALUE!</v>
      </c>
      <c r="HD47" t="e">
        <f>AND(Bills!J77,"AAAAAH6/39M=")</f>
        <v>#VALUE!</v>
      </c>
      <c r="HE47" t="e">
        <f>AND(Bills!K77,"AAAAAH6/39Q=")</f>
        <v>#VALUE!</v>
      </c>
      <c r="HF47" t="e">
        <f>AND(Bills!L77,"AAAAAH6/39U=")</f>
        <v>#VALUE!</v>
      </c>
      <c r="HG47" t="e">
        <f>AND(Bills!#REF!,"AAAAAH6/39Y=")</f>
        <v>#REF!</v>
      </c>
      <c r="HH47" t="e">
        <f>AND(Bills!M77,"AAAAAH6/39c=")</f>
        <v>#VALUE!</v>
      </c>
      <c r="HI47" t="e">
        <f>AND(Bills!N77,"AAAAAH6/39g=")</f>
        <v>#VALUE!</v>
      </c>
      <c r="HJ47" t="e">
        <f>AND(Bills!O77,"AAAAAH6/39k=")</f>
        <v>#VALUE!</v>
      </c>
      <c r="HK47" t="e">
        <f>AND(Bills!P77,"AAAAAH6/39o=")</f>
        <v>#VALUE!</v>
      </c>
      <c r="HL47" t="e">
        <f>AND(Bills!Q77,"AAAAAH6/39s=")</f>
        <v>#VALUE!</v>
      </c>
      <c r="HM47" t="e">
        <f>AND(Bills!R77,"AAAAAH6/39w=")</f>
        <v>#VALUE!</v>
      </c>
      <c r="HN47" t="e">
        <f>AND(Bills!S77,"AAAAAH6/390=")</f>
        <v>#VALUE!</v>
      </c>
      <c r="HO47" t="e">
        <f>AND(Bills!T77,"AAAAAH6/394=")</f>
        <v>#VALUE!</v>
      </c>
      <c r="HP47" t="e">
        <f>AND(Bills!#REF!,"AAAAAH6/398=")</f>
        <v>#REF!</v>
      </c>
      <c r="HQ47" t="e">
        <f>AND(Bills!U77,"AAAAAH6/3+A=")</f>
        <v>#VALUE!</v>
      </c>
      <c r="HR47" t="e">
        <f>AND(Bills!V77,"AAAAAH6/3+E=")</f>
        <v>#VALUE!</v>
      </c>
      <c r="HS47" t="e">
        <f>AND(Bills!W77,"AAAAAH6/3+I=")</f>
        <v>#VALUE!</v>
      </c>
      <c r="HT47" t="e">
        <f>AND(Bills!#REF!,"AAAAAH6/3+M=")</f>
        <v>#REF!</v>
      </c>
      <c r="HU47" t="e">
        <f>AND(Bills!#REF!,"AAAAAH6/3+Q=")</f>
        <v>#REF!</v>
      </c>
      <c r="HV47" t="e">
        <f>AND(Bills!Y77,"AAAAAH6/3+U=")</f>
        <v>#VALUE!</v>
      </c>
      <c r="HW47" t="e">
        <f>AND(Bills!Z77,"AAAAAH6/3+Y=")</f>
        <v>#VALUE!</v>
      </c>
      <c r="HX47" t="e">
        <f>AND(Bills!#REF!,"AAAAAH6/3+c=")</f>
        <v>#REF!</v>
      </c>
      <c r="HY47" t="e">
        <f>AND(Bills!#REF!,"AAAAAH6/3+g=")</f>
        <v>#REF!</v>
      </c>
      <c r="HZ47" t="e">
        <f>AND(Bills!#REF!,"AAAAAH6/3+k=")</f>
        <v>#REF!</v>
      </c>
      <c r="IA47" t="e">
        <f>AND(Bills!#REF!,"AAAAAH6/3+o=")</f>
        <v>#REF!</v>
      </c>
      <c r="IB47" t="e">
        <f>AND(Bills!#REF!,"AAAAAH6/3+s=")</f>
        <v>#REF!</v>
      </c>
      <c r="IC47" t="e">
        <f>AND(Bills!#REF!,"AAAAAH6/3+w=")</f>
        <v>#REF!</v>
      </c>
      <c r="ID47" t="e">
        <f>AND(Bills!#REF!,"AAAAAH6/3+0=")</f>
        <v>#REF!</v>
      </c>
      <c r="IE47" t="e">
        <f>AND(Bills!#REF!,"AAAAAH6/3+4=")</f>
        <v>#REF!</v>
      </c>
      <c r="IF47" t="e">
        <f>AND(Bills!#REF!,"AAAAAH6/3+8=")</f>
        <v>#REF!</v>
      </c>
      <c r="IG47" t="e">
        <f>AND(Bills!AA77,"AAAAAH6/3/A=")</f>
        <v>#VALUE!</v>
      </c>
      <c r="IH47" t="e">
        <f>AND(Bills!AB77,"AAAAAH6/3/E=")</f>
        <v>#VALUE!</v>
      </c>
      <c r="II47" t="e">
        <f>AND(Bills!#REF!,"AAAAAH6/3/I=")</f>
        <v>#REF!</v>
      </c>
      <c r="IJ47" t="e">
        <f>AND(Bills!#REF!,"AAAAAH6/3/M=")</f>
        <v>#REF!</v>
      </c>
      <c r="IK47" t="e">
        <f>AND(Bills!#REF!,"AAAAAH6/3/Q=")</f>
        <v>#REF!</v>
      </c>
      <c r="IL47" t="e">
        <f>AND(Bills!AC77,"AAAAAH6/3/U=")</f>
        <v>#VALUE!</v>
      </c>
      <c r="IM47" t="e">
        <f>AND(Bills!AD77,"AAAAAH6/3/Y=")</f>
        <v>#VALUE!</v>
      </c>
      <c r="IN47" t="e">
        <f>AND(Bills!AE77,"AAAAAH6/3/c=")</f>
        <v>#VALUE!</v>
      </c>
      <c r="IO47">
        <f>IF(Bills!78:78,"AAAAAH6/3/g=",0)</f>
        <v>0</v>
      </c>
      <c r="IP47" t="e">
        <f>AND(Bills!B78,"AAAAAH6/3/k=")</f>
        <v>#VALUE!</v>
      </c>
      <c r="IQ47" t="e">
        <f>AND(Bills!#REF!,"AAAAAH6/3/o=")</f>
        <v>#REF!</v>
      </c>
      <c r="IR47" t="e">
        <f>AND(Bills!C78,"AAAAAH6/3/s=")</f>
        <v>#VALUE!</v>
      </c>
      <c r="IS47" t="e">
        <f>AND(Bills!D78,"AAAAAH6/3/w=")</f>
        <v>#VALUE!</v>
      </c>
      <c r="IT47" t="e">
        <f>AND(Bills!E78,"AAAAAH6/3/0=")</f>
        <v>#VALUE!</v>
      </c>
      <c r="IU47" t="e">
        <f>AND(Bills!#REF!,"AAAAAH6/3/4=")</f>
        <v>#REF!</v>
      </c>
      <c r="IV47" t="e">
        <f>AND(Bills!#REF!,"AAAAAH6/3/8=")</f>
        <v>#REF!</v>
      </c>
    </row>
    <row r="48" spans="1:256" x14ac:dyDescent="0.25">
      <c r="A48" t="e">
        <f>AND(Bills!#REF!,"AAAAAHN7/QA=")</f>
        <v>#REF!</v>
      </c>
      <c r="B48" t="e">
        <f>AND(Bills!F78,"AAAAAHN7/QE=")</f>
        <v>#VALUE!</v>
      </c>
      <c r="C48" t="e">
        <f>AND(Bills!#REF!,"AAAAAHN7/QI=")</f>
        <v>#REF!</v>
      </c>
      <c r="D48" t="e">
        <f>AND(Bills!G78,"AAAAAHN7/QM=")</f>
        <v>#VALUE!</v>
      </c>
      <c r="E48" t="e">
        <f>AND(Bills!H78,"AAAAAHN7/QQ=")</f>
        <v>#VALUE!</v>
      </c>
      <c r="F48" t="e">
        <f>AND(Bills!I78,"AAAAAHN7/QU=")</f>
        <v>#VALUE!</v>
      </c>
      <c r="G48" t="e">
        <f>AND(Bills!J78,"AAAAAHN7/QY=")</f>
        <v>#VALUE!</v>
      </c>
      <c r="H48" t="e">
        <f>AND(Bills!K78,"AAAAAHN7/Qc=")</f>
        <v>#VALUE!</v>
      </c>
      <c r="I48" t="e">
        <f>AND(Bills!L78,"AAAAAHN7/Qg=")</f>
        <v>#VALUE!</v>
      </c>
      <c r="J48" t="e">
        <f>AND(Bills!#REF!,"AAAAAHN7/Qk=")</f>
        <v>#REF!</v>
      </c>
      <c r="K48" t="e">
        <f>AND(Bills!M78,"AAAAAHN7/Qo=")</f>
        <v>#VALUE!</v>
      </c>
      <c r="L48" t="e">
        <f>AND(Bills!N78,"AAAAAHN7/Qs=")</f>
        <v>#VALUE!</v>
      </c>
      <c r="M48" t="e">
        <f>AND(Bills!O78,"AAAAAHN7/Qw=")</f>
        <v>#VALUE!</v>
      </c>
      <c r="N48" t="e">
        <f>AND(Bills!P78,"AAAAAHN7/Q0=")</f>
        <v>#VALUE!</v>
      </c>
      <c r="O48" t="e">
        <f>AND(Bills!Q78,"AAAAAHN7/Q4=")</f>
        <v>#VALUE!</v>
      </c>
      <c r="P48" t="e">
        <f>AND(Bills!R78,"AAAAAHN7/Q8=")</f>
        <v>#VALUE!</v>
      </c>
      <c r="Q48" t="e">
        <f>AND(Bills!S78,"AAAAAHN7/RA=")</f>
        <v>#VALUE!</v>
      </c>
      <c r="R48" t="e">
        <f>AND(Bills!T78,"AAAAAHN7/RE=")</f>
        <v>#VALUE!</v>
      </c>
      <c r="S48" t="e">
        <f>AND(Bills!#REF!,"AAAAAHN7/RI=")</f>
        <v>#REF!</v>
      </c>
      <c r="T48" t="e">
        <f>AND(Bills!U78,"AAAAAHN7/RM=")</f>
        <v>#VALUE!</v>
      </c>
      <c r="U48" t="e">
        <f>AND(Bills!V78,"AAAAAHN7/RQ=")</f>
        <v>#VALUE!</v>
      </c>
      <c r="V48" t="e">
        <f>AND(Bills!W78,"AAAAAHN7/RU=")</f>
        <v>#VALUE!</v>
      </c>
      <c r="W48" t="e">
        <f>AND(Bills!#REF!,"AAAAAHN7/RY=")</f>
        <v>#REF!</v>
      </c>
      <c r="X48" t="e">
        <f>AND(Bills!#REF!,"AAAAAHN7/Rc=")</f>
        <v>#REF!</v>
      </c>
      <c r="Y48" t="e">
        <f>AND(Bills!Y78,"AAAAAHN7/Rg=")</f>
        <v>#VALUE!</v>
      </c>
      <c r="Z48" t="e">
        <f>AND(Bills!Z78,"AAAAAHN7/Rk=")</f>
        <v>#VALUE!</v>
      </c>
      <c r="AA48" t="e">
        <f>AND(Bills!#REF!,"AAAAAHN7/Ro=")</f>
        <v>#REF!</v>
      </c>
      <c r="AB48" t="e">
        <f>AND(Bills!#REF!,"AAAAAHN7/Rs=")</f>
        <v>#REF!</v>
      </c>
      <c r="AC48" t="e">
        <f>AND(Bills!#REF!,"AAAAAHN7/Rw=")</f>
        <v>#REF!</v>
      </c>
      <c r="AD48" t="e">
        <f>AND(Bills!#REF!,"AAAAAHN7/R0=")</f>
        <v>#REF!</v>
      </c>
      <c r="AE48" t="e">
        <f>AND(Bills!#REF!,"AAAAAHN7/R4=")</f>
        <v>#REF!</v>
      </c>
      <c r="AF48" t="e">
        <f>AND(Bills!#REF!,"AAAAAHN7/R8=")</f>
        <v>#REF!</v>
      </c>
      <c r="AG48" t="e">
        <f>AND(Bills!#REF!,"AAAAAHN7/SA=")</f>
        <v>#REF!</v>
      </c>
      <c r="AH48" t="e">
        <f>AND(Bills!#REF!,"AAAAAHN7/SE=")</f>
        <v>#REF!</v>
      </c>
      <c r="AI48" t="e">
        <f>AND(Bills!#REF!,"AAAAAHN7/SI=")</f>
        <v>#REF!</v>
      </c>
      <c r="AJ48" t="e">
        <f>AND(Bills!AA78,"AAAAAHN7/SM=")</f>
        <v>#VALUE!</v>
      </c>
      <c r="AK48" t="e">
        <f>AND(Bills!AB78,"AAAAAHN7/SQ=")</f>
        <v>#VALUE!</v>
      </c>
      <c r="AL48" t="e">
        <f>AND(Bills!#REF!,"AAAAAHN7/SU=")</f>
        <v>#REF!</v>
      </c>
      <c r="AM48" t="e">
        <f>AND(Bills!#REF!,"AAAAAHN7/SY=")</f>
        <v>#REF!</v>
      </c>
      <c r="AN48" t="e">
        <f>AND(Bills!#REF!,"AAAAAHN7/Sc=")</f>
        <v>#REF!</v>
      </c>
      <c r="AO48" t="e">
        <f>AND(Bills!AC78,"AAAAAHN7/Sg=")</f>
        <v>#VALUE!</v>
      </c>
      <c r="AP48" t="e">
        <f>AND(Bills!AD78,"AAAAAHN7/Sk=")</f>
        <v>#VALUE!</v>
      </c>
      <c r="AQ48" t="e">
        <f>AND(Bills!AE78,"AAAAAHN7/So=")</f>
        <v>#VALUE!</v>
      </c>
      <c r="AR48">
        <f>IF(Bills!79:79,"AAAAAHN7/Ss=",0)</f>
        <v>0</v>
      </c>
      <c r="AS48" t="e">
        <f>AND(Bills!B79,"AAAAAHN7/Sw=")</f>
        <v>#VALUE!</v>
      </c>
      <c r="AT48" t="e">
        <f>AND(Bills!#REF!,"AAAAAHN7/S0=")</f>
        <v>#REF!</v>
      </c>
      <c r="AU48" t="e">
        <f>AND(Bills!C79,"AAAAAHN7/S4=")</f>
        <v>#VALUE!</v>
      </c>
      <c r="AV48" t="e">
        <f>AND(Bills!D79,"AAAAAHN7/S8=")</f>
        <v>#VALUE!</v>
      </c>
      <c r="AW48" t="e">
        <f>AND(Bills!E79,"AAAAAHN7/TA=")</f>
        <v>#VALUE!</v>
      </c>
      <c r="AX48" t="e">
        <f>AND(Bills!#REF!,"AAAAAHN7/TE=")</f>
        <v>#REF!</v>
      </c>
      <c r="AY48" t="e">
        <f>AND(Bills!#REF!,"AAAAAHN7/TI=")</f>
        <v>#REF!</v>
      </c>
      <c r="AZ48" t="e">
        <f>AND(Bills!#REF!,"AAAAAHN7/TM=")</f>
        <v>#REF!</v>
      </c>
      <c r="BA48" t="e">
        <f>AND(Bills!F79,"AAAAAHN7/TQ=")</f>
        <v>#VALUE!</v>
      </c>
      <c r="BB48" t="e">
        <f>AND(Bills!#REF!,"AAAAAHN7/TU=")</f>
        <v>#REF!</v>
      </c>
      <c r="BC48" t="e">
        <f>AND(Bills!G79,"AAAAAHN7/TY=")</f>
        <v>#VALUE!</v>
      </c>
      <c r="BD48" t="e">
        <f>AND(Bills!H79,"AAAAAHN7/Tc=")</f>
        <v>#VALUE!</v>
      </c>
      <c r="BE48" t="e">
        <f>AND(Bills!I79,"AAAAAHN7/Tg=")</f>
        <v>#VALUE!</v>
      </c>
      <c r="BF48" t="e">
        <f>AND(Bills!J79,"AAAAAHN7/Tk=")</f>
        <v>#VALUE!</v>
      </c>
      <c r="BG48" t="e">
        <f>AND(Bills!K79,"AAAAAHN7/To=")</f>
        <v>#VALUE!</v>
      </c>
      <c r="BH48" t="e">
        <f>AND(Bills!L79,"AAAAAHN7/Ts=")</f>
        <v>#VALUE!</v>
      </c>
      <c r="BI48" t="e">
        <f>AND(Bills!#REF!,"AAAAAHN7/Tw=")</f>
        <v>#REF!</v>
      </c>
      <c r="BJ48" t="e">
        <f>AND(Bills!M79,"AAAAAHN7/T0=")</f>
        <v>#VALUE!</v>
      </c>
      <c r="BK48" t="e">
        <f>AND(Bills!N79,"AAAAAHN7/T4=")</f>
        <v>#VALUE!</v>
      </c>
      <c r="BL48" t="e">
        <f>AND(Bills!O79,"AAAAAHN7/T8=")</f>
        <v>#VALUE!</v>
      </c>
      <c r="BM48" t="e">
        <f>AND(Bills!P79,"AAAAAHN7/UA=")</f>
        <v>#VALUE!</v>
      </c>
      <c r="BN48" t="e">
        <f>AND(Bills!Q79,"AAAAAHN7/UE=")</f>
        <v>#VALUE!</v>
      </c>
      <c r="BO48" t="e">
        <f>AND(Bills!R79,"AAAAAHN7/UI=")</f>
        <v>#VALUE!</v>
      </c>
      <c r="BP48" t="e">
        <f>AND(Bills!S79,"AAAAAHN7/UM=")</f>
        <v>#VALUE!</v>
      </c>
      <c r="BQ48" t="e">
        <f>AND(Bills!T79,"AAAAAHN7/UQ=")</f>
        <v>#VALUE!</v>
      </c>
      <c r="BR48" t="e">
        <f>AND(Bills!#REF!,"AAAAAHN7/UU=")</f>
        <v>#REF!</v>
      </c>
      <c r="BS48" t="e">
        <f>AND(Bills!U79,"AAAAAHN7/UY=")</f>
        <v>#VALUE!</v>
      </c>
      <c r="BT48" t="e">
        <f>AND(Bills!V79,"AAAAAHN7/Uc=")</f>
        <v>#VALUE!</v>
      </c>
      <c r="BU48" t="e">
        <f>AND(Bills!W79,"AAAAAHN7/Ug=")</f>
        <v>#VALUE!</v>
      </c>
      <c r="BV48" t="e">
        <f>AND(Bills!#REF!,"AAAAAHN7/Uk=")</f>
        <v>#REF!</v>
      </c>
      <c r="BW48" t="e">
        <f>AND(Bills!#REF!,"AAAAAHN7/Uo=")</f>
        <v>#REF!</v>
      </c>
      <c r="BX48" t="e">
        <f>AND(Bills!Y79,"AAAAAHN7/Us=")</f>
        <v>#VALUE!</v>
      </c>
      <c r="BY48" t="e">
        <f>AND(Bills!Z79,"AAAAAHN7/Uw=")</f>
        <v>#VALUE!</v>
      </c>
      <c r="BZ48" t="e">
        <f>AND(Bills!#REF!,"AAAAAHN7/U0=")</f>
        <v>#REF!</v>
      </c>
      <c r="CA48" t="e">
        <f>AND(Bills!#REF!,"AAAAAHN7/U4=")</f>
        <v>#REF!</v>
      </c>
      <c r="CB48" t="e">
        <f>AND(Bills!#REF!,"AAAAAHN7/U8=")</f>
        <v>#REF!</v>
      </c>
      <c r="CC48" t="e">
        <f>AND(Bills!#REF!,"AAAAAHN7/VA=")</f>
        <v>#REF!</v>
      </c>
      <c r="CD48" t="e">
        <f>AND(Bills!#REF!,"AAAAAHN7/VE=")</f>
        <v>#REF!</v>
      </c>
      <c r="CE48" t="e">
        <f>AND(Bills!#REF!,"AAAAAHN7/VI=")</f>
        <v>#REF!</v>
      </c>
      <c r="CF48" t="e">
        <f>AND(Bills!#REF!,"AAAAAHN7/VM=")</f>
        <v>#REF!</v>
      </c>
      <c r="CG48" t="e">
        <f>AND(Bills!#REF!,"AAAAAHN7/VQ=")</f>
        <v>#REF!</v>
      </c>
      <c r="CH48" t="e">
        <f>AND(Bills!#REF!,"AAAAAHN7/VU=")</f>
        <v>#REF!</v>
      </c>
      <c r="CI48" t="e">
        <f>AND(Bills!AA79,"AAAAAHN7/VY=")</f>
        <v>#VALUE!</v>
      </c>
      <c r="CJ48" t="e">
        <f>AND(Bills!AB79,"AAAAAHN7/Vc=")</f>
        <v>#VALUE!</v>
      </c>
      <c r="CK48" t="e">
        <f>AND(Bills!#REF!,"AAAAAHN7/Vg=")</f>
        <v>#REF!</v>
      </c>
      <c r="CL48" t="e">
        <f>AND(Bills!#REF!,"AAAAAHN7/Vk=")</f>
        <v>#REF!</v>
      </c>
      <c r="CM48" t="e">
        <f>AND(Bills!#REF!,"AAAAAHN7/Vo=")</f>
        <v>#REF!</v>
      </c>
      <c r="CN48" t="e">
        <f>AND(Bills!AC79,"AAAAAHN7/Vs=")</f>
        <v>#VALUE!</v>
      </c>
      <c r="CO48" t="e">
        <f>AND(Bills!AD79,"AAAAAHN7/Vw=")</f>
        <v>#VALUE!</v>
      </c>
      <c r="CP48" t="e">
        <f>AND(Bills!AE79,"AAAAAHN7/V0=")</f>
        <v>#VALUE!</v>
      </c>
      <c r="CQ48">
        <f>IF(Bills!80:80,"AAAAAHN7/V4=",0)</f>
        <v>0</v>
      </c>
      <c r="CR48" t="e">
        <f>AND(Bills!B80,"AAAAAHN7/V8=")</f>
        <v>#VALUE!</v>
      </c>
      <c r="CS48" t="e">
        <f>AND(Bills!#REF!,"AAAAAHN7/WA=")</f>
        <v>#REF!</v>
      </c>
      <c r="CT48" t="e">
        <f>AND(Bills!C80,"AAAAAHN7/WE=")</f>
        <v>#VALUE!</v>
      </c>
      <c r="CU48" t="e">
        <f>AND(Bills!D80,"AAAAAHN7/WI=")</f>
        <v>#VALUE!</v>
      </c>
      <c r="CV48" t="e">
        <f>AND(Bills!E80,"AAAAAHN7/WM=")</f>
        <v>#VALUE!</v>
      </c>
      <c r="CW48" t="e">
        <f>AND(Bills!#REF!,"AAAAAHN7/WQ=")</f>
        <v>#REF!</v>
      </c>
      <c r="CX48" t="e">
        <f>AND(Bills!#REF!,"AAAAAHN7/WU=")</f>
        <v>#REF!</v>
      </c>
      <c r="CY48" t="e">
        <f>AND(Bills!#REF!,"AAAAAHN7/WY=")</f>
        <v>#REF!</v>
      </c>
      <c r="CZ48" t="e">
        <f>AND(Bills!F80,"AAAAAHN7/Wc=")</f>
        <v>#VALUE!</v>
      </c>
      <c r="DA48" t="e">
        <f>AND(Bills!#REF!,"AAAAAHN7/Wg=")</f>
        <v>#REF!</v>
      </c>
      <c r="DB48" t="e">
        <f>AND(Bills!G80,"AAAAAHN7/Wk=")</f>
        <v>#VALUE!</v>
      </c>
      <c r="DC48" t="e">
        <f>AND(Bills!H80,"AAAAAHN7/Wo=")</f>
        <v>#VALUE!</v>
      </c>
      <c r="DD48" t="e">
        <f>AND(Bills!I80,"AAAAAHN7/Ws=")</f>
        <v>#VALUE!</v>
      </c>
      <c r="DE48" t="e">
        <f>AND(Bills!J80,"AAAAAHN7/Ww=")</f>
        <v>#VALUE!</v>
      </c>
      <c r="DF48" t="e">
        <f>AND(Bills!K80,"AAAAAHN7/W0=")</f>
        <v>#VALUE!</v>
      </c>
      <c r="DG48" t="e">
        <f>AND(Bills!L80,"AAAAAHN7/W4=")</f>
        <v>#VALUE!</v>
      </c>
      <c r="DH48" t="e">
        <f>AND(Bills!#REF!,"AAAAAHN7/W8=")</f>
        <v>#REF!</v>
      </c>
      <c r="DI48" t="e">
        <f>AND(Bills!M80,"AAAAAHN7/XA=")</f>
        <v>#VALUE!</v>
      </c>
      <c r="DJ48" t="e">
        <f>AND(Bills!N80,"AAAAAHN7/XE=")</f>
        <v>#VALUE!</v>
      </c>
      <c r="DK48" t="e">
        <f>AND(Bills!O80,"AAAAAHN7/XI=")</f>
        <v>#VALUE!</v>
      </c>
      <c r="DL48" t="e">
        <f>AND(Bills!P80,"AAAAAHN7/XM=")</f>
        <v>#VALUE!</v>
      </c>
      <c r="DM48" t="e">
        <f>AND(Bills!Q80,"AAAAAHN7/XQ=")</f>
        <v>#VALUE!</v>
      </c>
      <c r="DN48" t="e">
        <f>AND(Bills!R80,"AAAAAHN7/XU=")</f>
        <v>#VALUE!</v>
      </c>
      <c r="DO48" t="e">
        <f>AND(Bills!S80,"AAAAAHN7/XY=")</f>
        <v>#VALUE!</v>
      </c>
      <c r="DP48" t="e">
        <f>AND(Bills!T80,"AAAAAHN7/Xc=")</f>
        <v>#VALUE!</v>
      </c>
      <c r="DQ48" t="e">
        <f>AND(Bills!#REF!,"AAAAAHN7/Xg=")</f>
        <v>#REF!</v>
      </c>
      <c r="DR48" t="e">
        <f>AND(Bills!U80,"AAAAAHN7/Xk=")</f>
        <v>#VALUE!</v>
      </c>
      <c r="DS48" t="e">
        <f>AND(Bills!V80,"AAAAAHN7/Xo=")</f>
        <v>#VALUE!</v>
      </c>
      <c r="DT48" t="e">
        <f>AND(Bills!W80,"AAAAAHN7/Xs=")</f>
        <v>#VALUE!</v>
      </c>
      <c r="DU48" t="e">
        <f>AND(Bills!#REF!,"AAAAAHN7/Xw=")</f>
        <v>#REF!</v>
      </c>
      <c r="DV48" t="e">
        <f>AND(Bills!#REF!,"AAAAAHN7/X0=")</f>
        <v>#REF!</v>
      </c>
      <c r="DW48" t="e">
        <f>AND(Bills!Y80,"AAAAAHN7/X4=")</f>
        <v>#VALUE!</v>
      </c>
      <c r="DX48" t="e">
        <f>AND(Bills!Z80,"AAAAAHN7/X8=")</f>
        <v>#VALUE!</v>
      </c>
      <c r="DY48" t="e">
        <f>AND(Bills!#REF!,"AAAAAHN7/YA=")</f>
        <v>#REF!</v>
      </c>
      <c r="DZ48" t="e">
        <f>AND(Bills!#REF!,"AAAAAHN7/YE=")</f>
        <v>#REF!</v>
      </c>
      <c r="EA48" t="e">
        <f>AND(Bills!#REF!,"AAAAAHN7/YI=")</f>
        <v>#REF!</v>
      </c>
      <c r="EB48" t="e">
        <f>AND(Bills!#REF!,"AAAAAHN7/YM=")</f>
        <v>#REF!</v>
      </c>
      <c r="EC48" t="e">
        <f>AND(Bills!#REF!,"AAAAAHN7/YQ=")</f>
        <v>#REF!</v>
      </c>
      <c r="ED48" t="e">
        <f>AND(Bills!#REF!,"AAAAAHN7/YU=")</f>
        <v>#REF!</v>
      </c>
      <c r="EE48" t="e">
        <f>AND(Bills!#REF!,"AAAAAHN7/YY=")</f>
        <v>#REF!</v>
      </c>
      <c r="EF48" t="e">
        <f>AND(Bills!#REF!,"AAAAAHN7/Yc=")</f>
        <v>#REF!</v>
      </c>
      <c r="EG48" t="e">
        <f>AND(Bills!#REF!,"AAAAAHN7/Yg=")</f>
        <v>#REF!</v>
      </c>
      <c r="EH48" t="e">
        <f>AND(Bills!AA80,"AAAAAHN7/Yk=")</f>
        <v>#VALUE!</v>
      </c>
      <c r="EI48" t="e">
        <f>AND(Bills!AB80,"AAAAAHN7/Yo=")</f>
        <v>#VALUE!</v>
      </c>
      <c r="EJ48" t="e">
        <f>AND(Bills!#REF!,"AAAAAHN7/Ys=")</f>
        <v>#REF!</v>
      </c>
      <c r="EK48" t="e">
        <f>AND(Bills!#REF!,"AAAAAHN7/Yw=")</f>
        <v>#REF!</v>
      </c>
      <c r="EL48" t="e">
        <f>AND(Bills!#REF!,"AAAAAHN7/Y0=")</f>
        <v>#REF!</v>
      </c>
      <c r="EM48" t="e">
        <f>AND(Bills!AC80,"AAAAAHN7/Y4=")</f>
        <v>#VALUE!</v>
      </c>
      <c r="EN48" t="e">
        <f>AND(Bills!AD80,"AAAAAHN7/Y8=")</f>
        <v>#VALUE!</v>
      </c>
      <c r="EO48" t="e">
        <f>AND(Bills!AE80,"AAAAAHN7/ZA=")</f>
        <v>#VALUE!</v>
      </c>
      <c r="EP48">
        <f>IF(Bills!81:81,"AAAAAHN7/ZE=",0)</f>
        <v>0</v>
      </c>
      <c r="EQ48" t="e">
        <f>AND(Bills!B81,"AAAAAHN7/ZI=")</f>
        <v>#VALUE!</v>
      </c>
      <c r="ER48" t="e">
        <f>AND(Bills!#REF!,"AAAAAHN7/ZM=")</f>
        <v>#REF!</v>
      </c>
      <c r="ES48" t="e">
        <f>AND(Bills!C81,"AAAAAHN7/ZQ=")</f>
        <v>#VALUE!</v>
      </c>
      <c r="ET48" t="e">
        <f>AND(Bills!D81,"AAAAAHN7/ZU=")</f>
        <v>#VALUE!</v>
      </c>
      <c r="EU48" t="e">
        <f>AND(Bills!E81,"AAAAAHN7/ZY=")</f>
        <v>#VALUE!</v>
      </c>
      <c r="EV48" t="e">
        <f>AND(Bills!#REF!,"AAAAAHN7/Zc=")</f>
        <v>#REF!</v>
      </c>
      <c r="EW48" t="e">
        <f>AND(Bills!#REF!,"AAAAAHN7/Zg=")</f>
        <v>#REF!</v>
      </c>
      <c r="EX48" t="e">
        <f>AND(Bills!#REF!,"AAAAAHN7/Zk=")</f>
        <v>#REF!</v>
      </c>
      <c r="EY48" t="e">
        <f>AND(Bills!F81,"AAAAAHN7/Zo=")</f>
        <v>#VALUE!</v>
      </c>
      <c r="EZ48" t="e">
        <f>AND(Bills!#REF!,"AAAAAHN7/Zs=")</f>
        <v>#REF!</v>
      </c>
      <c r="FA48" t="e">
        <f>AND(Bills!G81,"AAAAAHN7/Zw=")</f>
        <v>#VALUE!</v>
      </c>
      <c r="FB48" t="e">
        <f>AND(Bills!H81,"AAAAAHN7/Z0=")</f>
        <v>#VALUE!</v>
      </c>
      <c r="FC48" t="e">
        <f>AND(Bills!I81,"AAAAAHN7/Z4=")</f>
        <v>#VALUE!</v>
      </c>
      <c r="FD48" t="e">
        <f>AND(Bills!J81,"AAAAAHN7/Z8=")</f>
        <v>#VALUE!</v>
      </c>
      <c r="FE48" t="e">
        <f>AND(Bills!K81,"AAAAAHN7/aA=")</f>
        <v>#VALUE!</v>
      </c>
      <c r="FF48" t="e">
        <f>AND(Bills!L81,"AAAAAHN7/aE=")</f>
        <v>#VALUE!</v>
      </c>
      <c r="FG48" t="e">
        <f>AND(Bills!#REF!,"AAAAAHN7/aI=")</f>
        <v>#REF!</v>
      </c>
      <c r="FH48" t="e">
        <f>AND(Bills!M81,"AAAAAHN7/aM=")</f>
        <v>#VALUE!</v>
      </c>
      <c r="FI48" t="e">
        <f>AND(Bills!N81,"AAAAAHN7/aQ=")</f>
        <v>#VALUE!</v>
      </c>
      <c r="FJ48" t="e">
        <f>AND(Bills!O81,"AAAAAHN7/aU=")</f>
        <v>#VALUE!</v>
      </c>
      <c r="FK48" t="e">
        <f>AND(Bills!P81,"AAAAAHN7/aY=")</f>
        <v>#VALUE!</v>
      </c>
      <c r="FL48" t="e">
        <f>AND(Bills!Q81,"AAAAAHN7/ac=")</f>
        <v>#VALUE!</v>
      </c>
      <c r="FM48" t="e">
        <f>AND(Bills!R81,"AAAAAHN7/ag=")</f>
        <v>#VALUE!</v>
      </c>
      <c r="FN48" t="e">
        <f>AND(Bills!S81,"AAAAAHN7/ak=")</f>
        <v>#VALUE!</v>
      </c>
      <c r="FO48" t="e">
        <f>AND(Bills!T81,"AAAAAHN7/ao=")</f>
        <v>#VALUE!</v>
      </c>
      <c r="FP48" t="e">
        <f>AND(Bills!#REF!,"AAAAAHN7/as=")</f>
        <v>#REF!</v>
      </c>
      <c r="FQ48" t="e">
        <f>AND(Bills!U81,"AAAAAHN7/aw=")</f>
        <v>#VALUE!</v>
      </c>
      <c r="FR48" t="e">
        <f>AND(Bills!V81,"AAAAAHN7/a0=")</f>
        <v>#VALUE!</v>
      </c>
      <c r="FS48" t="e">
        <f>AND(Bills!W81,"AAAAAHN7/a4=")</f>
        <v>#VALUE!</v>
      </c>
      <c r="FT48" t="e">
        <f>AND(Bills!#REF!,"AAAAAHN7/a8=")</f>
        <v>#REF!</v>
      </c>
      <c r="FU48" t="e">
        <f>AND(Bills!#REF!,"AAAAAHN7/bA=")</f>
        <v>#REF!</v>
      </c>
      <c r="FV48" t="e">
        <f>AND(Bills!Y81,"AAAAAHN7/bE=")</f>
        <v>#VALUE!</v>
      </c>
      <c r="FW48" t="e">
        <f>AND(Bills!Z81,"AAAAAHN7/bI=")</f>
        <v>#VALUE!</v>
      </c>
      <c r="FX48" t="e">
        <f>AND(Bills!#REF!,"AAAAAHN7/bM=")</f>
        <v>#REF!</v>
      </c>
      <c r="FY48" t="e">
        <f>AND(Bills!#REF!,"AAAAAHN7/bQ=")</f>
        <v>#REF!</v>
      </c>
      <c r="FZ48" t="e">
        <f>AND(Bills!#REF!,"AAAAAHN7/bU=")</f>
        <v>#REF!</v>
      </c>
      <c r="GA48" t="e">
        <f>AND(Bills!#REF!,"AAAAAHN7/bY=")</f>
        <v>#REF!</v>
      </c>
      <c r="GB48" t="e">
        <f>AND(Bills!#REF!,"AAAAAHN7/bc=")</f>
        <v>#REF!</v>
      </c>
      <c r="GC48" t="e">
        <f>AND(Bills!#REF!,"AAAAAHN7/bg=")</f>
        <v>#REF!</v>
      </c>
      <c r="GD48" t="e">
        <f>AND(Bills!#REF!,"AAAAAHN7/bk=")</f>
        <v>#REF!</v>
      </c>
      <c r="GE48" t="e">
        <f>AND(Bills!#REF!,"AAAAAHN7/bo=")</f>
        <v>#REF!</v>
      </c>
      <c r="GF48" t="e">
        <f>AND(Bills!#REF!,"AAAAAHN7/bs=")</f>
        <v>#REF!</v>
      </c>
      <c r="GG48" t="e">
        <f>AND(Bills!AA81,"AAAAAHN7/bw=")</f>
        <v>#VALUE!</v>
      </c>
      <c r="GH48" t="e">
        <f>AND(Bills!AB81,"AAAAAHN7/b0=")</f>
        <v>#VALUE!</v>
      </c>
      <c r="GI48" t="e">
        <f>AND(Bills!#REF!,"AAAAAHN7/b4=")</f>
        <v>#REF!</v>
      </c>
      <c r="GJ48" t="e">
        <f>AND(Bills!#REF!,"AAAAAHN7/b8=")</f>
        <v>#REF!</v>
      </c>
      <c r="GK48" t="e">
        <f>AND(Bills!#REF!,"AAAAAHN7/cA=")</f>
        <v>#REF!</v>
      </c>
      <c r="GL48" t="e">
        <f>AND(Bills!AC81,"AAAAAHN7/cE=")</f>
        <v>#VALUE!</v>
      </c>
      <c r="GM48" t="e">
        <f>AND(Bills!AD81,"AAAAAHN7/cI=")</f>
        <v>#VALUE!</v>
      </c>
      <c r="GN48" t="e">
        <f>AND(Bills!AE81,"AAAAAHN7/cM=")</f>
        <v>#VALUE!</v>
      </c>
      <c r="GO48">
        <f>IF(Bills!82:82,"AAAAAHN7/cQ=",0)</f>
        <v>0</v>
      </c>
      <c r="GP48" t="e">
        <f>AND(Bills!B82,"AAAAAHN7/cU=")</f>
        <v>#VALUE!</v>
      </c>
      <c r="GQ48" t="e">
        <f>AND(Bills!#REF!,"AAAAAHN7/cY=")</f>
        <v>#REF!</v>
      </c>
      <c r="GR48" t="e">
        <f>AND(Bills!C82,"AAAAAHN7/cc=")</f>
        <v>#VALUE!</v>
      </c>
      <c r="GS48" t="e">
        <f>AND(Bills!D82,"AAAAAHN7/cg=")</f>
        <v>#VALUE!</v>
      </c>
      <c r="GT48" t="e">
        <f>AND(Bills!E82,"AAAAAHN7/ck=")</f>
        <v>#VALUE!</v>
      </c>
      <c r="GU48" t="e">
        <f>AND(Bills!#REF!,"AAAAAHN7/co=")</f>
        <v>#REF!</v>
      </c>
      <c r="GV48" t="e">
        <f>AND(Bills!#REF!,"AAAAAHN7/cs=")</f>
        <v>#REF!</v>
      </c>
      <c r="GW48" t="e">
        <f>AND(Bills!#REF!,"AAAAAHN7/cw=")</f>
        <v>#REF!</v>
      </c>
      <c r="GX48" t="e">
        <f>AND(Bills!F82,"AAAAAHN7/c0=")</f>
        <v>#VALUE!</v>
      </c>
      <c r="GY48" t="e">
        <f>AND(Bills!#REF!,"AAAAAHN7/c4=")</f>
        <v>#REF!</v>
      </c>
      <c r="GZ48" t="e">
        <f>AND(Bills!G82,"AAAAAHN7/c8=")</f>
        <v>#VALUE!</v>
      </c>
      <c r="HA48" t="e">
        <f>AND(Bills!H82,"AAAAAHN7/dA=")</f>
        <v>#VALUE!</v>
      </c>
      <c r="HB48" t="e">
        <f>AND(Bills!I82,"AAAAAHN7/dE=")</f>
        <v>#VALUE!</v>
      </c>
      <c r="HC48" t="e">
        <f>AND(Bills!J82,"AAAAAHN7/dI=")</f>
        <v>#VALUE!</v>
      </c>
      <c r="HD48" t="e">
        <f>AND(Bills!K82,"AAAAAHN7/dM=")</f>
        <v>#VALUE!</v>
      </c>
      <c r="HE48" t="e">
        <f>AND(Bills!L82,"AAAAAHN7/dQ=")</f>
        <v>#VALUE!</v>
      </c>
      <c r="HF48" t="e">
        <f>AND(Bills!#REF!,"AAAAAHN7/dU=")</f>
        <v>#REF!</v>
      </c>
      <c r="HG48" t="e">
        <f>AND(Bills!M82,"AAAAAHN7/dY=")</f>
        <v>#VALUE!</v>
      </c>
      <c r="HH48" t="e">
        <f>AND(Bills!N82,"AAAAAHN7/dc=")</f>
        <v>#VALUE!</v>
      </c>
      <c r="HI48" t="e">
        <f>AND(Bills!O82,"AAAAAHN7/dg=")</f>
        <v>#VALUE!</v>
      </c>
      <c r="HJ48" t="e">
        <f>AND(Bills!P82,"AAAAAHN7/dk=")</f>
        <v>#VALUE!</v>
      </c>
      <c r="HK48" t="e">
        <f>AND(Bills!Q82,"AAAAAHN7/do=")</f>
        <v>#VALUE!</v>
      </c>
      <c r="HL48" t="e">
        <f>AND(Bills!R82,"AAAAAHN7/ds=")</f>
        <v>#VALUE!</v>
      </c>
      <c r="HM48" t="e">
        <f>AND(Bills!S82,"AAAAAHN7/dw=")</f>
        <v>#VALUE!</v>
      </c>
      <c r="HN48" t="e">
        <f>AND(Bills!T82,"AAAAAHN7/d0=")</f>
        <v>#VALUE!</v>
      </c>
      <c r="HO48" t="e">
        <f>AND(Bills!#REF!,"AAAAAHN7/d4=")</f>
        <v>#REF!</v>
      </c>
      <c r="HP48" t="e">
        <f>AND(Bills!U82,"AAAAAHN7/d8=")</f>
        <v>#VALUE!</v>
      </c>
      <c r="HQ48" t="e">
        <f>AND(Bills!V82,"AAAAAHN7/eA=")</f>
        <v>#VALUE!</v>
      </c>
      <c r="HR48" t="e">
        <f>AND(Bills!W82,"AAAAAHN7/eE=")</f>
        <v>#VALUE!</v>
      </c>
      <c r="HS48" t="e">
        <f>AND(Bills!#REF!,"AAAAAHN7/eI=")</f>
        <v>#REF!</v>
      </c>
      <c r="HT48" t="e">
        <f>AND(Bills!#REF!,"AAAAAHN7/eM=")</f>
        <v>#REF!</v>
      </c>
      <c r="HU48" t="e">
        <f>AND(Bills!Y82,"AAAAAHN7/eQ=")</f>
        <v>#VALUE!</v>
      </c>
      <c r="HV48" t="e">
        <f>AND(Bills!Z82,"AAAAAHN7/eU=")</f>
        <v>#VALUE!</v>
      </c>
      <c r="HW48" t="e">
        <f>AND(Bills!#REF!,"AAAAAHN7/eY=")</f>
        <v>#REF!</v>
      </c>
      <c r="HX48" t="e">
        <f>AND(Bills!#REF!,"AAAAAHN7/ec=")</f>
        <v>#REF!</v>
      </c>
      <c r="HY48" t="e">
        <f>AND(Bills!#REF!,"AAAAAHN7/eg=")</f>
        <v>#REF!</v>
      </c>
      <c r="HZ48" t="e">
        <f>AND(Bills!#REF!,"AAAAAHN7/ek=")</f>
        <v>#REF!</v>
      </c>
      <c r="IA48" t="e">
        <f>AND(Bills!#REF!,"AAAAAHN7/eo=")</f>
        <v>#REF!</v>
      </c>
      <c r="IB48" t="e">
        <f>AND(Bills!#REF!,"AAAAAHN7/es=")</f>
        <v>#REF!</v>
      </c>
      <c r="IC48" t="e">
        <f>AND(Bills!#REF!,"AAAAAHN7/ew=")</f>
        <v>#REF!</v>
      </c>
      <c r="ID48" t="e">
        <f>AND(Bills!#REF!,"AAAAAHN7/e0=")</f>
        <v>#REF!</v>
      </c>
      <c r="IE48" t="e">
        <f>AND(Bills!#REF!,"AAAAAHN7/e4=")</f>
        <v>#REF!</v>
      </c>
      <c r="IF48" t="e">
        <f>AND(Bills!AA82,"AAAAAHN7/e8=")</f>
        <v>#VALUE!</v>
      </c>
      <c r="IG48" t="e">
        <f>AND(Bills!AB82,"AAAAAHN7/fA=")</f>
        <v>#VALUE!</v>
      </c>
      <c r="IH48" t="e">
        <f>AND(Bills!#REF!,"AAAAAHN7/fE=")</f>
        <v>#REF!</v>
      </c>
      <c r="II48" t="e">
        <f>AND(Bills!#REF!,"AAAAAHN7/fI=")</f>
        <v>#REF!</v>
      </c>
      <c r="IJ48" t="e">
        <f>AND(Bills!#REF!,"AAAAAHN7/fM=")</f>
        <v>#REF!</v>
      </c>
      <c r="IK48" t="e">
        <f>AND(Bills!AC82,"AAAAAHN7/fQ=")</f>
        <v>#VALUE!</v>
      </c>
      <c r="IL48" t="e">
        <f>AND(Bills!AD82,"AAAAAHN7/fU=")</f>
        <v>#VALUE!</v>
      </c>
      <c r="IM48" t="e">
        <f>AND(Bills!AE82,"AAAAAHN7/fY=")</f>
        <v>#VALUE!</v>
      </c>
      <c r="IN48">
        <f>IF(Bills!83:83,"AAAAAHN7/fc=",0)</f>
        <v>0</v>
      </c>
      <c r="IO48" t="e">
        <f>AND(Bills!B83,"AAAAAHN7/fg=")</f>
        <v>#VALUE!</v>
      </c>
      <c r="IP48" t="e">
        <f>AND(Bills!#REF!,"AAAAAHN7/fk=")</f>
        <v>#REF!</v>
      </c>
      <c r="IQ48" t="e">
        <f>AND(Bills!C83,"AAAAAHN7/fo=")</f>
        <v>#VALUE!</v>
      </c>
      <c r="IR48" t="e">
        <f>AND(Bills!D83,"AAAAAHN7/fs=")</f>
        <v>#VALUE!</v>
      </c>
      <c r="IS48" t="e">
        <f>AND(Bills!E83,"AAAAAHN7/fw=")</f>
        <v>#VALUE!</v>
      </c>
      <c r="IT48" t="e">
        <f>AND(Bills!#REF!,"AAAAAHN7/f0=")</f>
        <v>#REF!</v>
      </c>
      <c r="IU48" t="e">
        <f>AND(Bills!#REF!,"AAAAAHN7/f4=")</f>
        <v>#REF!</v>
      </c>
      <c r="IV48" t="e">
        <f>AND(Bills!#REF!,"AAAAAHN7/f8=")</f>
        <v>#REF!</v>
      </c>
    </row>
    <row r="49" spans="1:256" x14ac:dyDescent="0.25">
      <c r="A49" t="e">
        <f>AND(Bills!F83,"AAAAAH+36QA=")</f>
        <v>#VALUE!</v>
      </c>
      <c r="B49" t="e">
        <f>AND(Bills!#REF!,"AAAAAH+36QE=")</f>
        <v>#REF!</v>
      </c>
      <c r="C49" t="e">
        <f>AND(Bills!G83,"AAAAAH+36QI=")</f>
        <v>#VALUE!</v>
      </c>
      <c r="D49" t="e">
        <f>AND(Bills!H83,"AAAAAH+36QM=")</f>
        <v>#VALUE!</v>
      </c>
      <c r="E49" t="e">
        <f>AND(Bills!I83,"AAAAAH+36QQ=")</f>
        <v>#VALUE!</v>
      </c>
      <c r="F49" t="e">
        <f>AND(Bills!J83,"AAAAAH+36QU=")</f>
        <v>#VALUE!</v>
      </c>
      <c r="G49" t="e">
        <f>AND(Bills!K83,"AAAAAH+36QY=")</f>
        <v>#VALUE!</v>
      </c>
      <c r="H49" t="e">
        <f>AND(Bills!L83,"AAAAAH+36Qc=")</f>
        <v>#VALUE!</v>
      </c>
      <c r="I49" t="e">
        <f>AND(Bills!#REF!,"AAAAAH+36Qg=")</f>
        <v>#REF!</v>
      </c>
      <c r="J49" t="e">
        <f>AND(Bills!M83,"AAAAAH+36Qk=")</f>
        <v>#VALUE!</v>
      </c>
      <c r="K49" t="e">
        <f>AND(Bills!N83,"AAAAAH+36Qo=")</f>
        <v>#VALUE!</v>
      </c>
      <c r="L49" t="e">
        <f>AND(Bills!O83,"AAAAAH+36Qs=")</f>
        <v>#VALUE!</v>
      </c>
      <c r="M49" t="e">
        <f>AND(Bills!P83,"AAAAAH+36Qw=")</f>
        <v>#VALUE!</v>
      </c>
      <c r="N49" t="e">
        <f>AND(Bills!Q83,"AAAAAH+36Q0=")</f>
        <v>#VALUE!</v>
      </c>
      <c r="O49" t="e">
        <f>AND(Bills!R83,"AAAAAH+36Q4=")</f>
        <v>#VALUE!</v>
      </c>
      <c r="P49" t="e">
        <f>AND(Bills!S83,"AAAAAH+36Q8=")</f>
        <v>#VALUE!</v>
      </c>
      <c r="Q49" t="e">
        <f>AND(Bills!T83,"AAAAAH+36RA=")</f>
        <v>#VALUE!</v>
      </c>
      <c r="R49" t="e">
        <f>AND(Bills!#REF!,"AAAAAH+36RE=")</f>
        <v>#REF!</v>
      </c>
      <c r="S49" t="e">
        <f>AND(Bills!U83,"AAAAAH+36RI=")</f>
        <v>#VALUE!</v>
      </c>
      <c r="T49" t="e">
        <f>AND(Bills!V83,"AAAAAH+36RM=")</f>
        <v>#VALUE!</v>
      </c>
      <c r="U49" t="e">
        <f>AND(Bills!W83,"AAAAAH+36RQ=")</f>
        <v>#VALUE!</v>
      </c>
      <c r="V49" t="e">
        <f>AND(Bills!#REF!,"AAAAAH+36RU=")</f>
        <v>#REF!</v>
      </c>
      <c r="W49" t="e">
        <f>AND(Bills!#REF!,"AAAAAH+36RY=")</f>
        <v>#REF!</v>
      </c>
      <c r="X49" t="e">
        <f>AND(Bills!Y83,"AAAAAH+36Rc=")</f>
        <v>#VALUE!</v>
      </c>
      <c r="Y49" t="e">
        <f>AND(Bills!Z83,"AAAAAH+36Rg=")</f>
        <v>#VALUE!</v>
      </c>
      <c r="Z49" t="e">
        <f>AND(Bills!#REF!,"AAAAAH+36Rk=")</f>
        <v>#REF!</v>
      </c>
      <c r="AA49" t="e">
        <f>AND(Bills!#REF!,"AAAAAH+36Ro=")</f>
        <v>#REF!</v>
      </c>
      <c r="AB49" t="e">
        <f>AND(Bills!#REF!,"AAAAAH+36Rs=")</f>
        <v>#REF!</v>
      </c>
      <c r="AC49" t="e">
        <f>AND(Bills!#REF!,"AAAAAH+36Rw=")</f>
        <v>#REF!</v>
      </c>
      <c r="AD49" t="e">
        <f>AND(Bills!#REF!,"AAAAAH+36R0=")</f>
        <v>#REF!</v>
      </c>
      <c r="AE49" t="e">
        <f>AND(Bills!#REF!,"AAAAAH+36R4=")</f>
        <v>#REF!</v>
      </c>
      <c r="AF49" t="e">
        <f>AND(Bills!#REF!,"AAAAAH+36R8=")</f>
        <v>#REF!</v>
      </c>
      <c r="AG49" t="e">
        <f>AND(Bills!#REF!,"AAAAAH+36SA=")</f>
        <v>#REF!</v>
      </c>
      <c r="AH49" t="e">
        <f>AND(Bills!#REF!,"AAAAAH+36SE=")</f>
        <v>#REF!</v>
      </c>
      <c r="AI49" t="e">
        <f>AND(Bills!AA83,"AAAAAH+36SI=")</f>
        <v>#VALUE!</v>
      </c>
      <c r="AJ49" t="e">
        <f>AND(Bills!AB83,"AAAAAH+36SM=")</f>
        <v>#VALUE!</v>
      </c>
      <c r="AK49" t="e">
        <f>AND(Bills!#REF!,"AAAAAH+36SQ=")</f>
        <v>#REF!</v>
      </c>
      <c r="AL49" t="e">
        <f>AND(Bills!#REF!,"AAAAAH+36SU=")</f>
        <v>#REF!</v>
      </c>
      <c r="AM49" t="e">
        <f>AND(Bills!#REF!,"AAAAAH+36SY=")</f>
        <v>#REF!</v>
      </c>
      <c r="AN49" t="e">
        <f>AND(Bills!AC83,"AAAAAH+36Sc=")</f>
        <v>#VALUE!</v>
      </c>
      <c r="AO49" t="e">
        <f>AND(Bills!AD83,"AAAAAH+36Sg=")</f>
        <v>#VALUE!</v>
      </c>
      <c r="AP49" t="e">
        <f>AND(Bills!AE83,"AAAAAH+36Sk=")</f>
        <v>#VALUE!</v>
      </c>
      <c r="AQ49">
        <f>IF(Bills!84:84,"AAAAAH+36So=",0)</f>
        <v>0</v>
      </c>
      <c r="AR49" t="e">
        <f>AND(Bills!B84,"AAAAAH+36Ss=")</f>
        <v>#VALUE!</v>
      </c>
      <c r="AS49" t="e">
        <f>AND(Bills!#REF!,"AAAAAH+36Sw=")</f>
        <v>#REF!</v>
      </c>
      <c r="AT49" t="e">
        <f>AND(Bills!C84,"AAAAAH+36S0=")</f>
        <v>#VALUE!</v>
      </c>
      <c r="AU49" t="e">
        <f>AND(Bills!D84,"AAAAAH+36S4=")</f>
        <v>#VALUE!</v>
      </c>
      <c r="AV49" t="e">
        <f>AND(Bills!E84,"AAAAAH+36S8=")</f>
        <v>#VALUE!</v>
      </c>
      <c r="AW49" t="e">
        <f>AND(Bills!#REF!,"AAAAAH+36TA=")</f>
        <v>#REF!</v>
      </c>
      <c r="AX49" t="e">
        <f>AND(Bills!#REF!,"AAAAAH+36TE=")</f>
        <v>#REF!</v>
      </c>
      <c r="AY49" t="e">
        <f>AND(Bills!#REF!,"AAAAAH+36TI=")</f>
        <v>#REF!</v>
      </c>
      <c r="AZ49" t="e">
        <f>AND(Bills!F84,"AAAAAH+36TM=")</f>
        <v>#VALUE!</v>
      </c>
      <c r="BA49" t="e">
        <f>AND(Bills!#REF!,"AAAAAH+36TQ=")</f>
        <v>#REF!</v>
      </c>
      <c r="BB49" t="e">
        <f>AND(Bills!G84,"AAAAAH+36TU=")</f>
        <v>#VALUE!</v>
      </c>
      <c r="BC49" t="e">
        <f>AND(Bills!H84,"AAAAAH+36TY=")</f>
        <v>#VALUE!</v>
      </c>
      <c r="BD49" t="e">
        <f>AND(Bills!I84,"AAAAAH+36Tc=")</f>
        <v>#VALUE!</v>
      </c>
      <c r="BE49" t="e">
        <f>AND(Bills!J84,"AAAAAH+36Tg=")</f>
        <v>#VALUE!</v>
      </c>
      <c r="BF49" t="e">
        <f>AND(Bills!K84,"AAAAAH+36Tk=")</f>
        <v>#VALUE!</v>
      </c>
      <c r="BG49" t="e">
        <f>AND(Bills!L84,"AAAAAH+36To=")</f>
        <v>#VALUE!</v>
      </c>
      <c r="BH49" t="e">
        <f>AND(Bills!#REF!,"AAAAAH+36Ts=")</f>
        <v>#REF!</v>
      </c>
      <c r="BI49" t="e">
        <f>AND(Bills!M84,"AAAAAH+36Tw=")</f>
        <v>#VALUE!</v>
      </c>
      <c r="BJ49" t="e">
        <f>AND(Bills!N84,"AAAAAH+36T0=")</f>
        <v>#VALUE!</v>
      </c>
      <c r="BK49" t="e">
        <f>AND(Bills!O84,"AAAAAH+36T4=")</f>
        <v>#VALUE!</v>
      </c>
      <c r="BL49" t="e">
        <f>AND(Bills!P84,"AAAAAH+36T8=")</f>
        <v>#VALUE!</v>
      </c>
      <c r="BM49" t="e">
        <f>AND(Bills!Q84,"AAAAAH+36UA=")</f>
        <v>#VALUE!</v>
      </c>
      <c r="BN49" t="e">
        <f>AND(Bills!R84,"AAAAAH+36UE=")</f>
        <v>#VALUE!</v>
      </c>
      <c r="BO49" t="e">
        <f>AND(Bills!S84,"AAAAAH+36UI=")</f>
        <v>#VALUE!</v>
      </c>
      <c r="BP49" t="e">
        <f>AND(Bills!T84,"AAAAAH+36UM=")</f>
        <v>#VALUE!</v>
      </c>
      <c r="BQ49" t="e">
        <f>AND(Bills!#REF!,"AAAAAH+36UQ=")</f>
        <v>#REF!</v>
      </c>
      <c r="BR49" t="e">
        <f>AND(Bills!U84,"AAAAAH+36UU=")</f>
        <v>#VALUE!</v>
      </c>
      <c r="BS49" t="e">
        <f>AND(Bills!V84,"AAAAAH+36UY=")</f>
        <v>#VALUE!</v>
      </c>
      <c r="BT49" t="e">
        <f>AND(Bills!W84,"AAAAAH+36Uc=")</f>
        <v>#VALUE!</v>
      </c>
      <c r="BU49" t="e">
        <f>AND(Bills!#REF!,"AAAAAH+36Ug=")</f>
        <v>#REF!</v>
      </c>
      <c r="BV49" t="e">
        <f>AND(Bills!#REF!,"AAAAAH+36Uk=")</f>
        <v>#REF!</v>
      </c>
      <c r="BW49" t="e">
        <f>AND(Bills!Y84,"AAAAAH+36Uo=")</f>
        <v>#VALUE!</v>
      </c>
      <c r="BX49" t="e">
        <f>AND(Bills!Z84,"AAAAAH+36Us=")</f>
        <v>#VALUE!</v>
      </c>
      <c r="BY49" t="e">
        <f>AND(Bills!#REF!,"AAAAAH+36Uw=")</f>
        <v>#REF!</v>
      </c>
      <c r="BZ49" t="e">
        <f>AND(Bills!#REF!,"AAAAAH+36U0=")</f>
        <v>#REF!</v>
      </c>
      <c r="CA49" t="e">
        <f>AND(Bills!#REF!,"AAAAAH+36U4=")</f>
        <v>#REF!</v>
      </c>
      <c r="CB49" t="e">
        <f>AND(Bills!#REF!,"AAAAAH+36U8=")</f>
        <v>#REF!</v>
      </c>
      <c r="CC49" t="e">
        <f>AND(Bills!#REF!,"AAAAAH+36VA=")</f>
        <v>#REF!</v>
      </c>
      <c r="CD49" t="e">
        <f>AND(Bills!#REF!,"AAAAAH+36VE=")</f>
        <v>#REF!</v>
      </c>
      <c r="CE49" t="e">
        <f>AND(Bills!#REF!,"AAAAAH+36VI=")</f>
        <v>#REF!</v>
      </c>
      <c r="CF49" t="e">
        <f>AND(Bills!#REF!,"AAAAAH+36VM=")</f>
        <v>#REF!</v>
      </c>
      <c r="CG49" t="e">
        <f>AND(Bills!#REF!,"AAAAAH+36VQ=")</f>
        <v>#REF!</v>
      </c>
      <c r="CH49" t="e">
        <f>AND(Bills!AA84,"AAAAAH+36VU=")</f>
        <v>#VALUE!</v>
      </c>
      <c r="CI49" t="e">
        <f>AND(Bills!AB84,"AAAAAH+36VY=")</f>
        <v>#VALUE!</v>
      </c>
      <c r="CJ49" t="e">
        <f>AND(Bills!#REF!,"AAAAAH+36Vc=")</f>
        <v>#REF!</v>
      </c>
      <c r="CK49" t="e">
        <f>AND(Bills!#REF!,"AAAAAH+36Vg=")</f>
        <v>#REF!</v>
      </c>
      <c r="CL49" t="e">
        <f>AND(Bills!#REF!,"AAAAAH+36Vk=")</f>
        <v>#REF!</v>
      </c>
      <c r="CM49" t="e">
        <f>AND(Bills!AC84,"AAAAAH+36Vo=")</f>
        <v>#VALUE!</v>
      </c>
      <c r="CN49" t="e">
        <f>AND(Bills!AD84,"AAAAAH+36Vs=")</f>
        <v>#VALUE!</v>
      </c>
      <c r="CO49" t="e">
        <f>AND(Bills!AE84,"AAAAAH+36Vw=")</f>
        <v>#VALUE!</v>
      </c>
      <c r="CP49">
        <f>IF(Bills!85:85,"AAAAAH+36V0=",0)</f>
        <v>0</v>
      </c>
      <c r="CQ49" t="e">
        <f>AND(Bills!B85,"AAAAAH+36V4=")</f>
        <v>#VALUE!</v>
      </c>
      <c r="CR49" t="e">
        <f>AND(Bills!#REF!,"AAAAAH+36V8=")</f>
        <v>#REF!</v>
      </c>
      <c r="CS49" t="e">
        <f>AND(Bills!C85,"AAAAAH+36WA=")</f>
        <v>#VALUE!</v>
      </c>
      <c r="CT49" t="e">
        <f>AND(Bills!D85,"AAAAAH+36WE=")</f>
        <v>#VALUE!</v>
      </c>
      <c r="CU49" t="e">
        <f>AND(Bills!E85,"AAAAAH+36WI=")</f>
        <v>#VALUE!</v>
      </c>
      <c r="CV49" t="e">
        <f>AND(Bills!#REF!,"AAAAAH+36WM=")</f>
        <v>#REF!</v>
      </c>
      <c r="CW49" t="e">
        <f>AND(Bills!#REF!,"AAAAAH+36WQ=")</f>
        <v>#REF!</v>
      </c>
      <c r="CX49" t="e">
        <f>AND(Bills!#REF!,"AAAAAH+36WU=")</f>
        <v>#REF!</v>
      </c>
      <c r="CY49" t="e">
        <f>AND(Bills!F85,"AAAAAH+36WY=")</f>
        <v>#VALUE!</v>
      </c>
      <c r="CZ49" t="e">
        <f>AND(Bills!#REF!,"AAAAAH+36Wc=")</f>
        <v>#REF!</v>
      </c>
      <c r="DA49" t="e">
        <f>AND(Bills!G85,"AAAAAH+36Wg=")</f>
        <v>#VALUE!</v>
      </c>
      <c r="DB49" t="e">
        <f>AND(Bills!H85,"AAAAAH+36Wk=")</f>
        <v>#VALUE!</v>
      </c>
      <c r="DC49" t="e">
        <f>AND(Bills!I85,"AAAAAH+36Wo=")</f>
        <v>#VALUE!</v>
      </c>
      <c r="DD49" t="e">
        <f>AND(Bills!J85,"AAAAAH+36Ws=")</f>
        <v>#VALUE!</v>
      </c>
      <c r="DE49" t="e">
        <f>AND(Bills!K85,"AAAAAH+36Ww=")</f>
        <v>#VALUE!</v>
      </c>
      <c r="DF49" t="e">
        <f>AND(Bills!L85,"AAAAAH+36W0=")</f>
        <v>#VALUE!</v>
      </c>
      <c r="DG49" t="e">
        <f>AND(Bills!#REF!,"AAAAAH+36W4=")</f>
        <v>#REF!</v>
      </c>
      <c r="DH49" t="e">
        <f>AND(Bills!M85,"AAAAAH+36W8=")</f>
        <v>#VALUE!</v>
      </c>
      <c r="DI49" t="e">
        <f>AND(Bills!N85,"AAAAAH+36XA=")</f>
        <v>#VALUE!</v>
      </c>
      <c r="DJ49" t="e">
        <f>AND(Bills!O85,"AAAAAH+36XE=")</f>
        <v>#VALUE!</v>
      </c>
      <c r="DK49" t="e">
        <f>AND(Bills!P85,"AAAAAH+36XI=")</f>
        <v>#VALUE!</v>
      </c>
      <c r="DL49" t="e">
        <f>AND(Bills!Q85,"AAAAAH+36XM=")</f>
        <v>#VALUE!</v>
      </c>
      <c r="DM49" t="e">
        <f>AND(Bills!R85,"AAAAAH+36XQ=")</f>
        <v>#VALUE!</v>
      </c>
      <c r="DN49" t="e">
        <f>AND(Bills!S85,"AAAAAH+36XU=")</f>
        <v>#VALUE!</v>
      </c>
      <c r="DO49" t="e">
        <f>AND(Bills!T85,"AAAAAH+36XY=")</f>
        <v>#VALUE!</v>
      </c>
      <c r="DP49" t="e">
        <f>AND(Bills!#REF!,"AAAAAH+36Xc=")</f>
        <v>#REF!</v>
      </c>
      <c r="DQ49" t="e">
        <f>AND(Bills!U85,"AAAAAH+36Xg=")</f>
        <v>#VALUE!</v>
      </c>
      <c r="DR49" t="e">
        <f>AND(Bills!V85,"AAAAAH+36Xk=")</f>
        <v>#VALUE!</v>
      </c>
      <c r="DS49" t="e">
        <f>AND(Bills!W85,"AAAAAH+36Xo=")</f>
        <v>#VALUE!</v>
      </c>
      <c r="DT49" t="e">
        <f>AND(Bills!#REF!,"AAAAAH+36Xs=")</f>
        <v>#REF!</v>
      </c>
      <c r="DU49" t="e">
        <f>AND(Bills!#REF!,"AAAAAH+36Xw=")</f>
        <v>#REF!</v>
      </c>
      <c r="DV49" t="e">
        <f>AND(Bills!Y85,"AAAAAH+36X0=")</f>
        <v>#VALUE!</v>
      </c>
      <c r="DW49" t="e">
        <f>AND(Bills!Z85,"AAAAAH+36X4=")</f>
        <v>#VALUE!</v>
      </c>
      <c r="DX49" t="e">
        <f>AND(Bills!#REF!,"AAAAAH+36X8=")</f>
        <v>#REF!</v>
      </c>
      <c r="DY49" t="e">
        <f>AND(Bills!#REF!,"AAAAAH+36YA=")</f>
        <v>#REF!</v>
      </c>
      <c r="DZ49" t="e">
        <f>AND(Bills!#REF!,"AAAAAH+36YE=")</f>
        <v>#REF!</v>
      </c>
      <c r="EA49" t="e">
        <f>AND(Bills!#REF!,"AAAAAH+36YI=")</f>
        <v>#REF!</v>
      </c>
      <c r="EB49" t="e">
        <f>AND(Bills!#REF!,"AAAAAH+36YM=")</f>
        <v>#REF!</v>
      </c>
      <c r="EC49" t="e">
        <f>AND(Bills!#REF!,"AAAAAH+36YQ=")</f>
        <v>#REF!</v>
      </c>
      <c r="ED49" t="e">
        <f>AND(Bills!#REF!,"AAAAAH+36YU=")</f>
        <v>#REF!</v>
      </c>
      <c r="EE49" t="e">
        <f>AND(Bills!#REF!,"AAAAAH+36YY=")</f>
        <v>#REF!</v>
      </c>
      <c r="EF49" t="e">
        <f>AND(Bills!#REF!,"AAAAAH+36Yc=")</f>
        <v>#REF!</v>
      </c>
      <c r="EG49" t="e">
        <f>AND(Bills!AA85,"AAAAAH+36Yg=")</f>
        <v>#VALUE!</v>
      </c>
      <c r="EH49" t="e">
        <f>AND(Bills!AB85,"AAAAAH+36Yk=")</f>
        <v>#VALUE!</v>
      </c>
      <c r="EI49" t="e">
        <f>AND(Bills!#REF!,"AAAAAH+36Yo=")</f>
        <v>#REF!</v>
      </c>
      <c r="EJ49" t="e">
        <f>AND(Bills!#REF!,"AAAAAH+36Ys=")</f>
        <v>#REF!</v>
      </c>
      <c r="EK49" t="e">
        <f>AND(Bills!#REF!,"AAAAAH+36Yw=")</f>
        <v>#REF!</v>
      </c>
      <c r="EL49" t="e">
        <f>AND(Bills!AC85,"AAAAAH+36Y0=")</f>
        <v>#VALUE!</v>
      </c>
      <c r="EM49" t="e">
        <f>AND(Bills!AD85,"AAAAAH+36Y4=")</f>
        <v>#VALUE!</v>
      </c>
      <c r="EN49" t="e">
        <f>AND(Bills!AE85,"AAAAAH+36Y8=")</f>
        <v>#VALUE!</v>
      </c>
      <c r="EO49">
        <f>IF(Bills!86:86,"AAAAAH+36ZA=",0)</f>
        <v>0</v>
      </c>
      <c r="EP49" t="e">
        <f>AND(Bills!B86,"AAAAAH+36ZE=")</f>
        <v>#VALUE!</v>
      </c>
      <c r="EQ49" t="e">
        <f>AND(Bills!#REF!,"AAAAAH+36ZI=")</f>
        <v>#REF!</v>
      </c>
      <c r="ER49" t="e">
        <f>AND(Bills!C86,"AAAAAH+36ZM=")</f>
        <v>#VALUE!</v>
      </c>
      <c r="ES49" t="e">
        <f>AND(Bills!D86,"AAAAAH+36ZQ=")</f>
        <v>#VALUE!</v>
      </c>
      <c r="ET49" t="e">
        <f>AND(Bills!E86,"AAAAAH+36ZU=")</f>
        <v>#VALUE!</v>
      </c>
      <c r="EU49" t="e">
        <f>AND(Bills!#REF!,"AAAAAH+36ZY=")</f>
        <v>#REF!</v>
      </c>
      <c r="EV49" t="e">
        <f>AND(Bills!#REF!,"AAAAAH+36Zc=")</f>
        <v>#REF!</v>
      </c>
      <c r="EW49" t="e">
        <f>AND(Bills!#REF!,"AAAAAH+36Zg=")</f>
        <v>#REF!</v>
      </c>
      <c r="EX49" t="e">
        <f>AND(Bills!F86,"AAAAAH+36Zk=")</f>
        <v>#VALUE!</v>
      </c>
      <c r="EY49" t="e">
        <f>AND(Bills!#REF!,"AAAAAH+36Zo=")</f>
        <v>#REF!</v>
      </c>
      <c r="EZ49" t="e">
        <f>AND(Bills!G86,"AAAAAH+36Zs=")</f>
        <v>#VALUE!</v>
      </c>
      <c r="FA49" t="e">
        <f>AND(Bills!H86,"AAAAAH+36Zw=")</f>
        <v>#VALUE!</v>
      </c>
      <c r="FB49" t="e">
        <f>AND(Bills!I86,"AAAAAH+36Z0=")</f>
        <v>#VALUE!</v>
      </c>
      <c r="FC49" t="e">
        <f>AND(Bills!J86,"AAAAAH+36Z4=")</f>
        <v>#VALUE!</v>
      </c>
      <c r="FD49" t="e">
        <f>AND(Bills!K86,"AAAAAH+36Z8=")</f>
        <v>#VALUE!</v>
      </c>
      <c r="FE49" t="e">
        <f>AND(Bills!L86,"AAAAAH+36aA=")</f>
        <v>#VALUE!</v>
      </c>
      <c r="FF49" t="e">
        <f>AND(Bills!#REF!,"AAAAAH+36aE=")</f>
        <v>#REF!</v>
      </c>
      <c r="FG49" t="e">
        <f>AND(Bills!M86,"AAAAAH+36aI=")</f>
        <v>#VALUE!</v>
      </c>
      <c r="FH49" t="e">
        <f>AND(Bills!N86,"AAAAAH+36aM=")</f>
        <v>#VALUE!</v>
      </c>
      <c r="FI49" t="e">
        <f>AND(Bills!O86,"AAAAAH+36aQ=")</f>
        <v>#VALUE!</v>
      </c>
      <c r="FJ49" t="e">
        <f>AND(Bills!P86,"AAAAAH+36aU=")</f>
        <v>#VALUE!</v>
      </c>
      <c r="FK49" t="e">
        <f>AND(Bills!Q86,"AAAAAH+36aY=")</f>
        <v>#VALUE!</v>
      </c>
      <c r="FL49" t="e">
        <f>AND(Bills!R86,"AAAAAH+36ac=")</f>
        <v>#VALUE!</v>
      </c>
      <c r="FM49" t="e">
        <f>AND(Bills!S86,"AAAAAH+36ag=")</f>
        <v>#VALUE!</v>
      </c>
      <c r="FN49" t="e">
        <f>AND(Bills!T86,"AAAAAH+36ak=")</f>
        <v>#VALUE!</v>
      </c>
      <c r="FO49" t="e">
        <f>AND(Bills!#REF!,"AAAAAH+36ao=")</f>
        <v>#REF!</v>
      </c>
      <c r="FP49" t="e">
        <f>AND(Bills!U86,"AAAAAH+36as=")</f>
        <v>#VALUE!</v>
      </c>
      <c r="FQ49" t="e">
        <f>AND(Bills!V86,"AAAAAH+36aw=")</f>
        <v>#VALUE!</v>
      </c>
      <c r="FR49" t="e">
        <f>AND(Bills!W86,"AAAAAH+36a0=")</f>
        <v>#VALUE!</v>
      </c>
      <c r="FS49" t="e">
        <f>AND(Bills!#REF!,"AAAAAH+36a4=")</f>
        <v>#REF!</v>
      </c>
      <c r="FT49" t="e">
        <f>AND(Bills!#REF!,"AAAAAH+36a8=")</f>
        <v>#REF!</v>
      </c>
      <c r="FU49" t="e">
        <f>AND(Bills!Y86,"AAAAAH+36bA=")</f>
        <v>#VALUE!</v>
      </c>
      <c r="FV49" t="e">
        <f>AND(Bills!Z86,"AAAAAH+36bE=")</f>
        <v>#VALUE!</v>
      </c>
      <c r="FW49" t="e">
        <f>AND(Bills!#REF!,"AAAAAH+36bI=")</f>
        <v>#REF!</v>
      </c>
      <c r="FX49" t="e">
        <f>AND(Bills!#REF!,"AAAAAH+36bM=")</f>
        <v>#REF!</v>
      </c>
      <c r="FY49" t="e">
        <f>AND(Bills!#REF!,"AAAAAH+36bQ=")</f>
        <v>#REF!</v>
      </c>
      <c r="FZ49" t="e">
        <f>AND(Bills!#REF!,"AAAAAH+36bU=")</f>
        <v>#REF!</v>
      </c>
      <c r="GA49" t="e">
        <f>AND(Bills!#REF!,"AAAAAH+36bY=")</f>
        <v>#REF!</v>
      </c>
      <c r="GB49" t="e">
        <f>AND(Bills!#REF!,"AAAAAH+36bc=")</f>
        <v>#REF!</v>
      </c>
      <c r="GC49" t="e">
        <f>AND(Bills!#REF!,"AAAAAH+36bg=")</f>
        <v>#REF!</v>
      </c>
      <c r="GD49" t="e">
        <f>AND(Bills!#REF!,"AAAAAH+36bk=")</f>
        <v>#REF!</v>
      </c>
      <c r="GE49" t="e">
        <f>AND(Bills!#REF!,"AAAAAH+36bo=")</f>
        <v>#REF!</v>
      </c>
      <c r="GF49" t="e">
        <f>AND(Bills!AA86,"AAAAAH+36bs=")</f>
        <v>#VALUE!</v>
      </c>
      <c r="GG49" t="e">
        <f>AND(Bills!AB86,"AAAAAH+36bw=")</f>
        <v>#VALUE!</v>
      </c>
      <c r="GH49" t="e">
        <f>AND(Bills!#REF!,"AAAAAH+36b0=")</f>
        <v>#REF!</v>
      </c>
      <c r="GI49" t="e">
        <f>AND(Bills!#REF!,"AAAAAH+36b4=")</f>
        <v>#REF!</v>
      </c>
      <c r="GJ49" t="e">
        <f>AND(Bills!#REF!,"AAAAAH+36b8=")</f>
        <v>#REF!</v>
      </c>
      <c r="GK49" t="e">
        <f>AND(Bills!AC86,"AAAAAH+36cA=")</f>
        <v>#VALUE!</v>
      </c>
      <c r="GL49" t="e">
        <f>AND(Bills!AD86,"AAAAAH+36cE=")</f>
        <v>#VALUE!</v>
      </c>
      <c r="GM49" t="e">
        <f>AND(Bills!AE86,"AAAAAH+36cI=")</f>
        <v>#VALUE!</v>
      </c>
      <c r="GN49">
        <f>IF(Bills!87:87,"AAAAAH+36cM=",0)</f>
        <v>0</v>
      </c>
      <c r="GO49" t="e">
        <f>AND(Bills!B87,"AAAAAH+36cQ=")</f>
        <v>#VALUE!</v>
      </c>
      <c r="GP49" t="e">
        <f>AND(Bills!#REF!,"AAAAAH+36cU=")</f>
        <v>#REF!</v>
      </c>
      <c r="GQ49" t="e">
        <f>AND(Bills!C87,"AAAAAH+36cY=")</f>
        <v>#VALUE!</v>
      </c>
      <c r="GR49" t="e">
        <f>AND(Bills!D87,"AAAAAH+36cc=")</f>
        <v>#VALUE!</v>
      </c>
      <c r="GS49" t="e">
        <f>AND(Bills!E87,"AAAAAH+36cg=")</f>
        <v>#VALUE!</v>
      </c>
      <c r="GT49" t="e">
        <f>AND(Bills!#REF!,"AAAAAH+36ck=")</f>
        <v>#REF!</v>
      </c>
      <c r="GU49" t="e">
        <f>AND(Bills!#REF!,"AAAAAH+36co=")</f>
        <v>#REF!</v>
      </c>
      <c r="GV49" t="e">
        <f>AND(Bills!#REF!,"AAAAAH+36cs=")</f>
        <v>#REF!</v>
      </c>
      <c r="GW49" t="e">
        <f>AND(Bills!F87,"AAAAAH+36cw=")</f>
        <v>#VALUE!</v>
      </c>
      <c r="GX49" t="e">
        <f>AND(Bills!#REF!,"AAAAAH+36c0=")</f>
        <v>#REF!</v>
      </c>
      <c r="GY49" t="e">
        <f>AND(Bills!G87,"AAAAAH+36c4=")</f>
        <v>#VALUE!</v>
      </c>
      <c r="GZ49" t="e">
        <f>AND(Bills!H87,"AAAAAH+36c8=")</f>
        <v>#VALUE!</v>
      </c>
      <c r="HA49" t="e">
        <f>AND(Bills!I87,"AAAAAH+36dA=")</f>
        <v>#VALUE!</v>
      </c>
      <c r="HB49" t="e">
        <f>AND(Bills!J87,"AAAAAH+36dE=")</f>
        <v>#VALUE!</v>
      </c>
      <c r="HC49" t="e">
        <f>AND(Bills!K87,"AAAAAH+36dI=")</f>
        <v>#VALUE!</v>
      </c>
      <c r="HD49" t="e">
        <f>AND(Bills!L87,"AAAAAH+36dM=")</f>
        <v>#VALUE!</v>
      </c>
      <c r="HE49" t="e">
        <f>AND(Bills!#REF!,"AAAAAH+36dQ=")</f>
        <v>#REF!</v>
      </c>
      <c r="HF49" t="e">
        <f>AND(Bills!M87,"AAAAAH+36dU=")</f>
        <v>#VALUE!</v>
      </c>
      <c r="HG49" t="e">
        <f>AND(Bills!N87,"AAAAAH+36dY=")</f>
        <v>#VALUE!</v>
      </c>
      <c r="HH49" t="e">
        <f>AND(Bills!O87,"AAAAAH+36dc=")</f>
        <v>#VALUE!</v>
      </c>
      <c r="HI49" t="e">
        <f>AND(Bills!P87,"AAAAAH+36dg=")</f>
        <v>#VALUE!</v>
      </c>
      <c r="HJ49" t="e">
        <f>AND(Bills!Q87,"AAAAAH+36dk=")</f>
        <v>#VALUE!</v>
      </c>
      <c r="HK49" t="e">
        <f>AND(Bills!R87,"AAAAAH+36do=")</f>
        <v>#VALUE!</v>
      </c>
      <c r="HL49" t="e">
        <f>AND(Bills!S87,"AAAAAH+36ds=")</f>
        <v>#VALUE!</v>
      </c>
      <c r="HM49" t="e">
        <f>AND(Bills!T87,"AAAAAH+36dw=")</f>
        <v>#VALUE!</v>
      </c>
      <c r="HN49" t="e">
        <f>AND(Bills!#REF!,"AAAAAH+36d0=")</f>
        <v>#REF!</v>
      </c>
      <c r="HO49" t="e">
        <f>AND(Bills!U87,"AAAAAH+36d4=")</f>
        <v>#VALUE!</v>
      </c>
      <c r="HP49" t="e">
        <f>AND(Bills!V87,"AAAAAH+36d8=")</f>
        <v>#VALUE!</v>
      </c>
      <c r="HQ49" t="e">
        <f>AND(Bills!W87,"AAAAAH+36eA=")</f>
        <v>#VALUE!</v>
      </c>
      <c r="HR49" t="e">
        <f>AND(Bills!#REF!,"AAAAAH+36eE=")</f>
        <v>#REF!</v>
      </c>
      <c r="HS49" t="e">
        <f>AND(Bills!#REF!,"AAAAAH+36eI=")</f>
        <v>#REF!</v>
      </c>
      <c r="HT49" t="e">
        <f>AND(Bills!Y87,"AAAAAH+36eM=")</f>
        <v>#VALUE!</v>
      </c>
      <c r="HU49" t="e">
        <f>AND(Bills!Z87,"AAAAAH+36eQ=")</f>
        <v>#VALUE!</v>
      </c>
      <c r="HV49" t="e">
        <f>AND(Bills!#REF!,"AAAAAH+36eU=")</f>
        <v>#REF!</v>
      </c>
      <c r="HW49" t="e">
        <f>AND(Bills!#REF!,"AAAAAH+36eY=")</f>
        <v>#REF!</v>
      </c>
      <c r="HX49" t="e">
        <f>AND(Bills!#REF!,"AAAAAH+36ec=")</f>
        <v>#REF!</v>
      </c>
      <c r="HY49" t="e">
        <f>AND(Bills!#REF!,"AAAAAH+36eg=")</f>
        <v>#REF!</v>
      </c>
      <c r="HZ49" t="e">
        <f>AND(Bills!#REF!,"AAAAAH+36ek=")</f>
        <v>#REF!</v>
      </c>
      <c r="IA49" t="e">
        <f>AND(Bills!#REF!,"AAAAAH+36eo=")</f>
        <v>#REF!</v>
      </c>
      <c r="IB49" t="e">
        <f>AND(Bills!#REF!,"AAAAAH+36es=")</f>
        <v>#REF!</v>
      </c>
      <c r="IC49" t="e">
        <f>AND(Bills!#REF!,"AAAAAH+36ew=")</f>
        <v>#REF!</v>
      </c>
      <c r="ID49" t="e">
        <f>AND(Bills!#REF!,"AAAAAH+36e0=")</f>
        <v>#REF!</v>
      </c>
      <c r="IE49" t="e">
        <f>AND(Bills!AA87,"AAAAAH+36e4=")</f>
        <v>#VALUE!</v>
      </c>
      <c r="IF49" t="e">
        <f>AND(Bills!AB87,"AAAAAH+36e8=")</f>
        <v>#VALUE!</v>
      </c>
      <c r="IG49" t="e">
        <f>AND(Bills!#REF!,"AAAAAH+36fA=")</f>
        <v>#REF!</v>
      </c>
      <c r="IH49" t="e">
        <f>AND(Bills!#REF!,"AAAAAH+36fE=")</f>
        <v>#REF!</v>
      </c>
      <c r="II49" t="e">
        <f>AND(Bills!#REF!,"AAAAAH+36fI=")</f>
        <v>#REF!</v>
      </c>
      <c r="IJ49" t="e">
        <f>AND(Bills!AC87,"AAAAAH+36fM=")</f>
        <v>#VALUE!</v>
      </c>
      <c r="IK49" t="e">
        <f>AND(Bills!AD87,"AAAAAH+36fQ=")</f>
        <v>#VALUE!</v>
      </c>
      <c r="IL49" t="e">
        <f>AND(Bills!AE87,"AAAAAH+36fU=")</f>
        <v>#VALUE!</v>
      </c>
      <c r="IM49">
        <f>IF(Bills!88:88,"AAAAAH+36fY=",0)</f>
        <v>0</v>
      </c>
      <c r="IN49" t="e">
        <f>AND(Bills!B88,"AAAAAH+36fc=")</f>
        <v>#VALUE!</v>
      </c>
      <c r="IO49" t="e">
        <f>AND(Bills!#REF!,"AAAAAH+36fg=")</f>
        <v>#REF!</v>
      </c>
      <c r="IP49" t="e">
        <f>AND(Bills!C88,"AAAAAH+36fk=")</f>
        <v>#VALUE!</v>
      </c>
      <c r="IQ49" t="e">
        <f>AND(Bills!D88,"AAAAAH+36fo=")</f>
        <v>#VALUE!</v>
      </c>
      <c r="IR49" t="e">
        <f>AND(Bills!E88,"AAAAAH+36fs=")</f>
        <v>#VALUE!</v>
      </c>
      <c r="IS49" t="e">
        <f>AND(Bills!#REF!,"AAAAAH+36fw=")</f>
        <v>#REF!</v>
      </c>
      <c r="IT49" t="e">
        <f>AND(Bills!#REF!,"AAAAAH+36f0=")</f>
        <v>#REF!</v>
      </c>
      <c r="IU49" t="e">
        <f>AND(Bills!#REF!,"AAAAAH+36f4=")</f>
        <v>#REF!</v>
      </c>
      <c r="IV49" t="e">
        <f>AND(Bills!F88,"AAAAAH+36f8=")</f>
        <v>#VALUE!</v>
      </c>
    </row>
    <row r="50" spans="1:256" x14ac:dyDescent="0.25">
      <c r="A50" t="e">
        <f>AND(Bills!#REF!,"AAAAAH/7vwA=")</f>
        <v>#REF!</v>
      </c>
      <c r="B50" t="e">
        <f>AND(Bills!G88,"AAAAAH/7vwE=")</f>
        <v>#VALUE!</v>
      </c>
      <c r="C50" t="e">
        <f>AND(Bills!H88,"AAAAAH/7vwI=")</f>
        <v>#VALUE!</v>
      </c>
      <c r="D50" t="e">
        <f>AND(Bills!I88,"AAAAAH/7vwM=")</f>
        <v>#VALUE!</v>
      </c>
      <c r="E50" t="e">
        <f>AND(Bills!J88,"AAAAAH/7vwQ=")</f>
        <v>#VALUE!</v>
      </c>
      <c r="F50" t="e">
        <f>AND(Bills!K88,"AAAAAH/7vwU=")</f>
        <v>#VALUE!</v>
      </c>
      <c r="G50" t="e">
        <f>AND(Bills!L88,"AAAAAH/7vwY=")</f>
        <v>#VALUE!</v>
      </c>
      <c r="H50" t="e">
        <f>AND(Bills!#REF!,"AAAAAH/7vwc=")</f>
        <v>#REF!</v>
      </c>
      <c r="I50" t="e">
        <f>AND(Bills!M88,"AAAAAH/7vwg=")</f>
        <v>#VALUE!</v>
      </c>
      <c r="J50" t="e">
        <f>AND(Bills!N88,"AAAAAH/7vwk=")</f>
        <v>#VALUE!</v>
      </c>
      <c r="K50" t="e">
        <f>AND(Bills!O88,"AAAAAH/7vwo=")</f>
        <v>#VALUE!</v>
      </c>
      <c r="L50" t="e">
        <f>AND(Bills!P88,"AAAAAH/7vws=")</f>
        <v>#VALUE!</v>
      </c>
      <c r="M50" t="e">
        <f>AND(Bills!Q88,"AAAAAH/7vww=")</f>
        <v>#VALUE!</v>
      </c>
      <c r="N50" t="e">
        <f>AND(Bills!R88,"AAAAAH/7vw0=")</f>
        <v>#VALUE!</v>
      </c>
      <c r="O50" t="e">
        <f>AND(Bills!S88,"AAAAAH/7vw4=")</f>
        <v>#VALUE!</v>
      </c>
      <c r="P50" t="e">
        <f>AND(Bills!T88,"AAAAAH/7vw8=")</f>
        <v>#VALUE!</v>
      </c>
      <c r="Q50" t="e">
        <f>AND(Bills!#REF!,"AAAAAH/7vxA=")</f>
        <v>#REF!</v>
      </c>
      <c r="R50" t="e">
        <f>AND(Bills!U88,"AAAAAH/7vxE=")</f>
        <v>#VALUE!</v>
      </c>
      <c r="S50" t="e">
        <f>AND(Bills!V88,"AAAAAH/7vxI=")</f>
        <v>#VALUE!</v>
      </c>
      <c r="T50" t="e">
        <f>AND(Bills!W88,"AAAAAH/7vxM=")</f>
        <v>#VALUE!</v>
      </c>
      <c r="U50" t="e">
        <f>AND(Bills!#REF!,"AAAAAH/7vxQ=")</f>
        <v>#REF!</v>
      </c>
      <c r="V50" t="e">
        <f>AND(Bills!#REF!,"AAAAAH/7vxU=")</f>
        <v>#REF!</v>
      </c>
      <c r="W50" t="e">
        <f>AND(Bills!Y88,"AAAAAH/7vxY=")</f>
        <v>#VALUE!</v>
      </c>
      <c r="X50" t="e">
        <f>AND(Bills!Z88,"AAAAAH/7vxc=")</f>
        <v>#VALUE!</v>
      </c>
      <c r="Y50" t="e">
        <f>AND(Bills!#REF!,"AAAAAH/7vxg=")</f>
        <v>#REF!</v>
      </c>
      <c r="Z50" t="e">
        <f>AND(Bills!#REF!,"AAAAAH/7vxk=")</f>
        <v>#REF!</v>
      </c>
      <c r="AA50" t="e">
        <f>AND(Bills!#REF!,"AAAAAH/7vxo=")</f>
        <v>#REF!</v>
      </c>
      <c r="AB50" t="e">
        <f>AND(Bills!#REF!,"AAAAAH/7vxs=")</f>
        <v>#REF!</v>
      </c>
      <c r="AC50" t="e">
        <f>AND(Bills!#REF!,"AAAAAH/7vxw=")</f>
        <v>#REF!</v>
      </c>
      <c r="AD50" t="e">
        <f>AND(Bills!#REF!,"AAAAAH/7vx0=")</f>
        <v>#REF!</v>
      </c>
      <c r="AE50" t="e">
        <f>AND(Bills!#REF!,"AAAAAH/7vx4=")</f>
        <v>#REF!</v>
      </c>
      <c r="AF50" t="e">
        <f>AND(Bills!#REF!,"AAAAAH/7vx8=")</f>
        <v>#REF!</v>
      </c>
      <c r="AG50" t="e">
        <f>AND(Bills!#REF!,"AAAAAH/7vyA=")</f>
        <v>#REF!</v>
      </c>
      <c r="AH50" t="e">
        <f>AND(Bills!AA88,"AAAAAH/7vyE=")</f>
        <v>#VALUE!</v>
      </c>
      <c r="AI50" t="e">
        <f>AND(Bills!AB88,"AAAAAH/7vyI=")</f>
        <v>#VALUE!</v>
      </c>
      <c r="AJ50" t="e">
        <f>AND(Bills!#REF!,"AAAAAH/7vyM=")</f>
        <v>#REF!</v>
      </c>
      <c r="AK50" t="e">
        <f>AND(Bills!#REF!,"AAAAAH/7vyQ=")</f>
        <v>#REF!</v>
      </c>
      <c r="AL50" t="e">
        <f>AND(Bills!#REF!,"AAAAAH/7vyU=")</f>
        <v>#REF!</v>
      </c>
      <c r="AM50" t="e">
        <f>AND(Bills!AC88,"AAAAAH/7vyY=")</f>
        <v>#VALUE!</v>
      </c>
      <c r="AN50" t="e">
        <f>AND(Bills!AD88,"AAAAAH/7vyc=")</f>
        <v>#VALUE!</v>
      </c>
      <c r="AO50" t="e">
        <f>AND(Bills!AE88,"AAAAAH/7vyg=")</f>
        <v>#VALUE!</v>
      </c>
      <c r="AP50">
        <f>IF(Bills!89:89,"AAAAAH/7vyk=",0)</f>
        <v>0</v>
      </c>
      <c r="AQ50" t="e">
        <f>AND(Bills!B89,"AAAAAH/7vyo=")</f>
        <v>#VALUE!</v>
      </c>
      <c r="AR50" t="e">
        <f>AND(Bills!#REF!,"AAAAAH/7vys=")</f>
        <v>#REF!</v>
      </c>
      <c r="AS50" t="e">
        <f>AND(Bills!C89,"AAAAAH/7vyw=")</f>
        <v>#VALUE!</v>
      </c>
      <c r="AT50" t="e">
        <f>AND(Bills!D89,"AAAAAH/7vy0=")</f>
        <v>#VALUE!</v>
      </c>
      <c r="AU50" t="e">
        <f>AND(Bills!E89,"AAAAAH/7vy4=")</f>
        <v>#VALUE!</v>
      </c>
      <c r="AV50" t="e">
        <f>AND(Bills!#REF!,"AAAAAH/7vy8=")</f>
        <v>#REF!</v>
      </c>
      <c r="AW50" t="e">
        <f>AND(Bills!#REF!,"AAAAAH/7vzA=")</f>
        <v>#REF!</v>
      </c>
      <c r="AX50" t="e">
        <f>AND(Bills!#REF!,"AAAAAH/7vzE=")</f>
        <v>#REF!</v>
      </c>
      <c r="AY50" t="e">
        <f>AND(Bills!F89,"AAAAAH/7vzI=")</f>
        <v>#VALUE!</v>
      </c>
      <c r="AZ50" t="e">
        <f>AND(Bills!#REF!,"AAAAAH/7vzM=")</f>
        <v>#REF!</v>
      </c>
      <c r="BA50" t="e">
        <f>AND(Bills!G89,"AAAAAH/7vzQ=")</f>
        <v>#VALUE!</v>
      </c>
      <c r="BB50" t="e">
        <f>AND(Bills!H89,"AAAAAH/7vzU=")</f>
        <v>#VALUE!</v>
      </c>
      <c r="BC50" t="e">
        <f>AND(Bills!I89,"AAAAAH/7vzY=")</f>
        <v>#VALUE!</v>
      </c>
      <c r="BD50" t="e">
        <f>AND(Bills!J89,"AAAAAH/7vzc=")</f>
        <v>#VALUE!</v>
      </c>
      <c r="BE50" t="e">
        <f>AND(Bills!K89,"AAAAAH/7vzg=")</f>
        <v>#VALUE!</v>
      </c>
      <c r="BF50" t="e">
        <f>AND(Bills!L89,"AAAAAH/7vzk=")</f>
        <v>#VALUE!</v>
      </c>
      <c r="BG50" t="e">
        <f>AND(Bills!#REF!,"AAAAAH/7vzo=")</f>
        <v>#REF!</v>
      </c>
      <c r="BH50" t="e">
        <f>AND(Bills!M89,"AAAAAH/7vzs=")</f>
        <v>#VALUE!</v>
      </c>
      <c r="BI50" t="e">
        <f>AND(Bills!N89,"AAAAAH/7vzw=")</f>
        <v>#VALUE!</v>
      </c>
      <c r="BJ50" t="e">
        <f>AND(Bills!O89,"AAAAAH/7vz0=")</f>
        <v>#VALUE!</v>
      </c>
      <c r="BK50" t="e">
        <f>AND(Bills!P89,"AAAAAH/7vz4=")</f>
        <v>#VALUE!</v>
      </c>
      <c r="BL50" t="e">
        <f>AND(Bills!Q89,"AAAAAH/7vz8=")</f>
        <v>#VALUE!</v>
      </c>
      <c r="BM50" t="e">
        <f>AND(Bills!R89,"AAAAAH/7v0A=")</f>
        <v>#VALUE!</v>
      </c>
      <c r="BN50" t="e">
        <f>AND(Bills!S89,"AAAAAH/7v0E=")</f>
        <v>#VALUE!</v>
      </c>
      <c r="BO50" t="e">
        <f>AND(Bills!T89,"AAAAAH/7v0I=")</f>
        <v>#VALUE!</v>
      </c>
      <c r="BP50" t="e">
        <f>AND(Bills!#REF!,"AAAAAH/7v0M=")</f>
        <v>#REF!</v>
      </c>
      <c r="BQ50" t="e">
        <f>AND(Bills!U89,"AAAAAH/7v0Q=")</f>
        <v>#VALUE!</v>
      </c>
      <c r="BR50" t="e">
        <f>AND(Bills!V89,"AAAAAH/7v0U=")</f>
        <v>#VALUE!</v>
      </c>
      <c r="BS50" t="e">
        <f>AND(Bills!W89,"AAAAAH/7v0Y=")</f>
        <v>#VALUE!</v>
      </c>
      <c r="BT50" t="e">
        <f>AND(Bills!#REF!,"AAAAAH/7v0c=")</f>
        <v>#REF!</v>
      </c>
      <c r="BU50" t="e">
        <f>AND(Bills!#REF!,"AAAAAH/7v0g=")</f>
        <v>#REF!</v>
      </c>
      <c r="BV50" t="e">
        <f>AND(Bills!Y89,"AAAAAH/7v0k=")</f>
        <v>#VALUE!</v>
      </c>
      <c r="BW50" t="e">
        <f>AND(Bills!Z89,"AAAAAH/7v0o=")</f>
        <v>#VALUE!</v>
      </c>
      <c r="BX50" t="e">
        <f>AND(Bills!#REF!,"AAAAAH/7v0s=")</f>
        <v>#REF!</v>
      </c>
      <c r="BY50" t="e">
        <f>AND(Bills!#REF!,"AAAAAH/7v0w=")</f>
        <v>#REF!</v>
      </c>
      <c r="BZ50" t="e">
        <f>AND(Bills!#REF!,"AAAAAH/7v00=")</f>
        <v>#REF!</v>
      </c>
      <c r="CA50" t="e">
        <f>AND(Bills!#REF!,"AAAAAH/7v04=")</f>
        <v>#REF!</v>
      </c>
      <c r="CB50" t="e">
        <f>AND(Bills!#REF!,"AAAAAH/7v08=")</f>
        <v>#REF!</v>
      </c>
      <c r="CC50" t="e">
        <f>AND(Bills!#REF!,"AAAAAH/7v1A=")</f>
        <v>#REF!</v>
      </c>
      <c r="CD50" t="e">
        <f>AND(Bills!#REF!,"AAAAAH/7v1E=")</f>
        <v>#REF!</v>
      </c>
      <c r="CE50" t="e">
        <f>AND(Bills!#REF!,"AAAAAH/7v1I=")</f>
        <v>#REF!</v>
      </c>
      <c r="CF50" t="e">
        <f>AND(Bills!#REF!,"AAAAAH/7v1M=")</f>
        <v>#REF!</v>
      </c>
      <c r="CG50" t="e">
        <f>AND(Bills!AA89,"AAAAAH/7v1Q=")</f>
        <v>#VALUE!</v>
      </c>
      <c r="CH50" t="e">
        <f>AND(Bills!AB89,"AAAAAH/7v1U=")</f>
        <v>#VALUE!</v>
      </c>
      <c r="CI50" t="e">
        <f>AND(Bills!#REF!,"AAAAAH/7v1Y=")</f>
        <v>#REF!</v>
      </c>
      <c r="CJ50" t="e">
        <f>AND(Bills!#REF!,"AAAAAH/7v1c=")</f>
        <v>#REF!</v>
      </c>
      <c r="CK50" t="e">
        <f>AND(Bills!#REF!,"AAAAAH/7v1g=")</f>
        <v>#REF!</v>
      </c>
      <c r="CL50" t="e">
        <f>AND(Bills!AC89,"AAAAAH/7v1k=")</f>
        <v>#VALUE!</v>
      </c>
      <c r="CM50" t="e">
        <f>AND(Bills!AD89,"AAAAAH/7v1o=")</f>
        <v>#VALUE!</v>
      </c>
      <c r="CN50" t="e">
        <f>AND(Bills!AE89,"AAAAAH/7v1s=")</f>
        <v>#VALUE!</v>
      </c>
      <c r="CO50">
        <f>IF(Bills!90:90,"AAAAAH/7v1w=",0)</f>
        <v>0</v>
      </c>
      <c r="CP50" t="e">
        <f>AND(Bills!B90,"AAAAAH/7v10=")</f>
        <v>#VALUE!</v>
      </c>
      <c r="CQ50" t="e">
        <f>AND(Bills!#REF!,"AAAAAH/7v14=")</f>
        <v>#REF!</v>
      </c>
      <c r="CR50" t="e">
        <f>AND(Bills!C90,"AAAAAH/7v18=")</f>
        <v>#VALUE!</v>
      </c>
      <c r="CS50" t="e">
        <f>AND(Bills!D90,"AAAAAH/7v2A=")</f>
        <v>#VALUE!</v>
      </c>
      <c r="CT50" t="e">
        <f>AND(Bills!E90,"AAAAAH/7v2E=")</f>
        <v>#VALUE!</v>
      </c>
      <c r="CU50" t="e">
        <f>AND(Bills!#REF!,"AAAAAH/7v2I=")</f>
        <v>#REF!</v>
      </c>
      <c r="CV50" t="e">
        <f>AND(Bills!#REF!,"AAAAAH/7v2M=")</f>
        <v>#REF!</v>
      </c>
      <c r="CW50" t="e">
        <f>AND(Bills!#REF!,"AAAAAH/7v2Q=")</f>
        <v>#REF!</v>
      </c>
      <c r="CX50" t="e">
        <f>AND(Bills!F90,"AAAAAH/7v2U=")</f>
        <v>#VALUE!</v>
      </c>
      <c r="CY50" t="e">
        <f>AND(Bills!#REF!,"AAAAAH/7v2Y=")</f>
        <v>#REF!</v>
      </c>
      <c r="CZ50" t="e">
        <f>AND(Bills!G90,"AAAAAH/7v2c=")</f>
        <v>#VALUE!</v>
      </c>
      <c r="DA50" t="e">
        <f>AND(Bills!H90,"AAAAAH/7v2g=")</f>
        <v>#VALUE!</v>
      </c>
      <c r="DB50" t="e">
        <f>AND(Bills!I90,"AAAAAH/7v2k=")</f>
        <v>#VALUE!</v>
      </c>
      <c r="DC50" t="e">
        <f>AND(Bills!J90,"AAAAAH/7v2o=")</f>
        <v>#VALUE!</v>
      </c>
      <c r="DD50" t="e">
        <f>AND(Bills!K90,"AAAAAH/7v2s=")</f>
        <v>#VALUE!</v>
      </c>
      <c r="DE50" t="e">
        <f>AND(Bills!L90,"AAAAAH/7v2w=")</f>
        <v>#VALUE!</v>
      </c>
      <c r="DF50" t="e">
        <f>AND(Bills!#REF!,"AAAAAH/7v20=")</f>
        <v>#REF!</v>
      </c>
      <c r="DG50" t="e">
        <f>AND(Bills!M90,"AAAAAH/7v24=")</f>
        <v>#VALUE!</v>
      </c>
      <c r="DH50" t="e">
        <f>AND(Bills!N90,"AAAAAH/7v28=")</f>
        <v>#VALUE!</v>
      </c>
      <c r="DI50" t="e">
        <f>AND(Bills!O90,"AAAAAH/7v3A=")</f>
        <v>#VALUE!</v>
      </c>
      <c r="DJ50" t="e">
        <f>AND(Bills!P90,"AAAAAH/7v3E=")</f>
        <v>#VALUE!</v>
      </c>
      <c r="DK50" t="e">
        <f>AND(Bills!Q90,"AAAAAH/7v3I=")</f>
        <v>#VALUE!</v>
      </c>
      <c r="DL50" t="e">
        <f>AND(Bills!R90,"AAAAAH/7v3M=")</f>
        <v>#VALUE!</v>
      </c>
      <c r="DM50" t="e">
        <f>AND(Bills!S90,"AAAAAH/7v3Q=")</f>
        <v>#VALUE!</v>
      </c>
      <c r="DN50" t="e">
        <f>AND(Bills!T90,"AAAAAH/7v3U=")</f>
        <v>#VALUE!</v>
      </c>
      <c r="DO50" t="e">
        <f>AND(Bills!#REF!,"AAAAAH/7v3Y=")</f>
        <v>#REF!</v>
      </c>
      <c r="DP50" t="e">
        <f>AND(Bills!U90,"AAAAAH/7v3c=")</f>
        <v>#VALUE!</v>
      </c>
      <c r="DQ50" t="e">
        <f>AND(Bills!V90,"AAAAAH/7v3g=")</f>
        <v>#VALUE!</v>
      </c>
      <c r="DR50" t="e">
        <f>AND(Bills!W90,"AAAAAH/7v3k=")</f>
        <v>#VALUE!</v>
      </c>
      <c r="DS50" t="e">
        <f>AND(Bills!#REF!,"AAAAAH/7v3o=")</f>
        <v>#REF!</v>
      </c>
      <c r="DT50" t="e">
        <f>AND(Bills!#REF!,"AAAAAH/7v3s=")</f>
        <v>#REF!</v>
      </c>
      <c r="DU50" t="e">
        <f>AND(Bills!Y90,"AAAAAH/7v3w=")</f>
        <v>#VALUE!</v>
      </c>
      <c r="DV50" t="e">
        <f>AND(Bills!Z90,"AAAAAH/7v30=")</f>
        <v>#VALUE!</v>
      </c>
      <c r="DW50" t="e">
        <f>AND(Bills!#REF!,"AAAAAH/7v34=")</f>
        <v>#REF!</v>
      </c>
      <c r="DX50" t="e">
        <f>AND(Bills!#REF!,"AAAAAH/7v38=")</f>
        <v>#REF!</v>
      </c>
      <c r="DY50" t="e">
        <f>AND(Bills!#REF!,"AAAAAH/7v4A=")</f>
        <v>#REF!</v>
      </c>
      <c r="DZ50" t="e">
        <f>AND(Bills!#REF!,"AAAAAH/7v4E=")</f>
        <v>#REF!</v>
      </c>
      <c r="EA50" t="e">
        <f>AND(Bills!#REF!,"AAAAAH/7v4I=")</f>
        <v>#REF!</v>
      </c>
      <c r="EB50" t="e">
        <f>AND(Bills!#REF!,"AAAAAH/7v4M=")</f>
        <v>#REF!</v>
      </c>
      <c r="EC50" t="e">
        <f>AND(Bills!#REF!,"AAAAAH/7v4Q=")</f>
        <v>#REF!</v>
      </c>
      <c r="ED50" t="e">
        <f>AND(Bills!#REF!,"AAAAAH/7v4U=")</f>
        <v>#REF!</v>
      </c>
      <c r="EE50" t="e">
        <f>AND(Bills!#REF!,"AAAAAH/7v4Y=")</f>
        <v>#REF!</v>
      </c>
      <c r="EF50" t="e">
        <f>AND(Bills!AA90,"AAAAAH/7v4c=")</f>
        <v>#VALUE!</v>
      </c>
      <c r="EG50" t="e">
        <f>AND(Bills!AB90,"AAAAAH/7v4g=")</f>
        <v>#VALUE!</v>
      </c>
      <c r="EH50" t="e">
        <f>AND(Bills!#REF!,"AAAAAH/7v4k=")</f>
        <v>#REF!</v>
      </c>
      <c r="EI50" t="e">
        <f>AND(Bills!#REF!,"AAAAAH/7v4o=")</f>
        <v>#REF!</v>
      </c>
      <c r="EJ50" t="e">
        <f>AND(Bills!#REF!,"AAAAAH/7v4s=")</f>
        <v>#REF!</v>
      </c>
      <c r="EK50" t="e">
        <f>AND(Bills!AC90,"AAAAAH/7v4w=")</f>
        <v>#VALUE!</v>
      </c>
      <c r="EL50" t="e">
        <f>AND(Bills!AD90,"AAAAAH/7v40=")</f>
        <v>#VALUE!</v>
      </c>
      <c r="EM50" t="e">
        <f>AND(Bills!AE90,"AAAAAH/7v44=")</f>
        <v>#VALUE!</v>
      </c>
      <c r="EN50">
        <f>IF(Bills!91:91,"AAAAAH/7v48=",0)</f>
        <v>0</v>
      </c>
      <c r="EO50" t="e">
        <f>AND(Bills!B91,"AAAAAH/7v5A=")</f>
        <v>#VALUE!</v>
      </c>
      <c r="EP50" t="e">
        <f>AND(Bills!#REF!,"AAAAAH/7v5E=")</f>
        <v>#REF!</v>
      </c>
      <c r="EQ50" t="e">
        <f>AND(Bills!C91,"AAAAAH/7v5I=")</f>
        <v>#VALUE!</v>
      </c>
      <c r="ER50" t="e">
        <f>AND(Bills!D91,"AAAAAH/7v5M=")</f>
        <v>#VALUE!</v>
      </c>
      <c r="ES50" t="e">
        <f>AND(Bills!E91,"AAAAAH/7v5Q=")</f>
        <v>#VALUE!</v>
      </c>
      <c r="ET50" t="e">
        <f>AND(Bills!#REF!,"AAAAAH/7v5U=")</f>
        <v>#REF!</v>
      </c>
      <c r="EU50" t="e">
        <f>AND(Bills!#REF!,"AAAAAH/7v5Y=")</f>
        <v>#REF!</v>
      </c>
      <c r="EV50" t="e">
        <f>AND(Bills!#REF!,"AAAAAH/7v5c=")</f>
        <v>#REF!</v>
      </c>
      <c r="EW50" t="e">
        <f>AND(Bills!F91,"AAAAAH/7v5g=")</f>
        <v>#VALUE!</v>
      </c>
      <c r="EX50" t="e">
        <f>AND(Bills!#REF!,"AAAAAH/7v5k=")</f>
        <v>#REF!</v>
      </c>
      <c r="EY50" t="e">
        <f>AND(Bills!G91,"AAAAAH/7v5o=")</f>
        <v>#VALUE!</v>
      </c>
      <c r="EZ50" t="e">
        <f>AND(Bills!H91,"AAAAAH/7v5s=")</f>
        <v>#VALUE!</v>
      </c>
      <c r="FA50" t="e">
        <f>AND(Bills!I91,"AAAAAH/7v5w=")</f>
        <v>#VALUE!</v>
      </c>
      <c r="FB50" t="e">
        <f>AND(Bills!J91,"AAAAAH/7v50=")</f>
        <v>#VALUE!</v>
      </c>
      <c r="FC50" t="e">
        <f>AND(Bills!K91,"AAAAAH/7v54=")</f>
        <v>#VALUE!</v>
      </c>
      <c r="FD50" t="e">
        <f>AND(Bills!L91,"AAAAAH/7v58=")</f>
        <v>#VALUE!</v>
      </c>
      <c r="FE50" t="e">
        <f>AND(Bills!#REF!,"AAAAAH/7v6A=")</f>
        <v>#REF!</v>
      </c>
      <c r="FF50" t="e">
        <f>AND(Bills!M91,"AAAAAH/7v6E=")</f>
        <v>#VALUE!</v>
      </c>
      <c r="FG50" t="e">
        <f>AND(Bills!N91,"AAAAAH/7v6I=")</f>
        <v>#VALUE!</v>
      </c>
      <c r="FH50" t="e">
        <f>AND(Bills!O91,"AAAAAH/7v6M=")</f>
        <v>#VALUE!</v>
      </c>
      <c r="FI50" t="e">
        <f>AND(Bills!P91,"AAAAAH/7v6Q=")</f>
        <v>#VALUE!</v>
      </c>
      <c r="FJ50" t="e">
        <f>AND(Bills!Q91,"AAAAAH/7v6U=")</f>
        <v>#VALUE!</v>
      </c>
      <c r="FK50" t="e">
        <f>AND(Bills!R91,"AAAAAH/7v6Y=")</f>
        <v>#VALUE!</v>
      </c>
      <c r="FL50" t="e">
        <f>AND(Bills!S91,"AAAAAH/7v6c=")</f>
        <v>#VALUE!</v>
      </c>
      <c r="FM50" t="e">
        <f>AND(Bills!T91,"AAAAAH/7v6g=")</f>
        <v>#VALUE!</v>
      </c>
      <c r="FN50" t="e">
        <f>AND(Bills!#REF!,"AAAAAH/7v6k=")</f>
        <v>#REF!</v>
      </c>
      <c r="FO50" t="e">
        <f>AND(Bills!U91,"AAAAAH/7v6o=")</f>
        <v>#VALUE!</v>
      </c>
      <c r="FP50" t="e">
        <f>AND(Bills!V91,"AAAAAH/7v6s=")</f>
        <v>#VALUE!</v>
      </c>
      <c r="FQ50" t="e">
        <f>AND(Bills!W91,"AAAAAH/7v6w=")</f>
        <v>#VALUE!</v>
      </c>
      <c r="FR50" t="e">
        <f>AND(Bills!#REF!,"AAAAAH/7v60=")</f>
        <v>#REF!</v>
      </c>
      <c r="FS50" t="e">
        <f>AND(Bills!#REF!,"AAAAAH/7v64=")</f>
        <v>#REF!</v>
      </c>
      <c r="FT50" t="e">
        <f>AND(Bills!Y91,"AAAAAH/7v68=")</f>
        <v>#VALUE!</v>
      </c>
      <c r="FU50" t="e">
        <f>AND(Bills!Z91,"AAAAAH/7v7A=")</f>
        <v>#VALUE!</v>
      </c>
      <c r="FV50" t="e">
        <f>AND(Bills!#REF!,"AAAAAH/7v7E=")</f>
        <v>#REF!</v>
      </c>
      <c r="FW50" t="e">
        <f>AND(Bills!#REF!,"AAAAAH/7v7I=")</f>
        <v>#REF!</v>
      </c>
      <c r="FX50" t="e">
        <f>AND(Bills!#REF!,"AAAAAH/7v7M=")</f>
        <v>#REF!</v>
      </c>
      <c r="FY50" t="e">
        <f>AND(Bills!#REF!,"AAAAAH/7v7Q=")</f>
        <v>#REF!</v>
      </c>
      <c r="FZ50" t="e">
        <f>AND(Bills!#REF!,"AAAAAH/7v7U=")</f>
        <v>#REF!</v>
      </c>
      <c r="GA50" t="e">
        <f>AND(Bills!#REF!,"AAAAAH/7v7Y=")</f>
        <v>#REF!</v>
      </c>
      <c r="GB50" t="e">
        <f>AND(Bills!#REF!,"AAAAAH/7v7c=")</f>
        <v>#REF!</v>
      </c>
      <c r="GC50" t="e">
        <f>AND(Bills!#REF!,"AAAAAH/7v7g=")</f>
        <v>#REF!</v>
      </c>
      <c r="GD50" t="e">
        <f>AND(Bills!#REF!,"AAAAAH/7v7k=")</f>
        <v>#REF!</v>
      </c>
      <c r="GE50" t="e">
        <f>AND(Bills!AA91,"AAAAAH/7v7o=")</f>
        <v>#VALUE!</v>
      </c>
      <c r="GF50" t="e">
        <f>AND(Bills!AB91,"AAAAAH/7v7s=")</f>
        <v>#VALUE!</v>
      </c>
      <c r="GG50" t="e">
        <f>AND(Bills!#REF!,"AAAAAH/7v7w=")</f>
        <v>#REF!</v>
      </c>
      <c r="GH50" t="e">
        <f>AND(Bills!#REF!,"AAAAAH/7v70=")</f>
        <v>#REF!</v>
      </c>
      <c r="GI50" t="e">
        <f>AND(Bills!#REF!,"AAAAAH/7v74=")</f>
        <v>#REF!</v>
      </c>
      <c r="GJ50" t="e">
        <f>AND(Bills!AC91,"AAAAAH/7v78=")</f>
        <v>#VALUE!</v>
      </c>
      <c r="GK50" t="e">
        <f>AND(Bills!AD91,"AAAAAH/7v8A=")</f>
        <v>#VALUE!</v>
      </c>
      <c r="GL50" t="e">
        <f>AND(Bills!AE91,"AAAAAH/7v8E=")</f>
        <v>#VALUE!</v>
      </c>
      <c r="GM50">
        <f>IF(Bills!92:92,"AAAAAH/7v8I=",0)</f>
        <v>0</v>
      </c>
      <c r="GN50" t="e">
        <f>AND(Bills!B92,"AAAAAH/7v8M=")</f>
        <v>#VALUE!</v>
      </c>
      <c r="GO50" t="e">
        <f>AND(Bills!#REF!,"AAAAAH/7v8Q=")</f>
        <v>#REF!</v>
      </c>
      <c r="GP50" t="e">
        <f>AND(Bills!C92,"AAAAAH/7v8U=")</f>
        <v>#VALUE!</v>
      </c>
      <c r="GQ50" t="e">
        <f>AND(Bills!D92,"AAAAAH/7v8Y=")</f>
        <v>#VALUE!</v>
      </c>
      <c r="GR50" t="e">
        <f>AND(Bills!E92,"AAAAAH/7v8c=")</f>
        <v>#VALUE!</v>
      </c>
      <c r="GS50" t="e">
        <f>AND(Bills!#REF!,"AAAAAH/7v8g=")</f>
        <v>#REF!</v>
      </c>
      <c r="GT50" t="e">
        <f>AND(Bills!#REF!,"AAAAAH/7v8k=")</f>
        <v>#REF!</v>
      </c>
      <c r="GU50" t="e">
        <f>AND(Bills!#REF!,"AAAAAH/7v8o=")</f>
        <v>#REF!</v>
      </c>
      <c r="GV50" t="e">
        <f>AND(Bills!F92,"AAAAAH/7v8s=")</f>
        <v>#VALUE!</v>
      </c>
      <c r="GW50" t="e">
        <f>AND(Bills!#REF!,"AAAAAH/7v8w=")</f>
        <v>#REF!</v>
      </c>
      <c r="GX50" t="e">
        <f>AND(Bills!G92,"AAAAAH/7v80=")</f>
        <v>#VALUE!</v>
      </c>
      <c r="GY50" t="e">
        <f>AND(Bills!H92,"AAAAAH/7v84=")</f>
        <v>#VALUE!</v>
      </c>
      <c r="GZ50" t="e">
        <f>AND(Bills!I92,"AAAAAH/7v88=")</f>
        <v>#VALUE!</v>
      </c>
      <c r="HA50" t="e">
        <f>AND(Bills!J92,"AAAAAH/7v9A=")</f>
        <v>#VALUE!</v>
      </c>
      <c r="HB50" t="e">
        <f>AND(Bills!K92,"AAAAAH/7v9E=")</f>
        <v>#VALUE!</v>
      </c>
      <c r="HC50" t="e">
        <f>AND(Bills!L92,"AAAAAH/7v9I=")</f>
        <v>#VALUE!</v>
      </c>
      <c r="HD50" t="e">
        <f>AND(Bills!#REF!,"AAAAAH/7v9M=")</f>
        <v>#REF!</v>
      </c>
      <c r="HE50" t="e">
        <f>AND(Bills!M92,"AAAAAH/7v9Q=")</f>
        <v>#VALUE!</v>
      </c>
      <c r="HF50" t="e">
        <f>AND(Bills!N92,"AAAAAH/7v9U=")</f>
        <v>#VALUE!</v>
      </c>
      <c r="HG50" t="e">
        <f>AND(Bills!O92,"AAAAAH/7v9Y=")</f>
        <v>#VALUE!</v>
      </c>
      <c r="HH50" t="e">
        <f>AND(Bills!P92,"AAAAAH/7v9c=")</f>
        <v>#VALUE!</v>
      </c>
      <c r="HI50" t="e">
        <f>AND(Bills!Q92,"AAAAAH/7v9g=")</f>
        <v>#VALUE!</v>
      </c>
      <c r="HJ50" t="e">
        <f>AND(Bills!R92,"AAAAAH/7v9k=")</f>
        <v>#VALUE!</v>
      </c>
      <c r="HK50" t="e">
        <f>AND(Bills!S92,"AAAAAH/7v9o=")</f>
        <v>#VALUE!</v>
      </c>
      <c r="HL50" t="e">
        <f>AND(Bills!T92,"AAAAAH/7v9s=")</f>
        <v>#VALUE!</v>
      </c>
      <c r="HM50" t="e">
        <f>AND(Bills!#REF!,"AAAAAH/7v9w=")</f>
        <v>#REF!</v>
      </c>
      <c r="HN50" t="e">
        <f>AND(Bills!U92,"AAAAAH/7v90=")</f>
        <v>#VALUE!</v>
      </c>
      <c r="HO50" t="e">
        <f>AND(Bills!V92,"AAAAAH/7v94=")</f>
        <v>#VALUE!</v>
      </c>
      <c r="HP50" t="e">
        <f>AND(Bills!W92,"AAAAAH/7v98=")</f>
        <v>#VALUE!</v>
      </c>
      <c r="HQ50" t="e">
        <f>AND(Bills!#REF!,"AAAAAH/7v+A=")</f>
        <v>#REF!</v>
      </c>
      <c r="HR50" t="e">
        <f>AND(Bills!#REF!,"AAAAAH/7v+E=")</f>
        <v>#REF!</v>
      </c>
      <c r="HS50" t="e">
        <f>AND(Bills!Y92,"AAAAAH/7v+I=")</f>
        <v>#VALUE!</v>
      </c>
      <c r="HT50" t="e">
        <f>AND(Bills!Z92,"AAAAAH/7v+M=")</f>
        <v>#VALUE!</v>
      </c>
      <c r="HU50" t="e">
        <f>AND(Bills!#REF!,"AAAAAH/7v+Q=")</f>
        <v>#REF!</v>
      </c>
      <c r="HV50" t="e">
        <f>AND(Bills!#REF!,"AAAAAH/7v+U=")</f>
        <v>#REF!</v>
      </c>
      <c r="HW50" t="e">
        <f>AND(Bills!#REF!,"AAAAAH/7v+Y=")</f>
        <v>#REF!</v>
      </c>
      <c r="HX50" t="e">
        <f>AND(Bills!#REF!,"AAAAAH/7v+c=")</f>
        <v>#REF!</v>
      </c>
      <c r="HY50" t="e">
        <f>AND(Bills!#REF!,"AAAAAH/7v+g=")</f>
        <v>#REF!</v>
      </c>
      <c r="HZ50" t="e">
        <f>AND(Bills!#REF!,"AAAAAH/7v+k=")</f>
        <v>#REF!</v>
      </c>
      <c r="IA50" t="e">
        <f>AND(Bills!#REF!,"AAAAAH/7v+o=")</f>
        <v>#REF!</v>
      </c>
      <c r="IB50" t="e">
        <f>AND(Bills!#REF!,"AAAAAH/7v+s=")</f>
        <v>#REF!</v>
      </c>
      <c r="IC50" t="e">
        <f>AND(Bills!#REF!,"AAAAAH/7v+w=")</f>
        <v>#REF!</v>
      </c>
      <c r="ID50" t="e">
        <f>AND(Bills!AA92,"AAAAAH/7v+0=")</f>
        <v>#VALUE!</v>
      </c>
      <c r="IE50" t="e">
        <f>AND(Bills!AB92,"AAAAAH/7v+4=")</f>
        <v>#VALUE!</v>
      </c>
      <c r="IF50" t="e">
        <f>AND(Bills!#REF!,"AAAAAH/7v+8=")</f>
        <v>#REF!</v>
      </c>
      <c r="IG50" t="e">
        <f>AND(Bills!#REF!,"AAAAAH/7v/A=")</f>
        <v>#REF!</v>
      </c>
      <c r="IH50" t="e">
        <f>AND(Bills!#REF!,"AAAAAH/7v/E=")</f>
        <v>#REF!</v>
      </c>
      <c r="II50" t="e">
        <f>AND(Bills!AC92,"AAAAAH/7v/I=")</f>
        <v>#VALUE!</v>
      </c>
      <c r="IJ50" t="e">
        <f>AND(Bills!AD92,"AAAAAH/7v/M=")</f>
        <v>#VALUE!</v>
      </c>
      <c r="IK50" t="e">
        <f>AND(Bills!AE92,"AAAAAH/7v/Q=")</f>
        <v>#VALUE!</v>
      </c>
      <c r="IL50">
        <f>IF(Bills!93:93,"AAAAAH/7v/U=",0)</f>
        <v>0</v>
      </c>
      <c r="IM50" t="e">
        <f>AND(Bills!B93,"AAAAAH/7v/Y=")</f>
        <v>#VALUE!</v>
      </c>
      <c r="IN50" t="e">
        <f>AND(Bills!#REF!,"AAAAAH/7v/c=")</f>
        <v>#REF!</v>
      </c>
      <c r="IO50" t="e">
        <f>AND(Bills!C93,"AAAAAH/7v/g=")</f>
        <v>#VALUE!</v>
      </c>
      <c r="IP50" t="e">
        <f>AND(Bills!D93,"AAAAAH/7v/k=")</f>
        <v>#VALUE!</v>
      </c>
      <c r="IQ50" t="e">
        <f>AND(Bills!E93,"AAAAAH/7v/o=")</f>
        <v>#VALUE!</v>
      </c>
      <c r="IR50" t="e">
        <f>AND(Bills!#REF!,"AAAAAH/7v/s=")</f>
        <v>#REF!</v>
      </c>
      <c r="IS50" t="e">
        <f>AND(Bills!#REF!,"AAAAAH/7v/w=")</f>
        <v>#REF!</v>
      </c>
      <c r="IT50" t="e">
        <f>AND(Bills!#REF!,"AAAAAH/7v/0=")</f>
        <v>#REF!</v>
      </c>
      <c r="IU50" t="e">
        <f>AND(Bills!F93,"AAAAAH/7v/4=")</f>
        <v>#VALUE!</v>
      </c>
      <c r="IV50" t="e">
        <f>AND(Bills!#REF!,"AAAAAH/7v/8=")</f>
        <v>#REF!</v>
      </c>
    </row>
    <row r="51" spans="1:256" x14ac:dyDescent="0.25">
      <c r="A51" t="e">
        <f>AND(Bills!G93,"AAAAAF/7ywA=")</f>
        <v>#VALUE!</v>
      </c>
      <c r="B51" t="e">
        <f>AND(Bills!H93,"AAAAAF/7ywE=")</f>
        <v>#VALUE!</v>
      </c>
      <c r="C51" t="e">
        <f>AND(Bills!I93,"AAAAAF/7ywI=")</f>
        <v>#VALUE!</v>
      </c>
      <c r="D51" t="e">
        <f>AND(Bills!J93,"AAAAAF/7ywM=")</f>
        <v>#VALUE!</v>
      </c>
      <c r="E51" t="e">
        <f>AND(Bills!K93,"AAAAAF/7ywQ=")</f>
        <v>#VALUE!</v>
      </c>
      <c r="F51" t="e">
        <f>AND(Bills!L93,"AAAAAF/7ywU=")</f>
        <v>#VALUE!</v>
      </c>
      <c r="G51" t="e">
        <f>AND(Bills!#REF!,"AAAAAF/7ywY=")</f>
        <v>#REF!</v>
      </c>
      <c r="H51" t="e">
        <f>AND(Bills!M93,"AAAAAF/7ywc=")</f>
        <v>#VALUE!</v>
      </c>
      <c r="I51" t="e">
        <f>AND(Bills!N93,"AAAAAF/7ywg=")</f>
        <v>#VALUE!</v>
      </c>
      <c r="J51" t="e">
        <f>AND(Bills!O93,"AAAAAF/7ywk=")</f>
        <v>#VALUE!</v>
      </c>
      <c r="K51" t="e">
        <f>AND(Bills!P93,"AAAAAF/7ywo=")</f>
        <v>#VALUE!</v>
      </c>
      <c r="L51" t="e">
        <f>AND(Bills!Q93,"AAAAAF/7yws=")</f>
        <v>#VALUE!</v>
      </c>
      <c r="M51" t="e">
        <f>AND(Bills!R93,"AAAAAF/7yww=")</f>
        <v>#VALUE!</v>
      </c>
      <c r="N51" t="e">
        <f>AND(Bills!S93,"AAAAAF/7yw0=")</f>
        <v>#VALUE!</v>
      </c>
      <c r="O51" t="e">
        <f>AND(Bills!T93,"AAAAAF/7yw4=")</f>
        <v>#VALUE!</v>
      </c>
      <c r="P51" t="e">
        <f>AND(Bills!#REF!,"AAAAAF/7yw8=")</f>
        <v>#REF!</v>
      </c>
      <c r="Q51" t="e">
        <f>AND(Bills!U93,"AAAAAF/7yxA=")</f>
        <v>#VALUE!</v>
      </c>
      <c r="R51" t="e">
        <f>AND(Bills!V93,"AAAAAF/7yxE=")</f>
        <v>#VALUE!</v>
      </c>
      <c r="S51" t="e">
        <f>AND(Bills!W93,"AAAAAF/7yxI=")</f>
        <v>#VALUE!</v>
      </c>
      <c r="T51" t="e">
        <f>AND(Bills!#REF!,"AAAAAF/7yxM=")</f>
        <v>#REF!</v>
      </c>
      <c r="U51" t="e">
        <f>AND(Bills!#REF!,"AAAAAF/7yxQ=")</f>
        <v>#REF!</v>
      </c>
      <c r="V51" t="e">
        <f>AND(Bills!Y93,"AAAAAF/7yxU=")</f>
        <v>#VALUE!</v>
      </c>
      <c r="W51" t="e">
        <f>AND(Bills!Z93,"AAAAAF/7yxY=")</f>
        <v>#VALUE!</v>
      </c>
      <c r="X51" t="e">
        <f>AND(Bills!#REF!,"AAAAAF/7yxc=")</f>
        <v>#REF!</v>
      </c>
      <c r="Y51" t="e">
        <f>AND(Bills!#REF!,"AAAAAF/7yxg=")</f>
        <v>#REF!</v>
      </c>
      <c r="Z51" t="e">
        <f>AND(Bills!#REF!,"AAAAAF/7yxk=")</f>
        <v>#REF!</v>
      </c>
      <c r="AA51" t="e">
        <f>AND(Bills!#REF!,"AAAAAF/7yxo=")</f>
        <v>#REF!</v>
      </c>
      <c r="AB51" t="e">
        <f>AND(Bills!#REF!,"AAAAAF/7yxs=")</f>
        <v>#REF!</v>
      </c>
      <c r="AC51" t="e">
        <f>AND(Bills!#REF!,"AAAAAF/7yxw=")</f>
        <v>#REF!</v>
      </c>
      <c r="AD51" t="e">
        <f>AND(Bills!#REF!,"AAAAAF/7yx0=")</f>
        <v>#REF!</v>
      </c>
      <c r="AE51" t="e">
        <f>AND(Bills!#REF!,"AAAAAF/7yx4=")</f>
        <v>#REF!</v>
      </c>
      <c r="AF51" t="e">
        <f>AND(Bills!#REF!,"AAAAAF/7yx8=")</f>
        <v>#REF!</v>
      </c>
      <c r="AG51" t="e">
        <f>AND(Bills!AA93,"AAAAAF/7yyA=")</f>
        <v>#VALUE!</v>
      </c>
      <c r="AH51" t="e">
        <f>AND(Bills!AB93,"AAAAAF/7yyE=")</f>
        <v>#VALUE!</v>
      </c>
      <c r="AI51" t="e">
        <f>AND(Bills!#REF!,"AAAAAF/7yyI=")</f>
        <v>#REF!</v>
      </c>
      <c r="AJ51" t="e">
        <f>AND(Bills!#REF!,"AAAAAF/7yyM=")</f>
        <v>#REF!</v>
      </c>
      <c r="AK51" t="e">
        <f>AND(Bills!#REF!,"AAAAAF/7yyQ=")</f>
        <v>#REF!</v>
      </c>
      <c r="AL51" t="e">
        <f>AND(Bills!AC93,"AAAAAF/7yyU=")</f>
        <v>#VALUE!</v>
      </c>
      <c r="AM51" t="e">
        <f>AND(Bills!AD93,"AAAAAF/7yyY=")</f>
        <v>#VALUE!</v>
      </c>
      <c r="AN51" t="e">
        <f>AND(Bills!AE93,"AAAAAF/7yyc=")</f>
        <v>#VALUE!</v>
      </c>
      <c r="AO51">
        <f>IF(Bills!94:94,"AAAAAF/7yyg=",0)</f>
        <v>0</v>
      </c>
      <c r="AP51" t="e">
        <f>AND(Bills!B94,"AAAAAF/7yyk=")</f>
        <v>#VALUE!</v>
      </c>
      <c r="AQ51" t="e">
        <f>AND(Bills!#REF!,"AAAAAF/7yyo=")</f>
        <v>#REF!</v>
      </c>
      <c r="AR51" t="e">
        <f>AND(Bills!C94,"AAAAAF/7yys=")</f>
        <v>#VALUE!</v>
      </c>
      <c r="AS51" t="e">
        <f>AND(Bills!D94,"AAAAAF/7yyw=")</f>
        <v>#VALUE!</v>
      </c>
      <c r="AT51" t="e">
        <f>AND(Bills!E94,"AAAAAF/7yy0=")</f>
        <v>#VALUE!</v>
      </c>
      <c r="AU51" t="e">
        <f>AND(Bills!#REF!,"AAAAAF/7yy4=")</f>
        <v>#REF!</v>
      </c>
      <c r="AV51" t="e">
        <f>AND(Bills!#REF!,"AAAAAF/7yy8=")</f>
        <v>#REF!</v>
      </c>
      <c r="AW51" t="e">
        <f>AND(Bills!#REF!,"AAAAAF/7yzA=")</f>
        <v>#REF!</v>
      </c>
      <c r="AX51" t="e">
        <f>AND(Bills!F94,"AAAAAF/7yzE=")</f>
        <v>#VALUE!</v>
      </c>
      <c r="AY51" t="e">
        <f>AND(Bills!#REF!,"AAAAAF/7yzI=")</f>
        <v>#REF!</v>
      </c>
      <c r="AZ51" t="e">
        <f>AND(Bills!G94,"AAAAAF/7yzM=")</f>
        <v>#VALUE!</v>
      </c>
      <c r="BA51" t="e">
        <f>AND(Bills!H94,"AAAAAF/7yzQ=")</f>
        <v>#VALUE!</v>
      </c>
      <c r="BB51" t="e">
        <f>AND(Bills!I94,"AAAAAF/7yzU=")</f>
        <v>#VALUE!</v>
      </c>
      <c r="BC51" t="e">
        <f>AND(Bills!J94,"AAAAAF/7yzY=")</f>
        <v>#VALUE!</v>
      </c>
      <c r="BD51" t="e">
        <f>AND(Bills!K94,"AAAAAF/7yzc=")</f>
        <v>#VALUE!</v>
      </c>
      <c r="BE51" t="e">
        <f>AND(Bills!L94,"AAAAAF/7yzg=")</f>
        <v>#VALUE!</v>
      </c>
      <c r="BF51" t="e">
        <f>AND(Bills!#REF!,"AAAAAF/7yzk=")</f>
        <v>#REF!</v>
      </c>
      <c r="BG51" t="e">
        <f>AND(Bills!M94,"AAAAAF/7yzo=")</f>
        <v>#VALUE!</v>
      </c>
      <c r="BH51" t="e">
        <f>AND(Bills!N94,"AAAAAF/7yzs=")</f>
        <v>#VALUE!</v>
      </c>
      <c r="BI51" t="e">
        <f>AND(Bills!O94,"AAAAAF/7yzw=")</f>
        <v>#VALUE!</v>
      </c>
      <c r="BJ51" t="e">
        <f>AND(Bills!P94,"AAAAAF/7yz0=")</f>
        <v>#VALUE!</v>
      </c>
      <c r="BK51" t="e">
        <f>AND(Bills!Q94,"AAAAAF/7yz4=")</f>
        <v>#VALUE!</v>
      </c>
      <c r="BL51" t="e">
        <f>AND(Bills!R94,"AAAAAF/7yz8=")</f>
        <v>#VALUE!</v>
      </c>
      <c r="BM51" t="e">
        <f>AND(Bills!S94,"AAAAAF/7y0A=")</f>
        <v>#VALUE!</v>
      </c>
      <c r="BN51" t="e">
        <f>AND(Bills!T94,"AAAAAF/7y0E=")</f>
        <v>#VALUE!</v>
      </c>
      <c r="BO51" t="e">
        <f>AND(Bills!#REF!,"AAAAAF/7y0I=")</f>
        <v>#REF!</v>
      </c>
      <c r="BP51" t="e">
        <f>AND(Bills!U94,"AAAAAF/7y0M=")</f>
        <v>#VALUE!</v>
      </c>
      <c r="BQ51" t="e">
        <f>AND(Bills!V94,"AAAAAF/7y0Q=")</f>
        <v>#VALUE!</v>
      </c>
      <c r="BR51" t="e">
        <f>AND(Bills!W94,"AAAAAF/7y0U=")</f>
        <v>#VALUE!</v>
      </c>
      <c r="BS51" t="e">
        <f>AND(Bills!#REF!,"AAAAAF/7y0Y=")</f>
        <v>#REF!</v>
      </c>
      <c r="BT51" t="e">
        <f>AND(Bills!#REF!,"AAAAAF/7y0c=")</f>
        <v>#REF!</v>
      </c>
      <c r="BU51" t="e">
        <f>AND(Bills!Y94,"AAAAAF/7y0g=")</f>
        <v>#VALUE!</v>
      </c>
      <c r="BV51" t="e">
        <f>AND(Bills!Z94,"AAAAAF/7y0k=")</f>
        <v>#VALUE!</v>
      </c>
      <c r="BW51" t="e">
        <f>AND(Bills!#REF!,"AAAAAF/7y0o=")</f>
        <v>#REF!</v>
      </c>
      <c r="BX51" t="e">
        <f>AND(Bills!#REF!,"AAAAAF/7y0s=")</f>
        <v>#REF!</v>
      </c>
      <c r="BY51" t="e">
        <f>AND(Bills!#REF!,"AAAAAF/7y0w=")</f>
        <v>#REF!</v>
      </c>
      <c r="BZ51" t="e">
        <f>AND(Bills!#REF!,"AAAAAF/7y00=")</f>
        <v>#REF!</v>
      </c>
      <c r="CA51" t="e">
        <f>AND(Bills!#REF!,"AAAAAF/7y04=")</f>
        <v>#REF!</v>
      </c>
      <c r="CB51" t="e">
        <f>AND(Bills!#REF!,"AAAAAF/7y08=")</f>
        <v>#REF!</v>
      </c>
      <c r="CC51" t="e">
        <f>AND(Bills!#REF!,"AAAAAF/7y1A=")</f>
        <v>#REF!</v>
      </c>
      <c r="CD51" t="e">
        <f>AND(Bills!#REF!,"AAAAAF/7y1E=")</f>
        <v>#REF!</v>
      </c>
      <c r="CE51" t="e">
        <f>AND(Bills!#REF!,"AAAAAF/7y1I=")</f>
        <v>#REF!</v>
      </c>
      <c r="CF51" t="e">
        <f>AND(Bills!AA94,"AAAAAF/7y1M=")</f>
        <v>#VALUE!</v>
      </c>
      <c r="CG51" t="e">
        <f>AND(Bills!AB94,"AAAAAF/7y1Q=")</f>
        <v>#VALUE!</v>
      </c>
      <c r="CH51" t="e">
        <f>AND(Bills!#REF!,"AAAAAF/7y1U=")</f>
        <v>#REF!</v>
      </c>
      <c r="CI51" t="e">
        <f>AND(Bills!#REF!,"AAAAAF/7y1Y=")</f>
        <v>#REF!</v>
      </c>
      <c r="CJ51" t="e">
        <f>AND(Bills!#REF!,"AAAAAF/7y1c=")</f>
        <v>#REF!</v>
      </c>
      <c r="CK51" t="e">
        <f>AND(Bills!AC94,"AAAAAF/7y1g=")</f>
        <v>#VALUE!</v>
      </c>
      <c r="CL51" t="e">
        <f>AND(Bills!AD94,"AAAAAF/7y1k=")</f>
        <v>#VALUE!</v>
      </c>
      <c r="CM51" t="e">
        <f>AND(Bills!AE94,"AAAAAF/7y1o=")</f>
        <v>#VALUE!</v>
      </c>
      <c r="CN51">
        <f>IF(Bills!95:95,"AAAAAF/7y1s=",0)</f>
        <v>0</v>
      </c>
      <c r="CO51" t="e">
        <f>AND(Bills!B95,"AAAAAF/7y1w=")</f>
        <v>#VALUE!</v>
      </c>
      <c r="CP51" t="e">
        <f>AND(Bills!#REF!,"AAAAAF/7y10=")</f>
        <v>#REF!</v>
      </c>
      <c r="CQ51" t="e">
        <f>AND(Bills!C95,"AAAAAF/7y14=")</f>
        <v>#VALUE!</v>
      </c>
      <c r="CR51" t="e">
        <f>AND(Bills!D95,"AAAAAF/7y18=")</f>
        <v>#VALUE!</v>
      </c>
      <c r="CS51" t="e">
        <f>AND(Bills!E95,"AAAAAF/7y2A=")</f>
        <v>#VALUE!</v>
      </c>
      <c r="CT51" t="e">
        <f>AND(Bills!#REF!,"AAAAAF/7y2E=")</f>
        <v>#REF!</v>
      </c>
      <c r="CU51" t="e">
        <f>AND(Bills!#REF!,"AAAAAF/7y2I=")</f>
        <v>#REF!</v>
      </c>
      <c r="CV51" t="e">
        <f>AND(Bills!#REF!,"AAAAAF/7y2M=")</f>
        <v>#REF!</v>
      </c>
      <c r="CW51" t="e">
        <f>AND(Bills!F95,"AAAAAF/7y2Q=")</f>
        <v>#VALUE!</v>
      </c>
      <c r="CX51" t="e">
        <f>AND(Bills!#REF!,"AAAAAF/7y2U=")</f>
        <v>#REF!</v>
      </c>
      <c r="CY51" t="e">
        <f>AND(Bills!G95,"AAAAAF/7y2Y=")</f>
        <v>#VALUE!</v>
      </c>
      <c r="CZ51" t="e">
        <f>AND(Bills!H95,"AAAAAF/7y2c=")</f>
        <v>#VALUE!</v>
      </c>
      <c r="DA51" t="e">
        <f>AND(Bills!I95,"AAAAAF/7y2g=")</f>
        <v>#VALUE!</v>
      </c>
      <c r="DB51" t="e">
        <f>AND(Bills!J95,"AAAAAF/7y2k=")</f>
        <v>#VALUE!</v>
      </c>
      <c r="DC51" t="e">
        <f>AND(Bills!K95,"AAAAAF/7y2o=")</f>
        <v>#VALUE!</v>
      </c>
      <c r="DD51" t="e">
        <f>AND(Bills!L95,"AAAAAF/7y2s=")</f>
        <v>#VALUE!</v>
      </c>
      <c r="DE51" t="e">
        <f>AND(Bills!#REF!,"AAAAAF/7y2w=")</f>
        <v>#REF!</v>
      </c>
      <c r="DF51" t="e">
        <f>AND(Bills!M95,"AAAAAF/7y20=")</f>
        <v>#VALUE!</v>
      </c>
      <c r="DG51" t="e">
        <f>AND(Bills!N95,"AAAAAF/7y24=")</f>
        <v>#VALUE!</v>
      </c>
      <c r="DH51" t="e">
        <f>AND(Bills!O95,"AAAAAF/7y28=")</f>
        <v>#VALUE!</v>
      </c>
      <c r="DI51" t="e">
        <f>AND(Bills!P95,"AAAAAF/7y3A=")</f>
        <v>#VALUE!</v>
      </c>
      <c r="DJ51" t="e">
        <f>AND(Bills!Q95,"AAAAAF/7y3E=")</f>
        <v>#VALUE!</v>
      </c>
      <c r="DK51" t="e">
        <f>AND(Bills!R95,"AAAAAF/7y3I=")</f>
        <v>#VALUE!</v>
      </c>
      <c r="DL51" t="e">
        <f>AND(Bills!S95,"AAAAAF/7y3M=")</f>
        <v>#VALUE!</v>
      </c>
      <c r="DM51" t="e">
        <f>AND(Bills!T95,"AAAAAF/7y3Q=")</f>
        <v>#VALUE!</v>
      </c>
      <c r="DN51" t="e">
        <f>AND(Bills!#REF!,"AAAAAF/7y3U=")</f>
        <v>#REF!</v>
      </c>
      <c r="DO51" t="e">
        <f>AND(Bills!U95,"AAAAAF/7y3Y=")</f>
        <v>#VALUE!</v>
      </c>
      <c r="DP51" t="e">
        <f>AND(Bills!V95,"AAAAAF/7y3c=")</f>
        <v>#VALUE!</v>
      </c>
      <c r="DQ51" t="e">
        <f>AND(Bills!W95,"AAAAAF/7y3g=")</f>
        <v>#VALUE!</v>
      </c>
      <c r="DR51" t="e">
        <f>AND(Bills!#REF!,"AAAAAF/7y3k=")</f>
        <v>#REF!</v>
      </c>
      <c r="DS51" t="e">
        <f>AND(Bills!#REF!,"AAAAAF/7y3o=")</f>
        <v>#REF!</v>
      </c>
      <c r="DT51" t="e">
        <f>AND(Bills!Y95,"AAAAAF/7y3s=")</f>
        <v>#VALUE!</v>
      </c>
      <c r="DU51" t="e">
        <f>AND(Bills!Z95,"AAAAAF/7y3w=")</f>
        <v>#VALUE!</v>
      </c>
      <c r="DV51" t="e">
        <f>AND(Bills!#REF!,"AAAAAF/7y30=")</f>
        <v>#REF!</v>
      </c>
      <c r="DW51" t="e">
        <f>AND(Bills!#REF!,"AAAAAF/7y34=")</f>
        <v>#REF!</v>
      </c>
      <c r="DX51" t="e">
        <f>AND(Bills!#REF!,"AAAAAF/7y38=")</f>
        <v>#REF!</v>
      </c>
      <c r="DY51" t="e">
        <f>AND(Bills!#REF!,"AAAAAF/7y4A=")</f>
        <v>#REF!</v>
      </c>
      <c r="DZ51" t="e">
        <f>AND(Bills!#REF!,"AAAAAF/7y4E=")</f>
        <v>#REF!</v>
      </c>
      <c r="EA51" t="e">
        <f>AND(Bills!#REF!,"AAAAAF/7y4I=")</f>
        <v>#REF!</v>
      </c>
      <c r="EB51" t="e">
        <f>AND(Bills!#REF!,"AAAAAF/7y4M=")</f>
        <v>#REF!</v>
      </c>
      <c r="EC51" t="e">
        <f>AND(Bills!#REF!,"AAAAAF/7y4Q=")</f>
        <v>#REF!</v>
      </c>
      <c r="ED51" t="e">
        <f>AND(Bills!#REF!,"AAAAAF/7y4U=")</f>
        <v>#REF!</v>
      </c>
      <c r="EE51" t="e">
        <f>AND(Bills!AA95,"AAAAAF/7y4Y=")</f>
        <v>#VALUE!</v>
      </c>
      <c r="EF51" t="e">
        <f>AND(Bills!AB95,"AAAAAF/7y4c=")</f>
        <v>#VALUE!</v>
      </c>
      <c r="EG51" t="e">
        <f>AND(Bills!#REF!,"AAAAAF/7y4g=")</f>
        <v>#REF!</v>
      </c>
      <c r="EH51" t="e">
        <f>AND(Bills!#REF!,"AAAAAF/7y4k=")</f>
        <v>#REF!</v>
      </c>
      <c r="EI51" t="e">
        <f>AND(Bills!#REF!,"AAAAAF/7y4o=")</f>
        <v>#REF!</v>
      </c>
      <c r="EJ51" t="e">
        <f>AND(Bills!AC95,"AAAAAF/7y4s=")</f>
        <v>#VALUE!</v>
      </c>
      <c r="EK51" t="e">
        <f>AND(Bills!AD95,"AAAAAF/7y4w=")</f>
        <v>#VALUE!</v>
      </c>
      <c r="EL51" t="e">
        <f>AND(Bills!AE95,"AAAAAF/7y40=")</f>
        <v>#VALUE!</v>
      </c>
      <c r="EM51">
        <f>IF(Bills!96:96,"AAAAAF/7y44=",0)</f>
        <v>0</v>
      </c>
      <c r="EN51" t="e">
        <f>AND(Bills!B96,"AAAAAF/7y48=")</f>
        <v>#VALUE!</v>
      </c>
      <c r="EO51" t="e">
        <f>AND(Bills!#REF!,"AAAAAF/7y5A=")</f>
        <v>#REF!</v>
      </c>
      <c r="EP51" t="e">
        <f>AND(Bills!C96,"AAAAAF/7y5E=")</f>
        <v>#VALUE!</v>
      </c>
      <c r="EQ51" t="e">
        <f>AND(Bills!D96,"AAAAAF/7y5I=")</f>
        <v>#VALUE!</v>
      </c>
      <c r="ER51" t="e">
        <f>AND(Bills!E96,"AAAAAF/7y5M=")</f>
        <v>#VALUE!</v>
      </c>
      <c r="ES51" t="e">
        <f>AND(Bills!#REF!,"AAAAAF/7y5Q=")</f>
        <v>#REF!</v>
      </c>
      <c r="ET51" t="e">
        <f>AND(Bills!#REF!,"AAAAAF/7y5U=")</f>
        <v>#REF!</v>
      </c>
      <c r="EU51" t="e">
        <f>AND(Bills!#REF!,"AAAAAF/7y5Y=")</f>
        <v>#REF!</v>
      </c>
      <c r="EV51" t="e">
        <f>AND(Bills!F96,"AAAAAF/7y5c=")</f>
        <v>#VALUE!</v>
      </c>
      <c r="EW51" t="e">
        <f>AND(Bills!#REF!,"AAAAAF/7y5g=")</f>
        <v>#REF!</v>
      </c>
      <c r="EX51" t="e">
        <f>AND(Bills!G96,"AAAAAF/7y5k=")</f>
        <v>#VALUE!</v>
      </c>
      <c r="EY51" t="e">
        <f>AND(Bills!H96,"AAAAAF/7y5o=")</f>
        <v>#VALUE!</v>
      </c>
      <c r="EZ51" t="e">
        <f>AND(Bills!I96,"AAAAAF/7y5s=")</f>
        <v>#VALUE!</v>
      </c>
      <c r="FA51" t="e">
        <f>AND(Bills!J96,"AAAAAF/7y5w=")</f>
        <v>#VALUE!</v>
      </c>
      <c r="FB51" t="e">
        <f>AND(Bills!K96,"AAAAAF/7y50=")</f>
        <v>#VALUE!</v>
      </c>
      <c r="FC51" t="e">
        <f>AND(Bills!L96,"AAAAAF/7y54=")</f>
        <v>#VALUE!</v>
      </c>
      <c r="FD51" t="e">
        <f>AND(Bills!#REF!,"AAAAAF/7y58=")</f>
        <v>#REF!</v>
      </c>
      <c r="FE51" t="e">
        <f>AND(Bills!M96,"AAAAAF/7y6A=")</f>
        <v>#VALUE!</v>
      </c>
      <c r="FF51" t="e">
        <f>AND(Bills!N96,"AAAAAF/7y6E=")</f>
        <v>#VALUE!</v>
      </c>
      <c r="FG51" t="e">
        <f>AND(Bills!O96,"AAAAAF/7y6I=")</f>
        <v>#VALUE!</v>
      </c>
      <c r="FH51" t="e">
        <f>AND(Bills!P96,"AAAAAF/7y6M=")</f>
        <v>#VALUE!</v>
      </c>
      <c r="FI51" t="e">
        <f>AND(Bills!Q96,"AAAAAF/7y6Q=")</f>
        <v>#VALUE!</v>
      </c>
      <c r="FJ51" t="e">
        <f>AND(Bills!R96,"AAAAAF/7y6U=")</f>
        <v>#VALUE!</v>
      </c>
      <c r="FK51" t="e">
        <f>AND(Bills!S96,"AAAAAF/7y6Y=")</f>
        <v>#VALUE!</v>
      </c>
      <c r="FL51" t="e">
        <f>AND(Bills!T96,"AAAAAF/7y6c=")</f>
        <v>#VALUE!</v>
      </c>
      <c r="FM51" t="e">
        <f>AND(Bills!#REF!,"AAAAAF/7y6g=")</f>
        <v>#REF!</v>
      </c>
      <c r="FN51" t="e">
        <f>AND(Bills!U96,"AAAAAF/7y6k=")</f>
        <v>#VALUE!</v>
      </c>
      <c r="FO51" t="e">
        <f>AND(Bills!V96,"AAAAAF/7y6o=")</f>
        <v>#VALUE!</v>
      </c>
      <c r="FP51" t="e">
        <f>AND(Bills!W96,"AAAAAF/7y6s=")</f>
        <v>#VALUE!</v>
      </c>
      <c r="FQ51" t="e">
        <f>AND(Bills!#REF!,"AAAAAF/7y6w=")</f>
        <v>#REF!</v>
      </c>
      <c r="FR51" t="e">
        <f>AND(Bills!#REF!,"AAAAAF/7y60=")</f>
        <v>#REF!</v>
      </c>
      <c r="FS51" t="e">
        <f>AND(Bills!Y96,"AAAAAF/7y64=")</f>
        <v>#VALUE!</v>
      </c>
      <c r="FT51" t="e">
        <f>AND(Bills!Z96,"AAAAAF/7y68=")</f>
        <v>#VALUE!</v>
      </c>
      <c r="FU51" t="e">
        <f>AND(Bills!#REF!,"AAAAAF/7y7A=")</f>
        <v>#REF!</v>
      </c>
      <c r="FV51" t="e">
        <f>AND(Bills!#REF!,"AAAAAF/7y7E=")</f>
        <v>#REF!</v>
      </c>
      <c r="FW51" t="e">
        <f>AND(Bills!#REF!,"AAAAAF/7y7I=")</f>
        <v>#REF!</v>
      </c>
      <c r="FX51" t="e">
        <f>AND(Bills!#REF!,"AAAAAF/7y7M=")</f>
        <v>#REF!</v>
      </c>
      <c r="FY51" t="e">
        <f>AND(Bills!#REF!,"AAAAAF/7y7Q=")</f>
        <v>#REF!</v>
      </c>
      <c r="FZ51" t="e">
        <f>AND(Bills!#REF!,"AAAAAF/7y7U=")</f>
        <v>#REF!</v>
      </c>
      <c r="GA51" t="e">
        <f>AND(Bills!#REF!,"AAAAAF/7y7Y=")</f>
        <v>#REF!</v>
      </c>
      <c r="GB51" t="e">
        <f>AND(Bills!#REF!,"AAAAAF/7y7c=")</f>
        <v>#REF!</v>
      </c>
      <c r="GC51" t="e">
        <f>AND(Bills!#REF!,"AAAAAF/7y7g=")</f>
        <v>#REF!</v>
      </c>
      <c r="GD51" t="e">
        <f>AND(Bills!AA96,"AAAAAF/7y7k=")</f>
        <v>#VALUE!</v>
      </c>
      <c r="GE51" t="e">
        <f>AND(Bills!AB96,"AAAAAF/7y7o=")</f>
        <v>#VALUE!</v>
      </c>
      <c r="GF51" t="e">
        <f>AND(Bills!#REF!,"AAAAAF/7y7s=")</f>
        <v>#REF!</v>
      </c>
      <c r="GG51" t="e">
        <f>AND(Bills!#REF!,"AAAAAF/7y7w=")</f>
        <v>#REF!</v>
      </c>
      <c r="GH51" t="e">
        <f>AND(Bills!#REF!,"AAAAAF/7y70=")</f>
        <v>#REF!</v>
      </c>
      <c r="GI51" t="e">
        <f>AND(Bills!AC96,"AAAAAF/7y74=")</f>
        <v>#VALUE!</v>
      </c>
      <c r="GJ51" t="e">
        <f>AND(Bills!AD96,"AAAAAF/7y78=")</f>
        <v>#VALUE!</v>
      </c>
      <c r="GK51" t="e">
        <f>AND(Bills!AE96,"AAAAAF/7y8A=")</f>
        <v>#VALUE!</v>
      </c>
      <c r="GL51">
        <f>IF(Bills!97:97,"AAAAAF/7y8E=",0)</f>
        <v>0</v>
      </c>
      <c r="GM51" t="e">
        <f>AND(Bills!B97,"AAAAAF/7y8I=")</f>
        <v>#VALUE!</v>
      </c>
      <c r="GN51" t="e">
        <f>AND(Bills!#REF!,"AAAAAF/7y8M=")</f>
        <v>#REF!</v>
      </c>
      <c r="GO51" t="e">
        <f>AND(Bills!C97,"AAAAAF/7y8Q=")</f>
        <v>#VALUE!</v>
      </c>
      <c r="GP51" t="e">
        <f>AND(Bills!D97,"AAAAAF/7y8U=")</f>
        <v>#VALUE!</v>
      </c>
      <c r="GQ51" t="e">
        <f>AND(Bills!E97,"AAAAAF/7y8Y=")</f>
        <v>#VALUE!</v>
      </c>
      <c r="GR51" t="e">
        <f>AND(Bills!#REF!,"AAAAAF/7y8c=")</f>
        <v>#REF!</v>
      </c>
      <c r="GS51" t="e">
        <f>AND(Bills!#REF!,"AAAAAF/7y8g=")</f>
        <v>#REF!</v>
      </c>
      <c r="GT51" t="e">
        <f>AND(Bills!#REF!,"AAAAAF/7y8k=")</f>
        <v>#REF!</v>
      </c>
      <c r="GU51" t="e">
        <f>AND(Bills!F97,"AAAAAF/7y8o=")</f>
        <v>#VALUE!</v>
      </c>
      <c r="GV51" t="e">
        <f>AND(Bills!#REF!,"AAAAAF/7y8s=")</f>
        <v>#REF!</v>
      </c>
      <c r="GW51" t="e">
        <f>AND(Bills!G97,"AAAAAF/7y8w=")</f>
        <v>#VALUE!</v>
      </c>
      <c r="GX51" t="e">
        <f>AND(Bills!H97,"AAAAAF/7y80=")</f>
        <v>#VALUE!</v>
      </c>
      <c r="GY51" t="e">
        <f>AND(Bills!I97,"AAAAAF/7y84=")</f>
        <v>#VALUE!</v>
      </c>
      <c r="GZ51" t="e">
        <f>AND(Bills!J97,"AAAAAF/7y88=")</f>
        <v>#VALUE!</v>
      </c>
      <c r="HA51" t="e">
        <f>AND(Bills!K97,"AAAAAF/7y9A=")</f>
        <v>#VALUE!</v>
      </c>
      <c r="HB51" t="e">
        <f>AND(Bills!L97,"AAAAAF/7y9E=")</f>
        <v>#VALUE!</v>
      </c>
      <c r="HC51" t="e">
        <f>AND(Bills!#REF!,"AAAAAF/7y9I=")</f>
        <v>#REF!</v>
      </c>
      <c r="HD51" t="e">
        <f>AND(Bills!M97,"AAAAAF/7y9M=")</f>
        <v>#VALUE!</v>
      </c>
      <c r="HE51" t="e">
        <f>AND(Bills!N97,"AAAAAF/7y9Q=")</f>
        <v>#VALUE!</v>
      </c>
      <c r="HF51" t="e">
        <f>AND(Bills!O97,"AAAAAF/7y9U=")</f>
        <v>#VALUE!</v>
      </c>
      <c r="HG51" t="e">
        <f>AND(Bills!P97,"AAAAAF/7y9Y=")</f>
        <v>#VALUE!</v>
      </c>
      <c r="HH51" t="e">
        <f>AND(Bills!Q97,"AAAAAF/7y9c=")</f>
        <v>#VALUE!</v>
      </c>
      <c r="HI51" t="e">
        <f>AND(Bills!R97,"AAAAAF/7y9g=")</f>
        <v>#VALUE!</v>
      </c>
      <c r="HJ51" t="e">
        <f>AND(Bills!S97,"AAAAAF/7y9k=")</f>
        <v>#VALUE!</v>
      </c>
      <c r="HK51" t="e">
        <f>AND(Bills!T97,"AAAAAF/7y9o=")</f>
        <v>#VALUE!</v>
      </c>
      <c r="HL51" t="e">
        <f>AND(Bills!#REF!,"AAAAAF/7y9s=")</f>
        <v>#REF!</v>
      </c>
      <c r="HM51" t="e">
        <f>AND(Bills!U97,"AAAAAF/7y9w=")</f>
        <v>#VALUE!</v>
      </c>
      <c r="HN51" t="e">
        <f>AND(Bills!V97,"AAAAAF/7y90=")</f>
        <v>#VALUE!</v>
      </c>
      <c r="HO51" t="e">
        <f>AND(Bills!W97,"AAAAAF/7y94=")</f>
        <v>#VALUE!</v>
      </c>
      <c r="HP51" t="e">
        <f>AND(Bills!#REF!,"AAAAAF/7y98=")</f>
        <v>#REF!</v>
      </c>
      <c r="HQ51" t="e">
        <f>AND(Bills!#REF!,"AAAAAF/7y+A=")</f>
        <v>#REF!</v>
      </c>
      <c r="HR51" t="e">
        <f>AND(Bills!Y97,"AAAAAF/7y+E=")</f>
        <v>#VALUE!</v>
      </c>
      <c r="HS51" t="e">
        <f>AND(Bills!Z97,"AAAAAF/7y+I=")</f>
        <v>#VALUE!</v>
      </c>
      <c r="HT51" t="e">
        <f>AND(Bills!#REF!,"AAAAAF/7y+M=")</f>
        <v>#REF!</v>
      </c>
      <c r="HU51" t="e">
        <f>AND(Bills!#REF!,"AAAAAF/7y+Q=")</f>
        <v>#REF!</v>
      </c>
      <c r="HV51" t="e">
        <f>AND(Bills!#REF!,"AAAAAF/7y+U=")</f>
        <v>#REF!</v>
      </c>
      <c r="HW51" t="e">
        <f>AND(Bills!#REF!,"AAAAAF/7y+Y=")</f>
        <v>#REF!</v>
      </c>
      <c r="HX51" t="e">
        <f>AND(Bills!#REF!,"AAAAAF/7y+c=")</f>
        <v>#REF!</v>
      </c>
      <c r="HY51" t="e">
        <f>AND(Bills!#REF!,"AAAAAF/7y+g=")</f>
        <v>#REF!</v>
      </c>
      <c r="HZ51" t="e">
        <f>AND(Bills!#REF!,"AAAAAF/7y+k=")</f>
        <v>#REF!</v>
      </c>
      <c r="IA51" t="e">
        <f>AND(Bills!#REF!,"AAAAAF/7y+o=")</f>
        <v>#REF!</v>
      </c>
      <c r="IB51" t="e">
        <f>AND(Bills!#REF!,"AAAAAF/7y+s=")</f>
        <v>#REF!</v>
      </c>
      <c r="IC51" t="e">
        <f>AND(Bills!AA97,"AAAAAF/7y+w=")</f>
        <v>#VALUE!</v>
      </c>
      <c r="ID51" t="e">
        <f>AND(Bills!AB97,"AAAAAF/7y+0=")</f>
        <v>#VALUE!</v>
      </c>
      <c r="IE51" t="e">
        <f>AND(Bills!#REF!,"AAAAAF/7y+4=")</f>
        <v>#REF!</v>
      </c>
      <c r="IF51" t="e">
        <f>AND(Bills!#REF!,"AAAAAF/7y+8=")</f>
        <v>#REF!</v>
      </c>
      <c r="IG51" t="e">
        <f>AND(Bills!#REF!,"AAAAAF/7y/A=")</f>
        <v>#REF!</v>
      </c>
      <c r="IH51" t="e">
        <f>AND(Bills!AC97,"AAAAAF/7y/E=")</f>
        <v>#VALUE!</v>
      </c>
      <c r="II51" t="e">
        <f>AND(Bills!AD97,"AAAAAF/7y/I=")</f>
        <v>#VALUE!</v>
      </c>
      <c r="IJ51" t="e">
        <f>AND(Bills!AE97,"AAAAAF/7y/M=")</f>
        <v>#VALUE!</v>
      </c>
      <c r="IK51">
        <f>IF(Bills!98:98,"AAAAAF/7y/Q=",0)</f>
        <v>0</v>
      </c>
      <c r="IL51" t="e">
        <f>AND(Bills!B98,"AAAAAF/7y/U=")</f>
        <v>#VALUE!</v>
      </c>
      <c r="IM51" t="e">
        <f>AND(Bills!#REF!,"AAAAAF/7y/Y=")</f>
        <v>#REF!</v>
      </c>
      <c r="IN51" t="e">
        <f>AND(Bills!C98,"AAAAAF/7y/c=")</f>
        <v>#VALUE!</v>
      </c>
      <c r="IO51" t="e">
        <f>AND(Bills!D98,"AAAAAF/7y/g=")</f>
        <v>#VALUE!</v>
      </c>
      <c r="IP51" t="e">
        <f>AND(Bills!E98,"AAAAAF/7y/k=")</f>
        <v>#VALUE!</v>
      </c>
      <c r="IQ51" t="e">
        <f>AND(Bills!#REF!,"AAAAAF/7y/o=")</f>
        <v>#REF!</v>
      </c>
      <c r="IR51" t="e">
        <f>AND(Bills!#REF!,"AAAAAF/7y/s=")</f>
        <v>#REF!</v>
      </c>
      <c r="IS51" t="e">
        <f>AND(Bills!#REF!,"AAAAAF/7y/w=")</f>
        <v>#REF!</v>
      </c>
      <c r="IT51" t="e">
        <f>AND(Bills!F98,"AAAAAF/7y/0=")</f>
        <v>#VALUE!</v>
      </c>
      <c r="IU51" t="e">
        <f>AND(Bills!#REF!,"AAAAAF/7y/4=")</f>
        <v>#REF!</v>
      </c>
      <c r="IV51" t="e">
        <f>AND(Bills!G98,"AAAAAF/7y/8=")</f>
        <v>#VALUE!</v>
      </c>
    </row>
    <row r="52" spans="1:256" x14ac:dyDescent="0.25">
      <c r="A52" t="e">
        <f>AND(Bills!H98,"AAAAAH/7XAA=")</f>
        <v>#VALUE!</v>
      </c>
      <c r="B52" t="e">
        <f>AND(Bills!I98,"AAAAAH/7XAE=")</f>
        <v>#VALUE!</v>
      </c>
      <c r="C52" t="e">
        <f>AND(Bills!J98,"AAAAAH/7XAI=")</f>
        <v>#VALUE!</v>
      </c>
      <c r="D52" t="e">
        <f>AND(Bills!K98,"AAAAAH/7XAM=")</f>
        <v>#VALUE!</v>
      </c>
      <c r="E52" t="e">
        <f>AND(Bills!L98,"AAAAAH/7XAQ=")</f>
        <v>#VALUE!</v>
      </c>
      <c r="F52" t="e">
        <f>AND(Bills!#REF!,"AAAAAH/7XAU=")</f>
        <v>#REF!</v>
      </c>
      <c r="G52" t="e">
        <f>AND(Bills!M98,"AAAAAH/7XAY=")</f>
        <v>#VALUE!</v>
      </c>
      <c r="H52" t="e">
        <f>AND(Bills!N98,"AAAAAH/7XAc=")</f>
        <v>#VALUE!</v>
      </c>
      <c r="I52" t="e">
        <f>AND(Bills!O98,"AAAAAH/7XAg=")</f>
        <v>#VALUE!</v>
      </c>
      <c r="J52" t="e">
        <f>AND(Bills!P98,"AAAAAH/7XAk=")</f>
        <v>#VALUE!</v>
      </c>
      <c r="K52" t="e">
        <f>AND(Bills!Q98,"AAAAAH/7XAo=")</f>
        <v>#VALUE!</v>
      </c>
      <c r="L52" t="e">
        <f>AND(Bills!R98,"AAAAAH/7XAs=")</f>
        <v>#VALUE!</v>
      </c>
      <c r="M52" t="e">
        <f>AND(Bills!S98,"AAAAAH/7XAw=")</f>
        <v>#VALUE!</v>
      </c>
      <c r="N52" t="e">
        <f>AND(Bills!T98,"AAAAAH/7XA0=")</f>
        <v>#VALUE!</v>
      </c>
      <c r="O52" t="e">
        <f>AND(Bills!#REF!,"AAAAAH/7XA4=")</f>
        <v>#REF!</v>
      </c>
      <c r="P52" t="e">
        <f>AND(Bills!U98,"AAAAAH/7XA8=")</f>
        <v>#VALUE!</v>
      </c>
      <c r="Q52" t="e">
        <f>AND(Bills!V98,"AAAAAH/7XBA=")</f>
        <v>#VALUE!</v>
      </c>
      <c r="R52" t="e">
        <f>AND(Bills!W98,"AAAAAH/7XBE=")</f>
        <v>#VALUE!</v>
      </c>
      <c r="S52" t="e">
        <f>AND(Bills!#REF!,"AAAAAH/7XBI=")</f>
        <v>#REF!</v>
      </c>
      <c r="T52" t="e">
        <f>AND(Bills!#REF!,"AAAAAH/7XBM=")</f>
        <v>#REF!</v>
      </c>
      <c r="U52" t="e">
        <f>AND(Bills!Y98,"AAAAAH/7XBQ=")</f>
        <v>#VALUE!</v>
      </c>
      <c r="V52" t="e">
        <f>AND(Bills!Z98,"AAAAAH/7XBU=")</f>
        <v>#VALUE!</v>
      </c>
      <c r="W52" t="e">
        <f>AND(Bills!#REF!,"AAAAAH/7XBY=")</f>
        <v>#REF!</v>
      </c>
      <c r="X52" t="e">
        <f>AND(Bills!#REF!,"AAAAAH/7XBc=")</f>
        <v>#REF!</v>
      </c>
      <c r="Y52" t="e">
        <f>AND(Bills!#REF!,"AAAAAH/7XBg=")</f>
        <v>#REF!</v>
      </c>
      <c r="Z52" t="e">
        <f>AND(Bills!#REF!,"AAAAAH/7XBk=")</f>
        <v>#REF!</v>
      </c>
      <c r="AA52" t="e">
        <f>AND(Bills!#REF!,"AAAAAH/7XBo=")</f>
        <v>#REF!</v>
      </c>
      <c r="AB52" t="e">
        <f>AND(Bills!#REF!,"AAAAAH/7XBs=")</f>
        <v>#REF!</v>
      </c>
      <c r="AC52" t="e">
        <f>AND(Bills!#REF!,"AAAAAH/7XBw=")</f>
        <v>#REF!</v>
      </c>
      <c r="AD52" t="e">
        <f>AND(Bills!#REF!,"AAAAAH/7XB0=")</f>
        <v>#REF!</v>
      </c>
      <c r="AE52" t="e">
        <f>AND(Bills!#REF!,"AAAAAH/7XB4=")</f>
        <v>#REF!</v>
      </c>
      <c r="AF52" t="e">
        <f>AND(Bills!AA98,"AAAAAH/7XB8=")</f>
        <v>#VALUE!</v>
      </c>
      <c r="AG52" t="e">
        <f>AND(Bills!AB98,"AAAAAH/7XCA=")</f>
        <v>#VALUE!</v>
      </c>
      <c r="AH52" t="e">
        <f>AND(Bills!#REF!,"AAAAAH/7XCE=")</f>
        <v>#REF!</v>
      </c>
      <c r="AI52" t="e">
        <f>AND(Bills!#REF!,"AAAAAH/7XCI=")</f>
        <v>#REF!</v>
      </c>
      <c r="AJ52" t="e">
        <f>AND(Bills!#REF!,"AAAAAH/7XCM=")</f>
        <v>#REF!</v>
      </c>
      <c r="AK52" t="e">
        <f>AND(Bills!AC98,"AAAAAH/7XCQ=")</f>
        <v>#VALUE!</v>
      </c>
      <c r="AL52" t="e">
        <f>AND(Bills!AD98,"AAAAAH/7XCU=")</f>
        <v>#VALUE!</v>
      </c>
      <c r="AM52" t="e">
        <f>AND(Bills!AE98,"AAAAAH/7XCY=")</f>
        <v>#VALUE!</v>
      </c>
      <c r="AN52">
        <f>IF(Bills!99:99,"AAAAAH/7XCc=",0)</f>
        <v>0</v>
      </c>
      <c r="AO52" t="e">
        <f>AND(Bills!B99,"AAAAAH/7XCg=")</f>
        <v>#VALUE!</v>
      </c>
      <c r="AP52" t="e">
        <f>AND(Bills!#REF!,"AAAAAH/7XCk=")</f>
        <v>#REF!</v>
      </c>
      <c r="AQ52" t="e">
        <f>AND(Bills!C99,"AAAAAH/7XCo=")</f>
        <v>#VALUE!</v>
      </c>
      <c r="AR52" t="e">
        <f>AND(Bills!D99,"AAAAAH/7XCs=")</f>
        <v>#VALUE!</v>
      </c>
      <c r="AS52" t="e">
        <f>AND(Bills!E99,"AAAAAH/7XCw=")</f>
        <v>#VALUE!</v>
      </c>
      <c r="AT52" t="e">
        <f>AND(Bills!#REF!,"AAAAAH/7XC0=")</f>
        <v>#REF!</v>
      </c>
      <c r="AU52" t="e">
        <f>AND(Bills!#REF!,"AAAAAH/7XC4=")</f>
        <v>#REF!</v>
      </c>
      <c r="AV52" t="e">
        <f>AND(Bills!#REF!,"AAAAAH/7XC8=")</f>
        <v>#REF!</v>
      </c>
      <c r="AW52" t="e">
        <f>AND(Bills!F99,"AAAAAH/7XDA=")</f>
        <v>#VALUE!</v>
      </c>
      <c r="AX52" t="e">
        <f>AND(Bills!#REF!,"AAAAAH/7XDE=")</f>
        <v>#REF!</v>
      </c>
      <c r="AY52" t="e">
        <f>AND(Bills!G99,"AAAAAH/7XDI=")</f>
        <v>#VALUE!</v>
      </c>
      <c r="AZ52" t="e">
        <f>AND(Bills!H99,"AAAAAH/7XDM=")</f>
        <v>#VALUE!</v>
      </c>
      <c r="BA52" t="e">
        <f>AND(Bills!I99,"AAAAAH/7XDQ=")</f>
        <v>#VALUE!</v>
      </c>
      <c r="BB52" t="e">
        <f>AND(Bills!J99,"AAAAAH/7XDU=")</f>
        <v>#VALUE!</v>
      </c>
      <c r="BC52" t="e">
        <f>AND(Bills!K99,"AAAAAH/7XDY=")</f>
        <v>#VALUE!</v>
      </c>
      <c r="BD52" t="e">
        <f>AND(Bills!L99,"AAAAAH/7XDc=")</f>
        <v>#VALUE!</v>
      </c>
      <c r="BE52" t="e">
        <f>AND(Bills!#REF!,"AAAAAH/7XDg=")</f>
        <v>#REF!</v>
      </c>
      <c r="BF52" t="e">
        <f>AND(Bills!M99,"AAAAAH/7XDk=")</f>
        <v>#VALUE!</v>
      </c>
      <c r="BG52" t="e">
        <f>AND(Bills!N99,"AAAAAH/7XDo=")</f>
        <v>#VALUE!</v>
      </c>
      <c r="BH52" t="e">
        <f>AND(Bills!O99,"AAAAAH/7XDs=")</f>
        <v>#VALUE!</v>
      </c>
      <c r="BI52" t="e">
        <f>AND(Bills!P99,"AAAAAH/7XDw=")</f>
        <v>#VALUE!</v>
      </c>
      <c r="BJ52" t="e">
        <f>AND(Bills!Q99,"AAAAAH/7XD0=")</f>
        <v>#VALUE!</v>
      </c>
      <c r="BK52" t="e">
        <f>AND(Bills!R99,"AAAAAH/7XD4=")</f>
        <v>#VALUE!</v>
      </c>
      <c r="BL52" t="e">
        <f>AND(Bills!S99,"AAAAAH/7XD8=")</f>
        <v>#VALUE!</v>
      </c>
      <c r="BM52" t="e">
        <f>AND(Bills!T99,"AAAAAH/7XEA=")</f>
        <v>#VALUE!</v>
      </c>
      <c r="BN52" t="e">
        <f>AND(Bills!#REF!,"AAAAAH/7XEE=")</f>
        <v>#REF!</v>
      </c>
      <c r="BO52" t="e">
        <f>AND(Bills!U99,"AAAAAH/7XEI=")</f>
        <v>#VALUE!</v>
      </c>
      <c r="BP52" t="e">
        <f>AND(Bills!V99,"AAAAAH/7XEM=")</f>
        <v>#VALUE!</v>
      </c>
      <c r="BQ52" t="e">
        <f>AND(Bills!W99,"AAAAAH/7XEQ=")</f>
        <v>#VALUE!</v>
      </c>
      <c r="BR52" t="e">
        <f>AND(Bills!#REF!,"AAAAAH/7XEU=")</f>
        <v>#REF!</v>
      </c>
      <c r="BS52" t="e">
        <f>AND(Bills!#REF!,"AAAAAH/7XEY=")</f>
        <v>#REF!</v>
      </c>
      <c r="BT52" t="e">
        <f>AND(Bills!Y99,"AAAAAH/7XEc=")</f>
        <v>#VALUE!</v>
      </c>
      <c r="BU52" t="e">
        <f>AND(Bills!Z99,"AAAAAH/7XEg=")</f>
        <v>#VALUE!</v>
      </c>
      <c r="BV52" t="e">
        <f>AND(Bills!#REF!,"AAAAAH/7XEk=")</f>
        <v>#REF!</v>
      </c>
      <c r="BW52" t="e">
        <f>AND(Bills!#REF!,"AAAAAH/7XEo=")</f>
        <v>#REF!</v>
      </c>
      <c r="BX52" t="e">
        <f>AND(Bills!#REF!,"AAAAAH/7XEs=")</f>
        <v>#REF!</v>
      </c>
      <c r="BY52" t="e">
        <f>AND(Bills!#REF!,"AAAAAH/7XEw=")</f>
        <v>#REF!</v>
      </c>
      <c r="BZ52" t="e">
        <f>AND(Bills!#REF!,"AAAAAH/7XE0=")</f>
        <v>#REF!</v>
      </c>
      <c r="CA52" t="e">
        <f>AND(Bills!#REF!,"AAAAAH/7XE4=")</f>
        <v>#REF!</v>
      </c>
      <c r="CB52" t="e">
        <f>AND(Bills!#REF!,"AAAAAH/7XE8=")</f>
        <v>#REF!</v>
      </c>
      <c r="CC52" t="e">
        <f>AND(Bills!#REF!,"AAAAAH/7XFA=")</f>
        <v>#REF!</v>
      </c>
      <c r="CD52" t="e">
        <f>AND(Bills!#REF!,"AAAAAH/7XFE=")</f>
        <v>#REF!</v>
      </c>
      <c r="CE52" t="e">
        <f>AND(Bills!AA99,"AAAAAH/7XFI=")</f>
        <v>#VALUE!</v>
      </c>
      <c r="CF52" t="e">
        <f>AND(Bills!AB99,"AAAAAH/7XFM=")</f>
        <v>#VALUE!</v>
      </c>
      <c r="CG52" t="e">
        <f>AND(Bills!#REF!,"AAAAAH/7XFQ=")</f>
        <v>#REF!</v>
      </c>
      <c r="CH52" t="e">
        <f>AND(Bills!#REF!,"AAAAAH/7XFU=")</f>
        <v>#REF!</v>
      </c>
      <c r="CI52" t="e">
        <f>AND(Bills!#REF!,"AAAAAH/7XFY=")</f>
        <v>#REF!</v>
      </c>
      <c r="CJ52" t="e">
        <f>AND(Bills!AC99,"AAAAAH/7XFc=")</f>
        <v>#VALUE!</v>
      </c>
      <c r="CK52" t="e">
        <f>AND(Bills!AD99,"AAAAAH/7XFg=")</f>
        <v>#VALUE!</v>
      </c>
      <c r="CL52" t="e">
        <f>AND(Bills!AE99,"AAAAAH/7XFk=")</f>
        <v>#VALUE!</v>
      </c>
      <c r="CM52">
        <f>IF(Bills!100:100,"AAAAAH/7XFo=",0)</f>
        <v>0</v>
      </c>
      <c r="CN52" t="e">
        <f>AND(Bills!B100,"AAAAAH/7XFs=")</f>
        <v>#VALUE!</v>
      </c>
      <c r="CO52" t="e">
        <f>AND(Bills!#REF!,"AAAAAH/7XFw=")</f>
        <v>#REF!</v>
      </c>
      <c r="CP52" t="e">
        <f>AND(Bills!C100,"AAAAAH/7XF0=")</f>
        <v>#VALUE!</v>
      </c>
      <c r="CQ52" t="e">
        <f>AND(Bills!D100,"AAAAAH/7XF4=")</f>
        <v>#VALUE!</v>
      </c>
      <c r="CR52" t="e">
        <f>AND(Bills!E100,"AAAAAH/7XF8=")</f>
        <v>#VALUE!</v>
      </c>
      <c r="CS52" t="e">
        <f>AND(Bills!#REF!,"AAAAAH/7XGA=")</f>
        <v>#REF!</v>
      </c>
      <c r="CT52" t="e">
        <f>AND(Bills!#REF!,"AAAAAH/7XGE=")</f>
        <v>#REF!</v>
      </c>
      <c r="CU52" t="e">
        <f>AND(Bills!#REF!,"AAAAAH/7XGI=")</f>
        <v>#REF!</v>
      </c>
      <c r="CV52" t="e">
        <f>AND(Bills!F100,"AAAAAH/7XGM=")</f>
        <v>#VALUE!</v>
      </c>
      <c r="CW52" t="e">
        <f>AND(Bills!#REF!,"AAAAAH/7XGQ=")</f>
        <v>#REF!</v>
      </c>
      <c r="CX52" t="e">
        <f>AND(Bills!G100,"AAAAAH/7XGU=")</f>
        <v>#VALUE!</v>
      </c>
      <c r="CY52" t="e">
        <f>AND(Bills!H100,"AAAAAH/7XGY=")</f>
        <v>#VALUE!</v>
      </c>
      <c r="CZ52" t="e">
        <f>AND(Bills!I100,"AAAAAH/7XGc=")</f>
        <v>#VALUE!</v>
      </c>
      <c r="DA52" t="e">
        <f>AND(Bills!J100,"AAAAAH/7XGg=")</f>
        <v>#VALUE!</v>
      </c>
      <c r="DB52" t="e">
        <f>AND(Bills!K100,"AAAAAH/7XGk=")</f>
        <v>#VALUE!</v>
      </c>
      <c r="DC52" t="e">
        <f>AND(Bills!L100,"AAAAAH/7XGo=")</f>
        <v>#VALUE!</v>
      </c>
      <c r="DD52" t="e">
        <f>AND(Bills!#REF!,"AAAAAH/7XGs=")</f>
        <v>#REF!</v>
      </c>
      <c r="DE52" t="e">
        <f>AND(Bills!M100,"AAAAAH/7XGw=")</f>
        <v>#VALUE!</v>
      </c>
      <c r="DF52" t="e">
        <f>AND(Bills!N100,"AAAAAH/7XG0=")</f>
        <v>#VALUE!</v>
      </c>
      <c r="DG52" t="e">
        <f>AND(Bills!O100,"AAAAAH/7XG4=")</f>
        <v>#VALUE!</v>
      </c>
      <c r="DH52" t="e">
        <f>AND(Bills!P100,"AAAAAH/7XG8=")</f>
        <v>#VALUE!</v>
      </c>
      <c r="DI52" t="e">
        <f>AND(Bills!Q100,"AAAAAH/7XHA=")</f>
        <v>#VALUE!</v>
      </c>
      <c r="DJ52" t="e">
        <f>AND(Bills!R100,"AAAAAH/7XHE=")</f>
        <v>#VALUE!</v>
      </c>
      <c r="DK52" t="e">
        <f>AND(Bills!S100,"AAAAAH/7XHI=")</f>
        <v>#VALUE!</v>
      </c>
      <c r="DL52" t="e">
        <f>AND(Bills!T100,"AAAAAH/7XHM=")</f>
        <v>#VALUE!</v>
      </c>
      <c r="DM52" t="e">
        <f>AND(Bills!#REF!,"AAAAAH/7XHQ=")</f>
        <v>#REF!</v>
      </c>
      <c r="DN52" t="e">
        <f>AND(Bills!U100,"AAAAAH/7XHU=")</f>
        <v>#VALUE!</v>
      </c>
      <c r="DO52" t="e">
        <f>AND(Bills!V100,"AAAAAH/7XHY=")</f>
        <v>#VALUE!</v>
      </c>
      <c r="DP52" t="e">
        <f>AND(Bills!W100,"AAAAAH/7XHc=")</f>
        <v>#VALUE!</v>
      </c>
      <c r="DQ52" t="e">
        <f>AND(Bills!#REF!,"AAAAAH/7XHg=")</f>
        <v>#REF!</v>
      </c>
      <c r="DR52" t="e">
        <f>AND(Bills!#REF!,"AAAAAH/7XHk=")</f>
        <v>#REF!</v>
      </c>
      <c r="DS52" t="e">
        <f>AND(Bills!Y100,"AAAAAH/7XHo=")</f>
        <v>#VALUE!</v>
      </c>
      <c r="DT52" t="e">
        <f>AND(Bills!Z100,"AAAAAH/7XHs=")</f>
        <v>#VALUE!</v>
      </c>
      <c r="DU52" t="e">
        <f>AND(Bills!#REF!,"AAAAAH/7XHw=")</f>
        <v>#REF!</v>
      </c>
      <c r="DV52" t="e">
        <f>AND(Bills!#REF!,"AAAAAH/7XH0=")</f>
        <v>#REF!</v>
      </c>
      <c r="DW52" t="e">
        <f>AND(Bills!#REF!,"AAAAAH/7XH4=")</f>
        <v>#REF!</v>
      </c>
      <c r="DX52" t="e">
        <f>AND(Bills!#REF!,"AAAAAH/7XH8=")</f>
        <v>#REF!</v>
      </c>
      <c r="DY52" t="e">
        <f>AND(Bills!#REF!,"AAAAAH/7XIA=")</f>
        <v>#REF!</v>
      </c>
      <c r="DZ52" t="e">
        <f>AND(Bills!#REF!,"AAAAAH/7XIE=")</f>
        <v>#REF!</v>
      </c>
      <c r="EA52" t="e">
        <f>AND(Bills!#REF!,"AAAAAH/7XII=")</f>
        <v>#REF!</v>
      </c>
      <c r="EB52" t="e">
        <f>AND(Bills!#REF!,"AAAAAH/7XIM=")</f>
        <v>#REF!</v>
      </c>
      <c r="EC52" t="e">
        <f>AND(Bills!#REF!,"AAAAAH/7XIQ=")</f>
        <v>#REF!</v>
      </c>
      <c r="ED52" t="e">
        <f>AND(Bills!AA100,"AAAAAH/7XIU=")</f>
        <v>#VALUE!</v>
      </c>
      <c r="EE52" t="e">
        <f>AND(Bills!AB100,"AAAAAH/7XIY=")</f>
        <v>#VALUE!</v>
      </c>
      <c r="EF52" t="e">
        <f>AND(Bills!#REF!,"AAAAAH/7XIc=")</f>
        <v>#REF!</v>
      </c>
      <c r="EG52" t="e">
        <f>AND(Bills!#REF!,"AAAAAH/7XIg=")</f>
        <v>#REF!</v>
      </c>
      <c r="EH52" t="e">
        <f>AND(Bills!#REF!,"AAAAAH/7XIk=")</f>
        <v>#REF!</v>
      </c>
      <c r="EI52" t="e">
        <f>AND(Bills!AC100,"AAAAAH/7XIo=")</f>
        <v>#VALUE!</v>
      </c>
      <c r="EJ52" t="e">
        <f>AND(Bills!AD100,"AAAAAH/7XIs=")</f>
        <v>#VALUE!</v>
      </c>
      <c r="EK52" t="e">
        <f>AND(Bills!AE100,"AAAAAH/7XIw=")</f>
        <v>#VALUE!</v>
      </c>
      <c r="EL52">
        <f>IF(Bills!101:101,"AAAAAH/7XI0=",0)</f>
        <v>0</v>
      </c>
      <c r="EM52" t="e">
        <f>AND(Bills!B101,"AAAAAH/7XI4=")</f>
        <v>#VALUE!</v>
      </c>
      <c r="EN52" t="e">
        <f>AND(Bills!#REF!,"AAAAAH/7XI8=")</f>
        <v>#REF!</v>
      </c>
      <c r="EO52" t="e">
        <f>AND(Bills!C101,"AAAAAH/7XJA=")</f>
        <v>#VALUE!</v>
      </c>
      <c r="EP52" t="e">
        <f>AND(Bills!D101,"AAAAAH/7XJE=")</f>
        <v>#VALUE!</v>
      </c>
      <c r="EQ52" t="e">
        <f>AND(Bills!E101,"AAAAAH/7XJI=")</f>
        <v>#VALUE!</v>
      </c>
      <c r="ER52" t="e">
        <f>AND(Bills!#REF!,"AAAAAH/7XJM=")</f>
        <v>#REF!</v>
      </c>
      <c r="ES52" t="e">
        <f>AND(Bills!#REF!,"AAAAAH/7XJQ=")</f>
        <v>#REF!</v>
      </c>
      <c r="ET52" t="e">
        <f>AND(Bills!#REF!,"AAAAAH/7XJU=")</f>
        <v>#REF!</v>
      </c>
      <c r="EU52" t="e">
        <f>AND(Bills!F101,"AAAAAH/7XJY=")</f>
        <v>#VALUE!</v>
      </c>
      <c r="EV52" t="e">
        <f>AND(Bills!#REF!,"AAAAAH/7XJc=")</f>
        <v>#REF!</v>
      </c>
      <c r="EW52" t="e">
        <f>AND(Bills!G101,"AAAAAH/7XJg=")</f>
        <v>#VALUE!</v>
      </c>
      <c r="EX52" t="e">
        <f>AND(Bills!H101,"AAAAAH/7XJk=")</f>
        <v>#VALUE!</v>
      </c>
      <c r="EY52" t="e">
        <f>AND(Bills!I101,"AAAAAH/7XJo=")</f>
        <v>#VALUE!</v>
      </c>
      <c r="EZ52" t="e">
        <f>AND(Bills!J101,"AAAAAH/7XJs=")</f>
        <v>#VALUE!</v>
      </c>
      <c r="FA52" t="e">
        <f>AND(Bills!K101,"AAAAAH/7XJw=")</f>
        <v>#VALUE!</v>
      </c>
      <c r="FB52" t="e">
        <f>AND(Bills!L101,"AAAAAH/7XJ0=")</f>
        <v>#VALUE!</v>
      </c>
      <c r="FC52" t="e">
        <f>AND(Bills!#REF!,"AAAAAH/7XJ4=")</f>
        <v>#REF!</v>
      </c>
      <c r="FD52" t="e">
        <f>AND(Bills!M101,"AAAAAH/7XJ8=")</f>
        <v>#VALUE!</v>
      </c>
      <c r="FE52" t="e">
        <f>AND(Bills!N101,"AAAAAH/7XKA=")</f>
        <v>#VALUE!</v>
      </c>
      <c r="FF52" t="e">
        <f>AND(Bills!O101,"AAAAAH/7XKE=")</f>
        <v>#VALUE!</v>
      </c>
      <c r="FG52" t="e">
        <f>AND(Bills!P101,"AAAAAH/7XKI=")</f>
        <v>#VALUE!</v>
      </c>
      <c r="FH52" t="e">
        <f>AND(Bills!Q101,"AAAAAH/7XKM=")</f>
        <v>#VALUE!</v>
      </c>
      <c r="FI52" t="e">
        <f>AND(Bills!R101,"AAAAAH/7XKQ=")</f>
        <v>#VALUE!</v>
      </c>
      <c r="FJ52" t="e">
        <f>AND(Bills!S101,"AAAAAH/7XKU=")</f>
        <v>#VALUE!</v>
      </c>
      <c r="FK52" t="e">
        <f>AND(Bills!T101,"AAAAAH/7XKY=")</f>
        <v>#VALUE!</v>
      </c>
      <c r="FL52" t="e">
        <f>AND(Bills!#REF!,"AAAAAH/7XKc=")</f>
        <v>#REF!</v>
      </c>
      <c r="FM52" t="e">
        <f>AND(Bills!U101,"AAAAAH/7XKg=")</f>
        <v>#VALUE!</v>
      </c>
      <c r="FN52" t="e">
        <f>AND(Bills!V101,"AAAAAH/7XKk=")</f>
        <v>#VALUE!</v>
      </c>
      <c r="FO52" t="e">
        <f>AND(Bills!W101,"AAAAAH/7XKo=")</f>
        <v>#VALUE!</v>
      </c>
      <c r="FP52" t="e">
        <f>AND(Bills!#REF!,"AAAAAH/7XKs=")</f>
        <v>#REF!</v>
      </c>
      <c r="FQ52" t="e">
        <f>AND(Bills!#REF!,"AAAAAH/7XKw=")</f>
        <v>#REF!</v>
      </c>
      <c r="FR52" t="e">
        <f>AND(Bills!Y101,"AAAAAH/7XK0=")</f>
        <v>#VALUE!</v>
      </c>
      <c r="FS52" t="e">
        <f>AND(Bills!Z101,"AAAAAH/7XK4=")</f>
        <v>#VALUE!</v>
      </c>
      <c r="FT52" t="e">
        <f>AND(Bills!#REF!,"AAAAAH/7XK8=")</f>
        <v>#REF!</v>
      </c>
      <c r="FU52" t="e">
        <f>AND(Bills!#REF!,"AAAAAH/7XLA=")</f>
        <v>#REF!</v>
      </c>
      <c r="FV52" t="e">
        <f>AND(Bills!#REF!,"AAAAAH/7XLE=")</f>
        <v>#REF!</v>
      </c>
      <c r="FW52" t="e">
        <f>AND(Bills!#REF!,"AAAAAH/7XLI=")</f>
        <v>#REF!</v>
      </c>
      <c r="FX52" t="e">
        <f>AND(Bills!#REF!,"AAAAAH/7XLM=")</f>
        <v>#REF!</v>
      </c>
      <c r="FY52" t="e">
        <f>AND(Bills!#REF!,"AAAAAH/7XLQ=")</f>
        <v>#REF!</v>
      </c>
      <c r="FZ52" t="e">
        <f>AND(Bills!#REF!,"AAAAAH/7XLU=")</f>
        <v>#REF!</v>
      </c>
      <c r="GA52" t="e">
        <f>AND(Bills!#REF!,"AAAAAH/7XLY=")</f>
        <v>#REF!</v>
      </c>
      <c r="GB52" t="e">
        <f>AND(Bills!#REF!,"AAAAAH/7XLc=")</f>
        <v>#REF!</v>
      </c>
      <c r="GC52" t="e">
        <f>AND(Bills!AA101,"AAAAAH/7XLg=")</f>
        <v>#VALUE!</v>
      </c>
      <c r="GD52" t="e">
        <f>AND(Bills!AB101,"AAAAAH/7XLk=")</f>
        <v>#VALUE!</v>
      </c>
      <c r="GE52" t="e">
        <f>AND(Bills!#REF!,"AAAAAH/7XLo=")</f>
        <v>#REF!</v>
      </c>
      <c r="GF52" t="e">
        <f>AND(Bills!#REF!,"AAAAAH/7XLs=")</f>
        <v>#REF!</v>
      </c>
      <c r="GG52" t="e">
        <f>AND(Bills!#REF!,"AAAAAH/7XLw=")</f>
        <v>#REF!</v>
      </c>
      <c r="GH52" t="e">
        <f>AND(Bills!AC101,"AAAAAH/7XL0=")</f>
        <v>#VALUE!</v>
      </c>
      <c r="GI52" t="e">
        <f>AND(Bills!AD101,"AAAAAH/7XL4=")</f>
        <v>#VALUE!</v>
      </c>
      <c r="GJ52" t="e">
        <f>AND(Bills!AE101,"AAAAAH/7XL8=")</f>
        <v>#VALUE!</v>
      </c>
      <c r="GK52">
        <f>IF(Bills!102:102,"AAAAAH/7XMA=",0)</f>
        <v>0</v>
      </c>
      <c r="GL52" t="e">
        <f>AND(Bills!B102,"AAAAAH/7XME=")</f>
        <v>#VALUE!</v>
      </c>
      <c r="GM52" t="e">
        <f>AND(Bills!#REF!,"AAAAAH/7XMI=")</f>
        <v>#REF!</v>
      </c>
      <c r="GN52" t="e">
        <f>AND(Bills!C102,"AAAAAH/7XMM=")</f>
        <v>#VALUE!</v>
      </c>
      <c r="GO52" t="e">
        <f>AND(Bills!D102,"AAAAAH/7XMQ=")</f>
        <v>#VALUE!</v>
      </c>
      <c r="GP52" t="e">
        <f>AND(Bills!E102,"AAAAAH/7XMU=")</f>
        <v>#VALUE!</v>
      </c>
      <c r="GQ52" t="e">
        <f>AND(Bills!#REF!,"AAAAAH/7XMY=")</f>
        <v>#REF!</v>
      </c>
      <c r="GR52" t="e">
        <f>AND(Bills!#REF!,"AAAAAH/7XMc=")</f>
        <v>#REF!</v>
      </c>
      <c r="GS52" t="e">
        <f>AND(Bills!#REF!,"AAAAAH/7XMg=")</f>
        <v>#REF!</v>
      </c>
      <c r="GT52" t="e">
        <f>AND(Bills!F102,"AAAAAH/7XMk=")</f>
        <v>#VALUE!</v>
      </c>
      <c r="GU52" t="e">
        <f>AND(Bills!#REF!,"AAAAAH/7XMo=")</f>
        <v>#REF!</v>
      </c>
      <c r="GV52" t="e">
        <f>AND(Bills!G102,"AAAAAH/7XMs=")</f>
        <v>#VALUE!</v>
      </c>
      <c r="GW52" t="e">
        <f>AND(Bills!H102,"AAAAAH/7XMw=")</f>
        <v>#VALUE!</v>
      </c>
      <c r="GX52" t="e">
        <f>AND(Bills!I102,"AAAAAH/7XM0=")</f>
        <v>#VALUE!</v>
      </c>
      <c r="GY52" t="e">
        <f>AND(Bills!J102,"AAAAAH/7XM4=")</f>
        <v>#VALUE!</v>
      </c>
      <c r="GZ52" t="e">
        <f>AND(Bills!K102,"AAAAAH/7XM8=")</f>
        <v>#VALUE!</v>
      </c>
      <c r="HA52" t="e">
        <f>AND(Bills!L102,"AAAAAH/7XNA=")</f>
        <v>#VALUE!</v>
      </c>
      <c r="HB52" t="e">
        <f>AND(Bills!#REF!,"AAAAAH/7XNE=")</f>
        <v>#REF!</v>
      </c>
      <c r="HC52" t="e">
        <f>AND(Bills!M102,"AAAAAH/7XNI=")</f>
        <v>#VALUE!</v>
      </c>
      <c r="HD52" t="e">
        <f>AND(Bills!N102,"AAAAAH/7XNM=")</f>
        <v>#VALUE!</v>
      </c>
      <c r="HE52" t="e">
        <f>AND(Bills!O102,"AAAAAH/7XNQ=")</f>
        <v>#VALUE!</v>
      </c>
      <c r="HF52" t="e">
        <f>AND(Bills!P102,"AAAAAH/7XNU=")</f>
        <v>#VALUE!</v>
      </c>
      <c r="HG52" t="e">
        <f>AND(Bills!Q102,"AAAAAH/7XNY=")</f>
        <v>#VALUE!</v>
      </c>
      <c r="HH52" t="e">
        <f>AND(Bills!R102,"AAAAAH/7XNc=")</f>
        <v>#VALUE!</v>
      </c>
      <c r="HI52" t="e">
        <f>AND(Bills!S102,"AAAAAH/7XNg=")</f>
        <v>#VALUE!</v>
      </c>
      <c r="HJ52" t="e">
        <f>AND(Bills!T102,"AAAAAH/7XNk=")</f>
        <v>#VALUE!</v>
      </c>
      <c r="HK52" t="e">
        <f>AND(Bills!#REF!,"AAAAAH/7XNo=")</f>
        <v>#REF!</v>
      </c>
      <c r="HL52" t="e">
        <f>AND(Bills!U102,"AAAAAH/7XNs=")</f>
        <v>#VALUE!</v>
      </c>
      <c r="HM52" t="e">
        <f>AND(Bills!V102,"AAAAAH/7XNw=")</f>
        <v>#VALUE!</v>
      </c>
      <c r="HN52" t="e">
        <f>AND(Bills!W102,"AAAAAH/7XN0=")</f>
        <v>#VALUE!</v>
      </c>
      <c r="HO52" t="e">
        <f>AND(Bills!#REF!,"AAAAAH/7XN4=")</f>
        <v>#REF!</v>
      </c>
      <c r="HP52" t="e">
        <f>AND(Bills!#REF!,"AAAAAH/7XN8=")</f>
        <v>#REF!</v>
      </c>
      <c r="HQ52" t="e">
        <f>AND(Bills!Y102,"AAAAAH/7XOA=")</f>
        <v>#VALUE!</v>
      </c>
      <c r="HR52" t="e">
        <f>AND(Bills!Z102,"AAAAAH/7XOE=")</f>
        <v>#VALUE!</v>
      </c>
      <c r="HS52" t="e">
        <f>AND(Bills!#REF!,"AAAAAH/7XOI=")</f>
        <v>#REF!</v>
      </c>
      <c r="HT52" t="e">
        <f>AND(Bills!#REF!,"AAAAAH/7XOM=")</f>
        <v>#REF!</v>
      </c>
      <c r="HU52" t="e">
        <f>AND(Bills!#REF!,"AAAAAH/7XOQ=")</f>
        <v>#REF!</v>
      </c>
      <c r="HV52" t="e">
        <f>AND(Bills!#REF!,"AAAAAH/7XOU=")</f>
        <v>#REF!</v>
      </c>
      <c r="HW52" t="e">
        <f>AND(Bills!#REF!,"AAAAAH/7XOY=")</f>
        <v>#REF!</v>
      </c>
      <c r="HX52" t="e">
        <f>AND(Bills!#REF!,"AAAAAH/7XOc=")</f>
        <v>#REF!</v>
      </c>
      <c r="HY52" t="e">
        <f>AND(Bills!#REF!,"AAAAAH/7XOg=")</f>
        <v>#REF!</v>
      </c>
      <c r="HZ52" t="e">
        <f>AND(Bills!#REF!,"AAAAAH/7XOk=")</f>
        <v>#REF!</v>
      </c>
      <c r="IA52" t="e">
        <f>AND(Bills!#REF!,"AAAAAH/7XOo=")</f>
        <v>#REF!</v>
      </c>
      <c r="IB52" t="e">
        <f>AND(Bills!AA102,"AAAAAH/7XOs=")</f>
        <v>#VALUE!</v>
      </c>
      <c r="IC52" t="e">
        <f>AND(Bills!AB102,"AAAAAH/7XOw=")</f>
        <v>#VALUE!</v>
      </c>
      <c r="ID52" t="e">
        <f>AND(Bills!#REF!,"AAAAAH/7XO0=")</f>
        <v>#REF!</v>
      </c>
      <c r="IE52" t="e">
        <f>AND(Bills!#REF!,"AAAAAH/7XO4=")</f>
        <v>#REF!</v>
      </c>
      <c r="IF52" t="e">
        <f>AND(Bills!#REF!,"AAAAAH/7XO8=")</f>
        <v>#REF!</v>
      </c>
      <c r="IG52" t="e">
        <f>AND(Bills!AC102,"AAAAAH/7XPA=")</f>
        <v>#VALUE!</v>
      </c>
      <c r="IH52" t="e">
        <f>AND(Bills!AD102,"AAAAAH/7XPE=")</f>
        <v>#VALUE!</v>
      </c>
      <c r="II52" t="e">
        <f>AND(Bills!AE102,"AAAAAH/7XPI=")</f>
        <v>#VALUE!</v>
      </c>
      <c r="IJ52">
        <f>IF(Bills!103:103,"AAAAAH/7XPM=",0)</f>
        <v>0</v>
      </c>
      <c r="IK52" t="e">
        <f>AND(Bills!B103,"AAAAAH/7XPQ=")</f>
        <v>#VALUE!</v>
      </c>
      <c r="IL52" t="e">
        <f>AND(Bills!#REF!,"AAAAAH/7XPU=")</f>
        <v>#REF!</v>
      </c>
      <c r="IM52" t="e">
        <f>AND(Bills!C103,"AAAAAH/7XPY=")</f>
        <v>#VALUE!</v>
      </c>
      <c r="IN52" t="e">
        <f>AND(Bills!D103,"AAAAAH/7XPc=")</f>
        <v>#VALUE!</v>
      </c>
      <c r="IO52" t="e">
        <f>AND(Bills!E103,"AAAAAH/7XPg=")</f>
        <v>#VALUE!</v>
      </c>
      <c r="IP52" t="e">
        <f>AND(Bills!#REF!,"AAAAAH/7XPk=")</f>
        <v>#REF!</v>
      </c>
      <c r="IQ52" t="e">
        <f>AND(Bills!#REF!,"AAAAAH/7XPo=")</f>
        <v>#REF!</v>
      </c>
      <c r="IR52" t="e">
        <f>AND(Bills!#REF!,"AAAAAH/7XPs=")</f>
        <v>#REF!</v>
      </c>
      <c r="IS52" t="e">
        <f>AND(Bills!F103,"AAAAAH/7XPw=")</f>
        <v>#VALUE!</v>
      </c>
      <c r="IT52" t="e">
        <f>AND(Bills!#REF!,"AAAAAH/7XP0=")</f>
        <v>#REF!</v>
      </c>
      <c r="IU52" t="e">
        <f>AND(Bills!G103,"AAAAAH/7XP4=")</f>
        <v>#VALUE!</v>
      </c>
      <c r="IV52" t="e">
        <f>AND(Bills!H103,"AAAAAH/7XP8=")</f>
        <v>#VALUE!</v>
      </c>
    </row>
    <row r="53" spans="1:256" x14ac:dyDescent="0.25">
      <c r="A53" t="e">
        <f>AND(Bills!I103,"AAAAAG/eiwA=")</f>
        <v>#VALUE!</v>
      </c>
      <c r="B53" t="e">
        <f>AND(Bills!J103,"AAAAAG/eiwE=")</f>
        <v>#VALUE!</v>
      </c>
      <c r="C53" t="e">
        <f>AND(Bills!K103,"AAAAAG/eiwI=")</f>
        <v>#VALUE!</v>
      </c>
      <c r="D53" t="e">
        <f>AND(Bills!L103,"AAAAAG/eiwM=")</f>
        <v>#VALUE!</v>
      </c>
      <c r="E53" t="e">
        <f>AND(Bills!#REF!,"AAAAAG/eiwQ=")</f>
        <v>#REF!</v>
      </c>
      <c r="F53" t="e">
        <f>AND(Bills!M103,"AAAAAG/eiwU=")</f>
        <v>#VALUE!</v>
      </c>
      <c r="G53" t="e">
        <f>AND(Bills!N103,"AAAAAG/eiwY=")</f>
        <v>#VALUE!</v>
      </c>
      <c r="H53" t="e">
        <f>AND(Bills!O103,"AAAAAG/eiwc=")</f>
        <v>#VALUE!</v>
      </c>
      <c r="I53" t="e">
        <f>AND(Bills!P103,"AAAAAG/eiwg=")</f>
        <v>#VALUE!</v>
      </c>
      <c r="J53" t="e">
        <f>AND(Bills!Q103,"AAAAAG/eiwk=")</f>
        <v>#VALUE!</v>
      </c>
      <c r="K53" t="e">
        <f>AND(Bills!R103,"AAAAAG/eiwo=")</f>
        <v>#VALUE!</v>
      </c>
      <c r="L53" t="e">
        <f>AND(Bills!S103,"AAAAAG/eiws=")</f>
        <v>#VALUE!</v>
      </c>
      <c r="M53" t="e">
        <f>AND(Bills!T103,"AAAAAG/eiww=")</f>
        <v>#VALUE!</v>
      </c>
      <c r="N53" t="e">
        <f>AND(Bills!#REF!,"AAAAAG/eiw0=")</f>
        <v>#REF!</v>
      </c>
      <c r="O53" t="e">
        <f>AND(Bills!U103,"AAAAAG/eiw4=")</f>
        <v>#VALUE!</v>
      </c>
      <c r="P53" t="e">
        <f>AND(Bills!V103,"AAAAAG/eiw8=")</f>
        <v>#VALUE!</v>
      </c>
      <c r="Q53" t="e">
        <f>AND(Bills!W103,"AAAAAG/eixA=")</f>
        <v>#VALUE!</v>
      </c>
      <c r="R53" t="e">
        <f>AND(Bills!#REF!,"AAAAAG/eixE=")</f>
        <v>#REF!</v>
      </c>
      <c r="S53" t="e">
        <f>AND(Bills!#REF!,"AAAAAG/eixI=")</f>
        <v>#REF!</v>
      </c>
      <c r="T53" t="e">
        <f>AND(Bills!Y103,"AAAAAG/eixM=")</f>
        <v>#VALUE!</v>
      </c>
      <c r="U53" t="e">
        <f>AND(Bills!Z103,"AAAAAG/eixQ=")</f>
        <v>#VALUE!</v>
      </c>
      <c r="V53" t="e">
        <f>AND(Bills!#REF!,"AAAAAG/eixU=")</f>
        <v>#REF!</v>
      </c>
      <c r="W53" t="e">
        <f>AND(Bills!#REF!,"AAAAAG/eixY=")</f>
        <v>#REF!</v>
      </c>
      <c r="X53" t="e">
        <f>AND(Bills!#REF!,"AAAAAG/eixc=")</f>
        <v>#REF!</v>
      </c>
      <c r="Y53" t="e">
        <f>AND(Bills!#REF!,"AAAAAG/eixg=")</f>
        <v>#REF!</v>
      </c>
      <c r="Z53" t="e">
        <f>AND(Bills!#REF!,"AAAAAG/eixk=")</f>
        <v>#REF!</v>
      </c>
      <c r="AA53" t="e">
        <f>AND(Bills!#REF!,"AAAAAG/eixo=")</f>
        <v>#REF!</v>
      </c>
      <c r="AB53" t="e">
        <f>AND(Bills!#REF!,"AAAAAG/eixs=")</f>
        <v>#REF!</v>
      </c>
      <c r="AC53" t="e">
        <f>AND(Bills!#REF!,"AAAAAG/eixw=")</f>
        <v>#REF!</v>
      </c>
      <c r="AD53" t="e">
        <f>AND(Bills!#REF!,"AAAAAG/eix0=")</f>
        <v>#REF!</v>
      </c>
      <c r="AE53" t="e">
        <f>AND(Bills!AA103,"AAAAAG/eix4=")</f>
        <v>#VALUE!</v>
      </c>
      <c r="AF53" t="e">
        <f>AND(Bills!AB103,"AAAAAG/eix8=")</f>
        <v>#VALUE!</v>
      </c>
      <c r="AG53" t="e">
        <f>AND(Bills!#REF!,"AAAAAG/eiyA=")</f>
        <v>#REF!</v>
      </c>
      <c r="AH53" t="e">
        <f>AND(Bills!#REF!,"AAAAAG/eiyE=")</f>
        <v>#REF!</v>
      </c>
      <c r="AI53" t="e">
        <f>AND(Bills!#REF!,"AAAAAG/eiyI=")</f>
        <v>#REF!</v>
      </c>
      <c r="AJ53" t="e">
        <f>AND(Bills!AC103,"AAAAAG/eiyM=")</f>
        <v>#VALUE!</v>
      </c>
      <c r="AK53" t="e">
        <f>AND(Bills!AD103,"AAAAAG/eiyQ=")</f>
        <v>#VALUE!</v>
      </c>
      <c r="AL53" t="e">
        <f>AND(Bills!AE103,"AAAAAG/eiyU=")</f>
        <v>#VALUE!</v>
      </c>
      <c r="AM53">
        <f>IF(Bills!104:104,"AAAAAG/eiyY=",0)</f>
        <v>0</v>
      </c>
      <c r="AN53" t="e">
        <f>AND(Bills!B104,"AAAAAG/eiyc=")</f>
        <v>#VALUE!</v>
      </c>
      <c r="AO53" t="e">
        <f>AND(Bills!#REF!,"AAAAAG/eiyg=")</f>
        <v>#REF!</v>
      </c>
      <c r="AP53" t="e">
        <f>AND(Bills!C104,"AAAAAG/eiyk=")</f>
        <v>#VALUE!</v>
      </c>
      <c r="AQ53" t="e">
        <f>AND(Bills!D104,"AAAAAG/eiyo=")</f>
        <v>#VALUE!</v>
      </c>
      <c r="AR53" t="e">
        <f>AND(Bills!E104,"AAAAAG/eiys=")</f>
        <v>#VALUE!</v>
      </c>
      <c r="AS53" t="e">
        <f>AND(Bills!#REF!,"AAAAAG/eiyw=")</f>
        <v>#REF!</v>
      </c>
      <c r="AT53" t="e">
        <f>AND(Bills!#REF!,"AAAAAG/eiy0=")</f>
        <v>#REF!</v>
      </c>
      <c r="AU53" t="e">
        <f>AND(Bills!#REF!,"AAAAAG/eiy4=")</f>
        <v>#REF!</v>
      </c>
      <c r="AV53" t="e">
        <f>AND(Bills!F104,"AAAAAG/eiy8=")</f>
        <v>#VALUE!</v>
      </c>
      <c r="AW53" t="e">
        <f>AND(Bills!#REF!,"AAAAAG/eizA=")</f>
        <v>#REF!</v>
      </c>
      <c r="AX53" t="e">
        <f>AND(Bills!G104,"AAAAAG/eizE=")</f>
        <v>#VALUE!</v>
      </c>
      <c r="AY53" t="e">
        <f>AND(Bills!H104,"AAAAAG/eizI=")</f>
        <v>#VALUE!</v>
      </c>
      <c r="AZ53" t="e">
        <f>AND(Bills!I104,"AAAAAG/eizM=")</f>
        <v>#VALUE!</v>
      </c>
      <c r="BA53" t="e">
        <f>AND(Bills!J104,"AAAAAG/eizQ=")</f>
        <v>#VALUE!</v>
      </c>
      <c r="BB53" t="e">
        <f>AND(Bills!K104,"AAAAAG/eizU=")</f>
        <v>#VALUE!</v>
      </c>
      <c r="BC53" t="e">
        <f>AND(Bills!L104,"AAAAAG/eizY=")</f>
        <v>#VALUE!</v>
      </c>
      <c r="BD53" t="e">
        <f>AND(Bills!#REF!,"AAAAAG/eizc=")</f>
        <v>#REF!</v>
      </c>
      <c r="BE53" t="e">
        <f>AND(Bills!M104,"AAAAAG/eizg=")</f>
        <v>#VALUE!</v>
      </c>
      <c r="BF53" t="e">
        <f>AND(Bills!N104,"AAAAAG/eizk=")</f>
        <v>#VALUE!</v>
      </c>
      <c r="BG53" t="e">
        <f>AND(Bills!O104,"AAAAAG/eizo=")</f>
        <v>#VALUE!</v>
      </c>
      <c r="BH53" t="e">
        <f>AND(Bills!P104,"AAAAAG/eizs=")</f>
        <v>#VALUE!</v>
      </c>
      <c r="BI53" t="e">
        <f>AND(Bills!Q104,"AAAAAG/eizw=")</f>
        <v>#VALUE!</v>
      </c>
      <c r="BJ53" t="e">
        <f>AND(Bills!R104,"AAAAAG/eiz0=")</f>
        <v>#VALUE!</v>
      </c>
      <c r="BK53" t="e">
        <f>AND(Bills!S104,"AAAAAG/eiz4=")</f>
        <v>#VALUE!</v>
      </c>
      <c r="BL53" t="e">
        <f>AND(Bills!T104,"AAAAAG/eiz8=")</f>
        <v>#VALUE!</v>
      </c>
      <c r="BM53" t="e">
        <f>AND(Bills!#REF!,"AAAAAG/ei0A=")</f>
        <v>#REF!</v>
      </c>
      <c r="BN53" t="e">
        <f>AND(Bills!U104,"AAAAAG/ei0E=")</f>
        <v>#VALUE!</v>
      </c>
      <c r="BO53" t="e">
        <f>AND(Bills!V104,"AAAAAG/ei0I=")</f>
        <v>#VALUE!</v>
      </c>
      <c r="BP53" t="e">
        <f>AND(Bills!W104,"AAAAAG/ei0M=")</f>
        <v>#VALUE!</v>
      </c>
      <c r="BQ53" t="e">
        <f>AND(Bills!#REF!,"AAAAAG/ei0Q=")</f>
        <v>#REF!</v>
      </c>
      <c r="BR53" t="e">
        <f>AND(Bills!#REF!,"AAAAAG/ei0U=")</f>
        <v>#REF!</v>
      </c>
      <c r="BS53" t="e">
        <f>AND(Bills!Y104,"AAAAAG/ei0Y=")</f>
        <v>#VALUE!</v>
      </c>
      <c r="BT53" t="e">
        <f>AND(Bills!Z104,"AAAAAG/ei0c=")</f>
        <v>#VALUE!</v>
      </c>
      <c r="BU53" t="e">
        <f>AND(Bills!#REF!,"AAAAAG/ei0g=")</f>
        <v>#REF!</v>
      </c>
      <c r="BV53" t="e">
        <f>AND(Bills!#REF!,"AAAAAG/ei0k=")</f>
        <v>#REF!</v>
      </c>
      <c r="BW53" t="e">
        <f>AND(Bills!#REF!,"AAAAAG/ei0o=")</f>
        <v>#REF!</v>
      </c>
      <c r="BX53" t="e">
        <f>AND(Bills!#REF!,"AAAAAG/ei0s=")</f>
        <v>#REF!</v>
      </c>
      <c r="BY53" t="e">
        <f>AND(Bills!#REF!,"AAAAAG/ei0w=")</f>
        <v>#REF!</v>
      </c>
      <c r="BZ53" t="e">
        <f>AND(Bills!#REF!,"AAAAAG/ei00=")</f>
        <v>#REF!</v>
      </c>
      <c r="CA53" t="e">
        <f>AND(Bills!#REF!,"AAAAAG/ei04=")</f>
        <v>#REF!</v>
      </c>
      <c r="CB53" t="e">
        <f>AND(Bills!#REF!,"AAAAAG/ei08=")</f>
        <v>#REF!</v>
      </c>
      <c r="CC53" t="e">
        <f>AND(Bills!#REF!,"AAAAAG/ei1A=")</f>
        <v>#REF!</v>
      </c>
      <c r="CD53" t="e">
        <f>AND(Bills!AA104,"AAAAAG/ei1E=")</f>
        <v>#VALUE!</v>
      </c>
      <c r="CE53" t="e">
        <f>AND(Bills!AB104,"AAAAAG/ei1I=")</f>
        <v>#VALUE!</v>
      </c>
      <c r="CF53" t="e">
        <f>AND(Bills!#REF!,"AAAAAG/ei1M=")</f>
        <v>#REF!</v>
      </c>
      <c r="CG53" t="e">
        <f>AND(Bills!#REF!,"AAAAAG/ei1Q=")</f>
        <v>#REF!</v>
      </c>
      <c r="CH53" t="e">
        <f>AND(Bills!#REF!,"AAAAAG/ei1U=")</f>
        <v>#REF!</v>
      </c>
      <c r="CI53" t="e">
        <f>AND(Bills!AC104,"AAAAAG/ei1Y=")</f>
        <v>#VALUE!</v>
      </c>
      <c r="CJ53" t="e">
        <f>AND(Bills!AD104,"AAAAAG/ei1c=")</f>
        <v>#VALUE!</v>
      </c>
      <c r="CK53" t="e">
        <f>AND(Bills!AE104,"AAAAAG/ei1g=")</f>
        <v>#VALUE!</v>
      </c>
      <c r="CL53">
        <f>IF(Bills!105:105,"AAAAAG/ei1k=",0)</f>
        <v>0</v>
      </c>
      <c r="CM53" t="e">
        <f>AND(Bills!B105,"AAAAAG/ei1o=")</f>
        <v>#VALUE!</v>
      </c>
      <c r="CN53" t="e">
        <f>AND(Bills!#REF!,"AAAAAG/ei1s=")</f>
        <v>#REF!</v>
      </c>
      <c r="CO53" t="e">
        <f>AND(Bills!C105,"AAAAAG/ei1w=")</f>
        <v>#VALUE!</v>
      </c>
      <c r="CP53" t="e">
        <f>AND(Bills!D105,"AAAAAG/ei10=")</f>
        <v>#VALUE!</v>
      </c>
      <c r="CQ53" t="e">
        <f>AND(Bills!E105,"AAAAAG/ei14=")</f>
        <v>#VALUE!</v>
      </c>
      <c r="CR53" t="e">
        <f>AND(Bills!#REF!,"AAAAAG/ei18=")</f>
        <v>#REF!</v>
      </c>
      <c r="CS53" t="e">
        <f>AND(Bills!#REF!,"AAAAAG/ei2A=")</f>
        <v>#REF!</v>
      </c>
      <c r="CT53" t="e">
        <f>AND(Bills!#REF!,"AAAAAG/ei2E=")</f>
        <v>#REF!</v>
      </c>
      <c r="CU53" t="e">
        <f>AND(Bills!F105,"AAAAAG/ei2I=")</f>
        <v>#VALUE!</v>
      </c>
      <c r="CV53" t="e">
        <f>AND(Bills!#REF!,"AAAAAG/ei2M=")</f>
        <v>#REF!</v>
      </c>
      <c r="CW53" t="e">
        <f>AND(Bills!G105,"AAAAAG/ei2Q=")</f>
        <v>#VALUE!</v>
      </c>
      <c r="CX53" t="e">
        <f>AND(Bills!H105,"AAAAAG/ei2U=")</f>
        <v>#VALUE!</v>
      </c>
      <c r="CY53" t="e">
        <f>AND(Bills!I105,"AAAAAG/ei2Y=")</f>
        <v>#VALUE!</v>
      </c>
      <c r="CZ53" t="e">
        <f>AND(Bills!J105,"AAAAAG/ei2c=")</f>
        <v>#VALUE!</v>
      </c>
      <c r="DA53" t="e">
        <f>AND(Bills!K105,"AAAAAG/ei2g=")</f>
        <v>#VALUE!</v>
      </c>
      <c r="DB53" t="e">
        <f>AND(Bills!L105,"AAAAAG/ei2k=")</f>
        <v>#VALUE!</v>
      </c>
      <c r="DC53" t="e">
        <f>AND(Bills!#REF!,"AAAAAG/ei2o=")</f>
        <v>#REF!</v>
      </c>
      <c r="DD53" t="e">
        <f>AND(Bills!M105,"AAAAAG/ei2s=")</f>
        <v>#VALUE!</v>
      </c>
      <c r="DE53" t="e">
        <f>AND(Bills!N105,"AAAAAG/ei2w=")</f>
        <v>#VALUE!</v>
      </c>
      <c r="DF53" t="e">
        <f>AND(Bills!O105,"AAAAAG/ei20=")</f>
        <v>#VALUE!</v>
      </c>
      <c r="DG53" t="e">
        <f>AND(Bills!P105,"AAAAAG/ei24=")</f>
        <v>#VALUE!</v>
      </c>
      <c r="DH53" t="e">
        <f>AND(Bills!Q105,"AAAAAG/ei28=")</f>
        <v>#VALUE!</v>
      </c>
      <c r="DI53" t="e">
        <f>AND(Bills!R105,"AAAAAG/ei3A=")</f>
        <v>#VALUE!</v>
      </c>
      <c r="DJ53" t="e">
        <f>AND(Bills!S105,"AAAAAG/ei3E=")</f>
        <v>#VALUE!</v>
      </c>
      <c r="DK53" t="e">
        <f>AND(Bills!T105,"AAAAAG/ei3I=")</f>
        <v>#VALUE!</v>
      </c>
      <c r="DL53" t="e">
        <f>AND(Bills!#REF!,"AAAAAG/ei3M=")</f>
        <v>#REF!</v>
      </c>
      <c r="DM53" t="e">
        <f>AND(Bills!U105,"AAAAAG/ei3Q=")</f>
        <v>#VALUE!</v>
      </c>
      <c r="DN53" t="e">
        <f>AND(Bills!V105,"AAAAAG/ei3U=")</f>
        <v>#VALUE!</v>
      </c>
      <c r="DO53" t="e">
        <f>AND(Bills!W105,"AAAAAG/ei3Y=")</f>
        <v>#VALUE!</v>
      </c>
      <c r="DP53" t="e">
        <f>AND(Bills!#REF!,"AAAAAG/ei3c=")</f>
        <v>#REF!</v>
      </c>
      <c r="DQ53" t="e">
        <f>AND(Bills!#REF!,"AAAAAG/ei3g=")</f>
        <v>#REF!</v>
      </c>
      <c r="DR53" t="e">
        <f>AND(Bills!Y105,"AAAAAG/ei3k=")</f>
        <v>#VALUE!</v>
      </c>
      <c r="DS53" t="e">
        <f>AND(Bills!Z105,"AAAAAG/ei3o=")</f>
        <v>#VALUE!</v>
      </c>
      <c r="DT53" t="e">
        <f>AND(Bills!#REF!,"AAAAAG/ei3s=")</f>
        <v>#REF!</v>
      </c>
      <c r="DU53" t="e">
        <f>AND(Bills!#REF!,"AAAAAG/ei3w=")</f>
        <v>#REF!</v>
      </c>
      <c r="DV53" t="e">
        <f>AND(Bills!#REF!,"AAAAAG/ei30=")</f>
        <v>#REF!</v>
      </c>
      <c r="DW53" t="e">
        <f>AND(Bills!#REF!,"AAAAAG/ei34=")</f>
        <v>#REF!</v>
      </c>
      <c r="DX53" t="e">
        <f>AND(Bills!#REF!,"AAAAAG/ei38=")</f>
        <v>#REF!</v>
      </c>
      <c r="DY53" t="e">
        <f>AND(Bills!#REF!,"AAAAAG/ei4A=")</f>
        <v>#REF!</v>
      </c>
      <c r="DZ53" t="e">
        <f>AND(Bills!#REF!,"AAAAAG/ei4E=")</f>
        <v>#REF!</v>
      </c>
      <c r="EA53" t="e">
        <f>AND(Bills!#REF!,"AAAAAG/ei4I=")</f>
        <v>#REF!</v>
      </c>
      <c r="EB53" t="e">
        <f>AND(Bills!#REF!,"AAAAAG/ei4M=")</f>
        <v>#REF!</v>
      </c>
      <c r="EC53" t="e">
        <f>AND(Bills!AA105,"AAAAAG/ei4Q=")</f>
        <v>#VALUE!</v>
      </c>
      <c r="ED53" t="e">
        <f>AND(Bills!AB105,"AAAAAG/ei4U=")</f>
        <v>#VALUE!</v>
      </c>
      <c r="EE53" t="e">
        <f>AND(Bills!#REF!,"AAAAAG/ei4Y=")</f>
        <v>#REF!</v>
      </c>
      <c r="EF53" t="e">
        <f>AND(Bills!#REF!,"AAAAAG/ei4c=")</f>
        <v>#REF!</v>
      </c>
      <c r="EG53" t="e">
        <f>AND(Bills!#REF!,"AAAAAG/ei4g=")</f>
        <v>#REF!</v>
      </c>
      <c r="EH53" t="e">
        <f>AND(Bills!AC105,"AAAAAG/ei4k=")</f>
        <v>#VALUE!</v>
      </c>
      <c r="EI53" t="e">
        <f>AND(Bills!AD105,"AAAAAG/ei4o=")</f>
        <v>#VALUE!</v>
      </c>
      <c r="EJ53" t="e">
        <f>AND(Bills!AE105,"AAAAAG/ei4s=")</f>
        <v>#VALUE!</v>
      </c>
      <c r="EK53">
        <f>IF(Bills!106:106,"AAAAAG/ei4w=",0)</f>
        <v>0</v>
      </c>
      <c r="EL53" t="e">
        <f>AND(Bills!B106,"AAAAAG/ei40=")</f>
        <v>#VALUE!</v>
      </c>
      <c r="EM53" t="e">
        <f>AND(Bills!#REF!,"AAAAAG/ei44=")</f>
        <v>#REF!</v>
      </c>
      <c r="EN53" t="e">
        <f>AND(Bills!C106,"AAAAAG/ei48=")</f>
        <v>#VALUE!</v>
      </c>
      <c r="EO53" t="e">
        <f>AND(Bills!D106,"AAAAAG/ei5A=")</f>
        <v>#VALUE!</v>
      </c>
      <c r="EP53" t="e">
        <f>AND(Bills!E106,"AAAAAG/ei5E=")</f>
        <v>#VALUE!</v>
      </c>
      <c r="EQ53" t="e">
        <f>AND(Bills!#REF!,"AAAAAG/ei5I=")</f>
        <v>#REF!</v>
      </c>
      <c r="ER53" t="e">
        <f>AND(Bills!#REF!,"AAAAAG/ei5M=")</f>
        <v>#REF!</v>
      </c>
      <c r="ES53" t="e">
        <f>AND(Bills!#REF!,"AAAAAG/ei5Q=")</f>
        <v>#REF!</v>
      </c>
      <c r="ET53" t="e">
        <f>AND(Bills!F106,"AAAAAG/ei5U=")</f>
        <v>#VALUE!</v>
      </c>
      <c r="EU53" t="e">
        <f>AND(Bills!#REF!,"AAAAAG/ei5Y=")</f>
        <v>#REF!</v>
      </c>
      <c r="EV53" t="e">
        <f>AND(Bills!G106,"AAAAAG/ei5c=")</f>
        <v>#VALUE!</v>
      </c>
      <c r="EW53" t="e">
        <f>AND(Bills!H106,"AAAAAG/ei5g=")</f>
        <v>#VALUE!</v>
      </c>
      <c r="EX53" t="e">
        <f>AND(Bills!I106,"AAAAAG/ei5k=")</f>
        <v>#VALUE!</v>
      </c>
      <c r="EY53" t="e">
        <f>AND(Bills!J106,"AAAAAG/ei5o=")</f>
        <v>#VALUE!</v>
      </c>
      <c r="EZ53" t="e">
        <f>AND(Bills!K106,"AAAAAG/ei5s=")</f>
        <v>#VALUE!</v>
      </c>
      <c r="FA53" t="e">
        <f>AND(Bills!L106,"AAAAAG/ei5w=")</f>
        <v>#VALUE!</v>
      </c>
      <c r="FB53" t="e">
        <f>AND(Bills!#REF!,"AAAAAG/ei50=")</f>
        <v>#REF!</v>
      </c>
      <c r="FC53" t="e">
        <f>AND(Bills!M106,"AAAAAG/ei54=")</f>
        <v>#VALUE!</v>
      </c>
      <c r="FD53" t="e">
        <f>AND(Bills!N106,"AAAAAG/ei58=")</f>
        <v>#VALUE!</v>
      </c>
      <c r="FE53" t="e">
        <f>AND(Bills!O106,"AAAAAG/ei6A=")</f>
        <v>#VALUE!</v>
      </c>
      <c r="FF53" t="e">
        <f>AND(Bills!P106,"AAAAAG/ei6E=")</f>
        <v>#VALUE!</v>
      </c>
      <c r="FG53" t="e">
        <f>AND(Bills!Q106,"AAAAAG/ei6I=")</f>
        <v>#VALUE!</v>
      </c>
      <c r="FH53" t="e">
        <f>AND(Bills!R106,"AAAAAG/ei6M=")</f>
        <v>#VALUE!</v>
      </c>
      <c r="FI53" t="e">
        <f>AND(Bills!S106,"AAAAAG/ei6Q=")</f>
        <v>#VALUE!</v>
      </c>
      <c r="FJ53" t="e">
        <f>AND(Bills!T106,"AAAAAG/ei6U=")</f>
        <v>#VALUE!</v>
      </c>
      <c r="FK53" t="e">
        <f>AND(Bills!#REF!,"AAAAAG/ei6Y=")</f>
        <v>#REF!</v>
      </c>
      <c r="FL53" t="e">
        <f>AND(Bills!U106,"AAAAAG/ei6c=")</f>
        <v>#VALUE!</v>
      </c>
      <c r="FM53" t="e">
        <f>AND(Bills!V106,"AAAAAG/ei6g=")</f>
        <v>#VALUE!</v>
      </c>
      <c r="FN53" t="e">
        <f>AND(Bills!W106,"AAAAAG/ei6k=")</f>
        <v>#VALUE!</v>
      </c>
      <c r="FO53" t="e">
        <f>AND(Bills!#REF!,"AAAAAG/ei6o=")</f>
        <v>#REF!</v>
      </c>
      <c r="FP53" t="e">
        <f>AND(Bills!#REF!,"AAAAAG/ei6s=")</f>
        <v>#REF!</v>
      </c>
      <c r="FQ53" t="e">
        <f>AND(Bills!Y106,"AAAAAG/ei6w=")</f>
        <v>#VALUE!</v>
      </c>
      <c r="FR53" t="e">
        <f>AND(Bills!Z106,"AAAAAG/ei60=")</f>
        <v>#VALUE!</v>
      </c>
      <c r="FS53" t="e">
        <f>AND(Bills!#REF!,"AAAAAG/ei64=")</f>
        <v>#REF!</v>
      </c>
      <c r="FT53" t="e">
        <f>AND(Bills!#REF!,"AAAAAG/ei68=")</f>
        <v>#REF!</v>
      </c>
      <c r="FU53" t="e">
        <f>AND(Bills!#REF!,"AAAAAG/ei7A=")</f>
        <v>#REF!</v>
      </c>
      <c r="FV53" t="e">
        <f>AND(Bills!#REF!,"AAAAAG/ei7E=")</f>
        <v>#REF!</v>
      </c>
      <c r="FW53" t="e">
        <f>AND(Bills!#REF!,"AAAAAG/ei7I=")</f>
        <v>#REF!</v>
      </c>
      <c r="FX53" t="e">
        <f>AND(Bills!#REF!,"AAAAAG/ei7M=")</f>
        <v>#REF!</v>
      </c>
      <c r="FY53" t="e">
        <f>AND(Bills!#REF!,"AAAAAG/ei7Q=")</f>
        <v>#REF!</v>
      </c>
      <c r="FZ53" t="e">
        <f>AND(Bills!#REF!,"AAAAAG/ei7U=")</f>
        <v>#REF!</v>
      </c>
      <c r="GA53" t="e">
        <f>AND(Bills!#REF!,"AAAAAG/ei7Y=")</f>
        <v>#REF!</v>
      </c>
      <c r="GB53" t="e">
        <f>AND(Bills!AA106,"AAAAAG/ei7c=")</f>
        <v>#VALUE!</v>
      </c>
      <c r="GC53" t="e">
        <f>AND(Bills!AB106,"AAAAAG/ei7g=")</f>
        <v>#VALUE!</v>
      </c>
      <c r="GD53" t="e">
        <f>AND(Bills!#REF!,"AAAAAG/ei7k=")</f>
        <v>#REF!</v>
      </c>
      <c r="GE53" t="e">
        <f>AND(Bills!#REF!,"AAAAAG/ei7o=")</f>
        <v>#REF!</v>
      </c>
      <c r="GF53" t="e">
        <f>AND(Bills!#REF!,"AAAAAG/ei7s=")</f>
        <v>#REF!</v>
      </c>
      <c r="GG53" t="e">
        <f>AND(Bills!AC106,"AAAAAG/ei7w=")</f>
        <v>#VALUE!</v>
      </c>
      <c r="GH53" t="e">
        <f>AND(Bills!AD106,"AAAAAG/ei70=")</f>
        <v>#VALUE!</v>
      </c>
      <c r="GI53" t="e">
        <f>AND(Bills!AE106,"AAAAAG/ei74=")</f>
        <v>#VALUE!</v>
      </c>
      <c r="GJ53">
        <f>IF(Bills!107:107,"AAAAAG/ei78=",0)</f>
        <v>0</v>
      </c>
      <c r="GK53" t="e">
        <f>AND(Bills!B107,"AAAAAG/ei8A=")</f>
        <v>#VALUE!</v>
      </c>
      <c r="GL53" t="e">
        <f>AND(Bills!#REF!,"AAAAAG/ei8E=")</f>
        <v>#REF!</v>
      </c>
      <c r="GM53" t="e">
        <f>AND(Bills!C107,"AAAAAG/ei8I=")</f>
        <v>#VALUE!</v>
      </c>
      <c r="GN53" t="e">
        <f>AND(Bills!D107,"AAAAAG/ei8M=")</f>
        <v>#VALUE!</v>
      </c>
      <c r="GO53" t="e">
        <f>AND(Bills!E107,"AAAAAG/ei8Q=")</f>
        <v>#VALUE!</v>
      </c>
      <c r="GP53" t="e">
        <f>AND(Bills!#REF!,"AAAAAG/ei8U=")</f>
        <v>#REF!</v>
      </c>
      <c r="GQ53" t="e">
        <f>AND(Bills!#REF!,"AAAAAG/ei8Y=")</f>
        <v>#REF!</v>
      </c>
      <c r="GR53" t="e">
        <f>AND(Bills!#REF!,"AAAAAG/ei8c=")</f>
        <v>#REF!</v>
      </c>
      <c r="GS53" t="e">
        <f>AND(Bills!F107,"AAAAAG/ei8g=")</f>
        <v>#VALUE!</v>
      </c>
      <c r="GT53" t="e">
        <f>AND(Bills!#REF!,"AAAAAG/ei8k=")</f>
        <v>#REF!</v>
      </c>
      <c r="GU53" t="e">
        <f>AND(Bills!G107,"AAAAAG/ei8o=")</f>
        <v>#VALUE!</v>
      </c>
      <c r="GV53" t="e">
        <f>AND(Bills!H107,"AAAAAG/ei8s=")</f>
        <v>#VALUE!</v>
      </c>
      <c r="GW53" t="e">
        <f>AND(Bills!I107,"AAAAAG/ei8w=")</f>
        <v>#VALUE!</v>
      </c>
      <c r="GX53" t="e">
        <f>AND(Bills!J107,"AAAAAG/ei80=")</f>
        <v>#VALUE!</v>
      </c>
      <c r="GY53" t="e">
        <f>AND(Bills!K107,"AAAAAG/ei84=")</f>
        <v>#VALUE!</v>
      </c>
      <c r="GZ53" t="e">
        <f>AND(Bills!L107,"AAAAAG/ei88=")</f>
        <v>#VALUE!</v>
      </c>
      <c r="HA53" t="e">
        <f>AND(Bills!#REF!,"AAAAAG/ei9A=")</f>
        <v>#REF!</v>
      </c>
      <c r="HB53" t="e">
        <f>AND(Bills!M107,"AAAAAG/ei9E=")</f>
        <v>#VALUE!</v>
      </c>
      <c r="HC53" t="e">
        <f>AND(Bills!N107,"AAAAAG/ei9I=")</f>
        <v>#VALUE!</v>
      </c>
      <c r="HD53" t="e">
        <f>AND(Bills!O107,"AAAAAG/ei9M=")</f>
        <v>#VALUE!</v>
      </c>
      <c r="HE53" t="e">
        <f>AND(Bills!P107,"AAAAAG/ei9Q=")</f>
        <v>#VALUE!</v>
      </c>
      <c r="HF53" t="e">
        <f>AND(Bills!Q107,"AAAAAG/ei9U=")</f>
        <v>#VALUE!</v>
      </c>
      <c r="HG53" t="e">
        <f>AND(Bills!R107,"AAAAAG/ei9Y=")</f>
        <v>#VALUE!</v>
      </c>
      <c r="HH53" t="e">
        <f>AND(Bills!S107,"AAAAAG/ei9c=")</f>
        <v>#VALUE!</v>
      </c>
      <c r="HI53" t="e">
        <f>AND(Bills!T107,"AAAAAG/ei9g=")</f>
        <v>#VALUE!</v>
      </c>
      <c r="HJ53" t="e">
        <f>AND(Bills!#REF!,"AAAAAG/ei9k=")</f>
        <v>#REF!</v>
      </c>
      <c r="HK53" t="e">
        <f>AND(Bills!U107,"AAAAAG/ei9o=")</f>
        <v>#VALUE!</v>
      </c>
      <c r="HL53" t="e">
        <f>AND(Bills!V107,"AAAAAG/ei9s=")</f>
        <v>#VALUE!</v>
      </c>
      <c r="HM53" t="e">
        <f>AND(Bills!W107,"AAAAAG/ei9w=")</f>
        <v>#VALUE!</v>
      </c>
      <c r="HN53" t="e">
        <f>AND(Bills!#REF!,"AAAAAG/ei90=")</f>
        <v>#REF!</v>
      </c>
      <c r="HO53" t="e">
        <f>AND(Bills!#REF!,"AAAAAG/ei94=")</f>
        <v>#REF!</v>
      </c>
      <c r="HP53" t="e">
        <f>AND(Bills!Y107,"AAAAAG/ei98=")</f>
        <v>#VALUE!</v>
      </c>
      <c r="HQ53" t="e">
        <f>AND(Bills!Z107,"AAAAAG/ei+A=")</f>
        <v>#VALUE!</v>
      </c>
      <c r="HR53" t="e">
        <f>AND(Bills!#REF!,"AAAAAG/ei+E=")</f>
        <v>#REF!</v>
      </c>
      <c r="HS53" t="e">
        <f>AND(Bills!#REF!,"AAAAAG/ei+I=")</f>
        <v>#REF!</v>
      </c>
      <c r="HT53" t="e">
        <f>AND(Bills!#REF!,"AAAAAG/ei+M=")</f>
        <v>#REF!</v>
      </c>
      <c r="HU53" t="e">
        <f>AND(Bills!#REF!,"AAAAAG/ei+Q=")</f>
        <v>#REF!</v>
      </c>
      <c r="HV53" t="e">
        <f>AND(Bills!#REF!,"AAAAAG/ei+U=")</f>
        <v>#REF!</v>
      </c>
      <c r="HW53" t="e">
        <f>AND(Bills!#REF!,"AAAAAG/ei+Y=")</f>
        <v>#REF!</v>
      </c>
      <c r="HX53" t="e">
        <f>AND(Bills!#REF!,"AAAAAG/ei+c=")</f>
        <v>#REF!</v>
      </c>
      <c r="HY53" t="e">
        <f>AND(Bills!#REF!,"AAAAAG/ei+g=")</f>
        <v>#REF!</v>
      </c>
      <c r="HZ53" t="e">
        <f>AND(Bills!#REF!,"AAAAAG/ei+k=")</f>
        <v>#REF!</v>
      </c>
      <c r="IA53" t="e">
        <f>AND(Bills!AA107,"AAAAAG/ei+o=")</f>
        <v>#VALUE!</v>
      </c>
      <c r="IB53" t="e">
        <f>AND(Bills!AB107,"AAAAAG/ei+s=")</f>
        <v>#VALUE!</v>
      </c>
      <c r="IC53" t="e">
        <f>AND(Bills!#REF!,"AAAAAG/ei+w=")</f>
        <v>#REF!</v>
      </c>
      <c r="ID53" t="e">
        <f>AND(Bills!#REF!,"AAAAAG/ei+0=")</f>
        <v>#REF!</v>
      </c>
      <c r="IE53" t="e">
        <f>AND(Bills!#REF!,"AAAAAG/ei+4=")</f>
        <v>#REF!</v>
      </c>
      <c r="IF53" t="e">
        <f>AND(Bills!AC107,"AAAAAG/ei+8=")</f>
        <v>#VALUE!</v>
      </c>
      <c r="IG53" t="e">
        <f>AND(Bills!AD107,"AAAAAG/ei/A=")</f>
        <v>#VALUE!</v>
      </c>
      <c r="IH53" t="e">
        <f>AND(Bills!AE107,"AAAAAG/ei/E=")</f>
        <v>#VALUE!</v>
      </c>
      <c r="II53">
        <f>IF(Bills!108:108,"AAAAAG/ei/I=",0)</f>
        <v>0</v>
      </c>
      <c r="IJ53" t="e">
        <f>AND(Bills!B108,"AAAAAG/ei/M=")</f>
        <v>#VALUE!</v>
      </c>
      <c r="IK53" t="e">
        <f>AND(Bills!#REF!,"AAAAAG/ei/Q=")</f>
        <v>#REF!</v>
      </c>
      <c r="IL53" t="e">
        <f>AND(Bills!C108,"AAAAAG/ei/U=")</f>
        <v>#VALUE!</v>
      </c>
      <c r="IM53" t="e">
        <f>AND(Bills!D108,"AAAAAG/ei/Y=")</f>
        <v>#VALUE!</v>
      </c>
      <c r="IN53" t="e">
        <f>AND(Bills!E108,"AAAAAG/ei/c=")</f>
        <v>#VALUE!</v>
      </c>
      <c r="IO53" t="e">
        <f>AND(Bills!#REF!,"AAAAAG/ei/g=")</f>
        <v>#REF!</v>
      </c>
      <c r="IP53" t="e">
        <f>AND(Bills!#REF!,"AAAAAG/ei/k=")</f>
        <v>#REF!</v>
      </c>
      <c r="IQ53" t="e">
        <f>AND(Bills!#REF!,"AAAAAG/ei/o=")</f>
        <v>#REF!</v>
      </c>
      <c r="IR53" t="e">
        <f>AND(Bills!F108,"AAAAAG/ei/s=")</f>
        <v>#VALUE!</v>
      </c>
      <c r="IS53" t="e">
        <f>AND(Bills!#REF!,"AAAAAG/ei/w=")</f>
        <v>#REF!</v>
      </c>
      <c r="IT53" t="e">
        <f>AND(Bills!G108,"AAAAAG/ei/0=")</f>
        <v>#VALUE!</v>
      </c>
      <c r="IU53" t="e">
        <f>AND(Bills!H108,"AAAAAG/ei/4=")</f>
        <v>#VALUE!</v>
      </c>
      <c r="IV53" t="e">
        <f>AND(Bills!I108,"AAAAAG/ei/8=")</f>
        <v>#VALUE!</v>
      </c>
    </row>
    <row r="54" spans="1:256" x14ac:dyDescent="0.25">
      <c r="A54" t="e">
        <f>AND(Bills!J108,"AAAAAH8v2gA=")</f>
        <v>#VALUE!</v>
      </c>
      <c r="B54" t="e">
        <f>AND(Bills!K108,"AAAAAH8v2gE=")</f>
        <v>#VALUE!</v>
      </c>
      <c r="C54" t="e">
        <f>AND(Bills!L108,"AAAAAH8v2gI=")</f>
        <v>#VALUE!</v>
      </c>
      <c r="D54" t="e">
        <f>AND(Bills!#REF!,"AAAAAH8v2gM=")</f>
        <v>#REF!</v>
      </c>
      <c r="E54" t="e">
        <f>AND(Bills!M108,"AAAAAH8v2gQ=")</f>
        <v>#VALUE!</v>
      </c>
      <c r="F54" t="e">
        <f>AND(Bills!N108,"AAAAAH8v2gU=")</f>
        <v>#VALUE!</v>
      </c>
      <c r="G54" t="e">
        <f>AND(Bills!O108,"AAAAAH8v2gY=")</f>
        <v>#VALUE!</v>
      </c>
      <c r="H54" t="e">
        <f>AND(Bills!P108,"AAAAAH8v2gc=")</f>
        <v>#VALUE!</v>
      </c>
      <c r="I54" t="e">
        <f>AND(Bills!Q108,"AAAAAH8v2gg=")</f>
        <v>#VALUE!</v>
      </c>
      <c r="J54" t="e">
        <f>AND(Bills!R108,"AAAAAH8v2gk=")</f>
        <v>#VALUE!</v>
      </c>
      <c r="K54" t="e">
        <f>AND(Bills!S108,"AAAAAH8v2go=")</f>
        <v>#VALUE!</v>
      </c>
      <c r="L54" t="e">
        <f>AND(Bills!T108,"AAAAAH8v2gs=")</f>
        <v>#VALUE!</v>
      </c>
      <c r="M54" t="e">
        <f>AND(Bills!#REF!,"AAAAAH8v2gw=")</f>
        <v>#REF!</v>
      </c>
      <c r="N54" t="e">
        <f>AND(Bills!U108,"AAAAAH8v2g0=")</f>
        <v>#VALUE!</v>
      </c>
      <c r="O54" t="e">
        <f>AND(Bills!V108,"AAAAAH8v2g4=")</f>
        <v>#VALUE!</v>
      </c>
      <c r="P54" t="e">
        <f>AND(Bills!W108,"AAAAAH8v2g8=")</f>
        <v>#VALUE!</v>
      </c>
      <c r="Q54" t="e">
        <f>AND(Bills!#REF!,"AAAAAH8v2hA=")</f>
        <v>#REF!</v>
      </c>
      <c r="R54" t="e">
        <f>AND(Bills!#REF!,"AAAAAH8v2hE=")</f>
        <v>#REF!</v>
      </c>
      <c r="S54" t="e">
        <f>AND(Bills!Y108,"AAAAAH8v2hI=")</f>
        <v>#VALUE!</v>
      </c>
      <c r="T54" t="e">
        <f>AND(Bills!Z108,"AAAAAH8v2hM=")</f>
        <v>#VALUE!</v>
      </c>
      <c r="U54" t="e">
        <f>AND(Bills!#REF!,"AAAAAH8v2hQ=")</f>
        <v>#REF!</v>
      </c>
      <c r="V54" t="e">
        <f>AND(Bills!#REF!,"AAAAAH8v2hU=")</f>
        <v>#REF!</v>
      </c>
      <c r="W54" t="e">
        <f>AND(Bills!#REF!,"AAAAAH8v2hY=")</f>
        <v>#REF!</v>
      </c>
      <c r="X54" t="e">
        <f>AND(Bills!#REF!,"AAAAAH8v2hc=")</f>
        <v>#REF!</v>
      </c>
      <c r="Y54" t="e">
        <f>AND(Bills!#REF!,"AAAAAH8v2hg=")</f>
        <v>#REF!</v>
      </c>
      <c r="Z54" t="e">
        <f>AND(Bills!#REF!,"AAAAAH8v2hk=")</f>
        <v>#REF!</v>
      </c>
      <c r="AA54" t="e">
        <f>AND(Bills!#REF!,"AAAAAH8v2ho=")</f>
        <v>#REF!</v>
      </c>
      <c r="AB54" t="e">
        <f>AND(Bills!#REF!,"AAAAAH8v2hs=")</f>
        <v>#REF!</v>
      </c>
      <c r="AC54" t="e">
        <f>AND(Bills!#REF!,"AAAAAH8v2hw=")</f>
        <v>#REF!</v>
      </c>
      <c r="AD54" t="e">
        <f>AND(Bills!AA108,"AAAAAH8v2h0=")</f>
        <v>#VALUE!</v>
      </c>
      <c r="AE54" t="e">
        <f>AND(Bills!AB108,"AAAAAH8v2h4=")</f>
        <v>#VALUE!</v>
      </c>
      <c r="AF54" t="e">
        <f>AND(Bills!#REF!,"AAAAAH8v2h8=")</f>
        <v>#REF!</v>
      </c>
      <c r="AG54" t="e">
        <f>AND(Bills!#REF!,"AAAAAH8v2iA=")</f>
        <v>#REF!</v>
      </c>
      <c r="AH54" t="e">
        <f>AND(Bills!#REF!,"AAAAAH8v2iE=")</f>
        <v>#REF!</v>
      </c>
      <c r="AI54" t="e">
        <f>AND(Bills!AC108,"AAAAAH8v2iI=")</f>
        <v>#VALUE!</v>
      </c>
      <c r="AJ54" t="e">
        <f>AND(Bills!AD108,"AAAAAH8v2iM=")</f>
        <v>#VALUE!</v>
      </c>
      <c r="AK54" t="e">
        <f>AND(Bills!AE108,"AAAAAH8v2iQ=")</f>
        <v>#VALUE!</v>
      </c>
      <c r="AL54">
        <f>IF(Bills!109:109,"AAAAAH8v2iU=",0)</f>
        <v>0</v>
      </c>
      <c r="AM54" t="e">
        <f>AND(Bills!B109,"AAAAAH8v2iY=")</f>
        <v>#VALUE!</v>
      </c>
      <c r="AN54" t="e">
        <f>AND(Bills!#REF!,"AAAAAH8v2ic=")</f>
        <v>#REF!</v>
      </c>
      <c r="AO54" t="e">
        <f>AND(Bills!C109,"AAAAAH8v2ig=")</f>
        <v>#VALUE!</v>
      </c>
      <c r="AP54" t="e">
        <f>AND(Bills!D109,"AAAAAH8v2ik=")</f>
        <v>#VALUE!</v>
      </c>
      <c r="AQ54" t="e">
        <f>AND(Bills!E109,"AAAAAH8v2io=")</f>
        <v>#VALUE!</v>
      </c>
      <c r="AR54" t="e">
        <f>AND(Bills!#REF!,"AAAAAH8v2is=")</f>
        <v>#REF!</v>
      </c>
      <c r="AS54" t="e">
        <f>AND(Bills!#REF!,"AAAAAH8v2iw=")</f>
        <v>#REF!</v>
      </c>
      <c r="AT54" t="e">
        <f>AND(Bills!#REF!,"AAAAAH8v2i0=")</f>
        <v>#REF!</v>
      </c>
      <c r="AU54" t="e">
        <f>AND(Bills!F109,"AAAAAH8v2i4=")</f>
        <v>#VALUE!</v>
      </c>
      <c r="AV54" t="e">
        <f>AND(Bills!#REF!,"AAAAAH8v2i8=")</f>
        <v>#REF!</v>
      </c>
      <c r="AW54" t="e">
        <f>AND(Bills!G109,"AAAAAH8v2jA=")</f>
        <v>#VALUE!</v>
      </c>
      <c r="AX54" t="e">
        <f>AND(Bills!H109,"AAAAAH8v2jE=")</f>
        <v>#VALUE!</v>
      </c>
      <c r="AY54" t="e">
        <f>AND(Bills!I109,"AAAAAH8v2jI=")</f>
        <v>#VALUE!</v>
      </c>
      <c r="AZ54" t="e">
        <f>AND(Bills!J109,"AAAAAH8v2jM=")</f>
        <v>#VALUE!</v>
      </c>
      <c r="BA54" t="e">
        <f>AND(Bills!K109,"AAAAAH8v2jQ=")</f>
        <v>#VALUE!</v>
      </c>
      <c r="BB54" t="e">
        <f>AND(Bills!L109,"AAAAAH8v2jU=")</f>
        <v>#VALUE!</v>
      </c>
      <c r="BC54" t="e">
        <f>AND(Bills!#REF!,"AAAAAH8v2jY=")</f>
        <v>#REF!</v>
      </c>
      <c r="BD54" t="e">
        <f>AND(Bills!M109,"AAAAAH8v2jc=")</f>
        <v>#VALUE!</v>
      </c>
      <c r="BE54" t="e">
        <f>AND(Bills!N109,"AAAAAH8v2jg=")</f>
        <v>#VALUE!</v>
      </c>
      <c r="BF54" t="e">
        <f>AND(Bills!O109,"AAAAAH8v2jk=")</f>
        <v>#VALUE!</v>
      </c>
      <c r="BG54" t="e">
        <f>AND(Bills!P109,"AAAAAH8v2jo=")</f>
        <v>#VALUE!</v>
      </c>
      <c r="BH54" t="e">
        <f>AND(Bills!Q109,"AAAAAH8v2js=")</f>
        <v>#VALUE!</v>
      </c>
      <c r="BI54" t="e">
        <f>AND(Bills!R109,"AAAAAH8v2jw=")</f>
        <v>#VALUE!</v>
      </c>
      <c r="BJ54" t="e">
        <f>AND(Bills!S109,"AAAAAH8v2j0=")</f>
        <v>#VALUE!</v>
      </c>
      <c r="BK54" t="e">
        <f>AND(Bills!T109,"AAAAAH8v2j4=")</f>
        <v>#VALUE!</v>
      </c>
      <c r="BL54" t="e">
        <f>AND(Bills!#REF!,"AAAAAH8v2j8=")</f>
        <v>#REF!</v>
      </c>
      <c r="BM54" t="e">
        <f>AND(Bills!U109,"AAAAAH8v2kA=")</f>
        <v>#VALUE!</v>
      </c>
      <c r="BN54" t="e">
        <f>AND(Bills!V109,"AAAAAH8v2kE=")</f>
        <v>#VALUE!</v>
      </c>
      <c r="BO54" t="e">
        <f>AND(Bills!W109,"AAAAAH8v2kI=")</f>
        <v>#VALUE!</v>
      </c>
      <c r="BP54" t="e">
        <f>AND(Bills!#REF!,"AAAAAH8v2kM=")</f>
        <v>#REF!</v>
      </c>
      <c r="BQ54" t="e">
        <f>AND(Bills!#REF!,"AAAAAH8v2kQ=")</f>
        <v>#REF!</v>
      </c>
      <c r="BR54" t="e">
        <f>AND(Bills!Y109,"AAAAAH8v2kU=")</f>
        <v>#VALUE!</v>
      </c>
      <c r="BS54" t="e">
        <f>AND(Bills!Z109,"AAAAAH8v2kY=")</f>
        <v>#VALUE!</v>
      </c>
      <c r="BT54" t="e">
        <f>AND(Bills!#REF!,"AAAAAH8v2kc=")</f>
        <v>#REF!</v>
      </c>
      <c r="BU54" t="e">
        <f>AND(Bills!#REF!,"AAAAAH8v2kg=")</f>
        <v>#REF!</v>
      </c>
      <c r="BV54" t="e">
        <f>AND(Bills!#REF!,"AAAAAH8v2kk=")</f>
        <v>#REF!</v>
      </c>
      <c r="BW54" t="e">
        <f>AND(Bills!#REF!,"AAAAAH8v2ko=")</f>
        <v>#REF!</v>
      </c>
      <c r="BX54" t="e">
        <f>AND(Bills!#REF!,"AAAAAH8v2ks=")</f>
        <v>#REF!</v>
      </c>
      <c r="BY54" t="e">
        <f>AND(Bills!#REF!,"AAAAAH8v2kw=")</f>
        <v>#REF!</v>
      </c>
      <c r="BZ54" t="e">
        <f>AND(Bills!#REF!,"AAAAAH8v2k0=")</f>
        <v>#REF!</v>
      </c>
      <c r="CA54" t="e">
        <f>AND(Bills!#REF!,"AAAAAH8v2k4=")</f>
        <v>#REF!</v>
      </c>
      <c r="CB54" t="e">
        <f>AND(Bills!#REF!,"AAAAAH8v2k8=")</f>
        <v>#REF!</v>
      </c>
      <c r="CC54" t="e">
        <f>AND(Bills!AA109,"AAAAAH8v2lA=")</f>
        <v>#VALUE!</v>
      </c>
      <c r="CD54" t="e">
        <f>AND(Bills!AB109,"AAAAAH8v2lE=")</f>
        <v>#VALUE!</v>
      </c>
      <c r="CE54" t="e">
        <f>AND(Bills!#REF!,"AAAAAH8v2lI=")</f>
        <v>#REF!</v>
      </c>
      <c r="CF54" t="e">
        <f>AND(Bills!#REF!,"AAAAAH8v2lM=")</f>
        <v>#REF!</v>
      </c>
      <c r="CG54" t="e">
        <f>AND(Bills!#REF!,"AAAAAH8v2lQ=")</f>
        <v>#REF!</v>
      </c>
      <c r="CH54" t="e">
        <f>AND(Bills!AC109,"AAAAAH8v2lU=")</f>
        <v>#VALUE!</v>
      </c>
      <c r="CI54" t="e">
        <f>AND(Bills!AD109,"AAAAAH8v2lY=")</f>
        <v>#VALUE!</v>
      </c>
      <c r="CJ54" t="e">
        <f>AND(Bills!AE109,"AAAAAH8v2lc=")</f>
        <v>#VALUE!</v>
      </c>
      <c r="CK54">
        <f>IF(Bills!110:110,"AAAAAH8v2lg=",0)</f>
        <v>0</v>
      </c>
      <c r="CL54" t="e">
        <f>AND(Bills!B110,"AAAAAH8v2lk=")</f>
        <v>#VALUE!</v>
      </c>
      <c r="CM54" t="e">
        <f>AND(Bills!#REF!,"AAAAAH8v2lo=")</f>
        <v>#REF!</v>
      </c>
      <c r="CN54" t="e">
        <f>AND(Bills!C110,"AAAAAH8v2ls=")</f>
        <v>#VALUE!</v>
      </c>
      <c r="CO54" t="e">
        <f>AND(Bills!D110,"AAAAAH8v2lw=")</f>
        <v>#VALUE!</v>
      </c>
      <c r="CP54" t="e">
        <f>AND(Bills!E110,"AAAAAH8v2l0=")</f>
        <v>#VALUE!</v>
      </c>
      <c r="CQ54" t="e">
        <f>AND(Bills!#REF!,"AAAAAH8v2l4=")</f>
        <v>#REF!</v>
      </c>
      <c r="CR54" t="e">
        <f>AND(Bills!#REF!,"AAAAAH8v2l8=")</f>
        <v>#REF!</v>
      </c>
      <c r="CS54" t="e">
        <f>AND(Bills!#REF!,"AAAAAH8v2mA=")</f>
        <v>#REF!</v>
      </c>
      <c r="CT54" t="e">
        <f>AND(Bills!F110,"AAAAAH8v2mE=")</f>
        <v>#VALUE!</v>
      </c>
      <c r="CU54" t="e">
        <f>AND(Bills!#REF!,"AAAAAH8v2mI=")</f>
        <v>#REF!</v>
      </c>
      <c r="CV54" t="e">
        <f>AND(Bills!G110,"AAAAAH8v2mM=")</f>
        <v>#VALUE!</v>
      </c>
      <c r="CW54" t="e">
        <f>AND(Bills!H110,"AAAAAH8v2mQ=")</f>
        <v>#VALUE!</v>
      </c>
      <c r="CX54" t="e">
        <f>AND(Bills!I110,"AAAAAH8v2mU=")</f>
        <v>#VALUE!</v>
      </c>
      <c r="CY54" t="e">
        <f>AND(Bills!J110,"AAAAAH8v2mY=")</f>
        <v>#VALUE!</v>
      </c>
      <c r="CZ54" t="e">
        <f>AND(Bills!K110,"AAAAAH8v2mc=")</f>
        <v>#VALUE!</v>
      </c>
      <c r="DA54" t="e">
        <f>AND(Bills!L110,"AAAAAH8v2mg=")</f>
        <v>#VALUE!</v>
      </c>
      <c r="DB54" t="e">
        <f>AND(Bills!#REF!,"AAAAAH8v2mk=")</f>
        <v>#REF!</v>
      </c>
      <c r="DC54" t="e">
        <f>AND(Bills!M110,"AAAAAH8v2mo=")</f>
        <v>#VALUE!</v>
      </c>
      <c r="DD54" t="e">
        <f>AND(Bills!N110,"AAAAAH8v2ms=")</f>
        <v>#VALUE!</v>
      </c>
      <c r="DE54" t="e">
        <f>AND(Bills!O110,"AAAAAH8v2mw=")</f>
        <v>#VALUE!</v>
      </c>
      <c r="DF54" t="e">
        <f>AND(Bills!P110,"AAAAAH8v2m0=")</f>
        <v>#VALUE!</v>
      </c>
      <c r="DG54" t="e">
        <f>AND(Bills!Q110,"AAAAAH8v2m4=")</f>
        <v>#VALUE!</v>
      </c>
      <c r="DH54" t="e">
        <f>AND(Bills!R110,"AAAAAH8v2m8=")</f>
        <v>#VALUE!</v>
      </c>
      <c r="DI54" t="e">
        <f>AND(Bills!S110,"AAAAAH8v2nA=")</f>
        <v>#VALUE!</v>
      </c>
      <c r="DJ54" t="e">
        <f>AND(Bills!T110,"AAAAAH8v2nE=")</f>
        <v>#VALUE!</v>
      </c>
      <c r="DK54" t="e">
        <f>AND(Bills!#REF!,"AAAAAH8v2nI=")</f>
        <v>#REF!</v>
      </c>
      <c r="DL54" t="e">
        <f>AND(Bills!U110,"AAAAAH8v2nM=")</f>
        <v>#VALUE!</v>
      </c>
      <c r="DM54" t="e">
        <f>AND(Bills!V110,"AAAAAH8v2nQ=")</f>
        <v>#VALUE!</v>
      </c>
      <c r="DN54" t="e">
        <f>AND(Bills!W110,"AAAAAH8v2nU=")</f>
        <v>#VALUE!</v>
      </c>
      <c r="DO54" t="e">
        <f>AND(Bills!#REF!,"AAAAAH8v2nY=")</f>
        <v>#REF!</v>
      </c>
      <c r="DP54" t="e">
        <f>AND(Bills!#REF!,"AAAAAH8v2nc=")</f>
        <v>#REF!</v>
      </c>
      <c r="DQ54" t="e">
        <f>AND(Bills!Y110,"AAAAAH8v2ng=")</f>
        <v>#VALUE!</v>
      </c>
      <c r="DR54" t="e">
        <f>AND(Bills!Z110,"AAAAAH8v2nk=")</f>
        <v>#VALUE!</v>
      </c>
      <c r="DS54" t="e">
        <f>AND(Bills!#REF!,"AAAAAH8v2no=")</f>
        <v>#REF!</v>
      </c>
      <c r="DT54" t="e">
        <f>AND(Bills!#REF!,"AAAAAH8v2ns=")</f>
        <v>#REF!</v>
      </c>
      <c r="DU54" t="e">
        <f>AND(Bills!#REF!,"AAAAAH8v2nw=")</f>
        <v>#REF!</v>
      </c>
      <c r="DV54" t="e">
        <f>AND(Bills!#REF!,"AAAAAH8v2n0=")</f>
        <v>#REF!</v>
      </c>
      <c r="DW54" t="e">
        <f>AND(Bills!#REF!,"AAAAAH8v2n4=")</f>
        <v>#REF!</v>
      </c>
      <c r="DX54" t="e">
        <f>AND(Bills!#REF!,"AAAAAH8v2n8=")</f>
        <v>#REF!</v>
      </c>
      <c r="DY54" t="e">
        <f>AND(Bills!#REF!,"AAAAAH8v2oA=")</f>
        <v>#REF!</v>
      </c>
      <c r="DZ54" t="e">
        <f>AND(Bills!#REF!,"AAAAAH8v2oE=")</f>
        <v>#REF!</v>
      </c>
      <c r="EA54" t="e">
        <f>AND(Bills!#REF!,"AAAAAH8v2oI=")</f>
        <v>#REF!</v>
      </c>
      <c r="EB54" t="e">
        <f>AND(Bills!AA110,"AAAAAH8v2oM=")</f>
        <v>#VALUE!</v>
      </c>
      <c r="EC54" t="e">
        <f>AND(Bills!AB110,"AAAAAH8v2oQ=")</f>
        <v>#VALUE!</v>
      </c>
      <c r="ED54" t="e">
        <f>AND(Bills!#REF!,"AAAAAH8v2oU=")</f>
        <v>#REF!</v>
      </c>
      <c r="EE54" t="e">
        <f>AND(Bills!#REF!,"AAAAAH8v2oY=")</f>
        <v>#REF!</v>
      </c>
      <c r="EF54" t="e">
        <f>AND(Bills!#REF!,"AAAAAH8v2oc=")</f>
        <v>#REF!</v>
      </c>
      <c r="EG54" t="e">
        <f>AND(Bills!AC110,"AAAAAH8v2og=")</f>
        <v>#VALUE!</v>
      </c>
      <c r="EH54" t="e">
        <f>AND(Bills!AD110,"AAAAAH8v2ok=")</f>
        <v>#VALUE!</v>
      </c>
      <c r="EI54" t="e">
        <f>AND(Bills!AE110,"AAAAAH8v2oo=")</f>
        <v>#VALUE!</v>
      </c>
      <c r="EJ54">
        <f>IF(Bills!111:111,"AAAAAH8v2os=",0)</f>
        <v>0</v>
      </c>
      <c r="EK54" t="e">
        <f>AND(Bills!B111,"AAAAAH8v2ow=")</f>
        <v>#VALUE!</v>
      </c>
      <c r="EL54" t="e">
        <f>AND(Bills!#REF!,"AAAAAH8v2o0=")</f>
        <v>#REF!</v>
      </c>
      <c r="EM54" t="e">
        <f>AND(Bills!C111,"AAAAAH8v2o4=")</f>
        <v>#VALUE!</v>
      </c>
      <c r="EN54" t="e">
        <f>AND(Bills!D111,"AAAAAH8v2o8=")</f>
        <v>#VALUE!</v>
      </c>
      <c r="EO54" t="e">
        <f>AND(Bills!E111,"AAAAAH8v2pA=")</f>
        <v>#VALUE!</v>
      </c>
      <c r="EP54" t="e">
        <f>AND(Bills!#REF!,"AAAAAH8v2pE=")</f>
        <v>#REF!</v>
      </c>
      <c r="EQ54" t="e">
        <f>AND(Bills!#REF!,"AAAAAH8v2pI=")</f>
        <v>#REF!</v>
      </c>
      <c r="ER54" t="e">
        <f>AND(Bills!#REF!,"AAAAAH8v2pM=")</f>
        <v>#REF!</v>
      </c>
      <c r="ES54" t="e">
        <f>AND(Bills!F111,"AAAAAH8v2pQ=")</f>
        <v>#VALUE!</v>
      </c>
      <c r="ET54" t="e">
        <f>AND(Bills!#REF!,"AAAAAH8v2pU=")</f>
        <v>#REF!</v>
      </c>
      <c r="EU54" t="e">
        <f>AND(Bills!G111,"AAAAAH8v2pY=")</f>
        <v>#VALUE!</v>
      </c>
      <c r="EV54" t="e">
        <f>AND(Bills!H111,"AAAAAH8v2pc=")</f>
        <v>#VALUE!</v>
      </c>
      <c r="EW54" t="e">
        <f>AND(Bills!I111,"AAAAAH8v2pg=")</f>
        <v>#VALUE!</v>
      </c>
      <c r="EX54" t="e">
        <f>AND(Bills!J111,"AAAAAH8v2pk=")</f>
        <v>#VALUE!</v>
      </c>
      <c r="EY54" t="e">
        <f>AND(Bills!K111,"AAAAAH8v2po=")</f>
        <v>#VALUE!</v>
      </c>
      <c r="EZ54" t="e">
        <f>AND(Bills!L111,"AAAAAH8v2ps=")</f>
        <v>#VALUE!</v>
      </c>
      <c r="FA54" t="e">
        <f>AND(Bills!#REF!,"AAAAAH8v2pw=")</f>
        <v>#REF!</v>
      </c>
      <c r="FB54" t="e">
        <f>AND(Bills!M111,"AAAAAH8v2p0=")</f>
        <v>#VALUE!</v>
      </c>
      <c r="FC54" t="e">
        <f>AND(Bills!N111,"AAAAAH8v2p4=")</f>
        <v>#VALUE!</v>
      </c>
      <c r="FD54" t="e">
        <f>AND(Bills!O111,"AAAAAH8v2p8=")</f>
        <v>#VALUE!</v>
      </c>
      <c r="FE54" t="e">
        <f>AND(Bills!P111,"AAAAAH8v2qA=")</f>
        <v>#VALUE!</v>
      </c>
      <c r="FF54" t="e">
        <f>AND(Bills!Q111,"AAAAAH8v2qE=")</f>
        <v>#VALUE!</v>
      </c>
      <c r="FG54" t="e">
        <f>AND(Bills!R111,"AAAAAH8v2qI=")</f>
        <v>#VALUE!</v>
      </c>
      <c r="FH54" t="e">
        <f>AND(Bills!S111,"AAAAAH8v2qM=")</f>
        <v>#VALUE!</v>
      </c>
      <c r="FI54" t="e">
        <f>AND(Bills!T111,"AAAAAH8v2qQ=")</f>
        <v>#VALUE!</v>
      </c>
      <c r="FJ54" t="e">
        <f>AND(Bills!#REF!,"AAAAAH8v2qU=")</f>
        <v>#REF!</v>
      </c>
      <c r="FK54" t="e">
        <f>AND(Bills!U111,"AAAAAH8v2qY=")</f>
        <v>#VALUE!</v>
      </c>
      <c r="FL54" t="e">
        <f>AND(Bills!V111,"AAAAAH8v2qc=")</f>
        <v>#VALUE!</v>
      </c>
      <c r="FM54" t="e">
        <f>AND(Bills!W111,"AAAAAH8v2qg=")</f>
        <v>#VALUE!</v>
      </c>
      <c r="FN54" t="e">
        <f>AND(Bills!#REF!,"AAAAAH8v2qk=")</f>
        <v>#REF!</v>
      </c>
      <c r="FO54" t="e">
        <f>AND(Bills!#REF!,"AAAAAH8v2qo=")</f>
        <v>#REF!</v>
      </c>
      <c r="FP54" t="e">
        <f>AND(Bills!Y111,"AAAAAH8v2qs=")</f>
        <v>#VALUE!</v>
      </c>
      <c r="FQ54" t="e">
        <f>AND(Bills!Z111,"AAAAAH8v2qw=")</f>
        <v>#VALUE!</v>
      </c>
      <c r="FR54" t="e">
        <f>AND(Bills!#REF!,"AAAAAH8v2q0=")</f>
        <v>#REF!</v>
      </c>
      <c r="FS54" t="e">
        <f>AND(Bills!#REF!,"AAAAAH8v2q4=")</f>
        <v>#REF!</v>
      </c>
      <c r="FT54" t="e">
        <f>AND(Bills!#REF!,"AAAAAH8v2q8=")</f>
        <v>#REF!</v>
      </c>
      <c r="FU54" t="e">
        <f>AND(Bills!#REF!,"AAAAAH8v2rA=")</f>
        <v>#REF!</v>
      </c>
      <c r="FV54" t="e">
        <f>AND(Bills!#REF!,"AAAAAH8v2rE=")</f>
        <v>#REF!</v>
      </c>
      <c r="FW54" t="e">
        <f>AND(Bills!#REF!,"AAAAAH8v2rI=")</f>
        <v>#REF!</v>
      </c>
      <c r="FX54" t="e">
        <f>AND(Bills!#REF!,"AAAAAH8v2rM=")</f>
        <v>#REF!</v>
      </c>
      <c r="FY54" t="e">
        <f>AND(Bills!#REF!,"AAAAAH8v2rQ=")</f>
        <v>#REF!</v>
      </c>
      <c r="FZ54" t="e">
        <f>AND(Bills!#REF!,"AAAAAH8v2rU=")</f>
        <v>#REF!</v>
      </c>
      <c r="GA54" t="e">
        <f>AND(Bills!AA111,"AAAAAH8v2rY=")</f>
        <v>#VALUE!</v>
      </c>
      <c r="GB54" t="e">
        <f>AND(Bills!AB111,"AAAAAH8v2rc=")</f>
        <v>#VALUE!</v>
      </c>
      <c r="GC54" t="e">
        <f>AND(Bills!#REF!,"AAAAAH8v2rg=")</f>
        <v>#REF!</v>
      </c>
      <c r="GD54" t="e">
        <f>AND(Bills!#REF!,"AAAAAH8v2rk=")</f>
        <v>#REF!</v>
      </c>
      <c r="GE54" t="e">
        <f>AND(Bills!#REF!,"AAAAAH8v2ro=")</f>
        <v>#REF!</v>
      </c>
      <c r="GF54" t="e">
        <f>AND(Bills!AC111,"AAAAAH8v2rs=")</f>
        <v>#VALUE!</v>
      </c>
      <c r="GG54" t="e">
        <f>AND(Bills!AD111,"AAAAAH8v2rw=")</f>
        <v>#VALUE!</v>
      </c>
      <c r="GH54" t="e">
        <f>AND(Bills!AE111,"AAAAAH8v2r0=")</f>
        <v>#VALUE!</v>
      </c>
      <c r="GI54">
        <f>IF(Bills!112:112,"AAAAAH8v2r4=",0)</f>
        <v>0</v>
      </c>
      <c r="GJ54" t="e">
        <f>AND(Bills!B112,"AAAAAH8v2r8=")</f>
        <v>#VALUE!</v>
      </c>
      <c r="GK54" t="e">
        <f>AND(Bills!#REF!,"AAAAAH8v2sA=")</f>
        <v>#REF!</v>
      </c>
      <c r="GL54" t="e">
        <f>AND(Bills!C112,"AAAAAH8v2sE=")</f>
        <v>#VALUE!</v>
      </c>
      <c r="GM54" t="e">
        <f>AND(Bills!D112,"AAAAAH8v2sI=")</f>
        <v>#VALUE!</v>
      </c>
      <c r="GN54" t="e">
        <f>AND(Bills!E112,"AAAAAH8v2sM=")</f>
        <v>#VALUE!</v>
      </c>
      <c r="GO54" t="e">
        <f>AND(Bills!#REF!,"AAAAAH8v2sQ=")</f>
        <v>#REF!</v>
      </c>
      <c r="GP54" t="e">
        <f>AND(Bills!#REF!,"AAAAAH8v2sU=")</f>
        <v>#REF!</v>
      </c>
      <c r="GQ54" t="e">
        <f>AND(Bills!#REF!,"AAAAAH8v2sY=")</f>
        <v>#REF!</v>
      </c>
      <c r="GR54" t="e">
        <f>AND(Bills!F112,"AAAAAH8v2sc=")</f>
        <v>#VALUE!</v>
      </c>
      <c r="GS54" t="e">
        <f>AND(Bills!#REF!,"AAAAAH8v2sg=")</f>
        <v>#REF!</v>
      </c>
      <c r="GT54" t="e">
        <f>AND(Bills!G112,"AAAAAH8v2sk=")</f>
        <v>#VALUE!</v>
      </c>
      <c r="GU54" t="e">
        <f>AND(Bills!H112,"AAAAAH8v2so=")</f>
        <v>#VALUE!</v>
      </c>
      <c r="GV54" t="e">
        <f>AND(Bills!I112,"AAAAAH8v2ss=")</f>
        <v>#VALUE!</v>
      </c>
      <c r="GW54" t="e">
        <f>AND(Bills!J112,"AAAAAH8v2sw=")</f>
        <v>#VALUE!</v>
      </c>
      <c r="GX54" t="e">
        <f>AND(Bills!K112,"AAAAAH8v2s0=")</f>
        <v>#VALUE!</v>
      </c>
      <c r="GY54" t="e">
        <f>AND(Bills!L112,"AAAAAH8v2s4=")</f>
        <v>#VALUE!</v>
      </c>
      <c r="GZ54" t="e">
        <f>AND(Bills!#REF!,"AAAAAH8v2s8=")</f>
        <v>#REF!</v>
      </c>
      <c r="HA54" t="e">
        <f>AND(Bills!M112,"AAAAAH8v2tA=")</f>
        <v>#VALUE!</v>
      </c>
      <c r="HB54" t="e">
        <f>AND(Bills!N112,"AAAAAH8v2tE=")</f>
        <v>#VALUE!</v>
      </c>
      <c r="HC54" t="e">
        <f>AND(Bills!O112,"AAAAAH8v2tI=")</f>
        <v>#VALUE!</v>
      </c>
      <c r="HD54" t="e">
        <f>AND(Bills!P112,"AAAAAH8v2tM=")</f>
        <v>#VALUE!</v>
      </c>
      <c r="HE54" t="e">
        <f>AND(Bills!Q112,"AAAAAH8v2tQ=")</f>
        <v>#VALUE!</v>
      </c>
      <c r="HF54" t="e">
        <f>AND(Bills!R112,"AAAAAH8v2tU=")</f>
        <v>#VALUE!</v>
      </c>
      <c r="HG54" t="e">
        <f>AND(Bills!S112,"AAAAAH8v2tY=")</f>
        <v>#VALUE!</v>
      </c>
      <c r="HH54" t="e">
        <f>AND(Bills!T112,"AAAAAH8v2tc=")</f>
        <v>#VALUE!</v>
      </c>
      <c r="HI54" t="e">
        <f>AND(Bills!#REF!,"AAAAAH8v2tg=")</f>
        <v>#REF!</v>
      </c>
      <c r="HJ54" t="e">
        <f>AND(Bills!U112,"AAAAAH8v2tk=")</f>
        <v>#VALUE!</v>
      </c>
      <c r="HK54" t="e">
        <f>AND(Bills!V112,"AAAAAH8v2to=")</f>
        <v>#VALUE!</v>
      </c>
      <c r="HL54" t="e">
        <f>AND(Bills!W112,"AAAAAH8v2ts=")</f>
        <v>#VALUE!</v>
      </c>
      <c r="HM54" t="e">
        <f>AND(Bills!#REF!,"AAAAAH8v2tw=")</f>
        <v>#REF!</v>
      </c>
      <c r="HN54" t="e">
        <f>AND(Bills!#REF!,"AAAAAH8v2t0=")</f>
        <v>#REF!</v>
      </c>
      <c r="HO54" t="e">
        <f>AND(Bills!Y112,"AAAAAH8v2t4=")</f>
        <v>#VALUE!</v>
      </c>
      <c r="HP54" t="e">
        <f>AND(Bills!Z112,"AAAAAH8v2t8=")</f>
        <v>#VALUE!</v>
      </c>
      <c r="HQ54" t="e">
        <f>AND(Bills!#REF!,"AAAAAH8v2uA=")</f>
        <v>#REF!</v>
      </c>
      <c r="HR54" t="e">
        <f>AND(Bills!#REF!,"AAAAAH8v2uE=")</f>
        <v>#REF!</v>
      </c>
      <c r="HS54" t="e">
        <f>AND(Bills!#REF!,"AAAAAH8v2uI=")</f>
        <v>#REF!</v>
      </c>
      <c r="HT54" t="e">
        <f>AND(Bills!#REF!,"AAAAAH8v2uM=")</f>
        <v>#REF!</v>
      </c>
      <c r="HU54" t="e">
        <f>AND(Bills!#REF!,"AAAAAH8v2uQ=")</f>
        <v>#REF!</v>
      </c>
      <c r="HV54" t="e">
        <f>AND(Bills!#REF!,"AAAAAH8v2uU=")</f>
        <v>#REF!</v>
      </c>
      <c r="HW54" t="e">
        <f>AND(Bills!#REF!,"AAAAAH8v2uY=")</f>
        <v>#REF!</v>
      </c>
      <c r="HX54" t="e">
        <f>AND(Bills!#REF!,"AAAAAH8v2uc=")</f>
        <v>#REF!</v>
      </c>
      <c r="HY54" t="e">
        <f>AND(Bills!#REF!,"AAAAAH8v2ug=")</f>
        <v>#REF!</v>
      </c>
      <c r="HZ54" t="e">
        <f>AND(Bills!AA112,"AAAAAH8v2uk=")</f>
        <v>#VALUE!</v>
      </c>
      <c r="IA54" t="e">
        <f>AND(Bills!AB112,"AAAAAH8v2uo=")</f>
        <v>#VALUE!</v>
      </c>
      <c r="IB54" t="e">
        <f>AND(Bills!#REF!,"AAAAAH8v2us=")</f>
        <v>#REF!</v>
      </c>
      <c r="IC54" t="e">
        <f>AND(Bills!#REF!,"AAAAAH8v2uw=")</f>
        <v>#REF!</v>
      </c>
      <c r="ID54" t="e">
        <f>AND(Bills!#REF!,"AAAAAH8v2u0=")</f>
        <v>#REF!</v>
      </c>
      <c r="IE54" t="e">
        <f>AND(Bills!AC112,"AAAAAH8v2u4=")</f>
        <v>#VALUE!</v>
      </c>
      <c r="IF54" t="e">
        <f>AND(Bills!AD112,"AAAAAH8v2u8=")</f>
        <v>#VALUE!</v>
      </c>
      <c r="IG54" t="e">
        <f>AND(Bills!AE112,"AAAAAH8v2vA=")</f>
        <v>#VALUE!</v>
      </c>
      <c r="IH54">
        <f>IF(Bills!113:113,"AAAAAH8v2vE=",0)</f>
        <v>0</v>
      </c>
      <c r="II54" t="e">
        <f>AND(Bills!B113,"AAAAAH8v2vI=")</f>
        <v>#VALUE!</v>
      </c>
      <c r="IJ54" t="e">
        <f>AND(Bills!#REF!,"AAAAAH8v2vM=")</f>
        <v>#REF!</v>
      </c>
      <c r="IK54" t="e">
        <f>AND(Bills!C113,"AAAAAH8v2vQ=")</f>
        <v>#VALUE!</v>
      </c>
      <c r="IL54" t="e">
        <f>AND(Bills!D113,"AAAAAH8v2vU=")</f>
        <v>#VALUE!</v>
      </c>
      <c r="IM54" t="e">
        <f>AND(Bills!E113,"AAAAAH8v2vY=")</f>
        <v>#VALUE!</v>
      </c>
      <c r="IN54" t="e">
        <f>AND(Bills!#REF!,"AAAAAH8v2vc=")</f>
        <v>#REF!</v>
      </c>
      <c r="IO54" t="e">
        <f>AND(Bills!#REF!,"AAAAAH8v2vg=")</f>
        <v>#REF!</v>
      </c>
      <c r="IP54" t="e">
        <f>AND(Bills!#REF!,"AAAAAH8v2vk=")</f>
        <v>#REF!</v>
      </c>
      <c r="IQ54" t="e">
        <f>AND(Bills!F113,"AAAAAH8v2vo=")</f>
        <v>#VALUE!</v>
      </c>
      <c r="IR54" t="e">
        <f>AND(Bills!#REF!,"AAAAAH8v2vs=")</f>
        <v>#REF!</v>
      </c>
      <c r="IS54" t="e">
        <f>AND(Bills!G113,"AAAAAH8v2vw=")</f>
        <v>#VALUE!</v>
      </c>
      <c r="IT54" t="e">
        <f>AND(Bills!H113,"AAAAAH8v2v0=")</f>
        <v>#VALUE!</v>
      </c>
      <c r="IU54" t="e">
        <f>AND(Bills!I113,"AAAAAH8v2v4=")</f>
        <v>#VALUE!</v>
      </c>
      <c r="IV54" t="e">
        <f>AND(Bills!J113,"AAAAAH8v2v8=")</f>
        <v>#VALUE!</v>
      </c>
    </row>
    <row r="55" spans="1:256" x14ac:dyDescent="0.25">
      <c r="A55" t="e">
        <f>AND(Bills!K113,"AAAAAF/d8wA=")</f>
        <v>#VALUE!</v>
      </c>
      <c r="B55" t="e">
        <f>AND(Bills!L113,"AAAAAF/d8wE=")</f>
        <v>#VALUE!</v>
      </c>
      <c r="C55" t="e">
        <f>AND(Bills!#REF!,"AAAAAF/d8wI=")</f>
        <v>#REF!</v>
      </c>
      <c r="D55" t="e">
        <f>AND(Bills!M113,"AAAAAF/d8wM=")</f>
        <v>#VALUE!</v>
      </c>
      <c r="E55" t="e">
        <f>AND(Bills!N113,"AAAAAF/d8wQ=")</f>
        <v>#VALUE!</v>
      </c>
      <c r="F55" t="e">
        <f>AND(Bills!O113,"AAAAAF/d8wU=")</f>
        <v>#VALUE!</v>
      </c>
      <c r="G55" t="e">
        <f>AND(Bills!P113,"AAAAAF/d8wY=")</f>
        <v>#VALUE!</v>
      </c>
      <c r="H55" t="e">
        <f>AND(Bills!Q113,"AAAAAF/d8wc=")</f>
        <v>#VALUE!</v>
      </c>
      <c r="I55" t="e">
        <f>AND(Bills!R113,"AAAAAF/d8wg=")</f>
        <v>#VALUE!</v>
      </c>
      <c r="J55" t="e">
        <f>AND(Bills!S113,"AAAAAF/d8wk=")</f>
        <v>#VALUE!</v>
      </c>
      <c r="K55" t="e">
        <f>AND(Bills!T113,"AAAAAF/d8wo=")</f>
        <v>#VALUE!</v>
      </c>
      <c r="L55" t="e">
        <f>AND(Bills!#REF!,"AAAAAF/d8ws=")</f>
        <v>#REF!</v>
      </c>
      <c r="M55" t="e">
        <f>AND(Bills!U113,"AAAAAF/d8ww=")</f>
        <v>#VALUE!</v>
      </c>
      <c r="N55" t="e">
        <f>AND(Bills!V113,"AAAAAF/d8w0=")</f>
        <v>#VALUE!</v>
      </c>
      <c r="O55" t="e">
        <f>AND(Bills!W113,"AAAAAF/d8w4=")</f>
        <v>#VALUE!</v>
      </c>
      <c r="P55" t="e">
        <f>AND(Bills!#REF!,"AAAAAF/d8w8=")</f>
        <v>#REF!</v>
      </c>
      <c r="Q55" t="e">
        <f>AND(Bills!#REF!,"AAAAAF/d8xA=")</f>
        <v>#REF!</v>
      </c>
      <c r="R55" t="e">
        <f>AND(Bills!Y113,"AAAAAF/d8xE=")</f>
        <v>#VALUE!</v>
      </c>
      <c r="S55" t="e">
        <f>AND(Bills!Z113,"AAAAAF/d8xI=")</f>
        <v>#VALUE!</v>
      </c>
      <c r="T55" t="e">
        <f>AND(Bills!#REF!,"AAAAAF/d8xM=")</f>
        <v>#REF!</v>
      </c>
      <c r="U55" t="e">
        <f>AND(Bills!#REF!,"AAAAAF/d8xQ=")</f>
        <v>#REF!</v>
      </c>
      <c r="V55" t="e">
        <f>AND(Bills!#REF!,"AAAAAF/d8xU=")</f>
        <v>#REF!</v>
      </c>
      <c r="W55" t="e">
        <f>AND(Bills!#REF!,"AAAAAF/d8xY=")</f>
        <v>#REF!</v>
      </c>
      <c r="X55" t="e">
        <f>AND(Bills!#REF!,"AAAAAF/d8xc=")</f>
        <v>#REF!</v>
      </c>
      <c r="Y55" t="e">
        <f>AND(Bills!#REF!,"AAAAAF/d8xg=")</f>
        <v>#REF!</v>
      </c>
      <c r="Z55" t="e">
        <f>AND(Bills!#REF!,"AAAAAF/d8xk=")</f>
        <v>#REF!</v>
      </c>
      <c r="AA55" t="e">
        <f>AND(Bills!#REF!,"AAAAAF/d8xo=")</f>
        <v>#REF!</v>
      </c>
      <c r="AB55" t="e">
        <f>AND(Bills!#REF!,"AAAAAF/d8xs=")</f>
        <v>#REF!</v>
      </c>
      <c r="AC55" t="e">
        <f>AND(Bills!AA113,"AAAAAF/d8xw=")</f>
        <v>#VALUE!</v>
      </c>
      <c r="AD55" t="e">
        <f>AND(Bills!AB113,"AAAAAF/d8x0=")</f>
        <v>#VALUE!</v>
      </c>
      <c r="AE55" t="e">
        <f>AND(Bills!#REF!,"AAAAAF/d8x4=")</f>
        <v>#REF!</v>
      </c>
      <c r="AF55" t="e">
        <f>AND(Bills!#REF!,"AAAAAF/d8x8=")</f>
        <v>#REF!</v>
      </c>
      <c r="AG55" t="e">
        <f>AND(Bills!#REF!,"AAAAAF/d8yA=")</f>
        <v>#REF!</v>
      </c>
      <c r="AH55" t="e">
        <f>AND(Bills!AC113,"AAAAAF/d8yE=")</f>
        <v>#VALUE!</v>
      </c>
      <c r="AI55" t="e">
        <f>AND(Bills!AD113,"AAAAAF/d8yI=")</f>
        <v>#VALUE!</v>
      </c>
      <c r="AJ55" t="e">
        <f>AND(Bills!AE113,"AAAAAF/d8yM=")</f>
        <v>#VALUE!</v>
      </c>
      <c r="AK55">
        <f>IF(Bills!114:114,"AAAAAF/d8yQ=",0)</f>
        <v>0</v>
      </c>
      <c r="AL55" t="e">
        <f>AND(Bills!B114,"AAAAAF/d8yU=")</f>
        <v>#VALUE!</v>
      </c>
      <c r="AM55" t="e">
        <f>AND(Bills!#REF!,"AAAAAF/d8yY=")</f>
        <v>#REF!</v>
      </c>
      <c r="AN55" t="e">
        <f>AND(Bills!C114,"AAAAAF/d8yc=")</f>
        <v>#VALUE!</v>
      </c>
      <c r="AO55" t="e">
        <f>AND(Bills!D114,"AAAAAF/d8yg=")</f>
        <v>#VALUE!</v>
      </c>
      <c r="AP55" t="e">
        <f>AND(Bills!E114,"AAAAAF/d8yk=")</f>
        <v>#VALUE!</v>
      </c>
      <c r="AQ55" t="e">
        <f>AND(Bills!#REF!,"AAAAAF/d8yo=")</f>
        <v>#REF!</v>
      </c>
      <c r="AR55" t="e">
        <f>AND(Bills!#REF!,"AAAAAF/d8ys=")</f>
        <v>#REF!</v>
      </c>
      <c r="AS55" t="e">
        <f>AND(Bills!#REF!,"AAAAAF/d8yw=")</f>
        <v>#REF!</v>
      </c>
      <c r="AT55" t="e">
        <f>AND(Bills!F114,"AAAAAF/d8y0=")</f>
        <v>#VALUE!</v>
      </c>
      <c r="AU55" t="e">
        <f>AND(Bills!#REF!,"AAAAAF/d8y4=")</f>
        <v>#REF!</v>
      </c>
      <c r="AV55" t="e">
        <f>AND(Bills!G114,"AAAAAF/d8y8=")</f>
        <v>#VALUE!</v>
      </c>
      <c r="AW55" t="e">
        <f>AND(Bills!H114,"AAAAAF/d8zA=")</f>
        <v>#VALUE!</v>
      </c>
      <c r="AX55" t="e">
        <f>AND(Bills!I114,"AAAAAF/d8zE=")</f>
        <v>#VALUE!</v>
      </c>
      <c r="AY55" t="e">
        <f>AND(Bills!J114,"AAAAAF/d8zI=")</f>
        <v>#VALUE!</v>
      </c>
      <c r="AZ55" t="e">
        <f>AND(Bills!K114,"AAAAAF/d8zM=")</f>
        <v>#VALUE!</v>
      </c>
      <c r="BA55" t="e">
        <f>AND(Bills!L114,"AAAAAF/d8zQ=")</f>
        <v>#VALUE!</v>
      </c>
      <c r="BB55" t="e">
        <f>AND(Bills!#REF!,"AAAAAF/d8zU=")</f>
        <v>#REF!</v>
      </c>
      <c r="BC55" t="e">
        <f>AND(Bills!M114,"AAAAAF/d8zY=")</f>
        <v>#VALUE!</v>
      </c>
      <c r="BD55" t="e">
        <f>AND(Bills!N114,"AAAAAF/d8zc=")</f>
        <v>#VALUE!</v>
      </c>
      <c r="BE55" t="e">
        <f>AND(Bills!O114,"AAAAAF/d8zg=")</f>
        <v>#VALUE!</v>
      </c>
      <c r="BF55" t="e">
        <f>AND(Bills!P114,"AAAAAF/d8zk=")</f>
        <v>#VALUE!</v>
      </c>
      <c r="BG55" t="e">
        <f>AND(Bills!Q114,"AAAAAF/d8zo=")</f>
        <v>#VALUE!</v>
      </c>
      <c r="BH55" t="e">
        <f>AND(Bills!R114,"AAAAAF/d8zs=")</f>
        <v>#VALUE!</v>
      </c>
      <c r="BI55" t="e">
        <f>AND(Bills!S114,"AAAAAF/d8zw=")</f>
        <v>#VALUE!</v>
      </c>
      <c r="BJ55" t="e">
        <f>AND(Bills!T114,"AAAAAF/d8z0=")</f>
        <v>#VALUE!</v>
      </c>
      <c r="BK55" t="e">
        <f>AND(Bills!#REF!,"AAAAAF/d8z4=")</f>
        <v>#REF!</v>
      </c>
      <c r="BL55" t="e">
        <f>AND(Bills!U114,"AAAAAF/d8z8=")</f>
        <v>#VALUE!</v>
      </c>
      <c r="BM55" t="e">
        <f>AND(Bills!V114,"AAAAAF/d80A=")</f>
        <v>#VALUE!</v>
      </c>
      <c r="BN55" t="e">
        <f>AND(Bills!W114,"AAAAAF/d80E=")</f>
        <v>#VALUE!</v>
      </c>
      <c r="BO55" t="e">
        <f>AND(Bills!#REF!,"AAAAAF/d80I=")</f>
        <v>#REF!</v>
      </c>
      <c r="BP55" t="e">
        <f>AND(Bills!#REF!,"AAAAAF/d80M=")</f>
        <v>#REF!</v>
      </c>
      <c r="BQ55" t="e">
        <f>AND(Bills!Y114,"AAAAAF/d80Q=")</f>
        <v>#VALUE!</v>
      </c>
      <c r="BR55" t="e">
        <f>AND(Bills!Z114,"AAAAAF/d80U=")</f>
        <v>#VALUE!</v>
      </c>
      <c r="BS55" t="e">
        <f>AND(Bills!#REF!,"AAAAAF/d80Y=")</f>
        <v>#REF!</v>
      </c>
      <c r="BT55" t="e">
        <f>AND(Bills!#REF!,"AAAAAF/d80c=")</f>
        <v>#REF!</v>
      </c>
      <c r="BU55" t="e">
        <f>AND(Bills!#REF!,"AAAAAF/d80g=")</f>
        <v>#REF!</v>
      </c>
      <c r="BV55" t="e">
        <f>AND(Bills!#REF!,"AAAAAF/d80k=")</f>
        <v>#REF!</v>
      </c>
      <c r="BW55" t="e">
        <f>AND(Bills!#REF!,"AAAAAF/d80o=")</f>
        <v>#REF!</v>
      </c>
      <c r="BX55" t="e">
        <f>AND(Bills!#REF!,"AAAAAF/d80s=")</f>
        <v>#REF!</v>
      </c>
      <c r="BY55" t="e">
        <f>AND(Bills!#REF!,"AAAAAF/d80w=")</f>
        <v>#REF!</v>
      </c>
      <c r="BZ55" t="e">
        <f>AND(Bills!#REF!,"AAAAAF/d800=")</f>
        <v>#REF!</v>
      </c>
      <c r="CA55" t="e">
        <f>AND(Bills!#REF!,"AAAAAF/d804=")</f>
        <v>#REF!</v>
      </c>
      <c r="CB55" t="e">
        <f>AND(Bills!AA114,"AAAAAF/d808=")</f>
        <v>#VALUE!</v>
      </c>
      <c r="CC55" t="e">
        <f>AND(Bills!AB114,"AAAAAF/d81A=")</f>
        <v>#VALUE!</v>
      </c>
      <c r="CD55" t="e">
        <f>AND(Bills!#REF!,"AAAAAF/d81E=")</f>
        <v>#REF!</v>
      </c>
      <c r="CE55" t="e">
        <f>AND(Bills!#REF!,"AAAAAF/d81I=")</f>
        <v>#REF!</v>
      </c>
      <c r="CF55" t="e">
        <f>AND(Bills!#REF!,"AAAAAF/d81M=")</f>
        <v>#REF!</v>
      </c>
      <c r="CG55" t="e">
        <f>AND(Bills!AC114,"AAAAAF/d81Q=")</f>
        <v>#VALUE!</v>
      </c>
      <c r="CH55" t="e">
        <f>AND(Bills!AD114,"AAAAAF/d81U=")</f>
        <v>#VALUE!</v>
      </c>
      <c r="CI55" t="e">
        <f>AND(Bills!AE114,"AAAAAF/d81Y=")</f>
        <v>#VALUE!</v>
      </c>
      <c r="CJ55">
        <f>IF(Bills!115:115,"AAAAAF/d81c=",0)</f>
        <v>0</v>
      </c>
      <c r="CK55" t="e">
        <f>AND(Bills!B115,"AAAAAF/d81g=")</f>
        <v>#VALUE!</v>
      </c>
      <c r="CL55" t="e">
        <f>AND(Bills!#REF!,"AAAAAF/d81k=")</f>
        <v>#REF!</v>
      </c>
      <c r="CM55" t="e">
        <f>AND(Bills!C115,"AAAAAF/d81o=")</f>
        <v>#VALUE!</v>
      </c>
      <c r="CN55" t="e">
        <f>AND(Bills!D115,"AAAAAF/d81s=")</f>
        <v>#VALUE!</v>
      </c>
      <c r="CO55" t="e">
        <f>AND(Bills!E115,"AAAAAF/d81w=")</f>
        <v>#VALUE!</v>
      </c>
      <c r="CP55" t="e">
        <f>AND(Bills!#REF!,"AAAAAF/d810=")</f>
        <v>#REF!</v>
      </c>
      <c r="CQ55" t="e">
        <f>AND(Bills!#REF!,"AAAAAF/d814=")</f>
        <v>#REF!</v>
      </c>
      <c r="CR55" t="e">
        <f>AND(Bills!#REF!,"AAAAAF/d818=")</f>
        <v>#REF!</v>
      </c>
      <c r="CS55" t="e">
        <f>AND(Bills!F115,"AAAAAF/d82A=")</f>
        <v>#VALUE!</v>
      </c>
      <c r="CT55" t="e">
        <f>AND(Bills!#REF!,"AAAAAF/d82E=")</f>
        <v>#REF!</v>
      </c>
      <c r="CU55" t="e">
        <f>AND(Bills!G115,"AAAAAF/d82I=")</f>
        <v>#VALUE!</v>
      </c>
      <c r="CV55" t="e">
        <f>AND(Bills!H115,"AAAAAF/d82M=")</f>
        <v>#VALUE!</v>
      </c>
      <c r="CW55" t="e">
        <f>AND(Bills!I115,"AAAAAF/d82Q=")</f>
        <v>#VALUE!</v>
      </c>
      <c r="CX55" t="e">
        <f>AND(Bills!J115,"AAAAAF/d82U=")</f>
        <v>#VALUE!</v>
      </c>
      <c r="CY55" t="e">
        <f>AND(Bills!K115,"AAAAAF/d82Y=")</f>
        <v>#VALUE!</v>
      </c>
      <c r="CZ55" t="e">
        <f>AND(Bills!L115,"AAAAAF/d82c=")</f>
        <v>#VALUE!</v>
      </c>
      <c r="DA55" t="e">
        <f>AND(Bills!#REF!,"AAAAAF/d82g=")</f>
        <v>#REF!</v>
      </c>
      <c r="DB55" t="e">
        <f>AND(Bills!M115,"AAAAAF/d82k=")</f>
        <v>#VALUE!</v>
      </c>
      <c r="DC55" t="e">
        <f>AND(Bills!N115,"AAAAAF/d82o=")</f>
        <v>#VALUE!</v>
      </c>
      <c r="DD55" t="e">
        <f>AND(Bills!O115,"AAAAAF/d82s=")</f>
        <v>#VALUE!</v>
      </c>
      <c r="DE55" t="e">
        <f>AND(Bills!P115,"AAAAAF/d82w=")</f>
        <v>#VALUE!</v>
      </c>
      <c r="DF55" t="e">
        <f>AND(Bills!Q115,"AAAAAF/d820=")</f>
        <v>#VALUE!</v>
      </c>
      <c r="DG55" t="e">
        <f>AND(Bills!R115,"AAAAAF/d824=")</f>
        <v>#VALUE!</v>
      </c>
      <c r="DH55" t="e">
        <f>AND(Bills!S115,"AAAAAF/d828=")</f>
        <v>#VALUE!</v>
      </c>
      <c r="DI55" t="e">
        <f>AND(Bills!T115,"AAAAAF/d83A=")</f>
        <v>#VALUE!</v>
      </c>
      <c r="DJ55" t="e">
        <f>AND(Bills!#REF!,"AAAAAF/d83E=")</f>
        <v>#REF!</v>
      </c>
      <c r="DK55" t="e">
        <f>AND(Bills!U115,"AAAAAF/d83I=")</f>
        <v>#VALUE!</v>
      </c>
      <c r="DL55" t="e">
        <f>AND(Bills!V115,"AAAAAF/d83M=")</f>
        <v>#VALUE!</v>
      </c>
      <c r="DM55" t="e">
        <f>AND(Bills!W115,"AAAAAF/d83Q=")</f>
        <v>#VALUE!</v>
      </c>
      <c r="DN55" t="e">
        <f>AND(Bills!#REF!,"AAAAAF/d83U=")</f>
        <v>#REF!</v>
      </c>
      <c r="DO55" t="e">
        <f>AND(Bills!#REF!,"AAAAAF/d83Y=")</f>
        <v>#REF!</v>
      </c>
      <c r="DP55" t="e">
        <f>AND(Bills!Y115,"AAAAAF/d83c=")</f>
        <v>#VALUE!</v>
      </c>
      <c r="DQ55" t="e">
        <f>AND(Bills!Z115,"AAAAAF/d83g=")</f>
        <v>#VALUE!</v>
      </c>
      <c r="DR55" t="e">
        <f>AND(Bills!#REF!,"AAAAAF/d83k=")</f>
        <v>#REF!</v>
      </c>
      <c r="DS55" t="e">
        <f>AND(Bills!#REF!,"AAAAAF/d83o=")</f>
        <v>#REF!</v>
      </c>
      <c r="DT55" t="e">
        <f>AND(Bills!#REF!,"AAAAAF/d83s=")</f>
        <v>#REF!</v>
      </c>
      <c r="DU55" t="e">
        <f>AND(Bills!#REF!,"AAAAAF/d83w=")</f>
        <v>#REF!</v>
      </c>
      <c r="DV55" t="e">
        <f>AND(Bills!#REF!,"AAAAAF/d830=")</f>
        <v>#REF!</v>
      </c>
      <c r="DW55" t="e">
        <f>AND(Bills!#REF!,"AAAAAF/d834=")</f>
        <v>#REF!</v>
      </c>
      <c r="DX55" t="e">
        <f>AND(Bills!#REF!,"AAAAAF/d838=")</f>
        <v>#REF!</v>
      </c>
      <c r="DY55" t="e">
        <f>AND(Bills!#REF!,"AAAAAF/d84A=")</f>
        <v>#REF!</v>
      </c>
      <c r="DZ55" t="e">
        <f>AND(Bills!#REF!,"AAAAAF/d84E=")</f>
        <v>#REF!</v>
      </c>
      <c r="EA55" t="e">
        <f>AND(Bills!AA115,"AAAAAF/d84I=")</f>
        <v>#VALUE!</v>
      </c>
      <c r="EB55" t="e">
        <f>AND(Bills!AB115,"AAAAAF/d84M=")</f>
        <v>#VALUE!</v>
      </c>
      <c r="EC55" t="e">
        <f>AND(Bills!#REF!,"AAAAAF/d84Q=")</f>
        <v>#REF!</v>
      </c>
      <c r="ED55" t="e">
        <f>AND(Bills!#REF!,"AAAAAF/d84U=")</f>
        <v>#REF!</v>
      </c>
      <c r="EE55" t="e">
        <f>AND(Bills!#REF!,"AAAAAF/d84Y=")</f>
        <v>#REF!</v>
      </c>
      <c r="EF55" t="e">
        <f>AND(Bills!AC115,"AAAAAF/d84c=")</f>
        <v>#VALUE!</v>
      </c>
      <c r="EG55" t="e">
        <f>AND(Bills!AD115,"AAAAAF/d84g=")</f>
        <v>#VALUE!</v>
      </c>
      <c r="EH55" t="e">
        <f>AND(Bills!AE115,"AAAAAF/d84k=")</f>
        <v>#VALUE!</v>
      </c>
      <c r="EI55">
        <f>IF(Bills!116:116,"AAAAAF/d84o=",0)</f>
        <v>0</v>
      </c>
      <c r="EJ55" t="e">
        <f>AND(Bills!B116,"AAAAAF/d84s=")</f>
        <v>#VALUE!</v>
      </c>
      <c r="EK55" t="e">
        <f>AND(Bills!#REF!,"AAAAAF/d84w=")</f>
        <v>#REF!</v>
      </c>
      <c r="EL55" t="e">
        <f>AND(Bills!C116,"AAAAAF/d840=")</f>
        <v>#VALUE!</v>
      </c>
      <c r="EM55" t="e">
        <f>AND(Bills!D116,"AAAAAF/d844=")</f>
        <v>#VALUE!</v>
      </c>
      <c r="EN55" t="e">
        <f>AND(Bills!E116,"AAAAAF/d848=")</f>
        <v>#VALUE!</v>
      </c>
      <c r="EO55" t="e">
        <f>AND(Bills!#REF!,"AAAAAF/d85A=")</f>
        <v>#REF!</v>
      </c>
      <c r="EP55" t="e">
        <f>AND(Bills!#REF!,"AAAAAF/d85E=")</f>
        <v>#REF!</v>
      </c>
      <c r="EQ55" t="e">
        <f>AND(Bills!#REF!,"AAAAAF/d85I=")</f>
        <v>#REF!</v>
      </c>
      <c r="ER55" t="e">
        <f>AND(Bills!F116,"AAAAAF/d85M=")</f>
        <v>#VALUE!</v>
      </c>
      <c r="ES55" t="e">
        <f>AND(Bills!#REF!,"AAAAAF/d85Q=")</f>
        <v>#REF!</v>
      </c>
      <c r="ET55" t="e">
        <f>AND(Bills!G116,"AAAAAF/d85U=")</f>
        <v>#VALUE!</v>
      </c>
      <c r="EU55" t="e">
        <f>AND(Bills!H116,"AAAAAF/d85Y=")</f>
        <v>#VALUE!</v>
      </c>
      <c r="EV55" t="e">
        <f>AND(Bills!I116,"AAAAAF/d85c=")</f>
        <v>#VALUE!</v>
      </c>
      <c r="EW55" t="e">
        <f>AND(Bills!J116,"AAAAAF/d85g=")</f>
        <v>#VALUE!</v>
      </c>
      <c r="EX55" t="e">
        <f>AND(Bills!K116,"AAAAAF/d85k=")</f>
        <v>#VALUE!</v>
      </c>
      <c r="EY55" t="e">
        <f>AND(Bills!L116,"AAAAAF/d85o=")</f>
        <v>#VALUE!</v>
      </c>
      <c r="EZ55" t="e">
        <f>AND(Bills!#REF!,"AAAAAF/d85s=")</f>
        <v>#REF!</v>
      </c>
      <c r="FA55" t="e">
        <f>AND(Bills!M116,"AAAAAF/d85w=")</f>
        <v>#VALUE!</v>
      </c>
      <c r="FB55" t="e">
        <f>AND(Bills!N116,"AAAAAF/d850=")</f>
        <v>#VALUE!</v>
      </c>
      <c r="FC55" t="e">
        <f>AND(Bills!O116,"AAAAAF/d854=")</f>
        <v>#VALUE!</v>
      </c>
      <c r="FD55" t="e">
        <f>AND(Bills!P116,"AAAAAF/d858=")</f>
        <v>#VALUE!</v>
      </c>
      <c r="FE55" t="e">
        <f>AND(Bills!Q116,"AAAAAF/d86A=")</f>
        <v>#VALUE!</v>
      </c>
      <c r="FF55" t="e">
        <f>AND(Bills!R116,"AAAAAF/d86E=")</f>
        <v>#VALUE!</v>
      </c>
      <c r="FG55" t="e">
        <f>AND(Bills!S116,"AAAAAF/d86I=")</f>
        <v>#VALUE!</v>
      </c>
      <c r="FH55" t="e">
        <f>AND(Bills!T116,"AAAAAF/d86M=")</f>
        <v>#VALUE!</v>
      </c>
      <c r="FI55" t="e">
        <f>AND(Bills!#REF!,"AAAAAF/d86Q=")</f>
        <v>#REF!</v>
      </c>
      <c r="FJ55" t="e">
        <f>AND(Bills!U116,"AAAAAF/d86U=")</f>
        <v>#VALUE!</v>
      </c>
      <c r="FK55" t="e">
        <f>AND(Bills!V116,"AAAAAF/d86Y=")</f>
        <v>#VALUE!</v>
      </c>
      <c r="FL55" t="e">
        <f>AND(Bills!W116,"AAAAAF/d86c=")</f>
        <v>#VALUE!</v>
      </c>
      <c r="FM55" t="e">
        <f>AND(Bills!#REF!,"AAAAAF/d86g=")</f>
        <v>#REF!</v>
      </c>
      <c r="FN55" t="e">
        <f>AND(Bills!#REF!,"AAAAAF/d86k=")</f>
        <v>#REF!</v>
      </c>
      <c r="FO55" t="e">
        <f>AND(Bills!Y116,"AAAAAF/d86o=")</f>
        <v>#VALUE!</v>
      </c>
      <c r="FP55" t="e">
        <f>AND(Bills!Z116,"AAAAAF/d86s=")</f>
        <v>#VALUE!</v>
      </c>
      <c r="FQ55" t="e">
        <f>AND(Bills!#REF!,"AAAAAF/d86w=")</f>
        <v>#REF!</v>
      </c>
      <c r="FR55" t="e">
        <f>AND(Bills!#REF!,"AAAAAF/d860=")</f>
        <v>#REF!</v>
      </c>
      <c r="FS55" t="e">
        <f>AND(Bills!#REF!,"AAAAAF/d864=")</f>
        <v>#REF!</v>
      </c>
      <c r="FT55" t="e">
        <f>AND(Bills!#REF!,"AAAAAF/d868=")</f>
        <v>#REF!</v>
      </c>
      <c r="FU55" t="e">
        <f>AND(Bills!#REF!,"AAAAAF/d87A=")</f>
        <v>#REF!</v>
      </c>
      <c r="FV55" t="e">
        <f>AND(Bills!#REF!,"AAAAAF/d87E=")</f>
        <v>#REF!</v>
      </c>
      <c r="FW55" t="e">
        <f>AND(Bills!#REF!,"AAAAAF/d87I=")</f>
        <v>#REF!</v>
      </c>
      <c r="FX55" t="e">
        <f>AND(Bills!#REF!,"AAAAAF/d87M=")</f>
        <v>#REF!</v>
      </c>
      <c r="FY55" t="e">
        <f>AND(Bills!#REF!,"AAAAAF/d87Q=")</f>
        <v>#REF!</v>
      </c>
      <c r="FZ55" t="e">
        <f>AND(Bills!AA116,"AAAAAF/d87U=")</f>
        <v>#VALUE!</v>
      </c>
      <c r="GA55" t="e">
        <f>AND(Bills!AB116,"AAAAAF/d87Y=")</f>
        <v>#VALUE!</v>
      </c>
      <c r="GB55" t="e">
        <f>AND(Bills!#REF!,"AAAAAF/d87c=")</f>
        <v>#REF!</v>
      </c>
      <c r="GC55" t="e">
        <f>AND(Bills!#REF!,"AAAAAF/d87g=")</f>
        <v>#REF!</v>
      </c>
      <c r="GD55" t="e">
        <f>AND(Bills!#REF!,"AAAAAF/d87k=")</f>
        <v>#REF!</v>
      </c>
      <c r="GE55" t="e">
        <f>AND(Bills!AC116,"AAAAAF/d87o=")</f>
        <v>#VALUE!</v>
      </c>
      <c r="GF55" t="e">
        <f>AND(Bills!AD116,"AAAAAF/d87s=")</f>
        <v>#VALUE!</v>
      </c>
      <c r="GG55" t="e">
        <f>AND(Bills!AE116,"AAAAAF/d87w=")</f>
        <v>#VALUE!</v>
      </c>
      <c r="GH55">
        <f>IF(Bills!117:117,"AAAAAF/d870=",0)</f>
        <v>0</v>
      </c>
      <c r="GI55" t="e">
        <f>AND(Bills!B117,"AAAAAF/d874=")</f>
        <v>#VALUE!</v>
      </c>
      <c r="GJ55" t="e">
        <f>AND(Bills!#REF!,"AAAAAF/d878=")</f>
        <v>#REF!</v>
      </c>
      <c r="GK55" t="e">
        <f>AND(Bills!C117,"AAAAAF/d88A=")</f>
        <v>#VALUE!</v>
      </c>
      <c r="GL55" t="e">
        <f>AND(Bills!D117,"AAAAAF/d88E=")</f>
        <v>#VALUE!</v>
      </c>
      <c r="GM55" t="e">
        <f>AND(Bills!E117,"AAAAAF/d88I=")</f>
        <v>#VALUE!</v>
      </c>
      <c r="GN55" t="e">
        <f>AND(Bills!#REF!,"AAAAAF/d88M=")</f>
        <v>#REF!</v>
      </c>
      <c r="GO55" t="e">
        <f>AND(Bills!#REF!,"AAAAAF/d88Q=")</f>
        <v>#REF!</v>
      </c>
      <c r="GP55" t="e">
        <f>AND(Bills!#REF!,"AAAAAF/d88U=")</f>
        <v>#REF!</v>
      </c>
      <c r="GQ55" t="e">
        <f>AND(Bills!F117,"AAAAAF/d88Y=")</f>
        <v>#VALUE!</v>
      </c>
      <c r="GR55" t="e">
        <f>AND(Bills!#REF!,"AAAAAF/d88c=")</f>
        <v>#REF!</v>
      </c>
      <c r="GS55" t="e">
        <f>AND(Bills!G117,"AAAAAF/d88g=")</f>
        <v>#VALUE!</v>
      </c>
      <c r="GT55" t="e">
        <f>AND(Bills!H117,"AAAAAF/d88k=")</f>
        <v>#VALUE!</v>
      </c>
      <c r="GU55" t="e">
        <f>AND(Bills!I117,"AAAAAF/d88o=")</f>
        <v>#VALUE!</v>
      </c>
      <c r="GV55" t="e">
        <f>AND(Bills!J117,"AAAAAF/d88s=")</f>
        <v>#VALUE!</v>
      </c>
      <c r="GW55" t="e">
        <f>AND(Bills!K117,"AAAAAF/d88w=")</f>
        <v>#VALUE!</v>
      </c>
      <c r="GX55" t="e">
        <f>AND(Bills!L117,"AAAAAF/d880=")</f>
        <v>#VALUE!</v>
      </c>
      <c r="GY55" t="e">
        <f>AND(Bills!#REF!,"AAAAAF/d884=")</f>
        <v>#REF!</v>
      </c>
      <c r="GZ55" t="e">
        <f>AND(Bills!M117,"AAAAAF/d888=")</f>
        <v>#VALUE!</v>
      </c>
      <c r="HA55" t="e">
        <f>AND(Bills!N117,"AAAAAF/d89A=")</f>
        <v>#VALUE!</v>
      </c>
      <c r="HB55" t="e">
        <f>AND(Bills!O117,"AAAAAF/d89E=")</f>
        <v>#VALUE!</v>
      </c>
      <c r="HC55" t="e">
        <f>AND(Bills!P117,"AAAAAF/d89I=")</f>
        <v>#VALUE!</v>
      </c>
      <c r="HD55" t="e">
        <f>AND(Bills!Q117,"AAAAAF/d89M=")</f>
        <v>#VALUE!</v>
      </c>
      <c r="HE55" t="e">
        <f>AND(Bills!R117,"AAAAAF/d89Q=")</f>
        <v>#VALUE!</v>
      </c>
      <c r="HF55" t="e">
        <f>AND(Bills!S117,"AAAAAF/d89U=")</f>
        <v>#VALUE!</v>
      </c>
      <c r="HG55" t="e">
        <f>AND(Bills!T117,"AAAAAF/d89Y=")</f>
        <v>#VALUE!</v>
      </c>
      <c r="HH55" t="e">
        <f>AND(Bills!#REF!,"AAAAAF/d89c=")</f>
        <v>#REF!</v>
      </c>
      <c r="HI55" t="e">
        <f>AND(Bills!U117,"AAAAAF/d89g=")</f>
        <v>#VALUE!</v>
      </c>
      <c r="HJ55" t="e">
        <f>AND(Bills!V117,"AAAAAF/d89k=")</f>
        <v>#VALUE!</v>
      </c>
      <c r="HK55" t="e">
        <f>AND(Bills!W117,"AAAAAF/d89o=")</f>
        <v>#VALUE!</v>
      </c>
      <c r="HL55" t="e">
        <f>AND(Bills!#REF!,"AAAAAF/d89s=")</f>
        <v>#REF!</v>
      </c>
      <c r="HM55" t="e">
        <f>AND(Bills!#REF!,"AAAAAF/d89w=")</f>
        <v>#REF!</v>
      </c>
      <c r="HN55" t="e">
        <f>AND(Bills!Y117,"AAAAAF/d890=")</f>
        <v>#VALUE!</v>
      </c>
      <c r="HO55" t="e">
        <f>AND(Bills!Z117,"AAAAAF/d894=")</f>
        <v>#VALUE!</v>
      </c>
      <c r="HP55" t="e">
        <f>AND(Bills!#REF!,"AAAAAF/d898=")</f>
        <v>#REF!</v>
      </c>
      <c r="HQ55" t="e">
        <f>AND(Bills!#REF!,"AAAAAF/d8+A=")</f>
        <v>#REF!</v>
      </c>
      <c r="HR55" t="e">
        <f>AND(Bills!#REF!,"AAAAAF/d8+E=")</f>
        <v>#REF!</v>
      </c>
      <c r="HS55" t="e">
        <f>AND(Bills!#REF!,"AAAAAF/d8+I=")</f>
        <v>#REF!</v>
      </c>
      <c r="HT55" t="e">
        <f>AND(Bills!#REF!,"AAAAAF/d8+M=")</f>
        <v>#REF!</v>
      </c>
      <c r="HU55" t="e">
        <f>AND(Bills!#REF!,"AAAAAF/d8+Q=")</f>
        <v>#REF!</v>
      </c>
      <c r="HV55" t="e">
        <f>AND(Bills!#REF!,"AAAAAF/d8+U=")</f>
        <v>#REF!</v>
      </c>
      <c r="HW55" t="e">
        <f>AND(Bills!#REF!,"AAAAAF/d8+Y=")</f>
        <v>#REF!</v>
      </c>
      <c r="HX55" t="e">
        <f>AND(Bills!#REF!,"AAAAAF/d8+c=")</f>
        <v>#REF!</v>
      </c>
      <c r="HY55" t="e">
        <f>AND(Bills!AA117,"AAAAAF/d8+g=")</f>
        <v>#VALUE!</v>
      </c>
      <c r="HZ55" t="e">
        <f>AND(Bills!AB117,"AAAAAF/d8+k=")</f>
        <v>#VALUE!</v>
      </c>
      <c r="IA55" t="e">
        <f>AND(Bills!#REF!,"AAAAAF/d8+o=")</f>
        <v>#REF!</v>
      </c>
      <c r="IB55" t="e">
        <f>AND(Bills!#REF!,"AAAAAF/d8+s=")</f>
        <v>#REF!</v>
      </c>
      <c r="IC55" t="e">
        <f>AND(Bills!#REF!,"AAAAAF/d8+w=")</f>
        <v>#REF!</v>
      </c>
      <c r="ID55" t="e">
        <f>AND(Bills!AC117,"AAAAAF/d8+0=")</f>
        <v>#VALUE!</v>
      </c>
      <c r="IE55" t="e">
        <f>AND(Bills!AD117,"AAAAAF/d8+4=")</f>
        <v>#VALUE!</v>
      </c>
      <c r="IF55" t="e">
        <f>AND(Bills!AE117,"AAAAAF/d8+8=")</f>
        <v>#VALUE!</v>
      </c>
      <c r="IG55">
        <f>IF(Bills!118:118,"AAAAAF/d8/A=",0)</f>
        <v>0</v>
      </c>
      <c r="IH55" t="e">
        <f>AND(Bills!B118,"AAAAAF/d8/E=")</f>
        <v>#VALUE!</v>
      </c>
      <c r="II55" t="e">
        <f>AND(Bills!#REF!,"AAAAAF/d8/I=")</f>
        <v>#REF!</v>
      </c>
      <c r="IJ55" t="e">
        <f>AND(Bills!C118,"AAAAAF/d8/M=")</f>
        <v>#VALUE!</v>
      </c>
      <c r="IK55" t="e">
        <f>AND(Bills!D118,"AAAAAF/d8/Q=")</f>
        <v>#VALUE!</v>
      </c>
      <c r="IL55" t="e">
        <f>AND(Bills!E118,"AAAAAF/d8/U=")</f>
        <v>#VALUE!</v>
      </c>
      <c r="IM55" t="e">
        <f>AND(Bills!#REF!,"AAAAAF/d8/Y=")</f>
        <v>#REF!</v>
      </c>
      <c r="IN55" t="e">
        <f>AND(Bills!#REF!,"AAAAAF/d8/c=")</f>
        <v>#REF!</v>
      </c>
      <c r="IO55" t="e">
        <f>AND(Bills!#REF!,"AAAAAF/d8/g=")</f>
        <v>#REF!</v>
      </c>
      <c r="IP55" t="e">
        <f>AND(Bills!F118,"AAAAAF/d8/k=")</f>
        <v>#VALUE!</v>
      </c>
      <c r="IQ55" t="e">
        <f>AND(Bills!#REF!,"AAAAAF/d8/o=")</f>
        <v>#REF!</v>
      </c>
      <c r="IR55" t="e">
        <f>AND(Bills!G118,"AAAAAF/d8/s=")</f>
        <v>#VALUE!</v>
      </c>
      <c r="IS55" t="e">
        <f>AND(Bills!H118,"AAAAAF/d8/w=")</f>
        <v>#VALUE!</v>
      </c>
      <c r="IT55" t="e">
        <f>AND(Bills!I118,"AAAAAF/d8/0=")</f>
        <v>#VALUE!</v>
      </c>
      <c r="IU55" t="e">
        <f>AND(Bills!J118,"AAAAAF/d8/4=")</f>
        <v>#VALUE!</v>
      </c>
      <c r="IV55" t="e">
        <f>AND(Bills!K118,"AAAAAF/d8/8=")</f>
        <v>#VALUE!</v>
      </c>
    </row>
    <row r="56" spans="1:256" x14ac:dyDescent="0.25">
      <c r="A56" t="e">
        <f>AND(Bills!L118,"AAAAAFfvNQA=")</f>
        <v>#VALUE!</v>
      </c>
      <c r="B56" t="e">
        <f>AND(Bills!#REF!,"AAAAAFfvNQE=")</f>
        <v>#REF!</v>
      </c>
      <c r="C56" t="e">
        <f>AND(Bills!M118,"AAAAAFfvNQI=")</f>
        <v>#VALUE!</v>
      </c>
      <c r="D56" t="e">
        <f>AND(Bills!N118,"AAAAAFfvNQM=")</f>
        <v>#VALUE!</v>
      </c>
      <c r="E56" t="e">
        <f>AND(Bills!O118,"AAAAAFfvNQQ=")</f>
        <v>#VALUE!</v>
      </c>
      <c r="F56" t="e">
        <f>AND(Bills!P118,"AAAAAFfvNQU=")</f>
        <v>#VALUE!</v>
      </c>
      <c r="G56" t="e">
        <f>AND(Bills!Q118,"AAAAAFfvNQY=")</f>
        <v>#VALUE!</v>
      </c>
      <c r="H56" t="e">
        <f>AND(Bills!R118,"AAAAAFfvNQc=")</f>
        <v>#VALUE!</v>
      </c>
      <c r="I56" t="e">
        <f>AND(Bills!S118,"AAAAAFfvNQg=")</f>
        <v>#VALUE!</v>
      </c>
      <c r="J56" t="e">
        <f>AND(Bills!T118,"AAAAAFfvNQk=")</f>
        <v>#VALUE!</v>
      </c>
      <c r="K56" t="e">
        <f>AND(Bills!#REF!,"AAAAAFfvNQo=")</f>
        <v>#REF!</v>
      </c>
      <c r="L56" t="e">
        <f>AND(Bills!U118,"AAAAAFfvNQs=")</f>
        <v>#VALUE!</v>
      </c>
      <c r="M56" t="e">
        <f>AND(Bills!V118,"AAAAAFfvNQw=")</f>
        <v>#VALUE!</v>
      </c>
      <c r="N56" t="e">
        <f>AND(Bills!W118,"AAAAAFfvNQ0=")</f>
        <v>#VALUE!</v>
      </c>
      <c r="O56" t="e">
        <f>AND(Bills!#REF!,"AAAAAFfvNQ4=")</f>
        <v>#REF!</v>
      </c>
      <c r="P56" t="e">
        <f>AND(Bills!#REF!,"AAAAAFfvNQ8=")</f>
        <v>#REF!</v>
      </c>
      <c r="Q56" t="e">
        <f>AND(Bills!Y118,"AAAAAFfvNRA=")</f>
        <v>#VALUE!</v>
      </c>
      <c r="R56" t="e">
        <f>AND(Bills!Z118,"AAAAAFfvNRE=")</f>
        <v>#VALUE!</v>
      </c>
      <c r="S56" t="e">
        <f>AND(Bills!#REF!,"AAAAAFfvNRI=")</f>
        <v>#REF!</v>
      </c>
      <c r="T56" t="e">
        <f>AND(Bills!#REF!,"AAAAAFfvNRM=")</f>
        <v>#REF!</v>
      </c>
      <c r="U56" t="e">
        <f>AND(Bills!#REF!,"AAAAAFfvNRQ=")</f>
        <v>#REF!</v>
      </c>
      <c r="V56" t="e">
        <f>AND(Bills!#REF!,"AAAAAFfvNRU=")</f>
        <v>#REF!</v>
      </c>
      <c r="W56" t="e">
        <f>AND(Bills!#REF!,"AAAAAFfvNRY=")</f>
        <v>#REF!</v>
      </c>
      <c r="X56" t="e">
        <f>AND(Bills!#REF!,"AAAAAFfvNRc=")</f>
        <v>#REF!</v>
      </c>
      <c r="Y56" t="e">
        <f>AND(Bills!#REF!,"AAAAAFfvNRg=")</f>
        <v>#REF!</v>
      </c>
      <c r="Z56" t="e">
        <f>AND(Bills!#REF!,"AAAAAFfvNRk=")</f>
        <v>#REF!</v>
      </c>
      <c r="AA56" t="e">
        <f>AND(Bills!#REF!,"AAAAAFfvNRo=")</f>
        <v>#REF!</v>
      </c>
      <c r="AB56" t="e">
        <f>AND(Bills!AA118,"AAAAAFfvNRs=")</f>
        <v>#VALUE!</v>
      </c>
      <c r="AC56" t="e">
        <f>AND(Bills!AB118,"AAAAAFfvNRw=")</f>
        <v>#VALUE!</v>
      </c>
      <c r="AD56" t="e">
        <f>AND(Bills!#REF!,"AAAAAFfvNR0=")</f>
        <v>#REF!</v>
      </c>
      <c r="AE56" t="e">
        <f>AND(Bills!#REF!,"AAAAAFfvNR4=")</f>
        <v>#REF!</v>
      </c>
      <c r="AF56" t="e">
        <f>AND(Bills!#REF!,"AAAAAFfvNR8=")</f>
        <v>#REF!</v>
      </c>
      <c r="AG56" t="e">
        <f>AND(Bills!AC118,"AAAAAFfvNSA=")</f>
        <v>#VALUE!</v>
      </c>
      <c r="AH56" t="e">
        <f>AND(Bills!AD118,"AAAAAFfvNSE=")</f>
        <v>#VALUE!</v>
      </c>
      <c r="AI56" t="e">
        <f>AND(Bills!AE118,"AAAAAFfvNSI=")</f>
        <v>#VALUE!</v>
      </c>
      <c r="AJ56">
        <f>IF(Bills!119:119,"AAAAAFfvNSM=",0)</f>
        <v>0</v>
      </c>
      <c r="AK56" t="e">
        <f>AND(Bills!B119,"AAAAAFfvNSQ=")</f>
        <v>#VALUE!</v>
      </c>
      <c r="AL56" t="e">
        <f>AND(Bills!#REF!,"AAAAAFfvNSU=")</f>
        <v>#REF!</v>
      </c>
      <c r="AM56" t="e">
        <f>AND(Bills!C119,"AAAAAFfvNSY=")</f>
        <v>#VALUE!</v>
      </c>
      <c r="AN56" t="e">
        <f>AND(Bills!D119,"AAAAAFfvNSc=")</f>
        <v>#VALUE!</v>
      </c>
      <c r="AO56" t="e">
        <f>AND(Bills!E119,"AAAAAFfvNSg=")</f>
        <v>#VALUE!</v>
      </c>
      <c r="AP56" t="e">
        <f>AND(Bills!#REF!,"AAAAAFfvNSk=")</f>
        <v>#REF!</v>
      </c>
      <c r="AQ56" t="e">
        <f>AND(Bills!#REF!,"AAAAAFfvNSo=")</f>
        <v>#REF!</v>
      </c>
      <c r="AR56" t="e">
        <f>AND(Bills!#REF!,"AAAAAFfvNSs=")</f>
        <v>#REF!</v>
      </c>
      <c r="AS56" t="e">
        <f>AND(Bills!F119,"AAAAAFfvNSw=")</f>
        <v>#VALUE!</v>
      </c>
      <c r="AT56" t="e">
        <f>AND(Bills!#REF!,"AAAAAFfvNS0=")</f>
        <v>#REF!</v>
      </c>
      <c r="AU56" t="e">
        <f>AND(Bills!G119,"AAAAAFfvNS4=")</f>
        <v>#VALUE!</v>
      </c>
      <c r="AV56" t="e">
        <f>AND(Bills!H119,"AAAAAFfvNS8=")</f>
        <v>#VALUE!</v>
      </c>
      <c r="AW56" t="e">
        <f>AND(Bills!I119,"AAAAAFfvNTA=")</f>
        <v>#VALUE!</v>
      </c>
      <c r="AX56" t="e">
        <f>AND(Bills!J119,"AAAAAFfvNTE=")</f>
        <v>#VALUE!</v>
      </c>
      <c r="AY56" t="e">
        <f>AND(Bills!K119,"AAAAAFfvNTI=")</f>
        <v>#VALUE!</v>
      </c>
      <c r="AZ56" t="e">
        <f>AND(Bills!L119,"AAAAAFfvNTM=")</f>
        <v>#VALUE!</v>
      </c>
      <c r="BA56" t="e">
        <f>AND(Bills!#REF!,"AAAAAFfvNTQ=")</f>
        <v>#REF!</v>
      </c>
      <c r="BB56" t="e">
        <f>AND(Bills!M119,"AAAAAFfvNTU=")</f>
        <v>#VALUE!</v>
      </c>
      <c r="BC56" t="e">
        <f>AND(Bills!N119,"AAAAAFfvNTY=")</f>
        <v>#VALUE!</v>
      </c>
      <c r="BD56" t="e">
        <f>AND(Bills!O119,"AAAAAFfvNTc=")</f>
        <v>#VALUE!</v>
      </c>
      <c r="BE56" t="e">
        <f>AND(Bills!P119,"AAAAAFfvNTg=")</f>
        <v>#VALUE!</v>
      </c>
      <c r="BF56" t="e">
        <f>AND(Bills!Q119,"AAAAAFfvNTk=")</f>
        <v>#VALUE!</v>
      </c>
      <c r="BG56" t="e">
        <f>AND(Bills!R119,"AAAAAFfvNTo=")</f>
        <v>#VALUE!</v>
      </c>
      <c r="BH56" t="e">
        <f>AND(Bills!S119,"AAAAAFfvNTs=")</f>
        <v>#VALUE!</v>
      </c>
      <c r="BI56" t="e">
        <f>AND(Bills!T119,"AAAAAFfvNTw=")</f>
        <v>#VALUE!</v>
      </c>
      <c r="BJ56" t="e">
        <f>AND(Bills!#REF!,"AAAAAFfvNT0=")</f>
        <v>#REF!</v>
      </c>
      <c r="BK56" t="e">
        <f>AND(Bills!U119,"AAAAAFfvNT4=")</f>
        <v>#VALUE!</v>
      </c>
      <c r="BL56" t="e">
        <f>AND(Bills!V119,"AAAAAFfvNT8=")</f>
        <v>#VALUE!</v>
      </c>
      <c r="BM56" t="e">
        <f>AND(Bills!W119,"AAAAAFfvNUA=")</f>
        <v>#VALUE!</v>
      </c>
      <c r="BN56" t="e">
        <f>AND(Bills!#REF!,"AAAAAFfvNUE=")</f>
        <v>#REF!</v>
      </c>
      <c r="BO56" t="e">
        <f>AND(Bills!#REF!,"AAAAAFfvNUI=")</f>
        <v>#REF!</v>
      </c>
      <c r="BP56" t="e">
        <f>AND(Bills!Y119,"AAAAAFfvNUM=")</f>
        <v>#VALUE!</v>
      </c>
      <c r="BQ56" t="e">
        <f>AND(Bills!Z119,"AAAAAFfvNUQ=")</f>
        <v>#VALUE!</v>
      </c>
      <c r="BR56" t="e">
        <f>AND(Bills!#REF!,"AAAAAFfvNUU=")</f>
        <v>#REF!</v>
      </c>
      <c r="BS56" t="e">
        <f>AND(Bills!#REF!,"AAAAAFfvNUY=")</f>
        <v>#REF!</v>
      </c>
      <c r="BT56" t="e">
        <f>AND(Bills!#REF!,"AAAAAFfvNUc=")</f>
        <v>#REF!</v>
      </c>
      <c r="BU56" t="e">
        <f>AND(Bills!#REF!,"AAAAAFfvNUg=")</f>
        <v>#REF!</v>
      </c>
      <c r="BV56" t="e">
        <f>AND(Bills!#REF!,"AAAAAFfvNUk=")</f>
        <v>#REF!</v>
      </c>
      <c r="BW56" t="e">
        <f>AND(Bills!#REF!,"AAAAAFfvNUo=")</f>
        <v>#REF!</v>
      </c>
      <c r="BX56" t="e">
        <f>AND(Bills!#REF!,"AAAAAFfvNUs=")</f>
        <v>#REF!</v>
      </c>
      <c r="BY56" t="e">
        <f>AND(Bills!#REF!,"AAAAAFfvNUw=")</f>
        <v>#REF!</v>
      </c>
      <c r="BZ56" t="e">
        <f>AND(Bills!#REF!,"AAAAAFfvNU0=")</f>
        <v>#REF!</v>
      </c>
      <c r="CA56" t="e">
        <f>AND(Bills!AA119,"AAAAAFfvNU4=")</f>
        <v>#VALUE!</v>
      </c>
      <c r="CB56" t="e">
        <f>AND(Bills!AB119,"AAAAAFfvNU8=")</f>
        <v>#VALUE!</v>
      </c>
      <c r="CC56" t="e">
        <f>AND(Bills!#REF!,"AAAAAFfvNVA=")</f>
        <v>#REF!</v>
      </c>
      <c r="CD56" t="e">
        <f>AND(Bills!#REF!,"AAAAAFfvNVE=")</f>
        <v>#REF!</v>
      </c>
      <c r="CE56" t="e">
        <f>AND(Bills!#REF!,"AAAAAFfvNVI=")</f>
        <v>#REF!</v>
      </c>
      <c r="CF56" t="e">
        <f>AND(Bills!AC119,"AAAAAFfvNVM=")</f>
        <v>#VALUE!</v>
      </c>
      <c r="CG56" t="e">
        <f>AND(Bills!AD119,"AAAAAFfvNVQ=")</f>
        <v>#VALUE!</v>
      </c>
      <c r="CH56" t="e">
        <f>AND(Bills!AE119,"AAAAAFfvNVU=")</f>
        <v>#VALUE!</v>
      </c>
      <c r="CI56">
        <f>IF(Bills!120:120,"AAAAAFfvNVY=",0)</f>
        <v>0</v>
      </c>
      <c r="CJ56" t="e">
        <f>AND(Bills!B120,"AAAAAFfvNVc=")</f>
        <v>#VALUE!</v>
      </c>
      <c r="CK56" t="e">
        <f>AND(Bills!#REF!,"AAAAAFfvNVg=")</f>
        <v>#REF!</v>
      </c>
      <c r="CL56" t="e">
        <f>AND(Bills!C120,"AAAAAFfvNVk=")</f>
        <v>#VALUE!</v>
      </c>
      <c r="CM56" t="e">
        <f>AND(Bills!D120,"AAAAAFfvNVo=")</f>
        <v>#VALUE!</v>
      </c>
      <c r="CN56" t="e">
        <f>AND(Bills!E120,"AAAAAFfvNVs=")</f>
        <v>#VALUE!</v>
      </c>
      <c r="CO56" t="e">
        <f>AND(Bills!#REF!,"AAAAAFfvNVw=")</f>
        <v>#REF!</v>
      </c>
      <c r="CP56" t="e">
        <f>AND(Bills!#REF!,"AAAAAFfvNV0=")</f>
        <v>#REF!</v>
      </c>
      <c r="CQ56" t="e">
        <f>AND(Bills!#REF!,"AAAAAFfvNV4=")</f>
        <v>#REF!</v>
      </c>
      <c r="CR56" t="e">
        <f>AND(Bills!F120,"AAAAAFfvNV8=")</f>
        <v>#VALUE!</v>
      </c>
      <c r="CS56" t="e">
        <f>AND(Bills!#REF!,"AAAAAFfvNWA=")</f>
        <v>#REF!</v>
      </c>
      <c r="CT56" t="e">
        <f>AND(Bills!G120,"AAAAAFfvNWE=")</f>
        <v>#VALUE!</v>
      </c>
      <c r="CU56" t="e">
        <f>AND(Bills!H120,"AAAAAFfvNWI=")</f>
        <v>#VALUE!</v>
      </c>
      <c r="CV56" t="e">
        <f>AND(Bills!I120,"AAAAAFfvNWM=")</f>
        <v>#VALUE!</v>
      </c>
      <c r="CW56" t="e">
        <f>AND(Bills!J120,"AAAAAFfvNWQ=")</f>
        <v>#VALUE!</v>
      </c>
      <c r="CX56" t="e">
        <f>AND(Bills!K120,"AAAAAFfvNWU=")</f>
        <v>#VALUE!</v>
      </c>
      <c r="CY56" t="e">
        <f>AND(Bills!L120,"AAAAAFfvNWY=")</f>
        <v>#VALUE!</v>
      </c>
      <c r="CZ56" t="e">
        <f>AND(Bills!#REF!,"AAAAAFfvNWc=")</f>
        <v>#REF!</v>
      </c>
      <c r="DA56" t="e">
        <f>AND(Bills!M120,"AAAAAFfvNWg=")</f>
        <v>#VALUE!</v>
      </c>
      <c r="DB56" t="e">
        <f>AND(Bills!N120,"AAAAAFfvNWk=")</f>
        <v>#VALUE!</v>
      </c>
      <c r="DC56" t="e">
        <f>AND(Bills!O120,"AAAAAFfvNWo=")</f>
        <v>#VALUE!</v>
      </c>
      <c r="DD56" t="e">
        <f>AND(Bills!P120,"AAAAAFfvNWs=")</f>
        <v>#VALUE!</v>
      </c>
      <c r="DE56" t="e">
        <f>AND(Bills!Q120,"AAAAAFfvNWw=")</f>
        <v>#VALUE!</v>
      </c>
      <c r="DF56" t="e">
        <f>AND(Bills!R120,"AAAAAFfvNW0=")</f>
        <v>#VALUE!</v>
      </c>
      <c r="DG56" t="e">
        <f>AND(Bills!S120,"AAAAAFfvNW4=")</f>
        <v>#VALUE!</v>
      </c>
      <c r="DH56" t="e">
        <f>AND(Bills!T120,"AAAAAFfvNW8=")</f>
        <v>#VALUE!</v>
      </c>
      <c r="DI56" t="e">
        <f>AND(Bills!#REF!,"AAAAAFfvNXA=")</f>
        <v>#REF!</v>
      </c>
      <c r="DJ56" t="e">
        <f>AND(Bills!U120,"AAAAAFfvNXE=")</f>
        <v>#VALUE!</v>
      </c>
      <c r="DK56" t="e">
        <f>AND(Bills!V120,"AAAAAFfvNXI=")</f>
        <v>#VALUE!</v>
      </c>
      <c r="DL56" t="e">
        <f>AND(Bills!W120,"AAAAAFfvNXM=")</f>
        <v>#VALUE!</v>
      </c>
      <c r="DM56" t="e">
        <f>AND(Bills!#REF!,"AAAAAFfvNXQ=")</f>
        <v>#REF!</v>
      </c>
      <c r="DN56" t="e">
        <f>AND(Bills!#REF!,"AAAAAFfvNXU=")</f>
        <v>#REF!</v>
      </c>
      <c r="DO56" t="e">
        <f>AND(Bills!Y120,"AAAAAFfvNXY=")</f>
        <v>#VALUE!</v>
      </c>
      <c r="DP56" t="e">
        <f>AND(Bills!Z120,"AAAAAFfvNXc=")</f>
        <v>#VALUE!</v>
      </c>
      <c r="DQ56" t="e">
        <f>AND(Bills!#REF!,"AAAAAFfvNXg=")</f>
        <v>#REF!</v>
      </c>
      <c r="DR56" t="e">
        <f>AND(Bills!#REF!,"AAAAAFfvNXk=")</f>
        <v>#REF!</v>
      </c>
      <c r="DS56" t="e">
        <f>AND(Bills!#REF!,"AAAAAFfvNXo=")</f>
        <v>#REF!</v>
      </c>
      <c r="DT56" t="e">
        <f>AND(Bills!#REF!,"AAAAAFfvNXs=")</f>
        <v>#REF!</v>
      </c>
      <c r="DU56" t="e">
        <f>AND(Bills!#REF!,"AAAAAFfvNXw=")</f>
        <v>#REF!</v>
      </c>
      <c r="DV56" t="e">
        <f>AND(Bills!#REF!,"AAAAAFfvNX0=")</f>
        <v>#REF!</v>
      </c>
      <c r="DW56" t="e">
        <f>AND(Bills!#REF!,"AAAAAFfvNX4=")</f>
        <v>#REF!</v>
      </c>
      <c r="DX56" t="e">
        <f>AND(Bills!#REF!,"AAAAAFfvNX8=")</f>
        <v>#REF!</v>
      </c>
      <c r="DY56" t="e">
        <f>AND(Bills!#REF!,"AAAAAFfvNYA=")</f>
        <v>#REF!</v>
      </c>
      <c r="DZ56" t="e">
        <f>AND(Bills!AA120,"AAAAAFfvNYE=")</f>
        <v>#VALUE!</v>
      </c>
      <c r="EA56" t="e">
        <f>AND(Bills!AB120,"AAAAAFfvNYI=")</f>
        <v>#VALUE!</v>
      </c>
      <c r="EB56" t="e">
        <f>AND(Bills!#REF!,"AAAAAFfvNYM=")</f>
        <v>#REF!</v>
      </c>
      <c r="EC56" t="e">
        <f>AND(Bills!#REF!,"AAAAAFfvNYQ=")</f>
        <v>#REF!</v>
      </c>
      <c r="ED56" t="e">
        <f>AND(Bills!#REF!,"AAAAAFfvNYU=")</f>
        <v>#REF!</v>
      </c>
      <c r="EE56" t="e">
        <f>AND(Bills!AC120,"AAAAAFfvNYY=")</f>
        <v>#VALUE!</v>
      </c>
      <c r="EF56" t="e">
        <f>AND(Bills!AD120,"AAAAAFfvNYc=")</f>
        <v>#VALUE!</v>
      </c>
      <c r="EG56" t="e">
        <f>AND(Bills!AE120,"AAAAAFfvNYg=")</f>
        <v>#VALUE!</v>
      </c>
      <c r="EH56">
        <f>IF(Bills!121:121,"AAAAAFfvNYk=",0)</f>
        <v>0</v>
      </c>
      <c r="EI56" t="e">
        <f>AND(Bills!B121,"AAAAAFfvNYo=")</f>
        <v>#VALUE!</v>
      </c>
      <c r="EJ56" t="e">
        <f>AND(Bills!#REF!,"AAAAAFfvNYs=")</f>
        <v>#REF!</v>
      </c>
      <c r="EK56" t="e">
        <f>AND(Bills!C121,"AAAAAFfvNYw=")</f>
        <v>#VALUE!</v>
      </c>
      <c r="EL56" t="e">
        <f>AND(Bills!D121,"AAAAAFfvNY0=")</f>
        <v>#VALUE!</v>
      </c>
      <c r="EM56" t="e">
        <f>AND(Bills!E121,"AAAAAFfvNY4=")</f>
        <v>#VALUE!</v>
      </c>
      <c r="EN56" t="e">
        <f>AND(Bills!#REF!,"AAAAAFfvNY8=")</f>
        <v>#REF!</v>
      </c>
      <c r="EO56" t="e">
        <f>AND(Bills!#REF!,"AAAAAFfvNZA=")</f>
        <v>#REF!</v>
      </c>
      <c r="EP56" t="e">
        <f>AND(Bills!#REF!,"AAAAAFfvNZE=")</f>
        <v>#REF!</v>
      </c>
      <c r="EQ56" t="e">
        <f>AND(Bills!F121,"AAAAAFfvNZI=")</f>
        <v>#VALUE!</v>
      </c>
      <c r="ER56" t="e">
        <f>AND(Bills!#REF!,"AAAAAFfvNZM=")</f>
        <v>#REF!</v>
      </c>
      <c r="ES56" t="e">
        <f>AND(Bills!G121,"AAAAAFfvNZQ=")</f>
        <v>#VALUE!</v>
      </c>
      <c r="ET56" t="e">
        <f>AND(Bills!H121,"AAAAAFfvNZU=")</f>
        <v>#VALUE!</v>
      </c>
      <c r="EU56" t="e">
        <f>AND(Bills!I121,"AAAAAFfvNZY=")</f>
        <v>#VALUE!</v>
      </c>
      <c r="EV56" t="e">
        <f>AND(Bills!J121,"AAAAAFfvNZc=")</f>
        <v>#VALUE!</v>
      </c>
      <c r="EW56" t="e">
        <f>AND(Bills!K121,"AAAAAFfvNZg=")</f>
        <v>#VALUE!</v>
      </c>
      <c r="EX56" t="e">
        <f>AND(Bills!L121,"AAAAAFfvNZk=")</f>
        <v>#VALUE!</v>
      </c>
      <c r="EY56" t="e">
        <f>AND(Bills!#REF!,"AAAAAFfvNZo=")</f>
        <v>#REF!</v>
      </c>
      <c r="EZ56" t="e">
        <f>AND(Bills!M121,"AAAAAFfvNZs=")</f>
        <v>#VALUE!</v>
      </c>
      <c r="FA56" t="e">
        <f>AND(Bills!N121,"AAAAAFfvNZw=")</f>
        <v>#VALUE!</v>
      </c>
      <c r="FB56" t="e">
        <f>AND(Bills!O121,"AAAAAFfvNZ0=")</f>
        <v>#VALUE!</v>
      </c>
      <c r="FC56" t="e">
        <f>AND(Bills!P121,"AAAAAFfvNZ4=")</f>
        <v>#VALUE!</v>
      </c>
      <c r="FD56" t="e">
        <f>AND(Bills!Q121,"AAAAAFfvNZ8=")</f>
        <v>#VALUE!</v>
      </c>
      <c r="FE56" t="e">
        <f>AND(Bills!R121,"AAAAAFfvNaA=")</f>
        <v>#VALUE!</v>
      </c>
      <c r="FF56" t="e">
        <f>AND(Bills!S121,"AAAAAFfvNaE=")</f>
        <v>#VALUE!</v>
      </c>
      <c r="FG56" t="e">
        <f>AND(Bills!T121,"AAAAAFfvNaI=")</f>
        <v>#VALUE!</v>
      </c>
      <c r="FH56" t="e">
        <f>AND(Bills!#REF!,"AAAAAFfvNaM=")</f>
        <v>#REF!</v>
      </c>
      <c r="FI56" t="e">
        <f>AND(Bills!U121,"AAAAAFfvNaQ=")</f>
        <v>#VALUE!</v>
      </c>
      <c r="FJ56" t="e">
        <f>AND(Bills!V121,"AAAAAFfvNaU=")</f>
        <v>#VALUE!</v>
      </c>
      <c r="FK56" t="e">
        <f>AND(Bills!W121,"AAAAAFfvNaY=")</f>
        <v>#VALUE!</v>
      </c>
      <c r="FL56" t="e">
        <f>AND(Bills!#REF!,"AAAAAFfvNac=")</f>
        <v>#REF!</v>
      </c>
      <c r="FM56" t="e">
        <f>AND(Bills!#REF!,"AAAAAFfvNag=")</f>
        <v>#REF!</v>
      </c>
      <c r="FN56" t="e">
        <f>AND(Bills!Y121,"AAAAAFfvNak=")</f>
        <v>#VALUE!</v>
      </c>
      <c r="FO56" t="e">
        <f>AND(Bills!Z121,"AAAAAFfvNao=")</f>
        <v>#VALUE!</v>
      </c>
      <c r="FP56" t="e">
        <f>AND(Bills!#REF!,"AAAAAFfvNas=")</f>
        <v>#REF!</v>
      </c>
      <c r="FQ56" t="e">
        <f>AND(Bills!#REF!,"AAAAAFfvNaw=")</f>
        <v>#REF!</v>
      </c>
      <c r="FR56" t="e">
        <f>AND(Bills!#REF!,"AAAAAFfvNa0=")</f>
        <v>#REF!</v>
      </c>
      <c r="FS56" t="e">
        <f>AND(Bills!#REF!,"AAAAAFfvNa4=")</f>
        <v>#REF!</v>
      </c>
      <c r="FT56" t="e">
        <f>AND(Bills!#REF!,"AAAAAFfvNa8=")</f>
        <v>#REF!</v>
      </c>
      <c r="FU56" t="e">
        <f>AND(Bills!#REF!,"AAAAAFfvNbA=")</f>
        <v>#REF!</v>
      </c>
      <c r="FV56" t="e">
        <f>AND(Bills!#REF!,"AAAAAFfvNbE=")</f>
        <v>#REF!</v>
      </c>
      <c r="FW56" t="e">
        <f>AND(Bills!#REF!,"AAAAAFfvNbI=")</f>
        <v>#REF!</v>
      </c>
      <c r="FX56" t="e">
        <f>AND(Bills!#REF!,"AAAAAFfvNbM=")</f>
        <v>#REF!</v>
      </c>
      <c r="FY56" t="e">
        <f>AND(Bills!AA121,"AAAAAFfvNbQ=")</f>
        <v>#VALUE!</v>
      </c>
      <c r="FZ56" t="e">
        <f>AND(Bills!AB121,"AAAAAFfvNbU=")</f>
        <v>#VALUE!</v>
      </c>
      <c r="GA56" t="e">
        <f>AND(Bills!#REF!,"AAAAAFfvNbY=")</f>
        <v>#REF!</v>
      </c>
      <c r="GB56" t="e">
        <f>AND(Bills!#REF!,"AAAAAFfvNbc=")</f>
        <v>#REF!</v>
      </c>
      <c r="GC56" t="e">
        <f>AND(Bills!#REF!,"AAAAAFfvNbg=")</f>
        <v>#REF!</v>
      </c>
      <c r="GD56" t="e">
        <f>AND(Bills!AC121,"AAAAAFfvNbk=")</f>
        <v>#VALUE!</v>
      </c>
      <c r="GE56" t="e">
        <f>AND(Bills!AD121,"AAAAAFfvNbo=")</f>
        <v>#VALUE!</v>
      </c>
      <c r="GF56" t="e">
        <f>AND(Bills!AE121,"AAAAAFfvNbs=")</f>
        <v>#VALUE!</v>
      </c>
      <c r="GG56">
        <f>IF(Bills!122:122,"AAAAAFfvNbw=",0)</f>
        <v>0</v>
      </c>
      <c r="GH56" t="e">
        <f>AND(Bills!B122,"AAAAAFfvNb0=")</f>
        <v>#VALUE!</v>
      </c>
      <c r="GI56" t="e">
        <f>AND(Bills!#REF!,"AAAAAFfvNb4=")</f>
        <v>#REF!</v>
      </c>
      <c r="GJ56" t="e">
        <f>AND(Bills!C122,"AAAAAFfvNb8=")</f>
        <v>#VALUE!</v>
      </c>
      <c r="GK56" t="e">
        <f>AND(Bills!D122,"AAAAAFfvNcA=")</f>
        <v>#VALUE!</v>
      </c>
      <c r="GL56" t="e">
        <f>AND(Bills!E122,"AAAAAFfvNcE=")</f>
        <v>#VALUE!</v>
      </c>
      <c r="GM56" t="e">
        <f>AND(Bills!#REF!,"AAAAAFfvNcI=")</f>
        <v>#REF!</v>
      </c>
      <c r="GN56" t="e">
        <f>AND(Bills!#REF!,"AAAAAFfvNcM=")</f>
        <v>#REF!</v>
      </c>
      <c r="GO56" t="e">
        <f>AND(Bills!#REF!,"AAAAAFfvNcQ=")</f>
        <v>#REF!</v>
      </c>
      <c r="GP56" t="e">
        <f>AND(Bills!F122,"AAAAAFfvNcU=")</f>
        <v>#VALUE!</v>
      </c>
      <c r="GQ56" t="e">
        <f>AND(Bills!#REF!,"AAAAAFfvNcY=")</f>
        <v>#REF!</v>
      </c>
      <c r="GR56" t="e">
        <f>AND(Bills!G122,"AAAAAFfvNcc=")</f>
        <v>#VALUE!</v>
      </c>
      <c r="GS56" t="e">
        <f>AND(Bills!H122,"AAAAAFfvNcg=")</f>
        <v>#VALUE!</v>
      </c>
      <c r="GT56" t="e">
        <f>AND(Bills!I122,"AAAAAFfvNck=")</f>
        <v>#VALUE!</v>
      </c>
      <c r="GU56" t="e">
        <f>AND(Bills!J122,"AAAAAFfvNco=")</f>
        <v>#VALUE!</v>
      </c>
      <c r="GV56" t="e">
        <f>AND(Bills!K122,"AAAAAFfvNcs=")</f>
        <v>#VALUE!</v>
      </c>
      <c r="GW56" t="e">
        <f>AND(Bills!L122,"AAAAAFfvNcw=")</f>
        <v>#VALUE!</v>
      </c>
      <c r="GX56" t="e">
        <f>AND(Bills!#REF!,"AAAAAFfvNc0=")</f>
        <v>#REF!</v>
      </c>
      <c r="GY56" t="e">
        <f>AND(Bills!M122,"AAAAAFfvNc4=")</f>
        <v>#VALUE!</v>
      </c>
      <c r="GZ56" t="e">
        <f>AND(Bills!N122,"AAAAAFfvNc8=")</f>
        <v>#VALUE!</v>
      </c>
      <c r="HA56" t="e">
        <f>AND(Bills!O122,"AAAAAFfvNdA=")</f>
        <v>#VALUE!</v>
      </c>
      <c r="HB56" t="e">
        <f>AND(Bills!P122,"AAAAAFfvNdE=")</f>
        <v>#VALUE!</v>
      </c>
      <c r="HC56" t="e">
        <f>AND(Bills!Q122,"AAAAAFfvNdI=")</f>
        <v>#VALUE!</v>
      </c>
      <c r="HD56" t="e">
        <f>AND(Bills!R122,"AAAAAFfvNdM=")</f>
        <v>#VALUE!</v>
      </c>
      <c r="HE56" t="e">
        <f>AND(Bills!S122,"AAAAAFfvNdQ=")</f>
        <v>#VALUE!</v>
      </c>
      <c r="HF56" t="e">
        <f>AND(Bills!T122,"AAAAAFfvNdU=")</f>
        <v>#VALUE!</v>
      </c>
      <c r="HG56" t="e">
        <f>AND(Bills!#REF!,"AAAAAFfvNdY=")</f>
        <v>#REF!</v>
      </c>
      <c r="HH56" t="e">
        <f>AND(Bills!U122,"AAAAAFfvNdc=")</f>
        <v>#VALUE!</v>
      </c>
      <c r="HI56" t="e">
        <f>AND(Bills!V122,"AAAAAFfvNdg=")</f>
        <v>#VALUE!</v>
      </c>
      <c r="HJ56" t="e">
        <f>AND(Bills!W122,"AAAAAFfvNdk=")</f>
        <v>#VALUE!</v>
      </c>
      <c r="HK56" t="e">
        <f>AND(Bills!#REF!,"AAAAAFfvNdo=")</f>
        <v>#REF!</v>
      </c>
      <c r="HL56" t="e">
        <f>AND(Bills!#REF!,"AAAAAFfvNds=")</f>
        <v>#REF!</v>
      </c>
      <c r="HM56" t="e">
        <f>AND(Bills!Y122,"AAAAAFfvNdw=")</f>
        <v>#VALUE!</v>
      </c>
      <c r="HN56" t="e">
        <f>AND(Bills!Z122,"AAAAAFfvNd0=")</f>
        <v>#VALUE!</v>
      </c>
      <c r="HO56" t="e">
        <f>AND(Bills!#REF!,"AAAAAFfvNd4=")</f>
        <v>#REF!</v>
      </c>
      <c r="HP56" t="e">
        <f>AND(Bills!#REF!,"AAAAAFfvNd8=")</f>
        <v>#REF!</v>
      </c>
      <c r="HQ56" t="e">
        <f>AND(Bills!#REF!,"AAAAAFfvNeA=")</f>
        <v>#REF!</v>
      </c>
      <c r="HR56" t="e">
        <f>AND(Bills!#REF!,"AAAAAFfvNeE=")</f>
        <v>#REF!</v>
      </c>
      <c r="HS56" t="e">
        <f>AND(Bills!#REF!,"AAAAAFfvNeI=")</f>
        <v>#REF!</v>
      </c>
      <c r="HT56" t="e">
        <f>AND(Bills!#REF!,"AAAAAFfvNeM=")</f>
        <v>#REF!</v>
      </c>
      <c r="HU56" t="e">
        <f>AND(Bills!#REF!,"AAAAAFfvNeQ=")</f>
        <v>#REF!</v>
      </c>
      <c r="HV56" t="e">
        <f>AND(Bills!#REF!,"AAAAAFfvNeU=")</f>
        <v>#REF!</v>
      </c>
      <c r="HW56" t="e">
        <f>AND(Bills!#REF!,"AAAAAFfvNeY=")</f>
        <v>#REF!</v>
      </c>
      <c r="HX56" t="e">
        <f>AND(Bills!AA122,"AAAAAFfvNec=")</f>
        <v>#VALUE!</v>
      </c>
      <c r="HY56" t="e">
        <f>AND(Bills!AB122,"AAAAAFfvNeg=")</f>
        <v>#VALUE!</v>
      </c>
      <c r="HZ56" t="e">
        <f>AND(Bills!#REF!,"AAAAAFfvNek=")</f>
        <v>#REF!</v>
      </c>
      <c r="IA56" t="e">
        <f>AND(Bills!#REF!,"AAAAAFfvNeo=")</f>
        <v>#REF!</v>
      </c>
      <c r="IB56" t="e">
        <f>AND(Bills!#REF!,"AAAAAFfvNes=")</f>
        <v>#REF!</v>
      </c>
      <c r="IC56" t="e">
        <f>AND(Bills!AC122,"AAAAAFfvNew=")</f>
        <v>#VALUE!</v>
      </c>
      <c r="ID56" t="e">
        <f>AND(Bills!AD122,"AAAAAFfvNe0=")</f>
        <v>#VALUE!</v>
      </c>
      <c r="IE56" t="e">
        <f>AND(Bills!AE122,"AAAAAFfvNe4=")</f>
        <v>#VALUE!</v>
      </c>
      <c r="IF56">
        <f>IF(Bills!123:123,"AAAAAFfvNe8=",0)</f>
        <v>0</v>
      </c>
      <c r="IG56" t="e">
        <f>AND(Bills!B123,"AAAAAFfvNfA=")</f>
        <v>#VALUE!</v>
      </c>
      <c r="IH56" t="e">
        <f>AND(Bills!#REF!,"AAAAAFfvNfE=")</f>
        <v>#REF!</v>
      </c>
      <c r="II56" t="e">
        <f>AND(Bills!C123,"AAAAAFfvNfI=")</f>
        <v>#VALUE!</v>
      </c>
      <c r="IJ56" t="e">
        <f>AND(Bills!D123,"AAAAAFfvNfM=")</f>
        <v>#VALUE!</v>
      </c>
      <c r="IK56" t="e">
        <f>AND(Bills!E123,"AAAAAFfvNfQ=")</f>
        <v>#VALUE!</v>
      </c>
      <c r="IL56" t="e">
        <f>AND(Bills!#REF!,"AAAAAFfvNfU=")</f>
        <v>#REF!</v>
      </c>
      <c r="IM56" t="e">
        <f>AND(Bills!#REF!,"AAAAAFfvNfY=")</f>
        <v>#REF!</v>
      </c>
      <c r="IN56" t="e">
        <f>AND(Bills!#REF!,"AAAAAFfvNfc=")</f>
        <v>#REF!</v>
      </c>
      <c r="IO56" t="e">
        <f>AND(Bills!F123,"AAAAAFfvNfg=")</f>
        <v>#VALUE!</v>
      </c>
      <c r="IP56" t="e">
        <f>AND(Bills!#REF!,"AAAAAFfvNfk=")</f>
        <v>#REF!</v>
      </c>
      <c r="IQ56" t="e">
        <f>AND(Bills!G123,"AAAAAFfvNfo=")</f>
        <v>#VALUE!</v>
      </c>
      <c r="IR56" t="e">
        <f>AND(Bills!H123,"AAAAAFfvNfs=")</f>
        <v>#VALUE!</v>
      </c>
      <c r="IS56" t="e">
        <f>AND(Bills!I123,"AAAAAFfvNfw=")</f>
        <v>#VALUE!</v>
      </c>
      <c r="IT56" t="e">
        <f>AND(Bills!J123,"AAAAAFfvNf0=")</f>
        <v>#VALUE!</v>
      </c>
      <c r="IU56" t="e">
        <f>AND(Bills!K123,"AAAAAFfvNf4=")</f>
        <v>#VALUE!</v>
      </c>
      <c r="IV56" t="e">
        <f>AND(Bills!L123,"AAAAAFfvNf8=")</f>
        <v>#VALUE!</v>
      </c>
    </row>
    <row r="57" spans="1:256" x14ac:dyDescent="0.25">
      <c r="A57" t="e">
        <f>AND(Bills!#REF!,"AAAAAF1/2gA=")</f>
        <v>#REF!</v>
      </c>
      <c r="B57" t="e">
        <f>AND(Bills!M123,"AAAAAF1/2gE=")</f>
        <v>#VALUE!</v>
      </c>
      <c r="C57" t="e">
        <f>AND(Bills!N123,"AAAAAF1/2gI=")</f>
        <v>#VALUE!</v>
      </c>
      <c r="D57" t="e">
        <f>AND(Bills!O123,"AAAAAF1/2gM=")</f>
        <v>#VALUE!</v>
      </c>
      <c r="E57" t="e">
        <f>AND(Bills!P123,"AAAAAF1/2gQ=")</f>
        <v>#VALUE!</v>
      </c>
      <c r="F57" t="e">
        <f>AND(Bills!Q123,"AAAAAF1/2gU=")</f>
        <v>#VALUE!</v>
      </c>
      <c r="G57" t="e">
        <f>AND(Bills!R123,"AAAAAF1/2gY=")</f>
        <v>#VALUE!</v>
      </c>
      <c r="H57" t="e">
        <f>AND(Bills!S123,"AAAAAF1/2gc=")</f>
        <v>#VALUE!</v>
      </c>
      <c r="I57" t="e">
        <f>AND(Bills!T123,"AAAAAF1/2gg=")</f>
        <v>#VALUE!</v>
      </c>
      <c r="J57" t="e">
        <f>AND(Bills!#REF!,"AAAAAF1/2gk=")</f>
        <v>#REF!</v>
      </c>
      <c r="K57" t="e">
        <f>AND(Bills!U123,"AAAAAF1/2go=")</f>
        <v>#VALUE!</v>
      </c>
      <c r="L57" t="e">
        <f>AND(Bills!V123,"AAAAAF1/2gs=")</f>
        <v>#VALUE!</v>
      </c>
      <c r="M57" t="e">
        <f>AND(Bills!W123,"AAAAAF1/2gw=")</f>
        <v>#VALUE!</v>
      </c>
      <c r="N57" t="e">
        <f>AND(Bills!#REF!,"AAAAAF1/2g0=")</f>
        <v>#REF!</v>
      </c>
      <c r="O57" t="e">
        <f>AND(Bills!#REF!,"AAAAAF1/2g4=")</f>
        <v>#REF!</v>
      </c>
      <c r="P57" t="e">
        <f>AND(Bills!Y123,"AAAAAF1/2g8=")</f>
        <v>#VALUE!</v>
      </c>
      <c r="Q57" t="e">
        <f>AND(Bills!Z123,"AAAAAF1/2hA=")</f>
        <v>#VALUE!</v>
      </c>
      <c r="R57" t="e">
        <f>AND(Bills!#REF!,"AAAAAF1/2hE=")</f>
        <v>#REF!</v>
      </c>
      <c r="S57" t="e">
        <f>AND(Bills!#REF!,"AAAAAF1/2hI=")</f>
        <v>#REF!</v>
      </c>
      <c r="T57" t="e">
        <f>AND(Bills!#REF!,"AAAAAF1/2hM=")</f>
        <v>#REF!</v>
      </c>
      <c r="U57" t="e">
        <f>AND(Bills!#REF!,"AAAAAF1/2hQ=")</f>
        <v>#REF!</v>
      </c>
      <c r="V57" t="e">
        <f>AND(Bills!#REF!,"AAAAAF1/2hU=")</f>
        <v>#REF!</v>
      </c>
      <c r="W57" t="e">
        <f>AND(Bills!#REF!,"AAAAAF1/2hY=")</f>
        <v>#REF!</v>
      </c>
      <c r="X57" t="e">
        <f>AND(Bills!#REF!,"AAAAAF1/2hc=")</f>
        <v>#REF!</v>
      </c>
      <c r="Y57" t="e">
        <f>AND(Bills!#REF!,"AAAAAF1/2hg=")</f>
        <v>#REF!</v>
      </c>
      <c r="Z57" t="e">
        <f>AND(Bills!#REF!,"AAAAAF1/2hk=")</f>
        <v>#REF!</v>
      </c>
      <c r="AA57" t="e">
        <f>AND(Bills!AA123,"AAAAAF1/2ho=")</f>
        <v>#VALUE!</v>
      </c>
      <c r="AB57" t="e">
        <f>AND(Bills!AB123,"AAAAAF1/2hs=")</f>
        <v>#VALUE!</v>
      </c>
      <c r="AC57" t="e">
        <f>AND(Bills!#REF!,"AAAAAF1/2hw=")</f>
        <v>#REF!</v>
      </c>
      <c r="AD57" t="e">
        <f>AND(Bills!#REF!,"AAAAAF1/2h0=")</f>
        <v>#REF!</v>
      </c>
      <c r="AE57" t="e">
        <f>AND(Bills!#REF!,"AAAAAF1/2h4=")</f>
        <v>#REF!</v>
      </c>
      <c r="AF57" t="e">
        <f>AND(Bills!AC123,"AAAAAF1/2h8=")</f>
        <v>#VALUE!</v>
      </c>
      <c r="AG57" t="e">
        <f>AND(Bills!AD123,"AAAAAF1/2iA=")</f>
        <v>#VALUE!</v>
      </c>
      <c r="AH57" t="e">
        <f>AND(Bills!AE123,"AAAAAF1/2iE=")</f>
        <v>#VALUE!</v>
      </c>
      <c r="AI57">
        <f>IF(Bills!124:124,"AAAAAF1/2iI=",0)</f>
        <v>0</v>
      </c>
      <c r="AJ57" t="e">
        <f>AND(Bills!B124,"AAAAAF1/2iM=")</f>
        <v>#VALUE!</v>
      </c>
      <c r="AK57" t="e">
        <f>AND(Bills!#REF!,"AAAAAF1/2iQ=")</f>
        <v>#REF!</v>
      </c>
      <c r="AL57" t="e">
        <f>AND(Bills!C124,"AAAAAF1/2iU=")</f>
        <v>#VALUE!</v>
      </c>
      <c r="AM57" t="e">
        <f>AND(Bills!D124,"AAAAAF1/2iY=")</f>
        <v>#VALUE!</v>
      </c>
      <c r="AN57" t="e">
        <f>AND(Bills!E124,"AAAAAF1/2ic=")</f>
        <v>#VALUE!</v>
      </c>
      <c r="AO57" t="e">
        <f>AND(Bills!#REF!,"AAAAAF1/2ig=")</f>
        <v>#REF!</v>
      </c>
      <c r="AP57" t="e">
        <f>AND(Bills!#REF!,"AAAAAF1/2ik=")</f>
        <v>#REF!</v>
      </c>
      <c r="AQ57" t="e">
        <f>AND(Bills!#REF!,"AAAAAF1/2io=")</f>
        <v>#REF!</v>
      </c>
      <c r="AR57" t="e">
        <f>AND(Bills!F124,"AAAAAF1/2is=")</f>
        <v>#VALUE!</v>
      </c>
      <c r="AS57" t="e">
        <f>AND(Bills!#REF!,"AAAAAF1/2iw=")</f>
        <v>#REF!</v>
      </c>
      <c r="AT57" t="e">
        <f>AND(Bills!G124,"AAAAAF1/2i0=")</f>
        <v>#VALUE!</v>
      </c>
      <c r="AU57" t="e">
        <f>AND(Bills!H124,"AAAAAF1/2i4=")</f>
        <v>#VALUE!</v>
      </c>
      <c r="AV57" t="e">
        <f>AND(Bills!I124,"AAAAAF1/2i8=")</f>
        <v>#VALUE!</v>
      </c>
      <c r="AW57" t="e">
        <f>AND(Bills!J124,"AAAAAF1/2jA=")</f>
        <v>#VALUE!</v>
      </c>
      <c r="AX57" t="e">
        <f>AND(Bills!K124,"AAAAAF1/2jE=")</f>
        <v>#VALUE!</v>
      </c>
      <c r="AY57" t="e">
        <f>AND(Bills!L124,"AAAAAF1/2jI=")</f>
        <v>#VALUE!</v>
      </c>
      <c r="AZ57" t="e">
        <f>AND(Bills!#REF!,"AAAAAF1/2jM=")</f>
        <v>#REF!</v>
      </c>
      <c r="BA57" t="e">
        <f>AND(Bills!M124,"AAAAAF1/2jQ=")</f>
        <v>#VALUE!</v>
      </c>
      <c r="BB57" t="e">
        <f>AND(Bills!N124,"AAAAAF1/2jU=")</f>
        <v>#VALUE!</v>
      </c>
      <c r="BC57" t="e">
        <f>AND(Bills!O124,"AAAAAF1/2jY=")</f>
        <v>#VALUE!</v>
      </c>
      <c r="BD57" t="e">
        <f>AND(Bills!P124,"AAAAAF1/2jc=")</f>
        <v>#VALUE!</v>
      </c>
      <c r="BE57" t="e">
        <f>AND(Bills!Q124,"AAAAAF1/2jg=")</f>
        <v>#VALUE!</v>
      </c>
      <c r="BF57" t="e">
        <f>AND(Bills!R124,"AAAAAF1/2jk=")</f>
        <v>#VALUE!</v>
      </c>
      <c r="BG57" t="e">
        <f>AND(Bills!S124,"AAAAAF1/2jo=")</f>
        <v>#VALUE!</v>
      </c>
      <c r="BH57" t="e">
        <f>AND(Bills!T124,"AAAAAF1/2js=")</f>
        <v>#VALUE!</v>
      </c>
      <c r="BI57" t="e">
        <f>AND(Bills!#REF!,"AAAAAF1/2jw=")</f>
        <v>#REF!</v>
      </c>
      <c r="BJ57" t="e">
        <f>AND(Bills!U124,"AAAAAF1/2j0=")</f>
        <v>#VALUE!</v>
      </c>
      <c r="BK57" t="e">
        <f>AND(Bills!V124,"AAAAAF1/2j4=")</f>
        <v>#VALUE!</v>
      </c>
      <c r="BL57" t="e">
        <f>AND(Bills!W124,"AAAAAF1/2j8=")</f>
        <v>#VALUE!</v>
      </c>
      <c r="BM57" t="e">
        <f>AND(Bills!#REF!,"AAAAAF1/2kA=")</f>
        <v>#REF!</v>
      </c>
      <c r="BN57" t="e">
        <f>AND(Bills!#REF!,"AAAAAF1/2kE=")</f>
        <v>#REF!</v>
      </c>
      <c r="BO57" t="e">
        <f>AND(Bills!Y124,"AAAAAF1/2kI=")</f>
        <v>#VALUE!</v>
      </c>
      <c r="BP57" t="e">
        <f>AND(Bills!Z124,"AAAAAF1/2kM=")</f>
        <v>#VALUE!</v>
      </c>
      <c r="BQ57" t="e">
        <f>AND(Bills!#REF!,"AAAAAF1/2kQ=")</f>
        <v>#REF!</v>
      </c>
      <c r="BR57" t="e">
        <f>AND(Bills!#REF!,"AAAAAF1/2kU=")</f>
        <v>#REF!</v>
      </c>
      <c r="BS57" t="e">
        <f>AND(Bills!#REF!,"AAAAAF1/2kY=")</f>
        <v>#REF!</v>
      </c>
      <c r="BT57" t="e">
        <f>AND(Bills!#REF!,"AAAAAF1/2kc=")</f>
        <v>#REF!</v>
      </c>
      <c r="BU57" t="e">
        <f>AND(Bills!#REF!,"AAAAAF1/2kg=")</f>
        <v>#REF!</v>
      </c>
      <c r="BV57" t="e">
        <f>AND(Bills!#REF!,"AAAAAF1/2kk=")</f>
        <v>#REF!</v>
      </c>
      <c r="BW57" t="e">
        <f>AND(Bills!#REF!,"AAAAAF1/2ko=")</f>
        <v>#REF!</v>
      </c>
      <c r="BX57" t="e">
        <f>AND(Bills!#REF!,"AAAAAF1/2ks=")</f>
        <v>#REF!</v>
      </c>
      <c r="BY57" t="e">
        <f>AND(Bills!#REF!,"AAAAAF1/2kw=")</f>
        <v>#REF!</v>
      </c>
      <c r="BZ57" t="e">
        <f>AND(Bills!AA124,"AAAAAF1/2k0=")</f>
        <v>#VALUE!</v>
      </c>
      <c r="CA57" t="e">
        <f>AND(Bills!AB124,"AAAAAF1/2k4=")</f>
        <v>#VALUE!</v>
      </c>
      <c r="CB57" t="e">
        <f>AND(Bills!#REF!,"AAAAAF1/2k8=")</f>
        <v>#REF!</v>
      </c>
      <c r="CC57" t="e">
        <f>AND(Bills!#REF!,"AAAAAF1/2lA=")</f>
        <v>#REF!</v>
      </c>
      <c r="CD57" t="e">
        <f>AND(Bills!#REF!,"AAAAAF1/2lE=")</f>
        <v>#REF!</v>
      </c>
      <c r="CE57" t="e">
        <f>AND(Bills!AC124,"AAAAAF1/2lI=")</f>
        <v>#VALUE!</v>
      </c>
      <c r="CF57" t="e">
        <f>AND(Bills!AD124,"AAAAAF1/2lM=")</f>
        <v>#VALUE!</v>
      </c>
      <c r="CG57" t="e">
        <f>AND(Bills!AE124,"AAAAAF1/2lQ=")</f>
        <v>#VALUE!</v>
      </c>
      <c r="CH57">
        <f>IF(Bills!125:125,"AAAAAF1/2lU=",0)</f>
        <v>0</v>
      </c>
      <c r="CI57" t="e">
        <f>AND(Bills!B125,"AAAAAF1/2lY=")</f>
        <v>#VALUE!</v>
      </c>
      <c r="CJ57" t="e">
        <f>AND(Bills!#REF!,"AAAAAF1/2lc=")</f>
        <v>#REF!</v>
      </c>
      <c r="CK57" t="e">
        <f>AND(Bills!C125,"AAAAAF1/2lg=")</f>
        <v>#VALUE!</v>
      </c>
      <c r="CL57" t="e">
        <f>AND(Bills!D125,"AAAAAF1/2lk=")</f>
        <v>#VALUE!</v>
      </c>
      <c r="CM57" t="e">
        <f>AND(Bills!E125,"AAAAAF1/2lo=")</f>
        <v>#VALUE!</v>
      </c>
      <c r="CN57" t="e">
        <f>AND(Bills!#REF!,"AAAAAF1/2ls=")</f>
        <v>#REF!</v>
      </c>
      <c r="CO57" t="e">
        <f>AND(Bills!#REF!,"AAAAAF1/2lw=")</f>
        <v>#REF!</v>
      </c>
      <c r="CP57" t="e">
        <f>AND(Bills!#REF!,"AAAAAF1/2l0=")</f>
        <v>#REF!</v>
      </c>
      <c r="CQ57" t="e">
        <f>AND(Bills!F125,"AAAAAF1/2l4=")</f>
        <v>#VALUE!</v>
      </c>
      <c r="CR57" t="e">
        <f>AND(Bills!#REF!,"AAAAAF1/2l8=")</f>
        <v>#REF!</v>
      </c>
      <c r="CS57" t="e">
        <f>AND(Bills!G125,"AAAAAF1/2mA=")</f>
        <v>#VALUE!</v>
      </c>
      <c r="CT57" t="e">
        <f>AND(Bills!H125,"AAAAAF1/2mE=")</f>
        <v>#VALUE!</v>
      </c>
      <c r="CU57" t="e">
        <f>AND(Bills!I125,"AAAAAF1/2mI=")</f>
        <v>#VALUE!</v>
      </c>
      <c r="CV57" t="e">
        <f>AND(Bills!J125,"AAAAAF1/2mM=")</f>
        <v>#VALUE!</v>
      </c>
      <c r="CW57" t="e">
        <f>AND(Bills!K125,"AAAAAF1/2mQ=")</f>
        <v>#VALUE!</v>
      </c>
      <c r="CX57" t="e">
        <f>AND(Bills!L125,"AAAAAF1/2mU=")</f>
        <v>#VALUE!</v>
      </c>
      <c r="CY57" t="e">
        <f>AND(Bills!#REF!,"AAAAAF1/2mY=")</f>
        <v>#REF!</v>
      </c>
      <c r="CZ57" t="e">
        <f>AND(Bills!M125,"AAAAAF1/2mc=")</f>
        <v>#VALUE!</v>
      </c>
      <c r="DA57" t="e">
        <f>AND(Bills!N125,"AAAAAF1/2mg=")</f>
        <v>#VALUE!</v>
      </c>
      <c r="DB57" t="e">
        <f>AND(Bills!O125,"AAAAAF1/2mk=")</f>
        <v>#VALUE!</v>
      </c>
      <c r="DC57" t="e">
        <f>AND(Bills!P125,"AAAAAF1/2mo=")</f>
        <v>#VALUE!</v>
      </c>
      <c r="DD57" t="e">
        <f>AND(Bills!Q125,"AAAAAF1/2ms=")</f>
        <v>#VALUE!</v>
      </c>
      <c r="DE57" t="e">
        <f>AND(Bills!R125,"AAAAAF1/2mw=")</f>
        <v>#VALUE!</v>
      </c>
      <c r="DF57" t="e">
        <f>AND(Bills!S125,"AAAAAF1/2m0=")</f>
        <v>#VALUE!</v>
      </c>
      <c r="DG57" t="e">
        <f>AND(Bills!T125,"AAAAAF1/2m4=")</f>
        <v>#VALUE!</v>
      </c>
      <c r="DH57" t="e">
        <f>AND(Bills!#REF!,"AAAAAF1/2m8=")</f>
        <v>#REF!</v>
      </c>
      <c r="DI57" t="e">
        <f>AND(Bills!U125,"AAAAAF1/2nA=")</f>
        <v>#VALUE!</v>
      </c>
      <c r="DJ57" t="e">
        <f>AND(Bills!V125,"AAAAAF1/2nE=")</f>
        <v>#VALUE!</v>
      </c>
      <c r="DK57" t="e">
        <f>AND(Bills!W125,"AAAAAF1/2nI=")</f>
        <v>#VALUE!</v>
      </c>
      <c r="DL57" t="e">
        <f>AND(Bills!#REF!,"AAAAAF1/2nM=")</f>
        <v>#REF!</v>
      </c>
      <c r="DM57" t="e">
        <f>AND(Bills!#REF!,"AAAAAF1/2nQ=")</f>
        <v>#REF!</v>
      </c>
      <c r="DN57" t="e">
        <f>AND(Bills!Y125,"AAAAAF1/2nU=")</f>
        <v>#VALUE!</v>
      </c>
      <c r="DO57" t="e">
        <f>AND(Bills!Z125,"AAAAAF1/2nY=")</f>
        <v>#VALUE!</v>
      </c>
      <c r="DP57" t="e">
        <f>AND(Bills!#REF!,"AAAAAF1/2nc=")</f>
        <v>#REF!</v>
      </c>
      <c r="DQ57" t="e">
        <f>AND(Bills!#REF!,"AAAAAF1/2ng=")</f>
        <v>#REF!</v>
      </c>
      <c r="DR57" t="e">
        <f>AND(Bills!#REF!,"AAAAAF1/2nk=")</f>
        <v>#REF!</v>
      </c>
      <c r="DS57" t="e">
        <f>AND(Bills!#REF!,"AAAAAF1/2no=")</f>
        <v>#REF!</v>
      </c>
      <c r="DT57" t="e">
        <f>AND(Bills!#REF!,"AAAAAF1/2ns=")</f>
        <v>#REF!</v>
      </c>
      <c r="DU57" t="e">
        <f>AND(Bills!#REF!,"AAAAAF1/2nw=")</f>
        <v>#REF!</v>
      </c>
      <c r="DV57" t="e">
        <f>AND(Bills!#REF!,"AAAAAF1/2n0=")</f>
        <v>#REF!</v>
      </c>
      <c r="DW57" t="e">
        <f>AND(Bills!#REF!,"AAAAAF1/2n4=")</f>
        <v>#REF!</v>
      </c>
      <c r="DX57" t="e">
        <f>AND(Bills!#REF!,"AAAAAF1/2n8=")</f>
        <v>#REF!</v>
      </c>
      <c r="DY57" t="e">
        <f>AND(Bills!AA125,"AAAAAF1/2oA=")</f>
        <v>#VALUE!</v>
      </c>
      <c r="DZ57" t="e">
        <f>AND(Bills!AB125,"AAAAAF1/2oE=")</f>
        <v>#VALUE!</v>
      </c>
      <c r="EA57" t="e">
        <f>AND(Bills!#REF!,"AAAAAF1/2oI=")</f>
        <v>#REF!</v>
      </c>
      <c r="EB57" t="e">
        <f>AND(Bills!#REF!,"AAAAAF1/2oM=")</f>
        <v>#REF!</v>
      </c>
      <c r="EC57" t="e">
        <f>AND(Bills!#REF!,"AAAAAF1/2oQ=")</f>
        <v>#REF!</v>
      </c>
      <c r="ED57" t="e">
        <f>AND(Bills!AC125,"AAAAAF1/2oU=")</f>
        <v>#VALUE!</v>
      </c>
      <c r="EE57" t="e">
        <f>AND(Bills!AD125,"AAAAAF1/2oY=")</f>
        <v>#VALUE!</v>
      </c>
      <c r="EF57" t="e">
        <f>AND(Bills!AE125,"AAAAAF1/2oc=")</f>
        <v>#VALUE!</v>
      </c>
      <c r="EG57">
        <f>IF(Bills!126:126,"AAAAAF1/2og=",0)</f>
        <v>0</v>
      </c>
      <c r="EH57" t="e">
        <f>AND(Bills!B126,"AAAAAF1/2ok=")</f>
        <v>#VALUE!</v>
      </c>
      <c r="EI57" t="e">
        <f>AND(Bills!#REF!,"AAAAAF1/2oo=")</f>
        <v>#REF!</v>
      </c>
      <c r="EJ57" t="e">
        <f>AND(Bills!C126,"AAAAAF1/2os=")</f>
        <v>#VALUE!</v>
      </c>
      <c r="EK57" t="e">
        <f>AND(Bills!D126,"AAAAAF1/2ow=")</f>
        <v>#VALUE!</v>
      </c>
      <c r="EL57" t="e">
        <f>AND(Bills!E126,"AAAAAF1/2o0=")</f>
        <v>#VALUE!</v>
      </c>
      <c r="EM57" t="e">
        <f>AND(Bills!#REF!,"AAAAAF1/2o4=")</f>
        <v>#REF!</v>
      </c>
      <c r="EN57" t="e">
        <f>AND(Bills!#REF!,"AAAAAF1/2o8=")</f>
        <v>#REF!</v>
      </c>
      <c r="EO57" t="e">
        <f>AND(Bills!#REF!,"AAAAAF1/2pA=")</f>
        <v>#REF!</v>
      </c>
      <c r="EP57" t="e">
        <f>AND(Bills!F126,"AAAAAF1/2pE=")</f>
        <v>#VALUE!</v>
      </c>
      <c r="EQ57" t="e">
        <f>AND(Bills!#REF!,"AAAAAF1/2pI=")</f>
        <v>#REF!</v>
      </c>
      <c r="ER57" t="e">
        <f>AND(Bills!G126,"AAAAAF1/2pM=")</f>
        <v>#VALUE!</v>
      </c>
      <c r="ES57" t="e">
        <f>AND(Bills!H126,"AAAAAF1/2pQ=")</f>
        <v>#VALUE!</v>
      </c>
      <c r="ET57" t="e">
        <f>AND(Bills!I126,"AAAAAF1/2pU=")</f>
        <v>#VALUE!</v>
      </c>
      <c r="EU57" t="e">
        <f>AND(Bills!J126,"AAAAAF1/2pY=")</f>
        <v>#VALUE!</v>
      </c>
      <c r="EV57" t="e">
        <f>AND(Bills!K126,"AAAAAF1/2pc=")</f>
        <v>#VALUE!</v>
      </c>
      <c r="EW57" t="e">
        <f>AND(Bills!L126,"AAAAAF1/2pg=")</f>
        <v>#VALUE!</v>
      </c>
      <c r="EX57" t="e">
        <f>AND(Bills!#REF!,"AAAAAF1/2pk=")</f>
        <v>#REF!</v>
      </c>
      <c r="EY57" t="e">
        <f>AND(Bills!M126,"AAAAAF1/2po=")</f>
        <v>#VALUE!</v>
      </c>
      <c r="EZ57" t="e">
        <f>AND(Bills!N126,"AAAAAF1/2ps=")</f>
        <v>#VALUE!</v>
      </c>
      <c r="FA57" t="e">
        <f>AND(Bills!O126,"AAAAAF1/2pw=")</f>
        <v>#VALUE!</v>
      </c>
      <c r="FB57" t="e">
        <f>AND(Bills!P126,"AAAAAF1/2p0=")</f>
        <v>#VALUE!</v>
      </c>
      <c r="FC57" t="e">
        <f>AND(Bills!Q126,"AAAAAF1/2p4=")</f>
        <v>#VALUE!</v>
      </c>
      <c r="FD57" t="e">
        <f>AND(Bills!R126,"AAAAAF1/2p8=")</f>
        <v>#VALUE!</v>
      </c>
      <c r="FE57" t="e">
        <f>AND(Bills!S126,"AAAAAF1/2qA=")</f>
        <v>#VALUE!</v>
      </c>
      <c r="FF57" t="e">
        <f>AND(Bills!T126,"AAAAAF1/2qE=")</f>
        <v>#VALUE!</v>
      </c>
      <c r="FG57" t="e">
        <f>AND(Bills!#REF!,"AAAAAF1/2qI=")</f>
        <v>#REF!</v>
      </c>
      <c r="FH57" t="e">
        <f>AND(Bills!U126,"AAAAAF1/2qM=")</f>
        <v>#VALUE!</v>
      </c>
      <c r="FI57" t="e">
        <f>AND(Bills!V126,"AAAAAF1/2qQ=")</f>
        <v>#VALUE!</v>
      </c>
      <c r="FJ57" t="e">
        <f>AND(Bills!W126,"AAAAAF1/2qU=")</f>
        <v>#VALUE!</v>
      </c>
      <c r="FK57" t="e">
        <f>AND(Bills!#REF!,"AAAAAF1/2qY=")</f>
        <v>#REF!</v>
      </c>
      <c r="FL57" t="e">
        <f>AND(Bills!#REF!,"AAAAAF1/2qc=")</f>
        <v>#REF!</v>
      </c>
      <c r="FM57" t="e">
        <f>AND(Bills!Y126,"AAAAAF1/2qg=")</f>
        <v>#VALUE!</v>
      </c>
      <c r="FN57" t="e">
        <f>AND(Bills!Z126,"AAAAAF1/2qk=")</f>
        <v>#VALUE!</v>
      </c>
      <c r="FO57" t="e">
        <f>AND(Bills!#REF!,"AAAAAF1/2qo=")</f>
        <v>#REF!</v>
      </c>
      <c r="FP57" t="e">
        <f>AND(Bills!#REF!,"AAAAAF1/2qs=")</f>
        <v>#REF!</v>
      </c>
      <c r="FQ57" t="e">
        <f>AND(Bills!#REF!,"AAAAAF1/2qw=")</f>
        <v>#REF!</v>
      </c>
      <c r="FR57" t="e">
        <f>AND(Bills!#REF!,"AAAAAF1/2q0=")</f>
        <v>#REF!</v>
      </c>
      <c r="FS57" t="e">
        <f>AND(Bills!#REF!,"AAAAAF1/2q4=")</f>
        <v>#REF!</v>
      </c>
      <c r="FT57" t="e">
        <f>AND(Bills!#REF!,"AAAAAF1/2q8=")</f>
        <v>#REF!</v>
      </c>
      <c r="FU57" t="e">
        <f>AND(Bills!#REF!,"AAAAAF1/2rA=")</f>
        <v>#REF!</v>
      </c>
      <c r="FV57" t="e">
        <f>AND(Bills!#REF!,"AAAAAF1/2rE=")</f>
        <v>#REF!</v>
      </c>
      <c r="FW57" t="e">
        <f>AND(Bills!#REF!,"AAAAAF1/2rI=")</f>
        <v>#REF!</v>
      </c>
      <c r="FX57" t="e">
        <f>AND(Bills!AA126,"AAAAAF1/2rM=")</f>
        <v>#VALUE!</v>
      </c>
      <c r="FY57" t="e">
        <f>AND(Bills!AB126,"AAAAAF1/2rQ=")</f>
        <v>#VALUE!</v>
      </c>
      <c r="FZ57" t="e">
        <f>AND(Bills!#REF!,"AAAAAF1/2rU=")</f>
        <v>#REF!</v>
      </c>
      <c r="GA57" t="e">
        <f>AND(Bills!#REF!,"AAAAAF1/2rY=")</f>
        <v>#REF!</v>
      </c>
      <c r="GB57" t="e">
        <f>AND(Bills!#REF!,"AAAAAF1/2rc=")</f>
        <v>#REF!</v>
      </c>
      <c r="GC57" t="e">
        <f>AND(Bills!AC126,"AAAAAF1/2rg=")</f>
        <v>#VALUE!</v>
      </c>
      <c r="GD57" t="e">
        <f>AND(Bills!AD126,"AAAAAF1/2rk=")</f>
        <v>#VALUE!</v>
      </c>
      <c r="GE57" t="e">
        <f>AND(Bills!AE126,"AAAAAF1/2ro=")</f>
        <v>#VALUE!</v>
      </c>
      <c r="GF57">
        <f>IF(Bills!127:127,"AAAAAF1/2rs=",0)</f>
        <v>0</v>
      </c>
      <c r="GG57" t="e">
        <f>AND(Bills!B127,"AAAAAF1/2rw=")</f>
        <v>#VALUE!</v>
      </c>
      <c r="GH57" t="e">
        <f>AND(Bills!#REF!,"AAAAAF1/2r0=")</f>
        <v>#REF!</v>
      </c>
      <c r="GI57" t="e">
        <f>AND(Bills!C127,"AAAAAF1/2r4=")</f>
        <v>#VALUE!</v>
      </c>
      <c r="GJ57" t="e">
        <f>AND(Bills!D127,"AAAAAF1/2r8=")</f>
        <v>#VALUE!</v>
      </c>
      <c r="GK57" t="e">
        <f>AND(Bills!E127,"AAAAAF1/2sA=")</f>
        <v>#VALUE!</v>
      </c>
      <c r="GL57" t="e">
        <f>AND(Bills!#REF!,"AAAAAF1/2sE=")</f>
        <v>#REF!</v>
      </c>
      <c r="GM57" t="e">
        <f>AND(Bills!#REF!,"AAAAAF1/2sI=")</f>
        <v>#REF!</v>
      </c>
      <c r="GN57" t="e">
        <f>AND(Bills!#REF!,"AAAAAF1/2sM=")</f>
        <v>#REF!</v>
      </c>
      <c r="GO57" t="e">
        <f>AND(Bills!F127,"AAAAAF1/2sQ=")</f>
        <v>#VALUE!</v>
      </c>
      <c r="GP57" t="e">
        <f>AND(Bills!#REF!,"AAAAAF1/2sU=")</f>
        <v>#REF!</v>
      </c>
      <c r="GQ57" t="e">
        <f>AND(Bills!G127,"AAAAAF1/2sY=")</f>
        <v>#VALUE!</v>
      </c>
      <c r="GR57" t="e">
        <f>AND(Bills!H127,"AAAAAF1/2sc=")</f>
        <v>#VALUE!</v>
      </c>
      <c r="GS57" t="e">
        <f>AND(Bills!I127,"AAAAAF1/2sg=")</f>
        <v>#VALUE!</v>
      </c>
      <c r="GT57" t="e">
        <f>AND(Bills!J127,"AAAAAF1/2sk=")</f>
        <v>#VALUE!</v>
      </c>
      <c r="GU57" t="e">
        <f>AND(Bills!K127,"AAAAAF1/2so=")</f>
        <v>#VALUE!</v>
      </c>
      <c r="GV57" t="e">
        <f>AND(Bills!L127,"AAAAAF1/2ss=")</f>
        <v>#VALUE!</v>
      </c>
      <c r="GW57" t="e">
        <f>AND(Bills!#REF!,"AAAAAF1/2sw=")</f>
        <v>#REF!</v>
      </c>
      <c r="GX57" t="e">
        <f>AND(Bills!M127,"AAAAAF1/2s0=")</f>
        <v>#VALUE!</v>
      </c>
      <c r="GY57" t="e">
        <f>AND(Bills!N127,"AAAAAF1/2s4=")</f>
        <v>#VALUE!</v>
      </c>
      <c r="GZ57" t="e">
        <f>AND(Bills!O127,"AAAAAF1/2s8=")</f>
        <v>#VALUE!</v>
      </c>
      <c r="HA57" t="e">
        <f>AND(Bills!P127,"AAAAAF1/2tA=")</f>
        <v>#VALUE!</v>
      </c>
      <c r="HB57" t="e">
        <f>AND(Bills!Q127,"AAAAAF1/2tE=")</f>
        <v>#VALUE!</v>
      </c>
      <c r="HC57" t="e">
        <f>AND(Bills!R127,"AAAAAF1/2tI=")</f>
        <v>#VALUE!</v>
      </c>
      <c r="HD57" t="e">
        <f>AND(Bills!S127,"AAAAAF1/2tM=")</f>
        <v>#VALUE!</v>
      </c>
      <c r="HE57" t="e">
        <f>AND(Bills!T127,"AAAAAF1/2tQ=")</f>
        <v>#VALUE!</v>
      </c>
      <c r="HF57" t="e">
        <f>AND(Bills!#REF!,"AAAAAF1/2tU=")</f>
        <v>#REF!</v>
      </c>
      <c r="HG57" t="e">
        <f>AND(Bills!U127,"AAAAAF1/2tY=")</f>
        <v>#VALUE!</v>
      </c>
      <c r="HH57" t="e">
        <f>AND(Bills!V127,"AAAAAF1/2tc=")</f>
        <v>#VALUE!</v>
      </c>
      <c r="HI57" t="e">
        <f>AND(Bills!W127,"AAAAAF1/2tg=")</f>
        <v>#VALUE!</v>
      </c>
      <c r="HJ57" t="e">
        <f>AND(Bills!#REF!,"AAAAAF1/2tk=")</f>
        <v>#REF!</v>
      </c>
      <c r="HK57" t="e">
        <f>AND(Bills!#REF!,"AAAAAF1/2to=")</f>
        <v>#REF!</v>
      </c>
      <c r="HL57" t="e">
        <f>AND(Bills!Y127,"AAAAAF1/2ts=")</f>
        <v>#VALUE!</v>
      </c>
      <c r="HM57" t="e">
        <f>AND(Bills!Z127,"AAAAAF1/2tw=")</f>
        <v>#VALUE!</v>
      </c>
      <c r="HN57" t="e">
        <f>AND(Bills!#REF!,"AAAAAF1/2t0=")</f>
        <v>#REF!</v>
      </c>
      <c r="HO57" t="e">
        <f>AND(Bills!#REF!,"AAAAAF1/2t4=")</f>
        <v>#REF!</v>
      </c>
      <c r="HP57" t="e">
        <f>AND(Bills!#REF!,"AAAAAF1/2t8=")</f>
        <v>#REF!</v>
      </c>
      <c r="HQ57" t="e">
        <f>AND(Bills!#REF!,"AAAAAF1/2uA=")</f>
        <v>#REF!</v>
      </c>
      <c r="HR57" t="e">
        <f>AND(Bills!#REF!,"AAAAAF1/2uE=")</f>
        <v>#REF!</v>
      </c>
      <c r="HS57" t="e">
        <f>AND(Bills!#REF!,"AAAAAF1/2uI=")</f>
        <v>#REF!</v>
      </c>
      <c r="HT57" t="e">
        <f>AND(Bills!#REF!,"AAAAAF1/2uM=")</f>
        <v>#REF!</v>
      </c>
      <c r="HU57" t="e">
        <f>AND(Bills!#REF!,"AAAAAF1/2uQ=")</f>
        <v>#REF!</v>
      </c>
      <c r="HV57" t="e">
        <f>AND(Bills!#REF!,"AAAAAF1/2uU=")</f>
        <v>#REF!</v>
      </c>
      <c r="HW57" t="e">
        <f>AND(Bills!AA127,"AAAAAF1/2uY=")</f>
        <v>#VALUE!</v>
      </c>
      <c r="HX57" t="e">
        <f>AND(Bills!AB127,"AAAAAF1/2uc=")</f>
        <v>#VALUE!</v>
      </c>
      <c r="HY57" t="e">
        <f>AND(Bills!#REF!,"AAAAAF1/2ug=")</f>
        <v>#REF!</v>
      </c>
      <c r="HZ57" t="e">
        <f>AND(Bills!#REF!,"AAAAAF1/2uk=")</f>
        <v>#REF!</v>
      </c>
      <c r="IA57" t="e">
        <f>AND(Bills!#REF!,"AAAAAF1/2uo=")</f>
        <v>#REF!</v>
      </c>
      <c r="IB57" t="e">
        <f>AND(Bills!AC127,"AAAAAF1/2us=")</f>
        <v>#VALUE!</v>
      </c>
      <c r="IC57" t="e">
        <f>AND(Bills!AD127,"AAAAAF1/2uw=")</f>
        <v>#VALUE!</v>
      </c>
      <c r="ID57" t="e">
        <f>AND(Bills!AE127,"AAAAAF1/2u0=")</f>
        <v>#VALUE!</v>
      </c>
      <c r="IE57">
        <f>IF(Bills!128:128,"AAAAAF1/2u4=",0)</f>
        <v>0</v>
      </c>
      <c r="IF57" t="e">
        <f>AND(Bills!B128,"AAAAAF1/2u8=")</f>
        <v>#VALUE!</v>
      </c>
      <c r="IG57" t="e">
        <f>AND(Bills!#REF!,"AAAAAF1/2vA=")</f>
        <v>#REF!</v>
      </c>
      <c r="IH57" t="e">
        <f>AND(Bills!C128,"AAAAAF1/2vE=")</f>
        <v>#VALUE!</v>
      </c>
      <c r="II57" t="e">
        <f>AND(Bills!D128,"AAAAAF1/2vI=")</f>
        <v>#VALUE!</v>
      </c>
      <c r="IJ57" t="e">
        <f>AND(Bills!E128,"AAAAAF1/2vM=")</f>
        <v>#VALUE!</v>
      </c>
      <c r="IK57" t="e">
        <f>AND(Bills!#REF!,"AAAAAF1/2vQ=")</f>
        <v>#REF!</v>
      </c>
      <c r="IL57" t="e">
        <f>AND(Bills!#REF!,"AAAAAF1/2vU=")</f>
        <v>#REF!</v>
      </c>
      <c r="IM57" t="e">
        <f>AND(Bills!#REF!,"AAAAAF1/2vY=")</f>
        <v>#REF!</v>
      </c>
      <c r="IN57" t="e">
        <f>AND(Bills!F128,"AAAAAF1/2vc=")</f>
        <v>#VALUE!</v>
      </c>
      <c r="IO57" t="e">
        <f>AND(Bills!#REF!,"AAAAAF1/2vg=")</f>
        <v>#REF!</v>
      </c>
      <c r="IP57" t="e">
        <f>AND(Bills!G128,"AAAAAF1/2vk=")</f>
        <v>#VALUE!</v>
      </c>
      <c r="IQ57" t="e">
        <f>AND(Bills!H128,"AAAAAF1/2vo=")</f>
        <v>#VALUE!</v>
      </c>
      <c r="IR57" t="e">
        <f>AND(Bills!I128,"AAAAAF1/2vs=")</f>
        <v>#VALUE!</v>
      </c>
      <c r="IS57" t="e">
        <f>AND(Bills!J128,"AAAAAF1/2vw=")</f>
        <v>#VALUE!</v>
      </c>
      <c r="IT57" t="e">
        <f>AND(Bills!K128,"AAAAAF1/2v0=")</f>
        <v>#VALUE!</v>
      </c>
      <c r="IU57" t="e">
        <f>AND(Bills!L128,"AAAAAF1/2v4=")</f>
        <v>#VALUE!</v>
      </c>
      <c r="IV57" t="e">
        <f>AND(Bills!#REF!,"AAAAAF1/2v8=")</f>
        <v>#REF!</v>
      </c>
    </row>
    <row r="58" spans="1:256" x14ac:dyDescent="0.25">
      <c r="A58" t="e">
        <f>AND(Bills!M128,"AAAAAB3n4QA=")</f>
        <v>#VALUE!</v>
      </c>
      <c r="B58" t="e">
        <f>AND(Bills!N128,"AAAAAB3n4QE=")</f>
        <v>#VALUE!</v>
      </c>
      <c r="C58" t="e">
        <f>AND(Bills!O128,"AAAAAB3n4QI=")</f>
        <v>#VALUE!</v>
      </c>
      <c r="D58" t="e">
        <f>AND(Bills!P128,"AAAAAB3n4QM=")</f>
        <v>#VALUE!</v>
      </c>
      <c r="E58" t="e">
        <f>AND(Bills!Q128,"AAAAAB3n4QQ=")</f>
        <v>#VALUE!</v>
      </c>
      <c r="F58" t="e">
        <f>AND(Bills!R128,"AAAAAB3n4QU=")</f>
        <v>#VALUE!</v>
      </c>
      <c r="G58" t="e">
        <f>AND(Bills!S128,"AAAAAB3n4QY=")</f>
        <v>#VALUE!</v>
      </c>
      <c r="H58" t="e">
        <f>AND(Bills!T128,"AAAAAB3n4Qc=")</f>
        <v>#VALUE!</v>
      </c>
      <c r="I58" t="e">
        <f>AND(Bills!#REF!,"AAAAAB3n4Qg=")</f>
        <v>#REF!</v>
      </c>
      <c r="J58" t="e">
        <f>AND(Bills!U128,"AAAAAB3n4Qk=")</f>
        <v>#VALUE!</v>
      </c>
      <c r="K58" t="e">
        <f>AND(Bills!V128,"AAAAAB3n4Qo=")</f>
        <v>#VALUE!</v>
      </c>
      <c r="L58" t="e">
        <f>AND(Bills!W128,"AAAAAB3n4Qs=")</f>
        <v>#VALUE!</v>
      </c>
      <c r="M58" t="e">
        <f>AND(Bills!#REF!,"AAAAAB3n4Qw=")</f>
        <v>#REF!</v>
      </c>
      <c r="N58" t="e">
        <f>AND(Bills!#REF!,"AAAAAB3n4Q0=")</f>
        <v>#REF!</v>
      </c>
      <c r="O58" t="e">
        <f>AND(Bills!Y128,"AAAAAB3n4Q4=")</f>
        <v>#VALUE!</v>
      </c>
      <c r="P58" t="e">
        <f>AND(Bills!Z128,"AAAAAB3n4Q8=")</f>
        <v>#VALUE!</v>
      </c>
      <c r="Q58" t="e">
        <f>AND(Bills!#REF!,"AAAAAB3n4RA=")</f>
        <v>#REF!</v>
      </c>
      <c r="R58" t="e">
        <f>AND(Bills!#REF!,"AAAAAB3n4RE=")</f>
        <v>#REF!</v>
      </c>
      <c r="S58" t="e">
        <f>AND(Bills!#REF!,"AAAAAB3n4RI=")</f>
        <v>#REF!</v>
      </c>
      <c r="T58" t="e">
        <f>AND(Bills!#REF!,"AAAAAB3n4RM=")</f>
        <v>#REF!</v>
      </c>
      <c r="U58" t="e">
        <f>AND(Bills!#REF!,"AAAAAB3n4RQ=")</f>
        <v>#REF!</v>
      </c>
      <c r="V58" t="e">
        <f>AND(Bills!#REF!,"AAAAAB3n4RU=")</f>
        <v>#REF!</v>
      </c>
      <c r="W58" t="e">
        <f>AND(Bills!#REF!,"AAAAAB3n4RY=")</f>
        <v>#REF!</v>
      </c>
      <c r="X58" t="e">
        <f>AND(Bills!#REF!,"AAAAAB3n4Rc=")</f>
        <v>#REF!</v>
      </c>
      <c r="Y58" t="e">
        <f>AND(Bills!#REF!,"AAAAAB3n4Rg=")</f>
        <v>#REF!</v>
      </c>
      <c r="Z58" t="e">
        <f>AND(Bills!AA128,"AAAAAB3n4Rk=")</f>
        <v>#VALUE!</v>
      </c>
      <c r="AA58" t="e">
        <f>AND(Bills!AB128,"AAAAAB3n4Ro=")</f>
        <v>#VALUE!</v>
      </c>
      <c r="AB58" t="e">
        <f>AND(Bills!#REF!,"AAAAAB3n4Rs=")</f>
        <v>#REF!</v>
      </c>
      <c r="AC58" t="e">
        <f>AND(Bills!#REF!,"AAAAAB3n4Rw=")</f>
        <v>#REF!</v>
      </c>
      <c r="AD58" t="e">
        <f>AND(Bills!#REF!,"AAAAAB3n4R0=")</f>
        <v>#REF!</v>
      </c>
      <c r="AE58" t="e">
        <f>AND(Bills!AC128,"AAAAAB3n4R4=")</f>
        <v>#VALUE!</v>
      </c>
      <c r="AF58" t="e">
        <f>AND(Bills!AD128,"AAAAAB3n4R8=")</f>
        <v>#VALUE!</v>
      </c>
      <c r="AG58" t="e">
        <f>AND(Bills!AE128,"AAAAAB3n4SA=")</f>
        <v>#VALUE!</v>
      </c>
      <c r="AH58">
        <f>IF(Bills!129:129,"AAAAAB3n4SE=",0)</f>
        <v>0</v>
      </c>
      <c r="AI58" t="e">
        <f>AND(Bills!B129,"AAAAAB3n4SI=")</f>
        <v>#VALUE!</v>
      </c>
      <c r="AJ58" t="e">
        <f>AND(Bills!#REF!,"AAAAAB3n4SM=")</f>
        <v>#REF!</v>
      </c>
      <c r="AK58" t="e">
        <f>AND(Bills!C129,"AAAAAB3n4SQ=")</f>
        <v>#VALUE!</v>
      </c>
      <c r="AL58" t="e">
        <f>AND(Bills!D129,"AAAAAB3n4SU=")</f>
        <v>#VALUE!</v>
      </c>
      <c r="AM58" t="e">
        <f>AND(Bills!E129,"AAAAAB3n4SY=")</f>
        <v>#VALUE!</v>
      </c>
      <c r="AN58" t="e">
        <f>AND(Bills!#REF!,"AAAAAB3n4Sc=")</f>
        <v>#REF!</v>
      </c>
      <c r="AO58" t="e">
        <f>AND(Bills!#REF!,"AAAAAB3n4Sg=")</f>
        <v>#REF!</v>
      </c>
      <c r="AP58" t="e">
        <f>AND(Bills!#REF!,"AAAAAB3n4Sk=")</f>
        <v>#REF!</v>
      </c>
      <c r="AQ58" t="e">
        <f>AND(Bills!F129,"AAAAAB3n4So=")</f>
        <v>#VALUE!</v>
      </c>
      <c r="AR58" t="e">
        <f>AND(Bills!#REF!,"AAAAAB3n4Ss=")</f>
        <v>#REF!</v>
      </c>
      <c r="AS58" t="e">
        <f>AND(Bills!G129,"AAAAAB3n4Sw=")</f>
        <v>#VALUE!</v>
      </c>
      <c r="AT58" t="e">
        <f>AND(Bills!H129,"AAAAAB3n4S0=")</f>
        <v>#VALUE!</v>
      </c>
      <c r="AU58" t="e">
        <f>AND(Bills!I129,"AAAAAB3n4S4=")</f>
        <v>#VALUE!</v>
      </c>
      <c r="AV58" t="e">
        <f>AND(Bills!J129,"AAAAAB3n4S8=")</f>
        <v>#VALUE!</v>
      </c>
      <c r="AW58" t="e">
        <f>AND(Bills!K129,"AAAAAB3n4TA=")</f>
        <v>#VALUE!</v>
      </c>
      <c r="AX58" t="e">
        <f>AND(Bills!L129,"AAAAAB3n4TE=")</f>
        <v>#VALUE!</v>
      </c>
      <c r="AY58" t="e">
        <f>AND(Bills!#REF!,"AAAAAB3n4TI=")</f>
        <v>#REF!</v>
      </c>
      <c r="AZ58" t="e">
        <f>AND(Bills!M129,"AAAAAB3n4TM=")</f>
        <v>#VALUE!</v>
      </c>
      <c r="BA58" t="e">
        <f>AND(Bills!N129,"AAAAAB3n4TQ=")</f>
        <v>#VALUE!</v>
      </c>
      <c r="BB58" t="e">
        <f>AND(Bills!O129,"AAAAAB3n4TU=")</f>
        <v>#VALUE!</v>
      </c>
      <c r="BC58" t="e">
        <f>AND(Bills!P129,"AAAAAB3n4TY=")</f>
        <v>#VALUE!</v>
      </c>
      <c r="BD58" t="e">
        <f>AND(Bills!Q129,"AAAAAB3n4Tc=")</f>
        <v>#VALUE!</v>
      </c>
      <c r="BE58" t="e">
        <f>AND(Bills!R129,"AAAAAB3n4Tg=")</f>
        <v>#VALUE!</v>
      </c>
      <c r="BF58" t="e">
        <f>AND(Bills!S129,"AAAAAB3n4Tk=")</f>
        <v>#VALUE!</v>
      </c>
      <c r="BG58" t="e">
        <f>AND(Bills!T129,"AAAAAB3n4To=")</f>
        <v>#VALUE!</v>
      </c>
      <c r="BH58" t="e">
        <f>AND(Bills!#REF!,"AAAAAB3n4Ts=")</f>
        <v>#REF!</v>
      </c>
      <c r="BI58" t="e">
        <f>AND(Bills!U129,"AAAAAB3n4Tw=")</f>
        <v>#VALUE!</v>
      </c>
      <c r="BJ58" t="e">
        <f>AND(Bills!V129,"AAAAAB3n4T0=")</f>
        <v>#VALUE!</v>
      </c>
      <c r="BK58" t="e">
        <f>AND(Bills!W129,"AAAAAB3n4T4=")</f>
        <v>#VALUE!</v>
      </c>
      <c r="BL58" t="e">
        <f>AND(Bills!#REF!,"AAAAAB3n4T8=")</f>
        <v>#REF!</v>
      </c>
      <c r="BM58" t="e">
        <f>AND(Bills!#REF!,"AAAAAB3n4UA=")</f>
        <v>#REF!</v>
      </c>
      <c r="BN58" t="e">
        <f>AND(Bills!Y129,"AAAAAB3n4UE=")</f>
        <v>#VALUE!</v>
      </c>
      <c r="BO58" t="e">
        <f>AND(Bills!Z129,"AAAAAB3n4UI=")</f>
        <v>#VALUE!</v>
      </c>
      <c r="BP58" t="e">
        <f>AND(Bills!#REF!,"AAAAAB3n4UM=")</f>
        <v>#REF!</v>
      </c>
      <c r="BQ58" t="e">
        <f>AND(Bills!#REF!,"AAAAAB3n4UQ=")</f>
        <v>#REF!</v>
      </c>
      <c r="BR58" t="e">
        <f>AND(Bills!#REF!,"AAAAAB3n4UU=")</f>
        <v>#REF!</v>
      </c>
      <c r="BS58" t="e">
        <f>AND(Bills!#REF!,"AAAAAB3n4UY=")</f>
        <v>#REF!</v>
      </c>
      <c r="BT58" t="e">
        <f>AND(Bills!#REF!,"AAAAAB3n4Uc=")</f>
        <v>#REF!</v>
      </c>
      <c r="BU58" t="e">
        <f>AND(Bills!#REF!,"AAAAAB3n4Ug=")</f>
        <v>#REF!</v>
      </c>
      <c r="BV58" t="e">
        <f>AND(Bills!#REF!,"AAAAAB3n4Uk=")</f>
        <v>#REF!</v>
      </c>
      <c r="BW58" t="e">
        <f>AND(Bills!#REF!,"AAAAAB3n4Uo=")</f>
        <v>#REF!</v>
      </c>
      <c r="BX58" t="e">
        <f>AND(Bills!#REF!,"AAAAAB3n4Us=")</f>
        <v>#REF!</v>
      </c>
      <c r="BY58" t="e">
        <f>AND(Bills!AA129,"AAAAAB3n4Uw=")</f>
        <v>#VALUE!</v>
      </c>
      <c r="BZ58" t="e">
        <f>AND(Bills!AB129,"AAAAAB3n4U0=")</f>
        <v>#VALUE!</v>
      </c>
      <c r="CA58" t="e">
        <f>AND(Bills!#REF!,"AAAAAB3n4U4=")</f>
        <v>#REF!</v>
      </c>
      <c r="CB58" t="e">
        <f>AND(Bills!#REF!,"AAAAAB3n4U8=")</f>
        <v>#REF!</v>
      </c>
      <c r="CC58" t="e">
        <f>AND(Bills!#REF!,"AAAAAB3n4VA=")</f>
        <v>#REF!</v>
      </c>
      <c r="CD58" t="e">
        <f>AND(Bills!AC129,"AAAAAB3n4VE=")</f>
        <v>#VALUE!</v>
      </c>
      <c r="CE58" t="e">
        <f>AND(Bills!AD129,"AAAAAB3n4VI=")</f>
        <v>#VALUE!</v>
      </c>
      <c r="CF58" t="e">
        <f>AND(Bills!AE129,"AAAAAB3n4VM=")</f>
        <v>#VALUE!</v>
      </c>
      <c r="CG58">
        <f>IF(Bills!130:130,"AAAAAB3n4VQ=",0)</f>
        <v>0</v>
      </c>
      <c r="CH58" t="e">
        <f>AND(Bills!B130,"AAAAAB3n4VU=")</f>
        <v>#VALUE!</v>
      </c>
      <c r="CI58" t="e">
        <f>AND(Bills!#REF!,"AAAAAB3n4VY=")</f>
        <v>#REF!</v>
      </c>
      <c r="CJ58" t="e">
        <f>AND(Bills!C130,"AAAAAB3n4Vc=")</f>
        <v>#VALUE!</v>
      </c>
      <c r="CK58" t="e">
        <f>AND(Bills!D130,"AAAAAB3n4Vg=")</f>
        <v>#VALUE!</v>
      </c>
      <c r="CL58" t="e">
        <f>AND(Bills!E130,"AAAAAB3n4Vk=")</f>
        <v>#VALUE!</v>
      </c>
      <c r="CM58" t="e">
        <f>AND(Bills!#REF!,"AAAAAB3n4Vo=")</f>
        <v>#REF!</v>
      </c>
      <c r="CN58" t="e">
        <f>AND(Bills!#REF!,"AAAAAB3n4Vs=")</f>
        <v>#REF!</v>
      </c>
      <c r="CO58" t="e">
        <f>AND(Bills!#REF!,"AAAAAB3n4Vw=")</f>
        <v>#REF!</v>
      </c>
      <c r="CP58" t="e">
        <f>AND(Bills!F130,"AAAAAB3n4V0=")</f>
        <v>#VALUE!</v>
      </c>
      <c r="CQ58" t="e">
        <f>AND(Bills!#REF!,"AAAAAB3n4V4=")</f>
        <v>#REF!</v>
      </c>
      <c r="CR58" t="e">
        <f>AND(Bills!G130,"AAAAAB3n4V8=")</f>
        <v>#VALUE!</v>
      </c>
      <c r="CS58" t="e">
        <f>AND(Bills!H130,"AAAAAB3n4WA=")</f>
        <v>#VALUE!</v>
      </c>
      <c r="CT58" t="e">
        <f>AND(Bills!I130,"AAAAAB3n4WE=")</f>
        <v>#VALUE!</v>
      </c>
      <c r="CU58" t="e">
        <f>AND(Bills!J130,"AAAAAB3n4WI=")</f>
        <v>#VALUE!</v>
      </c>
      <c r="CV58" t="e">
        <f>AND(Bills!K130,"AAAAAB3n4WM=")</f>
        <v>#VALUE!</v>
      </c>
      <c r="CW58" t="e">
        <f>AND(Bills!L130,"AAAAAB3n4WQ=")</f>
        <v>#VALUE!</v>
      </c>
      <c r="CX58" t="e">
        <f>AND(Bills!#REF!,"AAAAAB3n4WU=")</f>
        <v>#REF!</v>
      </c>
      <c r="CY58" t="e">
        <f>AND(Bills!M130,"AAAAAB3n4WY=")</f>
        <v>#VALUE!</v>
      </c>
      <c r="CZ58" t="e">
        <f>AND(Bills!N130,"AAAAAB3n4Wc=")</f>
        <v>#VALUE!</v>
      </c>
      <c r="DA58" t="e">
        <f>AND(Bills!O130,"AAAAAB3n4Wg=")</f>
        <v>#VALUE!</v>
      </c>
      <c r="DB58" t="e">
        <f>AND(Bills!P130,"AAAAAB3n4Wk=")</f>
        <v>#VALUE!</v>
      </c>
      <c r="DC58" t="e">
        <f>AND(Bills!Q130,"AAAAAB3n4Wo=")</f>
        <v>#VALUE!</v>
      </c>
      <c r="DD58" t="e">
        <f>AND(Bills!R130,"AAAAAB3n4Ws=")</f>
        <v>#VALUE!</v>
      </c>
      <c r="DE58" t="e">
        <f>AND(Bills!S130,"AAAAAB3n4Ww=")</f>
        <v>#VALUE!</v>
      </c>
      <c r="DF58" t="e">
        <f>AND(Bills!T130,"AAAAAB3n4W0=")</f>
        <v>#VALUE!</v>
      </c>
      <c r="DG58" t="e">
        <f>AND(Bills!#REF!,"AAAAAB3n4W4=")</f>
        <v>#REF!</v>
      </c>
      <c r="DH58" t="e">
        <f>AND(Bills!U130,"AAAAAB3n4W8=")</f>
        <v>#VALUE!</v>
      </c>
      <c r="DI58" t="e">
        <f>AND(Bills!V130,"AAAAAB3n4XA=")</f>
        <v>#VALUE!</v>
      </c>
      <c r="DJ58" t="e">
        <f>AND(Bills!W130,"AAAAAB3n4XE=")</f>
        <v>#VALUE!</v>
      </c>
      <c r="DK58" t="e">
        <f>AND(Bills!#REF!,"AAAAAB3n4XI=")</f>
        <v>#REF!</v>
      </c>
      <c r="DL58" t="e">
        <f>AND(Bills!#REF!,"AAAAAB3n4XM=")</f>
        <v>#REF!</v>
      </c>
      <c r="DM58" t="e">
        <f>AND(Bills!Y130,"AAAAAB3n4XQ=")</f>
        <v>#VALUE!</v>
      </c>
      <c r="DN58" t="e">
        <f>AND(Bills!Z130,"AAAAAB3n4XU=")</f>
        <v>#VALUE!</v>
      </c>
      <c r="DO58" t="e">
        <f>AND(Bills!#REF!,"AAAAAB3n4XY=")</f>
        <v>#REF!</v>
      </c>
      <c r="DP58" t="e">
        <f>AND(Bills!#REF!,"AAAAAB3n4Xc=")</f>
        <v>#REF!</v>
      </c>
      <c r="DQ58" t="e">
        <f>AND(Bills!#REF!,"AAAAAB3n4Xg=")</f>
        <v>#REF!</v>
      </c>
      <c r="DR58" t="e">
        <f>AND(Bills!#REF!,"AAAAAB3n4Xk=")</f>
        <v>#REF!</v>
      </c>
      <c r="DS58" t="e">
        <f>AND(Bills!#REF!,"AAAAAB3n4Xo=")</f>
        <v>#REF!</v>
      </c>
      <c r="DT58" t="e">
        <f>AND(Bills!#REF!,"AAAAAB3n4Xs=")</f>
        <v>#REF!</v>
      </c>
      <c r="DU58" t="e">
        <f>AND(Bills!#REF!,"AAAAAB3n4Xw=")</f>
        <v>#REF!</v>
      </c>
      <c r="DV58" t="e">
        <f>AND(Bills!#REF!,"AAAAAB3n4X0=")</f>
        <v>#REF!</v>
      </c>
      <c r="DW58" t="e">
        <f>AND(Bills!#REF!,"AAAAAB3n4X4=")</f>
        <v>#REF!</v>
      </c>
      <c r="DX58" t="e">
        <f>AND(Bills!AA130,"AAAAAB3n4X8=")</f>
        <v>#VALUE!</v>
      </c>
      <c r="DY58" t="e">
        <f>AND(Bills!AB130,"AAAAAB3n4YA=")</f>
        <v>#VALUE!</v>
      </c>
      <c r="DZ58" t="e">
        <f>AND(Bills!#REF!,"AAAAAB3n4YE=")</f>
        <v>#REF!</v>
      </c>
      <c r="EA58" t="e">
        <f>AND(Bills!#REF!,"AAAAAB3n4YI=")</f>
        <v>#REF!</v>
      </c>
      <c r="EB58" t="e">
        <f>AND(Bills!#REF!,"AAAAAB3n4YM=")</f>
        <v>#REF!</v>
      </c>
      <c r="EC58" t="e">
        <f>AND(Bills!AC130,"AAAAAB3n4YQ=")</f>
        <v>#VALUE!</v>
      </c>
      <c r="ED58" t="e">
        <f>AND(Bills!AD130,"AAAAAB3n4YU=")</f>
        <v>#VALUE!</v>
      </c>
      <c r="EE58" t="e">
        <f>AND(Bills!AE130,"AAAAAB3n4YY=")</f>
        <v>#VALUE!</v>
      </c>
      <c r="EF58">
        <f>IF(Bills!131:131,"AAAAAB3n4Yc=",0)</f>
        <v>0</v>
      </c>
      <c r="EG58" t="e">
        <f>AND(Bills!B131,"AAAAAB3n4Yg=")</f>
        <v>#VALUE!</v>
      </c>
      <c r="EH58" t="e">
        <f>AND(Bills!#REF!,"AAAAAB3n4Yk=")</f>
        <v>#REF!</v>
      </c>
      <c r="EI58" t="e">
        <f>AND(Bills!C131,"AAAAAB3n4Yo=")</f>
        <v>#VALUE!</v>
      </c>
      <c r="EJ58" t="e">
        <f>AND(Bills!D131,"AAAAAB3n4Ys=")</f>
        <v>#VALUE!</v>
      </c>
      <c r="EK58" t="e">
        <f>AND(Bills!E131,"AAAAAB3n4Yw=")</f>
        <v>#VALUE!</v>
      </c>
      <c r="EL58" t="e">
        <f>AND(Bills!#REF!,"AAAAAB3n4Y0=")</f>
        <v>#REF!</v>
      </c>
      <c r="EM58" t="e">
        <f>AND(Bills!#REF!,"AAAAAB3n4Y4=")</f>
        <v>#REF!</v>
      </c>
      <c r="EN58" t="e">
        <f>AND(Bills!#REF!,"AAAAAB3n4Y8=")</f>
        <v>#REF!</v>
      </c>
      <c r="EO58" t="e">
        <f>AND(Bills!F131,"AAAAAB3n4ZA=")</f>
        <v>#VALUE!</v>
      </c>
      <c r="EP58" t="e">
        <f>AND(Bills!#REF!,"AAAAAB3n4ZE=")</f>
        <v>#REF!</v>
      </c>
      <c r="EQ58" t="e">
        <f>AND(Bills!G131,"AAAAAB3n4ZI=")</f>
        <v>#VALUE!</v>
      </c>
      <c r="ER58" t="e">
        <f>AND(Bills!H131,"AAAAAB3n4ZM=")</f>
        <v>#VALUE!</v>
      </c>
      <c r="ES58" t="e">
        <f>AND(Bills!I131,"AAAAAB3n4ZQ=")</f>
        <v>#VALUE!</v>
      </c>
      <c r="ET58" t="e">
        <f>AND(Bills!J131,"AAAAAB3n4ZU=")</f>
        <v>#VALUE!</v>
      </c>
      <c r="EU58" t="e">
        <f>AND(Bills!K131,"AAAAAB3n4ZY=")</f>
        <v>#VALUE!</v>
      </c>
      <c r="EV58" t="e">
        <f>AND(Bills!L131,"AAAAAB3n4Zc=")</f>
        <v>#VALUE!</v>
      </c>
      <c r="EW58" t="e">
        <f>AND(Bills!#REF!,"AAAAAB3n4Zg=")</f>
        <v>#REF!</v>
      </c>
      <c r="EX58" t="e">
        <f>AND(Bills!M131,"AAAAAB3n4Zk=")</f>
        <v>#VALUE!</v>
      </c>
      <c r="EY58" t="e">
        <f>AND(Bills!N131,"AAAAAB3n4Zo=")</f>
        <v>#VALUE!</v>
      </c>
      <c r="EZ58" t="e">
        <f>AND(Bills!O131,"AAAAAB3n4Zs=")</f>
        <v>#VALUE!</v>
      </c>
      <c r="FA58" t="e">
        <f>AND(Bills!P131,"AAAAAB3n4Zw=")</f>
        <v>#VALUE!</v>
      </c>
      <c r="FB58" t="e">
        <f>AND(Bills!Q131,"AAAAAB3n4Z0=")</f>
        <v>#VALUE!</v>
      </c>
      <c r="FC58" t="e">
        <f>AND(Bills!R131,"AAAAAB3n4Z4=")</f>
        <v>#VALUE!</v>
      </c>
      <c r="FD58" t="e">
        <f>AND(Bills!S131,"AAAAAB3n4Z8=")</f>
        <v>#VALUE!</v>
      </c>
      <c r="FE58" t="e">
        <f>AND(Bills!T131,"AAAAAB3n4aA=")</f>
        <v>#VALUE!</v>
      </c>
      <c r="FF58" t="e">
        <f>AND(Bills!#REF!,"AAAAAB3n4aE=")</f>
        <v>#REF!</v>
      </c>
      <c r="FG58" t="e">
        <f>AND(Bills!U131,"AAAAAB3n4aI=")</f>
        <v>#VALUE!</v>
      </c>
      <c r="FH58" t="e">
        <f>AND(Bills!V131,"AAAAAB3n4aM=")</f>
        <v>#VALUE!</v>
      </c>
      <c r="FI58" t="e">
        <f>AND(Bills!W131,"AAAAAB3n4aQ=")</f>
        <v>#VALUE!</v>
      </c>
      <c r="FJ58" t="e">
        <f>AND(Bills!#REF!,"AAAAAB3n4aU=")</f>
        <v>#REF!</v>
      </c>
      <c r="FK58" t="e">
        <f>AND(Bills!#REF!,"AAAAAB3n4aY=")</f>
        <v>#REF!</v>
      </c>
      <c r="FL58" t="e">
        <f>AND(Bills!Y131,"AAAAAB3n4ac=")</f>
        <v>#VALUE!</v>
      </c>
      <c r="FM58" t="e">
        <f>AND(Bills!Z131,"AAAAAB3n4ag=")</f>
        <v>#VALUE!</v>
      </c>
      <c r="FN58" t="e">
        <f>AND(Bills!#REF!,"AAAAAB3n4ak=")</f>
        <v>#REF!</v>
      </c>
      <c r="FO58" t="e">
        <f>AND(Bills!#REF!,"AAAAAB3n4ao=")</f>
        <v>#REF!</v>
      </c>
      <c r="FP58" t="e">
        <f>AND(Bills!#REF!,"AAAAAB3n4as=")</f>
        <v>#REF!</v>
      </c>
      <c r="FQ58" t="e">
        <f>AND(Bills!#REF!,"AAAAAB3n4aw=")</f>
        <v>#REF!</v>
      </c>
      <c r="FR58" t="e">
        <f>AND(Bills!#REF!,"AAAAAB3n4a0=")</f>
        <v>#REF!</v>
      </c>
      <c r="FS58" t="e">
        <f>AND(Bills!#REF!,"AAAAAB3n4a4=")</f>
        <v>#REF!</v>
      </c>
      <c r="FT58" t="e">
        <f>AND(Bills!#REF!,"AAAAAB3n4a8=")</f>
        <v>#REF!</v>
      </c>
      <c r="FU58" t="e">
        <f>AND(Bills!#REF!,"AAAAAB3n4bA=")</f>
        <v>#REF!</v>
      </c>
      <c r="FV58" t="e">
        <f>AND(Bills!#REF!,"AAAAAB3n4bE=")</f>
        <v>#REF!</v>
      </c>
      <c r="FW58" t="e">
        <f>AND(Bills!AA131,"AAAAAB3n4bI=")</f>
        <v>#VALUE!</v>
      </c>
      <c r="FX58" t="e">
        <f>AND(Bills!AB131,"AAAAAB3n4bM=")</f>
        <v>#VALUE!</v>
      </c>
      <c r="FY58" t="e">
        <f>AND(Bills!#REF!,"AAAAAB3n4bQ=")</f>
        <v>#REF!</v>
      </c>
      <c r="FZ58" t="e">
        <f>AND(Bills!#REF!,"AAAAAB3n4bU=")</f>
        <v>#REF!</v>
      </c>
      <c r="GA58" t="e">
        <f>AND(Bills!#REF!,"AAAAAB3n4bY=")</f>
        <v>#REF!</v>
      </c>
      <c r="GB58" t="e">
        <f>AND(Bills!AC131,"AAAAAB3n4bc=")</f>
        <v>#VALUE!</v>
      </c>
      <c r="GC58" t="e">
        <f>AND(Bills!AD131,"AAAAAB3n4bg=")</f>
        <v>#VALUE!</v>
      </c>
      <c r="GD58" t="e">
        <f>AND(Bills!AE131,"AAAAAB3n4bk=")</f>
        <v>#VALUE!</v>
      </c>
      <c r="GE58">
        <f>IF(Bills!132:132,"AAAAAB3n4bo=",0)</f>
        <v>0</v>
      </c>
      <c r="GF58" t="e">
        <f>AND(Bills!B132,"AAAAAB3n4bs=")</f>
        <v>#VALUE!</v>
      </c>
      <c r="GG58" t="e">
        <f>AND(Bills!#REF!,"AAAAAB3n4bw=")</f>
        <v>#REF!</v>
      </c>
      <c r="GH58" t="e">
        <f>AND(Bills!C132,"AAAAAB3n4b0=")</f>
        <v>#VALUE!</v>
      </c>
      <c r="GI58" t="e">
        <f>AND(Bills!D132,"AAAAAB3n4b4=")</f>
        <v>#VALUE!</v>
      </c>
      <c r="GJ58" t="e">
        <f>AND(Bills!E132,"AAAAAB3n4b8=")</f>
        <v>#VALUE!</v>
      </c>
      <c r="GK58" t="e">
        <f>AND(Bills!#REF!,"AAAAAB3n4cA=")</f>
        <v>#REF!</v>
      </c>
      <c r="GL58" t="e">
        <f>AND(Bills!#REF!,"AAAAAB3n4cE=")</f>
        <v>#REF!</v>
      </c>
      <c r="GM58" t="e">
        <f>AND(Bills!#REF!,"AAAAAB3n4cI=")</f>
        <v>#REF!</v>
      </c>
      <c r="GN58" t="e">
        <f>AND(Bills!F132,"AAAAAB3n4cM=")</f>
        <v>#VALUE!</v>
      </c>
      <c r="GO58" t="e">
        <f>AND(Bills!#REF!,"AAAAAB3n4cQ=")</f>
        <v>#REF!</v>
      </c>
      <c r="GP58" t="e">
        <f>AND(Bills!G132,"AAAAAB3n4cU=")</f>
        <v>#VALUE!</v>
      </c>
      <c r="GQ58" t="e">
        <f>AND(Bills!H132,"AAAAAB3n4cY=")</f>
        <v>#VALUE!</v>
      </c>
      <c r="GR58" t="e">
        <f>AND(Bills!I132,"AAAAAB3n4cc=")</f>
        <v>#VALUE!</v>
      </c>
      <c r="GS58" t="e">
        <f>AND(Bills!J132,"AAAAAB3n4cg=")</f>
        <v>#VALUE!</v>
      </c>
      <c r="GT58" t="e">
        <f>AND(Bills!K132,"AAAAAB3n4ck=")</f>
        <v>#VALUE!</v>
      </c>
      <c r="GU58" t="e">
        <f>AND(Bills!L132,"AAAAAB3n4co=")</f>
        <v>#VALUE!</v>
      </c>
      <c r="GV58" t="e">
        <f>AND(Bills!#REF!,"AAAAAB3n4cs=")</f>
        <v>#REF!</v>
      </c>
      <c r="GW58" t="e">
        <f>AND(Bills!M132,"AAAAAB3n4cw=")</f>
        <v>#VALUE!</v>
      </c>
      <c r="GX58" t="e">
        <f>AND(Bills!N132,"AAAAAB3n4c0=")</f>
        <v>#VALUE!</v>
      </c>
      <c r="GY58" t="e">
        <f>AND(Bills!O132,"AAAAAB3n4c4=")</f>
        <v>#VALUE!</v>
      </c>
      <c r="GZ58" t="e">
        <f>AND(Bills!P132,"AAAAAB3n4c8=")</f>
        <v>#VALUE!</v>
      </c>
      <c r="HA58" t="e">
        <f>AND(Bills!Q132,"AAAAAB3n4dA=")</f>
        <v>#VALUE!</v>
      </c>
      <c r="HB58" t="e">
        <f>AND(Bills!R132,"AAAAAB3n4dE=")</f>
        <v>#VALUE!</v>
      </c>
      <c r="HC58" t="e">
        <f>AND(Bills!S132,"AAAAAB3n4dI=")</f>
        <v>#VALUE!</v>
      </c>
      <c r="HD58" t="e">
        <f>AND(Bills!T132,"AAAAAB3n4dM=")</f>
        <v>#VALUE!</v>
      </c>
      <c r="HE58" t="e">
        <f>AND(Bills!#REF!,"AAAAAB3n4dQ=")</f>
        <v>#REF!</v>
      </c>
      <c r="HF58" t="e">
        <f>AND(Bills!U132,"AAAAAB3n4dU=")</f>
        <v>#VALUE!</v>
      </c>
      <c r="HG58" t="e">
        <f>AND(Bills!V132,"AAAAAB3n4dY=")</f>
        <v>#VALUE!</v>
      </c>
      <c r="HH58" t="e">
        <f>AND(Bills!W132,"AAAAAB3n4dc=")</f>
        <v>#VALUE!</v>
      </c>
      <c r="HI58" t="e">
        <f>AND(Bills!#REF!,"AAAAAB3n4dg=")</f>
        <v>#REF!</v>
      </c>
      <c r="HJ58" t="e">
        <f>AND(Bills!#REF!,"AAAAAB3n4dk=")</f>
        <v>#REF!</v>
      </c>
      <c r="HK58" t="e">
        <f>AND(Bills!Y132,"AAAAAB3n4do=")</f>
        <v>#VALUE!</v>
      </c>
      <c r="HL58" t="e">
        <f>AND(Bills!Z132,"AAAAAB3n4ds=")</f>
        <v>#VALUE!</v>
      </c>
      <c r="HM58" t="e">
        <f>AND(Bills!#REF!,"AAAAAB3n4dw=")</f>
        <v>#REF!</v>
      </c>
      <c r="HN58" t="e">
        <f>AND(Bills!#REF!,"AAAAAB3n4d0=")</f>
        <v>#REF!</v>
      </c>
      <c r="HO58" t="e">
        <f>AND(Bills!#REF!,"AAAAAB3n4d4=")</f>
        <v>#REF!</v>
      </c>
      <c r="HP58" t="e">
        <f>AND(Bills!#REF!,"AAAAAB3n4d8=")</f>
        <v>#REF!</v>
      </c>
      <c r="HQ58" t="e">
        <f>AND(Bills!#REF!,"AAAAAB3n4eA=")</f>
        <v>#REF!</v>
      </c>
      <c r="HR58" t="e">
        <f>AND(Bills!#REF!,"AAAAAB3n4eE=")</f>
        <v>#REF!</v>
      </c>
      <c r="HS58" t="e">
        <f>AND(Bills!#REF!,"AAAAAB3n4eI=")</f>
        <v>#REF!</v>
      </c>
      <c r="HT58" t="e">
        <f>AND(Bills!#REF!,"AAAAAB3n4eM=")</f>
        <v>#REF!</v>
      </c>
      <c r="HU58" t="e">
        <f>AND(Bills!#REF!,"AAAAAB3n4eQ=")</f>
        <v>#REF!</v>
      </c>
      <c r="HV58" t="e">
        <f>AND(Bills!AA132,"AAAAAB3n4eU=")</f>
        <v>#VALUE!</v>
      </c>
      <c r="HW58" t="e">
        <f>AND(Bills!AB132,"AAAAAB3n4eY=")</f>
        <v>#VALUE!</v>
      </c>
      <c r="HX58" t="e">
        <f>AND(Bills!#REF!,"AAAAAB3n4ec=")</f>
        <v>#REF!</v>
      </c>
      <c r="HY58" t="e">
        <f>AND(Bills!#REF!,"AAAAAB3n4eg=")</f>
        <v>#REF!</v>
      </c>
      <c r="HZ58" t="e">
        <f>AND(Bills!#REF!,"AAAAAB3n4ek=")</f>
        <v>#REF!</v>
      </c>
      <c r="IA58" t="e">
        <f>AND(Bills!AC132,"AAAAAB3n4eo=")</f>
        <v>#VALUE!</v>
      </c>
      <c r="IB58" t="e">
        <f>AND(Bills!AD132,"AAAAAB3n4es=")</f>
        <v>#VALUE!</v>
      </c>
      <c r="IC58" t="e">
        <f>AND(Bills!AE132,"AAAAAB3n4ew=")</f>
        <v>#VALUE!</v>
      </c>
      <c r="ID58">
        <f>IF(Bills!133:133,"AAAAAB3n4e0=",0)</f>
        <v>0</v>
      </c>
      <c r="IE58" t="e">
        <f>AND(Bills!B133,"AAAAAB3n4e4=")</f>
        <v>#VALUE!</v>
      </c>
      <c r="IF58" t="e">
        <f>AND(Bills!#REF!,"AAAAAB3n4e8=")</f>
        <v>#REF!</v>
      </c>
      <c r="IG58" t="e">
        <f>AND(Bills!C133,"AAAAAB3n4fA=")</f>
        <v>#VALUE!</v>
      </c>
      <c r="IH58" t="e">
        <f>AND(Bills!D133,"AAAAAB3n4fE=")</f>
        <v>#VALUE!</v>
      </c>
      <c r="II58" t="e">
        <f>AND(Bills!E133,"AAAAAB3n4fI=")</f>
        <v>#VALUE!</v>
      </c>
      <c r="IJ58" t="e">
        <f>AND(Bills!#REF!,"AAAAAB3n4fM=")</f>
        <v>#REF!</v>
      </c>
      <c r="IK58" t="e">
        <f>AND(Bills!#REF!,"AAAAAB3n4fQ=")</f>
        <v>#REF!</v>
      </c>
      <c r="IL58" t="e">
        <f>AND(Bills!#REF!,"AAAAAB3n4fU=")</f>
        <v>#REF!</v>
      </c>
      <c r="IM58" t="e">
        <f>AND(Bills!F133,"AAAAAB3n4fY=")</f>
        <v>#VALUE!</v>
      </c>
      <c r="IN58" t="e">
        <f>AND(Bills!#REF!,"AAAAAB3n4fc=")</f>
        <v>#REF!</v>
      </c>
      <c r="IO58" t="e">
        <f>AND(Bills!G133,"AAAAAB3n4fg=")</f>
        <v>#VALUE!</v>
      </c>
      <c r="IP58" t="e">
        <f>AND(Bills!H133,"AAAAAB3n4fk=")</f>
        <v>#VALUE!</v>
      </c>
      <c r="IQ58" t="e">
        <f>AND(Bills!I133,"AAAAAB3n4fo=")</f>
        <v>#VALUE!</v>
      </c>
      <c r="IR58" t="e">
        <f>AND(Bills!J133,"AAAAAB3n4fs=")</f>
        <v>#VALUE!</v>
      </c>
      <c r="IS58" t="e">
        <f>AND(Bills!K133,"AAAAAB3n4fw=")</f>
        <v>#VALUE!</v>
      </c>
      <c r="IT58" t="e">
        <f>AND(Bills!L133,"AAAAAB3n4f0=")</f>
        <v>#VALUE!</v>
      </c>
      <c r="IU58" t="e">
        <f>AND(Bills!#REF!,"AAAAAB3n4f4=")</f>
        <v>#REF!</v>
      </c>
      <c r="IV58" t="e">
        <f>AND(Bills!M133,"AAAAAB3n4f8=")</f>
        <v>#VALUE!</v>
      </c>
    </row>
    <row r="59" spans="1:256" x14ac:dyDescent="0.25">
      <c r="A59" t="e">
        <f>AND(Bills!N133,"AAAAAH9/jgA=")</f>
        <v>#VALUE!</v>
      </c>
      <c r="B59" t="e">
        <f>AND(Bills!O133,"AAAAAH9/jgE=")</f>
        <v>#VALUE!</v>
      </c>
      <c r="C59" t="e">
        <f>AND(Bills!P133,"AAAAAH9/jgI=")</f>
        <v>#VALUE!</v>
      </c>
      <c r="D59" t="e">
        <f>AND(Bills!Q133,"AAAAAH9/jgM=")</f>
        <v>#VALUE!</v>
      </c>
      <c r="E59" t="e">
        <f>AND(Bills!R133,"AAAAAH9/jgQ=")</f>
        <v>#VALUE!</v>
      </c>
      <c r="F59" t="e">
        <f>AND(Bills!S133,"AAAAAH9/jgU=")</f>
        <v>#VALUE!</v>
      </c>
      <c r="G59" t="e">
        <f>AND(Bills!T133,"AAAAAH9/jgY=")</f>
        <v>#VALUE!</v>
      </c>
      <c r="H59" t="e">
        <f>AND(Bills!#REF!,"AAAAAH9/jgc=")</f>
        <v>#REF!</v>
      </c>
      <c r="I59" t="e">
        <f>AND(Bills!U133,"AAAAAH9/jgg=")</f>
        <v>#VALUE!</v>
      </c>
      <c r="J59" t="e">
        <f>AND(Bills!V133,"AAAAAH9/jgk=")</f>
        <v>#VALUE!</v>
      </c>
      <c r="K59" t="e">
        <f>AND(Bills!W133,"AAAAAH9/jgo=")</f>
        <v>#VALUE!</v>
      </c>
      <c r="L59" t="e">
        <f>AND(Bills!#REF!,"AAAAAH9/jgs=")</f>
        <v>#REF!</v>
      </c>
      <c r="M59" t="e">
        <f>AND(Bills!#REF!,"AAAAAH9/jgw=")</f>
        <v>#REF!</v>
      </c>
      <c r="N59" t="e">
        <f>AND(Bills!Y133,"AAAAAH9/jg0=")</f>
        <v>#VALUE!</v>
      </c>
      <c r="O59" t="e">
        <f>AND(Bills!Z133,"AAAAAH9/jg4=")</f>
        <v>#VALUE!</v>
      </c>
      <c r="P59" t="e">
        <f>AND(Bills!#REF!,"AAAAAH9/jg8=")</f>
        <v>#REF!</v>
      </c>
      <c r="Q59" t="e">
        <f>AND(Bills!#REF!,"AAAAAH9/jhA=")</f>
        <v>#REF!</v>
      </c>
      <c r="R59" t="e">
        <f>AND(Bills!#REF!,"AAAAAH9/jhE=")</f>
        <v>#REF!</v>
      </c>
      <c r="S59" t="e">
        <f>AND(Bills!#REF!,"AAAAAH9/jhI=")</f>
        <v>#REF!</v>
      </c>
      <c r="T59" t="e">
        <f>AND(Bills!#REF!,"AAAAAH9/jhM=")</f>
        <v>#REF!</v>
      </c>
      <c r="U59" t="e">
        <f>AND(Bills!#REF!,"AAAAAH9/jhQ=")</f>
        <v>#REF!</v>
      </c>
      <c r="V59" t="e">
        <f>AND(Bills!#REF!,"AAAAAH9/jhU=")</f>
        <v>#REF!</v>
      </c>
      <c r="W59" t="e">
        <f>AND(Bills!#REF!,"AAAAAH9/jhY=")</f>
        <v>#REF!</v>
      </c>
      <c r="X59" t="e">
        <f>AND(Bills!#REF!,"AAAAAH9/jhc=")</f>
        <v>#REF!</v>
      </c>
      <c r="Y59" t="e">
        <f>AND(Bills!AA133,"AAAAAH9/jhg=")</f>
        <v>#VALUE!</v>
      </c>
      <c r="Z59" t="e">
        <f>AND(Bills!AB133,"AAAAAH9/jhk=")</f>
        <v>#VALUE!</v>
      </c>
      <c r="AA59" t="e">
        <f>AND(Bills!#REF!,"AAAAAH9/jho=")</f>
        <v>#REF!</v>
      </c>
      <c r="AB59" t="e">
        <f>AND(Bills!#REF!,"AAAAAH9/jhs=")</f>
        <v>#REF!</v>
      </c>
      <c r="AC59" t="e">
        <f>AND(Bills!#REF!,"AAAAAH9/jhw=")</f>
        <v>#REF!</v>
      </c>
      <c r="AD59" t="e">
        <f>AND(Bills!AC133,"AAAAAH9/jh0=")</f>
        <v>#VALUE!</v>
      </c>
      <c r="AE59" t="e">
        <f>AND(Bills!AD133,"AAAAAH9/jh4=")</f>
        <v>#VALUE!</v>
      </c>
      <c r="AF59" t="e">
        <f>AND(Bills!AE133,"AAAAAH9/jh8=")</f>
        <v>#VALUE!</v>
      </c>
      <c r="AG59">
        <f>IF(Bills!134:134,"AAAAAH9/jiA=",0)</f>
        <v>0</v>
      </c>
      <c r="AH59" t="e">
        <f>AND(Bills!B134,"AAAAAH9/jiE=")</f>
        <v>#VALUE!</v>
      </c>
      <c r="AI59" t="e">
        <f>AND(Bills!#REF!,"AAAAAH9/jiI=")</f>
        <v>#REF!</v>
      </c>
      <c r="AJ59" t="e">
        <f>AND(Bills!C134,"AAAAAH9/jiM=")</f>
        <v>#VALUE!</v>
      </c>
      <c r="AK59" t="e">
        <f>AND(Bills!D134,"AAAAAH9/jiQ=")</f>
        <v>#VALUE!</v>
      </c>
      <c r="AL59" t="e">
        <f>AND(Bills!E134,"AAAAAH9/jiU=")</f>
        <v>#VALUE!</v>
      </c>
      <c r="AM59" t="e">
        <f>AND(Bills!#REF!,"AAAAAH9/jiY=")</f>
        <v>#REF!</v>
      </c>
      <c r="AN59" t="e">
        <f>AND(Bills!#REF!,"AAAAAH9/jic=")</f>
        <v>#REF!</v>
      </c>
      <c r="AO59" t="e">
        <f>AND(Bills!#REF!,"AAAAAH9/jig=")</f>
        <v>#REF!</v>
      </c>
      <c r="AP59" t="e">
        <f>AND(Bills!F134,"AAAAAH9/jik=")</f>
        <v>#VALUE!</v>
      </c>
      <c r="AQ59" t="e">
        <f>AND(Bills!#REF!,"AAAAAH9/jio=")</f>
        <v>#REF!</v>
      </c>
      <c r="AR59" t="e">
        <f>AND(Bills!G134,"AAAAAH9/jis=")</f>
        <v>#VALUE!</v>
      </c>
      <c r="AS59" t="e">
        <f>AND(Bills!H134,"AAAAAH9/jiw=")</f>
        <v>#VALUE!</v>
      </c>
      <c r="AT59" t="e">
        <f>AND(Bills!I134,"AAAAAH9/ji0=")</f>
        <v>#VALUE!</v>
      </c>
      <c r="AU59" t="e">
        <f>AND(Bills!J134,"AAAAAH9/ji4=")</f>
        <v>#VALUE!</v>
      </c>
      <c r="AV59" t="e">
        <f>AND(Bills!K134,"AAAAAH9/ji8=")</f>
        <v>#VALUE!</v>
      </c>
      <c r="AW59" t="e">
        <f>AND(Bills!L134,"AAAAAH9/jjA=")</f>
        <v>#VALUE!</v>
      </c>
      <c r="AX59" t="e">
        <f>AND(Bills!#REF!,"AAAAAH9/jjE=")</f>
        <v>#REF!</v>
      </c>
      <c r="AY59" t="e">
        <f>AND(Bills!M134,"AAAAAH9/jjI=")</f>
        <v>#VALUE!</v>
      </c>
      <c r="AZ59" t="e">
        <f>AND(Bills!N134,"AAAAAH9/jjM=")</f>
        <v>#VALUE!</v>
      </c>
      <c r="BA59" t="e">
        <f>AND(Bills!O134,"AAAAAH9/jjQ=")</f>
        <v>#VALUE!</v>
      </c>
      <c r="BB59" t="e">
        <f>AND(Bills!P134,"AAAAAH9/jjU=")</f>
        <v>#VALUE!</v>
      </c>
      <c r="BC59" t="e">
        <f>AND(Bills!Q134,"AAAAAH9/jjY=")</f>
        <v>#VALUE!</v>
      </c>
      <c r="BD59" t="e">
        <f>AND(Bills!R134,"AAAAAH9/jjc=")</f>
        <v>#VALUE!</v>
      </c>
      <c r="BE59" t="e">
        <f>AND(Bills!S134,"AAAAAH9/jjg=")</f>
        <v>#VALUE!</v>
      </c>
      <c r="BF59" t="e">
        <f>AND(Bills!T134,"AAAAAH9/jjk=")</f>
        <v>#VALUE!</v>
      </c>
      <c r="BG59" t="e">
        <f>AND(Bills!#REF!,"AAAAAH9/jjo=")</f>
        <v>#REF!</v>
      </c>
      <c r="BH59" t="e">
        <f>AND(Bills!U134,"AAAAAH9/jjs=")</f>
        <v>#VALUE!</v>
      </c>
      <c r="BI59" t="e">
        <f>AND(Bills!V134,"AAAAAH9/jjw=")</f>
        <v>#VALUE!</v>
      </c>
      <c r="BJ59" t="e">
        <f>AND(Bills!W134,"AAAAAH9/jj0=")</f>
        <v>#VALUE!</v>
      </c>
      <c r="BK59" t="e">
        <f>AND(Bills!#REF!,"AAAAAH9/jj4=")</f>
        <v>#REF!</v>
      </c>
      <c r="BL59" t="e">
        <f>AND(Bills!#REF!,"AAAAAH9/jj8=")</f>
        <v>#REF!</v>
      </c>
      <c r="BM59" t="e">
        <f>AND(Bills!Y134,"AAAAAH9/jkA=")</f>
        <v>#VALUE!</v>
      </c>
      <c r="BN59" t="e">
        <f>AND(Bills!Z134,"AAAAAH9/jkE=")</f>
        <v>#VALUE!</v>
      </c>
      <c r="BO59" t="e">
        <f>AND(Bills!#REF!,"AAAAAH9/jkI=")</f>
        <v>#REF!</v>
      </c>
      <c r="BP59" t="e">
        <f>AND(Bills!#REF!,"AAAAAH9/jkM=")</f>
        <v>#REF!</v>
      </c>
      <c r="BQ59" t="e">
        <f>AND(Bills!#REF!,"AAAAAH9/jkQ=")</f>
        <v>#REF!</v>
      </c>
      <c r="BR59" t="e">
        <f>AND(Bills!#REF!,"AAAAAH9/jkU=")</f>
        <v>#REF!</v>
      </c>
      <c r="BS59" t="e">
        <f>AND(Bills!#REF!,"AAAAAH9/jkY=")</f>
        <v>#REF!</v>
      </c>
      <c r="BT59" t="e">
        <f>AND(Bills!#REF!,"AAAAAH9/jkc=")</f>
        <v>#REF!</v>
      </c>
      <c r="BU59" t="e">
        <f>AND(Bills!#REF!,"AAAAAH9/jkg=")</f>
        <v>#REF!</v>
      </c>
      <c r="BV59" t="e">
        <f>AND(Bills!#REF!,"AAAAAH9/jkk=")</f>
        <v>#REF!</v>
      </c>
      <c r="BW59" t="e">
        <f>AND(Bills!#REF!,"AAAAAH9/jko=")</f>
        <v>#REF!</v>
      </c>
      <c r="BX59" t="e">
        <f>AND(Bills!AA134,"AAAAAH9/jks=")</f>
        <v>#VALUE!</v>
      </c>
      <c r="BY59" t="e">
        <f>AND(Bills!AB134,"AAAAAH9/jkw=")</f>
        <v>#VALUE!</v>
      </c>
      <c r="BZ59" t="e">
        <f>AND(Bills!#REF!,"AAAAAH9/jk0=")</f>
        <v>#REF!</v>
      </c>
      <c r="CA59" t="e">
        <f>AND(Bills!#REF!,"AAAAAH9/jk4=")</f>
        <v>#REF!</v>
      </c>
      <c r="CB59" t="e">
        <f>AND(Bills!#REF!,"AAAAAH9/jk8=")</f>
        <v>#REF!</v>
      </c>
      <c r="CC59" t="e">
        <f>AND(Bills!AC134,"AAAAAH9/jlA=")</f>
        <v>#VALUE!</v>
      </c>
      <c r="CD59" t="e">
        <f>AND(Bills!AD134,"AAAAAH9/jlE=")</f>
        <v>#VALUE!</v>
      </c>
      <c r="CE59" t="e">
        <f>AND(Bills!AE134,"AAAAAH9/jlI=")</f>
        <v>#VALUE!</v>
      </c>
      <c r="CF59">
        <f>IF(Bills!135:135,"AAAAAH9/jlM=",0)</f>
        <v>0</v>
      </c>
      <c r="CG59" t="e">
        <f>AND(Bills!B135,"AAAAAH9/jlQ=")</f>
        <v>#VALUE!</v>
      </c>
      <c r="CH59" t="e">
        <f>AND(Bills!#REF!,"AAAAAH9/jlU=")</f>
        <v>#REF!</v>
      </c>
      <c r="CI59" t="e">
        <f>AND(Bills!C135,"AAAAAH9/jlY=")</f>
        <v>#VALUE!</v>
      </c>
      <c r="CJ59" t="e">
        <f>AND(Bills!D135,"AAAAAH9/jlc=")</f>
        <v>#VALUE!</v>
      </c>
      <c r="CK59" t="e">
        <f>AND(Bills!E135,"AAAAAH9/jlg=")</f>
        <v>#VALUE!</v>
      </c>
      <c r="CL59" t="e">
        <f>AND(Bills!#REF!,"AAAAAH9/jlk=")</f>
        <v>#REF!</v>
      </c>
      <c r="CM59" t="e">
        <f>AND(Bills!#REF!,"AAAAAH9/jlo=")</f>
        <v>#REF!</v>
      </c>
      <c r="CN59" t="e">
        <f>AND(Bills!#REF!,"AAAAAH9/jls=")</f>
        <v>#REF!</v>
      </c>
      <c r="CO59" t="e">
        <f>AND(Bills!F135,"AAAAAH9/jlw=")</f>
        <v>#VALUE!</v>
      </c>
      <c r="CP59" t="e">
        <f>AND(Bills!#REF!,"AAAAAH9/jl0=")</f>
        <v>#REF!</v>
      </c>
      <c r="CQ59" t="e">
        <f>AND(Bills!G135,"AAAAAH9/jl4=")</f>
        <v>#VALUE!</v>
      </c>
      <c r="CR59" t="e">
        <f>AND(Bills!H135,"AAAAAH9/jl8=")</f>
        <v>#VALUE!</v>
      </c>
      <c r="CS59" t="e">
        <f>AND(Bills!I135,"AAAAAH9/jmA=")</f>
        <v>#VALUE!</v>
      </c>
      <c r="CT59" t="e">
        <f>AND(Bills!J135,"AAAAAH9/jmE=")</f>
        <v>#VALUE!</v>
      </c>
      <c r="CU59" t="e">
        <f>AND(Bills!K135,"AAAAAH9/jmI=")</f>
        <v>#VALUE!</v>
      </c>
      <c r="CV59" t="e">
        <f>AND(Bills!L135,"AAAAAH9/jmM=")</f>
        <v>#VALUE!</v>
      </c>
      <c r="CW59" t="e">
        <f>AND(Bills!#REF!,"AAAAAH9/jmQ=")</f>
        <v>#REF!</v>
      </c>
      <c r="CX59" t="e">
        <f>AND(Bills!M135,"AAAAAH9/jmU=")</f>
        <v>#VALUE!</v>
      </c>
      <c r="CY59" t="e">
        <f>AND(Bills!N135,"AAAAAH9/jmY=")</f>
        <v>#VALUE!</v>
      </c>
      <c r="CZ59" t="e">
        <f>AND(Bills!O135,"AAAAAH9/jmc=")</f>
        <v>#VALUE!</v>
      </c>
      <c r="DA59" t="e">
        <f>AND(Bills!P135,"AAAAAH9/jmg=")</f>
        <v>#VALUE!</v>
      </c>
      <c r="DB59" t="e">
        <f>AND(Bills!Q135,"AAAAAH9/jmk=")</f>
        <v>#VALUE!</v>
      </c>
      <c r="DC59" t="e">
        <f>AND(Bills!R135,"AAAAAH9/jmo=")</f>
        <v>#VALUE!</v>
      </c>
      <c r="DD59" t="e">
        <f>AND(Bills!S135,"AAAAAH9/jms=")</f>
        <v>#VALUE!</v>
      </c>
      <c r="DE59" t="e">
        <f>AND(Bills!T135,"AAAAAH9/jmw=")</f>
        <v>#VALUE!</v>
      </c>
      <c r="DF59" t="e">
        <f>AND(Bills!#REF!,"AAAAAH9/jm0=")</f>
        <v>#REF!</v>
      </c>
      <c r="DG59" t="e">
        <f>AND(Bills!U135,"AAAAAH9/jm4=")</f>
        <v>#VALUE!</v>
      </c>
      <c r="DH59" t="e">
        <f>AND(Bills!V135,"AAAAAH9/jm8=")</f>
        <v>#VALUE!</v>
      </c>
      <c r="DI59" t="e">
        <f>AND(Bills!W135,"AAAAAH9/jnA=")</f>
        <v>#VALUE!</v>
      </c>
      <c r="DJ59" t="e">
        <f>AND(Bills!#REF!,"AAAAAH9/jnE=")</f>
        <v>#REF!</v>
      </c>
      <c r="DK59" t="e">
        <f>AND(Bills!#REF!,"AAAAAH9/jnI=")</f>
        <v>#REF!</v>
      </c>
      <c r="DL59" t="e">
        <f>AND(Bills!Y135,"AAAAAH9/jnM=")</f>
        <v>#VALUE!</v>
      </c>
      <c r="DM59" t="e">
        <f>AND(Bills!Z135,"AAAAAH9/jnQ=")</f>
        <v>#VALUE!</v>
      </c>
      <c r="DN59" t="e">
        <f>AND(Bills!#REF!,"AAAAAH9/jnU=")</f>
        <v>#REF!</v>
      </c>
      <c r="DO59" t="e">
        <f>AND(Bills!#REF!,"AAAAAH9/jnY=")</f>
        <v>#REF!</v>
      </c>
      <c r="DP59" t="e">
        <f>AND(Bills!#REF!,"AAAAAH9/jnc=")</f>
        <v>#REF!</v>
      </c>
      <c r="DQ59" t="e">
        <f>AND(Bills!#REF!,"AAAAAH9/jng=")</f>
        <v>#REF!</v>
      </c>
      <c r="DR59" t="e">
        <f>AND(Bills!#REF!,"AAAAAH9/jnk=")</f>
        <v>#REF!</v>
      </c>
      <c r="DS59" t="e">
        <f>AND(Bills!#REF!,"AAAAAH9/jno=")</f>
        <v>#REF!</v>
      </c>
      <c r="DT59" t="e">
        <f>AND(Bills!#REF!,"AAAAAH9/jns=")</f>
        <v>#REF!</v>
      </c>
      <c r="DU59" t="e">
        <f>AND(Bills!#REF!,"AAAAAH9/jnw=")</f>
        <v>#REF!</v>
      </c>
      <c r="DV59" t="e">
        <f>AND(Bills!#REF!,"AAAAAH9/jn0=")</f>
        <v>#REF!</v>
      </c>
      <c r="DW59" t="e">
        <f>AND(Bills!AA135,"AAAAAH9/jn4=")</f>
        <v>#VALUE!</v>
      </c>
      <c r="DX59" t="e">
        <f>AND(Bills!AB135,"AAAAAH9/jn8=")</f>
        <v>#VALUE!</v>
      </c>
      <c r="DY59" t="e">
        <f>AND(Bills!#REF!,"AAAAAH9/joA=")</f>
        <v>#REF!</v>
      </c>
      <c r="DZ59" t="e">
        <f>AND(Bills!#REF!,"AAAAAH9/joE=")</f>
        <v>#REF!</v>
      </c>
      <c r="EA59" t="e">
        <f>AND(Bills!#REF!,"AAAAAH9/joI=")</f>
        <v>#REF!</v>
      </c>
      <c r="EB59" t="e">
        <f>AND(Bills!AC135,"AAAAAH9/joM=")</f>
        <v>#VALUE!</v>
      </c>
      <c r="EC59" t="e">
        <f>AND(Bills!AD135,"AAAAAH9/joQ=")</f>
        <v>#VALUE!</v>
      </c>
      <c r="ED59" t="e">
        <f>AND(Bills!AE135,"AAAAAH9/joU=")</f>
        <v>#VALUE!</v>
      </c>
      <c r="EE59">
        <f>IF(Bills!136:136,"AAAAAH9/joY=",0)</f>
        <v>0</v>
      </c>
      <c r="EF59" t="e">
        <f>AND(Bills!B136,"AAAAAH9/joc=")</f>
        <v>#VALUE!</v>
      </c>
      <c r="EG59" t="e">
        <f>AND(Bills!#REF!,"AAAAAH9/jog=")</f>
        <v>#REF!</v>
      </c>
      <c r="EH59" t="e">
        <f>AND(Bills!C136,"AAAAAH9/jok=")</f>
        <v>#VALUE!</v>
      </c>
      <c r="EI59" t="e">
        <f>AND(Bills!D136,"AAAAAH9/joo=")</f>
        <v>#VALUE!</v>
      </c>
      <c r="EJ59" t="e">
        <f>AND(Bills!E136,"AAAAAH9/jos=")</f>
        <v>#VALUE!</v>
      </c>
      <c r="EK59" t="e">
        <f>AND(Bills!#REF!,"AAAAAH9/jow=")</f>
        <v>#REF!</v>
      </c>
      <c r="EL59" t="e">
        <f>AND(Bills!#REF!,"AAAAAH9/jo0=")</f>
        <v>#REF!</v>
      </c>
      <c r="EM59" t="e">
        <f>AND(Bills!#REF!,"AAAAAH9/jo4=")</f>
        <v>#REF!</v>
      </c>
      <c r="EN59" t="e">
        <f>AND(Bills!F136,"AAAAAH9/jo8=")</f>
        <v>#VALUE!</v>
      </c>
      <c r="EO59" t="e">
        <f>AND(Bills!#REF!,"AAAAAH9/jpA=")</f>
        <v>#REF!</v>
      </c>
      <c r="EP59" t="e">
        <f>AND(Bills!G136,"AAAAAH9/jpE=")</f>
        <v>#VALUE!</v>
      </c>
      <c r="EQ59" t="e">
        <f>AND(Bills!H136,"AAAAAH9/jpI=")</f>
        <v>#VALUE!</v>
      </c>
      <c r="ER59" t="e">
        <f>AND(Bills!I136,"AAAAAH9/jpM=")</f>
        <v>#VALUE!</v>
      </c>
      <c r="ES59" t="e">
        <f>AND(Bills!J136,"AAAAAH9/jpQ=")</f>
        <v>#VALUE!</v>
      </c>
      <c r="ET59" t="e">
        <f>AND(Bills!K136,"AAAAAH9/jpU=")</f>
        <v>#VALUE!</v>
      </c>
      <c r="EU59" t="e">
        <f>AND(Bills!L136,"AAAAAH9/jpY=")</f>
        <v>#VALUE!</v>
      </c>
      <c r="EV59" t="e">
        <f>AND(Bills!#REF!,"AAAAAH9/jpc=")</f>
        <v>#REF!</v>
      </c>
      <c r="EW59" t="e">
        <f>AND(Bills!M136,"AAAAAH9/jpg=")</f>
        <v>#VALUE!</v>
      </c>
      <c r="EX59" t="e">
        <f>AND(Bills!N136,"AAAAAH9/jpk=")</f>
        <v>#VALUE!</v>
      </c>
      <c r="EY59" t="e">
        <f>AND(Bills!O136,"AAAAAH9/jpo=")</f>
        <v>#VALUE!</v>
      </c>
      <c r="EZ59" t="e">
        <f>AND(Bills!P136,"AAAAAH9/jps=")</f>
        <v>#VALUE!</v>
      </c>
      <c r="FA59" t="e">
        <f>AND(Bills!Q136,"AAAAAH9/jpw=")</f>
        <v>#VALUE!</v>
      </c>
      <c r="FB59" t="e">
        <f>AND(Bills!R136,"AAAAAH9/jp0=")</f>
        <v>#VALUE!</v>
      </c>
      <c r="FC59" t="e">
        <f>AND(Bills!S136,"AAAAAH9/jp4=")</f>
        <v>#VALUE!</v>
      </c>
      <c r="FD59" t="e">
        <f>AND(Bills!T136,"AAAAAH9/jp8=")</f>
        <v>#VALUE!</v>
      </c>
      <c r="FE59" t="e">
        <f>AND(Bills!#REF!,"AAAAAH9/jqA=")</f>
        <v>#REF!</v>
      </c>
      <c r="FF59" t="e">
        <f>AND(Bills!U136,"AAAAAH9/jqE=")</f>
        <v>#VALUE!</v>
      </c>
      <c r="FG59" t="e">
        <f>AND(Bills!V136,"AAAAAH9/jqI=")</f>
        <v>#VALUE!</v>
      </c>
      <c r="FH59" t="e">
        <f>AND(Bills!W136,"AAAAAH9/jqM=")</f>
        <v>#VALUE!</v>
      </c>
      <c r="FI59" t="e">
        <f>AND(Bills!#REF!,"AAAAAH9/jqQ=")</f>
        <v>#REF!</v>
      </c>
      <c r="FJ59" t="e">
        <f>AND(Bills!#REF!,"AAAAAH9/jqU=")</f>
        <v>#REF!</v>
      </c>
      <c r="FK59" t="e">
        <f>AND(Bills!Y136,"AAAAAH9/jqY=")</f>
        <v>#VALUE!</v>
      </c>
      <c r="FL59" t="e">
        <f>AND(Bills!Z136,"AAAAAH9/jqc=")</f>
        <v>#VALUE!</v>
      </c>
      <c r="FM59" t="e">
        <f>AND(Bills!#REF!,"AAAAAH9/jqg=")</f>
        <v>#REF!</v>
      </c>
      <c r="FN59" t="e">
        <f>AND(Bills!#REF!,"AAAAAH9/jqk=")</f>
        <v>#REF!</v>
      </c>
      <c r="FO59" t="e">
        <f>AND(Bills!#REF!,"AAAAAH9/jqo=")</f>
        <v>#REF!</v>
      </c>
      <c r="FP59" t="e">
        <f>AND(Bills!#REF!,"AAAAAH9/jqs=")</f>
        <v>#REF!</v>
      </c>
      <c r="FQ59" t="e">
        <f>AND(Bills!#REF!,"AAAAAH9/jqw=")</f>
        <v>#REF!</v>
      </c>
      <c r="FR59" t="e">
        <f>AND(Bills!#REF!,"AAAAAH9/jq0=")</f>
        <v>#REF!</v>
      </c>
      <c r="FS59" t="e">
        <f>AND(Bills!#REF!,"AAAAAH9/jq4=")</f>
        <v>#REF!</v>
      </c>
      <c r="FT59" t="e">
        <f>AND(Bills!#REF!,"AAAAAH9/jq8=")</f>
        <v>#REF!</v>
      </c>
      <c r="FU59" t="e">
        <f>AND(Bills!#REF!,"AAAAAH9/jrA=")</f>
        <v>#REF!</v>
      </c>
      <c r="FV59" t="e">
        <f>AND(Bills!AA136,"AAAAAH9/jrE=")</f>
        <v>#VALUE!</v>
      </c>
      <c r="FW59" t="e">
        <f>AND(Bills!AB136,"AAAAAH9/jrI=")</f>
        <v>#VALUE!</v>
      </c>
      <c r="FX59" t="e">
        <f>AND(Bills!#REF!,"AAAAAH9/jrM=")</f>
        <v>#REF!</v>
      </c>
      <c r="FY59" t="e">
        <f>AND(Bills!#REF!,"AAAAAH9/jrQ=")</f>
        <v>#REF!</v>
      </c>
      <c r="FZ59" t="e">
        <f>AND(Bills!#REF!,"AAAAAH9/jrU=")</f>
        <v>#REF!</v>
      </c>
      <c r="GA59" t="e">
        <f>AND(Bills!AC136,"AAAAAH9/jrY=")</f>
        <v>#VALUE!</v>
      </c>
      <c r="GB59" t="e">
        <f>AND(Bills!AD136,"AAAAAH9/jrc=")</f>
        <v>#VALUE!</v>
      </c>
      <c r="GC59" t="e">
        <f>AND(Bills!AE136,"AAAAAH9/jrg=")</f>
        <v>#VALUE!</v>
      </c>
      <c r="GD59">
        <f>IF(Bills!137:137,"AAAAAH9/jrk=",0)</f>
        <v>0</v>
      </c>
      <c r="GE59" t="e">
        <f>AND(Bills!B137,"AAAAAH9/jro=")</f>
        <v>#VALUE!</v>
      </c>
      <c r="GF59" t="e">
        <f>AND(Bills!#REF!,"AAAAAH9/jrs=")</f>
        <v>#REF!</v>
      </c>
      <c r="GG59" t="e">
        <f>AND(Bills!C137,"AAAAAH9/jrw=")</f>
        <v>#VALUE!</v>
      </c>
      <c r="GH59" t="e">
        <f>AND(Bills!D137,"AAAAAH9/jr0=")</f>
        <v>#VALUE!</v>
      </c>
      <c r="GI59" t="e">
        <f>AND(Bills!E137,"AAAAAH9/jr4=")</f>
        <v>#VALUE!</v>
      </c>
      <c r="GJ59" t="e">
        <f>AND(Bills!#REF!,"AAAAAH9/jr8=")</f>
        <v>#REF!</v>
      </c>
      <c r="GK59" t="e">
        <f>AND(Bills!#REF!,"AAAAAH9/jsA=")</f>
        <v>#REF!</v>
      </c>
      <c r="GL59" t="e">
        <f>AND(Bills!#REF!,"AAAAAH9/jsE=")</f>
        <v>#REF!</v>
      </c>
      <c r="GM59" t="e">
        <f>AND(Bills!F137,"AAAAAH9/jsI=")</f>
        <v>#VALUE!</v>
      </c>
      <c r="GN59" t="e">
        <f>AND(Bills!#REF!,"AAAAAH9/jsM=")</f>
        <v>#REF!</v>
      </c>
      <c r="GO59" t="e">
        <f>AND(Bills!G137,"AAAAAH9/jsQ=")</f>
        <v>#VALUE!</v>
      </c>
      <c r="GP59" t="e">
        <f>AND(Bills!H137,"AAAAAH9/jsU=")</f>
        <v>#VALUE!</v>
      </c>
      <c r="GQ59" t="e">
        <f>AND(Bills!I137,"AAAAAH9/jsY=")</f>
        <v>#VALUE!</v>
      </c>
      <c r="GR59" t="e">
        <f>AND(Bills!J137,"AAAAAH9/jsc=")</f>
        <v>#VALUE!</v>
      </c>
      <c r="GS59" t="e">
        <f>AND(Bills!K137,"AAAAAH9/jsg=")</f>
        <v>#VALUE!</v>
      </c>
      <c r="GT59" t="e">
        <f>AND(Bills!L137,"AAAAAH9/jsk=")</f>
        <v>#VALUE!</v>
      </c>
      <c r="GU59" t="e">
        <f>AND(Bills!#REF!,"AAAAAH9/jso=")</f>
        <v>#REF!</v>
      </c>
      <c r="GV59" t="e">
        <f>AND(Bills!M137,"AAAAAH9/jss=")</f>
        <v>#VALUE!</v>
      </c>
      <c r="GW59" t="e">
        <f>AND(Bills!N137,"AAAAAH9/jsw=")</f>
        <v>#VALUE!</v>
      </c>
      <c r="GX59" t="e">
        <f>AND(Bills!O137,"AAAAAH9/js0=")</f>
        <v>#VALUE!</v>
      </c>
      <c r="GY59" t="e">
        <f>AND(Bills!P137,"AAAAAH9/js4=")</f>
        <v>#VALUE!</v>
      </c>
      <c r="GZ59" t="e">
        <f>AND(Bills!Q137,"AAAAAH9/js8=")</f>
        <v>#VALUE!</v>
      </c>
      <c r="HA59" t="e">
        <f>AND(Bills!R137,"AAAAAH9/jtA=")</f>
        <v>#VALUE!</v>
      </c>
      <c r="HB59" t="e">
        <f>AND(Bills!S137,"AAAAAH9/jtE=")</f>
        <v>#VALUE!</v>
      </c>
      <c r="HC59" t="e">
        <f>AND(Bills!T137,"AAAAAH9/jtI=")</f>
        <v>#VALUE!</v>
      </c>
      <c r="HD59" t="e">
        <f>AND(Bills!#REF!,"AAAAAH9/jtM=")</f>
        <v>#REF!</v>
      </c>
      <c r="HE59" t="e">
        <f>AND(Bills!U137,"AAAAAH9/jtQ=")</f>
        <v>#VALUE!</v>
      </c>
      <c r="HF59" t="e">
        <f>AND(Bills!V137,"AAAAAH9/jtU=")</f>
        <v>#VALUE!</v>
      </c>
      <c r="HG59" t="e">
        <f>AND(Bills!W137,"AAAAAH9/jtY=")</f>
        <v>#VALUE!</v>
      </c>
      <c r="HH59" t="e">
        <f>AND(Bills!#REF!,"AAAAAH9/jtc=")</f>
        <v>#REF!</v>
      </c>
      <c r="HI59" t="e">
        <f>AND(Bills!#REF!,"AAAAAH9/jtg=")</f>
        <v>#REF!</v>
      </c>
      <c r="HJ59" t="e">
        <f>AND(Bills!Y137,"AAAAAH9/jtk=")</f>
        <v>#VALUE!</v>
      </c>
      <c r="HK59" t="e">
        <f>AND(Bills!Z137,"AAAAAH9/jto=")</f>
        <v>#VALUE!</v>
      </c>
      <c r="HL59" t="e">
        <f>AND(Bills!#REF!,"AAAAAH9/jts=")</f>
        <v>#REF!</v>
      </c>
      <c r="HM59" t="e">
        <f>AND(Bills!#REF!,"AAAAAH9/jtw=")</f>
        <v>#REF!</v>
      </c>
      <c r="HN59" t="e">
        <f>AND(Bills!#REF!,"AAAAAH9/jt0=")</f>
        <v>#REF!</v>
      </c>
      <c r="HO59" t="e">
        <f>AND(Bills!#REF!,"AAAAAH9/jt4=")</f>
        <v>#REF!</v>
      </c>
      <c r="HP59" t="e">
        <f>AND(Bills!#REF!,"AAAAAH9/jt8=")</f>
        <v>#REF!</v>
      </c>
      <c r="HQ59" t="e">
        <f>AND(Bills!#REF!,"AAAAAH9/juA=")</f>
        <v>#REF!</v>
      </c>
      <c r="HR59" t="e">
        <f>AND(Bills!#REF!,"AAAAAH9/juE=")</f>
        <v>#REF!</v>
      </c>
      <c r="HS59" t="e">
        <f>AND(Bills!#REF!,"AAAAAH9/juI=")</f>
        <v>#REF!</v>
      </c>
      <c r="HT59" t="e">
        <f>AND(Bills!#REF!,"AAAAAH9/juM=")</f>
        <v>#REF!</v>
      </c>
      <c r="HU59" t="e">
        <f>AND(Bills!AA137,"AAAAAH9/juQ=")</f>
        <v>#VALUE!</v>
      </c>
      <c r="HV59" t="e">
        <f>AND(Bills!AB137,"AAAAAH9/juU=")</f>
        <v>#VALUE!</v>
      </c>
      <c r="HW59" t="e">
        <f>AND(Bills!#REF!,"AAAAAH9/juY=")</f>
        <v>#REF!</v>
      </c>
      <c r="HX59" t="e">
        <f>AND(Bills!#REF!,"AAAAAH9/juc=")</f>
        <v>#REF!</v>
      </c>
      <c r="HY59" t="e">
        <f>AND(Bills!#REF!,"AAAAAH9/jug=")</f>
        <v>#REF!</v>
      </c>
      <c r="HZ59" t="e">
        <f>AND(Bills!AC137,"AAAAAH9/juk=")</f>
        <v>#VALUE!</v>
      </c>
      <c r="IA59" t="e">
        <f>AND(Bills!AD137,"AAAAAH9/juo=")</f>
        <v>#VALUE!</v>
      </c>
      <c r="IB59" t="e">
        <f>AND(Bills!AE137,"AAAAAH9/jus=")</f>
        <v>#VALUE!</v>
      </c>
      <c r="IC59">
        <f>IF(Bills!138:138,"AAAAAH9/juw=",0)</f>
        <v>0</v>
      </c>
      <c r="ID59" t="e">
        <f>AND(Bills!B138,"AAAAAH9/ju0=")</f>
        <v>#VALUE!</v>
      </c>
      <c r="IE59" t="e">
        <f>AND(Bills!#REF!,"AAAAAH9/ju4=")</f>
        <v>#REF!</v>
      </c>
      <c r="IF59" t="e">
        <f>AND(Bills!C138,"AAAAAH9/ju8=")</f>
        <v>#VALUE!</v>
      </c>
      <c r="IG59" t="e">
        <f>AND(Bills!D138,"AAAAAH9/jvA=")</f>
        <v>#VALUE!</v>
      </c>
      <c r="IH59" t="e">
        <f>AND(Bills!E138,"AAAAAH9/jvE=")</f>
        <v>#VALUE!</v>
      </c>
      <c r="II59" t="e">
        <f>AND(Bills!#REF!,"AAAAAH9/jvI=")</f>
        <v>#REF!</v>
      </c>
      <c r="IJ59" t="e">
        <f>AND(Bills!#REF!,"AAAAAH9/jvM=")</f>
        <v>#REF!</v>
      </c>
      <c r="IK59" t="e">
        <f>AND(Bills!#REF!,"AAAAAH9/jvQ=")</f>
        <v>#REF!</v>
      </c>
      <c r="IL59" t="e">
        <f>AND(Bills!F138,"AAAAAH9/jvU=")</f>
        <v>#VALUE!</v>
      </c>
      <c r="IM59" t="e">
        <f>AND(Bills!#REF!,"AAAAAH9/jvY=")</f>
        <v>#REF!</v>
      </c>
      <c r="IN59" t="e">
        <f>AND(Bills!G138,"AAAAAH9/jvc=")</f>
        <v>#VALUE!</v>
      </c>
      <c r="IO59" t="e">
        <f>AND(Bills!H138,"AAAAAH9/jvg=")</f>
        <v>#VALUE!</v>
      </c>
      <c r="IP59" t="e">
        <f>AND(Bills!I138,"AAAAAH9/jvk=")</f>
        <v>#VALUE!</v>
      </c>
      <c r="IQ59" t="e">
        <f>AND(Bills!J138,"AAAAAH9/jvo=")</f>
        <v>#VALUE!</v>
      </c>
      <c r="IR59" t="e">
        <f>AND(Bills!K138,"AAAAAH9/jvs=")</f>
        <v>#VALUE!</v>
      </c>
      <c r="IS59" t="e">
        <f>AND(Bills!L138,"AAAAAH9/jvw=")</f>
        <v>#VALUE!</v>
      </c>
      <c r="IT59" t="e">
        <f>AND(Bills!#REF!,"AAAAAH9/jv0=")</f>
        <v>#REF!</v>
      </c>
      <c r="IU59" t="e">
        <f>AND(Bills!M138,"AAAAAH9/jv4=")</f>
        <v>#VALUE!</v>
      </c>
      <c r="IV59" t="e">
        <f>AND(Bills!N138,"AAAAAH9/jv8=")</f>
        <v>#VALUE!</v>
      </c>
    </row>
    <row r="60" spans="1:256" x14ac:dyDescent="0.25">
      <c r="A60" t="e">
        <f>AND(Bills!O138,"AAAAAGf/fgA=")</f>
        <v>#VALUE!</v>
      </c>
      <c r="B60" t="e">
        <f>AND(Bills!P138,"AAAAAGf/fgE=")</f>
        <v>#VALUE!</v>
      </c>
      <c r="C60" t="e">
        <f>AND(Bills!Q138,"AAAAAGf/fgI=")</f>
        <v>#VALUE!</v>
      </c>
      <c r="D60" t="e">
        <f>AND(Bills!R138,"AAAAAGf/fgM=")</f>
        <v>#VALUE!</v>
      </c>
      <c r="E60" t="e">
        <f>AND(Bills!S138,"AAAAAGf/fgQ=")</f>
        <v>#VALUE!</v>
      </c>
      <c r="F60" t="e">
        <f>AND(Bills!T138,"AAAAAGf/fgU=")</f>
        <v>#VALUE!</v>
      </c>
      <c r="G60" t="e">
        <f>AND(Bills!#REF!,"AAAAAGf/fgY=")</f>
        <v>#REF!</v>
      </c>
      <c r="H60" t="e">
        <f>AND(Bills!U138,"AAAAAGf/fgc=")</f>
        <v>#VALUE!</v>
      </c>
      <c r="I60" t="e">
        <f>AND(Bills!V138,"AAAAAGf/fgg=")</f>
        <v>#VALUE!</v>
      </c>
      <c r="J60" t="e">
        <f>AND(Bills!W138,"AAAAAGf/fgk=")</f>
        <v>#VALUE!</v>
      </c>
      <c r="K60" t="e">
        <f>AND(Bills!#REF!,"AAAAAGf/fgo=")</f>
        <v>#REF!</v>
      </c>
      <c r="L60" t="e">
        <f>AND(Bills!#REF!,"AAAAAGf/fgs=")</f>
        <v>#REF!</v>
      </c>
      <c r="M60" t="e">
        <f>AND(Bills!Y138,"AAAAAGf/fgw=")</f>
        <v>#VALUE!</v>
      </c>
      <c r="N60" t="e">
        <f>AND(Bills!Z138,"AAAAAGf/fg0=")</f>
        <v>#VALUE!</v>
      </c>
      <c r="O60" t="e">
        <f>AND(Bills!#REF!,"AAAAAGf/fg4=")</f>
        <v>#REF!</v>
      </c>
      <c r="P60" t="e">
        <f>AND(Bills!#REF!,"AAAAAGf/fg8=")</f>
        <v>#REF!</v>
      </c>
      <c r="Q60" t="e">
        <f>AND(Bills!#REF!,"AAAAAGf/fhA=")</f>
        <v>#REF!</v>
      </c>
      <c r="R60" t="e">
        <f>AND(Bills!#REF!,"AAAAAGf/fhE=")</f>
        <v>#REF!</v>
      </c>
      <c r="S60" t="e">
        <f>AND(Bills!#REF!,"AAAAAGf/fhI=")</f>
        <v>#REF!</v>
      </c>
      <c r="T60" t="e">
        <f>AND(Bills!#REF!,"AAAAAGf/fhM=")</f>
        <v>#REF!</v>
      </c>
      <c r="U60" t="e">
        <f>AND(Bills!#REF!,"AAAAAGf/fhQ=")</f>
        <v>#REF!</v>
      </c>
      <c r="V60" t="e">
        <f>AND(Bills!#REF!,"AAAAAGf/fhU=")</f>
        <v>#REF!</v>
      </c>
      <c r="W60" t="e">
        <f>AND(Bills!#REF!,"AAAAAGf/fhY=")</f>
        <v>#REF!</v>
      </c>
      <c r="X60" t="e">
        <f>AND(Bills!AA138,"AAAAAGf/fhc=")</f>
        <v>#VALUE!</v>
      </c>
      <c r="Y60" t="e">
        <f>AND(Bills!AB138,"AAAAAGf/fhg=")</f>
        <v>#VALUE!</v>
      </c>
      <c r="Z60" t="e">
        <f>AND(Bills!#REF!,"AAAAAGf/fhk=")</f>
        <v>#REF!</v>
      </c>
      <c r="AA60" t="e">
        <f>AND(Bills!#REF!,"AAAAAGf/fho=")</f>
        <v>#REF!</v>
      </c>
      <c r="AB60" t="e">
        <f>AND(Bills!#REF!,"AAAAAGf/fhs=")</f>
        <v>#REF!</v>
      </c>
      <c r="AC60" t="e">
        <f>AND(Bills!AC138,"AAAAAGf/fhw=")</f>
        <v>#VALUE!</v>
      </c>
      <c r="AD60" t="e">
        <f>AND(Bills!AD138,"AAAAAGf/fh0=")</f>
        <v>#VALUE!</v>
      </c>
      <c r="AE60" t="e">
        <f>AND(Bills!AE138,"AAAAAGf/fh4=")</f>
        <v>#VALUE!</v>
      </c>
      <c r="AF60">
        <f>IF(Bills!139:139,"AAAAAGf/fh8=",0)</f>
        <v>0</v>
      </c>
      <c r="AG60" t="e">
        <f>AND(Bills!B139,"AAAAAGf/fiA=")</f>
        <v>#VALUE!</v>
      </c>
      <c r="AH60" t="e">
        <f>AND(Bills!#REF!,"AAAAAGf/fiE=")</f>
        <v>#REF!</v>
      </c>
      <c r="AI60" t="e">
        <f>AND(Bills!C139,"AAAAAGf/fiI=")</f>
        <v>#VALUE!</v>
      </c>
      <c r="AJ60" t="e">
        <f>AND(Bills!D139,"AAAAAGf/fiM=")</f>
        <v>#VALUE!</v>
      </c>
      <c r="AK60" t="e">
        <f>AND(Bills!E139,"AAAAAGf/fiQ=")</f>
        <v>#VALUE!</v>
      </c>
      <c r="AL60" t="e">
        <f>AND(Bills!#REF!,"AAAAAGf/fiU=")</f>
        <v>#REF!</v>
      </c>
      <c r="AM60" t="e">
        <f>AND(Bills!#REF!,"AAAAAGf/fiY=")</f>
        <v>#REF!</v>
      </c>
      <c r="AN60" t="e">
        <f>AND(Bills!#REF!,"AAAAAGf/fic=")</f>
        <v>#REF!</v>
      </c>
      <c r="AO60" t="e">
        <f>AND(Bills!F139,"AAAAAGf/fig=")</f>
        <v>#VALUE!</v>
      </c>
      <c r="AP60" t="e">
        <f>AND(Bills!#REF!,"AAAAAGf/fik=")</f>
        <v>#REF!</v>
      </c>
      <c r="AQ60" t="e">
        <f>AND(Bills!G139,"AAAAAGf/fio=")</f>
        <v>#VALUE!</v>
      </c>
      <c r="AR60" t="e">
        <f>AND(Bills!H139,"AAAAAGf/fis=")</f>
        <v>#VALUE!</v>
      </c>
      <c r="AS60" t="e">
        <f>AND(Bills!I139,"AAAAAGf/fiw=")</f>
        <v>#VALUE!</v>
      </c>
      <c r="AT60" t="e">
        <f>AND(Bills!J139,"AAAAAGf/fi0=")</f>
        <v>#VALUE!</v>
      </c>
      <c r="AU60" t="e">
        <f>AND(Bills!K139,"AAAAAGf/fi4=")</f>
        <v>#VALUE!</v>
      </c>
      <c r="AV60" t="e">
        <f>AND(Bills!L139,"AAAAAGf/fi8=")</f>
        <v>#VALUE!</v>
      </c>
      <c r="AW60" t="e">
        <f>AND(Bills!#REF!,"AAAAAGf/fjA=")</f>
        <v>#REF!</v>
      </c>
      <c r="AX60" t="e">
        <f>AND(Bills!M139,"AAAAAGf/fjE=")</f>
        <v>#VALUE!</v>
      </c>
      <c r="AY60" t="e">
        <f>AND(Bills!N139,"AAAAAGf/fjI=")</f>
        <v>#VALUE!</v>
      </c>
      <c r="AZ60" t="e">
        <f>AND(Bills!O139,"AAAAAGf/fjM=")</f>
        <v>#VALUE!</v>
      </c>
      <c r="BA60" t="e">
        <f>AND(Bills!P139,"AAAAAGf/fjQ=")</f>
        <v>#VALUE!</v>
      </c>
      <c r="BB60" t="e">
        <f>AND(Bills!Q139,"AAAAAGf/fjU=")</f>
        <v>#VALUE!</v>
      </c>
      <c r="BC60" t="e">
        <f>AND(Bills!R139,"AAAAAGf/fjY=")</f>
        <v>#VALUE!</v>
      </c>
      <c r="BD60" t="e">
        <f>AND(Bills!S139,"AAAAAGf/fjc=")</f>
        <v>#VALUE!</v>
      </c>
      <c r="BE60" t="e">
        <f>AND(Bills!T139,"AAAAAGf/fjg=")</f>
        <v>#VALUE!</v>
      </c>
      <c r="BF60" t="e">
        <f>AND(Bills!#REF!,"AAAAAGf/fjk=")</f>
        <v>#REF!</v>
      </c>
      <c r="BG60" t="e">
        <f>AND(Bills!U139,"AAAAAGf/fjo=")</f>
        <v>#VALUE!</v>
      </c>
      <c r="BH60" t="e">
        <f>AND(Bills!V139,"AAAAAGf/fjs=")</f>
        <v>#VALUE!</v>
      </c>
      <c r="BI60" t="e">
        <f>AND(Bills!W139,"AAAAAGf/fjw=")</f>
        <v>#VALUE!</v>
      </c>
      <c r="BJ60" t="e">
        <f>AND(Bills!#REF!,"AAAAAGf/fj0=")</f>
        <v>#REF!</v>
      </c>
      <c r="BK60" t="e">
        <f>AND(Bills!#REF!,"AAAAAGf/fj4=")</f>
        <v>#REF!</v>
      </c>
      <c r="BL60" t="e">
        <f>AND(Bills!Y139,"AAAAAGf/fj8=")</f>
        <v>#VALUE!</v>
      </c>
      <c r="BM60" t="e">
        <f>AND(Bills!Z139,"AAAAAGf/fkA=")</f>
        <v>#VALUE!</v>
      </c>
      <c r="BN60" t="e">
        <f>AND(Bills!#REF!,"AAAAAGf/fkE=")</f>
        <v>#REF!</v>
      </c>
      <c r="BO60" t="e">
        <f>AND(Bills!#REF!,"AAAAAGf/fkI=")</f>
        <v>#REF!</v>
      </c>
      <c r="BP60" t="e">
        <f>AND(Bills!#REF!,"AAAAAGf/fkM=")</f>
        <v>#REF!</v>
      </c>
      <c r="BQ60" t="e">
        <f>AND(Bills!#REF!,"AAAAAGf/fkQ=")</f>
        <v>#REF!</v>
      </c>
      <c r="BR60" t="e">
        <f>AND(Bills!#REF!,"AAAAAGf/fkU=")</f>
        <v>#REF!</v>
      </c>
      <c r="BS60" t="e">
        <f>AND(Bills!#REF!,"AAAAAGf/fkY=")</f>
        <v>#REF!</v>
      </c>
      <c r="BT60" t="e">
        <f>AND(Bills!#REF!,"AAAAAGf/fkc=")</f>
        <v>#REF!</v>
      </c>
      <c r="BU60" t="e">
        <f>AND(Bills!#REF!,"AAAAAGf/fkg=")</f>
        <v>#REF!</v>
      </c>
      <c r="BV60" t="e">
        <f>AND(Bills!#REF!,"AAAAAGf/fkk=")</f>
        <v>#REF!</v>
      </c>
      <c r="BW60" t="e">
        <f>AND(Bills!AA139,"AAAAAGf/fko=")</f>
        <v>#VALUE!</v>
      </c>
      <c r="BX60" t="e">
        <f>AND(Bills!AB139,"AAAAAGf/fks=")</f>
        <v>#VALUE!</v>
      </c>
      <c r="BY60" t="e">
        <f>AND(Bills!#REF!,"AAAAAGf/fkw=")</f>
        <v>#REF!</v>
      </c>
      <c r="BZ60" t="e">
        <f>AND(Bills!#REF!,"AAAAAGf/fk0=")</f>
        <v>#REF!</v>
      </c>
      <c r="CA60" t="e">
        <f>AND(Bills!#REF!,"AAAAAGf/fk4=")</f>
        <v>#REF!</v>
      </c>
      <c r="CB60" t="e">
        <f>AND(Bills!AC139,"AAAAAGf/fk8=")</f>
        <v>#VALUE!</v>
      </c>
      <c r="CC60" t="e">
        <f>AND(Bills!AD139,"AAAAAGf/flA=")</f>
        <v>#VALUE!</v>
      </c>
      <c r="CD60" t="e">
        <f>AND(Bills!AE139,"AAAAAGf/flE=")</f>
        <v>#VALUE!</v>
      </c>
      <c r="CE60">
        <f>IF(Bills!140:140,"AAAAAGf/flI=",0)</f>
        <v>0</v>
      </c>
      <c r="CF60" t="e">
        <f>AND(Bills!B140,"AAAAAGf/flM=")</f>
        <v>#VALUE!</v>
      </c>
      <c r="CG60" t="e">
        <f>AND(Bills!#REF!,"AAAAAGf/flQ=")</f>
        <v>#REF!</v>
      </c>
      <c r="CH60" t="e">
        <f>AND(Bills!C140,"AAAAAGf/flU=")</f>
        <v>#VALUE!</v>
      </c>
      <c r="CI60" t="e">
        <f>AND(Bills!D140,"AAAAAGf/flY=")</f>
        <v>#VALUE!</v>
      </c>
      <c r="CJ60" t="e">
        <f>AND(Bills!E140,"AAAAAGf/flc=")</f>
        <v>#VALUE!</v>
      </c>
      <c r="CK60" t="e">
        <f>AND(Bills!#REF!,"AAAAAGf/flg=")</f>
        <v>#REF!</v>
      </c>
      <c r="CL60" t="e">
        <f>AND(Bills!#REF!,"AAAAAGf/flk=")</f>
        <v>#REF!</v>
      </c>
      <c r="CM60" t="e">
        <f>AND(Bills!#REF!,"AAAAAGf/flo=")</f>
        <v>#REF!</v>
      </c>
      <c r="CN60" t="e">
        <f>AND(Bills!F140,"AAAAAGf/fls=")</f>
        <v>#VALUE!</v>
      </c>
      <c r="CO60" t="e">
        <f>AND(Bills!#REF!,"AAAAAGf/flw=")</f>
        <v>#REF!</v>
      </c>
      <c r="CP60" t="e">
        <f>AND(Bills!G140,"AAAAAGf/fl0=")</f>
        <v>#VALUE!</v>
      </c>
      <c r="CQ60" t="e">
        <f>AND(Bills!H140,"AAAAAGf/fl4=")</f>
        <v>#VALUE!</v>
      </c>
      <c r="CR60" t="e">
        <f>AND(Bills!I140,"AAAAAGf/fl8=")</f>
        <v>#VALUE!</v>
      </c>
      <c r="CS60" t="e">
        <f>AND(Bills!J140,"AAAAAGf/fmA=")</f>
        <v>#VALUE!</v>
      </c>
      <c r="CT60" t="e">
        <f>AND(Bills!K140,"AAAAAGf/fmE=")</f>
        <v>#VALUE!</v>
      </c>
      <c r="CU60" t="e">
        <f>AND(Bills!L140,"AAAAAGf/fmI=")</f>
        <v>#VALUE!</v>
      </c>
      <c r="CV60" t="e">
        <f>AND(Bills!#REF!,"AAAAAGf/fmM=")</f>
        <v>#REF!</v>
      </c>
      <c r="CW60" t="e">
        <f>AND(Bills!M140,"AAAAAGf/fmQ=")</f>
        <v>#VALUE!</v>
      </c>
      <c r="CX60" t="e">
        <f>AND(Bills!N140,"AAAAAGf/fmU=")</f>
        <v>#VALUE!</v>
      </c>
      <c r="CY60" t="e">
        <f>AND(Bills!O140,"AAAAAGf/fmY=")</f>
        <v>#VALUE!</v>
      </c>
      <c r="CZ60" t="e">
        <f>AND(Bills!P140,"AAAAAGf/fmc=")</f>
        <v>#VALUE!</v>
      </c>
      <c r="DA60" t="e">
        <f>AND(Bills!Q140,"AAAAAGf/fmg=")</f>
        <v>#VALUE!</v>
      </c>
      <c r="DB60" t="e">
        <f>AND(Bills!R140,"AAAAAGf/fmk=")</f>
        <v>#VALUE!</v>
      </c>
      <c r="DC60" t="e">
        <f>AND(Bills!S140,"AAAAAGf/fmo=")</f>
        <v>#VALUE!</v>
      </c>
      <c r="DD60" t="e">
        <f>AND(Bills!T140,"AAAAAGf/fms=")</f>
        <v>#VALUE!</v>
      </c>
      <c r="DE60" t="e">
        <f>AND(Bills!#REF!,"AAAAAGf/fmw=")</f>
        <v>#REF!</v>
      </c>
      <c r="DF60" t="e">
        <f>AND(Bills!U140,"AAAAAGf/fm0=")</f>
        <v>#VALUE!</v>
      </c>
      <c r="DG60" t="e">
        <f>AND(Bills!V140,"AAAAAGf/fm4=")</f>
        <v>#VALUE!</v>
      </c>
      <c r="DH60" t="e">
        <f>AND(Bills!W140,"AAAAAGf/fm8=")</f>
        <v>#VALUE!</v>
      </c>
      <c r="DI60" t="e">
        <f>AND(Bills!#REF!,"AAAAAGf/fnA=")</f>
        <v>#REF!</v>
      </c>
      <c r="DJ60" t="e">
        <f>AND(Bills!#REF!,"AAAAAGf/fnE=")</f>
        <v>#REF!</v>
      </c>
      <c r="DK60" t="e">
        <f>AND(Bills!Y140,"AAAAAGf/fnI=")</f>
        <v>#VALUE!</v>
      </c>
      <c r="DL60" t="e">
        <f>AND(Bills!Z140,"AAAAAGf/fnM=")</f>
        <v>#VALUE!</v>
      </c>
      <c r="DM60" t="e">
        <f>AND(Bills!#REF!,"AAAAAGf/fnQ=")</f>
        <v>#REF!</v>
      </c>
      <c r="DN60" t="e">
        <f>AND(Bills!#REF!,"AAAAAGf/fnU=")</f>
        <v>#REF!</v>
      </c>
      <c r="DO60" t="e">
        <f>AND(Bills!#REF!,"AAAAAGf/fnY=")</f>
        <v>#REF!</v>
      </c>
      <c r="DP60" t="e">
        <f>AND(Bills!#REF!,"AAAAAGf/fnc=")</f>
        <v>#REF!</v>
      </c>
      <c r="DQ60" t="e">
        <f>AND(Bills!#REF!,"AAAAAGf/fng=")</f>
        <v>#REF!</v>
      </c>
      <c r="DR60" t="e">
        <f>AND(Bills!#REF!,"AAAAAGf/fnk=")</f>
        <v>#REF!</v>
      </c>
      <c r="DS60" t="e">
        <f>AND(Bills!#REF!,"AAAAAGf/fno=")</f>
        <v>#REF!</v>
      </c>
      <c r="DT60" t="e">
        <f>AND(Bills!#REF!,"AAAAAGf/fns=")</f>
        <v>#REF!</v>
      </c>
      <c r="DU60" t="e">
        <f>AND(Bills!#REF!,"AAAAAGf/fnw=")</f>
        <v>#REF!</v>
      </c>
      <c r="DV60" t="e">
        <f>AND(Bills!AA140,"AAAAAGf/fn0=")</f>
        <v>#VALUE!</v>
      </c>
      <c r="DW60" t="e">
        <f>AND(Bills!AB140,"AAAAAGf/fn4=")</f>
        <v>#VALUE!</v>
      </c>
      <c r="DX60" t="e">
        <f>AND(Bills!#REF!,"AAAAAGf/fn8=")</f>
        <v>#REF!</v>
      </c>
      <c r="DY60" t="e">
        <f>AND(Bills!#REF!,"AAAAAGf/foA=")</f>
        <v>#REF!</v>
      </c>
      <c r="DZ60" t="e">
        <f>AND(Bills!#REF!,"AAAAAGf/foE=")</f>
        <v>#REF!</v>
      </c>
      <c r="EA60" t="e">
        <f>AND(Bills!AC140,"AAAAAGf/foI=")</f>
        <v>#VALUE!</v>
      </c>
      <c r="EB60" t="e">
        <f>AND(Bills!AD140,"AAAAAGf/foM=")</f>
        <v>#VALUE!</v>
      </c>
      <c r="EC60" t="e">
        <f>AND(Bills!AE140,"AAAAAGf/foQ=")</f>
        <v>#VALUE!</v>
      </c>
      <c r="ED60">
        <f>IF(Bills!141:141,"AAAAAGf/foU=",0)</f>
        <v>0</v>
      </c>
      <c r="EE60" t="e">
        <f>AND(Bills!B141,"AAAAAGf/foY=")</f>
        <v>#VALUE!</v>
      </c>
      <c r="EF60" t="e">
        <f>AND(Bills!#REF!,"AAAAAGf/foc=")</f>
        <v>#REF!</v>
      </c>
      <c r="EG60" t="e">
        <f>AND(Bills!C141,"AAAAAGf/fog=")</f>
        <v>#VALUE!</v>
      </c>
      <c r="EH60" t="e">
        <f>AND(Bills!D141,"AAAAAGf/fok=")</f>
        <v>#VALUE!</v>
      </c>
      <c r="EI60" t="e">
        <f>AND(Bills!E141,"AAAAAGf/foo=")</f>
        <v>#VALUE!</v>
      </c>
      <c r="EJ60" t="e">
        <f>AND(Bills!#REF!,"AAAAAGf/fos=")</f>
        <v>#REF!</v>
      </c>
      <c r="EK60" t="e">
        <f>AND(Bills!#REF!,"AAAAAGf/fow=")</f>
        <v>#REF!</v>
      </c>
      <c r="EL60" t="e">
        <f>AND(Bills!#REF!,"AAAAAGf/fo0=")</f>
        <v>#REF!</v>
      </c>
      <c r="EM60" t="e">
        <f>AND(Bills!F141,"AAAAAGf/fo4=")</f>
        <v>#VALUE!</v>
      </c>
      <c r="EN60" t="e">
        <f>AND(Bills!#REF!,"AAAAAGf/fo8=")</f>
        <v>#REF!</v>
      </c>
      <c r="EO60" t="e">
        <f>AND(Bills!G141,"AAAAAGf/fpA=")</f>
        <v>#VALUE!</v>
      </c>
      <c r="EP60" t="e">
        <f>AND(Bills!H141,"AAAAAGf/fpE=")</f>
        <v>#VALUE!</v>
      </c>
      <c r="EQ60" t="e">
        <f>AND(Bills!I141,"AAAAAGf/fpI=")</f>
        <v>#VALUE!</v>
      </c>
      <c r="ER60" t="e">
        <f>AND(Bills!J141,"AAAAAGf/fpM=")</f>
        <v>#VALUE!</v>
      </c>
      <c r="ES60" t="e">
        <f>AND(Bills!K141,"AAAAAGf/fpQ=")</f>
        <v>#VALUE!</v>
      </c>
      <c r="ET60" t="e">
        <f>AND(Bills!L141,"AAAAAGf/fpU=")</f>
        <v>#VALUE!</v>
      </c>
      <c r="EU60" t="e">
        <f>AND(Bills!#REF!,"AAAAAGf/fpY=")</f>
        <v>#REF!</v>
      </c>
      <c r="EV60" t="e">
        <f>AND(Bills!M141,"AAAAAGf/fpc=")</f>
        <v>#VALUE!</v>
      </c>
      <c r="EW60" t="e">
        <f>AND(Bills!N141,"AAAAAGf/fpg=")</f>
        <v>#VALUE!</v>
      </c>
      <c r="EX60" t="e">
        <f>AND(Bills!O141,"AAAAAGf/fpk=")</f>
        <v>#VALUE!</v>
      </c>
      <c r="EY60" t="e">
        <f>AND(Bills!P141,"AAAAAGf/fpo=")</f>
        <v>#VALUE!</v>
      </c>
      <c r="EZ60" t="e">
        <f>AND(Bills!Q141,"AAAAAGf/fps=")</f>
        <v>#VALUE!</v>
      </c>
      <c r="FA60" t="e">
        <f>AND(Bills!R141,"AAAAAGf/fpw=")</f>
        <v>#VALUE!</v>
      </c>
      <c r="FB60" t="e">
        <f>AND(Bills!S141,"AAAAAGf/fp0=")</f>
        <v>#VALUE!</v>
      </c>
      <c r="FC60" t="e">
        <f>AND(Bills!T141,"AAAAAGf/fp4=")</f>
        <v>#VALUE!</v>
      </c>
      <c r="FD60" t="e">
        <f>AND(Bills!#REF!,"AAAAAGf/fp8=")</f>
        <v>#REF!</v>
      </c>
      <c r="FE60" t="e">
        <f>AND(Bills!U141,"AAAAAGf/fqA=")</f>
        <v>#VALUE!</v>
      </c>
      <c r="FF60" t="e">
        <f>AND(Bills!V141,"AAAAAGf/fqE=")</f>
        <v>#VALUE!</v>
      </c>
      <c r="FG60" t="e">
        <f>AND(Bills!W141,"AAAAAGf/fqI=")</f>
        <v>#VALUE!</v>
      </c>
      <c r="FH60" t="e">
        <f>AND(Bills!#REF!,"AAAAAGf/fqM=")</f>
        <v>#REF!</v>
      </c>
      <c r="FI60" t="e">
        <f>AND(Bills!#REF!,"AAAAAGf/fqQ=")</f>
        <v>#REF!</v>
      </c>
      <c r="FJ60" t="e">
        <f>AND(Bills!Y141,"AAAAAGf/fqU=")</f>
        <v>#VALUE!</v>
      </c>
      <c r="FK60" t="e">
        <f>AND(Bills!Z141,"AAAAAGf/fqY=")</f>
        <v>#VALUE!</v>
      </c>
      <c r="FL60" t="e">
        <f>AND(Bills!#REF!,"AAAAAGf/fqc=")</f>
        <v>#REF!</v>
      </c>
      <c r="FM60" t="e">
        <f>AND(Bills!#REF!,"AAAAAGf/fqg=")</f>
        <v>#REF!</v>
      </c>
      <c r="FN60" t="e">
        <f>AND(Bills!#REF!,"AAAAAGf/fqk=")</f>
        <v>#REF!</v>
      </c>
      <c r="FO60" t="e">
        <f>AND(Bills!#REF!,"AAAAAGf/fqo=")</f>
        <v>#REF!</v>
      </c>
      <c r="FP60" t="e">
        <f>AND(Bills!#REF!,"AAAAAGf/fqs=")</f>
        <v>#REF!</v>
      </c>
      <c r="FQ60" t="e">
        <f>AND(Bills!#REF!,"AAAAAGf/fqw=")</f>
        <v>#REF!</v>
      </c>
      <c r="FR60" t="e">
        <f>AND(Bills!#REF!,"AAAAAGf/fq0=")</f>
        <v>#REF!</v>
      </c>
      <c r="FS60" t="e">
        <f>AND(Bills!#REF!,"AAAAAGf/fq4=")</f>
        <v>#REF!</v>
      </c>
      <c r="FT60" t="e">
        <f>AND(Bills!#REF!,"AAAAAGf/fq8=")</f>
        <v>#REF!</v>
      </c>
      <c r="FU60" t="e">
        <f>AND(Bills!AA141,"AAAAAGf/frA=")</f>
        <v>#VALUE!</v>
      </c>
      <c r="FV60" t="e">
        <f>AND(Bills!AB141,"AAAAAGf/frE=")</f>
        <v>#VALUE!</v>
      </c>
      <c r="FW60" t="e">
        <f>AND(Bills!#REF!,"AAAAAGf/frI=")</f>
        <v>#REF!</v>
      </c>
      <c r="FX60" t="e">
        <f>AND(Bills!#REF!,"AAAAAGf/frM=")</f>
        <v>#REF!</v>
      </c>
      <c r="FY60" t="e">
        <f>AND(Bills!#REF!,"AAAAAGf/frQ=")</f>
        <v>#REF!</v>
      </c>
      <c r="FZ60" t="e">
        <f>AND(Bills!AC141,"AAAAAGf/frU=")</f>
        <v>#VALUE!</v>
      </c>
      <c r="GA60" t="e">
        <f>AND(Bills!AD141,"AAAAAGf/frY=")</f>
        <v>#VALUE!</v>
      </c>
      <c r="GB60" t="e">
        <f>AND(Bills!AE141,"AAAAAGf/frc=")</f>
        <v>#VALUE!</v>
      </c>
      <c r="GC60">
        <f>IF(Bills!142:142,"AAAAAGf/frg=",0)</f>
        <v>0</v>
      </c>
      <c r="GD60" t="e">
        <f>AND(Bills!B142,"AAAAAGf/frk=")</f>
        <v>#VALUE!</v>
      </c>
      <c r="GE60" t="e">
        <f>AND(Bills!#REF!,"AAAAAGf/fro=")</f>
        <v>#REF!</v>
      </c>
      <c r="GF60" t="e">
        <f>AND(Bills!C142,"AAAAAGf/frs=")</f>
        <v>#VALUE!</v>
      </c>
      <c r="GG60" t="e">
        <f>AND(Bills!D142,"AAAAAGf/frw=")</f>
        <v>#VALUE!</v>
      </c>
      <c r="GH60" t="e">
        <f>AND(Bills!E142,"AAAAAGf/fr0=")</f>
        <v>#VALUE!</v>
      </c>
      <c r="GI60" t="e">
        <f>AND(Bills!#REF!,"AAAAAGf/fr4=")</f>
        <v>#REF!</v>
      </c>
      <c r="GJ60" t="e">
        <f>AND(Bills!#REF!,"AAAAAGf/fr8=")</f>
        <v>#REF!</v>
      </c>
      <c r="GK60" t="e">
        <f>AND(Bills!#REF!,"AAAAAGf/fsA=")</f>
        <v>#REF!</v>
      </c>
      <c r="GL60" t="e">
        <f>AND(Bills!F142,"AAAAAGf/fsE=")</f>
        <v>#VALUE!</v>
      </c>
      <c r="GM60" t="e">
        <f>AND(Bills!#REF!,"AAAAAGf/fsI=")</f>
        <v>#REF!</v>
      </c>
      <c r="GN60" t="e">
        <f>AND(Bills!G142,"AAAAAGf/fsM=")</f>
        <v>#VALUE!</v>
      </c>
      <c r="GO60" t="e">
        <f>AND(Bills!H142,"AAAAAGf/fsQ=")</f>
        <v>#VALUE!</v>
      </c>
      <c r="GP60" t="e">
        <f>AND(Bills!I142,"AAAAAGf/fsU=")</f>
        <v>#VALUE!</v>
      </c>
      <c r="GQ60" t="e">
        <f>AND(Bills!J142,"AAAAAGf/fsY=")</f>
        <v>#VALUE!</v>
      </c>
      <c r="GR60" t="e">
        <f>AND(Bills!K142,"AAAAAGf/fsc=")</f>
        <v>#VALUE!</v>
      </c>
      <c r="GS60" t="e">
        <f>AND(Bills!L142,"AAAAAGf/fsg=")</f>
        <v>#VALUE!</v>
      </c>
      <c r="GT60" t="e">
        <f>AND(Bills!#REF!,"AAAAAGf/fsk=")</f>
        <v>#REF!</v>
      </c>
      <c r="GU60" t="e">
        <f>AND(Bills!M142,"AAAAAGf/fso=")</f>
        <v>#VALUE!</v>
      </c>
      <c r="GV60" t="e">
        <f>AND(Bills!N142,"AAAAAGf/fss=")</f>
        <v>#VALUE!</v>
      </c>
      <c r="GW60" t="e">
        <f>AND(Bills!O142,"AAAAAGf/fsw=")</f>
        <v>#VALUE!</v>
      </c>
      <c r="GX60" t="e">
        <f>AND(Bills!P142,"AAAAAGf/fs0=")</f>
        <v>#VALUE!</v>
      </c>
      <c r="GY60" t="e">
        <f>AND(Bills!Q142,"AAAAAGf/fs4=")</f>
        <v>#VALUE!</v>
      </c>
      <c r="GZ60" t="e">
        <f>AND(Bills!R142,"AAAAAGf/fs8=")</f>
        <v>#VALUE!</v>
      </c>
      <c r="HA60" t="e">
        <f>AND(Bills!S142,"AAAAAGf/ftA=")</f>
        <v>#VALUE!</v>
      </c>
      <c r="HB60" t="e">
        <f>AND(Bills!T142,"AAAAAGf/ftE=")</f>
        <v>#VALUE!</v>
      </c>
      <c r="HC60" t="e">
        <f>AND(Bills!#REF!,"AAAAAGf/ftI=")</f>
        <v>#REF!</v>
      </c>
      <c r="HD60" t="e">
        <f>AND(Bills!U142,"AAAAAGf/ftM=")</f>
        <v>#VALUE!</v>
      </c>
      <c r="HE60" t="e">
        <f>AND(Bills!V142,"AAAAAGf/ftQ=")</f>
        <v>#VALUE!</v>
      </c>
      <c r="HF60" t="e">
        <f>AND(Bills!W142,"AAAAAGf/ftU=")</f>
        <v>#VALUE!</v>
      </c>
      <c r="HG60" t="e">
        <f>AND(Bills!#REF!,"AAAAAGf/ftY=")</f>
        <v>#REF!</v>
      </c>
      <c r="HH60" t="e">
        <f>AND(Bills!#REF!,"AAAAAGf/ftc=")</f>
        <v>#REF!</v>
      </c>
      <c r="HI60" t="e">
        <f>AND(Bills!Y142,"AAAAAGf/ftg=")</f>
        <v>#VALUE!</v>
      </c>
      <c r="HJ60" t="e">
        <f>AND(Bills!Z142,"AAAAAGf/ftk=")</f>
        <v>#VALUE!</v>
      </c>
      <c r="HK60" t="e">
        <f>AND(Bills!#REF!,"AAAAAGf/fto=")</f>
        <v>#REF!</v>
      </c>
      <c r="HL60" t="e">
        <f>AND(Bills!#REF!,"AAAAAGf/fts=")</f>
        <v>#REF!</v>
      </c>
      <c r="HM60" t="e">
        <f>AND(Bills!#REF!,"AAAAAGf/ftw=")</f>
        <v>#REF!</v>
      </c>
      <c r="HN60" t="e">
        <f>AND(Bills!#REF!,"AAAAAGf/ft0=")</f>
        <v>#REF!</v>
      </c>
      <c r="HO60" t="e">
        <f>AND(Bills!#REF!,"AAAAAGf/ft4=")</f>
        <v>#REF!</v>
      </c>
      <c r="HP60" t="e">
        <f>AND(Bills!#REF!,"AAAAAGf/ft8=")</f>
        <v>#REF!</v>
      </c>
      <c r="HQ60" t="e">
        <f>AND(Bills!#REF!,"AAAAAGf/fuA=")</f>
        <v>#REF!</v>
      </c>
      <c r="HR60" t="e">
        <f>AND(Bills!#REF!,"AAAAAGf/fuE=")</f>
        <v>#REF!</v>
      </c>
      <c r="HS60" t="e">
        <f>AND(Bills!#REF!,"AAAAAGf/fuI=")</f>
        <v>#REF!</v>
      </c>
      <c r="HT60" t="e">
        <f>AND(Bills!AA142,"AAAAAGf/fuM=")</f>
        <v>#VALUE!</v>
      </c>
      <c r="HU60" t="e">
        <f>AND(Bills!AB142,"AAAAAGf/fuQ=")</f>
        <v>#VALUE!</v>
      </c>
      <c r="HV60" t="e">
        <f>AND(Bills!#REF!,"AAAAAGf/fuU=")</f>
        <v>#REF!</v>
      </c>
      <c r="HW60" t="e">
        <f>AND(Bills!#REF!,"AAAAAGf/fuY=")</f>
        <v>#REF!</v>
      </c>
      <c r="HX60" t="e">
        <f>AND(Bills!#REF!,"AAAAAGf/fuc=")</f>
        <v>#REF!</v>
      </c>
      <c r="HY60" t="e">
        <f>AND(Bills!AC142,"AAAAAGf/fug=")</f>
        <v>#VALUE!</v>
      </c>
      <c r="HZ60" t="e">
        <f>AND(Bills!AD142,"AAAAAGf/fuk=")</f>
        <v>#VALUE!</v>
      </c>
      <c r="IA60" t="e">
        <f>AND(Bills!AE142,"AAAAAGf/fuo=")</f>
        <v>#VALUE!</v>
      </c>
      <c r="IB60">
        <f>IF(Bills!143:143,"AAAAAGf/fus=",0)</f>
        <v>0</v>
      </c>
      <c r="IC60" t="e">
        <f>AND(Bills!B143,"AAAAAGf/fuw=")</f>
        <v>#VALUE!</v>
      </c>
      <c r="ID60" t="e">
        <f>AND(Bills!#REF!,"AAAAAGf/fu0=")</f>
        <v>#REF!</v>
      </c>
      <c r="IE60" t="e">
        <f>AND(Bills!C143,"AAAAAGf/fu4=")</f>
        <v>#VALUE!</v>
      </c>
      <c r="IF60" t="e">
        <f>AND(Bills!D143,"AAAAAGf/fu8=")</f>
        <v>#VALUE!</v>
      </c>
      <c r="IG60" t="e">
        <f>AND(Bills!E143,"AAAAAGf/fvA=")</f>
        <v>#VALUE!</v>
      </c>
      <c r="IH60" t="e">
        <f>AND(Bills!#REF!,"AAAAAGf/fvE=")</f>
        <v>#REF!</v>
      </c>
      <c r="II60" t="e">
        <f>AND(Bills!#REF!,"AAAAAGf/fvI=")</f>
        <v>#REF!</v>
      </c>
      <c r="IJ60" t="e">
        <f>AND(Bills!#REF!,"AAAAAGf/fvM=")</f>
        <v>#REF!</v>
      </c>
      <c r="IK60" t="e">
        <f>AND(Bills!F143,"AAAAAGf/fvQ=")</f>
        <v>#VALUE!</v>
      </c>
      <c r="IL60" t="e">
        <f>AND(Bills!#REF!,"AAAAAGf/fvU=")</f>
        <v>#REF!</v>
      </c>
      <c r="IM60" t="e">
        <f>AND(Bills!G143,"AAAAAGf/fvY=")</f>
        <v>#VALUE!</v>
      </c>
      <c r="IN60" t="e">
        <f>AND(Bills!H143,"AAAAAGf/fvc=")</f>
        <v>#VALUE!</v>
      </c>
      <c r="IO60" t="e">
        <f>AND(Bills!I143,"AAAAAGf/fvg=")</f>
        <v>#VALUE!</v>
      </c>
      <c r="IP60" t="e">
        <f>AND(Bills!J143,"AAAAAGf/fvk=")</f>
        <v>#VALUE!</v>
      </c>
      <c r="IQ60" t="e">
        <f>AND(Bills!K143,"AAAAAGf/fvo=")</f>
        <v>#VALUE!</v>
      </c>
      <c r="IR60" t="e">
        <f>AND(Bills!L143,"AAAAAGf/fvs=")</f>
        <v>#VALUE!</v>
      </c>
      <c r="IS60" t="e">
        <f>AND(Bills!#REF!,"AAAAAGf/fvw=")</f>
        <v>#REF!</v>
      </c>
      <c r="IT60" t="e">
        <f>AND(Bills!M143,"AAAAAGf/fv0=")</f>
        <v>#VALUE!</v>
      </c>
      <c r="IU60" t="e">
        <f>AND(Bills!N143,"AAAAAGf/fv4=")</f>
        <v>#VALUE!</v>
      </c>
      <c r="IV60" t="e">
        <f>AND(Bills!O143,"AAAAAGf/fv8=")</f>
        <v>#VALUE!</v>
      </c>
    </row>
    <row r="61" spans="1:256" x14ac:dyDescent="0.25">
      <c r="A61" t="e">
        <f>AND(Bills!P143,"AAAAAD//HQA=")</f>
        <v>#VALUE!</v>
      </c>
      <c r="B61" t="e">
        <f>AND(Bills!Q143,"AAAAAD//HQE=")</f>
        <v>#VALUE!</v>
      </c>
      <c r="C61" t="e">
        <f>AND(Bills!R143,"AAAAAD//HQI=")</f>
        <v>#VALUE!</v>
      </c>
      <c r="D61" t="e">
        <f>AND(Bills!S143,"AAAAAD//HQM=")</f>
        <v>#VALUE!</v>
      </c>
      <c r="E61" t="e">
        <f>AND(Bills!T143,"AAAAAD//HQQ=")</f>
        <v>#VALUE!</v>
      </c>
      <c r="F61" t="e">
        <f>AND(Bills!#REF!,"AAAAAD//HQU=")</f>
        <v>#REF!</v>
      </c>
      <c r="G61" t="e">
        <f>AND(Bills!U143,"AAAAAD//HQY=")</f>
        <v>#VALUE!</v>
      </c>
      <c r="H61" t="e">
        <f>AND(Bills!V143,"AAAAAD//HQc=")</f>
        <v>#VALUE!</v>
      </c>
      <c r="I61" t="e">
        <f>AND(Bills!W143,"AAAAAD//HQg=")</f>
        <v>#VALUE!</v>
      </c>
      <c r="J61" t="e">
        <f>AND(Bills!#REF!,"AAAAAD//HQk=")</f>
        <v>#REF!</v>
      </c>
      <c r="K61" t="e">
        <f>AND(Bills!#REF!,"AAAAAD//HQo=")</f>
        <v>#REF!</v>
      </c>
      <c r="L61" t="e">
        <f>AND(Bills!Y143,"AAAAAD//HQs=")</f>
        <v>#VALUE!</v>
      </c>
      <c r="M61" t="e">
        <f>AND(Bills!Z143,"AAAAAD//HQw=")</f>
        <v>#VALUE!</v>
      </c>
      <c r="N61" t="e">
        <f>AND(Bills!#REF!,"AAAAAD//HQ0=")</f>
        <v>#REF!</v>
      </c>
      <c r="O61" t="e">
        <f>AND(Bills!#REF!,"AAAAAD//HQ4=")</f>
        <v>#REF!</v>
      </c>
      <c r="P61" t="e">
        <f>AND(Bills!#REF!,"AAAAAD//HQ8=")</f>
        <v>#REF!</v>
      </c>
      <c r="Q61" t="e">
        <f>AND(Bills!#REF!,"AAAAAD//HRA=")</f>
        <v>#REF!</v>
      </c>
      <c r="R61" t="e">
        <f>AND(Bills!#REF!,"AAAAAD//HRE=")</f>
        <v>#REF!</v>
      </c>
      <c r="S61" t="e">
        <f>AND(Bills!#REF!,"AAAAAD//HRI=")</f>
        <v>#REF!</v>
      </c>
      <c r="T61" t="e">
        <f>AND(Bills!#REF!,"AAAAAD//HRM=")</f>
        <v>#REF!</v>
      </c>
      <c r="U61" t="e">
        <f>AND(Bills!#REF!,"AAAAAD//HRQ=")</f>
        <v>#REF!</v>
      </c>
      <c r="V61" t="e">
        <f>AND(Bills!#REF!,"AAAAAD//HRU=")</f>
        <v>#REF!</v>
      </c>
      <c r="W61" t="e">
        <f>AND(Bills!AA143,"AAAAAD//HRY=")</f>
        <v>#VALUE!</v>
      </c>
      <c r="X61" t="e">
        <f>AND(Bills!AB143,"AAAAAD//HRc=")</f>
        <v>#VALUE!</v>
      </c>
      <c r="Y61" t="e">
        <f>AND(Bills!#REF!,"AAAAAD//HRg=")</f>
        <v>#REF!</v>
      </c>
      <c r="Z61" t="e">
        <f>AND(Bills!#REF!,"AAAAAD//HRk=")</f>
        <v>#REF!</v>
      </c>
      <c r="AA61" t="e">
        <f>AND(Bills!#REF!,"AAAAAD//HRo=")</f>
        <v>#REF!</v>
      </c>
      <c r="AB61" t="e">
        <f>AND(Bills!AC143,"AAAAAD//HRs=")</f>
        <v>#VALUE!</v>
      </c>
      <c r="AC61" t="e">
        <f>AND(Bills!AD143,"AAAAAD//HRw=")</f>
        <v>#VALUE!</v>
      </c>
      <c r="AD61" t="e">
        <f>AND(Bills!AE143,"AAAAAD//HR0=")</f>
        <v>#VALUE!</v>
      </c>
      <c r="AE61" t="e">
        <f>IF(Bills!144:144,"AAAAAD//HR4=",0)</f>
        <v>#REF!</v>
      </c>
      <c r="AF61" t="e">
        <f>AND(Bills!B144,"AAAAAD//HR8=")</f>
        <v>#VALUE!</v>
      </c>
      <c r="AG61" t="e">
        <f>AND(Bills!#REF!,"AAAAAD//HSA=")</f>
        <v>#REF!</v>
      </c>
      <c r="AH61" t="e">
        <f>AND(Bills!C144,"AAAAAD//HSE=")</f>
        <v>#VALUE!</v>
      </c>
      <c r="AI61" t="e">
        <f>AND(Bills!D144,"AAAAAD//HSI=")</f>
        <v>#VALUE!</v>
      </c>
      <c r="AJ61" t="e">
        <f>AND(Bills!E144,"AAAAAD//HSM=")</f>
        <v>#VALUE!</v>
      </c>
      <c r="AK61" t="e">
        <f>AND(Bills!#REF!,"AAAAAD//HSQ=")</f>
        <v>#REF!</v>
      </c>
      <c r="AL61" t="e">
        <f>AND(Bills!#REF!,"AAAAAD//HSU=")</f>
        <v>#REF!</v>
      </c>
      <c r="AM61" t="e">
        <f>AND(Bills!#REF!,"AAAAAD//HSY=")</f>
        <v>#REF!</v>
      </c>
      <c r="AN61" t="e">
        <f>AND(Bills!F144,"AAAAAD//HSc=")</f>
        <v>#VALUE!</v>
      </c>
      <c r="AO61" t="e">
        <f>AND(Bills!#REF!,"AAAAAD//HSg=")</f>
        <v>#REF!</v>
      </c>
      <c r="AP61" t="e">
        <f>AND(Bills!G144,"AAAAAD//HSk=")</f>
        <v>#VALUE!</v>
      </c>
      <c r="AQ61" t="e">
        <f>AND(Bills!H144,"AAAAAD//HSo=")</f>
        <v>#VALUE!</v>
      </c>
      <c r="AR61" t="e">
        <f>AND(Bills!I144,"AAAAAD//HSs=")</f>
        <v>#VALUE!</v>
      </c>
      <c r="AS61" t="e">
        <f>AND(Bills!J144,"AAAAAD//HSw=")</f>
        <v>#VALUE!</v>
      </c>
      <c r="AT61" t="e">
        <f>AND(Bills!K144,"AAAAAD//HS0=")</f>
        <v>#VALUE!</v>
      </c>
      <c r="AU61" t="e">
        <f>AND(Bills!L144,"AAAAAD//HS4=")</f>
        <v>#VALUE!</v>
      </c>
      <c r="AV61" t="e">
        <f>AND(Bills!#REF!,"AAAAAD//HS8=")</f>
        <v>#REF!</v>
      </c>
      <c r="AW61" t="e">
        <f>AND(Bills!M144,"AAAAAD//HTA=")</f>
        <v>#VALUE!</v>
      </c>
      <c r="AX61" t="e">
        <f>AND(Bills!N144,"AAAAAD//HTE=")</f>
        <v>#VALUE!</v>
      </c>
      <c r="AY61" t="e">
        <f>AND(Bills!O144,"AAAAAD//HTI=")</f>
        <v>#VALUE!</v>
      </c>
      <c r="AZ61" t="e">
        <f>AND(Bills!P144,"AAAAAD//HTM=")</f>
        <v>#VALUE!</v>
      </c>
      <c r="BA61" t="e">
        <f>AND(Bills!Q144,"AAAAAD//HTQ=")</f>
        <v>#VALUE!</v>
      </c>
      <c r="BB61" t="e">
        <f>AND(Bills!R144,"AAAAAD//HTU=")</f>
        <v>#VALUE!</v>
      </c>
      <c r="BC61" t="e">
        <f>AND(Bills!S144,"AAAAAD//HTY=")</f>
        <v>#VALUE!</v>
      </c>
      <c r="BD61" t="e">
        <f>AND(Bills!T144,"AAAAAD//HTc=")</f>
        <v>#VALUE!</v>
      </c>
      <c r="BE61" t="e">
        <f>AND(Bills!#REF!,"AAAAAD//HTg=")</f>
        <v>#REF!</v>
      </c>
      <c r="BF61" t="e">
        <f>AND(Bills!U144,"AAAAAD//HTk=")</f>
        <v>#VALUE!</v>
      </c>
      <c r="BG61" t="e">
        <f>AND(Bills!V144,"AAAAAD//HTo=")</f>
        <v>#VALUE!</v>
      </c>
      <c r="BH61" t="e">
        <f>AND(Bills!W144,"AAAAAD//HTs=")</f>
        <v>#VALUE!</v>
      </c>
      <c r="BI61" t="e">
        <f>AND(Bills!#REF!,"AAAAAD//HTw=")</f>
        <v>#REF!</v>
      </c>
      <c r="BJ61" t="e">
        <f>AND(Bills!#REF!,"AAAAAD//HT0=")</f>
        <v>#REF!</v>
      </c>
      <c r="BK61" t="e">
        <f>AND(Bills!Y144,"AAAAAD//HT4=")</f>
        <v>#VALUE!</v>
      </c>
      <c r="BL61" t="e">
        <f>AND(Bills!Z144,"AAAAAD//HT8=")</f>
        <v>#VALUE!</v>
      </c>
      <c r="BM61" t="e">
        <f>AND(Bills!#REF!,"AAAAAD//HUA=")</f>
        <v>#REF!</v>
      </c>
      <c r="BN61" t="e">
        <f>AND(Bills!#REF!,"AAAAAD//HUE=")</f>
        <v>#REF!</v>
      </c>
      <c r="BO61" t="e">
        <f>AND(Bills!#REF!,"AAAAAD//HUI=")</f>
        <v>#REF!</v>
      </c>
      <c r="BP61" t="e">
        <f>AND(Bills!#REF!,"AAAAAD//HUM=")</f>
        <v>#REF!</v>
      </c>
      <c r="BQ61" t="e">
        <f>AND(Bills!#REF!,"AAAAAD//HUQ=")</f>
        <v>#REF!</v>
      </c>
      <c r="BR61" t="e">
        <f>AND(Bills!#REF!,"AAAAAD//HUU=")</f>
        <v>#REF!</v>
      </c>
      <c r="BS61" t="e">
        <f>AND(Bills!#REF!,"AAAAAD//HUY=")</f>
        <v>#REF!</v>
      </c>
      <c r="BT61" t="e">
        <f>AND(Bills!#REF!,"AAAAAD//HUc=")</f>
        <v>#REF!</v>
      </c>
      <c r="BU61" t="e">
        <f>AND(Bills!#REF!,"AAAAAD//HUg=")</f>
        <v>#REF!</v>
      </c>
      <c r="BV61" t="e">
        <f>AND(Bills!AA144,"AAAAAD//HUk=")</f>
        <v>#VALUE!</v>
      </c>
      <c r="BW61" t="e">
        <f>AND(Bills!AB144,"AAAAAD//HUo=")</f>
        <v>#VALUE!</v>
      </c>
      <c r="BX61" t="e">
        <f>AND(Bills!#REF!,"AAAAAD//HUs=")</f>
        <v>#REF!</v>
      </c>
      <c r="BY61" t="e">
        <f>AND(Bills!#REF!,"AAAAAD//HUw=")</f>
        <v>#REF!</v>
      </c>
      <c r="BZ61" t="e">
        <f>AND(Bills!#REF!,"AAAAAD//HU0=")</f>
        <v>#REF!</v>
      </c>
      <c r="CA61" t="e">
        <f>AND(Bills!AC144,"AAAAAD//HU4=")</f>
        <v>#VALUE!</v>
      </c>
      <c r="CB61" t="e">
        <f>AND(Bills!AD144,"AAAAAD//HU8=")</f>
        <v>#VALUE!</v>
      </c>
      <c r="CC61" t="e">
        <f>AND(Bills!AE144,"AAAAAD//HVA=")</f>
        <v>#VALUE!</v>
      </c>
      <c r="CD61">
        <f>IF(Bills!145:145,"AAAAAD//HVE=",0)</f>
        <v>0</v>
      </c>
      <c r="CE61" t="e">
        <f>AND(Bills!B145,"AAAAAD//HVI=")</f>
        <v>#VALUE!</v>
      </c>
      <c r="CF61" t="e">
        <f>AND(Bills!#REF!,"AAAAAD//HVM=")</f>
        <v>#REF!</v>
      </c>
      <c r="CG61" t="e">
        <f>AND(Bills!C145,"AAAAAD//HVQ=")</f>
        <v>#VALUE!</v>
      </c>
      <c r="CH61" t="e">
        <f>AND(Bills!D145,"AAAAAD//HVU=")</f>
        <v>#VALUE!</v>
      </c>
      <c r="CI61" t="e">
        <f>AND(Bills!E145,"AAAAAD//HVY=")</f>
        <v>#VALUE!</v>
      </c>
      <c r="CJ61" t="e">
        <f>AND(Bills!#REF!,"AAAAAD//HVc=")</f>
        <v>#REF!</v>
      </c>
      <c r="CK61" t="e">
        <f>AND(Bills!#REF!,"AAAAAD//HVg=")</f>
        <v>#REF!</v>
      </c>
      <c r="CL61" t="e">
        <f>AND(Bills!#REF!,"AAAAAD//HVk=")</f>
        <v>#REF!</v>
      </c>
      <c r="CM61" t="e">
        <f>AND(Bills!F145,"AAAAAD//HVo=")</f>
        <v>#VALUE!</v>
      </c>
      <c r="CN61" t="e">
        <f>AND(Bills!#REF!,"AAAAAD//HVs=")</f>
        <v>#REF!</v>
      </c>
      <c r="CO61" t="e">
        <f>AND(Bills!G145,"AAAAAD//HVw=")</f>
        <v>#VALUE!</v>
      </c>
      <c r="CP61" t="e">
        <f>AND(Bills!H145,"AAAAAD//HV0=")</f>
        <v>#VALUE!</v>
      </c>
      <c r="CQ61" t="e">
        <f>AND(Bills!I145,"AAAAAD//HV4=")</f>
        <v>#VALUE!</v>
      </c>
      <c r="CR61" t="e">
        <f>AND(Bills!J145,"AAAAAD//HV8=")</f>
        <v>#VALUE!</v>
      </c>
      <c r="CS61" t="e">
        <f>AND(Bills!K145,"AAAAAD//HWA=")</f>
        <v>#VALUE!</v>
      </c>
      <c r="CT61" t="e">
        <f>AND(Bills!L145,"AAAAAD//HWE=")</f>
        <v>#VALUE!</v>
      </c>
      <c r="CU61" t="e">
        <f>AND(Bills!#REF!,"AAAAAD//HWI=")</f>
        <v>#REF!</v>
      </c>
      <c r="CV61" t="e">
        <f>AND(Bills!M145,"AAAAAD//HWM=")</f>
        <v>#VALUE!</v>
      </c>
      <c r="CW61" t="e">
        <f>AND(Bills!N145,"AAAAAD//HWQ=")</f>
        <v>#VALUE!</v>
      </c>
      <c r="CX61" t="e">
        <f>AND(Bills!O145,"AAAAAD//HWU=")</f>
        <v>#VALUE!</v>
      </c>
      <c r="CY61" t="e">
        <f>AND(Bills!P145,"AAAAAD//HWY=")</f>
        <v>#VALUE!</v>
      </c>
      <c r="CZ61" t="e">
        <f>AND(Bills!Q145,"AAAAAD//HWc=")</f>
        <v>#VALUE!</v>
      </c>
      <c r="DA61" t="e">
        <f>AND(Bills!R145,"AAAAAD//HWg=")</f>
        <v>#VALUE!</v>
      </c>
      <c r="DB61" t="e">
        <f>AND(Bills!S145,"AAAAAD//HWk=")</f>
        <v>#VALUE!</v>
      </c>
      <c r="DC61" t="e">
        <f>AND(Bills!T145,"AAAAAD//HWo=")</f>
        <v>#VALUE!</v>
      </c>
      <c r="DD61" t="e">
        <f>AND(Bills!#REF!,"AAAAAD//HWs=")</f>
        <v>#REF!</v>
      </c>
      <c r="DE61" t="e">
        <f>AND(Bills!U145,"AAAAAD//HWw=")</f>
        <v>#VALUE!</v>
      </c>
      <c r="DF61" t="e">
        <f>AND(Bills!V145,"AAAAAD//HW0=")</f>
        <v>#VALUE!</v>
      </c>
      <c r="DG61" t="e">
        <f>AND(Bills!W145,"AAAAAD//HW4=")</f>
        <v>#VALUE!</v>
      </c>
      <c r="DH61" t="e">
        <f>AND(Bills!#REF!,"AAAAAD//HW8=")</f>
        <v>#REF!</v>
      </c>
      <c r="DI61" t="e">
        <f>AND(Bills!#REF!,"AAAAAD//HXA=")</f>
        <v>#REF!</v>
      </c>
      <c r="DJ61" t="e">
        <f>AND(Bills!Y145,"AAAAAD//HXE=")</f>
        <v>#VALUE!</v>
      </c>
      <c r="DK61" t="e">
        <f>AND(Bills!Z145,"AAAAAD//HXI=")</f>
        <v>#VALUE!</v>
      </c>
      <c r="DL61" t="e">
        <f>AND(Bills!#REF!,"AAAAAD//HXM=")</f>
        <v>#REF!</v>
      </c>
      <c r="DM61" t="e">
        <f>AND(Bills!#REF!,"AAAAAD//HXQ=")</f>
        <v>#REF!</v>
      </c>
      <c r="DN61" t="e">
        <f>AND(Bills!#REF!,"AAAAAD//HXU=")</f>
        <v>#REF!</v>
      </c>
      <c r="DO61" t="e">
        <f>AND(Bills!#REF!,"AAAAAD//HXY=")</f>
        <v>#REF!</v>
      </c>
      <c r="DP61" t="e">
        <f>AND(Bills!#REF!,"AAAAAD//HXc=")</f>
        <v>#REF!</v>
      </c>
      <c r="DQ61" t="e">
        <f>AND(Bills!#REF!,"AAAAAD//HXg=")</f>
        <v>#REF!</v>
      </c>
      <c r="DR61" t="e">
        <f>AND(Bills!#REF!,"AAAAAD//HXk=")</f>
        <v>#REF!</v>
      </c>
      <c r="DS61" t="e">
        <f>AND(Bills!#REF!,"AAAAAD//HXo=")</f>
        <v>#REF!</v>
      </c>
      <c r="DT61" t="e">
        <f>AND(Bills!#REF!,"AAAAAD//HXs=")</f>
        <v>#REF!</v>
      </c>
      <c r="DU61" t="e">
        <f>AND(Bills!AA145,"AAAAAD//HXw=")</f>
        <v>#VALUE!</v>
      </c>
      <c r="DV61" t="e">
        <f>AND(Bills!AB145,"AAAAAD//HX0=")</f>
        <v>#VALUE!</v>
      </c>
      <c r="DW61" t="e">
        <f>AND(Bills!#REF!,"AAAAAD//HX4=")</f>
        <v>#REF!</v>
      </c>
      <c r="DX61" t="e">
        <f>AND(Bills!#REF!,"AAAAAD//HX8=")</f>
        <v>#REF!</v>
      </c>
      <c r="DY61" t="e">
        <f>AND(Bills!#REF!,"AAAAAD//HYA=")</f>
        <v>#REF!</v>
      </c>
      <c r="DZ61" t="e">
        <f>AND(Bills!AC145,"AAAAAD//HYE=")</f>
        <v>#VALUE!</v>
      </c>
      <c r="EA61" t="e">
        <f>AND(Bills!AD145,"AAAAAD//HYI=")</f>
        <v>#VALUE!</v>
      </c>
      <c r="EB61" t="e">
        <f>AND(Bills!AE145,"AAAAAD//HYM=")</f>
        <v>#VALUE!</v>
      </c>
      <c r="EC61">
        <f>IF(Bills!146:146,"AAAAAD//HYQ=",0)</f>
        <v>0</v>
      </c>
      <c r="ED61" t="e">
        <f>AND(Bills!B146,"AAAAAD//HYU=")</f>
        <v>#VALUE!</v>
      </c>
      <c r="EE61" t="e">
        <f>AND(Bills!#REF!,"AAAAAD//HYY=")</f>
        <v>#REF!</v>
      </c>
      <c r="EF61" t="e">
        <f>AND(Bills!C146,"AAAAAD//HYc=")</f>
        <v>#VALUE!</v>
      </c>
      <c r="EG61" t="e">
        <f>AND(Bills!D146,"AAAAAD//HYg=")</f>
        <v>#VALUE!</v>
      </c>
      <c r="EH61" t="e">
        <f>AND(Bills!E146,"AAAAAD//HYk=")</f>
        <v>#VALUE!</v>
      </c>
      <c r="EI61" t="e">
        <f>AND(Bills!#REF!,"AAAAAD//HYo=")</f>
        <v>#REF!</v>
      </c>
      <c r="EJ61" t="e">
        <f>AND(Bills!#REF!,"AAAAAD//HYs=")</f>
        <v>#REF!</v>
      </c>
      <c r="EK61" t="e">
        <f>AND(Bills!#REF!,"AAAAAD//HYw=")</f>
        <v>#REF!</v>
      </c>
      <c r="EL61" t="e">
        <f>AND(Bills!F146,"AAAAAD//HY0=")</f>
        <v>#VALUE!</v>
      </c>
      <c r="EM61" t="e">
        <f>AND(Bills!#REF!,"AAAAAD//HY4=")</f>
        <v>#REF!</v>
      </c>
      <c r="EN61" t="e">
        <f>AND(Bills!G146,"AAAAAD//HY8=")</f>
        <v>#VALUE!</v>
      </c>
      <c r="EO61" t="e">
        <f>AND(Bills!H146,"AAAAAD//HZA=")</f>
        <v>#VALUE!</v>
      </c>
      <c r="EP61" t="e">
        <f>AND(Bills!I146,"AAAAAD//HZE=")</f>
        <v>#VALUE!</v>
      </c>
      <c r="EQ61" t="e">
        <f>AND(Bills!J146,"AAAAAD//HZI=")</f>
        <v>#VALUE!</v>
      </c>
      <c r="ER61" t="e">
        <f>AND(Bills!K146,"AAAAAD//HZM=")</f>
        <v>#VALUE!</v>
      </c>
      <c r="ES61" t="e">
        <f>AND(Bills!L146,"AAAAAD//HZQ=")</f>
        <v>#VALUE!</v>
      </c>
      <c r="ET61" t="e">
        <f>AND(Bills!#REF!,"AAAAAD//HZU=")</f>
        <v>#REF!</v>
      </c>
      <c r="EU61" t="e">
        <f>AND(Bills!M146,"AAAAAD//HZY=")</f>
        <v>#VALUE!</v>
      </c>
      <c r="EV61" t="e">
        <f>AND(Bills!N146,"AAAAAD//HZc=")</f>
        <v>#VALUE!</v>
      </c>
      <c r="EW61" t="e">
        <f>AND(Bills!O146,"AAAAAD//HZg=")</f>
        <v>#VALUE!</v>
      </c>
      <c r="EX61" t="e">
        <f>AND(Bills!P146,"AAAAAD//HZk=")</f>
        <v>#VALUE!</v>
      </c>
      <c r="EY61" t="e">
        <f>AND(Bills!Q146,"AAAAAD//HZo=")</f>
        <v>#VALUE!</v>
      </c>
      <c r="EZ61" t="e">
        <f>AND(Bills!R146,"AAAAAD//HZs=")</f>
        <v>#VALUE!</v>
      </c>
      <c r="FA61" t="e">
        <f>AND(Bills!S146,"AAAAAD//HZw=")</f>
        <v>#VALUE!</v>
      </c>
      <c r="FB61" t="e">
        <f>AND(Bills!T146,"AAAAAD//HZ0=")</f>
        <v>#VALUE!</v>
      </c>
      <c r="FC61" t="e">
        <f>AND(Bills!#REF!,"AAAAAD//HZ4=")</f>
        <v>#REF!</v>
      </c>
      <c r="FD61" t="e">
        <f>AND(Bills!U146,"AAAAAD//HZ8=")</f>
        <v>#VALUE!</v>
      </c>
      <c r="FE61" t="e">
        <f>AND(Bills!V146,"AAAAAD//HaA=")</f>
        <v>#VALUE!</v>
      </c>
      <c r="FF61" t="e">
        <f>AND(Bills!W146,"AAAAAD//HaE=")</f>
        <v>#VALUE!</v>
      </c>
      <c r="FG61" t="e">
        <f>AND(Bills!#REF!,"AAAAAD//HaI=")</f>
        <v>#REF!</v>
      </c>
      <c r="FH61" t="e">
        <f>AND(Bills!#REF!,"AAAAAD//HaM=")</f>
        <v>#REF!</v>
      </c>
      <c r="FI61" t="e">
        <f>AND(Bills!Y146,"AAAAAD//HaQ=")</f>
        <v>#VALUE!</v>
      </c>
      <c r="FJ61" t="e">
        <f>AND(Bills!Z146,"AAAAAD//HaU=")</f>
        <v>#VALUE!</v>
      </c>
      <c r="FK61" t="e">
        <f>AND(Bills!#REF!,"AAAAAD//HaY=")</f>
        <v>#REF!</v>
      </c>
      <c r="FL61" t="e">
        <f>AND(Bills!#REF!,"AAAAAD//Hac=")</f>
        <v>#REF!</v>
      </c>
      <c r="FM61" t="e">
        <f>AND(Bills!#REF!,"AAAAAD//Hag=")</f>
        <v>#REF!</v>
      </c>
      <c r="FN61" t="e">
        <f>AND(Bills!#REF!,"AAAAAD//Hak=")</f>
        <v>#REF!</v>
      </c>
      <c r="FO61" t="e">
        <f>AND(Bills!#REF!,"AAAAAD//Hao=")</f>
        <v>#REF!</v>
      </c>
      <c r="FP61" t="e">
        <f>AND(Bills!#REF!,"AAAAAD//Has=")</f>
        <v>#REF!</v>
      </c>
      <c r="FQ61" t="e">
        <f>AND(Bills!#REF!,"AAAAAD//Haw=")</f>
        <v>#REF!</v>
      </c>
      <c r="FR61" t="e">
        <f>AND(Bills!#REF!,"AAAAAD//Ha0=")</f>
        <v>#REF!</v>
      </c>
      <c r="FS61" t="e">
        <f>AND(Bills!#REF!,"AAAAAD//Ha4=")</f>
        <v>#REF!</v>
      </c>
      <c r="FT61" t="e">
        <f>AND(Bills!AA146,"AAAAAD//Ha8=")</f>
        <v>#VALUE!</v>
      </c>
      <c r="FU61" t="e">
        <f>AND(Bills!AB146,"AAAAAD//HbA=")</f>
        <v>#VALUE!</v>
      </c>
      <c r="FV61" t="e">
        <f>AND(Bills!#REF!,"AAAAAD//HbE=")</f>
        <v>#REF!</v>
      </c>
      <c r="FW61" t="e">
        <f>AND(Bills!#REF!,"AAAAAD//HbI=")</f>
        <v>#REF!</v>
      </c>
      <c r="FX61" t="e">
        <f>AND(Bills!#REF!,"AAAAAD//HbM=")</f>
        <v>#REF!</v>
      </c>
      <c r="FY61" t="e">
        <f>AND(Bills!AC146,"AAAAAD//HbQ=")</f>
        <v>#VALUE!</v>
      </c>
      <c r="FZ61" t="e">
        <f>AND(Bills!AD146,"AAAAAD//HbU=")</f>
        <v>#VALUE!</v>
      </c>
      <c r="GA61" t="e">
        <f>AND(Bills!AE146,"AAAAAD//HbY=")</f>
        <v>#VALUE!</v>
      </c>
      <c r="GB61">
        <f>IF(Bills!147:147,"AAAAAD//Hbc=",0)</f>
        <v>0</v>
      </c>
      <c r="GC61" t="e">
        <f>AND(Bills!B147,"AAAAAD//Hbg=")</f>
        <v>#VALUE!</v>
      </c>
      <c r="GD61" t="e">
        <f>AND(Bills!#REF!,"AAAAAD//Hbk=")</f>
        <v>#REF!</v>
      </c>
      <c r="GE61" t="e">
        <f>AND(Bills!C147,"AAAAAD//Hbo=")</f>
        <v>#VALUE!</v>
      </c>
      <c r="GF61" t="e">
        <f>AND(Bills!D147,"AAAAAD//Hbs=")</f>
        <v>#VALUE!</v>
      </c>
      <c r="GG61" t="e">
        <f>AND(Bills!E147,"AAAAAD//Hbw=")</f>
        <v>#VALUE!</v>
      </c>
      <c r="GH61" t="e">
        <f>AND(Bills!#REF!,"AAAAAD//Hb0=")</f>
        <v>#REF!</v>
      </c>
      <c r="GI61" t="e">
        <f>AND(Bills!#REF!,"AAAAAD//Hb4=")</f>
        <v>#REF!</v>
      </c>
      <c r="GJ61" t="e">
        <f>AND(Bills!#REF!,"AAAAAD//Hb8=")</f>
        <v>#REF!</v>
      </c>
      <c r="GK61" t="e">
        <f>AND(Bills!F147,"AAAAAD//HcA=")</f>
        <v>#VALUE!</v>
      </c>
      <c r="GL61" t="e">
        <f>AND(Bills!#REF!,"AAAAAD//HcE=")</f>
        <v>#REF!</v>
      </c>
      <c r="GM61" t="e">
        <f>AND(Bills!G147,"AAAAAD//HcI=")</f>
        <v>#VALUE!</v>
      </c>
      <c r="GN61" t="e">
        <f>AND(Bills!H147,"AAAAAD//HcM=")</f>
        <v>#VALUE!</v>
      </c>
      <c r="GO61" t="e">
        <f>AND(Bills!I147,"AAAAAD//HcQ=")</f>
        <v>#VALUE!</v>
      </c>
      <c r="GP61" t="e">
        <f>AND(Bills!J147,"AAAAAD//HcU=")</f>
        <v>#VALUE!</v>
      </c>
      <c r="GQ61" t="e">
        <f>AND(Bills!K147,"AAAAAD//HcY=")</f>
        <v>#VALUE!</v>
      </c>
      <c r="GR61" t="e">
        <f>AND(Bills!L147,"AAAAAD//Hcc=")</f>
        <v>#VALUE!</v>
      </c>
      <c r="GS61" t="e">
        <f>AND(Bills!#REF!,"AAAAAD//Hcg=")</f>
        <v>#REF!</v>
      </c>
      <c r="GT61" t="e">
        <f>AND(Bills!M147,"AAAAAD//Hck=")</f>
        <v>#VALUE!</v>
      </c>
      <c r="GU61" t="e">
        <f>AND(Bills!N147,"AAAAAD//Hco=")</f>
        <v>#VALUE!</v>
      </c>
      <c r="GV61" t="e">
        <f>AND(Bills!O147,"AAAAAD//Hcs=")</f>
        <v>#VALUE!</v>
      </c>
      <c r="GW61" t="e">
        <f>AND(Bills!P147,"AAAAAD//Hcw=")</f>
        <v>#VALUE!</v>
      </c>
      <c r="GX61" t="e">
        <f>AND(Bills!Q147,"AAAAAD//Hc0=")</f>
        <v>#VALUE!</v>
      </c>
      <c r="GY61" t="e">
        <f>AND(Bills!R147,"AAAAAD//Hc4=")</f>
        <v>#VALUE!</v>
      </c>
      <c r="GZ61" t="e">
        <f>AND(Bills!S147,"AAAAAD//Hc8=")</f>
        <v>#VALUE!</v>
      </c>
      <c r="HA61" t="e">
        <f>AND(Bills!T147,"AAAAAD//HdA=")</f>
        <v>#VALUE!</v>
      </c>
      <c r="HB61" t="e">
        <f>AND(Bills!#REF!,"AAAAAD//HdE=")</f>
        <v>#REF!</v>
      </c>
      <c r="HC61" t="e">
        <f>AND(Bills!U147,"AAAAAD//HdI=")</f>
        <v>#VALUE!</v>
      </c>
      <c r="HD61" t="e">
        <f>AND(Bills!V147,"AAAAAD//HdM=")</f>
        <v>#VALUE!</v>
      </c>
      <c r="HE61" t="e">
        <f>AND(Bills!W147,"AAAAAD//HdQ=")</f>
        <v>#VALUE!</v>
      </c>
      <c r="HF61" t="e">
        <f>AND(Bills!#REF!,"AAAAAD//HdU=")</f>
        <v>#REF!</v>
      </c>
      <c r="HG61" t="e">
        <f>AND(Bills!#REF!,"AAAAAD//HdY=")</f>
        <v>#REF!</v>
      </c>
      <c r="HH61" t="e">
        <f>AND(Bills!Y147,"AAAAAD//Hdc=")</f>
        <v>#VALUE!</v>
      </c>
      <c r="HI61" t="e">
        <f>AND(Bills!Z147,"AAAAAD//Hdg=")</f>
        <v>#VALUE!</v>
      </c>
      <c r="HJ61" t="e">
        <f>AND(Bills!#REF!,"AAAAAD//Hdk=")</f>
        <v>#REF!</v>
      </c>
      <c r="HK61" t="e">
        <f>AND(Bills!#REF!,"AAAAAD//Hdo=")</f>
        <v>#REF!</v>
      </c>
      <c r="HL61" t="e">
        <f>AND(Bills!#REF!,"AAAAAD//Hds=")</f>
        <v>#REF!</v>
      </c>
      <c r="HM61" t="e">
        <f>AND(Bills!#REF!,"AAAAAD//Hdw=")</f>
        <v>#REF!</v>
      </c>
      <c r="HN61" t="e">
        <f>AND(Bills!#REF!,"AAAAAD//Hd0=")</f>
        <v>#REF!</v>
      </c>
      <c r="HO61" t="e">
        <f>AND(Bills!#REF!,"AAAAAD//Hd4=")</f>
        <v>#REF!</v>
      </c>
      <c r="HP61" t="e">
        <f>AND(Bills!#REF!,"AAAAAD//Hd8=")</f>
        <v>#REF!</v>
      </c>
      <c r="HQ61" t="e">
        <f>AND(Bills!#REF!,"AAAAAD//HeA=")</f>
        <v>#REF!</v>
      </c>
      <c r="HR61" t="e">
        <f>AND(Bills!#REF!,"AAAAAD//HeE=")</f>
        <v>#REF!</v>
      </c>
      <c r="HS61" t="e">
        <f>AND(Bills!AA147,"AAAAAD//HeI=")</f>
        <v>#VALUE!</v>
      </c>
      <c r="HT61" t="e">
        <f>AND(Bills!AB147,"AAAAAD//HeM=")</f>
        <v>#VALUE!</v>
      </c>
      <c r="HU61" t="e">
        <f>AND(Bills!#REF!,"AAAAAD//HeQ=")</f>
        <v>#REF!</v>
      </c>
      <c r="HV61" t="e">
        <f>AND(Bills!#REF!,"AAAAAD//HeU=")</f>
        <v>#REF!</v>
      </c>
      <c r="HW61" t="e">
        <f>AND(Bills!#REF!,"AAAAAD//HeY=")</f>
        <v>#REF!</v>
      </c>
      <c r="HX61" t="e">
        <f>AND(Bills!AC147,"AAAAAD//Hec=")</f>
        <v>#VALUE!</v>
      </c>
      <c r="HY61" t="e">
        <f>AND(Bills!AD147,"AAAAAD//Heg=")</f>
        <v>#VALUE!</v>
      </c>
      <c r="HZ61" t="e">
        <f>AND(Bills!AE147,"AAAAAD//Hek=")</f>
        <v>#VALUE!</v>
      </c>
      <c r="IA61">
        <f>IF(Bills!148:148,"AAAAAD//Heo=",0)</f>
        <v>0</v>
      </c>
      <c r="IB61" t="e">
        <f>AND(Bills!B148,"AAAAAD//Hes=")</f>
        <v>#VALUE!</v>
      </c>
      <c r="IC61" t="e">
        <f>AND(Bills!#REF!,"AAAAAD//Hew=")</f>
        <v>#REF!</v>
      </c>
      <c r="ID61" t="e">
        <f>AND(Bills!C148,"AAAAAD//He0=")</f>
        <v>#VALUE!</v>
      </c>
      <c r="IE61" t="e">
        <f>AND(Bills!D148,"AAAAAD//He4=")</f>
        <v>#VALUE!</v>
      </c>
      <c r="IF61" t="e">
        <f>AND(Bills!E148,"AAAAAD//He8=")</f>
        <v>#VALUE!</v>
      </c>
      <c r="IG61" t="e">
        <f>AND(Bills!#REF!,"AAAAAD//HfA=")</f>
        <v>#REF!</v>
      </c>
      <c r="IH61" t="e">
        <f>AND(Bills!#REF!,"AAAAAD//HfE=")</f>
        <v>#REF!</v>
      </c>
      <c r="II61" t="e">
        <f>AND(Bills!#REF!,"AAAAAD//HfI=")</f>
        <v>#REF!</v>
      </c>
      <c r="IJ61" t="e">
        <f>AND(Bills!F148,"AAAAAD//HfM=")</f>
        <v>#VALUE!</v>
      </c>
      <c r="IK61" t="e">
        <f>AND(Bills!#REF!,"AAAAAD//HfQ=")</f>
        <v>#REF!</v>
      </c>
      <c r="IL61" t="e">
        <f>AND(Bills!G148,"AAAAAD//HfU=")</f>
        <v>#VALUE!</v>
      </c>
      <c r="IM61" t="e">
        <f>AND(Bills!H148,"AAAAAD//HfY=")</f>
        <v>#VALUE!</v>
      </c>
      <c r="IN61" t="e">
        <f>AND(Bills!I148,"AAAAAD//Hfc=")</f>
        <v>#VALUE!</v>
      </c>
      <c r="IO61" t="e">
        <f>AND(Bills!J148,"AAAAAD//Hfg=")</f>
        <v>#VALUE!</v>
      </c>
      <c r="IP61" t="e">
        <f>AND(Bills!K148,"AAAAAD//Hfk=")</f>
        <v>#VALUE!</v>
      </c>
      <c r="IQ61" t="e">
        <f>AND(Bills!L148,"AAAAAD//Hfo=")</f>
        <v>#VALUE!</v>
      </c>
      <c r="IR61" t="e">
        <f>AND(Bills!#REF!,"AAAAAD//Hfs=")</f>
        <v>#REF!</v>
      </c>
      <c r="IS61" t="e">
        <f>AND(Bills!M148,"AAAAAD//Hfw=")</f>
        <v>#VALUE!</v>
      </c>
      <c r="IT61" t="e">
        <f>AND(Bills!N148,"AAAAAD//Hf0=")</f>
        <v>#VALUE!</v>
      </c>
      <c r="IU61" t="e">
        <f>AND(Bills!O148,"AAAAAD//Hf4=")</f>
        <v>#VALUE!</v>
      </c>
      <c r="IV61" t="e">
        <f>AND(Bills!P148,"AAAAAD//Hf8=")</f>
        <v>#VALUE!</v>
      </c>
    </row>
    <row r="62" spans="1:256" x14ac:dyDescent="0.25">
      <c r="A62" t="e">
        <f>AND(Bills!Q148,"AAAAAHj+5wA=")</f>
        <v>#VALUE!</v>
      </c>
      <c r="B62" t="e">
        <f>AND(Bills!R148,"AAAAAHj+5wE=")</f>
        <v>#VALUE!</v>
      </c>
      <c r="C62" t="e">
        <f>AND(Bills!S148,"AAAAAHj+5wI=")</f>
        <v>#VALUE!</v>
      </c>
      <c r="D62" t="e">
        <f>AND(Bills!T148,"AAAAAHj+5wM=")</f>
        <v>#VALUE!</v>
      </c>
      <c r="E62" t="e">
        <f>AND(Bills!#REF!,"AAAAAHj+5wQ=")</f>
        <v>#REF!</v>
      </c>
      <c r="F62" t="e">
        <f>AND(Bills!U148,"AAAAAHj+5wU=")</f>
        <v>#VALUE!</v>
      </c>
      <c r="G62" t="e">
        <f>AND(Bills!V148,"AAAAAHj+5wY=")</f>
        <v>#VALUE!</v>
      </c>
      <c r="H62" t="e">
        <f>AND(Bills!W148,"AAAAAHj+5wc=")</f>
        <v>#VALUE!</v>
      </c>
      <c r="I62" t="e">
        <f>AND(Bills!#REF!,"AAAAAHj+5wg=")</f>
        <v>#REF!</v>
      </c>
      <c r="J62" t="e">
        <f>AND(Bills!#REF!,"AAAAAHj+5wk=")</f>
        <v>#REF!</v>
      </c>
      <c r="K62" t="e">
        <f>AND(Bills!Y148,"AAAAAHj+5wo=")</f>
        <v>#VALUE!</v>
      </c>
      <c r="L62" t="e">
        <f>AND(Bills!Z148,"AAAAAHj+5ws=")</f>
        <v>#VALUE!</v>
      </c>
      <c r="M62" t="e">
        <f>AND(Bills!#REF!,"AAAAAHj+5ww=")</f>
        <v>#REF!</v>
      </c>
      <c r="N62" t="e">
        <f>AND(Bills!#REF!,"AAAAAHj+5w0=")</f>
        <v>#REF!</v>
      </c>
      <c r="O62" t="e">
        <f>AND(Bills!#REF!,"AAAAAHj+5w4=")</f>
        <v>#REF!</v>
      </c>
      <c r="P62" t="e">
        <f>AND(Bills!#REF!,"AAAAAHj+5w8=")</f>
        <v>#REF!</v>
      </c>
      <c r="Q62" t="e">
        <f>AND(Bills!#REF!,"AAAAAHj+5xA=")</f>
        <v>#REF!</v>
      </c>
      <c r="R62" t="e">
        <f>AND(Bills!#REF!,"AAAAAHj+5xE=")</f>
        <v>#REF!</v>
      </c>
      <c r="S62" t="e">
        <f>AND(Bills!#REF!,"AAAAAHj+5xI=")</f>
        <v>#REF!</v>
      </c>
      <c r="T62" t="e">
        <f>AND(Bills!#REF!,"AAAAAHj+5xM=")</f>
        <v>#REF!</v>
      </c>
      <c r="U62" t="e">
        <f>AND(Bills!#REF!,"AAAAAHj+5xQ=")</f>
        <v>#REF!</v>
      </c>
      <c r="V62" t="e">
        <f>AND(Bills!AA148,"AAAAAHj+5xU=")</f>
        <v>#VALUE!</v>
      </c>
      <c r="W62" t="e">
        <f>AND(Bills!AB148,"AAAAAHj+5xY=")</f>
        <v>#VALUE!</v>
      </c>
      <c r="X62" t="e">
        <f>AND(Bills!#REF!,"AAAAAHj+5xc=")</f>
        <v>#REF!</v>
      </c>
      <c r="Y62" t="e">
        <f>AND(Bills!#REF!,"AAAAAHj+5xg=")</f>
        <v>#REF!</v>
      </c>
      <c r="Z62" t="e">
        <f>AND(Bills!#REF!,"AAAAAHj+5xk=")</f>
        <v>#REF!</v>
      </c>
      <c r="AA62" t="e">
        <f>AND(Bills!AC148,"AAAAAHj+5xo=")</f>
        <v>#VALUE!</v>
      </c>
      <c r="AB62" t="e">
        <f>AND(Bills!AD148,"AAAAAHj+5xs=")</f>
        <v>#VALUE!</v>
      </c>
      <c r="AC62" t="e">
        <f>AND(Bills!AE148,"AAAAAHj+5xw=")</f>
        <v>#VALUE!</v>
      </c>
      <c r="AD62">
        <f>IF(Bills!149:149,"AAAAAHj+5x0=",0)</f>
        <v>0</v>
      </c>
      <c r="AE62" t="e">
        <f>AND(Bills!B149,"AAAAAHj+5x4=")</f>
        <v>#VALUE!</v>
      </c>
      <c r="AF62" t="e">
        <f>AND(Bills!#REF!,"AAAAAHj+5x8=")</f>
        <v>#REF!</v>
      </c>
      <c r="AG62" t="e">
        <f>AND(Bills!C149,"AAAAAHj+5yA=")</f>
        <v>#VALUE!</v>
      </c>
      <c r="AH62" t="e">
        <f>AND(Bills!D149,"AAAAAHj+5yE=")</f>
        <v>#VALUE!</v>
      </c>
      <c r="AI62" t="e">
        <f>AND(Bills!E149,"AAAAAHj+5yI=")</f>
        <v>#VALUE!</v>
      </c>
      <c r="AJ62" t="e">
        <f>AND(Bills!#REF!,"AAAAAHj+5yM=")</f>
        <v>#REF!</v>
      </c>
      <c r="AK62" t="e">
        <f>AND(Bills!#REF!,"AAAAAHj+5yQ=")</f>
        <v>#REF!</v>
      </c>
      <c r="AL62" t="e">
        <f>AND(Bills!#REF!,"AAAAAHj+5yU=")</f>
        <v>#REF!</v>
      </c>
      <c r="AM62" t="e">
        <f>AND(Bills!F149,"AAAAAHj+5yY=")</f>
        <v>#VALUE!</v>
      </c>
      <c r="AN62" t="e">
        <f>AND(Bills!#REF!,"AAAAAHj+5yc=")</f>
        <v>#REF!</v>
      </c>
      <c r="AO62" t="e">
        <f>AND(Bills!G149,"AAAAAHj+5yg=")</f>
        <v>#VALUE!</v>
      </c>
      <c r="AP62" t="e">
        <f>AND(Bills!H149,"AAAAAHj+5yk=")</f>
        <v>#VALUE!</v>
      </c>
      <c r="AQ62" t="e">
        <f>AND(Bills!I149,"AAAAAHj+5yo=")</f>
        <v>#VALUE!</v>
      </c>
      <c r="AR62" t="e">
        <f>AND(Bills!J149,"AAAAAHj+5ys=")</f>
        <v>#VALUE!</v>
      </c>
      <c r="AS62" t="e">
        <f>AND(Bills!K149,"AAAAAHj+5yw=")</f>
        <v>#VALUE!</v>
      </c>
      <c r="AT62" t="e">
        <f>AND(Bills!L149,"AAAAAHj+5y0=")</f>
        <v>#VALUE!</v>
      </c>
      <c r="AU62" t="e">
        <f>AND(Bills!#REF!,"AAAAAHj+5y4=")</f>
        <v>#REF!</v>
      </c>
      <c r="AV62" t="e">
        <f>AND(Bills!M149,"AAAAAHj+5y8=")</f>
        <v>#VALUE!</v>
      </c>
      <c r="AW62" t="e">
        <f>AND(Bills!N149,"AAAAAHj+5zA=")</f>
        <v>#VALUE!</v>
      </c>
      <c r="AX62" t="e">
        <f>AND(Bills!O149,"AAAAAHj+5zE=")</f>
        <v>#VALUE!</v>
      </c>
      <c r="AY62" t="e">
        <f>AND(Bills!P149,"AAAAAHj+5zI=")</f>
        <v>#VALUE!</v>
      </c>
      <c r="AZ62" t="e">
        <f>AND(Bills!Q149,"AAAAAHj+5zM=")</f>
        <v>#VALUE!</v>
      </c>
      <c r="BA62" t="e">
        <f>AND(Bills!R149,"AAAAAHj+5zQ=")</f>
        <v>#VALUE!</v>
      </c>
      <c r="BB62" t="e">
        <f>AND(Bills!S149,"AAAAAHj+5zU=")</f>
        <v>#VALUE!</v>
      </c>
      <c r="BC62" t="e">
        <f>AND(Bills!T149,"AAAAAHj+5zY=")</f>
        <v>#VALUE!</v>
      </c>
      <c r="BD62" t="e">
        <f>AND(Bills!#REF!,"AAAAAHj+5zc=")</f>
        <v>#REF!</v>
      </c>
      <c r="BE62" t="e">
        <f>AND(Bills!U149,"AAAAAHj+5zg=")</f>
        <v>#VALUE!</v>
      </c>
      <c r="BF62" t="e">
        <f>AND(Bills!V149,"AAAAAHj+5zk=")</f>
        <v>#VALUE!</v>
      </c>
      <c r="BG62" t="e">
        <f>AND(Bills!W149,"AAAAAHj+5zo=")</f>
        <v>#VALUE!</v>
      </c>
      <c r="BH62" t="e">
        <f>AND(Bills!#REF!,"AAAAAHj+5zs=")</f>
        <v>#REF!</v>
      </c>
      <c r="BI62" t="e">
        <f>AND(Bills!#REF!,"AAAAAHj+5zw=")</f>
        <v>#REF!</v>
      </c>
      <c r="BJ62" t="e">
        <f>AND(Bills!Y149,"AAAAAHj+5z0=")</f>
        <v>#VALUE!</v>
      </c>
      <c r="BK62" t="e">
        <f>AND(Bills!Z149,"AAAAAHj+5z4=")</f>
        <v>#VALUE!</v>
      </c>
      <c r="BL62" t="e">
        <f>AND(Bills!#REF!,"AAAAAHj+5z8=")</f>
        <v>#REF!</v>
      </c>
      <c r="BM62" t="e">
        <f>AND(Bills!#REF!,"AAAAAHj+50A=")</f>
        <v>#REF!</v>
      </c>
      <c r="BN62" t="e">
        <f>AND(Bills!#REF!,"AAAAAHj+50E=")</f>
        <v>#REF!</v>
      </c>
      <c r="BO62" t="e">
        <f>AND(Bills!#REF!,"AAAAAHj+50I=")</f>
        <v>#REF!</v>
      </c>
      <c r="BP62" t="e">
        <f>AND(Bills!#REF!,"AAAAAHj+50M=")</f>
        <v>#REF!</v>
      </c>
      <c r="BQ62" t="e">
        <f>AND(Bills!#REF!,"AAAAAHj+50Q=")</f>
        <v>#REF!</v>
      </c>
      <c r="BR62" t="e">
        <f>AND(Bills!#REF!,"AAAAAHj+50U=")</f>
        <v>#REF!</v>
      </c>
      <c r="BS62" t="e">
        <f>AND(Bills!#REF!,"AAAAAHj+50Y=")</f>
        <v>#REF!</v>
      </c>
      <c r="BT62" t="e">
        <f>AND(Bills!#REF!,"AAAAAHj+50c=")</f>
        <v>#REF!</v>
      </c>
      <c r="BU62" t="e">
        <f>AND(Bills!AA149,"AAAAAHj+50g=")</f>
        <v>#VALUE!</v>
      </c>
      <c r="BV62" t="e">
        <f>AND(Bills!AB149,"AAAAAHj+50k=")</f>
        <v>#VALUE!</v>
      </c>
      <c r="BW62" t="e">
        <f>AND(Bills!#REF!,"AAAAAHj+50o=")</f>
        <v>#REF!</v>
      </c>
      <c r="BX62" t="e">
        <f>AND(Bills!#REF!,"AAAAAHj+50s=")</f>
        <v>#REF!</v>
      </c>
      <c r="BY62" t="e">
        <f>AND(Bills!#REF!,"AAAAAHj+50w=")</f>
        <v>#REF!</v>
      </c>
      <c r="BZ62" t="e">
        <f>AND(Bills!AC149,"AAAAAHj+500=")</f>
        <v>#VALUE!</v>
      </c>
      <c r="CA62" t="e">
        <f>AND(Bills!AD149,"AAAAAHj+504=")</f>
        <v>#VALUE!</v>
      </c>
      <c r="CB62" t="e">
        <f>AND(Bills!AE149,"AAAAAHj+508=")</f>
        <v>#VALUE!</v>
      </c>
      <c r="CC62">
        <f>IF(Bills!150:150,"AAAAAHj+51A=",0)</f>
        <v>0</v>
      </c>
      <c r="CD62" t="e">
        <f>AND(Bills!B150,"AAAAAHj+51E=")</f>
        <v>#VALUE!</v>
      </c>
      <c r="CE62" t="e">
        <f>AND(Bills!#REF!,"AAAAAHj+51I=")</f>
        <v>#REF!</v>
      </c>
      <c r="CF62" t="e">
        <f>AND(Bills!C150,"AAAAAHj+51M=")</f>
        <v>#VALUE!</v>
      </c>
      <c r="CG62" t="e">
        <f>AND(Bills!D150,"AAAAAHj+51Q=")</f>
        <v>#VALUE!</v>
      </c>
      <c r="CH62" t="e">
        <f>AND(Bills!E150,"AAAAAHj+51U=")</f>
        <v>#VALUE!</v>
      </c>
      <c r="CI62" t="e">
        <f>AND(Bills!#REF!,"AAAAAHj+51Y=")</f>
        <v>#REF!</v>
      </c>
      <c r="CJ62" t="e">
        <f>AND(Bills!#REF!,"AAAAAHj+51c=")</f>
        <v>#REF!</v>
      </c>
      <c r="CK62" t="e">
        <f>AND(Bills!#REF!,"AAAAAHj+51g=")</f>
        <v>#REF!</v>
      </c>
      <c r="CL62" t="e">
        <f>AND(Bills!F150,"AAAAAHj+51k=")</f>
        <v>#VALUE!</v>
      </c>
      <c r="CM62" t="e">
        <f>AND(Bills!#REF!,"AAAAAHj+51o=")</f>
        <v>#REF!</v>
      </c>
      <c r="CN62" t="e">
        <f>AND(Bills!G150,"AAAAAHj+51s=")</f>
        <v>#VALUE!</v>
      </c>
      <c r="CO62" t="e">
        <f>AND(Bills!H150,"AAAAAHj+51w=")</f>
        <v>#VALUE!</v>
      </c>
      <c r="CP62" t="e">
        <f>AND(Bills!I150,"AAAAAHj+510=")</f>
        <v>#VALUE!</v>
      </c>
      <c r="CQ62" t="e">
        <f>AND(Bills!J150,"AAAAAHj+514=")</f>
        <v>#VALUE!</v>
      </c>
      <c r="CR62" t="e">
        <f>AND(Bills!K150,"AAAAAHj+518=")</f>
        <v>#VALUE!</v>
      </c>
      <c r="CS62" t="e">
        <f>AND(Bills!L150,"AAAAAHj+52A=")</f>
        <v>#VALUE!</v>
      </c>
      <c r="CT62" t="e">
        <f>AND(Bills!#REF!,"AAAAAHj+52E=")</f>
        <v>#REF!</v>
      </c>
      <c r="CU62" t="e">
        <f>AND(Bills!M150,"AAAAAHj+52I=")</f>
        <v>#VALUE!</v>
      </c>
      <c r="CV62" t="e">
        <f>AND(Bills!N150,"AAAAAHj+52M=")</f>
        <v>#VALUE!</v>
      </c>
      <c r="CW62" t="e">
        <f>AND(Bills!O150,"AAAAAHj+52Q=")</f>
        <v>#VALUE!</v>
      </c>
      <c r="CX62" t="e">
        <f>AND(Bills!P150,"AAAAAHj+52U=")</f>
        <v>#VALUE!</v>
      </c>
      <c r="CY62" t="e">
        <f>AND(Bills!Q150,"AAAAAHj+52Y=")</f>
        <v>#VALUE!</v>
      </c>
      <c r="CZ62" t="e">
        <f>AND(Bills!R150,"AAAAAHj+52c=")</f>
        <v>#VALUE!</v>
      </c>
      <c r="DA62" t="e">
        <f>AND(Bills!S150,"AAAAAHj+52g=")</f>
        <v>#VALUE!</v>
      </c>
      <c r="DB62" t="e">
        <f>AND(Bills!T150,"AAAAAHj+52k=")</f>
        <v>#VALUE!</v>
      </c>
      <c r="DC62" t="e">
        <f>AND(Bills!#REF!,"AAAAAHj+52o=")</f>
        <v>#REF!</v>
      </c>
      <c r="DD62" t="e">
        <f>AND(Bills!U150,"AAAAAHj+52s=")</f>
        <v>#VALUE!</v>
      </c>
      <c r="DE62" t="e">
        <f>AND(Bills!V150,"AAAAAHj+52w=")</f>
        <v>#VALUE!</v>
      </c>
      <c r="DF62" t="e">
        <f>AND(Bills!W150,"AAAAAHj+520=")</f>
        <v>#VALUE!</v>
      </c>
      <c r="DG62" t="e">
        <f>AND(Bills!#REF!,"AAAAAHj+524=")</f>
        <v>#REF!</v>
      </c>
      <c r="DH62" t="e">
        <f>AND(Bills!#REF!,"AAAAAHj+528=")</f>
        <v>#REF!</v>
      </c>
      <c r="DI62" t="e">
        <f>AND(Bills!Y150,"AAAAAHj+53A=")</f>
        <v>#VALUE!</v>
      </c>
      <c r="DJ62" t="e">
        <f>AND(Bills!Z150,"AAAAAHj+53E=")</f>
        <v>#VALUE!</v>
      </c>
      <c r="DK62" t="e">
        <f>AND(Bills!#REF!,"AAAAAHj+53I=")</f>
        <v>#REF!</v>
      </c>
      <c r="DL62" t="e">
        <f>AND(Bills!#REF!,"AAAAAHj+53M=")</f>
        <v>#REF!</v>
      </c>
      <c r="DM62" t="e">
        <f>AND(Bills!#REF!,"AAAAAHj+53Q=")</f>
        <v>#REF!</v>
      </c>
      <c r="DN62" t="e">
        <f>AND(Bills!#REF!,"AAAAAHj+53U=")</f>
        <v>#REF!</v>
      </c>
      <c r="DO62" t="e">
        <f>AND(Bills!#REF!,"AAAAAHj+53Y=")</f>
        <v>#REF!</v>
      </c>
      <c r="DP62" t="e">
        <f>AND(Bills!#REF!,"AAAAAHj+53c=")</f>
        <v>#REF!</v>
      </c>
      <c r="DQ62" t="e">
        <f>AND(Bills!#REF!,"AAAAAHj+53g=")</f>
        <v>#REF!</v>
      </c>
      <c r="DR62" t="e">
        <f>AND(Bills!#REF!,"AAAAAHj+53k=")</f>
        <v>#REF!</v>
      </c>
      <c r="DS62" t="e">
        <f>AND(Bills!#REF!,"AAAAAHj+53o=")</f>
        <v>#REF!</v>
      </c>
      <c r="DT62" t="e">
        <f>AND(Bills!AA150,"AAAAAHj+53s=")</f>
        <v>#VALUE!</v>
      </c>
      <c r="DU62" t="e">
        <f>AND(Bills!AB150,"AAAAAHj+53w=")</f>
        <v>#VALUE!</v>
      </c>
      <c r="DV62" t="e">
        <f>AND(Bills!#REF!,"AAAAAHj+530=")</f>
        <v>#REF!</v>
      </c>
      <c r="DW62" t="e">
        <f>AND(Bills!#REF!,"AAAAAHj+534=")</f>
        <v>#REF!</v>
      </c>
      <c r="DX62" t="e">
        <f>AND(Bills!#REF!,"AAAAAHj+538=")</f>
        <v>#REF!</v>
      </c>
      <c r="DY62" t="e">
        <f>AND(Bills!AC150,"AAAAAHj+54A=")</f>
        <v>#VALUE!</v>
      </c>
      <c r="DZ62" t="e">
        <f>AND(Bills!AD150,"AAAAAHj+54E=")</f>
        <v>#VALUE!</v>
      </c>
      <c r="EA62" t="e">
        <f>AND(Bills!AE150,"AAAAAHj+54I=")</f>
        <v>#VALUE!</v>
      </c>
      <c r="EB62">
        <f>IF(Bills!151:151,"AAAAAHj+54M=",0)</f>
        <v>0</v>
      </c>
      <c r="EC62" t="e">
        <f>AND(Bills!B151,"AAAAAHj+54Q=")</f>
        <v>#VALUE!</v>
      </c>
      <c r="ED62" t="e">
        <f>AND(Bills!#REF!,"AAAAAHj+54U=")</f>
        <v>#REF!</v>
      </c>
      <c r="EE62" t="e">
        <f>AND(Bills!C151,"AAAAAHj+54Y=")</f>
        <v>#VALUE!</v>
      </c>
      <c r="EF62" t="e">
        <f>AND(Bills!D151,"AAAAAHj+54c=")</f>
        <v>#VALUE!</v>
      </c>
      <c r="EG62" t="e">
        <f>AND(Bills!E151,"AAAAAHj+54g=")</f>
        <v>#VALUE!</v>
      </c>
      <c r="EH62" t="e">
        <f>AND(Bills!#REF!,"AAAAAHj+54k=")</f>
        <v>#REF!</v>
      </c>
      <c r="EI62" t="e">
        <f>AND(Bills!#REF!,"AAAAAHj+54o=")</f>
        <v>#REF!</v>
      </c>
      <c r="EJ62" t="e">
        <f>AND(Bills!#REF!,"AAAAAHj+54s=")</f>
        <v>#REF!</v>
      </c>
      <c r="EK62" t="e">
        <f>AND(Bills!F151,"AAAAAHj+54w=")</f>
        <v>#VALUE!</v>
      </c>
      <c r="EL62" t="e">
        <f>AND(Bills!#REF!,"AAAAAHj+540=")</f>
        <v>#REF!</v>
      </c>
      <c r="EM62" t="e">
        <f>AND(Bills!G151,"AAAAAHj+544=")</f>
        <v>#VALUE!</v>
      </c>
      <c r="EN62" t="e">
        <f>AND(Bills!H151,"AAAAAHj+548=")</f>
        <v>#VALUE!</v>
      </c>
      <c r="EO62" t="e">
        <f>AND(Bills!I151,"AAAAAHj+55A=")</f>
        <v>#VALUE!</v>
      </c>
      <c r="EP62" t="e">
        <f>AND(Bills!J151,"AAAAAHj+55E=")</f>
        <v>#VALUE!</v>
      </c>
      <c r="EQ62" t="e">
        <f>AND(Bills!K151,"AAAAAHj+55I=")</f>
        <v>#VALUE!</v>
      </c>
      <c r="ER62" t="e">
        <f>AND(Bills!L151,"AAAAAHj+55M=")</f>
        <v>#VALUE!</v>
      </c>
      <c r="ES62" t="e">
        <f>AND(Bills!#REF!,"AAAAAHj+55Q=")</f>
        <v>#REF!</v>
      </c>
      <c r="ET62" t="e">
        <f>AND(Bills!M151,"AAAAAHj+55U=")</f>
        <v>#VALUE!</v>
      </c>
      <c r="EU62" t="e">
        <f>AND(Bills!N151,"AAAAAHj+55Y=")</f>
        <v>#VALUE!</v>
      </c>
      <c r="EV62" t="e">
        <f>AND(Bills!O151,"AAAAAHj+55c=")</f>
        <v>#VALUE!</v>
      </c>
      <c r="EW62" t="e">
        <f>AND(Bills!P151,"AAAAAHj+55g=")</f>
        <v>#VALUE!</v>
      </c>
      <c r="EX62" t="e">
        <f>AND(Bills!Q151,"AAAAAHj+55k=")</f>
        <v>#VALUE!</v>
      </c>
      <c r="EY62" t="e">
        <f>AND(Bills!R151,"AAAAAHj+55o=")</f>
        <v>#VALUE!</v>
      </c>
      <c r="EZ62" t="e">
        <f>AND(Bills!S151,"AAAAAHj+55s=")</f>
        <v>#VALUE!</v>
      </c>
      <c r="FA62" t="e">
        <f>AND(Bills!T151,"AAAAAHj+55w=")</f>
        <v>#VALUE!</v>
      </c>
      <c r="FB62" t="e">
        <f>AND(Bills!#REF!,"AAAAAHj+550=")</f>
        <v>#REF!</v>
      </c>
      <c r="FC62" t="e">
        <f>AND(Bills!U151,"AAAAAHj+554=")</f>
        <v>#VALUE!</v>
      </c>
      <c r="FD62" t="e">
        <f>AND(Bills!V151,"AAAAAHj+558=")</f>
        <v>#VALUE!</v>
      </c>
      <c r="FE62" t="e">
        <f>AND(Bills!W151,"AAAAAHj+56A=")</f>
        <v>#VALUE!</v>
      </c>
      <c r="FF62" t="e">
        <f>AND(Bills!#REF!,"AAAAAHj+56E=")</f>
        <v>#REF!</v>
      </c>
      <c r="FG62" t="e">
        <f>AND(Bills!#REF!,"AAAAAHj+56I=")</f>
        <v>#REF!</v>
      </c>
      <c r="FH62" t="e">
        <f>AND(Bills!Y151,"AAAAAHj+56M=")</f>
        <v>#VALUE!</v>
      </c>
      <c r="FI62" t="e">
        <f>AND(Bills!Z151,"AAAAAHj+56Q=")</f>
        <v>#VALUE!</v>
      </c>
      <c r="FJ62" t="e">
        <f>AND(Bills!#REF!,"AAAAAHj+56U=")</f>
        <v>#REF!</v>
      </c>
      <c r="FK62" t="e">
        <f>AND(Bills!#REF!,"AAAAAHj+56Y=")</f>
        <v>#REF!</v>
      </c>
      <c r="FL62" t="e">
        <f>AND(Bills!#REF!,"AAAAAHj+56c=")</f>
        <v>#REF!</v>
      </c>
      <c r="FM62" t="e">
        <f>AND(Bills!#REF!,"AAAAAHj+56g=")</f>
        <v>#REF!</v>
      </c>
      <c r="FN62" t="e">
        <f>AND(Bills!#REF!,"AAAAAHj+56k=")</f>
        <v>#REF!</v>
      </c>
      <c r="FO62" t="e">
        <f>AND(Bills!#REF!,"AAAAAHj+56o=")</f>
        <v>#REF!</v>
      </c>
      <c r="FP62" t="e">
        <f>AND(Bills!#REF!,"AAAAAHj+56s=")</f>
        <v>#REF!</v>
      </c>
      <c r="FQ62" t="e">
        <f>AND(Bills!#REF!,"AAAAAHj+56w=")</f>
        <v>#REF!</v>
      </c>
      <c r="FR62" t="e">
        <f>AND(Bills!#REF!,"AAAAAHj+560=")</f>
        <v>#REF!</v>
      </c>
      <c r="FS62" t="e">
        <f>AND(Bills!AA151,"AAAAAHj+564=")</f>
        <v>#VALUE!</v>
      </c>
      <c r="FT62" t="e">
        <f>AND(Bills!AB151,"AAAAAHj+568=")</f>
        <v>#VALUE!</v>
      </c>
      <c r="FU62" t="e">
        <f>AND(Bills!#REF!,"AAAAAHj+57A=")</f>
        <v>#REF!</v>
      </c>
      <c r="FV62" t="e">
        <f>AND(Bills!#REF!,"AAAAAHj+57E=")</f>
        <v>#REF!</v>
      </c>
      <c r="FW62" t="e">
        <f>AND(Bills!#REF!,"AAAAAHj+57I=")</f>
        <v>#REF!</v>
      </c>
      <c r="FX62" t="e">
        <f>AND(Bills!AC151,"AAAAAHj+57M=")</f>
        <v>#VALUE!</v>
      </c>
      <c r="FY62" t="e">
        <f>AND(Bills!AD151,"AAAAAHj+57Q=")</f>
        <v>#VALUE!</v>
      </c>
      <c r="FZ62" t="e">
        <f>AND(Bills!AE151,"AAAAAHj+57U=")</f>
        <v>#VALUE!</v>
      </c>
      <c r="GA62">
        <f>IF(Bills!152:152,"AAAAAHj+57Y=",0)</f>
        <v>0</v>
      </c>
      <c r="GB62" t="e">
        <f>AND(Bills!B152,"AAAAAHj+57c=")</f>
        <v>#VALUE!</v>
      </c>
      <c r="GC62" t="e">
        <f>AND(Bills!#REF!,"AAAAAHj+57g=")</f>
        <v>#REF!</v>
      </c>
      <c r="GD62" t="e">
        <f>AND(Bills!C152,"AAAAAHj+57k=")</f>
        <v>#VALUE!</v>
      </c>
      <c r="GE62" t="e">
        <f>AND(Bills!D152,"AAAAAHj+57o=")</f>
        <v>#VALUE!</v>
      </c>
      <c r="GF62" t="e">
        <f>AND(Bills!E152,"AAAAAHj+57s=")</f>
        <v>#VALUE!</v>
      </c>
      <c r="GG62" t="e">
        <f>AND(Bills!#REF!,"AAAAAHj+57w=")</f>
        <v>#REF!</v>
      </c>
      <c r="GH62" t="e">
        <f>AND(Bills!#REF!,"AAAAAHj+570=")</f>
        <v>#REF!</v>
      </c>
      <c r="GI62" t="e">
        <f>AND(Bills!#REF!,"AAAAAHj+574=")</f>
        <v>#REF!</v>
      </c>
      <c r="GJ62" t="e">
        <f>AND(Bills!F152,"AAAAAHj+578=")</f>
        <v>#VALUE!</v>
      </c>
      <c r="GK62" t="e">
        <f>AND(Bills!#REF!,"AAAAAHj+58A=")</f>
        <v>#REF!</v>
      </c>
      <c r="GL62" t="e">
        <f>AND(Bills!G152,"AAAAAHj+58E=")</f>
        <v>#VALUE!</v>
      </c>
      <c r="GM62" t="e">
        <f>AND(Bills!H152,"AAAAAHj+58I=")</f>
        <v>#VALUE!</v>
      </c>
      <c r="GN62" t="e">
        <f>AND(Bills!I152,"AAAAAHj+58M=")</f>
        <v>#VALUE!</v>
      </c>
      <c r="GO62" t="e">
        <f>AND(Bills!J152,"AAAAAHj+58Q=")</f>
        <v>#VALUE!</v>
      </c>
      <c r="GP62" t="e">
        <f>AND(Bills!K152,"AAAAAHj+58U=")</f>
        <v>#VALUE!</v>
      </c>
      <c r="GQ62" t="e">
        <f>AND(Bills!L152,"AAAAAHj+58Y=")</f>
        <v>#VALUE!</v>
      </c>
      <c r="GR62" t="e">
        <f>AND(Bills!#REF!,"AAAAAHj+58c=")</f>
        <v>#REF!</v>
      </c>
      <c r="GS62" t="e">
        <f>AND(Bills!M152,"AAAAAHj+58g=")</f>
        <v>#VALUE!</v>
      </c>
      <c r="GT62" t="e">
        <f>AND(Bills!N152,"AAAAAHj+58k=")</f>
        <v>#VALUE!</v>
      </c>
      <c r="GU62" t="e">
        <f>AND(Bills!O152,"AAAAAHj+58o=")</f>
        <v>#VALUE!</v>
      </c>
      <c r="GV62" t="e">
        <f>AND(Bills!P152,"AAAAAHj+58s=")</f>
        <v>#VALUE!</v>
      </c>
      <c r="GW62" t="e">
        <f>AND(Bills!Q152,"AAAAAHj+58w=")</f>
        <v>#VALUE!</v>
      </c>
      <c r="GX62" t="e">
        <f>AND(Bills!R152,"AAAAAHj+580=")</f>
        <v>#VALUE!</v>
      </c>
      <c r="GY62" t="e">
        <f>AND(Bills!S152,"AAAAAHj+584=")</f>
        <v>#VALUE!</v>
      </c>
      <c r="GZ62" t="e">
        <f>AND(Bills!T152,"AAAAAHj+588=")</f>
        <v>#VALUE!</v>
      </c>
      <c r="HA62" t="e">
        <f>AND(Bills!#REF!,"AAAAAHj+59A=")</f>
        <v>#REF!</v>
      </c>
      <c r="HB62" t="e">
        <f>AND(Bills!U152,"AAAAAHj+59E=")</f>
        <v>#VALUE!</v>
      </c>
      <c r="HC62" t="e">
        <f>AND(Bills!V152,"AAAAAHj+59I=")</f>
        <v>#VALUE!</v>
      </c>
      <c r="HD62" t="e">
        <f>AND(Bills!W152,"AAAAAHj+59M=")</f>
        <v>#VALUE!</v>
      </c>
      <c r="HE62" t="e">
        <f>AND(Bills!#REF!,"AAAAAHj+59Q=")</f>
        <v>#REF!</v>
      </c>
      <c r="HF62" t="e">
        <f>AND(Bills!#REF!,"AAAAAHj+59U=")</f>
        <v>#REF!</v>
      </c>
      <c r="HG62" t="e">
        <f>AND(Bills!Y152,"AAAAAHj+59Y=")</f>
        <v>#VALUE!</v>
      </c>
      <c r="HH62" t="e">
        <f>AND(Bills!Z152,"AAAAAHj+59c=")</f>
        <v>#VALUE!</v>
      </c>
      <c r="HI62" t="e">
        <f>AND(Bills!#REF!,"AAAAAHj+59g=")</f>
        <v>#REF!</v>
      </c>
      <c r="HJ62" t="e">
        <f>AND(Bills!#REF!,"AAAAAHj+59k=")</f>
        <v>#REF!</v>
      </c>
      <c r="HK62" t="e">
        <f>AND(Bills!#REF!,"AAAAAHj+59o=")</f>
        <v>#REF!</v>
      </c>
      <c r="HL62" t="e">
        <f>AND(Bills!#REF!,"AAAAAHj+59s=")</f>
        <v>#REF!</v>
      </c>
      <c r="HM62" t="e">
        <f>AND(Bills!#REF!,"AAAAAHj+59w=")</f>
        <v>#REF!</v>
      </c>
      <c r="HN62" t="e">
        <f>AND(Bills!#REF!,"AAAAAHj+590=")</f>
        <v>#REF!</v>
      </c>
      <c r="HO62" t="e">
        <f>AND(Bills!#REF!,"AAAAAHj+594=")</f>
        <v>#REF!</v>
      </c>
      <c r="HP62" t="e">
        <f>AND(Bills!#REF!,"AAAAAHj+598=")</f>
        <v>#REF!</v>
      </c>
      <c r="HQ62" t="e">
        <f>AND(Bills!#REF!,"AAAAAHj+5+A=")</f>
        <v>#REF!</v>
      </c>
      <c r="HR62" t="e">
        <f>AND(Bills!AA152,"AAAAAHj+5+E=")</f>
        <v>#VALUE!</v>
      </c>
      <c r="HS62" t="e">
        <f>AND(Bills!AB152,"AAAAAHj+5+I=")</f>
        <v>#VALUE!</v>
      </c>
      <c r="HT62" t="e">
        <f>AND(Bills!#REF!,"AAAAAHj+5+M=")</f>
        <v>#REF!</v>
      </c>
      <c r="HU62" t="e">
        <f>AND(Bills!#REF!,"AAAAAHj+5+Q=")</f>
        <v>#REF!</v>
      </c>
      <c r="HV62" t="e">
        <f>AND(Bills!#REF!,"AAAAAHj+5+U=")</f>
        <v>#REF!</v>
      </c>
      <c r="HW62" t="e">
        <f>AND(Bills!AC152,"AAAAAHj+5+Y=")</f>
        <v>#VALUE!</v>
      </c>
      <c r="HX62" t="e">
        <f>AND(Bills!AD152,"AAAAAHj+5+c=")</f>
        <v>#VALUE!</v>
      </c>
      <c r="HY62" t="e">
        <f>AND(Bills!AE152,"AAAAAHj+5+g=")</f>
        <v>#VALUE!</v>
      </c>
      <c r="HZ62">
        <f>IF(Bills!153:153,"AAAAAHj+5+k=",0)</f>
        <v>0</v>
      </c>
      <c r="IA62" t="e">
        <f>AND(Bills!B153,"AAAAAHj+5+o=")</f>
        <v>#VALUE!</v>
      </c>
      <c r="IB62" t="e">
        <f>AND(Bills!#REF!,"AAAAAHj+5+s=")</f>
        <v>#REF!</v>
      </c>
      <c r="IC62" t="e">
        <f>AND(Bills!C153,"AAAAAHj+5+w=")</f>
        <v>#VALUE!</v>
      </c>
      <c r="ID62" t="e">
        <f>AND(Bills!D153,"AAAAAHj+5+0=")</f>
        <v>#VALUE!</v>
      </c>
      <c r="IE62" t="e">
        <f>AND(Bills!E153,"AAAAAHj+5+4=")</f>
        <v>#VALUE!</v>
      </c>
      <c r="IF62" t="e">
        <f>AND(Bills!#REF!,"AAAAAHj+5+8=")</f>
        <v>#REF!</v>
      </c>
      <c r="IG62" t="e">
        <f>AND(Bills!#REF!,"AAAAAHj+5/A=")</f>
        <v>#REF!</v>
      </c>
      <c r="IH62" t="e">
        <f>AND(Bills!#REF!,"AAAAAHj+5/E=")</f>
        <v>#REF!</v>
      </c>
      <c r="II62" t="e">
        <f>AND(Bills!F153,"AAAAAHj+5/I=")</f>
        <v>#VALUE!</v>
      </c>
      <c r="IJ62" t="e">
        <f>AND(Bills!#REF!,"AAAAAHj+5/M=")</f>
        <v>#REF!</v>
      </c>
      <c r="IK62" t="e">
        <f>AND(Bills!G153,"AAAAAHj+5/Q=")</f>
        <v>#VALUE!</v>
      </c>
      <c r="IL62" t="e">
        <f>AND(Bills!H153,"AAAAAHj+5/U=")</f>
        <v>#VALUE!</v>
      </c>
      <c r="IM62" t="e">
        <f>AND(Bills!I153,"AAAAAHj+5/Y=")</f>
        <v>#VALUE!</v>
      </c>
      <c r="IN62" t="e">
        <f>AND(Bills!J153,"AAAAAHj+5/c=")</f>
        <v>#VALUE!</v>
      </c>
      <c r="IO62" t="e">
        <f>AND(Bills!K153,"AAAAAHj+5/g=")</f>
        <v>#VALUE!</v>
      </c>
      <c r="IP62" t="e">
        <f>AND(Bills!L153,"AAAAAHj+5/k=")</f>
        <v>#VALUE!</v>
      </c>
      <c r="IQ62" t="e">
        <f>AND(Bills!#REF!,"AAAAAHj+5/o=")</f>
        <v>#REF!</v>
      </c>
      <c r="IR62" t="e">
        <f>AND(Bills!M153,"AAAAAHj+5/s=")</f>
        <v>#VALUE!</v>
      </c>
      <c r="IS62" t="e">
        <f>AND(Bills!N153,"AAAAAHj+5/w=")</f>
        <v>#VALUE!</v>
      </c>
      <c r="IT62" t="e">
        <f>AND(Bills!O153,"AAAAAHj+5/0=")</f>
        <v>#VALUE!</v>
      </c>
      <c r="IU62" t="e">
        <f>AND(Bills!P153,"AAAAAHj+5/4=")</f>
        <v>#VALUE!</v>
      </c>
      <c r="IV62" t="e">
        <f>AND(Bills!Q153,"AAAAAHj+5/8=")</f>
        <v>#VALUE!</v>
      </c>
    </row>
    <row r="63" spans="1:256" x14ac:dyDescent="0.25">
      <c r="A63" t="e">
        <f>AND(Bills!R153,"AAAAAHY9/AA=")</f>
        <v>#VALUE!</v>
      </c>
      <c r="B63" t="e">
        <f>AND(Bills!S153,"AAAAAHY9/AE=")</f>
        <v>#VALUE!</v>
      </c>
      <c r="C63" t="e">
        <f>AND(Bills!T153,"AAAAAHY9/AI=")</f>
        <v>#VALUE!</v>
      </c>
      <c r="D63" t="e">
        <f>AND(Bills!#REF!,"AAAAAHY9/AM=")</f>
        <v>#REF!</v>
      </c>
      <c r="E63" t="e">
        <f>AND(Bills!U153,"AAAAAHY9/AQ=")</f>
        <v>#VALUE!</v>
      </c>
      <c r="F63" t="e">
        <f>AND(Bills!V153,"AAAAAHY9/AU=")</f>
        <v>#VALUE!</v>
      </c>
      <c r="G63" t="e">
        <f>AND(Bills!W153,"AAAAAHY9/AY=")</f>
        <v>#VALUE!</v>
      </c>
      <c r="H63" t="e">
        <f>AND(Bills!#REF!,"AAAAAHY9/Ac=")</f>
        <v>#REF!</v>
      </c>
      <c r="I63" t="e">
        <f>AND(Bills!#REF!,"AAAAAHY9/Ag=")</f>
        <v>#REF!</v>
      </c>
      <c r="J63" t="e">
        <f>AND(Bills!Y153,"AAAAAHY9/Ak=")</f>
        <v>#VALUE!</v>
      </c>
      <c r="K63" t="e">
        <f>AND(Bills!Z153,"AAAAAHY9/Ao=")</f>
        <v>#VALUE!</v>
      </c>
      <c r="L63" t="e">
        <f>AND(Bills!#REF!,"AAAAAHY9/As=")</f>
        <v>#REF!</v>
      </c>
      <c r="M63" t="e">
        <f>AND(Bills!#REF!,"AAAAAHY9/Aw=")</f>
        <v>#REF!</v>
      </c>
      <c r="N63" t="e">
        <f>AND(Bills!#REF!,"AAAAAHY9/A0=")</f>
        <v>#REF!</v>
      </c>
      <c r="O63" t="e">
        <f>AND(Bills!#REF!,"AAAAAHY9/A4=")</f>
        <v>#REF!</v>
      </c>
      <c r="P63" t="e">
        <f>AND(Bills!#REF!,"AAAAAHY9/A8=")</f>
        <v>#REF!</v>
      </c>
      <c r="Q63" t="e">
        <f>AND(Bills!#REF!,"AAAAAHY9/BA=")</f>
        <v>#REF!</v>
      </c>
      <c r="R63" t="e">
        <f>AND(Bills!#REF!,"AAAAAHY9/BE=")</f>
        <v>#REF!</v>
      </c>
      <c r="S63" t="e">
        <f>AND(Bills!#REF!,"AAAAAHY9/BI=")</f>
        <v>#REF!</v>
      </c>
      <c r="T63" t="e">
        <f>AND(Bills!#REF!,"AAAAAHY9/BM=")</f>
        <v>#REF!</v>
      </c>
      <c r="U63" t="e">
        <f>AND(Bills!AA153,"AAAAAHY9/BQ=")</f>
        <v>#VALUE!</v>
      </c>
      <c r="V63" t="e">
        <f>AND(Bills!AB153,"AAAAAHY9/BU=")</f>
        <v>#VALUE!</v>
      </c>
      <c r="W63" t="e">
        <f>AND(Bills!#REF!,"AAAAAHY9/BY=")</f>
        <v>#REF!</v>
      </c>
      <c r="X63" t="e">
        <f>AND(Bills!#REF!,"AAAAAHY9/Bc=")</f>
        <v>#REF!</v>
      </c>
      <c r="Y63" t="e">
        <f>AND(Bills!#REF!,"AAAAAHY9/Bg=")</f>
        <v>#REF!</v>
      </c>
      <c r="Z63" t="e">
        <f>AND(Bills!AC153,"AAAAAHY9/Bk=")</f>
        <v>#VALUE!</v>
      </c>
      <c r="AA63" t="e">
        <f>AND(Bills!AD153,"AAAAAHY9/Bo=")</f>
        <v>#VALUE!</v>
      </c>
      <c r="AB63" t="e">
        <f>AND(Bills!AE153,"AAAAAHY9/Bs=")</f>
        <v>#VALUE!</v>
      </c>
      <c r="AC63">
        <f>IF(Bills!154:154,"AAAAAHY9/Bw=",0)</f>
        <v>0</v>
      </c>
      <c r="AD63" t="e">
        <f>AND(Bills!B154,"AAAAAHY9/B0=")</f>
        <v>#VALUE!</v>
      </c>
      <c r="AE63" t="e">
        <f>AND(Bills!#REF!,"AAAAAHY9/B4=")</f>
        <v>#REF!</v>
      </c>
      <c r="AF63" t="e">
        <f>AND(Bills!C154,"AAAAAHY9/B8=")</f>
        <v>#VALUE!</v>
      </c>
      <c r="AG63" t="e">
        <f>AND(Bills!D154,"AAAAAHY9/CA=")</f>
        <v>#VALUE!</v>
      </c>
      <c r="AH63" t="e">
        <f>AND(Bills!E154,"AAAAAHY9/CE=")</f>
        <v>#VALUE!</v>
      </c>
      <c r="AI63" t="e">
        <f>AND(Bills!#REF!,"AAAAAHY9/CI=")</f>
        <v>#REF!</v>
      </c>
      <c r="AJ63" t="e">
        <f>AND(Bills!#REF!,"AAAAAHY9/CM=")</f>
        <v>#REF!</v>
      </c>
      <c r="AK63" t="e">
        <f>AND(Bills!#REF!,"AAAAAHY9/CQ=")</f>
        <v>#REF!</v>
      </c>
      <c r="AL63" t="e">
        <f>AND(Bills!F154,"AAAAAHY9/CU=")</f>
        <v>#VALUE!</v>
      </c>
      <c r="AM63" t="e">
        <f>AND(Bills!#REF!,"AAAAAHY9/CY=")</f>
        <v>#REF!</v>
      </c>
      <c r="AN63" t="e">
        <f>AND(Bills!G154,"AAAAAHY9/Cc=")</f>
        <v>#VALUE!</v>
      </c>
      <c r="AO63" t="e">
        <f>AND(Bills!H154,"AAAAAHY9/Cg=")</f>
        <v>#VALUE!</v>
      </c>
      <c r="AP63" t="e">
        <f>AND(Bills!I154,"AAAAAHY9/Ck=")</f>
        <v>#VALUE!</v>
      </c>
      <c r="AQ63" t="e">
        <f>AND(Bills!J154,"AAAAAHY9/Co=")</f>
        <v>#VALUE!</v>
      </c>
      <c r="AR63" t="e">
        <f>AND(Bills!K154,"AAAAAHY9/Cs=")</f>
        <v>#VALUE!</v>
      </c>
      <c r="AS63" t="e">
        <f>AND(Bills!L154,"AAAAAHY9/Cw=")</f>
        <v>#VALUE!</v>
      </c>
      <c r="AT63" t="e">
        <f>AND(Bills!#REF!,"AAAAAHY9/C0=")</f>
        <v>#REF!</v>
      </c>
      <c r="AU63" t="e">
        <f>AND(Bills!M154,"AAAAAHY9/C4=")</f>
        <v>#VALUE!</v>
      </c>
      <c r="AV63" t="e">
        <f>AND(Bills!N154,"AAAAAHY9/C8=")</f>
        <v>#VALUE!</v>
      </c>
      <c r="AW63" t="e">
        <f>AND(Bills!O154,"AAAAAHY9/DA=")</f>
        <v>#VALUE!</v>
      </c>
      <c r="AX63" t="e">
        <f>AND(Bills!P154,"AAAAAHY9/DE=")</f>
        <v>#VALUE!</v>
      </c>
      <c r="AY63" t="e">
        <f>AND(Bills!Q154,"AAAAAHY9/DI=")</f>
        <v>#VALUE!</v>
      </c>
      <c r="AZ63" t="e">
        <f>AND(Bills!R154,"AAAAAHY9/DM=")</f>
        <v>#VALUE!</v>
      </c>
      <c r="BA63" t="e">
        <f>AND(Bills!S154,"AAAAAHY9/DQ=")</f>
        <v>#VALUE!</v>
      </c>
      <c r="BB63" t="e">
        <f>AND(Bills!T154,"AAAAAHY9/DU=")</f>
        <v>#VALUE!</v>
      </c>
      <c r="BC63" t="e">
        <f>AND(Bills!#REF!,"AAAAAHY9/DY=")</f>
        <v>#REF!</v>
      </c>
      <c r="BD63" t="e">
        <f>AND(Bills!U154,"AAAAAHY9/Dc=")</f>
        <v>#VALUE!</v>
      </c>
      <c r="BE63" t="e">
        <f>AND(Bills!V154,"AAAAAHY9/Dg=")</f>
        <v>#VALUE!</v>
      </c>
      <c r="BF63" t="e">
        <f>AND(Bills!W154,"AAAAAHY9/Dk=")</f>
        <v>#VALUE!</v>
      </c>
      <c r="BG63" t="e">
        <f>AND(Bills!#REF!,"AAAAAHY9/Do=")</f>
        <v>#REF!</v>
      </c>
      <c r="BH63" t="e">
        <f>AND(Bills!#REF!,"AAAAAHY9/Ds=")</f>
        <v>#REF!</v>
      </c>
      <c r="BI63" t="e">
        <f>AND(Bills!Y154,"AAAAAHY9/Dw=")</f>
        <v>#VALUE!</v>
      </c>
      <c r="BJ63" t="e">
        <f>AND(Bills!Z154,"AAAAAHY9/D0=")</f>
        <v>#VALUE!</v>
      </c>
      <c r="BK63" t="e">
        <f>AND(Bills!#REF!,"AAAAAHY9/D4=")</f>
        <v>#REF!</v>
      </c>
      <c r="BL63" t="e">
        <f>AND(Bills!#REF!,"AAAAAHY9/D8=")</f>
        <v>#REF!</v>
      </c>
      <c r="BM63" t="e">
        <f>AND(Bills!#REF!,"AAAAAHY9/EA=")</f>
        <v>#REF!</v>
      </c>
      <c r="BN63" t="e">
        <f>AND(Bills!#REF!,"AAAAAHY9/EE=")</f>
        <v>#REF!</v>
      </c>
      <c r="BO63" t="e">
        <f>AND(Bills!#REF!,"AAAAAHY9/EI=")</f>
        <v>#REF!</v>
      </c>
      <c r="BP63" t="e">
        <f>AND(Bills!#REF!,"AAAAAHY9/EM=")</f>
        <v>#REF!</v>
      </c>
      <c r="BQ63" t="e">
        <f>AND(Bills!#REF!,"AAAAAHY9/EQ=")</f>
        <v>#REF!</v>
      </c>
      <c r="BR63" t="e">
        <f>AND(Bills!#REF!,"AAAAAHY9/EU=")</f>
        <v>#REF!</v>
      </c>
      <c r="BS63" t="e">
        <f>AND(Bills!#REF!,"AAAAAHY9/EY=")</f>
        <v>#REF!</v>
      </c>
      <c r="BT63" t="e">
        <f>AND(Bills!AA154,"AAAAAHY9/Ec=")</f>
        <v>#VALUE!</v>
      </c>
      <c r="BU63" t="e">
        <f>AND(Bills!AB154,"AAAAAHY9/Eg=")</f>
        <v>#VALUE!</v>
      </c>
      <c r="BV63" t="e">
        <f>AND(Bills!#REF!,"AAAAAHY9/Ek=")</f>
        <v>#REF!</v>
      </c>
      <c r="BW63" t="e">
        <f>AND(Bills!#REF!,"AAAAAHY9/Eo=")</f>
        <v>#REF!</v>
      </c>
      <c r="BX63" t="e">
        <f>AND(Bills!#REF!,"AAAAAHY9/Es=")</f>
        <v>#REF!</v>
      </c>
      <c r="BY63" t="e">
        <f>AND(Bills!AC154,"AAAAAHY9/Ew=")</f>
        <v>#VALUE!</v>
      </c>
      <c r="BZ63" t="e">
        <f>AND(Bills!AD154,"AAAAAHY9/E0=")</f>
        <v>#VALUE!</v>
      </c>
      <c r="CA63" t="e">
        <f>AND(Bills!AE154,"AAAAAHY9/E4=")</f>
        <v>#VALUE!</v>
      </c>
      <c r="CB63">
        <f>IF(Bills!155:155,"AAAAAHY9/E8=",0)</f>
        <v>0</v>
      </c>
      <c r="CC63" t="e">
        <f>AND(Bills!B155,"AAAAAHY9/FA=")</f>
        <v>#VALUE!</v>
      </c>
      <c r="CD63" t="e">
        <f>AND(Bills!#REF!,"AAAAAHY9/FE=")</f>
        <v>#REF!</v>
      </c>
      <c r="CE63" t="e">
        <f>AND(Bills!C155,"AAAAAHY9/FI=")</f>
        <v>#VALUE!</v>
      </c>
      <c r="CF63" t="e">
        <f>AND(Bills!D155,"AAAAAHY9/FM=")</f>
        <v>#VALUE!</v>
      </c>
      <c r="CG63" t="e">
        <f>AND(Bills!E155,"AAAAAHY9/FQ=")</f>
        <v>#VALUE!</v>
      </c>
      <c r="CH63" t="e">
        <f>AND(Bills!#REF!,"AAAAAHY9/FU=")</f>
        <v>#REF!</v>
      </c>
      <c r="CI63" t="e">
        <f>AND(Bills!#REF!,"AAAAAHY9/FY=")</f>
        <v>#REF!</v>
      </c>
      <c r="CJ63" t="e">
        <f>AND(Bills!#REF!,"AAAAAHY9/Fc=")</f>
        <v>#REF!</v>
      </c>
      <c r="CK63" t="e">
        <f>AND(Bills!F155,"AAAAAHY9/Fg=")</f>
        <v>#VALUE!</v>
      </c>
      <c r="CL63" t="e">
        <f>AND(Bills!#REF!,"AAAAAHY9/Fk=")</f>
        <v>#REF!</v>
      </c>
      <c r="CM63" t="e">
        <f>AND(Bills!G155,"AAAAAHY9/Fo=")</f>
        <v>#VALUE!</v>
      </c>
      <c r="CN63" t="e">
        <f>AND(Bills!H155,"AAAAAHY9/Fs=")</f>
        <v>#VALUE!</v>
      </c>
      <c r="CO63" t="e">
        <f>AND(Bills!I155,"AAAAAHY9/Fw=")</f>
        <v>#VALUE!</v>
      </c>
      <c r="CP63" t="e">
        <f>AND(Bills!J155,"AAAAAHY9/F0=")</f>
        <v>#VALUE!</v>
      </c>
      <c r="CQ63" t="e">
        <f>AND(Bills!K155,"AAAAAHY9/F4=")</f>
        <v>#VALUE!</v>
      </c>
      <c r="CR63" t="e">
        <f>AND(Bills!L155,"AAAAAHY9/F8=")</f>
        <v>#VALUE!</v>
      </c>
      <c r="CS63" t="e">
        <f>AND(Bills!#REF!,"AAAAAHY9/GA=")</f>
        <v>#REF!</v>
      </c>
      <c r="CT63" t="e">
        <f>AND(Bills!M155,"AAAAAHY9/GE=")</f>
        <v>#VALUE!</v>
      </c>
      <c r="CU63" t="e">
        <f>AND(Bills!N155,"AAAAAHY9/GI=")</f>
        <v>#VALUE!</v>
      </c>
      <c r="CV63" t="e">
        <f>AND(Bills!O155,"AAAAAHY9/GM=")</f>
        <v>#VALUE!</v>
      </c>
      <c r="CW63" t="e">
        <f>AND(Bills!P155,"AAAAAHY9/GQ=")</f>
        <v>#VALUE!</v>
      </c>
      <c r="CX63" t="e">
        <f>AND(Bills!Q155,"AAAAAHY9/GU=")</f>
        <v>#VALUE!</v>
      </c>
      <c r="CY63" t="e">
        <f>AND(Bills!R155,"AAAAAHY9/GY=")</f>
        <v>#VALUE!</v>
      </c>
      <c r="CZ63" t="e">
        <f>AND(Bills!S155,"AAAAAHY9/Gc=")</f>
        <v>#VALUE!</v>
      </c>
      <c r="DA63" t="e">
        <f>AND(Bills!T155,"AAAAAHY9/Gg=")</f>
        <v>#VALUE!</v>
      </c>
      <c r="DB63" t="e">
        <f>AND(Bills!#REF!,"AAAAAHY9/Gk=")</f>
        <v>#REF!</v>
      </c>
      <c r="DC63" t="e">
        <f>AND(Bills!U155,"AAAAAHY9/Go=")</f>
        <v>#VALUE!</v>
      </c>
      <c r="DD63" t="e">
        <f>AND(Bills!V155,"AAAAAHY9/Gs=")</f>
        <v>#VALUE!</v>
      </c>
      <c r="DE63" t="e">
        <f>AND(Bills!W155,"AAAAAHY9/Gw=")</f>
        <v>#VALUE!</v>
      </c>
      <c r="DF63" t="e">
        <f>AND(Bills!#REF!,"AAAAAHY9/G0=")</f>
        <v>#REF!</v>
      </c>
      <c r="DG63" t="e">
        <f>AND(Bills!#REF!,"AAAAAHY9/G4=")</f>
        <v>#REF!</v>
      </c>
      <c r="DH63" t="e">
        <f>AND(Bills!Y155,"AAAAAHY9/G8=")</f>
        <v>#VALUE!</v>
      </c>
      <c r="DI63" t="e">
        <f>AND(Bills!Z155,"AAAAAHY9/HA=")</f>
        <v>#VALUE!</v>
      </c>
      <c r="DJ63" t="e">
        <f>AND(Bills!#REF!,"AAAAAHY9/HE=")</f>
        <v>#REF!</v>
      </c>
      <c r="DK63" t="e">
        <f>AND(Bills!#REF!,"AAAAAHY9/HI=")</f>
        <v>#REF!</v>
      </c>
      <c r="DL63" t="e">
        <f>AND(Bills!#REF!,"AAAAAHY9/HM=")</f>
        <v>#REF!</v>
      </c>
      <c r="DM63" t="e">
        <f>AND(Bills!#REF!,"AAAAAHY9/HQ=")</f>
        <v>#REF!</v>
      </c>
      <c r="DN63" t="e">
        <f>AND(Bills!#REF!,"AAAAAHY9/HU=")</f>
        <v>#REF!</v>
      </c>
      <c r="DO63" t="e">
        <f>AND(Bills!#REF!,"AAAAAHY9/HY=")</f>
        <v>#REF!</v>
      </c>
      <c r="DP63" t="e">
        <f>AND(Bills!#REF!,"AAAAAHY9/Hc=")</f>
        <v>#REF!</v>
      </c>
      <c r="DQ63" t="e">
        <f>AND(Bills!#REF!,"AAAAAHY9/Hg=")</f>
        <v>#REF!</v>
      </c>
      <c r="DR63" t="e">
        <f>AND(Bills!#REF!,"AAAAAHY9/Hk=")</f>
        <v>#REF!</v>
      </c>
      <c r="DS63" t="e">
        <f>AND(Bills!AA155,"AAAAAHY9/Ho=")</f>
        <v>#VALUE!</v>
      </c>
      <c r="DT63" t="e">
        <f>AND(Bills!AB155,"AAAAAHY9/Hs=")</f>
        <v>#VALUE!</v>
      </c>
      <c r="DU63" t="e">
        <f>AND(Bills!#REF!,"AAAAAHY9/Hw=")</f>
        <v>#REF!</v>
      </c>
      <c r="DV63" t="e">
        <f>AND(Bills!#REF!,"AAAAAHY9/H0=")</f>
        <v>#REF!</v>
      </c>
      <c r="DW63" t="e">
        <f>AND(Bills!#REF!,"AAAAAHY9/H4=")</f>
        <v>#REF!</v>
      </c>
      <c r="DX63" t="e">
        <f>AND(Bills!AC155,"AAAAAHY9/H8=")</f>
        <v>#VALUE!</v>
      </c>
      <c r="DY63" t="e">
        <f>AND(Bills!AD155,"AAAAAHY9/IA=")</f>
        <v>#VALUE!</v>
      </c>
      <c r="DZ63" t="e">
        <f>AND(Bills!AE155,"AAAAAHY9/IE=")</f>
        <v>#VALUE!</v>
      </c>
      <c r="EA63">
        <f>IF(Bills!156:156,"AAAAAHY9/II=",0)</f>
        <v>0</v>
      </c>
      <c r="EB63" t="e">
        <f>AND(Bills!B156,"AAAAAHY9/IM=")</f>
        <v>#VALUE!</v>
      </c>
      <c r="EC63" t="e">
        <f>AND(Bills!#REF!,"AAAAAHY9/IQ=")</f>
        <v>#REF!</v>
      </c>
      <c r="ED63" t="e">
        <f>AND(Bills!C156,"AAAAAHY9/IU=")</f>
        <v>#VALUE!</v>
      </c>
      <c r="EE63" t="e">
        <f>AND(Bills!D156,"AAAAAHY9/IY=")</f>
        <v>#VALUE!</v>
      </c>
      <c r="EF63" t="e">
        <f>AND(Bills!E156,"AAAAAHY9/Ic=")</f>
        <v>#VALUE!</v>
      </c>
      <c r="EG63" t="e">
        <f>AND(Bills!#REF!,"AAAAAHY9/Ig=")</f>
        <v>#REF!</v>
      </c>
      <c r="EH63" t="e">
        <f>AND(Bills!#REF!,"AAAAAHY9/Ik=")</f>
        <v>#REF!</v>
      </c>
      <c r="EI63" t="e">
        <f>AND(Bills!#REF!,"AAAAAHY9/Io=")</f>
        <v>#REF!</v>
      </c>
      <c r="EJ63" t="e">
        <f>AND(Bills!F156,"AAAAAHY9/Is=")</f>
        <v>#VALUE!</v>
      </c>
      <c r="EK63" t="e">
        <f>AND(Bills!#REF!,"AAAAAHY9/Iw=")</f>
        <v>#REF!</v>
      </c>
      <c r="EL63" t="e">
        <f>AND(Bills!G156,"AAAAAHY9/I0=")</f>
        <v>#VALUE!</v>
      </c>
      <c r="EM63" t="e">
        <f>AND(Bills!H156,"AAAAAHY9/I4=")</f>
        <v>#VALUE!</v>
      </c>
      <c r="EN63" t="e">
        <f>AND(Bills!I156,"AAAAAHY9/I8=")</f>
        <v>#VALUE!</v>
      </c>
      <c r="EO63" t="e">
        <f>AND(Bills!J156,"AAAAAHY9/JA=")</f>
        <v>#VALUE!</v>
      </c>
      <c r="EP63" t="e">
        <f>AND(Bills!K156,"AAAAAHY9/JE=")</f>
        <v>#VALUE!</v>
      </c>
      <c r="EQ63" t="e">
        <f>AND(Bills!L156,"AAAAAHY9/JI=")</f>
        <v>#VALUE!</v>
      </c>
      <c r="ER63" t="e">
        <f>AND(Bills!#REF!,"AAAAAHY9/JM=")</f>
        <v>#REF!</v>
      </c>
      <c r="ES63" t="e">
        <f>AND(Bills!M156,"AAAAAHY9/JQ=")</f>
        <v>#VALUE!</v>
      </c>
      <c r="ET63" t="e">
        <f>AND(Bills!N156,"AAAAAHY9/JU=")</f>
        <v>#VALUE!</v>
      </c>
      <c r="EU63" t="e">
        <f>AND(Bills!O156,"AAAAAHY9/JY=")</f>
        <v>#VALUE!</v>
      </c>
      <c r="EV63" t="e">
        <f>AND(Bills!P156,"AAAAAHY9/Jc=")</f>
        <v>#VALUE!</v>
      </c>
      <c r="EW63" t="e">
        <f>AND(Bills!Q156,"AAAAAHY9/Jg=")</f>
        <v>#VALUE!</v>
      </c>
      <c r="EX63" t="e">
        <f>AND(Bills!R156,"AAAAAHY9/Jk=")</f>
        <v>#VALUE!</v>
      </c>
      <c r="EY63" t="e">
        <f>AND(Bills!S156,"AAAAAHY9/Jo=")</f>
        <v>#VALUE!</v>
      </c>
      <c r="EZ63" t="e">
        <f>AND(Bills!T156,"AAAAAHY9/Js=")</f>
        <v>#VALUE!</v>
      </c>
      <c r="FA63" t="e">
        <f>AND(Bills!#REF!,"AAAAAHY9/Jw=")</f>
        <v>#REF!</v>
      </c>
      <c r="FB63" t="e">
        <f>AND(Bills!U156,"AAAAAHY9/J0=")</f>
        <v>#VALUE!</v>
      </c>
      <c r="FC63" t="e">
        <f>AND(Bills!V156,"AAAAAHY9/J4=")</f>
        <v>#VALUE!</v>
      </c>
      <c r="FD63" t="e">
        <f>AND(Bills!W156,"AAAAAHY9/J8=")</f>
        <v>#VALUE!</v>
      </c>
      <c r="FE63" t="e">
        <f>AND(Bills!#REF!,"AAAAAHY9/KA=")</f>
        <v>#REF!</v>
      </c>
      <c r="FF63" t="e">
        <f>AND(Bills!#REF!,"AAAAAHY9/KE=")</f>
        <v>#REF!</v>
      </c>
      <c r="FG63" t="e">
        <f>AND(Bills!Y156,"AAAAAHY9/KI=")</f>
        <v>#VALUE!</v>
      </c>
      <c r="FH63" t="e">
        <f>AND(Bills!Z156,"AAAAAHY9/KM=")</f>
        <v>#VALUE!</v>
      </c>
      <c r="FI63" t="e">
        <f>AND(Bills!#REF!,"AAAAAHY9/KQ=")</f>
        <v>#REF!</v>
      </c>
      <c r="FJ63" t="e">
        <f>AND(Bills!#REF!,"AAAAAHY9/KU=")</f>
        <v>#REF!</v>
      </c>
      <c r="FK63" t="e">
        <f>AND(Bills!#REF!,"AAAAAHY9/KY=")</f>
        <v>#REF!</v>
      </c>
      <c r="FL63" t="e">
        <f>AND(Bills!#REF!,"AAAAAHY9/Kc=")</f>
        <v>#REF!</v>
      </c>
      <c r="FM63" t="e">
        <f>AND(Bills!#REF!,"AAAAAHY9/Kg=")</f>
        <v>#REF!</v>
      </c>
      <c r="FN63" t="e">
        <f>AND(Bills!#REF!,"AAAAAHY9/Kk=")</f>
        <v>#REF!</v>
      </c>
      <c r="FO63" t="e">
        <f>AND(Bills!#REF!,"AAAAAHY9/Ko=")</f>
        <v>#REF!</v>
      </c>
      <c r="FP63" t="e">
        <f>AND(Bills!#REF!,"AAAAAHY9/Ks=")</f>
        <v>#REF!</v>
      </c>
      <c r="FQ63" t="e">
        <f>AND(Bills!#REF!,"AAAAAHY9/Kw=")</f>
        <v>#REF!</v>
      </c>
      <c r="FR63" t="e">
        <f>AND(Bills!AA156,"AAAAAHY9/K0=")</f>
        <v>#VALUE!</v>
      </c>
      <c r="FS63" t="e">
        <f>AND(Bills!AB156,"AAAAAHY9/K4=")</f>
        <v>#VALUE!</v>
      </c>
      <c r="FT63" t="e">
        <f>AND(Bills!#REF!,"AAAAAHY9/K8=")</f>
        <v>#REF!</v>
      </c>
      <c r="FU63" t="e">
        <f>AND(Bills!#REF!,"AAAAAHY9/LA=")</f>
        <v>#REF!</v>
      </c>
      <c r="FV63" t="e">
        <f>AND(Bills!#REF!,"AAAAAHY9/LE=")</f>
        <v>#REF!</v>
      </c>
      <c r="FW63" t="e">
        <f>AND(Bills!AC156,"AAAAAHY9/LI=")</f>
        <v>#VALUE!</v>
      </c>
      <c r="FX63" t="e">
        <f>AND(Bills!AD156,"AAAAAHY9/LM=")</f>
        <v>#VALUE!</v>
      </c>
      <c r="FY63" t="e">
        <f>AND(Bills!AE156,"AAAAAHY9/LQ=")</f>
        <v>#VALUE!</v>
      </c>
      <c r="FZ63">
        <f>IF(Bills!157:157,"AAAAAHY9/LU=",0)</f>
        <v>0</v>
      </c>
      <c r="GA63" t="e">
        <f>AND(Bills!B157,"AAAAAHY9/LY=")</f>
        <v>#VALUE!</v>
      </c>
      <c r="GB63" t="e">
        <f>AND(Bills!#REF!,"AAAAAHY9/Lc=")</f>
        <v>#REF!</v>
      </c>
      <c r="GC63" t="e">
        <f>AND(Bills!C157,"AAAAAHY9/Lg=")</f>
        <v>#VALUE!</v>
      </c>
      <c r="GD63" t="e">
        <f>AND(Bills!D157,"AAAAAHY9/Lk=")</f>
        <v>#VALUE!</v>
      </c>
      <c r="GE63" t="e">
        <f>AND(Bills!E157,"AAAAAHY9/Lo=")</f>
        <v>#VALUE!</v>
      </c>
      <c r="GF63" t="e">
        <f>AND(Bills!#REF!,"AAAAAHY9/Ls=")</f>
        <v>#REF!</v>
      </c>
      <c r="GG63" t="e">
        <f>AND(Bills!#REF!,"AAAAAHY9/Lw=")</f>
        <v>#REF!</v>
      </c>
      <c r="GH63" t="e">
        <f>AND(Bills!#REF!,"AAAAAHY9/L0=")</f>
        <v>#REF!</v>
      </c>
      <c r="GI63" t="e">
        <f>AND(Bills!F157,"AAAAAHY9/L4=")</f>
        <v>#VALUE!</v>
      </c>
      <c r="GJ63" t="e">
        <f>AND(Bills!#REF!,"AAAAAHY9/L8=")</f>
        <v>#REF!</v>
      </c>
      <c r="GK63" t="e">
        <f>AND(Bills!G157,"AAAAAHY9/MA=")</f>
        <v>#VALUE!</v>
      </c>
      <c r="GL63" t="e">
        <f>AND(Bills!H157,"AAAAAHY9/ME=")</f>
        <v>#VALUE!</v>
      </c>
      <c r="GM63" t="e">
        <f>AND(Bills!I157,"AAAAAHY9/MI=")</f>
        <v>#VALUE!</v>
      </c>
      <c r="GN63" t="e">
        <f>AND(Bills!J157,"AAAAAHY9/MM=")</f>
        <v>#VALUE!</v>
      </c>
      <c r="GO63" t="e">
        <f>AND(Bills!K157,"AAAAAHY9/MQ=")</f>
        <v>#VALUE!</v>
      </c>
      <c r="GP63" t="e">
        <f>AND(Bills!L157,"AAAAAHY9/MU=")</f>
        <v>#VALUE!</v>
      </c>
      <c r="GQ63" t="e">
        <f>AND(Bills!#REF!,"AAAAAHY9/MY=")</f>
        <v>#REF!</v>
      </c>
      <c r="GR63" t="e">
        <f>AND(Bills!M157,"AAAAAHY9/Mc=")</f>
        <v>#VALUE!</v>
      </c>
      <c r="GS63" t="e">
        <f>AND(Bills!N157,"AAAAAHY9/Mg=")</f>
        <v>#VALUE!</v>
      </c>
      <c r="GT63" t="e">
        <f>AND(Bills!O157,"AAAAAHY9/Mk=")</f>
        <v>#VALUE!</v>
      </c>
      <c r="GU63" t="e">
        <f>AND(Bills!P157,"AAAAAHY9/Mo=")</f>
        <v>#VALUE!</v>
      </c>
      <c r="GV63" t="e">
        <f>AND(Bills!Q157,"AAAAAHY9/Ms=")</f>
        <v>#VALUE!</v>
      </c>
      <c r="GW63" t="e">
        <f>AND(Bills!R157,"AAAAAHY9/Mw=")</f>
        <v>#VALUE!</v>
      </c>
      <c r="GX63" t="e">
        <f>AND(Bills!S157,"AAAAAHY9/M0=")</f>
        <v>#VALUE!</v>
      </c>
      <c r="GY63" t="e">
        <f>AND(Bills!T157,"AAAAAHY9/M4=")</f>
        <v>#VALUE!</v>
      </c>
      <c r="GZ63" t="e">
        <f>AND(Bills!#REF!,"AAAAAHY9/M8=")</f>
        <v>#REF!</v>
      </c>
      <c r="HA63" t="e">
        <f>AND(Bills!U157,"AAAAAHY9/NA=")</f>
        <v>#VALUE!</v>
      </c>
      <c r="HB63" t="e">
        <f>AND(Bills!V157,"AAAAAHY9/NE=")</f>
        <v>#VALUE!</v>
      </c>
      <c r="HC63" t="e">
        <f>AND(Bills!W157,"AAAAAHY9/NI=")</f>
        <v>#VALUE!</v>
      </c>
      <c r="HD63" t="e">
        <f>AND(Bills!#REF!,"AAAAAHY9/NM=")</f>
        <v>#REF!</v>
      </c>
      <c r="HE63" t="e">
        <f>AND(Bills!#REF!,"AAAAAHY9/NQ=")</f>
        <v>#REF!</v>
      </c>
      <c r="HF63" t="e">
        <f>AND(Bills!Y157,"AAAAAHY9/NU=")</f>
        <v>#VALUE!</v>
      </c>
      <c r="HG63" t="e">
        <f>AND(Bills!Z157,"AAAAAHY9/NY=")</f>
        <v>#VALUE!</v>
      </c>
      <c r="HH63" t="e">
        <f>AND(Bills!#REF!,"AAAAAHY9/Nc=")</f>
        <v>#REF!</v>
      </c>
      <c r="HI63" t="e">
        <f>AND(Bills!#REF!,"AAAAAHY9/Ng=")</f>
        <v>#REF!</v>
      </c>
      <c r="HJ63" t="e">
        <f>AND(Bills!#REF!,"AAAAAHY9/Nk=")</f>
        <v>#REF!</v>
      </c>
      <c r="HK63" t="e">
        <f>AND(Bills!#REF!,"AAAAAHY9/No=")</f>
        <v>#REF!</v>
      </c>
      <c r="HL63" t="e">
        <f>AND(Bills!#REF!,"AAAAAHY9/Ns=")</f>
        <v>#REF!</v>
      </c>
      <c r="HM63" t="e">
        <f>AND(Bills!#REF!,"AAAAAHY9/Nw=")</f>
        <v>#REF!</v>
      </c>
      <c r="HN63" t="e">
        <f>AND(Bills!#REF!,"AAAAAHY9/N0=")</f>
        <v>#REF!</v>
      </c>
      <c r="HO63" t="e">
        <f>AND(Bills!#REF!,"AAAAAHY9/N4=")</f>
        <v>#REF!</v>
      </c>
      <c r="HP63" t="e">
        <f>AND(Bills!#REF!,"AAAAAHY9/N8=")</f>
        <v>#REF!</v>
      </c>
      <c r="HQ63" t="e">
        <f>AND(Bills!AA157,"AAAAAHY9/OA=")</f>
        <v>#VALUE!</v>
      </c>
      <c r="HR63" t="e">
        <f>AND(Bills!AB157,"AAAAAHY9/OE=")</f>
        <v>#VALUE!</v>
      </c>
      <c r="HS63" t="e">
        <f>AND(Bills!#REF!,"AAAAAHY9/OI=")</f>
        <v>#REF!</v>
      </c>
      <c r="HT63" t="e">
        <f>AND(Bills!#REF!,"AAAAAHY9/OM=")</f>
        <v>#REF!</v>
      </c>
      <c r="HU63" t="e">
        <f>AND(Bills!#REF!,"AAAAAHY9/OQ=")</f>
        <v>#REF!</v>
      </c>
      <c r="HV63" t="e">
        <f>AND(Bills!AC157,"AAAAAHY9/OU=")</f>
        <v>#VALUE!</v>
      </c>
      <c r="HW63" t="e">
        <f>AND(Bills!AD157,"AAAAAHY9/OY=")</f>
        <v>#VALUE!</v>
      </c>
      <c r="HX63" t="e">
        <f>AND(Bills!AE157,"AAAAAHY9/Oc=")</f>
        <v>#VALUE!</v>
      </c>
      <c r="HY63">
        <f>IF(Bills!158:158,"AAAAAHY9/Og=",0)</f>
        <v>0</v>
      </c>
      <c r="HZ63" t="e">
        <f>AND(Bills!B158,"AAAAAHY9/Ok=")</f>
        <v>#VALUE!</v>
      </c>
      <c r="IA63" t="e">
        <f>AND(Bills!#REF!,"AAAAAHY9/Oo=")</f>
        <v>#REF!</v>
      </c>
      <c r="IB63" t="e">
        <f>AND(Bills!C158,"AAAAAHY9/Os=")</f>
        <v>#VALUE!</v>
      </c>
      <c r="IC63" t="e">
        <f>AND(Bills!D158,"AAAAAHY9/Ow=")</f>
        <v>#VALUE!</v>
      </c>
      <c r="ID63" t="e">
        <f>AND(Bills!E158,"AAAAAHY9/O0=")</f>
        <v>#VALUE!</v>
      </c>
      <c r="IE63" t="e">
        <f>AND(Bills!#REF!,"AAAAAHY9/O4=")</f>
        <v>#REF!</v>
      </c>
      <c r="IF63" t="e">
        <f>AND(Bills!#REF!,"AAAAAHY9/O8=")</f>
        <v>#REF!</v>
      </c>
      <c r="IG63" t="e">
        <f>AND(Bills!#REF!,"AAAAAHY9/PA=")</f>
        <v>#REF!</v>
      </c>
      <c r="IH63" t="e">
        <f>AND(Bills!F158,"AAAAAHY9/PE=")</f>
        <v>#VALUE!</v>
      </c>
      <c r="II63" t="e">
        <f>AND(Bills!#REF!,"AAAAAHY9/PI=")</f>
        <v>#REF!</v>
      </c>
      <c r="IJ63" t="e">
        <f>AND(Bills!G158,"AAAAAHY9/PM=")</f>
        <v>#VALUE!</v>
      </c>
      <c r="IK63" t="e">
        <f>AND(Bills!H158,"AAAAAHY9/PQ=")</f>
        <v>#VALUE!</v>
      </c>
      <c r="IL63" t="e">
        <f>AND(Bills!I158,"AAAAAHY9/PU=")</f>
        <v>#VALUE!</v>
      </c>
      <c r="IM63" t="e">
        <f>AND(Bills!J158,"AAAAAHY9/PY=")</f>
        <v>#VALUE!</v>
      </c>
      <c r="IN63" t="e">
        <f>AND(Bills!K158,"AAAAAHY9/Pc=")</f>
        <v>#VALUE!</v>
      </c>
      <c r="IO63" t="e">
        <f>AND(Bills!L158,"AAAAAHY9/Pg=")</f>
        <v>#VALUE!</v>
      </c>
      <c r="IP63" t="e">
        <f>AND(Bills!#REF!,"AAAAAHY9/Pk=")</f>
        <v>#REF!</v>
      </c>
      <c r="IQ63" t="e">
        <f>AND(Bills!M158,"AAAAAHY9/Po=")</f>
        <v>#VALUE!</v>
      </c>
      <c r="IR63" t="e">
        <f>AND(Bills!N158,"AAAAAHY9/Ps=")</f>
        <v>#VALUE!</v>
      </c>
      <c r="IS63" t="e">
        <f>AND(Bills!O158,"AAAAAHY9/Pw=")</f>
        <v>#VALUE!</v>
      </c>
      <c r="IT63" t="e">
        <f>AND(Bills!P158,"AAAAAHY9/P0=")</f>
        <v>#VALUE!</v>
      </c>
      <c r="IU63" t="e">
        <f>AND(Bills!Q158,"AAAAAHY9/P4=")</f>
        <v>#VALUE!</v>
      </c>
      <c r="IV63" t="e">
        <f>AND(Bills!R158,"AAAAAHY9/P8=")</f>
        <v>#VALUE!</v>
      </c>
    </row>
    <row r="64" spans="1:256" x14ac:dyDescent="0.25">
      <c r="A64" t="e">
        <f>AND(Bills!S158,"AAAAAHP7fgA=")</f>
        <v>#VALUE!</v>
      </c>
      <c r="B64" t="e">
        <f>AND(Bills!T158,"AAAAAHP7fgE=")</f>
        <v>#VALUE!</v>
      </c>
      <c r="C64" t="e">
        <f>AND(Bills!#REF!,"AAAAAHP7fgI=")</f>
        <v>#REF!</v>
      </c>
      <c r="D64" t="e">
        <f>AND(Bills!U158,"AAAAAHP7fgM=")</f>
        <v>#VALUE!</v>
      </c>
      <c r="E64" t="e">
        <f>AND(Bills!V158,"AAAAAHP7fgQ=")</f>
        <v>#VALUE!</v>
      </c>
      <c r="F64" t="e">
        <f>AND(Bills!W158,"AAAAAHP7fgU=")</f>
        <v>#VALUE!</v>
      </c>
      <c r="G64" t="e">
        <f>AND(Bills!#REF!,"AAAAAHP7fgY=")</f>
        <v>#REF!</v>
      </c>
      <c r="H64" t="e">
        <f>AND(Bills!#REF!,"AAAAAHP7fgc=")</f>
        <v>#REF!</v>
      </c>
      <c r="I64" t="e">
        <f>AND(Bills!Y158,"AAAAAHP7fgg=")</f>
        <v>#VALUE!</v>
      </c>
      <c r="J64" t="e">
        <f>AND(Bills!Z158,"AAAAAHP7fgk=")</f>
        <v>#VALUE!</v>
      </c>
      <c r="K64" t="e">
        <f>AND(Bills!#REF!,"AAAAAHP7fgo=")</f>
        <v>#REF!</v>
      </c>
      <c r="L64" t="e">
        <f>AND(Bills!#REF!,"AAAAAHP7fgs=")</f>
        <v>#REF!</v>
      </c>
      <c r="M64" t="e">
        <f>AND(Bills!#REF!,"AAAAAHP7fgw=")</f>
        <v>#REF!</v>
      </c>
      <c r="N64" t="e">
        <f>AND(Bills!#REF!,"AAAAAHP7fg0=")</f>
        <v>#REF!</v>
      </c>
      <c r="O64" t="e">
        <f>AND(Bills!#REF!,"AAAAAHP7fg4=")</f>
        <v>#REF!</v>
      </c>
      <c r="P64" t="e">
        <f>AND(Bills!#REF!,"AAAAAHP7fg8=")</f>
        <v>#REF!</v>
      </c>
      <c r="Q64" t="e">
        <f>AND(Bills!#REF!,"AAAAAHP7fhA=")</f>
        <v>#REF!</v>
      </c>
      <c r="R64" t="e">
        <f>AND(Bills!#REF!,"AAAAAHP7fhE=")</f>
        <v>#REF!</v>
      </c>
      <c r="S64" t="e">
        <f>AND(Bills!#REF!,"AAAAAHP7fhI=")</f>
        <v>#REF!</v>
      </c>
      <c r="T64" t="e">
        <f>AND(Bills!AA158,"AAAAAHP7fhM=")</f>
        <v>#VALUE!</v>
      </c>
      <c r="U64" t="e">
        <f>AND(Bills!AB158,"AAAAAHP7fhQ=")</f>
        <v>#VALUE!</v>
      </c>
      <c r="V64" t="e">
        <f>AND(Bills!#REF!,"AAAAAHP7fhU=")</f>
        <v>#REF!</v>
      </c>
      <c r="W64" t="e">
        <f>AND(Bills!#REF!,"AAAAAHP7fhY=")</f>
        <v>#REF!</v>
      </c>
      <c r="X64" t="e">
        <f>AND(Bills!#REF!,"AAAAAHP7fhc=")</f>
        <v>#REF!</v>
      </c>
      <c r="Y64" t="e">
        <f>AND(Bills!AC158,"AAAAAHP7fhg=")</f>
        <v>#VALUE!</v>
      </c>
      <c r="Z64" t="e">
        <f>AND(Bills!AD158,"AAAAAHP7fhk=")</f>
        <v>#VALUE!</v>
      </c>
      <c r="AA64" t="e">
        <f>AND(Bills!AE158,"AAAAAHP7fho=")</f>
        <v>#VALUE!</v>
      </c>
      <c r="AB64">
        <f>IF(Bills!159:159,"AAAAAHP7fhs=",0)</f>
        <v>0</v>
      </c>
      <c r="AC64" t="e">
        <f>AND(Bills!B159,"AAAAAHP7fhw=")</f>
        <v>#VALUE!</v>
      </c>
      <c r="AD64" t="e">
        <f>AND(Bills!#REF!,"AAAAAHP7fh0=")</f>
        <v>#REF!</v>
      </c>
      <c r="AE64" t="e">
        <f>AND(Bills!C159,"AAAAAHP7fh4=")</f>
        <v>#VALUE!</v>
      </c>
      <c r="AF64" t="e">
        <f>AND(Bills!D159,"AAAAAHP7fh8=")</f>
        <v>#VALUE!</v>
      </c>
      <c r="AG64" t="e">
        <f>AND(Bills!E159,"AAAAAHP7fiA=")</f>
        <v>#VALUE!</v>
      </c>
      <c r="AH64" t="e">
        <f>AND(Bills!#REF!,"AAAAAHP7fiE=")</f>
        <v>#REF!</v>
      </c>
      <c r="AI64" t="e">
        <f>AND(Bills!#REF!,"AAAAAHP7fiI=")</f>
        <v>#REF!</v>
      </c>
      <c r="AJ64" t="e">
        <f>AND(Bills!#REF!,"AAAAAHP7fiM=")</f>
        <v>#REF!</v>
      </c>
      <c r="AK64" t="e">
        <f>AND(Bills!F159,"AAAAAHP7fiQ=")</f>
        <v>#VALUE!</v>
      </c>
      <c r="AL64" t="e">
        <f>AND(Bills!#REF!,"AAAAAHP7fiU=")</f>
        <v>#REF!</v>
      </c>
      <c r="AM64" t="e">
        <f>AND(Bills!G159,"AAAAAHP7fiY=")</f>
        <v>#VALUE!</v>
      </c>
      <c r="AN64" t="e">
        <f>AND(Bills!H159,"AAAAAHP7fic=")</f>
        <v>#VALUE!</v>
      </c>
      <c r="AO64" t="e">
        <f>AND(Bills!I159,"AAAAAHP7fig=")</f>
        <v>#VALUE!</v>
      </c>
      <c r="AP64" t="e">
        <f>AND(Bills!J159,"AAAAAHP7fik=")</f>
        <v>#VALUE!</v>
      </c>
      <c r="AQ64" t="e">
        <f>AND(Bills!K159,"AAAAAHP7fio=")</f>
        <v>#VALUE!</v>
      </c>
      <c r="AR64" t="e">
        <f>AND(Bills!L159,"AAAAAHP7fis=")</f>
        <v>#VALUE!</v>
      </c>
      <c r="AS64" t="e">
        <f>AND(Bills!#REF!,"AAAAAHP7fiw=")</f>
        <v>#REF!</v>
      </c>
      <c r="AT64" t="e">
        <f>AND(Bills!M159,"AAAAAHP7fi0=")</f>
        <v>#VALUE!</v>
      </c>
      <c r="AU64" t="e">
        <f>AND(Bills!N159,"AAAAAHP7fi4=")</f>
        <v>#VALUE!</v>
      </c>
      <c r="AV64" t="e">
        <f>AND(Bills!O159,"AAAAAHP7fi8=")</f>
        <v>#VALUE!</v>
      </c>
      <c r="AW64" t="e">
        <f>AND(Bills!P159,"AAAAAHP7fjA=")</f>
        <v>#VALUE!</v>
      </c>
      <c r="AX64" t="e">
        <f>AND(Bills!Q159,"AAAAAHP7fjE=")</f>
        <v>#VALUE!</v>
      </c>
      <c r="AY64" t="e">
        <f>AND(Bills!R159,"AAAAAHP7fjI=")</f>
        <v>#VALUE!</v>
      </c>
      <c r="AZ64" t="e">
        <f>AND(Bills!S159,"AAAAAHP7fjM=")</f>
        <v>#VALUE!</v>
      </c>
      <c r="BA64" t="e">
        <f>AND(Bills!T159,"AAAAAHP7fjQ=")</f>
        <v>#VALUE!</v>
      </c>
      <c r="BB64" t="e">
        <f>AND(Bills!#REF!,"AAAAAHP7fjU=")</f>
        <v>#REF!</v>
      </c>
      <c r="BC64" t="e">
        <f>AND(Bills!U159,"AAAAAHP7fjY=")</f>
        <v>#VALUE!</v>
      </c>
      <c r="BD64" t="e">
        <f>AND(Bills!V159,"AAAAAHP7fjc=")</f>
        <v>#VALUE!</v>
      </c>
      <c r="BE64" t="e">
        <f>AND(Bills!W159,"AAAAAHP7fjg=")</f>
        <v>#VALUE!</v>
      </c>
      <c r="BF64" t="e">
        <f>AND(Bills!#REF!,"AAAAAHP7fjk=")</f>
        <v>#REF!</v>
      </c>
      <c r="BG64" t="e">
        <f>AND(Bills!#REF!,"AAAAAHP7fjo=")</f>
        <v>#REF!</v>
      </c>
      <c r="BH64" t="e">
        <f>AND(Bills!Y159,"AAAAAHP7fjs=")</f>
        <v>#VALUE!</v>
      </c>
      <c r="BI64" t="e">
        <f>AND(Bills!Z159,"AAAAAHP7fjw=")</f>
        <v>#VALUE!</v>
      </c>
      <c r="BJ64" t="e">
        <f>AND(Bills!#REF!,"AAAAAHP7fj0=")</f>
        <v>#REF!</v>
      </c>
      <c r="BK64" t="e">
        <f>AND(Bills!#REF!,"AAAAAHP7fj4=")</f>
        <v>#REF!</v>
      </c>
      <c r="BL64" t="e">
        <f>AND(Bills!#REF!,"AAAAAHP7fj8=")</f>
        <v>#REF!</v>
      </c>
      <c r="BM64" t="e">
        <f>AND(Bills!#REF!,"AAAAAHP7fkA=")</f>
        <v>#REF!</v>
      </c>
      <c r="BN64" t="e">
        <f>AND(Bills!#REF!,"AAAAAHP7fkE=")</f>
        <v>#REF!</v>
      </c>
      <c r="BO64" t="e">
        <f>AND(Bills!#REF!,"AAAAAHP7fkI=")</f>
        <v>#REF!</v>
      </c>
      <c r="BP64" t="e">
        <f>AND(Bills!#REF!,"AAAAAHP7fkM=")</f>
        <v>#REF!</v>
      </c>
      <c r="BQ64" t="e">
        <f>AND(Bills!#REF!,"AAAAAHP7fkQ=")</f>
        <v>#REF!</v>
      </c>
      <c r="BR64" t="e">
        <f>AND(Bills!#REF!,"AAAAAHP7fkU=")</f>
        <v>#REF!</v>
      </c>
      <c r="BS64" t="e">
        <f>AND(Bills!AA159,"AAAAAHP7fkY=")</f>
        <v>#VALUE!</v>
      </c>
      <c r="BT64" t="e">
        <f>AND(Bills!AB159,"AAAAAHP7fkc=")</f>
        <v>#VALUE!</v>
      </c>
      <c r="BU64" t="e">
        <f>AND(Bills!#REF!,"AAAAAHP7fkg=")</f>
        <v>#REF!</v>
      </c>
      <c r="BV64" t="e">
        <f>AND(Bills!#REF!,"AAAAAHP7fkk=")</f>
        <v>#REF!</v>
      </c>
      <c r="BW64" t="e">
        <f>AND(Bills!#REF!,"AAAAAHP7fko=")</f>
        <v>#REF!</v>
      </c>
      <c r="BX64" t="e">
        <f>AND(Bills!AC159,"AAAAAHP7fks=")</f>
        <v>#VALUE!</v>
      </c>
      <c r="BY64" t="e">
        <f>AND(Bills!AD159,"AAAAAHP7fkw=")</f>
        <v>#VALUE!</v>
      </c>
      <c r="BZ64" t="e">
        <f>AND(Bills!AE159,"AAAAAHP7fk0=")</f>
        <v>#VALUE!</v>
      </c>
      <c r="CA64">
        <f>IF(Bills!160:160,"AAAAAHP7fk4=",0)</f>
        <v>0</v>
      </c>
      <c r="CB64" t="e">
        <f>AND(Bills!B160,"AAAAAHP7fk8=")</f>
        <v>#VALUE!</v>
      </c>
      <c r="CC64" t="e">
        <f>AND(Bills!#REF!,"AAAAAHP7flA=")</f>
        <v>#REF!</v>
      </c>
      <c r="CD64" t="e">
        <f>AND(Bills!C160,"AAAAAHP7flE=")</f>
        <v>#VALUE!</v>
      </c>
      <c r="CE64" t="e">
        <f>AND(Bills!D160,"AAAAAHP7flI=")</f>
        <v>#VALUE!</v>
      </c>
      <c r="CF64" t="e">
        <f>AND(Bills!E160,"AAAAAHP7flM=")</f>
        <v>#VALUE!</v>
      </c>
      <c r="CG64" t="e">
        <f>AND(Bills!#REF!,"AAAAAHP7flQ=")</f>
        <v>#REF!</v>
      </c>
      <c r="CH64" t="e">
        <f>AND(Bills!#REF!,"AAAAAHP7flU=")</f>
        <v>#REF!</v>
      </c>
      <c r="CI64" t="e">
        <f>AND(Bills!#REF!,"AAAAAHP7flY=")</f>
        <v>#REF!</v>
      </c>
      <c r="CJ64" t="e">
        <f>AND(Bills!F160,"AAAAAHP7flc=")</f>
        <v>#VALUE!</v>
      </c>
      <c r="CK64" t="e">
        <f>AND(Bills!#REF!,"AAAAAHP7flg=")</f>
        <v>#REF!</v>
      </c>
      <c r="CL64" t="e">
        <f>AND(Bills!G160,"AAAAAHP7flk=")</f>
        <v>#VALUE!</v>
      </c>
      <c r="CM64" t="e">
        <f>AND(Bills!H160,"AAAAAHP7flo=")</f>
        <v>#VALUE!</v>
      </c>
      <c r="CN64" t="e">
        <f>AND(Bills!I160,"AAAAAHP7fls=")</f>
        <v>#VALUE!</v>
      </c>
      <c r="CO64" t="e">
        <f>AND(Bills!J160,"AAAAAHP7flw=")</f>
        <v>#VALUE!</v>
      </c>
      <c r="CP64" t="e">
        <f>AND(Bills!K160,"AAAAAHP7fl0=")</f>
        <v>#VALUE!</v>
      </c>
      <c r="CQ64" t="e">
        <f>AND(Bills!L160,"AAAAAHP7fl4=")</f>
        <v>#VALUE!</v>
      </c>
      <c r="CR64" t="e">
        <f>AND(Bills!#REF!,"AAAAAHP7fl8=")</f>
        <v>#REF!</v>
      </c>
      <c r="CS64" t="e">
        <f>AND(Bills!M160,"AAAAAHP7fmA=")</f>
        <v>#VALUE!</v>
      </c>
      <c r="CT64" t="e">
        <f>AND(Bills!N160,"AAAAAHP7fmE=")</f>
        <v>#VALUE!</v>
      </c>
      <c r="CU64" t="e">
        <f>AND(Bills!O160,"AAAAAHP7fmI=")</f>
        <v>#VALUE!</v>
      </c>
      <c r="CV64" t="e">
        <f>AND(Bills!P160,"AAAAAHP7fmM=")</f>
        <v>#VALUE!</v>
      </c>
      <c r="CW64" t="e">
        <f>AND(Bills!Q160,"AAAAAHP7fmQ=")</f>
        <v>#VALUE!</v>
      </c>
      <c r="CX64" t="e">
        <f>AND(Bills!R160,"AAAAAHP7fmU=")</f>
        <v>#VALUE!</v>
      </c>
      <c r="CY64" t="e">
        <f>AND(Bills!S160,"AAAAAHP7fmY=")</f>
        <v>#VALUE!</v>
      </c>
      <c r="CZ64" t="e">
        <f>AND(Bills!T160,"AAAAAHP7fmc=")</f>
        <v>#VALUE!</v>
      </c>
      <c r="DA64" t="e">
        <f>AND(Bills!#REF!,"AAAAAHP7fmg=")</f>
        <v>#REF!</v>
      </c>
      <c r="DB64" t="e">
        <f>AND(Bills!U160,"AAAAAHP7fmk=")</f>
        <v>#VALUE!</v>
      </c>
      <c r="DC64" t="e">
        <f>AND(Bills!V160,"AAAAAHP7fmo=")</f>
        <v>#VALUE!</v>
      </c>
      <c r="DD64" t="e">
        <f>AND(Bills!W160,"AAAAAHP7fms=")</f>
        <v>#VALUE!</v>
      </c>
      <c r="DE64" t="e">
        <f>AND(Bills!#REF!,"AAAAAHP7fmw=")</f>
        <v>#REF!</v>
      </c>
      <c r="DF64" t="e">
        <f>AND(Bills!#REF!,"AAAAAHP7fm0=")</f>
        <v>#REF!</v>
      </c>
      <c r="DG64" t="e">
        <f>AND(Bills!Y160,"AAAAAHP7fm4=")</f>
        <v>#VALUE!</v>
      </c>
      <c r="DH64" t="e">
        <f>AND(Bills!Z160,"AAAAAHP7fm8=")</f>
        <v>#VALUE!</v>
      </c>
      <c r="DI64" t="e">
        <f>AND(Bills!#REF!,"AAAAAHP7fnA=")</f>
        <v>#REF!</v>
      </c>
      <c r="DJ64" t="e">
        <f>AND(Bills!#REF!,"AAAAAHP7fnE=")</f>
        <v>#REF!</v>
      </c>
      <c r="DK64" t="e">
        <f>AND(Bills!#REF!,"AAAAAHP7fnI=")</f>
        <v>#REF!</v>
      </c>
      <c r="DL64" t="e">
        <f>AND(Bills!#REF!,"AAAAAHP7fnM=")</f>
        <v>#REF!</v>
      </c>
      <c r="DM64" t="e">
        <f>AND(Bills!#REF!,"AAAAAHP7fnQ=")</f>
        <v>#REF!</v>
      </c>
      <c r="DN64" t="e">
        <f>AND(Bills!#REF!,"AAAAAHP7fnU=")</f>
        <v>#REF!</v>
      </c>
      <c r="DO64" t="e">
        <f>AND(Bills!#REF!,"AAAAAHP7fnY=")</f>
        <v>#REF!</v>
      </c>
      <c r="DP64" t="e">
        <f>AND(Bills!#REF!,"AAAAAHP7fnc=")</f>
        <v>#REF!</v>
      </c>
      <c r="DQ64" t="e">
        <f>AND(Bills!#REF!,"AAAAAHP7fng=")</f>
        <v>#REF!</v>
      </c>
      <c r="DR64" t="e">
        <f>AND(Bills!AA160,"AAAAAHP7fnk=")</f>
        <v>#VALUE!</v>
      </c>
      <c r="DS64" t="e">
        <f>AND(Bills!AB160,"AAAAAHP7fno=")</f>
        <v>#VALUE!</v>
      </c>
      <c r="DT64" t="e">
        <f>AND(Bills!#REF!,"AAAAAHP7fns=")</f>
        <v>#REF!</v>
      </c>
      <c r="DU64" t="e">
        <f>AND(Bills!#REF!,"AAAAAHP7fnw=")</f>
        <v>#REF!</v>
      </c>
      <c r="DV64" t="e">
        <f>AND(Bills!#REF!,"AAAAAHP7fn0=")</f>
        <v>#REF!</v>
      </c>
      <c r="DW64" t="e">
        <f>AND(Bills!AC160,"AAAAAHP7fn4=")</f>
        <v>#VALUE!</v>
      </c>
      <c r="DX64" t="e">
        <f>AND(Bills!AD160,"AAAAAHP7fn8=")</f>
        <v>#VALUE!</v>
      </c>
      <c r="DY64" t="e">
        <f>AND(Bills!AE160,"AAAAAHP7foA=")</f>
        <v>#VALUE!</v>
      </c>
      <c r="DZ64">
        <f>IF(Bills!161:161,"AAAAAHP7foE=",0)</f>
        <v>0</v>
      </c>
      <c r="EA64" t="e">
        <f>AND(Bills!B161,"AAAAAHP7foI=")</f>
        <v>#VALUE!</v>
      </c>
      <c r="EB64" t="e">
        <f>AND(Bills!#REF!,"AAAAAHP7foM=")</f>
        <v>#REF!</v>
      </c>
      <c r="EC64" t="e">
        <f>AND(Bills!C161,"AAAAAHP7foQ=")</f>
        <v>#VALUE!</v>
      </c>
      <c r="ED64" t="e">
        <f>AND(Bills!D161,"AAAAAHP7foU=")</f>
        <v>#VALUE!</v>
      </c>
      <c r="EE64" t="e">
        <f>AND(Bills!E161,"AAAAAHP7foY=")</f>
        <v>#VALUE!</v>
      </c>
      <c r="EF64" t="e">
        <f>AND(Bills!#REF!,"AAAAAHP7foc=")</f>
        <v>#REF!</v>
      </c>
      <c r="EG64" t="e">
        <f>AND(Bills!#REF!,"AAAAAHP7fog=")</f>
        <v>#REF!</v>
      </c>
      <c r="EH64" t="e">
        <f>AND(Bills!#REF!,"AAAAAHP7fok=")</f>
        <v>#REF!</v>
      </c>
      <c r="EI64" t="e">
        <f>AND(Bills!F161,"AAAAAHP7foo=")</f>
        <v>#VALUE!</v>
      </c>
      <c r="EJ64" t="e">
        <f>AND(Bills!#REF!,"AAAAAHP7fos=")</f>
        <v>#REF!</v>
      </c>
      <c r="EK64" t="e">
        <f>AND(Bills!G161,"AAAAAHP7fow=")</f>
        <v>#VALUE!</v>
      </c>
      <c r="EL64" t="e">
        <f>AND(Bills!H161,"AAAAAHP7fo0=")</f>
        <v>#VALUE!</v>
      </c>
      <c r="EM64" t="e">
        <f>AND(Bills!I161,"AAAAAHP7fo4=")</f>
        <v>#VALUE!</v>
      </c>
      <c r="EN64" t="e">
        <f>AND(Bills!J161,"AAAAAHP7fo8=")</f>
        <v>#VALUE!</v>
      </c>
      <c r="EO64" t="e">
        <f>AND(Bills!K161,"AAAAAHP7fpA=")</f>
        <v>#VALUE!</v>
      </c>
      <c r="EP64" t="e">
        <f>AND(Bills!L161,"AAAAAHP7fpE=")</f>
        <v>#VALUE!</v>
      </c>
      <c r="EQ64" t="e">
        <f>AND(Bills!#REF!,"AAAAAHP7fpI=")</f>
        <v>#REF!</v>
      </c>
      <c r="ER64" t="e">
        <f>AND(Bills!M161,"AAAAAHP7fpM=")</f>
        <v>#VALUE!</v>
      </c>
      <c r="ES64" t="e">
        <f>AND(Bills!N161,"AAAAAHP7fpQ=")</f>
        <v>#VALUE!</v>
      </c>
      <c r="ET64" t="e">
        <f>AND(Bills!O161,"AAAAAHP7fpU=")</f>
        <v>#VALUE!</v>
      </c>
      <c r="EU64" t="e">
        <f>AND(Bills!P161,"AAAAAHP7fpY=")</f>
        <v>#VALUE!</v>
      </c>
      <c r="EV64" t="e">
        <f>AND(Bills!Q161,"AAAAAHP7fpc=")</f>
        <v>#VALUE!</v>
      </c>
      <c r="EW64" t="e">
        <f>AND(Bills!R161,"AAAAAHP7fpg=")</f>
        <v>#VALUE!</v>
      </c>
      <c r="EX64" t="e">
        <f>AND(Bills!S161,"AAAAAHP7fpk=")</f>
        <v>#VALUE!</v>
      </c>
      <c r="EY64" t="e">
        <f>AND(Bills!T161,"AAAAAHP7fpo=")</f>
        <v>#VALUE!</v>
      </c>
      <c r="EZ64" t="e">
        <f>AND(Bills!#REF!,"AAAAAHP7fps=")</f>
        <v>#REF!</v>
      </c>
      <c r="FA64" t="e">
        <f>AND(Bills!U161,"AAAAAHP7fpw=")</f>
        <v>#VALUE!</v>
      </c>
      <c r="FB64" t="e">
        <f>AND(Bills!V161,"AAAAAHP7fp0=")</f>
        <v>#VALUE!</v>
      </c>
      <c r="FC64" t="e">
        <f>AND(Bills!W161,"AAAAAHP7fp4=")</f>
        <v>#VALUE!</v>
      </c>
      <c r="FD64" t="e">
        <f>AND(Bills!#REF!,"AAAAAHP7fp8=")</f>
        <v>#REF!</v>
      </c>
      <c r="FE64" t="e">
        <f>AND(Bills!#REF!,"AAAAAHP7fqA=")</f>
        <v>#REF!</v>
      </c>
      <c r="FF64" t="e">
        <f>AND(Bills!Y161,"AAAAAHP7fqE=")</f>
        <v>#VALUE!</v>
      </c>
      <c r="FG64" t="e">
        <f>AND(Bills!Z161,"AAAAAHP7fqI=")</f>
        <v>#VALUE!</v>
      </c>
      <c r="FH64" t="e">
        <f>AND(Bills!#REF!,"AAAAAHP7fqM=")</f>
        <v>#REF!</v>
      </c>
      <c r="FI64" t="e">
        <f>AND(Bills!#REF!,"AAAAAHP7fqQ=")</f>
        <v>#REF!</v>
      </c>
      <c r="FJ64" t="e">
        <f>AND(Bills!#REF!,"AAAAAHP7fqU=")</f>
        <v>#REF!</v>
      </c>
      <c r="FK64" t="e">
        <f>AND(Bills!#REF!,"AAAAAHP7fqY=")</f>
        <v>#REF!</v>
      </c>
      <c r="FL64" t="e">
        <f>AND(Bills!#REF!,"AAAAAHP7fqc=")</f>
        <v>#REF!</v>
      </c>
      <c r="FM64" t="e">
        <f>AND(Bills!#REF!,"AAAAAHP7fqg=")</f>
        <v>#REF!</v>
      </c>
      <c r="FN64" t="e">
        <f>AND(Bills!#REF!,"AAAAAHP7fqk=")</f>
        <v>#REF!</v>
      </c>
      <c r="FO64" t="e">
        <f>AND(Bills!#REF!,"AAAAAHP7fqo=")</f>
        <v>#REF!</v>
      </c>
      <c r="FP64" t="e">
        <f>AND(Bills!#REF!,"AAAAAHP7fqs=")</f>
        <v>#REF!</v>
      </c>
      <c r="FQ64" t="e">
        <f>AND(Bills!AA161,"AAAAAHP7fqw=")</f>
        <v>#VALUE!</v>
      </c>
      <c r="FR64" t="e">
        <f>AND(Bills!AB161,"AAAAAHP7fq0=")</f>
        <v>#VALUE!</v>
      </c>
      <c r="FS64" t="e">
        <f>AND(Bills!#REF!,"AAAAAHP7fq4=")</f>
        <v>#REF!</v>
      </c>
      <c r="FT64" t="e">
        <f>AND(Bills!#REF!,"AAAAAHP7fq8=")</f>
        <v>#REF!</v>
      </c>
      <c r="FU64" t="e">
        <f>AND(Bills!#REF!,"AAAAAHP7frA=")</f>
        <v>#REF!</v>
      </c>
      <c r="FV64" t="e">
        <f>AND(Bills!AC161,"AAAAAHP7frE=")</f>
        <v>#VALUE!</v>
      </c>
      <c r="FW64" t="e">
        <f>AND(Bills!AD161,"AAAAAHP7frI=")</f>
        <v>#VALUE!</v>
      </c>
      <c r="FX64" t="e">
        <f>AND(Bills!AE161,"AAAAAHP7frM=")</f>
        <v>#VALUE!</v>
      </c>
      <c r="FY64">
        <f>IF(Bills!162:162,"AAAAAHP7frQ=",0)</f>
        <v>0</v>
      </c>
      <c r="FZ64" t="e">
        <f>AND(Bills!B162,"AAAAAHP7frU=")</f>
        <v>#VALUE!</v>
      </c>
      <c r="GA64" t="e">
        <f>AND(Bills!#REF!,"AAAAAHP7frY=")</f>
        <v>#REF!</v>
      </c>
      <c r="GB64" t="e">
        <f>AND(Bills!C162,"AAAAAHP7frc=")</f>
        <v>#VALUE!</v>
      </c>
      <c r="GC64" t="e">
        <f>AND(Bills!D162,"AAAAAHP7frg=")</f>
        <v>#VALUE!</v>
      </c>
      <c r="GD64" t="e">
        <f>AND(Bills!E162,"AAAAAHP7frk=")</f>
        <v>#VALUE!</v>
      </c>
      <c r="GE64" t="e">
        <f>AND(Bills!#REF!,"AAAAAHP7fro=")</f>
        <v>#REF!</v>
      </c>
      <c r="GF64" t="e">
        <f>AND(Bills!#REF!,"AAAAAHP7frs=")</f>
        <v>#REF!</v>
      </c>
      <c r="GG64" t="e">
        <f>AND(Bills!#REF!,"AAAAAHP7frw=")</f>
        <v>#REF!</v>
      </c>
      <c r="GH64" t="e">
        <f>AND(Bills!F162,"AAAAAHP7fr0=")</f>
        <v>#VALUE!</v>
      </c>
      <c r="GI64" t="e">
        <f>AND(Bills!#REF!,"AAAAAHP7fr4=")</f>
        <v>#REF!</v>
      </c>
      <c r="GJ64" t="e">
        <f>AND(Bills!G162,"AAAAAHP7fr8=")</f>
        <v>#VALUE!</v>
      </c>
      <c r="GK64" t="e">
        <f>AND(Bills!H162,"AAAAAHP7fsA=")</f>
        <v>#VALUE!</v>
      </c>
      <c r="GL64" t="e">
        <f>AND(Bills!I162,"AAAAAHP7fsE=")</f>
        <v>#VALUE!</v>
      </c>
      <c r="GM64" t="e">
        <f>AND(Bills!J162,"AAAAAHP7fsI=")</f>
        <v>#VALUE!</v>
      </c>
      <c r="GN64" t="e">
        <f>AND(Bills!K162,"AAAAAHP7fsM=")</f>
        <v>#VALUE!</v>
      </c>
      <c r="GO64" t="e">
        <f>AND(Bills!L162,"AAAAAHP7fsQ=")</f>
        <v>#VALUE!</v>
      </c>
      <c r="GP64" t="e">
        <f>AND(Bills!#REF!,"AAAAAHP7fsU=")</f>
        <v>#REF!</v>
      </c>
      <c r="GQ64" t="e">
        <f>AND(Bills!M162,"AAAAAHP7fsY=")</f>
        <v>#VALUE!</v>
      </c>
      <c r="GR64" t="e">
        <f>AND(Bills!N162,"AAAAAHP7fsc=")</f>
        <v>#VALUE!</v>
      </c>
      <c r="GS64" t="e">
        <f>AND(Bills!O162,"AAAAAHP7fsg=")</f>
        <v>#VALUE!</v>
      </c>
      <c r="GT64" t="e">
        <f>AND(Bills!P162,"AAAAAHP7fsk=")</f>
        <v>#VALUE!</v>
      </c>
      <c r="GU64" t="e">
        <f>AND(Bills!Q162,"AAAAAHP7fso=")</f>
        <v>#VALUE!</v>
      </c>
      <c r="GV64" t="e">
        <f>AND(Bills!R162,"AAAAAHP7fss=")</f>
        <v>#VALUE!</v>
      </c>
      <c r="GW64" t="e">
        <f>AND(Bills!S162,"AAAAAHP7fsw=")</f>
        <v>#VALUE!</v>
      </c>
      <c r="GX64" t="e">
        <f>AND(Bills!T162,"AAAAAHP7fs0=")</f>
        <v>#VALUE!</v>
      </c>
      <c r="GY64" t="e">
        <f>AND(Bills!#REF!,"AAAAAHP7fs4=")</f>
        <v>#REF!</v>
      </c>
      <c r="GZ64" t="e">
        <f>AND(Bills!U162,"AAAAAHP7fs8=")</f>
        <v>#VALUE!</v>
      </c>
      <c r="HA64" t="e">
        <f>AND(Bills!V162,"AAAAAHP7ftA=")</f>
        <v>#VALUE!</v>
      </c>
      <c r="HB64" t="e">
        <f>AND(Bills!W162,"AAAAAHP7ftE=")</f>
        <v>#VALUE!</v>
      </c>
      <c r="HC64" t="e">
        <f>AND(Bills!#REF!,"AAAAAHP7ftI=")</f>
        <v>#REF!</v>
      </c>
      <c r="HD64" t="e">
        <f>AND(Bills!#REF!,"AAAAAHP7ftM=")</f>
        <v>#REF!</v>
      </c>
      <c r="HE64" t="e">
        <f>AND(Bills!Y162,"AAAAAHP7ftQ=")</f>
        <v>#VALUE!</v>
      </c>
      <c r="HF64" t="e">
        <f>AND(Bills!Z162,"AAAAAHP7ftU=")</f>
        <v>#VALUE!</v>
      </c>
      <c r="HG64" t="e">
        <f>AND(Bills!#REF!,"AAAAAHP7ftY=")</f>
        <v>#REF!</v>
      </c>
      <c r="HH64" t="e">
        <f>AND(Bills!#REF!,"AAAAAHP7ftc=")</f>
        <v>#REF!</v>
      </c>
      <c r="HI64" t="e">
        <f>AND(Bills!#REF!,"AAAAAHP7ftg=")</f>
        <v>#REF!</v>
      </c>
      <c r="HJ64" t="e">
        <f>AND(Bills!#REF!,"AAAAAHP7ftk=")</f>
        <v>#REF!</v>
      </c>
      <c r="HK64" t="e">
        <f>AND(Bills!#REF!,"AAAAAHP7fto=")</f>
        <v>#REF!</v>
      </c>
      <c r="HL64" t="e">
        <f>AND(Bills!#REF!,"AAAAAHP7fts=")</f>
        <v>#REF!</v>
      </c>
      <c r="HM64" t="e">
        <f>AND(Bills!#REF!,"AAAAAHP7ftw=")</f>
        <v>#REF!</v>
      </c>
      <c r="HN64" t="e">
        <f>AND(Bills!#REF!,"AAAAAHP7ft0=")</f>
        <v>#REF!</v>
      </c>
      <c r="HO64" t="e">
        <f>AND(Bills!#REF!,"AAAAAHP7ft4=")</f>
        <v>#REF!</v>
      </c>
      <c r="HP64" t="e">
        <f>AND(Bills!AA162,"AAAAAHP7ft8=")</f>
        <v>#VALUE!</v>
      </c>
      <c r="HQ64" t="e">
        <f>AND(Bills!AB162,"AAAAAHP7fuA=")</f>
        <v>#VALUE!</v>
      </c>
      <c r="HR64" t="e">
        <f>AND(Bills!#REF!,"AAAAAHP7fuE=")</f>
        <v>#REF!</v>
      </c>
      <c r="HS64" t="e">
        <f>AND(Bills!#REF!,"AAAAAHP7fuI=")</f>
        <v>#REF!</v>
      </c>
      <c r="HT64" t="e">
        <f>AND(Bills!#REF!,"AAAAAHP7fuM=")</f>
        <v>#REF!</v>
      </c>
      <c r="HU64" t="e">
        <f>AND(Bills!AC162,"AAAAAHP7fuQ=")</f>
        <v>#VALUE!</v>
      </c>
      <c r="HV64" t="e">
        <f>AND(Bills!AD162,"AAAAAHP7fuU=")</f>
        <v>#VALUE!</v>
      </c>
      <c r="HW64" t="e">
        <f>AND(Bills!AE162,"AAAAAHP7fuY=")</f>
        <v>#VALUE!</v>
      </c>
      <c r="HX64">
        <f>IF(Bills!163:163,"AAAAAHP7fuc=",0)</f>
        <v>0</v>
      </c>
      <c r="HY64" t="e">
        <f>AND(Bills!B163,"AAAAAHP7fug=")</f>
        <v>#VALUE!</v>
      </c>
      <c r="HZ64" t="e">
        <f>AND(Bills!#REF!,"AAAAAHP7fuk=")</f>
        <v>#REF!</v>
      </c>
      <c r="IA64" t="e">
        <f>AND(Bills!C163,"AAAAAHP7fuo=")</f>
        <v>#VALUE!</v>
      </c>
      <c r="IB64" t="e">
        <f>AND(Bills!D163,"AAAAAHP7fus=")</f>
        <v>#VALUE!</v>
      </c>
      <c r="IC64" t="e">
        <f>AND(Bills!E163,"AAAAAHP7fuw=")</f>
        <v>#VALUE!</v>
      </c>
      <c r="ID64" t="e">
        <f>AND(Bills!#REF!,"AAAAAHP7fu0=")</f>
        <v>#REF!</v>
      </c>
      <c r="IE64" t="e">
        <f>AND(Bills!#REF!,"AAAAAHP7fu4=")</f>
        <v>#REF!</v>
      </c>
      <c r="IF64" t="e">
        <f>AND(Bills!#REF!,"AAAAAHP7fu8=")</f>
        <v>#REF!</v>
      </c>
      <c r="IG64" t="e">
        <f>AND(Bills!F163,"AAAAAHP7fvA=")</f>
        <v>#VALUE!</v>
      </c>
      <c r="IH64" t="e">
        <f>AND(Bills!#REF!,"AAAAAHP7fvE=")</f>
        <v>#REF!</v>
      </c>
      <c r="II64" t="e">
        <f>AND(Bills!G163,"AAAAAHP7fvI=")</f>
        <v>#VALUE!</v>
      </c>
      <c r="IJ64" t="e">
        <f>AND(Bills!H163,"AAAAAHP7fvM=")</f>
        <v>#VALUE!</v>
      </c>
      <c r="IK64" t="e">
        <f>AND(Bills!I163,"AAAAAHP7fvQ=")</f>
        <v>#VALUE!</v>
      </c>
      <c r="IL64" t="e">
        <f>AND(Bills!J163,"AAAAAHP7fvU=")</f>
        <v>#VALUE!</v>
      </c>
      <c r="IM64" t="e">
        <f>AND(Bills!K163,"AAAAAHP7fvY=")</f>
        <v>#VALUE!</v>
      </c>
      <c r="IN64" t="e">
        <f>AND(Bills!L163,"AAAAAHP7fvc=")</f>
        <v>#VALUE!</v>
      </c>
      <c r="IO64" t="e">
        <f>AND(Bills!#REF!,"AAAAAHP7fvg=")</f>
        <v>#REF!</v>
      </c>
      <c r="IP64" t="e">
        <f>AND(Bills!M163,"AAAAAHP7fvk=")</f>
        <v>#VALUE!</v>
      </c>
      <c r="IQ64" t="e">
        <f>AND(Bills!N163,"AAAAAHP7fvo=")</f>
        <v>#VALUE!</v>
      </c>
      <c r="IR64" t="e">
        <f>AND(Bills!O163,"AAAAAHP7fvs=")</f>
        <v>#VALUE!</v>
      </c>
      <c r="IS64" t="e">
        <f>AND(Bills!P163,"AAAAAHP7fvw=")</f>
        <v>#VALUE!</v>
      </c>
      <c r="IT64" t="e">
        <f>AND(Bills!Q163,"AAAAAHP7fv0=")</f>
        <v>#VALUE!</v>
      </c>
      <c r="IU64" t="e">
        <f>AND(Bills!R163,"AAAAAHP7fv4=")</f>
        <v>#VALUE!</v>
      </c>
      <c r="IV64" t="e">
        <f>AND(Bills!S163,"AAAAAHP7fv8=")</f>
        <v>#VALUE!</v>
      </c>
    </row>
    <row r="65" spans="1:256" x14ac:dyDescent="0.25">
      <c r="A65" t="e">
        <f>AND(Bills!T163,"AAAAAGN+1gA=")</f>
        <v>#VALUE!</v>
      </c>
      <c r="B65" t="e">
        <f>AND(Bills!#REF!,"AAAAAGN+1gE=")</f>
        <v>#REF!</v>
      </c>
      <c r="C65" t="e">
        <f>AND(Bills!U163,"AAAAAGN+1gI=")</f>
        <v>#VALUE!</v>
      </c>
      <c r="D65" t="e">
        <f>AND(Bills!V163,"AAAAAGN+1gM=")</f>
        <v>#VALUE!</v>
      </c>
      <c r="E65" t="e">
        <f>AND(Bills!W163,"AAAAAGN+1gQ=")</f>
        <v>#VALUE!</v>
      </c>
      <c r="F65" t="e">
        <f>AND(Bills!#REF!,"AAAAAGN+1gU=")</f>
        <v>#REF!</v>
      </c>
      <c r="G65" t="e">
        <f>AND(Bills!#REF!,"AAAAAGN+1gY=")</f>
        <v>#REF!</v>
      </c>
      <c r="H65" t="e">
        <f>AND(Bills!Y163,"AAAAAGN+1gc=")</f>
        <v>#VALUE!</v>
      </c>
      <c r="I65" t="e">
        <f>AND(Bills!Z163,"AAAAAGN+1gg=")</f>
        <v>#VALUE!</v>
      </c>
      <c r="J65" t="e">
        <f>AND(Bills!#REF!,"AAAAAGN+1gk=")</f>
        <v>#REF!</v>
      </c>
      <c r="K65" t="e">
        <f>AND(Bills!#REF!,"AAAAAGN+1go=")</f>
        <v>#REF!</v>
      </c>
      <c r="L65" t="e">
        <f>AND(Bills!#REF!,"AAAAAGN+1gs=")</f>
        <v>#REF!</v>
      </c>
      <c r="M65" t="e">
        <f>AND(Bills!#REF!,"AAAAAGN+1gw=")</f>
        <v>#REF!</v>
      </c>
      <c r="N65" t="e">
        <f>AND(Bills!#REF!,"AAAAAGN+1g0=")</f>
        <v>#REF!</v>
      </c>
      <c r="O65" t="e">
        <f>AND(Bills!#REF!,"AAAAAGN+1g4=")</f>
        <v>#REF!</v>
      </c>
      <c r="P65" t="e">
        <f>AND(Bills!#REF!,"AAAAAGN+1g8=")</f>
        <v>#REF!</v>
      </c>
      <c r="Q65" t="e">
        <f>AND(Bills!#REF!,"AAAAAGN+1hA=")</f>
        <v>#REF!</v>
      </c>
      <c r="R65" t="e">
        <f>AND(Bills!#REF!,"AAAAAGN+1hE=")</f>
        <v>#REF!</v>
      </c>
      <c r="S65" t="e">
        <f>AND(Bills!AA163,"AAAAAGN+1hI=")</f>
        <v>#VALUE!</v>
      </c>
      <c r="T65" t="e">
        <f>AND(Bills!AB163,"AAAAAGN+1hM=")</f>
        <v>#VALUE!</v>
      </c>
      <c r="U65" t="e">
        <f>AND(Bills!#REF!,"AAAAAGN+1hQ=")</f>
        <v>#REF!</v>
      </c>
      <c r="V65" t="e">
        <f>AND(Bills!#REF!,"AAAAAGN+1hU=")</f>
        <v>#REF!</v>
      </c>
      <c r="W65" t="e">
        <f>AND(Bills!#REF!,"AAAAAGN+1hY=")</f>
        <v>#REF!</v>
      </c>
      <c r="X65" t="e">
        <f>AND(Bills!AC163,"AAAAAGN+1hc=")</f>
        <v>#VALUE!</v>
      </c>
      <c r="Y65" t="e">
        <f>AND(Bills!AD163,"AAAAAGN+1hg=")</f>
        <v>#VALUE!</v>
      </c>
      <c r="Z65" t="e">
        <f>AND(Bills!AE163,"AAAAAGN+1hk=")</f>
        <v>#VALUE!</v>
      </c>
      <c r="AA65">
        <f>IF(Bills!164:164,"AAAAAGN+1ho=",0)</f>
        <v>0</v>
      </c>
      <c r="AB65" t="e">
        <f>AND(Bills!B164,"AAAAAGN+1hs=")</f>
        <v>#VALUE!</v>
      </c>
      <c r="AC65" t="e">
        <f>AND(Bills!#REF!,"AAAAAGN+1hw=")</f>
        <v>#REF!</v>
      </c>
      <c r="AD65" t="e">
        <f>AND(Bills!C164,"AAAAAGN+1h0=")</f>
        <v>#VALUE!</v>
      </c>
      <c r="AE65" t="e">
        <f>AND(Bills!D164,"AAAAAGN+1h4=")</f>
        <v>#VALUE!</v>
      </c>
      <c r="AF65" t="e">
        <f>AND(Bills!E164,"AAAAAGN+1h8=")</f>
        <v>#VALUE!</v>
      </c>
      <c r="AG65" t="e">
        <f>AND(Bills!#REF!,"AAAAAGN+1iA=")</f>
        <v>#REF!</v>
      </c>
      <c r="AH65" t="e">
        <f>AND(Bills!#REF!,"AAAAAGN+1iE=")</f>
        <v>#REF!</v>
      </c>
      <c r="AI65" t="e">
        <f>AND(Bills!#REF!,"AAAAAGN+1iI=")</f>
        <v>#REF!</v>
      </c>
      <c r="AJ65" t="e">
        <f>AND(Bills!F164,"AAAAAGN+1iM=")</f>
        <v>#VALUE!</v>
      </c>
      <c r="AK65" t="e">
        <f>AND(Bills!#REF!,"AAAAAGN+1iQ=")</f>
        <v>#REF!</v>
      </c>
      <c r="AL65" t="e">
        <f>AND(Bills!G164,"AAAAAGN+1iU=")</f>
        <v>#VALUE!</v>
      </c>
      <c r="AM65" t="e">
        <f>AND(Bills!H164,"AAAAAGN+1iY=")</f>
        <v>#VALUE!</v>
      </c>
      <c r="AN65" t="e">
        <f>AND(Bills!I164,"AAAAAGN+1ic=")</f>
        <v>#VALUE!</v>
      </c>
      <c r="AO65" t="e">
        <f>AND(Bills!J164,"AAAAAGN+1ig=")</f>
        <v>#VALUE!</v>
      </c>
      <c r="AP65" t="e">
        <f>AND(Bills!K164,"AAAAAGN+1ik=")</f>
        <v>#VALUE!</v>
      </c>
      <c r="AQ65" t="e">
        <f>AND(Bills!L164,"AAAAAGN+1io=")</f>
        <v>#VALUE!</v>
      </c>
      <c r="AR65" t="e">
        <f>AND(Bills!#REF!,"AAAAAGN+1is=")</f>
        <v>#REF!</v>
      </c>
      <c r="AS65" t="e">
        <f>AND(Bills!M164,"AAAAAGN+1iw=")</f>
        <v>#VALUE!</v>
      </c>
      <c r="AT65" t="e">
        <f>AND(Bills!N164,"AAAAAGN+1i0=")</f>
        <v>#VALUE!</v>
      </c>
      <c r="AU65" t="e">
        <f>AND(Bills!O164,"AAAAAGN+1i4=")</f>
        <v>#VALUE!</v>
      </c>
      <c r="AV65" t="e">
        <f>AND(Bills!P164,"AAAAAGN+1i8=")</f>
        <v>#VALUE!</v>
      </c>
      <c r="AW65" t="e">
        <f>AND(Bills!Q164,"AAAAAGN+1jA=")</f>
        <v>#VALUE!</v>
      </c>
      <c r="AX65" t="e">
        <f>AND(Bills!R164,"AAAAAGN+1jE=")</f>
        <v>#VALUE!</v>
      </c>
      <c r="AY65" t="e">
        <f>AND(Bills!S164,"AAAAAGN+1jI=")</f>
        <v>#VALUE!</v>
      </c>
      <c r="AZ65" t="e">
        <f>AND(Bills!T164,"AAAAAGN+1jM=")</f>
        <v>#VALUE!</v>
      </c>
      <c r="BA65" t="e">
        <f>AND(Bills!#REF!,"AAAAAGN+1jQ=")</f>
        <v>#REF!</v>
      </c>
      <c r="BB65" t="e">
        <f>AND(Bills!U164,"AAAAAGN+1jU=")</f>
        <v>#VALUE!</v>
      </c>
      <c r="BC65" t="e">
        <f>AND(Bills!V164,"AAAAAGN+1jY=")</f>
        <v>#VALUE!</v>
      </c>
      <c r="BD65" t="e">
        <f>AND(Bills!W164,"AAAAAGN+1jc=")</f>
        <v>#VALUE!</v>
      </c>
      <c r="BE65" t="e">
        <f>AND(Bills!#REF!,"AAAAAGN+1jg=")</f>
        <v>#REF!</v>
      </c>
      <c r="BF65" t="e">
        <f>AND(Bills!#REF!,"AAAAAGN+1jk=")</f>
        <v>#REF!</v>
      </c>
      <c r="BG65" t="e">
        <f>AND(Bills!Y164,"AAAAAGN+1jo=")</f>
        <v>#VALUE!</v>
      </c>
      <c r="BH65" t="e">
        <f>AND(Bills!Z164,"AAAAAGN+1js=")</f>
        <v>#VALUE!</v>
      </c>
      <c r="BI65" t="e">
        <f>AND(Bills!#REF!,"AAAAAGN+1jw=")</f>
        <v>#REF!</v>
      </c>
      <c r="BJ65" t="e">
        <f>AND(Bills!#REF!,"AAAAAGN+1j0=")</f>
        <v>#REF!</v>
      </c>
      <c r="BK65" t="e">
        <f>AND(Bills!#REF!,"AAAAAGN+1j4=")</f>
        <v>#REF!</v>
      </c>
      <c r="BL65" t="e">
        <f>AND(Bills!#REF!,"AAAAAGN+1j8=")</f>
        <v>#REF!</v>
      </c>
      <c r="BM65" t="e">
        <f>AND(Bills!#REF!,"AAAAAGN+1kA=")</f>
        <v>#REF!</v>
      </c>
      <c r="BN65" t="e">
        <f>AND(Bills!#REF!,"AAAAAGN+1kE=")</f>
        <v>#REF!</v>
      </c>
      <c r="BO65" t="e">
        <f>AND(Bills!#REF!,"AAAAAGN+1kI=")</f>
        <v>#REF!</v>
      </c>
      <c r="BP65" t="e">
        <f>AND(Bills!#REF!,"AAAAAGN+1kM=")</f>
        <v>#REF!</v>
      </c>
      <c r="BQ65" t="e">
        <f>AND(Bills!#REF!,"AAAAAGN+1kQ=")</f>
        <v>#REF!</v>
      </c>
      <c r="BR65" t="e">
        <f>AND(Bills!AA164,"AAAAAGN+1kU=")</f>
        <v>#VALUE!</v>
      </c>
      <c r="BS65" t="e">
        <f>AND(Bills!AB164,"AAAAAGN+1kY=")</f>
        <v>#VALUE!</v>
      </c>
      <c r="BT65" t="e">
        <f>AND(Bills!#REF!,"AAAAAGN+1kc=")</f>
        <v>#REF!</v>
      </c>
      <c r="BU65" t="e">
        <f>AND(Bills!#REF!,"AAAAAGN+1kg=")</f>
        <v>#REF!</v>
      </c>
      <c r="BV65" t="e">
        <f>AND(Bills!#REF!,"AAAAAGN+1kk=")</f>
        <v>#REF!</v>
      </c>
      <c r="BW65" t="e">
        <f>AND(Bills!AC164,"AAAAAGN+1ko=")</f>
        <v>#VALUE!</v>
      </c>
      <c r="BX65" t="e">
        <f>AND(Bills!AD164,"AAAAAGN+1ks=")</f>
        <v>#VALUE!</v>
      </c>
      <c r="BY65" t="e">
        <f>AND(Bills!AE164,"AAAAAGN+1kw=")</f>
        <v>#VALUE!</v>
      </c>
      <c r="BZ65">
        <f>IF(Bills!165:165,"AAAAAGN+1k0=",0)</f>
        <v>0</v>
      </c>
      <c r="CA65" t="e">
        <f>AND(Bills!B165,"AAAAAGN+1k4=")</f>
        <v>#VALUE!</v>
      </c>
      <c r="CB65" t="e">
        <f>AND(Bills!#REF!,"AAAAAGN+1k8=")</f>
        <v>#REF!</v>
      </c>
      <c r="CC65" t="e">
        <f>AND(Bills!C165,"AAAAAGN+1lA=")</f>
        <v>#VALUE!</v>
      </c>
      <c r="CD65" t="e">
        <f>AND(Bills!D165,"AAAAAGN+1lE=")</f>
        <v>#VALUE!</v>
      </c>
      <c r="CE65" t="e">
        <f>AND(Bills!E165,"AAAAAGN+1lI=")</f>
        <v>#VALUE!</v>
      </c>
      <c r="CF65" t="e">
        <f>AND(Bills!#REF!,"AAAAAGN+1lM=")</f>
        <v>#REF!</v>
      </c>
      <c r="CG65" t="e">
        <f>AND(Bills!#REF!,"AAAAAGN+1lQ=")</f>
        <v>#REF!</v>
      </c>
      <c r="CH65" t="e">
        <f>AND(Bills!#REF!,"AAAAAGN+1lU=")</f>
        <v>#REF!</v>
      </c>
      <c r="CI65" t="e">
        <f>AND(Bills!F165,"AAAAAGN+1lY=")</f>
        <v>#VALUE!</v>
      </c>
      <c r="CJ65" t="e">
        <f>AND(Bills!#REF!,"AAAAAGN+1lc=")</f>
        <v>#REF!</v>
      </c>
      <c r="CK65" t="e">
        <f>AND(Bills!G165,"AAAAAGN+1lg=")</f>
        <v>#VALUE!</v>
      </c>
      <c r="CL65" t="e">
        <f>AND(Bills!H165,"AAAAAGN+1lk=")</f>
        <v>#VALUE!</v>
      </c>
      <c r="CM65" t="e">
        <f>AND(Bills!I165,"AAAAAGN+1lo=")</f>
        <v>#VALUE!</v>
      </c>
      <c r="CN65" t="e">
        <f>AND(Bills!J165,"AAAAAGN+1ls=")</f>
        <v>#VALUE!</v>
      </c>
      <c r="CO65" t="e">
        <f>AND(Bills!K165,"AAAAAGN+1lw=")</f>
        <v>#VALUE!</v>
      </c>
      <c r="CP65" t="e">
        <f>AND(Bills!L165,"AAAAAGN+1l0=")</f>
        <v>#VALUE!</v>
      </c>
      <c r="CQ65" t="e">
        <f>AND(Bills!#REF!,"AAAAAGN+1l4=")</f>
        <v>#REF!</v>
      </c>
      <c r="CR65" t="e">
        <f>AND(Bills!M165,"AAAAAGN+1l8=")</f>
        <v>#VALUE!</v>
      </c>
      <c r="CS65" t="e">
        <f>AND(Bills!N165,"AAAAAGN+1mA=")</f>
        <v>#VALUE!</v>
      </c>
      <c r="CT65" t="e">
        <f>AND(Bills!O165,"AAAAAGN+1mE=")</f>
        <v>#VALUE!</v>
      </c>
      <c r="CU65" t="e">
        <f>AND(Bills!P165,"AAAAAGN+1mI=")</f>
        <v>#VALUE!</v>
      </c>
      <c r="CV65" t="e">
        <f>AND(Bills!Q165,"AAAAAGN+1mM=")</f>
        <v>#VALUE!</v>
      </c>
      <c r="CW65" t="e">
        <f>AND(Bills!R165,"AAAAAGN+1mQ=")</f>
        <v>#VALUE!</v>
      </c>
      <c r="CX65" t="e">
        <f>AND(Bills!S165,"AAAAAGN+1mU=")</f>
        <v>#VALUE!</v>
      </c>
      <c r="CY65" t="e">
        <f>AND(Bills!T165,"AAAAAGN+1mY=")</f>
        <v>#VALUE!</v>
      </c>
      <c r="CZ65" t="e">
        <f>AND(Bills!#REF!,"AAAAAGN+1mc=")</f>
        <v>#REF!</v>
      </c>
      <c r="DA65" t="e">
        <f>AND(Bills!U165,"AAAAAGN+1mg=")</f>
        <v>#VALUE!</v>
      </c>
      <c r="DB65" t="e">
        <f>AND(Bills!V165,"AAAAAGN+1mk=")</f>
        <v>#VALUE!</v>
      </c>
      <c r="DC65" t="e">
        <f>AND(Bills!W165,"AAAAAGN+1mo=")</f>
        <v>#VALUE!</v>
      </c>
      <c r="DD65" t="e">
        <f>AND(Bills!#REF!,"AAAAAGN+1ms=")</f>
        <v>#REF!</v>
      </c>
      <c r="DE65" t="e">
        <f>AND(Bills!#REF!,"AAAAAGN+1mw=")</f>
        <v>#REF!</v>
      </c>
      <c r="DF65" t="e">
        <f>AND(Bills!Y165,"AAAAAGN+1m0=")</f>
        <v>#VALUE!</v>
      </c>
      <c r="DG65" t="e">
        <f>AND(Bills!Z165,"AAAAAGN+1m4=")</f>
        <v>#VALUE!</v>
      </c>
      <c r="DH65" t="e">
        <f>AND(Bills!#REF!,"AAAAAGN+1m8=")</f>
        <v>#REF!</v>
      </c>
      <c r="DI65" t="e">
        <f>AND(Bills!#REF!,"AAAAAGN+1nA=")</f>
        <v>#REF!</v>
      </c>
      <c r="DJ65" t="e">
        <f>AND(Bills!#REF!,"AAAAAGN+1nE=")</f>
        <v>#REF!</v>
      </c>
      <c r="DK65" t="e">
        <f>AND(Bills!#REF!,"AAAAAGN+1nI=")</f>
        <v>#REF!</v>
      </c>
      <c r="DL65" t="e">
        <f>AND(Bills!#REF!,"AAAAAGN+1nM=")</f>
        <v>#REF!</v>
      </c>
      <c r="DM65" t="e">
        <f>AND(Bills!#REF!,"AAAAAGN+1nQ=")</f>
        <v>#REF!</v>
      </c>
      <c r="DN65" t="e">
        <f>AND(Bills!#REF!,"AAAAAGN+1nU=")</f>
        <v>#REF!</v>
      </c>
      <c r="DO65" t="e">
        <f>AND(Bills!#REF!,"AAAAAGN+1nY=")</f>
        <v>#REF!</v>
      </c>
      <c r="DP65" t="e">
        <f>AND(Bills!#REF!,"AAAAAGN+1nc=")</f>
        <v>#REF!</v>
      </c>
      <c r="DQ65" t="e">
        <f>AND(Bills!AA165,"AAAAAGN+1ng=")</f>
        <v>#VALUE!</v>
      </c>
      <c r="DR65" t="e">
        <f>AND(Bills!AB165,"AAAAAGN+1nk=")</f>
        <v>#VALUE!</v>
      </c>
      <c r="DS65" t="e">
        <f>AND(Bills!#REF!,"AAAAAGN+1no=")</f>
        <v>#REF!</v>
      </c>
      <c r="DT65" t="e">
        <f>AND(Bills!#REF!,"AAAAAGN+1ns=")</f>
        <v>#REF!</v>
      </c>
      <c r="DU65" t="e">
        <f>AND(Bills!#REF!,"AAAAAGN+1nw=")</f>
        <v>#REF!</v>
      </c>
      <c r="DV65" t="e">
        <f>AND(Bills!AC165,"AAAAAGN+1n0=")</f>
        <v>#VALUE!</v>
      </c>
      <c r="DW65" t="e">
        <f>AND(Bills!AD165,"AAAAAGN+1n4=")</f>
        <v>#VALUE!</v>
      </c>
      <c r="DX65" t="e">
        <f>AND(Bills!AE165,"AAAAAGN+1n8=")</f>
        <v>#VALUE!</v>
      </c>
      <c r="DY65">
        <f>IF(Bills!166:166,"AAAAAGN+1oA=",0)</f>
        <v>0</v>
      </c>
      <c r="DZ65" t="e">
        <f>AND(Bills!B166,"AAAAAGN+1oE=")</f>
        <v>#VALUE!</v>
      </c>
      <c r="EA65" t="e">
        <f>AND(Bills!#REF!,"AAAAAGN+1oI=")</f>
        <v>#REF!</v>
      </c>
      <c r="EB65" t="e">
        <f>AND(Bills!C166,"AAAAAGN+1oM=")</f>
        <v>#VALUE!</v>
      </c>
      <c r="EC65" t="e">
        <f>AND(Bills!D166,"AAAAAGN+1oQ=")</f>
        <v>#VALUE!</v>
      </c>
      <c r="ED65" t="e">
        <f>AND(Bills!E166,"AAAAAGN+1oU=")</f>
        <v>#VALUE!</v>
      </c>
      <c r="EE65" t="e">
        <f>AND(Bills!#REF!,"AAAAAGN+1oY=")</f>
        <v>#REF!</v>
      </c>
      <c r="EF65" t="e">
        <f>AND(Bills!#REF!,"AAAAAGN+1oc=")</f>
        <v>#REF!</v>
      </c>
      <c r="EG65" t="e">
        <f>AND(Bills!#REF!,"AAAAAGN+1og=")</f>
        <v>#REF!</v>
      </c>
      <c r="EH65" t="e">
        <f>AND(Bills!F166,"AAAAAGN+1ok=")</f>
        <v>#VALUE!</v>
      </c>
      <c r="EI65" t="e">
        <f>AND(Bills!#REF!,"AAAAAGN+1oo=")</f>
        <v>#REF!</v>
      </c>
      <c r="EJ65" t="e">
        <f>AND(Bills!G166,"AAAAAGN+1os=")</f>
        <v>#VALUE!</v>
      </c>
      <c r="EK65" t="e">
        <f>AND(Bills!H166,"AAAAAGN+1ow=")</f>
        <v>#VALUE!</v>
      </c>
      <c r="EL65" t="e">
        <f>AND(Bills!I166,"AAAAAGN+1o0=")</f>
        <v>#VALUE!</v>
      </c>
      <c r="EM65" t="e">
        <f>AND(Bills!J166,"AAAAAGN+1o4=")</f>
        <v>#VALUE!</v>
      </c>
      <c r="EN65" t="e">
        <f>AND(Bills!K166,"AAAAAGN+1o8=")</f>
        <v>#VALUE!</v>
      </c>
      <c r="EO65" t="e">
        <f>AND(Bills!L166,"AAAAAGN+1pA=")</f>
        <v>#VALUE!</v>
      </c>
      <c r="EP65" t="e">
        <f>AND(Bills!#REF!,"AAAAAGN+1pE=")</f>
        <v>#REF!</v>
      </c>
      <c r="EQ65" t="e">
        <f>AND(Bills!M166,"AAAAAGN+1pI=")</f>
        <v>#VALUE!</v>
      </c>
      <c r="ER65" t="e">
        <f>AND(Bills!N166,"AAAAAGN+1pM=")</f>
        <v>#VALUE!</v>
      </c>
      <c r="ES65" t="e">
        <f>AND(Bills!O166,"AAAAAGN+1pQ=")</f>
        <v>#VALUE!</v>
      </c>
      <c r="ET65" t="e">
        <f>AND(Bills!P166,"AAAAAGN+1pU=")</f>
        <v>#VALUE!</v>
      </c>
      <c r="EU65" t="e">
        <f>AND(Bills!Q166,"AAAAAGN+1pY=")</f>
        <v>#VALUE!</v>
      </c>
      <c r="EV65" t="e">
        <f>AND(Bills!R166,"AAAAAGN+1pc=")</f>
        <v>#VALUE!</v>
      </c>
      <c r="EW65" t="e">
        <f>AND(Bills!S166,"AAAAAGN+1pg=")</f>
        <v>#VALUE!</v>
      </c>
      <c r="EX65" t="e">
        <f>AND(Bills!T166,"AAAAAGN+1pk=")</f>
        <v>#VALUE!</v>
      </c>
      <c r="EY65" t="e">
        <f>AND(Bills!#REF!,"AAAAAGN+1po=")</f>
        <v>#REF!</v>
      </c>
      <c r="EZ65" t="e">
        <f>AND(Bills!U166,"AAAAAGN+1ps=")</f>
        <v>#VALUE!</v>
      </c>
      <c r="FA65" t="e">
        <f>AND(Bills!V166,"AAAAAGN+1pw=")</f>
        <v>#VALUE!</v>
      </c>
      <c r="FB65" t="e">
        <f>AND(Bills!W166,"AAAAAGN+1p0=")</f>
        <v>#VALUE!</v>
      </c>
      <c r="FC65" t="e">
        <f>AND(Bills!#REF!,"AAAAAGN+1p4=")</f>
        <v>#REF!</v>
      </c>
      <c r="FD65" t="e">
        <f>AND(Bills!#REF!,"AAAAAGN+1p8=")</f>
        <v>#REF!</v>
      </c>
      <c r="FE65" t="e">
        <f>AND(Bills!Y166,"AAAAAGN+1qA=")</f>
        <v>#VALUE!</v>
      </c>
      <c r="FF65" t="e">
        <f>AND(Bills!Z166,"AAAAAGN+1qE=")</f>
        <v>#VALUE!</v>
      </c>
      <c r="FG65" t="e">
        <f>AND(Bills!#REF!,"AAAAAGN+1qI=")</f>
        <v>#REF!</v>
      </c>
      <c r="FH65" t="e">
        <f>AND(Bills!#REF!,"AAAAAGN+1qM=")</f>
        <v>#REF!</v>
      </c>
      <c r="FI65" t="e">
        <f>AND(Bills!#REF!,"AAAAAGN+1qQ=")</f>
        <v>#REF!</v>
      </c>
      <c r="FJ65" t="e">
        <f>AND(Bills!#REF!,"AAAAAGN+1qU=")</f>
        <v>#REF!</v>
      </c>
      <c r="FK65" t="e">
        <f>AND(Bills!#REF!,"AAAAAGN+1qY=")</f>
        <v>#REF!</v>
      </c>
      <c r="FL65" t="e">
        <f>AND(Bills!#REF!,"AAAAAGN+1qc=")</f>
        <v>#REF!</v>
      </c>
      <c r="FM65" t="e">
        <f>AND(Bills!#REF!,"AAAAAGN+1qg=")</f>
        <v>#REF!</v>
      </c>
      <c r="FN65" t="e">
        <f>AND(Bills!#REF!,"AAAAAGN+1qk=")</f>
        <v>#REF!</v>
      </c>
      <c r="FO65" t="e">
        <f>AND(Bills!#REF!,"AAAAAGN+1qo=")</f>
        <v>#REF!</v>
      </c>
      <c r="FP65" t="e">
        <f>AND(Bills!AA166,"AAAAAGN+1qs=")</f>
        <v>#VALUE!</v>
      </c>
      <c r="FQ65" t="e">
        <f>AND(Bills!AB166,"AAAAAGN+1qw=")</f>
        <v>#VALUE!</v>
      </c>
      <c r="FR65" t="e">
        <f>AND(Bills!#REF!,"AAAAAGN+1q0=")</f>
        <v>#REF!</v>
      </c>
      <c r="FS65" t="e">
        <f>AND(Bills!#REF!,"AAAAAGN+1q4=")</f>
        <v>#REF!</v>
      </c>
      <c r="FT65" t="e">
        <f>AND(Bills!#REF!,"AAAAAGN+1q8=")</f>
        <v>#REF!</v>
      </c>
      <c r="FU65" t="e">
        <f>AND(Bills!AC166,"AAAAAGN+1rA=")</f>
        <v>#VALUE!</v>
      </c>
      <c r="FV65" t="e">
        <f>AND(Bills!AD166,"AAAAAGN+1rE=")</f>
        <v>#VALUE!</v>
      </c>
      <c r="FW65" t="e">
        <f>AND(Bills!AE166,"AAAAAGN+1rI=")</f>
        <v>#VALUE!</v>
      </c>
      <c r="FX65">
        <f>IF(Bills!167:167,"AAAAAGN+1rM=",0)</f>
        <v>0</v>
      </c>
      <c r="FY65" t="e">
        <f>AND(Bills!B167,"AAAAAGN+1rQ=")</f>
        <v>#VALUE!</v>
      </c>
      <c r="FZ65" t="e">
        <f>AND(Bills!#REF!,"AAAAAGN+1rU=")</f>
        <v>#REF!</v>
      </c>
      <c r="GA65" t="e">
        <f>AND(Bills!C167,"AAAAAGN+1rY=")</f>
        <v>#VALUE!</v>
      </c>
      <c r="GB65" t="e">
        <f>AND(Bills!D167,"AAAAAGN+1rc=")</f>
        <v>#VALUE!</v>
      </c>
      <c r="GC65" t="e">
        <f>AND(Bills!E167,"AAAAAGN+1rg=")</f>
        <v>#VALUE!</v>
      </c>
      <c r="GD65" t="e">
        <f>AND(Bills!#REF!,"AAAAAGN+1rk=")</f>
        <v>#REF!</v>
      </c>
      <c r="GE65" t="e">
        <f>AND(Bills!#REF!,"AAAAAGN+1ro=")</f>
        <v>#REF!</v>
      </c>
      <c r="GF65" t="e">
        <f>AND(Bills!#REF!,"AAAAAGN+1rs=")</f>
        <v>#REF!</v>
      </c>
      <c r="GG65" t="e">
        <f>AND(Bills!F167,"AAAAAGN+1rw=")</f>
        <v>#VALUE!</v>
      </c>
      <c r="GH65" t="e">
        <f>AND(Bills!#REF!,"AAAAAGN+1r0=")</f>
        <v>#REF!</v>
      </c>
      <c r="GI65" t="e">
        <f>AND(Bills!G167,"AAAAAGN+1r4=")</f>
        <v>#VALUE!</v>
      </c>
      <c r="GJ65" t="e">
        <f>AND(Bills!H167,"AAAAAGN+1r8=")</f>
        <v>#VALUE!</v>
      </c>
      <c r="GK65" t="e">
        <f>AND(Bills!I167,"AAAAAGN+1sA=")</f>
        <v>#VALUE!</v>
      </c>
      <c r="GL65" t="e">
        <f>AND(Bills!J167,"AAAAAGN+1sE=")</f>
        <v>#VALUE!</v>
      </c>
      <c r="GM65" t="e">
        <f>AND(Bills!K167,"AAAAAGN+1sI=")</f>
        <v>#VALUE!</v>
      </c>
      <c r="GN65" t="e">
        <f>AND(Bills!L167,"AAAAAGN+1sM=")</f>
        <v>#VALUE!</v>
      </c>
      <c r="GO65" t="e">
        <f>AND(Bills!#REF!,"AAAAAGN+1sQ=")</f>
        <v>#REF!</v>
      </c>
      <c r="GP65" t="e">
        <f>AND(Bills!M167,"AAAAAGN+1sU=")</f>
        <v>#VALUE!</v>
      </c>
      <c r="GQ65" t="e">
        <f>AND(Bills!N167,"AAAAAGN+1sY=")</f>
        <v>#VALUE!</v>
      </c>
      <c r="GR65" t="e">
        <f>AND(Bills!O167,"AAAAAGN+1sc=")</f>
        <v>#VALUE!</v>
      </c>
      <c r="GS65" t="e">
        <f>AND(Bills!P167,"AAAAAGN+1sg=")</f>
        <v>#VALUE!</v>
      </c>
      <c r="GT65" t="e">
        <f>AND(Bills!Q167,"AAAAAGN+1sk=")</f>
        <v>#VALUE!</v>
      </c>
      <c r="GU65" t="e">
        <f>AND(Bills!R167,"AAAAAGN+1so=")</f>
        <v>#VALUE!</v>
      </c>
      <c r="GV65" t="e">
        <f>AND(Bills!S167,"AAAAAGN+1ss=")</f>
        <v>#VALUE!</v>
      </c>
      <c r="GW65" t="e">
        <f>AND(Bills!T167,"AAAAAGN+1sw=")</f>
        <v>#VALUE!</v>
      </c>
      <c r="GX65" t="e">
        <f>AND(Bills!#REF!,"AAAAAGN+1s0=")</f>
        <v>#REF!</v>
      </c>
      <c r="GY65" t="e">
        <f>AND(Bills!U167,"AAAAAGN+1s4=")</f>
        <v>#VALUE!</v>
      </c>
      <c r="GZ65" t="e">
        <f>AND(Bills!V167,"AAAAAGN+1s8=")</f>
        <v>#VALUE!</v>
      </c>
      <c r="HA65" t="e">
        <f>AND(Bills!W167,"AAAAAGN+1tA=")</f>
        <v>#VALUE!</v>
      </c>
      <c r="HB65" t="e">
        <f>AND(Bills!#REF!,"AAAAAGN+1tE=")</f>
        <v>#REF!</v>
      </c>
      <c r="HC65" t="e">
        <f>AND(Bills!#REF!,"AAAAAGN+1tI=")</f>
        <v>#REF!</v>
      </c>
      <c r="HD65" t="e">
        <f>AND(Bills!Y167,"AAAAAGN+1tM=")</f>
        <v>#VALUE!</v>
      </c>
      <c r="HE65" t="e">
        <f>AND(Bills!Z167,"AAAAAGN+1tQ=")</f>
        <v>#VALUE!</v>
      </c>
      <c r="HF65" t="e">
        <f>AND(Bills!#REF!,"AAAAAGN+1tU=")</f>
        <v>#REF!</v>
      </c>
      <c r="HG65" t="e">
        <f>AND(Bills!#REF!,"AAAAAGN+1tY=")</f>
        <v>#REF!</v>
      </c>
      <c r="HH65" t="e">
        <f>AND(Bills!#REF!,"AAAAAGN+1tc=")</f>
        <v>#REF!</v>
      </c>
      <c r="HI65" t="e">
        <f>AND(Bills!#REF!,"AAAAAGN+1tg=")</f>
        <v>#REF!</v>
      </c>
      <c r="HJ65" t="e">
        <f>AND(Bills!#REF!,"AAAAAGN+1tk=")</f>
        <v>#REF!</v>
      </c>
      <c r="HK65" t="e">
        <f>AND(Bills!#REF!,"AAAAAGN+1to=")</f>
        <v>#REF!</v>
      </c>
      <c r="HL65" t="e">
        <f>AND(Bills!#REF!,"AAAAAGN+1ts=")</f>
        <v>#REF!</v>
      </c>
      <c r="HM65" t="e">
        <f>AND(Bills!#REF!,"AAAAAGN+1tw=")</f>
        <v>#REF!</v>
      </c>
      <c r="HN65" t="e">
        <f>AND(Bills!#REF!,"AAAAAGN+1t0=")</f>
        <v>#REF!</v>
      </c>
      <c r="HO65" t="e">
        <f>AND(Bills!AA167,"AAAAAGN+1t4=")</f>
        <v>#VALUE!</v>
      </c>
      <c r="HP65" t="e">
        <f>AND(Bills!AB167,"AAAAAGN+1t8=")</f>
        <v>#VALUE!</v>
      </c>
      <c r="HQ65" t="e">
        <f>AND(Bills!#REF!,"AAAAAGN+1uA=")</f>
        <v>#REF!</v>
      </c>
      <c r="HR65" t="e">
        <f>AND(Bills!#REF!,"AAAAAGN+1uE=")</f>
        <v>#REF!</v>
      </c>
      <c r="HS65" t="e">
        <f>AND(Bills!#REF!,"AAAAAGN+1uI=")</f>
        <v>#REF!</v>
      </c>
      <c r="HT65" t="e">
        <f>AND(Bills!AC167,"AAAAAGN+1uM=")</f>
        <v>#VALUE!</v>
      </c>
      <c r="HU65" t="e">
        <f>AND(Bills!AD167,"AAAAAGN+1uQ=")</f>
        <v>#VALUE!</v>
      </c>
      <c r="HV65" t="e">
        <f>AND(Bills!AE167,"AAAAAGN+1uU=")</f>
        <v>#VALUE!</v>
      </c>
      <c r="HW65">
        <f>IF(Bills!168:168,"AAAAAGN+1uY=",0)</f>
        <v>0</v>
      </c>
      <c r="HX65" t="e">
        <f>AND(Bills!B168,"AAAAAGN+1uc=")</f>
        <v>#VALUE!</v>
      </c>
      <c r="HY65" t="e">
        <f>AND(Bills!#REF!,"AAAAAGN+1ug=")</f>
        <v>#REF!</v>
      </c>
      <c r="HZ65" t="e">
        <f>AND(Bills!C168,"AAAAAGN+1uk=")</f>
        <v>#VALUE!</v>
      </c>
      <c r="IA65" t="e">
        <f>AND(Bills!D168,"AAAAAGN+1uo=")</f>
        <v>#VALUE!</v>
      </c>
      <c r="IB65" t="e">
        <f>AND(Bills!E168,"AAAAAGN+1us=")</f>
        <v>#VALUE!</v>
      </c>
      <c r="IC65" t="e">
        <f>AND(Bills!#REF!,"AAAAAGN+1uw=")</f>
        <v>#REF!</v>
      </c>
      <c r="ID65" t="e">
        <f>AND(Bills!#REF!,"AAAAAGN+1u0=")</f>
        <v>#REF!</v>
      </c>
      <c r="IE65" t="e">
        <f>AND(Bills!#REF!,"AAAAAGN+1u4=")</f>
        <v>#REF!</v>
      </c>
      <c r="IF65" t="e">
        <f>AND(Bills!F168,"AAAAAGN+1u8=")</f>
        <v>#VALUE!</v>
      </c>
      <c r="IG65" t="e">
        <f>AND(Bills!#REF!,"AAAAAGN+1vA=")</f>
        <v>#REF!</v>
      </c>
      <c r="IH65" t="e">
        <f>AND(Bills!G168,"AAAAAGN+1vE=")</f>
        <v>#VALUE!</v>
      </c>
      <c r="II65" t="e">
        <f>AND(Bills!H168,"AAAAAGN+1vI=")</f>
        <v>#VALUE!</v>
      </c>
      <c r="IJ65" t="e">
        <f>AND(Bills!I168,"AAAAAGN+1vM=")</f>
        <v>#VALUE!</v>
      </c>
      <c r="IK65" t="e">
        <f>AND(Bills!J168,"AAAAAGN+1vQ=")</f>
        <v>#VALUE!</v>
      </c>
      <c r="IL65" t="e">
        <f>AND(Bills!K168,"AAAAAGN+1vU=")</f>
        <v>#VALUE!</v>
      </c>
      <c r="IM65" t="e">
        <f>AND(Bills!L168,"AAAAAGN+1vY=")</f>
        <v>#VALUE!</v>
      </c>
      <c r="IN65" t="e">
        <f>AND(Bills!#REF!,"AAAAAGN+1vc=")</f>
        <v>#REF!</v>
      </c>
      <c r="IO65" t="e">
        <f>AND(Bills!M168,"AAAAAGN+1vg=")</f>
        <v>#VALUE!</v>
      </c>
      <c r="IP65" t="e">
        <f>AND(Bills!N168,"AAAAAGN+1vk=")</f>
        <v>#VALUE!</v>
      </c>
      <c r="IQ65" t="e">
        <f>AND(Bills!O168,"AAAAAGN+1vo=")</f>
        <v>#VALUE!</v>
      </c>
      <c r="IR65" t="e">
        <f>AND(Bills!P168,"AAAAAGN+1vs=")</f>
        <v>#VALUE!</v>
      </c>
      <c r="IS65" t="e">
        <f>AND(Bills!Q168,"AAAAAGN+1vw=")</f>
        <v>#VALUE!</v>
      </c>
      <c r="IT65" t="e">
        <f>AND(Bills!R168,"AAAAAGN+1v0=")</f>
        <v>#VALUE!</v>
      </c>
      <c r="IU65" t="e">
        <f>AND(Bills!S168,"AAAAAGN+1v4=")</f>
        <v>#VALUE!</v>
      </c>
      <c r="IV65" t="e">
        <f>AND(Bills!T168,"AAAAAGN+1v8=")</f>
        <v>#VALUE!</v>
      </c>
    </row>
    <row r="66" spans="1:256" x14ac:dyDescent="0.25">
      <c r="A66" t="e">
        <f>AND(Bills!#REF!,"AAAAAD3/7gA=")</f>
        <v>#REF!</v>
      </c>
      <c r="B66" t="e">
        <f>AND(Bills!U168,"AAAAAD3/7gE=")</f>
        <v>#VALUE!</v>
      </c>
      <c r="C66" t="e">
        <f>AND(Bills!V168,"AAAAAD3/7gI=")</f>
        <v>#VALUE!</v>
      </c>
      <c r="D66" t="e">
        <f>AND(Bills!W168,"AAAAAD3/7gM=")</f>
        <v>#VALUE!</v>
      </c>
      <c r="E66" t="e">
        <f>AND(Bills!#REF!,"AAAAAD3/7gQ=")</f>
        <v>#REF!</v>
      </c>
      <c r="F66" t="e">
        <f>AND(Bills!#REF!,"AAAAAD3/7gU=")</f>
        <v>#REF!</v>
      </c>
      <c r="G66" t="e">
        <f>AND(Bills!Y168,"AAAAAD3/7gY=")</f>
        <v>#VALUE!</v>
      </c>
      <c r="H66" t="e">
        <f>AND(Bills!Z168,"AAAAAD3/7gc=")</f>
        <v>#VALUE!</v>
      </c>
      <c r="I66" t="e">
        <f>AND(Bills!#REF!,"AAAAAD3/7gg=")</f>
        <v>#REF!</v>
      </c>
      <c r="J66" t="e">
        <f>AND(Bills!#REF!,"AAAAAD3/7gk=")</f>
        <v>#REF!</v>
      </c>
      <c r="K66" t="e">
        <f>AND(Bills!#REF!,"AAAAAD3/7go=")</f>
        <v>#REF!</v>
      </c>
      <c r="L66" t="e">
        <f>AND(Bills!#REF!,"AAAAAD3/7gs=")</f>
        <v>#REF!</v>
      </c>
      <c r="M66" t="e">
        <f>AND(Bills!#REF!,"AAAAAD3/7gw=")</f>
        <v>#REF!</v>
      </c>
      <c r="N66" t="e">
        <f>AND(Bills!#REF!,"AAAAAD3/7g0=")</f>
        <v>#REF!</v>
      </c>
      <c r="O66" t="e">
        <f>AND(Bills!#REF!,"AAAAAD3/7g4=")</f>
        <v>#REF!</v>
      </c>
      <c r="P66" t="e">
        <f>AND(Bills!#REF!,"AAAAAD3/7g8=")</f>
        <v>#REF!</v>
      </c>
      <c r="Q66" t="e">
        <f>AND(Bills!#REF!,"AAAAAD3/7hA=")</f>
        <v>#REF!</v>
      </c>
      <c r="R66" t="e">
        <f>AND(Bills!AA168,"AAAAAD3/7hE=")</f>
        <v>#VALUE!</v>
      </c>
      <c r="S66" t="e">
        <f>AND(Bills!AB168,"AAAAAD3/7hI=")</f>
        <v>#VALUE!</v>
      </c>
      <c r="T66" t="e">
        <f>AND(Bills!#REF!,"AAAAAD3/7hM=")</f>
        <v>#REF!</v>
      </c>
      <c r="U66" t="e">
        <f>AND(Bills!#REF!,"AAAAAD3/7hQ=")</f>
        <v>#REF!</v>
      </c>
      <c r="V66" t="e">
        <f>AND(Bills!#REF!,"AAAAAD3/7hU=")</f>
        <v>#REF!</v>
      </c>
      <c r="W66" t="e">
        <f>AND(Bills!AC168,"AAAAAD3/7hY=")</f>
        <v>#VALUE!</v>
      </c>
      <c r="X66" t="e">
        <f>AND(Bills!AD168,"AAAAAD3/7hc=")</f>
        <v>#VALUE!</v>
      </c>
      <c r="Y66" t="e">
        <f>AND(Bills!AE168,"AAAAAD3/7hg=")</f>
        <v>#VALUE!</v>
      </c>
      <c r="Z66">
        <f>IF(Bills!169:169,"AAAAAD3/7hk=",0)</f>
        <v>0</v>
      </c>
      <c r="AA66" t="e">
        <f>AND(Bills!B169,"AAAAAD3/7ho=")</f>
        <v>#VALUE!</v>
      </c>
      <c r="AB66" t="e">
        <f>AND(Bills!#REF!,"AAAAAD3/7hs=")</f>
        <v>#REF!</v>
      </c>
      <c r="AC66" t="e">
        <f>AND(Bills!C169,"AAAAAD3/7hw=")</f>
        <v>#VALUE!</v>
      </c>
      <c r="AD66" t="e">
        <f>AND(Bills!D169,"AAAAAD3/7h0=")</f>
        <v>#VALUE!</v>
      </c>
      <c r="AE66" t="e">
        <f>AND(Bills!E169,"AAAAAD3/7h4=")</f>
        <v>#VALUE!</v>
      </c>
      <c r="AF66" t="e">
        <f>AND(Bills!#REF!,"AAAAAD3/7h8=")</f>
        <v>#REF!</v>
      </c>
      <c r="AG66" t="e">
        <f>AND(Bills!#REF!,"AAAAAD3/7iA=")</f>
        <v>#REF!</v>
      </c>
      <c r="AH66" t="e">
        <f>AND(Bills!#REF!,"AAAAAD3/7iE=")</f>
        <v>#REF!</v>
      </c>
      <c r="AI66" t="e">
        <f>AND(Bills!F169,"AAAAAD3/7iI=")</f>
        <v>#VALUE!</v>
      </c>
      <c r="AJ66" t="e">
        <f>AND(Bills!#REF!,"AAAAAD3/7iM=")</f>
        <v>#REF!</v>
      </c>
      <c r="AK66" t="e">
        <f>AND(Bills!G169,"AAAAAD3/7iQ=")</f>
        <v>#VALUE!</v>
      </c>
      <c r="AL66" t="e">
        <f>AND(Bills!H169,"AAAAAD3/7iU=")</f>
        <v>#VALUE!</v>
      </c>
      <c r="AM66" t="e">
        <f>AND(Bills!I169,"AAAAAD3/7iY=")</f>
        <v>#VALUE!</v>
      </c>
      <c r="AN66" t="e">
        <f>AND(Bills!J169,"AAAAAD3/7ic=")</f>
        <v>#VALUE!</v>
      </c>
      <c r="AO66" t="e">
        <f>AND(Bills!K169,"AAAAAD3/7ig=")</f>
        <v>#VALUE!</v>
      </c>
      <c r="AP66" t="e">
        <f>AND(Bills!L169,"AAAAAD3/7ik=")</f>
        <v>#VALUE!</v>
      </c>
      <c r="AQ66" t="e">
        <f>AND(Bills!#REF!,"AAAAAD3/7io=")</f>
        <v>#REF!</v>
      </c>
      <c r="AR66" t="e">
        <f>AND(Bills!M169,"AAAAAD3/7is=")</f>
        <v>#VALUE!</v>
      </c>
      <c r="AS66" t="e">
        <f>AND(Bills!N169,"AAAAAD3/7iw=")</f>
        <v>#VALUE!</v>
      </c>
      <c r="AT66" t="e">
        <f>AND(Bills!O169,"AAAAAD3/7i0=")</f>
        <v>#VALUE!</v>
      </c>
      <c r="AU66" t="e">
        <f>AND(Bills!P169,"AAAAAD3/7i4=")</f>
        <v>#VALUE!</v>
      </c>
      <c r="AV66" t="e">
        <f>AND(Bills!Q169,"AAAAAD3/7i8=")</f>
        <v>#VALUE!</v>
      </c>
      <c r="AW66" t="e">
        <f>AND(Bills!R169,"AAAAAD3/7jA=")</f>
        <v>#VALUE!</v>
      </c>
      <c r="AX66" t="e">
        <f>AND(Bills!S169,"AAAAAD3/7jE=")</f>
        <v>#VALUE!</v>
      </c>
      <c r="AY66" t="e">
        <f>AND(Bills!T169,"AAAAAD3/7jI=")</f>
        <v>#VALUE!</v>
      </c>
      <c r="AZ66" t="e">
        <f>AND(Bills!#REF!,"AAAAAD3/7jM=")</f>
        <v>#REF!</v>
      </c>
      <c r="BA66" t="e">
        <f>AND(Bills!U169,"AAAAAD3/7jQ=")</f>
        <v>#VALUE!</v>
      </c>
      <c r="BB66" t="e">
        <f>AND(Bills!V169,"AAAAAD3/7jU=")</f>
        <v>#VALUE!</v>
      </c>
      <c r="BC66" t="e">
        <f>AND(Bills!W169,"AAAAAD3/7jY=")</f>
        <v>#VALUE!</v>
      </c>
      <c r="BD66" t="e">
        <f>AND(Bills!#REF!,"AAAAAD3/7jc=")</f>
        <v>#REF!</v>
      </c>
      <c r="BE66" t="e">
        <f>AND(Bills!#REF!,"AAAAAD3/7jg=")</f>
        <v>#REF!</v>
      </c>
      <c r="BF66" t="e">
        <f>AND(Bills!Y169,"AAAAAD3/7jk=")</f>
        <v>#VALUE!</v>
      </c>
      <c r="BG66" t="e">
        <f>AND(Bills!Z169,"AAAAAD3/7jo=")</f>
        <v>#VALUE!</v>
      </c>
      <c r="BH66" t="e">
        <f>AND(Bills!#REF!,"AAAAAD3/7js=")</f>
        <v>#REF!</v>
      </c>
      <c r="BI66" t="e">
        <f>AND(Bills!#REF!,"AAAAAD3/7jw=")</f>
        <v>#REF!</v>
      </c>
      <c r="BJ66" t="e">
        <f>AND(Bills!#REF!,"AAAAAD3/7j0=")</f>
        <v>#REF!</v>
      </c>
      <c r="BK66" t="e">
        <f>AND(Bills!#REF!,"AAAAAD3/7j4=")</f>
        <v>#REF!</v>
      </c>
      <c r="BL66" t="e">
        <f>AND(Bills!#REF!,"AAAAAD3/7j8=")</f>
        <v>#REF!</v>
      </c>
      <c r="BM66" t="e">
        <f>AND(Bills!#REF!,"AAAAAD3/7kA=")</f>
        <v>#REF!</v>
      </c>
      <c r="BN66" t="e">
        <f>AND(Bills!#REF!,"AAAAAD3/7kE=")</f>
        <v>#REF!</v>
      </c>
      <c r="BO66" t="e">
        <f>AND(Bills!#REF!,"AAAAAD3/7kI=")</f>
        <v>#REF!</v>
      </c>
      <c r="BP66" t="e">
        <f>AND(Bills!#REF!,"AAAAAD3/7kM=")</f>
        <v>#REF!</v>
      </c>
      <c r="BQ66" t="e">
        <f>AND(Bills!AA169,"AAAAAD3/7kQ=")</f>
        <v>#VALUE!</v>
      </c>
      <c r="BR66" t="e">
        <f>AND(Bills!AB169,"AAAAAD3/7kU=")</f>
        <v>#VALUE!</v>
      </c>
      <c r="BS66" t="e">
        <f>AND(Bills!#REF!,"AAAAAD3/7kY=")</f>
        <v>#REF!</v>
      </c>
      <c r="BT66" t="e">
        <f>AND(Bills!#REF!,"AAAAAD3/7kc=")</f>
        <v>#REF!</v>
      </c>
      <c r="BU66" t="e">
        <f>AND(Bills!#REF!,"AAAAAD3/7kg=")</f>
        <v>#REF!</v>
      </c>
      <c r="BV66" t="e">
        <f>AND(Bills!AC169,"AAAAAD3/7kk=")</f>
        <v>#VALUE!</v>
      </c>
      <c r="BW66" t="e">
        <f>AND(Bills!AD169,"AAAAAD3/7ko=")</f>
        <v>#VALUE!</v>
      </c>
      <c r="BX66" t="e">
        <f>AND(Bills!AE169,"AAAAAD3/7ks=")</f>
        <v>#VALUE!</v>
      </c>
      <c r="BY66">
        <f>IF(Bills!170:170,"AAAAAD3/7kw=",0)</f>
        <v>0</v>
      </c>
      <c r="BZ66" t="e">
        <f>AND(Bills!B170,"AAAAAD3/7k0=")</f>
        <v>#VALUE!</v>
      </c>
      <c r="CA66" t="e">
        <f>AND(Bills!#REF!,"AAAAAD3/7k4=")</f>
        <v>#REF!</v>
      </c>
      <c r="CB66" t="e">
        <f>AND(Bills!C170,"AAAAAD3/7k8=")</f>
        <v>#VALUE!</v>
      </c>
      <c r="CC66" t="e">
        <f>AND(Bills!D170,"AAAAAD3/7lA=")</f>
        <v>#VALUE!</v>
      </c>
      <c r="CD66" t="e">
        <f>AND(Bills!E170,"AAAAAD3/7lE=")</f>
        <v>#VALUE!</v>
      </c>
      <c r="CE66" t="e">
        <f>AND(Bills!#REF!,"AAAAAD3/7lI=")</f>
        <v>#REF!</v>
      </c>
      <c r="CF66" t="e">
        <f>AND(Bills!#REF!,"AAAAAD3/7lM=")</f>
        <v>#REF!</v>
      </c>
      <c r="CG66" t="e">
        <f>AND(Bills!#REF!,"AAAAAD3/7lQ=")</f>
        <v>#REF!</v>
      </c>
      <c r="CH66" t="e">
        <f>AND(Bills!F170,"AAAAAD3/7lU=")</f>
        <v>#VALUE!</v>
      </c>
      <c r="CI66" t="e">
        <f>AND(Bills!#REF!,"AAAAAD3/7lY=")</f>
        <v>#REF!</v>
      </c>
      <c r="CJ66" t="e">
        <f>AND(Bills!G170,"AAAAAD3/7lc=")</f>
        <v>#VALUE!</v>
      </c>
      <c r="CK66" t="e">
        <f>AND(Bills!H170,"AAAAAD3/7lg=")</f>
        <v>#VALUE!</v>
      </c>
      <c r="CL66" t="e">
        <f>AND(Bills!I170,"AAAAAD3/7lk=")</f>
        <v>#VALUE!</v>
      </c>
      <c r="CM66" t="e">
        <f>AND(Bills!J170,"AAAAAD3/7lo=")</f>
        <v>#VALUE!</v>
      </c>
      <c r="CN66" t="e">
        <f>AND(Bills!K170,"AAAAAD3/7ls=")</f>
        <v>#VALUE!</v>
      </c>
      <c r="CO66" t="e">
        <f>AND(Bills!L170,"AAAAAD3/7lw=")</f>
        <v>#VALUE!</v>
      </c>
      <c r="CP66" t="e">
        <f>AND(Bills!#REF!,"AAAAAD3/7l0=")</f>
        <v>#REF!</v>
      </c>
      <c r="CQ66" t="e">
        <f>AND(Bills!M170,"AAAAAD3/7l4=")</f>
        <v>#VALUE!</v>
      </c>
      <c r="CR66" t="e">
        <f>AND(Bills!N170,"AAAAAD3/7l8=")</f>
        <v>#VALUE!</v>
      </c>
      <c r="CS66" t="e">
        <f>AND(Bills!O170,"AAAAAD3/7mA=")</f>
        <v>#VALUE!</v>
      </c>
      <c r="CT66" t="e">
        <f>AND(Bills!P170,"AAAAAD3/7mE=")</f>
        <v>#VALUE!</v>
      </c>
      <c r="CU66" t="e">
        <f>AND(Bills!Q170,"AAAAAD3/7mI=")</f>
        <v>#VALUE!</v>
      </c>
      <c r="CV66" t="e">
        <f>AND(Bills!R170,"AAAAAD3/7mM=")</f>
        <v>#VALUE!</v>
      </c>
      <c r="CW66" t="e">
        <f>AND(Bills!S170,"AAAAAD3/7mQ=")</f>
        <v>#VALUE!</v>
      </c>
      <c r="CX66" t="e">
        <f>AND(Bills!T170,"AAAAAD3/7mU=")</f>
        <v>#VALUE!</v>
      </c>
      <c r="CY66" t="e">
        <f>AND(Bills!#REF!,"AAAAAD3/7mY=")</f>
        <v>#REF!</v>
      </c>
      <c r="CZ66" t="e">
        <f>AND(Bills!U170,"AAAAAD3/7mc=")</f>
        <v>#VALUE!</v>
      </c>
      <c r="DA66" t="e">
        <f>AND(Bills!V170,"AAAAAD3/7mg=")</f>
        <v>#VALUE!</v>
      </c>
      <c r="DB66" t="e">
        <f>AND(Bills!W170,"AAAAAD3/7mk=")</f>
        <v>#VALUE!</v>
      </c>
      <c r="DC66" t="e">
        <f>AND(Bills!#REF!,"AAAAAD3/7mo=")</f>
        <v>#REF!</v>
      </c>
      <c r="DD66" t="e">
        <f>AND(Bills!#REF!,"AAAAAD3/7ms=")</f>
        <v>#REF!</v>
      </c>
      <c r="DE66" t="e">
        <f>AND(Bills!Y170,"AAAAAD3/7mw=")</f>
        <v>#VALUE!</v>
      </c>
      <c r="DF66" t="e">
        <f>AND(Bills!Z170,"AAAAAD3/7m0=")</f>
        <v>#VALUE!</v>
      </c>
      <c r="DG66" t="e">
        <f>AND(Bills!#REF!,"AAAAAD3/7m4=")</f>
        <v>#REF!</v>
      </c>
      <c r="DH66" t="e">
        <f>AND(Bills!#REF!,"AAAAAD3/7m8=")</f>
        <v>#REF!</v>
      </c>
      <c r="DI66" t="e">
        <f>AND(Bills!#REF!,"AAAAAD3/7nA=")</f>
        <v>#REF!</v>
      </c>
      <c r="DJ66" t="e">
        <f>AND(Bills!#REF!,"AAAAAD3/7nE=")</f>
        <v>#REF!</v>
      </c>
      <c r="DK66" t="e">
        <f>AND(Bills!#REF!,"AAAAAD3/7nI=")</f>
        <v>#REF!</v>
      </c>
      <c r="DL66" t="e">
        <f>AND(Bills!#REF!,"AAAAAD3/7nM=")</f>
        <v>#REF!</v>
      </c>
      <c r="DM66" t="e">
        <f>AND(Bills!#REF!,"AAAAAD3/7nQ=")</f>
        <v>#REF!</v>
      </c>
      <c r="DN66" t="e">
        <f>AND(Bills!#REF!,"AAAAAD3/7nU=")</f>
        <v>#REF!</v>
      </c>
      <c r="DO66" t="e">
        <f>AND(Bills!#REF!,"AAAAAD3/7nY=")</f>
        <v>#REF!</v>
      </c>
      <c r="DP66" t="e">
        <f>AND(Bills!AA170,"AAAAAD3/7nc=")</f>
        <v>#VALUE!</v>
      </c>
      <c r="DQ66" t="e">
        <f>AND(Bills!AB170,"AAAAAD3/7ng=")</f>
        <v>#VALUE!</v>
      </c>
      <c r="DR66" t="e">
        <f>AND(Bills!#REF!,"AAAAAD3/7nk=")</f>
        <v>#REF!</v>
      </c>
      <c r="DS66" t="e">
        <f>AND(Bills!#REF!,"AAAAAD3/7no=")</f>
        <v>#REF!</v>
      </c>
      <c r="DT66" t="e">
        <f>AND(Bills!#REF!,"AAAAAD3/7ns=")</f>
        <v>#REF!</v>
      </c>
      <c r="DU66" t="e">
        <f>AND(Bills!AC170,"AAAAAD3/7nw=")</f>
        <v>#VALUE!</v>
      </c>
      <c r="DV66" t="e">
        <f>AND(Bills!AD170,"AAAAAD3/7n0=")</f>
        <v>#VALUE!</v>
      </c>
      <c r="DW66" t="e">
        <f>AND(Bills!AE170,"AAAAAD3/7n4=")</f>
        <v>#VALUE!</v>
      </c>
      <c r="DX66">
        <f>IF(Bills!171:171,"AAAAAD3/7n8=",0)</f>
        <v>0</v>
      </c>
      <c r="DY66" t="e">
        <f>AND(Bills!B171,"AAAAAD3/7oA=")</f>
        <v>#VALUE!</v>
      </c>
      <c r="DZ66" t="e">
        <f>AND(Bills!#REF!,"AAAAAD3/7oE=")</f>
        <v>#REF!</v>
      </c>
      <c r="EA66" t="e">
        <f>AND(Bills!C171,"AAAAAD3/7oI=")</f>
        <v>#VALUE!</v>
      </c>
      <c r="EB66" t="e">
        <f>AND(Bills!D171,"AAAAAD3/7oM=")</f>
        <v>#VALUE!</v>
      </c>
      <c r="EC66" t="e">
        <f>AND(Bills!E171,"AAAAAD3/7oQ=")</f>
        <v>#VALUE!</v>
      </c>
      <c r="ED66" t="e">
        <f>AND(Bills!#REF!,"AAAAAD3/7oU=")</f>
        <v>#REF!</v>
      </c>
      <c r="EE66" t="e">
        <f>AND(Bills!#REF!,"AAAAAD3/7oY=")</f>
        <v>#REF!</v>
      </c>
      <c r="EF66" t="e">
        <f>AND(Bills!#REF!,"AAAAAD3/7oc=")</f>
        <v>#REF!</v>
      </c>
      <c r="EG66" t="e">
        <f>AND(Bills!F171,"AAAAAD3/7og=")</f>
        <v>#VALUE!</v>
      </c>
      <c r="EH66" t="e">
        <f>AND(Bills!#REF!,"AAAAAD3/7ok=")</f>
        <v>#REF!</v>
      </c>
      <c r="EI66" t="e">
        <f>AND(Bills!G171,"AAAAAD3/7oo=")</f>
        <v>#VALUE!</v>
      </c>
      <c r="EJ66" t="e">
        <f>AND(Bills!H171,"AAAAAD3/7os=")</f>
        <v>#VALUE!</v>
      </c>
      <c r="EK66" t="e">
        <f>AND(Bills!I171,"AAAAAD3/7ow=")</f>
        <v>#VALUE!</v>
      </c>
      <c r="EL66" t="e">
        <f>AND(Bills!J171,"AAAAAD3/7o0=")</f>
        <v>#VALUE!</v>
      </c>
      <c r="EM66" t="e">
        <f>AND(Bills!K171,"AAAAAD3/7o4=")</f>
        <v>#VALUE!</v>
      </c>
      <c r="EN66" t="e">
        <f>AND(Bills!L171,"AAAAAD3/7o8=")</f>
        <v>#VALUE!</v>
      </c>
      <c r="EO66" t="e">
        <f>AND(Bills!#REF!,"AAAAAD3/7pA=")</f>
        <v>#REF!</v>
      </c>
      <c r="EP66" t="e">
        <f>AND(Bills!M171,"AAAAAD3/7pE=")</f>
        <v>#VALUE!</v>
      </c>
      <c r="EQ66" t="e">
        <f>AND(Bills!N171,"AAAAAD3/7pI=")</f>
        <v>#VALUE!</v>
      </c>
      <c r="ER66" t="e">
        <f>AND(Bills!O171,"AAAAAD3/7pM=")</f>
        <v>#VALUE!</v>
      </c>
      <c r="ES66" t="e">
        <f>AND(Bills!P171,"AAAAAD3/7pQ=")</f>
        <v>#VALUE!</v>
      </c>
      <c r="ET66" t="e">
        <f>AND(Bills!Q171,"AAAAAD3/7pU=")</f>
        <v>#VALUE!</v>
      </c>
      <c r="EU66" t="e">
        <f>AND(Bills!R171,"AAAAAD3/7pY=")</f>
        <v>#VALUE!</v>
      </c>
      <c r="EV66" t="e">
        <f>AND(Bills!S171,"AAAAAD3/7pc=")</f>
        <v>#VALUE!</v>
      </c>
      <c r="EW66" t="e">
        <f>AND(Bills!T171,"AAAAAD3/7pg=")</f>
        <v>#VALUE!</v>
      </c>
      <c r="EX66" t="e">
        <f>AND(Bills!#REF!,"AAAAAD3/7pk=")</f>
        <v>#REF!</v>
      </c>
      <c r="EY66" t="e">
        <f>AND(Bills!U171,"AAAAAD3/7po=")</f>
        <v>#VALUE!</v>
      </c>
      <c r="EZ66" t="e">
        <f>AND(Bills!V171,"AAAAAD3/7ps=")</f>
        <v>#VALUE!</v>
      </c>
      <c r="FA66" t="e">
        <f>AND(Bills!W171,"AAAAAD3/7pw=")</f>
        <v>#VALUE!</v>
      </c>
      <c r="FB66" t="e">
        <f>AND(Bills!#REF!,"AAAAAD3/7p0=")</f>
        <v>#REF!</v>
      </c>
      <c r="FC66" t="e">
        <f>AND(Bills!#REF!,"AAAAAD3/7p4=")</f>
        <v>#REF!</v>
      </c>
      <c r="FD66" t="e">
        <f>AND(Bills!Y171,"AAAAAD3/7p8=")</f>
        <v>#VALUE!</v>
      </c>
      <c r="FE66" t="e">
        <f>AND(Bills!Z171,"AAAAAD3/7qA=")</f>
        <v>#VALUE!</v>
      </c>
      <c r="FF66" t="e">
        <f>AND(Bills!#REF!,"AAAAAD3/7qE=")</f>
        <v>#REF!</v>
      </c>
      <c r="FG66" t="e">
        <f>AND(Bills!#REF!,"AAAAAD3/7qI=")</f>
        <v>#REF!</v>
      </c>
      <c r="FH66" t="e">
        <f>AND(Bills!#REF!,"AAAAAD3/7qM=")</f>
        <v>#REF!</v>
      </c>
      <c r="FI66" t="e">
        <f>AND(Bills!#REF!,"AAAAAD3/7qQ=")</f>
        <v>#REF!</v>
      </c>
      <c r="FJ66" t="e">
        <f>AND(Bills!#REF!,"AAAAAD3/7qU=")</f>
        <v>#REF!</v>
      </c>
      <c r="FK66" t="e">
        <f>AND(Bills!#REF!,"AAAAAD3/7qY=")</f>
        <v>#REF!</v>
      </c>
      <c r="FL66" t="e">
        <f>AND(Bills!#REF!,"AAAAAD3/7qc=")</f>
        <v>#REF!</v>
      </c>
      <c r="FM66" t="e">
        <f>AND(Bills!#REF!,"AAAAAD3/7qg=")</f>
        <v>#REF!</v>
      </c>
      <c r="FN66" t="e">
        <f>AND(Bills!#REF!,"AAAAAD3/7qk=")</f>
        <v>#REF!</v>
      </c>
      <c r="FO66" t="e">
        <f>AND(Bills!AA171,"AAAAAD3/7qo=")</f>
        <v>#VALUE!</v>
      </c>
      <c r="FP66" t="e">
        <f>AND(Bills!AB171,"AAAAAD3/7qs=")</f>
        <v>#VALUE!</v>
      </c>
      <c r="FQ66" t="e">
        <f>AND(Bills!#REF!,"AAAAAD3/7qw=")</f>
        <v>#REF!</v>
      </c>
      <c r="FR66" t="e">
        <f>AND(Bills!#REF!,"AAAAAD3/7q0=")</f>
        <v>#REF!</v>
      </c>
      <c r="FS66" t="e">
        <f>AND(Bills!#REF!,"AAAAAD3/7q4=")</f>
        <v>#REF!</v>
      </c>
      <c r="FT66" t="e">
        <f>AND(Bills!AC171,"AAAAAD3/7q8=")</f>
        <v>#VALUE!</v>
      </c>
      <c r="FU66" t="e">
        <f>AND(Bills!AD171,"AAAAAD3/7rA=")</f>
        <v>#VALUE!</v>
      </c>
      <c r="FV66" t="e">
        <f>AND(Bills!AE171,"AAAAAD3/7rE=")</f>
        <v>#VALUE!</v>
      </c>
      <c r="FW66">
        <f>IF(Bills!172:172,"AAAAAD3/7rI=",0)</f>
        <v>0</v>
      </c>
      <c r="FX66" t="e">
        <f>AND(Bills!B172,"AAAAAD3/7rM=")</f>
        <v>#VALUE!</v>
      </c>
      <c r="FY66" t="e">
        <f>AND(Bills!#REF!,"AAAAAD3/7rQ=")</f>
        <v>#REF!</v>
      </c>
      <c r="FZ66" t="e">
        <f>AND(Bills!C172,"AAAAAD3/7rU=")</f>
        <v>#VALUE!</v>
      </c>
      <c r="GA66" t="e">
        <f>AND(Bills!D172,"AAAAAD3/7rY=")</f>
        <v>#VALUE!</v>
      </c>
      <c r="GB66" t="e">
        <f>AND(Bills!E172,"AAAAAD3/7rc=")</f>
        <v>#VALUE!</v>
      </c>
      <c r="GC66" t="e">
        <f>AND(Bills!#REF!,"AAAAAD3/7rg=")</f>
        <v>#REF!</v>
      </c>
      <c r="GD66" t="e">
        <f>AND(Bills!#REF!,"AAAAAD3/7rk=")</f>
        <v>#REF!</v>
      </c>
      <c r="GE66" t="e">
        <f>AND(Bills!#REF!,"AAAAAD3/7ro=")</f>
        <v>#REF!</v>
      </c>
      <c r="GF66" t="e">
        <f>AND(Bills!F172,"AAAAAD3/7rs=")</f>
        <v>#VALUE!</v>
      </c>
      <c r="GG66" t="e">
        <f>AND(Bills!#REF!,"AAAAAD3/7rw=")</f>
        <v>#REF!</v>
      </c>
      <c r="GH66" t="e">
        <f>AND(Bills!G172,"AAAAAD3/7r0=")</f>
        <v>#VALUE!</v>
      </c>
      <c r="GI66" t="e">
        <f>AND(Bills!H172,"AAAAAD3/7r4=")</f>
        <v>#VALUE!</v>
      </c>
      <c r="GJ66" t="e">
        <f>AND(Bills!I172,"AAAAAD3/7r8=")</f>
        <v>#VALUE!</v>
      </c>
      <c r="GK66" t="e">
        <f>AND(Bills!J172,"AAAAAD3/7sA=")</f>
        <v>#VALUE!</v>
      </c>
      <c r="GL66" t="e">
        <f>AND(Bills!K172,"AAAAAD3/7sE=")</f>
        <v>#VALUE!</v>
      </c>
      <c r="GM66" t="e">
        <f>AND(Bills!L172,"AAAAAD3/7sI=")</f>
        <v>#VALUE!</v>
      </c>
      <c r="GN66" t="e">
        <f>AND(Bills!#REF!,"AAAAAD3/7sM=")</f>
        <v>#REF!</v>
      </c>
      <c r="GO66" t="e">
        <f>AND(Bills!M172,"AAAAAD3/7sQ=")</f>
        <v>#VALUE!</v>
      </c>
      <c r="GP66" t="e">
        <f>AND(Bills!N172,"AAAAAD3/7sU=")</f>
        <v>#VALUE!</v>
      </c>
      <c r="GQ66" t="e">
        <f>AND(Bills!O172,"AAAAAD3/7sY=")</f>
        <v>#VALUE!</v>
      </c>
      <c r="GR66" t="e">
        <f>AND(Bills!P172,"AAAAAD3/7sc=")</f>
        <v>#VALUE!</v>
      </c>
      <c r="GS66" t="e">
        <f>AND(Bills!Q172,"AAAAAD3/7sg=")</f>
        <v>#VALUE!</v>
      </c>
      <c r="GT66" t="e">
        <f>AND(Bills!R172,"AAAAAD3/7sk=")</f>
        <v>#VALUE!</v>
      </c>
      <c r="GU66" t="e">
        <f>AND(Bills!S172,"AAAAAD3/7so=")</f>
        <v>#VALUE!</v>
      </c>
      <c r="GV66" t="e">
        <f>AND(Bills!T172,"AAAAAD3/7ss=")</f>
        <v>#VALUE!</v>
      </c>
      <c r="GW66" t="e">
        <f>AND(Bills!#REF!,"AAAAAD3/7sw=")</f>
        <v>#REF!</v>
      </c>
      <c r="GX66" t="e">
        <f>AND(Bills!U172,"AAAAAD3/7s0=")</f>
        <v>#VALUE!</v>
      </c>
      <c r="GY66" t="e">
        <f>AND(Bills!V172,"AAAAAD3/7s4=")</f>
        <v>#VALUE!</v>
      </c>
      <c r="GZ66" t="e">
        <f>AND(Bills!W172,"AAAAAD3/7s8=")</f>
        <v>#VALUE!</v>
      </c>
      <c r="HA66" t="e">
        <f>AND(Bills!#REF!,"AAAAAD3/7tA=")</f>
        <v>#REF!</v>
      </c>
      <c r="HB66" t="e">
        <f>AND(Bills!#REF!,"AAAAAD3/7tE=")</f>
        <v>#REF!</v>
      </c>
      <c r="HC66" t="e">
        <f>AND(Bills!Y172,"AAAAAD3/7tI=")</f>
        <v>#VALUE!</v>
      </c>
      <c r="HD66" t="e">
        <f>AND(Bills!Z172,"AAAAAD3/7tM=")</f>
        <v>#VALUE!</v>
      </c>
      <c r="HE66" t="e">
        <f>AND(Bills!#REF!,"AAAAAD3/7tQ=")</f>
        <v>#REF!</v>
      </c>
      <c r="HF66" t="e">
        <f>AND(Bills!#REF!,"AAAAAD3/7tU=")</f>
        <v>#REF!</v>
      </c>
      <c r="HG66" t="e">
        <f>AND(Bills!#REF!,"AAAAAD3/7tY=")</f>
        <v>#REF!</v>
      </c>
      <c r="HH66" t="e">
        <f>AND(Bills!#REF!,"AAAAAD3/7tc=")</f>
        <v>#REF!</v>
      </c>
      <c r="HI66" t="e">
        <f>AND(Bills!#REF!,"AAAAAD3/7tg=")</f>
        <v>#REF!</v>
      </c>
      <c r="HJ66" t="e">
        <f>AND(Bills!#REF!,"AAAAAD3/7tk=")</f>
        <v>#REF!</v>
      </c>
      <c r="HK66" t="e">
        <f>AND(Bills!#REF!,"AAAAAD3/7to=")</f>
        <v>#REF!</v>
      </c>
      <c r="HL66" t="e">
        <f>AND(Bills!#REF!,"AAAAAD3/7ts=")</f>
        <v>#REF!</v>
      </c>
      <c r="HM66" t="e">
        <f>AND(Bills!#REF!,"AAAAAD3/7tw=")</f>
        <v>#REF!</v>
      </c>
      <c r="HN66" t="e">
        <f>AND(Bills!AA172,"AAAAAD3/7t0=")</f>
        <v>#VALUE!</v>
      </c>
      <c r="HO66" t="e">
        <f>AND(Bills!AB172,"AAAAAD3/7t4=")</f>
        <v>#VALUE!</v>
      </c>
      <c r="HP66" t="e">
        <f>AND(Bills!#REF!,"AAAAAD3/7t8=")</f>
        <v>#REF!</v>
      </c>
      <c r="HQ66" t="e">
        <f>AND(Bills!#REF!,"AAAAAD3/7uA=")</f>
        <v>#REF!</v>
      </c>
      <c r="HR66" t="e">
        <f>AND(Bills!#REF!,"AAAAAD3/7uE=")</f>
        <v>#REF!</v>
      </c>
      <c r="HS66" t="e">
        <f>AND(Bills!AC172,"AAAAAD3/7uI=")</f>
        <v>#VALUE!</v>
      </c>
      <c r="HT66" t="e">
        <f>AND(Bills!AD172,"AAAAAD3/7uM=")</f>
        <v>#VALUE!</v>
      </c>
      <c r="HU66" t="e">
        <f>AND(Bills!AE172,"AAAAAD3/7uQ=")</f>
        <v>#VALUE!</v>
      </c>
      <c r="HV66">
        <f>IF(Bills!173:173,"AAAAAD3/7uU=",0)</f>
        <v>0</v>
      </c>
      <c r="HW66" t="e">
        <f>AND(Bills!B173,"AAAAAD3/7uY=")</f>
        <v>#VALUE!</v>
      </c>
      <c r="HX66" t="e">
        <f>AND(Bills!#REF!,"AAAAAD3/7uc=")</f>
        <v>#REF!</v>
      </c>
      <c r="HY66" t="e">
        <f>AND(Bills!C173,"AAAAAD3/7ug=")</f>
        <v>#VALUE!</v>
      </c>
      <c r="HZ66" t="e">
        <f>AND(Bills!D173,"AAAAAD3/7uk=")</f>
        <v>#VALUE!</v>
      </c>
      <c r="IA66" t="e">
        <f>AND(Bills!E173,"AAAAAD3/7uo=")</f>
        <v>#VALUE!</v>
      </c>
      <c r="IB66" t="e">
        <f>AND(Bills!#REF!,"AAAAAD3/7us=")</f>
        <v>#REF!</v>
      </c>
      <c r="IC66" t="e">
        <f>AND(Bills!#REF!,"AAAAAD3/7uw=")</f>
        <v>#REF!</v>
      </c>
      <c r="ID66" t="e">
        <f>AND(Bills!#REF!,"AAAAAD3/7u0=")</f>
        <v>#REF!</v>
      </c>
      <c r="IE66" t="e">
        <f>AND(Bills!F173,"AAAAAD3/7u4=")</f>
        <v>#VALUE!</v>
      </c>
      <c r="IF66" t="e">
        <f>AND(Bills!#REF!,"AAAAAD3/7u8=")</f>
        <v>#REF!</v>
      </c>
      <c r="IG66" t="e">
        <f>AND(Bills!G173,"AAAAAD3/7vA=")</f>
        <v>#VALUE!</v>
      </c>
      <c r="IH66" t="e">
        <f>AND(Bills!H173,"AAAAAD3/7vE=")</f>
        <v>#VALUE!</v>
      </c>
      <c r="II66" t="e">
        <f>AND(Bills!I173,"AAAAAD3/7vI=")</f>
        <v>#VALUE!</v>
      </c>
      <c r="IJ66" t="e">
        <f>AND(Bills!J173,"AAAAAD3/7vM=")</f>
        <v>#VALUE!</v>
      </c>
      <c r="IK66" t="e">
        <f>AND(Bills!K173,"AAAAAD3/7vQ=")</f>
        <v>#VALUE!</v>
      </c>
      <c r="IL66" t="e">
        <f>AND(Bills!L173,"AAAAAD3/7vU=")</f>
        <v>#VALUE!</v>
      </c>
      <c r="IM66" t="e">
        <f>AND(Bills!#REF!,"AAAAAD3/7vY=")</f>
        <v>#REF!</v>
      </c>
      <c r="IN66" t="e">
        <f>AND(Bills!M173,"AAAAAD3/7vc=")</f>
        <v>#VALUE!</v>
      </c>
      <c r="IO66" t="e">
        <f>AND(Bills!N173,"AAAAAD3/7vg=")</f>
        <v>#VALUE!</v>
      </c>
      <c r="IP66" t="e">
        <f>AND(Bills!O173,"AAAAAD3/7vk=")</f>
        <v>#VALUE!</v>
      </c>
      <c r="IQ66" t="e">
        <f>AND(Bills!P173,"AAAAAD3/7vo=")</f>
        <v>#VALUE!</v>
      </c>
      <c r="IR66" t="e">
        <f>AND(Bills!Q173,"AAAAAD3/7vs=")</f>
        <v>#VALUE!</v>
      </c>
      <c r="IS66" t="e">
        <f>AND(Bills!R173,"AAAAAD3/7vw=")</f>
        <v>#VALUE!</v>
      </c>
      <c r="IT66" t="e">
        <f>AND(Bills!S173,"AAAAAD3/7v0=")</f>
        <v>#VALUE!</v>
      </c>
      <c r="IU66" t="e">
        <f>AND(Bills!T173,"AAAAAD3/7v4=")</f>
        <v>#VALUE!</v>
      </c>
      <c r="IV66" t="e">
        <f>AND(Bills!#REF!,"AAAAAD3/7v8=")</f>
        <v>#REF!</v>
      </c>
    </row>
    <row r="67" spans="1:256" x14ac:dyDescent="0.25">
      <c r="A67" t="e">
        <f>AND(Bills!U173,"AAAAADu/TwA=")</f>
        <v>#VALUE!</v>
      </c>
      <c r="B67" t="e">
        <f>AND(Bills!V173,"AAAAADu/TwE=")</f>
        <v>#VALUE!</v>
      </c>
      <c r="C67" t="e">
        <f>AND(Bills!W173,"AAAAADu/TwI=")</f>
        <v>#VALUE!</v>
      </c>
      <c r="D67" t="e">
        <f>AND(Bills!#REF!,"AAAAADu/TwM=")</f>
        <v>#REF!</v>
      </c>
      <c r="E67" t="e">
        <f>AND(Bills!#REF!,"AAAAADu/TwQ=")</f>
        <v>#REF!</v>
      </c>
      <c r="F67" t="e">
        <f>AND(Bills!Y173,"AAAAADu/TwU=")</f>
        <v>#VALUE!</v>
      </c>
      <c r="G67" t="e">
        <f>AND(Bills!Z173,"AAAAADu/TwY=")</f>
        <v>#VALUE!</v>
      </c>
      <c r="H67" t="e">
        <f>AND(Bills!#REF!,"AAAAADu/Twc=")</f>
        <v>#REF!</v>
      </c>
      <c r="I67" t="e">
        <f>AND(Bills!#REF!,"AAAAADu/Twg=")</f>
        <v>#REF!</v>
      </c>
      <c r="J67" t="e">
        <f>AND(Bills!#REF!,"AAAAADu/Twk=")</f>
        <v>#REF!</v>
      </c>
      <c r="K67" t="e">
        <f>AND(Bills!#REF!,"AAAAADu/Two=")</f>
        <v>#REF!</v>
      </c>
      <c r="L67" t="e">
        <f>AND(Bills!#REF!,"AAAAADu/Tws=")</f>
        <v>#REF!</v>
      </c>
      <c r="M67" t="e">
        <f>AND(Bills!#REF!,"AAAAADu/Tww=")</f>
        <v>#REF!</v>
      </c>
      <c r="N67" t="e">
        <f>AND(Bills!#REF!,"AAAAADu/Tw0=")</f>
        <v>#REF!</v>
      </c>
      <c r="O67" t="e">
        <f>AND(Bills!#REF!,"AAAAADu/Tw4=")</f>
        <v>#REF!</v>
      </c>
      <c r="P67" t="e">
        <f>AND(Bills!#REF!,"AAAAADu/Tw8=")</f>
        <v>#REF!</v>
      </c>
      <c r="Q67" t="e">
        <f>AND(Bills!AA173,"AAAAADu/TxA=")</f>
        <v>#VALUE!</v>
      </c>
      <c r="R67" t="e">
        <f>AND(Bills!AB173,"AAAAADu/TxE=")</f>
        <v>#VALUE!</v>
      </c>
      <c r="S67" t="e">
        <f>AND(Bills!#REF!,"AAAAADu/TxI=")</f>
        <v>#REF!</v>
      </c>
      <c r="T67" t="e">
        <f>AND(Bills!#REF!,"AAAAADu/TxM=")</f>
        <v>#REF!</v>
      </c>
      <c r="U67" t="e">
        <f>AND(Bills!#REF!,"AAAAADu/TxQ=")</f>
        <v>#REF!</v>
      </c>
      <c r="V67" t="e">
        <f>AND(Bills!AC173,"AAAAADu/TxU=")</f>
        <v>#VALUE!</v>
      </c>
      <c r="W67" t="e">
        <f>AND(Bills!AD173,"AAAAADu/TxY=")</f>
        <v>#VALUE!</v>
      </c>
      <c r="X67" t="e">
        <f>AND(Bills!AE173,"AAAAADu/Txc=")</f>
        <v>#VALUE!</v>
      </c>
      <c r="Y67">
        <f>IF(Bills!174:174,"AAAAADu/Txg=",0)</f>
        <v>0</v>
      </c>
      <c r="Z67" t="e">
        <f>AND(Bills!B174,"AAAAADu/Txk=")</f>
        <v>#VALUE!</v>
      </c>
      <c r="AA67" t="e">
        <f>AND(Bills!#REF!,"AAAAADu/Txo=")</f>
        <v>#REF!</v>
      </c>
      <c r="AB67" t="e">
        <f>AND(Bills!C174,"AAAAADu/Txs=")</f>
        <v>#VALUE!</v>
      </c>
      <c r="AC67" t="e">
        <f>AND(Bills!D174,"AAAAADu/Txw=")</f>
        <v>#VALUE!</v>
      </c>
      <c r="AD67" t="e">
        <f>AND(Bills!E174,"AAAAADu/Tx0=")</f>
        <v>#VALUE!</v>
      </c>
      <c r="AE67" t="e">
        <f>AND(Bills!#REF!,"AAAAADu/Tx4=")</f>
        <v>#REF!</v>
      </c>
      <c r="AF67" t="e">
        <f>AND(Bills!#REF!,"AAAAADu/Tx8=")</f>
        <v>#REF!</v>
      </c>
      <c r="AG67" t="e">
        <f>AND(Bills!#REF!,"AAAAADu/TyA=")</f>
        <v>#REF!</v>
      </c>
      <c r="AH67" t="e">
        <f>AND(Bills!F174,"AAAAADu/TyE=")</f>
        <v>#VALUE!</v>
      </c>
      <c r="AI67" t="e">
        <f>AND(Bills!#REF!,"AAAAADu/TyI=")</f>
        <v>#REF!</v>
      </c>
      <c r="AJ67" t="e">
        <f>AND(Bills!G174,"AAAAADu/TyM=")</f>
        <v>#VALUE!</v>
      </c>
      <c r="AK67" t="e">
        <f>AND(Bills!H174,"AAAAADu/TyQ=")</f>
        <v>#VALUE!</v>
      </c>
      <c r="AL67" t="e">
        <f>AND(Bills!I174,"AAAAADu/TyU=")</f>
        <v>#VALUE!</v>
      </c>
      <c r="AM67" t="e">
        <f>AND(Bills!J174,"AAAAADu/TyY=")</f>
        <v>#VALUE!</v>
      </c>
      <c r="AN67" t="e">
        <f>AND(Bills!K174,"AAAAADu/Tyc=")</f>
        <v>#VALUE!</v>
      </c>
      <c r="AO67" t="e">
        <f>AND(Bills!L174,"AAAAADu/Tyg=")</f>
        <v>#VALUE!</v>
      </c>
      <c r="AP67" t="e">
        <f>AND(Bills!#REF!,"AAAAADu/Tyk=")</f>
        <v>#REF!</v>
      </c>
      <c r="AQ67" t="e">
        <f>AND(Bills!M174,"AAAAADu/Tyo=")</f>
        <v>#VALUE!</v>
      </c>
      <c r="AR67" t="e">
        <f>AND(Bills!N174,"AAAAADu/Tys=")</f>
        <v>#VALUE!</v>
      </c>
      <c r="AS67" t="e">
        <f>AND(Bills!O174,"AAAAADu/Tyw=")</f>
        <v>#VALUE!</v>
      </c>
      <c r="AT67" t="e">
        <f>AND(Bills!P174,"AAAAADu/Ty0=")</f>
        <v>#VALUE!</v>
      </c>
      <c r="AU67" t="e">
        <f>AND(Bills!Q174,"AAAAADu/Ty4=")</f>
        <v>#VALUE!</v>
      </c>
      <c r="AV67" t="e">
        <f>AND(Bills!R174,"AAAAADu/Ty8=")</f>
        <v>#VALUE!</v>
      </c>
      <c r="AW67" t="e">
        <f>AND(Bills!S174,"AAAAADu/TzA=")</f>
        <v>#VALUE!</v>
      </c>
      <c r="AX67" t="e">
        <f>AND(Bills!T174,"AAAAADu/TzE=")</f>
        <v>#VALUE!</v>
      </c>
      <c r="AY67" t="e">
        <f>AND(Bills!#REF!,"AAAAADu/TzI=")</f>
        <v>#REF!</v>
      </c>
      <c r="AZ67" t="e">
        <f>AND(Bills!U174,"AAAAADu/TzM=")</f>
        <v>#VALUE!</v>
      </c>
      <c r="BA67" t="e">
        <f>AND(Bills!V174,"AAAAADu/TzQ=")</f>
        <v>#VALUE!</v>
      </c>
      <c r="BB67" t="e">
        <f>AND(Bills!W174,"AAAAADu/TzU=")</f>
        <v>#VALUE!</v>
      </c>
      <c r="BC67" t="e">
        <f>AND(Bills!#REF!,"AAAAADu/TzY=")</f>
        <v>#REF!</v>
      </c>
      <c r="BD67" t="e">
        <f>AND(Bills!#REF!,"AAAAADu/Tzc=")</f>
        <v>#REF!</v>
      </c>
      <c r="BE67" t="e">
        <f>AND(Bills!Y174,"AAAAADu/Tzg=")</f>
        <v>#VALUE!</v>
      </c>
      <c r="BF67" t="e">
        <f>AND(Bills!Z174,"AAAAADu/Tzk=")</f>
        <v>#VALUE!</v>
      </c>
      <c r="BG67" t="e">
        <f>AND(Bills!#REF!,"AAAAADu/Tzo=")</f>
        <v>#REF!</v>
      </c>
      <c r="BH67" t="e">
        <f>AND(Bills!#REF!,"AAAAADu/Tzs=")</f>
        <v>#REF!</v>
      </c>
      <c r="BI67" t="e">
        <f>AND(Bills!#REF!,"AAAAADu/Tzw=")</f>
        <v>#REF!</v>
      </c>
      <c r="BJ67" t="e">
        <f>AND(Bills!#REF!,"AAAAADu/Tz0=")</f>
        <v>#REF!</v>
      </c>
      <c r="BK67" t="e">
        <f>AND(Bills!#REF!,"AAAAADu/Tz4=")</f>
        <v>#REF!</v>
      </c>
      <c r="BL67" t="e">
        <f>AND(Bills!#REF!,"AAAAADu/Tz8=")</f>
        <v>#REF!</v>
      </c>
      <c r="BM67" t="e">
        <f>AND(Bills!#REF!,"AAAAADu/T0A=")</f>
        <v>#REF!</v>
      </c>
      <c r="BN67" t="e">
        <f>AND(Bills!#REF!,"AAAAADu/T0E=")</f>
        <v>#REF!</v>
      </c>
      <c r="BO67" t="e">
        <f>AND(Bills!#REF!,"AAAAADu/T0I=")</f>
        <v>#REF!</v>
      </c>
      <c r="BP67" t="e">
        <f>AND(Bills!AA174,"AAAAADu/T0M=")</f>
        <v>#VALUE!</v>
      </c>
      <c r="BQ67" t="e">
        <f>AND(Bills!AB174,"AAAAADu/T0Q=")</f>
        <v>#VALUE!</v>
      </c>
      <c r="BR67" t="e">
        <f>AND(Bills!#REF!,"AAAAADu/T0U=")</f>
        <v>#REF!</v>
      </c>
      <c r="BS67" t="e">
        <f>AND(Bills!#REF!,"AAAAADu/T0Y=")</f>
        <v>#REF!</v>
      </c>
      <c r="BT67" t="e">
        <f>AND(Bills!#REF!,"AAAAADu/T0c=")</f>
        <v>#REF!</v>
      </c>
      <c r="BU67" t="e">
        <f>AND(Bills!AC174,"AAAAADu/T0g=")</f>
        <v>#VALUE!</v>
      </c>
      <c r="BV67" t="e">
        <f>AND(Bills!AD174,"AAAAADu/T0k=")</f>
        <v>#VALUE!</v>
      </c>
      <c r="BW67" t="e">
        <f>AND(Bills!AE174,"AAAAADu/T0o=")</f>
        <v>#VALUE!</v>
      </c>
      <c r="BX67">
        <f>IF(Bills!175:175,"AAAAADu/T0s=",0)</f>
        <v>0</v>
      </c>
      <c r="BY67" t="e">
        <f>AND(Bills!B175,"AAAAADu/T0w=")</f>
        <v>#VALUE!</v>
      </c>
      <c r="BZ67" t="e">
        <f>AND(Bills!#REF!,"AAAAADu/T00=")</f>
        <v>#REF!</v>
      </c>
      <c r="CA67" t="e">
        <f>AND(Bills!C175,"AAAAADu/T04=")</f>
        <v>#VALUE!</v>
      </c>
      <c r="CB67" t="e">
        <f>AND(Bills!D175,"AAAAADu/T08=")</f>
        <v>#VALUE!</v>
      </c>
      <c r="CC67" t="e">
        <f>AND(Bills!E175,"AAAAADu/T1A=")</f>
        <v>#VALUE!</v>
      </c>
      <c r="CD67" t="e">
        <f>AND(Bills!#REF!,"AAAAADu/T1E=")</f>
        <v>#REF!</v>
      </c>
      <c r="CE67" t="e">
        <f>AND(Bills!#REF!,"AAAAADu/T1I=")</f>
        <v>#REF!</v>
      </c>
      <c r="CF67" t="e">
        <f>AND(Bills!#REF!,"AAAAADu/T1M=")</f>
        <v>#REF!</v>
      </c>
      <c r="CG67" t="e">
        <f>AND(Bills!F175,"AAAAADu/T1Q=")</f>
        <v>#VALUE!</v>
      </c>
      <c r="CH67" t="e">
        <f>AND(Bills!#REF!,"AAAAADu/T1U=")</f>
        <v>#REF!</v>
      </c>
      <c r="CI67" t="e">
        <f>AND(Bills!G175,"AAAAADu/T1Y=")</f>
        <v>#VALUE!</v>
      </c>
      <c r="CJ67" t="e">
        <f>AND(Bills!H175,"AAAAADu/T1c=")</f>
        <v>#VALUE!</v>
      </c>
      <c r="CK67" t="e">
        <f>AND(Bills!I175,"AAAAADu/T1g=")</f>
        <v>#VALUE!</v>
      </c>
      <c r="CL67" t="e">
        <f>AND(Bills!J175,"AAAAADu/T1k=")</f>
        <v>#VALUE!</v>
      </c>
      <c r="CM67" t="e">
        <f>AND(Bills!K175,"AAAAADu/T1o=")</f>
        <v>#VALUE!</v>
      </c>
      <c r="CN67" t="e">
        <f>AND(Bills!L175,"AAAAADu/T1s=")</f>
        <v>#VALUE!</v>
      </c>
      <c r="CO67" t="e">
        <f>AND(Bills!#REF!,"AAAAADu/T1w=")</f>
        <v>#REF!</v>
      </c>
      <c r="CP67" t="e">
        <f>AND(Bills!M175,"AAAAADu/T10=")</f>
        <v>#VALUE!</v>
      </c>
      <c r="CQ67" t="e">
        <f>AND(Bills!N175,"AAAAADu/T14=")</f>
        <v>#VALUE!</v>
      </c>
      <c r="CR67" t="e">
        <f>AND(Bills!O175,"AAAAADu/T18=")</f>
        <v>#VALUE!</v>
      </c>
      <c r="CS67" t="e">
        <f>AND(Bills!P175,"AAAAADu/T2A=")</f>
        <v>#VALUE!</v>
      </c>
      <c r="CT67" t="e">
        <f>AND(Bills!Q175,"AAAAADu/T2E=")</f>
        <v>#VALUE!</v>
      </c>
      <c r="CU67" t="e">
        <f>AND(Bills!R175,"AAAAADu/T2I=")</f>
        <v>#VALUE!</v>
      </c>
      <c r="CV67" t="e">
        <f>AND(Bills!S175,"AAAAADu/T2M=")</f>
        <v>#VALUE!</v>
      </c>
      <c r="CW67" t="e">
        <f>AND(Bills!T175,"AAAAADu/T2Q=")</f>
        <v>#VALUE!</v>
      </c>
      <c r="CX67" t="e">
        <f>AND(Bills!#REF!,"AAAAADu/T2U=")</f>
        <v>#REF!</v>
      </c>
      <c r="CY67" t="e">
        <f>AND(Bills!U175,"AAAAADu/T2Y=")</f>
        <v>#VALUE!</v>
      </c>
      <c r="CZ67" t="e">
        <f>AND(Bills!V175,"AAAAADu/T2c=")</f>
        <v>#VALUE!</v>
      </c>
      <c r="DA67" t="e">
        <f>AND(Bills!W175,"AAAAADu/T2g=")</f>
        <v>#VALUE!</v>
      </c>
      <c r="DB67" t="e">
        <f>AND(Bills!#REF!,"AAAAADu/T2k=")</f>
        <v>#REF!</v>
      </c>
      <c r="DC67" t="e">
        <f>AND(Bills!#REF!,"AAAAADu/T2o=")</f>
        <v>#REF!</v>
      </c>
      <c r="DD67" t="e">
        <f>AND(Bills!Y175,"AAAAADu/T2s=")</f>
        <v>#VALUE!</v>
      </c>
      <c r="DE67" t="e">
        <f>AND(Bills!Z175,"AAAAADu/T2w=")</f>
        <v>#VALUE!</v>
      </c>
      <c r="DF67" t="e">
        <f>AND(Bills!#REF!,"AAAAADu/T20=")</f>
        <v>#REF!</v>
      </c>
      <c r="DG67" t="e">
        <f>AND(Bills!#REF!,"AAAAADu/T24=")</f>
        <v>#REF!</v>
      </c>
      <c r="DH67" t="e">
        <f>AND(Bills!#REF!,"AAAAADu/T28=")</f>
        <v>#REF!</v>
      </c>
      <c r="DI67" t="e">
        <f>AND(Bills!#REF!,"AAAAADu/T3A=")</f>
        <v>#REF!</v>
      </c>
      <c r="DJ67" t="e">
        <f>AND(Bills!#REF!,"AAAAADu/T3E=")</f>
        <v>#REF!</v>
      </c>
      <c r="DK67" t="e">
        <f>AND(Bills!#REF!,"AAAAADu/T3I=")</f>
        <v>#REF!</v>
      </c>
      <c r="DL67" t="e">
        <f>AND(Bills!#REF!,"AAAAADu/T3M=")</f>
        <v>#REF!</v>
      </c>
      <c r="DM67" t="e">
        <f>AND(Bills!#REF!,"AAAAADu/T3Q=")</f>
        <v>#REF!</v>
      </c>
      <c r="DN67" t="e">
        <f>AND(Bills!#REF!,"AAAAADu/T3U=")</f>
        <v>#REF!</v>
      </c>
      <c r="DO67" t="e">
        <f>AND(Bills!AA175,"AAAAADu/T3Y=")</f>
        <v>#VALUE!</v>
      </c>
      <c r="DP67" t="e">
        <f>AND(Bills!AB175,"AAAAADu/T3c=")</f>
        <v>#VALUE!</v>
      </c>
      <c r="DQ67" t="e">
        <f>AND(Bills!#REF!,"AAAAADu/T3g=")</f>
        <v>#REF!</v>
      </c>
      <c r="DR67" t="e">
        <f>AND(Bills!#REF!,"AAAAADu/T3k=")</f>
        <v>#REF!</v>
      </c>
      <c r="DS67" t="e">
        <f>AND(Bills!#REF!,"AAAAADu/T3o=")</f>
        <v>#REF!</v>
      </c>
      <c r="DT67" t="e">
        <f>AND(Bills!AC175,"AAAAADu/T3s=")</f>
        <v>#VALUE!</v>
      </c>
      <c r="DU67" t="e">
        <f>AND(Bills!AD175,"AAAAADu/T3w=")</f>
        <v>#VALUE!</v>
      </c>
      <c r="DV67" t="e">
        <f>AND(Bills!AE175,"AAAAADu/T30=")</f>
        <v>#VALUE!</v>
      </c>
      <c r="DW67">
        <f>IF(Bills!176:176,"AAAAADu/T34=",0)</f>
        <v>0</v>
      </c>
      <c r="DX67" t="e">
        <f>AND(Bills!B176,"AAAAADu/T38=")</f>
        <v>#VALUE!</v>
      </c>
      <c r="DY67" t="e">
        <f>AND(Bills!#REF!,"AAAAADu/T4A=")</f>
        <v>#REF!</v>
      </c>
      <c r="DZ67" t="e">
        <f>AND(Bills!C176,"AAAAADu/T4E=")</f>
        <v>#VALUE!</v>
      </c>
      <c r="EA67" t="e">
        <f>AND(Bills!D176,"AAAAADu/T4I=")</f>
        <v>#VALUE!</v>
      </c>
      <c r="EB67" t="e">
        <f>AND(Bills!E176,"AAAAADu/T4M=")</f>
        <v>#VALUE!</v>
      </c>
      <c r="EC67" t="e">
        <f>AND(Bills!#REF!,"AAAAADu/T4Q=")</f>
        <v>#REF!</v>
      </c>
      <c r="ED67" t="e">
        <f>AND(Bills!#REF!,"AAAAADu/T4U=")</f>
        <v>#REF!</v>
      </c>
      <c r="EE67" t="e">
        <f>AND(Bills!#REF!,"AAAAADu/T4Y=")</f>
        <v>#REF!</v>
      </c>
      <c r="EF67" t="e">
        <f>AND(Bills!F176,"AAAAADu/T4c=")</f>
        <v>#VALUE!</v>
      </c>
      <c r="EG67" t="e">
        <f>AND(Bills!#REF!,"AAAAADu/T4g=")</f>
        <v>#REF!</v>
      </c>
      <c r="EH67" t="e">
        <f>AND(Bills!G176,"AAAAADu/T4k=")</f>
        <v>#VALUE!</v>
      </c>
      <c r="EI67" t="e">
        <f>AND(Bills!H176,"AAAAADu/T4o=")</f>
        <v>#VALUE!</v>
      </c>
      <c r="EJ67" t="e">
        <f>AND(Bills!I176,"AAAAADu/T4s=")</f>
        <v>#VALUE!</v>
      </c>
      <c r="EK67" t="e">
        <f>AND(Bills!J176,"AAAAADu/T4w=")</f>
        <v>#VALUE!</v>
      </c>
      <c r="EL67" t="e">
        <f>AND(Bills!K176,"AAAAADu/T40=")</f>
        <v>#VALUE!</v>
      </c>
      <c r="EM67" t="e">
        <f>AND(Bills!L176,"AAAAADu/T44=")</f>
        <v>#VALUE!</v>
      </c>
      <c r="EN67" t="e">
        <f>AND(Bills!#REF!,"AAAAADu/T48=")</f>
        <v>#REF!</v>
      </c>
      <c r="EO67" t="e">
        <f>AND(Bills!M176,"AAAAADu/T5A=")</f>
        <v>#VALUE!</v>
      </c>
      <c r="EP67" t="e">
        <f>AND(Bills!N176,"AAAAADu/T5E=")</f>
        <v>#VALUE!</v>
      </c>
      <c r="EQ67" t="e">
        <f>AND(Bills!O176,"AAAAADu/T5I=")</f>
        <v>#VALUE!</v>
      </c>
      <c r="ER67" t="e">
        <f>AND(Bills!P176,"AAAAADu/T5M=")</f>
        <v>#VALUE!</v>
      </c>
      <c r="ES67" t="e">
        <f>AND(Bills!Q176,"AAAAADu/T5Q=")</f>
        <v>#VALUE!</v>
      </c>
      <c r="ET67" t="e">
        <f>AND(Bills!R176,"AAAAADu/T5U=")</f>
        <v>#VALUE!</v>
      </c>
      <c r="EU67" t="e">
        <f>AND(Bills!S176,"AAAAADu/T5Y=")</f>
        <v>#VALUE!</v>
      </c>
      <c r="EV67" t="e">
        <f>AND(Bills!T176,"AAAAADu/T5c=")</f>
        <v>#VALUE!</v>
      </c>
      <c r="EW67" t="e">
        <f>AND(Bills!#REF!,"AAAAADu/T5g=")</f>
        <v>#REF!</v>
      </c>
      <c r="EX67" t="e">
        <f>AND(Bills!U176,"AAAAADu/T5k=")</f>
        <v>#VALUE!</v>
      </c>
      <c r="EY67" t="e">
        <f>AND(Bills!V176,"AAAAADu/T5o=")</f>
        <v>#VALUE!</v>
      </c>
      <c r="EZ67" t="e">
        <f>AND(Bills!W176,"AAAAADu/T5s=")</f>
        <v>#VALUE!</v>
      </c>
      <c r="FA67" t="e">
        <f>AND(Bills!#REF!,"AAAAADu/T5w=")</f>
        <v>#REF!</v>
      </c>
      <c r="FB67" t="e">
        <f>AND(Bills!#REF!,"AAAAADu/T50=")</f>
        <v>#REF!</v>
      </c>
      <c r="FC67" t="e">
        <f>AND(Bills!Y176,"AAAAADu/T54=")</f>
        <v>#VALUE!</v>
      </c>
      <c r="FD67" t="e">
        <f>AND(Bills!Z176,"AAAAADu/T58=")</f>
        <v>#VALUE!</v>
      </c>
      <c r="FE67" t="e">
        <f>AND(Bills!#REF!,"AAAAADu/T6A=")</f>
        <v>#REF!</v>
      </c>
      <c r="FF67" t="e">
        <f>AND(Bills!#REF!,"AAAAADu/T6E=")</f>
        <v>#REF!</v>
      </c>
      <c r="FG67" t="e">
        <f>AND(Bills!#REF!,"AAAAADu/T6I=")</f>
        <v>#REF!</v>
      </c>
      <c r="FH67" t="e">
        <f>AND(Bills!#REF!,"AAAAADu/T6M=")</f>
        <v>#REF!</v>
      </c>
      <c r="FI67" t="e">
        <f>AND(Bills!#REF!,"AAAAADu/T6Q=")</f>
        <v>#REF!</v>
      </c>
      <c r="FJ67" t="e">
        <f>AND(Bills!#REF!,"AAAAADu/T6U=")</f>
        <v>#REF!</v>
      </c>
      <c r="FK67" t="e">
        <f>AND(Bills!#REF!,"AAAAADu/T6Y=")</f>
        <v>#REF!</v>
      </c>
      <c r="FL67" t="e">
        <f>AND(Bills!#REF!,"AAAAADu/T6c=")</f>
        <v>#REF!</v>
      </c>
      <c r="FM67" t="e">
        <f>AND(Bills!#REF!,"AAAAADu/T6g=")</f>
        <v>#REF!</v>
      </c>
      <c r="FN67" t="e">
        <f>AND(Bills!AA176,"AAAAADu/T6k=")</f>
        <v>#VALUE!</v>
      </c>
      <c r="FO67" t="e">
        <f>AND(Bills!AB176,"AAAAADu/T6o=")</f>
        <v>#VALUE!</v>
      </c>
      <c r="FP67" t="e">
        <f>AND(Bills!#REF!,"AAAAADu/T6s=")</f>
        <v>#REF!</v>
      </c>
      <c r="FQ67" t="e">
        <f>AND(Bills!#REF!,"AAAAADu/T6w=")</f>
        <v>#REF!</v>
      </c>
      <c r="FR67" t="e">
        <f>AND(Bills!#REF!,"AAAAADu/T60=")</f>
        <v>#REF!</v>
      </c>
      <c r="FS67" t="e">
        <f>AND(Bills!AC176,"AAAAADu/T64=")</f>
        <v>#VALUE!</v>
      </c>
      <c r="FT67" t="e">
        <f>AND(Bills!AD176,"AAAAADu/T68=")</f>
        <v>#VALUE!</v>
      </c>
      <c r="FU67" t="e">
        <f>AND(Bills!AE176,"AAAAADu/T7A=")</f>
        <v>#VALUE!</v>
      </c>
      <c r="FV67">
        <f>IF(Bills!177:177,"AAAAADu/T7E=",0)</f>
        <v>0</v>
      </c>
      <c r="FW67" t="e">
        <f>AND(Bills!B177,"AAAAADu/T7I=")</f>
        <v>#VALUE!</v>
      </c>
      <c r="FX67" t="e">
        <f>AND(Bills!#REF!,"AAAAADu/T7M=")</f>
        <v>#REF!</v>
      </c>
      <c r="FY67" t="e">
        <f>AND(Bills!C177,"AAAAADu/T7Q=")</f>
        <v>#VALUE!</v>
      </c>
      <c r="FZ67" t="e">
        <f>AND(Bills!D177,"AAAAADu/T7U=")</f>
        <v>#VALUE!</v>
      </c>
      <c r="GA67" t="e">
        <f>AND(Bills!E177,"AAAAADu/T7Y=")</f>
        <v>#VALUE!</v>
      </c>
      <c r="GB67" t="e">
        <f>AND(Bills!#REF!,"AAAAADu/T7c=")</f>
        <v>#REF!</v>
      </c>
      <c r="GC67" t="e">
        <f>AND(Bills!#REF!,"AAAAADu/T7g=")</f>
        <v>#REF!</v>
      </c>
      <c r="GD67" t="e">
        <f>AND(Bills!#REF!,"AAAAADu/T7k=")</f>
        <v>#REF!</v>
      </c>
      <c r="GE67" t="e">
        <f>AND(Bills!F177,"AAAAADu/T7o=")</f>
        <v>#VALUE!</v>
      </c>
      <c r="GF67" t="e">
        <f>AND(Bills!#REF!,"AAAAADu/T7s=")</f>
        <v>#REF!</v>
      </c>
      <c r="GG67" t="e">
        <f>AND(Bills!G177,"AAAAADu/T7w=")</f>
        <v>#VALUE!</v>
      </c>
      <c r="GH67" t="e">
        <f>AND(Bills!H177,"AAAAADu/T70=")</f>
        <v>#VALUE!</v>
      </c>
      <c r="GI67" t="e">
        <f>AND(Bills!I177,"AAAAADu/T74=")</f>
        <v>#VALUE!</v>
      </c>
      <c r="GJ67" t="e">
        <f>AND(Bills!J177,"AAAAADu/T78=")</f>
        <v>#VALUE!</v>
      </c>
      <c r="GK67" t="e">
        <f>AND(Bills!K177,"AAAAADu/T8A=")</f>
        <v>#VALUE!</v>
      </c>
      <c r="GL67" t="e">
        <f>AND(Bills!L177,"AAAAADu/T8E=")</f>
        <v>#VALUE!</v>
      </c>
      <c r="GM67" t="e">
        <f>AND(Bills!#REF!,"AAAAADu/T8I=")</f>
        <v>#REF!</v>
      </c>
      <c r="GN67" t="e">
        <f>AND(Bills!M177,"AAAAADu/T8M=")</f>
        <v>#VALUE!</v>
      </c>
      <c r="GO67" t="e">
        <f>AND(Bills!N177,"AAAAADu/T8Q=")</f>
        <v>#VALUE!</v>
      </c>
      <c r="GP67" t="e">
        <f>AND(Bills!O177,"AAAAADu/T8U=")</f>
        <v>#VALUE!</v>
      </c>
      <c r="GQ67" t="e">
        <f>AND(Bills!P177,"AAAAADu/T8Y=")</f>
        <v>#VALUE!</v>
      </c>
      <c r="GR67" t="e">
        <f>AND(Bills!Q177,"AAAAADu/T8c=")</f>
        <v>#VALUE!</v>
      </c>
      <c r="GS67" t="e">
        <f>AND(Bills!R177,"AAAAADu/T8g=")</f>
        <v>#VALUE!</v>
      </c>
      <c r="GT67" t="e">
        <f>AND(Bills!S177,"AAAAADu/T8k=")</f>
        <v>#VALUE!</v>
      </c>
      <c r="GU67" t="e">
        <f>AND(Bills!T177,"AAAAADu/T8o=")</f>
        <v>#VALUE!</v>
      </c>
      <c r="GV67" t="e">
        <f>AND(Bills!#REF!,"AAAAADu/T8s=")</f>
        <v>#REF!</v>
      </c>
      <c r="GW67" t="e">
        <f>AND(Bills!U177,"AAAAADu/T8w=")</f>
        <v>#VALUE!</v>
      </c>
      <c r="GX67" t="e">
        <f>AND(Bills!V177,"AAAAADu/T80=")</f>
        <v>#VALUE!</v>
      </c>
      <c r="GY67" t="e">
        <f>AND(Bills!W177,"AAAAADu/T84=")</f>
        <v>#VALUE!</v>
      </c>
      <c r="GZ67" t="e">
        <f>AND(Bills!#REF!,"AAAAADu/T88=")</f>
        <v>#REF!</v>
      </c>
      <c r="HA67" t="e">
        <f>AND(Bills!#REF!,"AAAAADu/T9A=")</f>
        <v>#REF!</v>
      </c>
      <c r="HB67" t="e">
        <f>AND(Bills!Y177,"AAAAADu/T9E=")</f>
        <v>#VALUE!</v>
      </c>
      <c r="HC67" t="e">
        <f>AND(Bills!Z177,"AAAAADu/T9I=")</f>
        <v>#VALUE!</v>
      </c>
      <c r="HD67" t="e">
        <f>AND(Bills!#REF!,"AAAAADu/T9M=")</f>
        <v>#REF!</v>
      </c>
      <c r="HE67" t="e">
        <f>AND(Bills!#REF!,"AAAAADu/T9Q=")</f>
        <v>#REF!</v>
      </c>
      <c r="HF67" t="e">
        <f>AND(Bills!#REF!,"AAAAADu/T9U=")</f>
        <v>#REF!</v>
      </c>
      <c r="HG67" t="e">
        <f>AND(Bills!#REF!,"AAAAADu/T9Y=")</f>
        <v>#REF!</v>
      </c>
      <c r="HH67" t="e">
        <f>AND(Bills!#REF!,"AAAAADu/T9c=")</f>
        <v>#REF!</v>
      </c>
      <c r="HI67" t="e">
        <f>AND(Bills!#REF!,"AAAAADu/T9g=")</f>
        <v>#REF!</v>
      </c>
      <c r="HJ67" t="e">
        <f>AND(Bills!#REF!,"AAAAADu/T9k=")</f>
        <v>#REF!</v>
      </c>
      <c r="HK67" t="e">
        <f>AND(Bills!#REF!,"AAAAADu/T9o=")</f>
        <v>#REF!</v>
      </c>
      <c r="HL67" t="e">
        <f>AND(Bills!#REF!,"AAAAADu/T9s=")</f>
        <v>#REF!</v>
      </c>
      <c r="HM67" t="e">
        <f>AND(Bills!AA177,"AAAAADu/T9w=")</f>
        <v>#VALUE!</v>
      </c>
      <c r="HN67" t="e">
        <f>AND(Bills!AB177,"AAAAADu/T90=")</f>
        <v>#VALUE!</v>
      </c>
      <c r="HO67" t="e">
        <f>AND(Bills!#REF!,"AAAAADu/T94=")</f>
        <v>#REF!</v>
      </c>
      <c r="HP67" t="e">
        <f>AND(Bills!#REF!,"AAAAADu/T98=")</f>
        <v>#REF!</v>
      </c>
      <c r="HQ67" t="e">
        <f>AND(Bills!#REF!,"AAAAADu/T+A=")</f>
        <v>#REF!</v>
      </c>
      <c r="HR67" t="e">
        <f>AND(Bills!AC177,"AAAAADu/T+E=")</f>
        <v>#VALUE!</v>
      </c>
      <c r="HS67" t="e">
        <f>AND(Bills!AD177,"AAAAADu/T+I=")</f>
        <v>#VALUE!</v>
      </c>
      <c r="HT67" t="e">
        <f>AND(Bills!AE177,"AAAAADu/T+M=")</f>
        <v>#VALUE!</v>
      </c>
      <c r="HU67">
        <f>IF(Bills!178:178,"AAAAADu/T+Q=",0)</f>
        <v>0</v>
      </c>
      <c r="HV67" t="e">
        <f>AND(Bills!B178,"AAAAADu/T+U=")</f>
        <v>#VALUE!</v>
      </c>
      <c r="HW67" t="e">
        <f>AND(Bills!#REF!,"AAAAADu/T+Y=")</f>
        <v>#REF!</v>
      </c>
      <c r="HX67" t="e">
        <f>AND(Bills!C178,"AAAAADu/T+c=")</f>
        <v>#VALUE!</v>
      </c>
      <c r="HY67" t="e">
        <f>AND(Bills!D178,"AAAAADu/T+g=")</f>
        <v>#VALUE!</v>
      </c>
      <c r="HZ67" t="e">
        <f>AND(Bills!E178,"AAAAADu/T+k=")</f>
        <v>#VALUE!</v>
      </c>
      <c r="IA67" t="e">
        <f>AND(Bills!#REF!,"AAAAADu/T+o=")</f>
        <v>#REF!</v>
      </c>
      <c r="IB67" t="e">
        <f>AND(Bills!#REF!,"AAAAADu/T+s=")</f>
        <v>#REF!</v>
      </c>
      <c r="IC67" t="e">
        <f>AND(Bills!#REF!,"AAAAADu/T+w=")</f>
        <v>#REF!</v>
      </c>
      <c r="ID67" t="e">
        <f>AND(Bills!F178,"AAAAADu/T+0=")</f>
        <v>#VALUE!</v>
      </c>
      <c r="IE67" t="e">
        <f>AND(Bills!#REF!,"AAAAADu/T+4=")</f>
        <v>#REF!</v>
      </c>
      <c r="IF67" t="e">
        <f>AND(Bills!G178,"AAAAADu/T+8=")</f>
        <v>#VALUE!</v>
      </c>
      <c r="IG67" t="e">
        <f>AND(Bills!H178,"AAAAADu/T/A=")</f>
        <v>#VALUE!</v>
      </c>
      <c r="IH67" t="e">
        <f>AND(Bills!I178,"AAAAADu/T/E=")</f>
        <v>#VALUE!</v>
      </c>
      <c r="II67" t="e">
        <f>AND(Bills!J178,"AAAAADu/T/I=")</f>
        <v>#VALUE!</v>
      </c>
      <c r="IJ67" t="e">
        <f>AND(Bills!K178,"AAAAADu/T/M=")</f>
        <v>#VALUE!</v>
      </c>
      <c r="IK67" t="e">
        <f>AND(Bills!L178,"AAAAADu/T/Q=")</f>
        <v>#VALUE!</v>
      </c>
      <c r="IL67" t="e">
        <f>AND(Bills!#REF!,"AAAAADu/T/U=")</f>
        <v>#REF!</v>
      </c>
      <c r="IM67" t="e">
        <f>AND(Bills!M178,"AAAAADu/T/Y=")</f>
        <v>#VALUE!</v>
      </c>
      <c r="IN67" t="e">
        <f>AND(Bills!N178,"AAAAADu/T/c=")</f>
        <v>#VALUE!</v>
      </c>
      <c r="IO67" t="e">
        <f>AND(Bills!O178,"AAAAADu/T/g=")</f>
        <v>#VALUE!</v>
      </c>
      <c r="IP67" t="e">
        <f>AND(Bills!P178,"AAAAADu/T/k=")</f>
        <v>#VALUE!</v>
      </c>
      <c r="IQ67" t="e">
        <f>AND(Bills!Q178,"AAAAADu/T/o=")</f>
        <v>#VALUE!</v>
      </c>
      <c r="IR67" t="e">
        <f>AND(Bills!R178,"AAAAADu/T/s=")</f>
        <v>#VALUE!</v>
      </c>
      <c r="IS67" t="e">
        <f>AND(Bills!S178,"AAAAADu/T/w=")</f>
        <v>#VALUE!</v>
      </c>
      <c r="IT67" t="e">
        <f>AND(Bills!T178,"AAAAADu/T/0=")</f>
        <v>#VALUE!</v>
      </c>
      <c r="IU67" t="e">
        <f>AND(Bills!#REF!,"AAAAADu/T/4=")</f>
        <v>#REF!</v>
      </c>
      <c r="IV67" t="e">
        <f>AND(Bills!U178,"AAAAADu/T/8=")</f>
        <v>#VALUE!</v>
      </c>
    </row>
    <row r="68" spans="1:256" x14ac:dyDescent="0.25">
      <c r="A68" t="e">
        <f>AND(Bills!V178,"AAAAAH//PwA=")</f>
        <v>#VALUE!</v>
      </c>
      <c r="B68" t="e">
        <f>AND(Bills!W178,"AAAAAH//PwE=")</f>
        <v>#VALUE!</v>
      </c>
      <c r="C68" t="e">
        <f>AND(Bills!#REF!,"AAAAAH//PwI=")</f>
        <v>#REF!</v>
      </c>
      <c r="D68" t="e">
        <f>AND(Bills!#REF!,"AAAAAH//PwM=")</f>
        <v>#REF!</v>
      </c>
      <c r="E68" t="e">
        <f>AND(Bills!Y178,"AAAAAH//PwQ=")</f>
        <v>#VALUE!</v>
      </c>
      <c r="F68" t="e">
        <f>AND(Bills!Z178,"AAAAAH//PwU=")</f>
        <v>#VALUE!</v>
      </c>
      <c r="G68" t="e">
        <f>AND(Bills!#REF!,"AAAAAH//PwY=")</f>
        <v>#REF!</v>
      </c>
      <c r="H68" t="e">
        <f>AND(Bills!#REF!,"AAAAAH//Pwc=")</f>
        <v>#REF!</v>
      </c>
      <c r="I68" t="e">
        <f>AND(Bills!#REF!,"AAAAAH//Pwg=")</f>
        <v>#REF!</v>
      </c>
      <c r="J68" t="e">
        <f>AND(Bills!#REF!,"AAAAAH//Pwk=")</f>
        <v>#REF!</v>
      </c>
      <c r="K68" t="e">
        <f>AND(Bills!#REF!,"AAAAAH//Pwo=")</f>
        <v>#REF!</v>
      </c>
      <c r="L68" t="e">
        <f>AND(Bills!#REF!,"AAAAAH//Pws=")</f>
        <v>#REF!</v>
      </c>
      <c r="M68" t="e">
        <f>AND(Bills!#REF!,"AAAAAH//Pww=")</f>
        <v>#REF!</v>
      </c>
      <c r="N68" t="e">
        <f>AND(Bills!#REF!,"AAAAAH//Pw0=")</f>
        <v>#REF!</v>
      </c>
      <c r="O68" t="e">
        <f>AND(Bills!#REF!,"AAAAAH//Pw4=")</f>
        <v>#REF!</v>
      </c>
      <c r="P68" t="e">
        <f>AND(Bills!AA178,"AAAAAH//Pw8=")</f>
        <v>#VALUE!</v>
      </c>
      <c r="Q68" t="e">
        <f>AND(Bills!AB178,"AAAAAH//PxA=")</f>
        <v>#VALUE!</v>
      </c>
      <c r="R68" t="e">
        <f>AND(Bills!#REF!,"AAAAAH//PxE=")</f>
        <v>#REF!</v>
      </c>
      <c r="S68" t="e">
        <f>AND(Bills!#REF!,"AAAAAH//PxI=")</f>
        <v>#REF!</v>
      </c>
      <c r="T68" t="e">
        <f>AND(Bills!#REF!,"AAAAAH//PxM=")</f>
        <v>#REF!</v>
      </c>
      <c r="U68" t="e">
        <f>AND(Bills!AC178,"AAAAAH//PxQ=")</f>
        <v>#VALUE!</v>
      </c>
      <c r="V68" t="e">
        <f>AND(Bills!AD178,"AAAAAH//PxU=")</f>
        <v>#VALUE!</v>
      </c>
      <c r="W68" t="e">
        <f>AND(Bills!AE178,"AAAAAH//PxY=")</f>
        <v>#VALUE!</v>
      </c>
      <c r="X68">
        <f>IF(Bills!179:179,"AAAAAH//Pxc=",0)</f>
        <v>0</v>
      </c>
      <c r="Y68" t="e">
        <f>AND(Bills!B179,"AAAAAH//Pxg=")</f>
        <v>#VALUE!</v>
      </c>
      <c r="Z68" t="e">
        <f>AND(Bills!#REF!,"AAAAAH//Pxk=")</f>
        <v>#REF!</v>
      </c>
      <c r="AA68" t="e">
        <f>AND(Bills!C179,"AAAAAH//Pxo=")</f>
        <v>#VALUE!</v>
      </c>
      <c r="AB68" t="e">
        <f>AND(Bills!D179,"AAAAAH//Pxs=")</f>
        <v>#VALUE!</v>
      </c>
      <c r="AC68" t="e">
        <f>AND(Bills!E179,"AAAAAH//Pxw=")</f>
        <v>#VALUE!</v>
      </c>
      <c r="AD68" t="e">
        <f>AND(Bills!#REF!,"AAAAAH//Px0=")</f>
        <v>#REF!</v>
      </c>
      <c r="AE68" t="e">
        <f>AND(Bills!#REF!,"AAAAAH//Px4=")</f>
        <v>#REF!</v>
      </c>
      <c r="AF68" t="e">
        <f>AND(Bills!#REF!,"AAAAAH//Px8=")</f>
        <v>#REF!</v>
      </c>
      <c r="AG68" t="e">
        <f>AND(Bills!F179,"AAAAAH//PyA=")</f>
        <v>#VALUE!</v>
      </c>
      <c r="AH68" t="e">
        <f>AND(Bills!#REF!,"AAAAAH//PyE=")</f>
        <v>#REF!</v>
      </c>
      <c r="AI68" t="e">
        <f>AND(Bills!G179,"AAAAAH//PyI=")</f>
        <v>#VALUE!</v>
      </c>
      <c r="AJ68" t="e">
        <f>AND(Bills!H179,"AAAAAH//PyM=")</f>
        <v>#VALUE!</v>
      </c>
      <c r="AK68" t="e">
        <f>AND(Bills!I179,"AAAAAH//PyQ=")</f>
        <v>#VALUE!</v>
      </c>
      <c r="AL68" t="e">
        <f>AND(Bills!J179,"AAAAAH//PyU=")</f>
        <v>#VALUE!</v>
      </c>
      <c r="AM68" t="e">
        <f>AND(Bills!K179,"AAAAAH//PyY=")</f>
        <v>#VALUE!</v>
      </c>
      <c r="AN68" t="e">
        <f>AND(Bills!L179,"AAAAAH//Pyc=")</f>
        <v>#VALUE!</v>
      </c>
      <c r="AO68" t="e">
        <f>AND(Bills!#REF!,"AAAAAH//Pyg=")</f>
        <v>#REF!</v>
      </c>
      <c r="AP68" t="e">
        <f>AND(Bills!M179,"AAAAAH//Pyk=")</f>
        <v>#VALUE!</v>
      </c>
      <c r="AQ68" t="e">
        <f>AND(Bills!N179,"AAAAAH//Pyo=")</f>
        <v>#VALUE!</v>
      </c>
      <c r="AR68" t="e">
        <f>AND(Bills!O179,"AAAAAH//Pys=")</f>
        <v>#VALUE!</v>
      </c>
      <c r="AS68" t="e">
        <f>AND(Bills!P179,"AAAAAH//Pyw=")</f>
        <v>#VALUE!</v>
      </c>
      <c r="AT68" t="e">
        <f>AND(Bills!Q179,"AAAAAH//Py0=")</f>
        <v>#VALUE!</v>
      </c>
      <c r="AU68" t="e">
        <f>AND(Bills!R179,"AAAAAH//Py4=")</f>
        <v>#VALUE!</v>
      </c>
      <c r="AV68" t="e">
        <f>AND(Bills!S179,"AAAAAH//Py8=")</f>
        <v>#VALUE!</v>
      </c>
      <c r="AW68" t="e">
        <f>AND(Bills!T179,"AAAAAH//PzA=")</f>
        <v>#VALUE!</v>
      </c>
      <c r="AX68" t="e">
        <f>AND(Bills!#REF!,"AAAAAH//PzE=")</f>
        <v>#REF!</v>
      </c>
      <c r="AY68" t="e">
        <f>AND(Bills!U179,"AAAAAH//PzI=")</f>
        <v>#VALUE!</v>
      </c>
      <c r="AZ68" t="e">
        <f>AND(Bills!V179,"AAAAAH//PzM=")</f>
        <v>#VALUE!</v>
      </c>
      <c r="BA68" t="e">
        <f>AND(Bills!W179,"AAAAAH//PzQ=")</f>
        <v>#VALUE!</v>
      </c>
      <c r="BB68" t="e">
        <f>AND(Bills!#REF!,"AAAAAH//PzU=")</f>
        <v>#REF!</v>
      </c>
      <c r="BC68" t="e">
        <f>AND(Bills!#REF!,"AAAAAH//PzY=")</f>
        <v>#REF!</v>
      </c>
      <c r="BD68" t="e">
        <f>AND(Bills!Y179,"AAAAAH//Pzc=")</f>
        <v>#VALUE!</v>
      </c>
      <c r="BE68" t="e">
        <f>AND(Bills!Z179,"AAAAAH//Pzg=")</f>
        <v>#VALUE!</v>
      </c>
      <c r="BF68" t="e">
        <f>AND(Bills!#REF!,"AAAAAH//Pzk=")</f>
        <v>#REF!</v>
      </c>
      <c r="BG68" t="e">
        <f>AND(Bills!#REF!,"AAAAAH//Pzo=")</f>
        <v>#REF!</v>
      </c>
      <c r="BH68" t="e">
        <f>AND(Bills!#REF!,"AAAAAH//Pzs=")</f>
        <v>#REF!</v>
      </c>
      <c r="BI68" t="e">
        <f>AND(Bills!#REF!,"AAAAAH//Pzw=")</f>
        <v>#REF!</v>
      </c>
      <c r="BJ68" t="e">
        <f>AND(Bills!#REF!,"AAAAAH//Pz0=")</f>
        <v>#REF!</v>
      </c>
      <c r="BK68" t="e">
        <f>AND(Bills!#REF!,"AAAAAH//Pz4=")</f>
        <v>#REF!</v>
      </c>
      <c r="BL68" t="e">
        <f>AND(Bills!#REF!,"AAAAAH//Pz8=")</f>
        <v>#REF!</v>
      </c>
      <c r="BM68" t="e">
        <f>AND(Bills!#REF!,"AAAAAH//P0A=")</f>
        <v>#REF!</v>
      </c>
      <c r="BN68" t="e">
        <f>AND(Bills!#REF!,"AAAAAH//P0E=")</f>
        <v>#REF!</v>
      </c>
      <c r="BO68" t="e">
        <f>AND(Bills!AA179,"AAAAAH//P0I=")</f>
        <v>#VALUE!</v>
      </c>
      <c r="BP68" t="e">
        <f>AND(Bills!AB179,"AAAAAH//P0M=")</f>
        <v>#VALUE!</v>
      </c>
      <c r="BQ68" t="e">
        <f>AND(Bills!#REF!,"AAAAAH//P0Q=")</f>
        <v>#REF!</v>
      </c>
      <c r="BR68" t="e">
        <f>AND(Bills!#REF!,"AAAAAH//P0U=")</f>
        <v>#REF!</v>
      </c>
      <c r="BS68" t="e">
        <f>AND(Bills!#REF!,"AAAAAH//P0Y=")</f>
        <v>#REF!</v>
      </c>
      <c r="BT68" t="e">
        <f>AND(Bills!AC179,"AAAAAH//P0c=")</f>
        <v>#VALUE!</v>
      </c>
      <c r="BU68" t="e">
        <f>AND(Bills!AD179,"AAAAAH//P0g=")</f>
        <v>#VALUE!</v>
      </c>
      <c r="BV68" t="e">
        <f>AND(Bills!AE179,"AAAAAH//P0k=")</f>
        <v>#VALUE!</v>
      </c>
      <c r="BW68">
        <f>IF(Bills!180:180,"AAAAAH//P0o=",0)</f>
        <v>0</v>
      </c>
      <c r="BX68" t="e">
        <f>AND(Bills!B180,"AAAAAH//P0s=")</f>
        <v>#VALUE!</v>
      </c>
      <c r="BY68" t="e">
        <f>AND(Bills!#REF!,"AAAAAH//P0w=")</f>
        <v>#REF!</v>
      </c>
      <c r="BZ68" t="e">
        <f>AND(Bills!C180,"AAAAAH//P00=")</f>
        <v>#VALUE!</v>
      </c>
      <c r="CA68" t="e">
        <f>AND(Bills!D180,"AAAAAH//P04=")</f>
        <v>#VALUE!</v>
      </c>
      <c r="CB68" t="e">
        <f>AND(Bills!E180,"AAAAAH//P08=")</f>
        <v>#VALUE!</v>
      </c>
      <c r="CC68" t="e">
        <f>AND(Bills!#REF!,"AAAAAH//P1A=")</f>
        <v>#REF!</v>
      </c>
      <c r="CD68" t="e">
        <f>AND(Bills!#REF!,"AAAAAH//P1E=")</f>
        <v>#REF!</v>
      </c>
      <c r="CE68" t="e">
        <f>AND(Bills!#REF!,"AAAAAH//P1I=")</f>
        <v>#REF!</v>
      </c>
      <c r="CF68" t="e">
        <f>AND(Bills!F180,"AAAAAH//P1M=")</f>
        <v>#VALUE!</v>
      </c>
      <c r="CG68" t="e">
        <f>AND(Bills!#REF!,"AAAAAH//P1Q=")</f>
        <v>#REF!</v>
      </c>
      <c r="CH68" t="e">
        <f>AND(Bills!G180,"AAAAAH//P1U=")</f>
        <v>#VALUE!</v>
      </c>
      <c r="CI68" t="e">
        <f>AND(Bills!H180,"AAAAAH//P1Y=")</f>
        <v>#VALUE!</v>
      </c>
      <c r="CJ68" t="e">
        <f>AND(Bills!I180,"AAAAAH//P1c=")</f>
        <v>#VALUE!</v>
      </c>
      <c r="CK68" t="e">
        <f>AND(Bills!J180,"AAAAAH//P1g=")</f>
        <v>#VALUE!</v>
      </c>
      <c r="CL68" t="e">
        <f>AND(Bills!K180,"AAAAAH//P1k=")</f>
        <v>#VALUE!</v>
      </c>
      <c r="CM68" t="e">
        <f>AND(Bills!L180,"AAAAAH//P1o=")</f>
        <v>#VALUE!</v>
      </c>
      <c r="CN68" t="e">
        <f>AND(Bills!#REF!,"AAAAAH//P1s=")</f>
        <v>#REF!</v>
      </c>
      <c r="CO68" t="e">
        <f>AND(Bills!M180,"AAAAAH//P1w=")</f>
        <v>#VALUE!</v>
      </c>
      <c r="CP68" t="e">
        <f>AND(Bills!N180,"AAAAAH//P10=")</f>
        <v>#VALUE!</v>
      </c>
      <c r="CQ68" t="e">
        <f>AND(Bills!O180,"AAAAAH//P14=")</f>
        <v>#VALUE!</v>
      </c>
      <c r="CR68" t="e">
        <f>AND(Bills!P180,"AAAAAH//P18=")</f>
        <v>#VALUE!</v>
      </c>
      <c r="CS68" t="e">
        <f>AND(Bills!Q180,"AAAAAH//P2A=")</f>
        <v>#VALUE!</v>
      </c>
      <c r="CT68" t="e">
        <f>AND(Bills!R180,"AAAAAH//P2E=")</f>
        <v>#VALUE!</v>
      </c>
      <c r="CU68" t="e">
        <f>AND(Bills!S180,"AAAAAH//P2I=")</f>
        <v>#VALUE!</v>
      </c>
      <c r="CV68" t="e">
        <f>AND(Bills!T180,"AAAAAH//P2M=")</f>
        <v>#VALUE!</v>
      </c>
      <c r="CW68" t="e">
        <f>AND(Bills!#REF!,"AAAAAH//P2Q=")</f>
        <v>#REF!</v>
      </c>
      <c r="CX68" t="e">
        <f>AND(Bills!U180,"AAAAAH//P2U=")</f>
        <v>#VALUE!</v>
      </c>
      <c r="CY68" t="e">
        <f>AND(Bills!V180,"AAAAAH//P2Y=")</f>
        <v>#VALUE!</v>
      </c>
      <c r="CZ68" t="e">
        <f>AND(Bills!W180,"AAAAAH//P2c=")</f>
        <v>#VALUE!</v>
      </c>
      <c r="DA68" t="e">
        <f>AND(Bills!#REF!,"AAAAAH//P2g=")</f>
        <v>#REF!</v>
      </c>
      <c r="DB68" t="e">
        <f>AND(Bills!#REF!,"AAAAAH//P2k=")</f>
        <v>#REF!</v>
      </c>
      <c r="DC68" t="e">
        <f>AND(Bills!Y180,"AAAAAH//P2o=")</f>
        <v>#VALUE!</v>
      </c>
      <c r="DD68" t="e">
        <f>AND(Bills!Z180,"AAAAAH//P2s=")</f>
        <v>#VALUE!</v>
      </c>
      <c r="DE68" t="e">
        <f>AND(Bills!#REF!,"AAAAAH//P2w=")</f>
        <v>#REF!</v>
      </c>
      <c r="DF68" t="e">
        <f>AND(Bills!#REF!,"AAAAAH//P20=")</f>
        <v>#REF!</v>
      </c>
      <c r="DG68" t="e">
        <f>AND(Bills!#REF!,"AAAAAH//P24=")</f>
        <v>#REF!</v>
      </c>
      <c r="DH68" t="e">
        <f>AND(Bills!#REF!,"AAAAAH//P28=")</f>
        <v>#REF!</v>
      </c>
      <c r="DI68" t="e">
        <f>AND(Bills!#REF!,"AAAAAH//P3A=")</f>
        <v>#REF!</v>
      </c>
      <c r="DJ68" t="e">
        <f>AND(Bills!#REF!,"AAAAAH//P3E=")</f>
        <v>#REF!</v>
      </c>
      <c r="DK68" t="e">
        <f>AND(Bills!#REF!,"AAAAAH//P3I=")</f>
        <v>#REF!</v>
      </c>
      <c r="DL68" t="e">
        <f>AND(Bills!#REF!,"AAAAAH//P3M=")</f>
        <v>#REF!</v>
      </c>
      <c r="DM68" t="e">
        <f>AND(Bills!#REF!,"AAAAAH//P3Q=")</f>
        <v>#REF!</v>
      </c>
      <c r="DN68" t="e">
        <f>AND(Bills!AA180,"AAAAAH//P3U=")</f>
        <v>#VALUE!</v>
      </c>
      <c r="DO68" t="e">
        <f>AND(Bills!AB180,"AAAAAH//P3Y=")</f>
        <v>#VALUE!</v>
      </c>
      <c r="DP68" t="e">
        <f>AND(Bills!#REF!,"AAAAAH//P3c=")</f>
        <v>#REF!</v>
      </c>
      <c r="DQ68" t="e">
        <f>AND(Bills!#REF!,"AAAAAH//P3g=")</f>
        <v>#REF!</v>
      </c>
      <c r="DR68" t="e">
        <f>AND(Bills!#REF!,"AAAAAH//P3k=")</f>
        <v>#REF!</v>
      </c>
      <c r="DS68" t="e">
        <f>AND(Bills!AC180,"AAAAAH//P3o=")</f>
        <v>#VALUE!</v>
      </c>
      <c r="DT68" t="e">
        <f>AND(Bills!AD180,"AAAAAH//P3s=")</f>
        <v>#VALUE!</v>
      </c>
      <c r="DU68" t="e">
        <f>AND(Bills!AE180,"AAAAAH//P3w=")</f>
        <v>#VALUE!</v>
      </c>
      <c r="DV68">
        <f>IF(Bills!181:181,"AAAAAH//P30=",0)</f>
        <v>0</v>
      </c>
      <c r="DW68" t="e">
        <f>AND(Bills!B181,"AAAAAH//P34=")</f>
        <v>#VALUE!</v>
      </c>
      <c r="DX68" t="e">
        <f>AND(Bills!#REF!,"AAAAAH//P38=")</f>
        <v>#REF!</v>
      </c>
      <c r="DY68" t="e">
        <f>AND(Bills!C181,"AAAAAH//P4A=")</f>
        <v>#VALUE!</v>
      </c>
      <c r="DZ68" t="e">
        <f>AND(Bills!D181,"AAAAAH//P4E=")</f>
        <v>#VALUE!</v>
      </c>
      <c r="EA68" t="e">
        <f>AND(Bills!E181,"AAAAAH//P4I=")</f>
        <v>#VALUE!</v>
      </c>
      <c r="EB68" t="e">
        <f>AND(Bills!#REF!,"AAAAAH//P4M=")</f>
        <v>#REF!</v>
      </c>
      <c r="EC68" t="e">
        <f>AND(Bills!#REF!,"AAAAAH//P4Q=")</f>
        <v>#REF!</v>
      </c>
      <c r="ED68" t="e">
        <f>AND(Bills!#REF!,"AAAAAH//P4U=")</f>
        <v>#REF!</v>
      </c>
      <c r="EE68" t="e">
        <f>AND(Bills!F181,"AAAAAH//P4Y=")</f>
        <v>#VALUE!</v>
      </c>
      <c r="EF68" t="e">
        <f>AND(Bills!#REF!,"AAAAAH//P4c=")</f>
        <v>#REF!</v>
      </c>
      <c r="EG68" t="e">
        <f>AND(Bills!G181,"AAAAAH//P4g=")</f>
        <v>#VALUE!</v>
      </c>
      <c r="EH68" t="e">
        <f>AND(Bills!H181,"AAAAAH//P4k=")</f>
        <v>#VALUE!</v>
      </c>
      <c r="EI68" t="e">
        <f>AND(Bills!I181,"AAAAAH//P4o=")</f>
        <v>#VALUE!</v>
      </c>
      <c r="EJ68" t="e">
        <f>AND(Bills!J181,"AAAAAH//P4s=")</f>
        <v>#VALUE!</v>
      </c>
      <c r="EK68" t="e">
        <f>AND(Bills!K181,"AAAAAH//P4w=")</f>
        <v>#VALUE!</v>
      </c>
      <c r="EL68" t="e">
        <f>AND(Bills!L181,"AAAAAH//P40=")</f>
        <v>#VALUE!</v>
      </c>
      <c r="EM68" t="e">
        <f>AND(Bills!#REF!,"AAAAAH//P44=")</f>
        <v>#REF!</v>
      </c>
      <c r="EN68" t="e">
        <f>AND(Bills!M181,"AAAAAH//P48=")</f>
        <v>#VALUE!</v>
      </c>
      <c r="EO68" t="e">
        <f>AND(Bills!N181,"AAAAAH//P5A=")</f>
        <v>#VALUE!</v>
      </c>
      <c r="EP68" t="e">
        <f>AND(Bills!O181,"AAAAAH//P5E=")</f>
        <v>#VALUE!</v>
      </c>
      <c r="EQ68" t="e">
        <f>AND(Bills!P181,"AAAAAH//P5I=")</f>
        <v>#VALUE!</v>
      </c>
      <c r="ER68" t="e">
        <f>AND(Bills!Q181,"AAAAAH//P5M=")</f>
        <v>#VALUE!</v>
      </c>
      <c r="ES68" t="e">
        <f>AND(Bills!R181,"AAAAAH//P5Q=")</f>
        <v>#VALUE!</v>
      </c>
      <c r="ET68" t="e">
        <f>AND(Bills!S181,"AAAAAH//P5U=")</f>
        <v>#VALUE!</v>
      </c>
      <c r="EU68" t="e">
        <f>AND(Bills!T181,"AAAAAH//P5Y=")</f>
        <v>#VALUE!</v>
      </c>
      <c r="EV68" t="e">
        <f>AND(Bills!#REF!,"AAAAAH//P5c=")</f>
        <v>#REF!</v>
      </c>
      <c r="EW68" t="e">
        <f>AND(Bills!U181,"AAAAAH//P5g=")</f>
        <v>#VALUE!</v>
      </c>
      <c r="EX68" t="e">
        <f>AND(Bills!V181,"AAAAAH//P5k=")</f>
        <v>#VALUE!</v>
      </c>
      <c r="EY68" t="e">
        <f>AND(Bills!W181,"AAAAAH//P5o=")</f>
        <v>#VALUE!</v>
      </c>
      <c r="EZ68" t="e">
        <f>AND(Bills!#REF!,"AAAAAH//P5s=")</f>
        <v>#REF!</v>
      </c>
      <c r="FA68" t="e">
        <f>AND(Bills!#REF!,"AAAAAH//P5w=")</f>
        <v>#REF!</v>
      </c>
      <c r="FB68" t="e">
        <f>AND(Bills!Y181,"AAAAAH//P50=")</f>
        <v>#VALUE!</v>
      </c>
      <c r="FC68" t="e">
        <f>AND(Bills!Z181,"AAAAAH//P54=")</f>
        <v>#VALUE!</v>
      </c>
      <c r="FD68" t="e">
        <f>AND(Bills!#REF!,"AAAAAH//P58=")</f>
        <v>#REF!</v>
      </c>
      <c r="FE68" t="e">
        <f>AND(Bills!#REF!,"AAAAAH//P6A=")</f>
        <v>#REF!</v>
      </c>
      <c r="FF68" t="e">
        <f>AND(Bills!#REF!,"AAAAAH//P6E=")</f>
        <v>#REF!</v>
      </c>
      <c r="FG68" t="e">
        <f>AND(Bills!#REF!,"AAAAAH//P6I=")</f>
        <v>#REF!</v>
      </c>
      <c r="FH68" t="e">
        <f>AND(Bills!#REF!,"AAAAAH//P6M=")</f>
        <v>#REF!</v>
      </c>
      <c r="FI68" t="e">
        <f>AND(Bills!#REF!,"AAAAAH//P6Q=")</f>
        <v>#REF!</v>
      </c>
      <c r="FJ68" t="e">
        <f>AND(Bills!#REF!,"AAAAAH//P6U=")</f>
        <v>#REF!</v>
      </c>
      <c r="FK68" t="e">
        <f>AND(Bills!#REF!,"AAAAAH//P6Y=")</f>
        <v>#REF!</v>
      </c>
      <c r="FL68" t="e">
        <f>AND(Bills!#REF!,"AAAAAH//P6c=")</f>
        <v>#REF!</v>
      </c>
      <c r="FM68" t="e">
        <f>AND(Bills!AA181,"AAAAAH//P6g=")</f>
        <v>#VALUE!</v>
      </c>
      <c r="FN68" t="e">
        <f>AND(Bills!AB181,"AAAAAH//P6k=")</f>
        <v>#VALUE!</v>
      </c>
      <c r="FO68" t="e">
        <f>AND(Bills!#REF!,"AAAAAH//P6o=")</f>
        <v>#REF!</v>
      </c>
      <c r="FP68" t="e">
        <f>AND(Bills!#REF!,"AAAAAH//P6s=")</f>
        <v>#REF!</v>
      </c>
      <c r="FQ68" t="e">
        <f>AND(Bills!#REF!,"AAAAAH//P6w=")</f>
        <v>#REF!</v>
      </c>
      <c r="FR68" t="e">
        <f>AND(Bills!AC181,"AAAAAH//P60=")</f>
        <v>#VALUE!</v>
      </c>
      <c r="FS68" t="e">
        <f>AND(Bills!AD181,"AAAAAH//P64=")</f>
        <v>#VALUE!</v>
      </c>
      <c r="FT68" t="e">
        <f>AND(Bills!AE181,"AAAAAH//P68=")</f>
        <v>#VALUE!</v>
      </c>
      <c r="FU68">
        <f>IF(Bills!182:182,"AAAAAH//P7A=",0)</f>
        <v>0</v>
      </c>
      <c r="FV68" t="e">
        <f>AND(Bills!B182,"AAAAAH//P7E=")</f>
        <v>#VALUE!</v>
      </c>
      <c r="FW68" t="e">
        <f>AND(Bills!#REF!,"AAAAAH//P7I=")</f>
        <v>#REF!</v>
      </c>
      <c r="FX68" t="e">
        <f>AND(Bills!C182,"AAAAAH//P7M=")</f>
        <v>#VALUE!</v>
      </c>
      <c r="FY68" t="e">
        <f>AND(Bills!D182,"AAAAAH//P7Q=")</f>
        <v>#VALUE!</v>
      </c>
      <c r="FZ68" t="e">
        <f>AND(Bills!E182,"AAAAAH//P7U=")</f>
        <v>#VALUE!</v>
      </c>
      <c r="GA68" t="e">
        <f>AND(Bills!#REF!,"AAAAAH//P7Y=")</f>
        <v>#REF!</v>
      </c>
      <c r="GB68" t="e">
        <f>AND(Bills!#REF!,"AAAAAH//P7c=")</f>
        <v>#REF!</v>
      </c>
      <c r="GC68" t="e">
        <f>AND(Bills!#REF!,"AAAAAH//P7g=")</f>
        <v>#REF!</v>
      </c>
      <c r="GD68" t="e">
        <f>AND(Bills!F182,"AAAAAH//P7k=")</f>
        <v>#VALUE!</v>
      </c>
      <c r="GE68" t="e">
        <f>AND(Bills!#REF!,"AAAAAH//P7o=")</f>
        <v>#REF!</v>
      </c>
      <c r="GF68" t="e">
        <f>AND(Bills!G182,"AAAAAH//P7s=")</f>
        <v>#VALUE!</v>
      </c>
      <c r="GG68" t="e">
        <f>AND(Bills!H182,"AAAAAH//P7w=")</f>
        <v>#VALUE!</v>
      </c>
      <c r="GH68" t="e">
        <f>AND(Bills!I182,"AAAAAH//P70=")</f>
        <v>#VALUE!</v>
      </c>
      <c r="GI68" t="e">
        <f>AND(Bills!J182,"AAAAAH//P74=")</f>
        <v>#VALUE!</v>
      </c>
      <c r="GJ68" t="e">
        <f>AND(Bills!K182,"AAAAAH//P78=")</f>
        <v>#VALUE!</v>
      </c>
      <c r="GK68" t="e">
        <f>AND(Bills!L182,"AAAAAH//P8A=")</f>
        <v>#VALUE!</v>
      </c>
      <c r="GL68" t="e">
        <f>AND(Bills!#REF!,"AAAAAH//P8E=")</f>
        <v>#REF!</v>
      </c>
      <c r="GM68" t="e">
        <f>AND(Bills!M182,"AAAAAH//P8I=")</f>
        <v>#VALUE!</v>
      </c>
      <c r="GN68" t="e">
        <f>AND(Bills!N182,"AAAAAH//P8M=")</f>
        <v>#VALUE!</v>
      </c>
      <c r="GO68" t="e">
        <f>AND(Bills!O182,"AAAAAH//P8Q=")</f>
        <v>#VALUE!</v>
      </c>
      <c r="GP68" t="e">
        <f>AND(Bills!P182,"AAAAAH//P8U=")</f>
        <v>#VALUE!</v>
      </c>
      <c r="GQ68" t="e">
        <f>AND(Bills!Q182,"AAAAAH//P8Y=")</f>
        <v>#VALUE!</v>
      </c>
      <c r="GR68" t="e">
        <f>AND(Bills!R182,"AAAAAH//P8c=")</f>
        <v>#VALUE!</v>
      </c>
      <c r="GS68" t="e">
        <f>AND(Bills!S182,"AAAAAH//P8g=")</f>
        <v>#VALUE!</v>
      </c>
      <c r="GT68" t="e">
        <f>AND(Bills!T182,"AAAAAH//P8k=")</f>
        <v>#VALUE!</v>
      </c>
      <c r="GU68" t="e">
        <f>AND(Bills!#REF!,"AAAAAH//P8o=")</f>
        <v>#REF!</v>
      </c>
      <c r="GV68" t="e">
        <f>AND(Bills!U182,"AAAAAH//P8s=")</f>
        <v>#VALUE!</v>
      </c>
      <c r="GW68" t="e">
        <f>AND(Bills!V182,"AAAAAH//P8w=")</f>
        <v>#VALUE!</v>
      </c>
      <c r="GX68" t="e">
        <f>AND(Bills!W182,"AAAAAH//P80=")</f>
        <v>#VALUE!</v>
      </c>
      <c r="GY68" t="e">
        <f>AND(Bills!#REF!,"AAAAAH//P84=")</f>
        <v>#REF!</v>
      </c>
      <c r="GZ68" t="e">
        <f>AND(Bills!#REF!,"AAAAAH//P88=")</f>
        <v>#REF!</v>
      </c>
      <c r="HA68" t="e">
        <f>AND(Bills!Y182,"AAAAAH//P9A=")</f>
        <v>#VALUE!</v>
      </c>
      <c r="HB68" t="e">
        <f>AND(Bills!Z182,"AAAAAH//P9E=")</f>
        <v>#VALUE!</v>
      </c>
      <c r="HC68" t="e">
        <f>AND(Bills!#REF!,"AAAAAH//P9I=")</f>
        <v>#REF!</v>
      </c>
      <c r="HD68" t="e">
        <f>AND(Bills!#REF!,"AAAAAH//P9M=")</f>
        <v>#REF!</v>
      </c>
      <c r="HE68" t="e">
        <f>AND(Bills!#REF!,"AAAAAH//P9Q=")</f>
        <v>#REF!</v>
      </c>
      <c r="HF68" t="e">
        <f>AND(Bills!#REF!,"AAAAAH//P9U=")</f>
        <v>#REF!</v>
      </c>
      <c r="HG68" t="e">
        <f>AND(Bills!#REF!,"AAAAAH//P9Y=")</f>
        <v>#REF!</v>
      </c>
      <c r="HH68" t="e">
        <f>AND(Bills!#REF!,"AAAAAH//P9c=")</f>
        <v>#REF!</v>
      </c>
      <c r="HI68" t="e">
        <f>AND(Bills!#REF!,"AAAAAH//P9g=")</f>
        <v>#REF!</v>
      </c>
      <c r="HJ68" t="e">
        <f>AND(Bills!#REF!,"AAAAAH//P9k=")</f>
        <v>#REF!</v>
      </c>
      <c r="HK68" t="e">
        <f>AND(Bills!#REF!,"AAAAAH//P9o=")</f>
        <v>#REF!</v>
      </c>
      <c r="HL68" t="e">
        <f>AND(Bills!AA182,"AAAAAH//P9s=")</f>
        <v>#VALUE!</v>
      </c>
      <c r="HM68" t="e">
        <f>AND(Bills!AB182,"AAAAAH//P9w=")</f>
        <v>#VALUE!</v>
      </c>
      <c r="HN68" t="e">
        <f>AND(Bills!#REF!,"AAAAAH//P90=")</f>
        <v>#REF!</v>
      </c>
      <c r="HO68" t="e">
        <f>AND(Bills!#REF!,"AAAAAH//P94=")</f>
        <v>#REF!</v>
      </c>
      <c r="HP68" t="e">
        <f>AND(Bills!#REF!,"AAAAAH//P98=")</f>
        <v>#REF!</v>
      </c>
      <c r="HQ68" t="e">
        <f>AND(Bills!AC182,"AAAAAH//P+A=")</f>
        <v>#VALUE!</v>
      </c>
      <c r="HR68" t="e">
        <f>AND(Bills!AD182,"AAAAAH//P+E=")</f>
        <v>#VALUE!</v>
      </c>
      <c r="HS68" t="e">
        <f>AND(Bills!AE182,"AAAAAH//P+I=")</f>
        <v>#VALUE!</v>
      </c>
      <c r="HT68">
        <f>IF(Bills!183:183,"AAAAAH//P+M=",0)</f>
        <v>0</v>
      </c>
      <c r="HU68" t="e">
        <f>AND(Bills!B183,"AAAAAH//P+Q=")</f>
        <v>#VALUE!</v>
      </c>
      <c r="HV68" t="e">
        <f>AND(Bills!#REF!,"AAAAAH//P+U=")</f>
        <v>#REF!</v>
      </c>
      <c r="HW68" t="e">
        <f>AND(Bills!C183,"AAAAAH//P+Y=")</f>
        <v>#VALUE!</v>
      </c>
      <c r="HX68" t="e">
        <f>AND(Bills!D183,"AAAAAH//P+c=")</f>
        <v>#VALUE!</v>
      </c>
      <c r="HY68" t="e">
        <f>AND(Bills!E183,"AAAAAH//P+g=")</f>
        <v>#VALUE!</v>
      </c>
      <c r="HZ68" t="e">
        <f>AND(Bills!#REF!,"AAAAAH//P+k=")</f>
        <v>#REF!</v>
      </c>
      <c r="IA68" t="e">
        <f>AND(Bills!#REF!,"AAAAAH//P+o=")</f>
        <v>#REF!</v>
      </c>
      <c r="IB68" t="e">
        <f>AND(Bills!#REF!,"AAAAAH//P+s=")</f>
        <v>#REF!</v>
      </c>
      <c r="IC68" t="e">
        <f>AND(Bills!F183,"AAAAAH//P+w=")</f>
        <v>#VALUE!</v>
      </c>
      <c r="ID68" t="e">
        <f>AND(Bills!#REF!,"AAAAAH//P+0=")</f>
        <v>#REF!</v>
      </c>
      <c r="IE68" t="e">
        <f>AND(Bills!G183,"AAAAAH//P+4=")</f>
        <v>#VALUE!</v>
      </c>
      <c r="IF68" t="e">
        <f>AND(Bills!H183,"AAAAAH//P+8=")</f>
        <v>#VALUE!</v>
      </c>
      <c r="IG68" t="e">
        <f>AND(Bills!I183,"AAAAAH//P/A=")</f>
        <v>#VALUE!</v>
      </c>
      <c r="IH68" t="e">
        <f>AND(Bills!J183,"AAAAAH//P/E=")</f>
        <v>#VALUE!</v>
      </c>
      <c r="II68" t="e">
        <f>AND(Bills!K183,"AAAAAH//P/I=")</f>
        <v>#VALUE!</v>
      </c>
      <c r="IJ68" t="e">
        <f>AND(Bills!L183,"AAAAAH//P/M=")</f>
        <v>#VALUE!</v>
      </c>
      <c r="IK68" t="e">
        <f>AND(Bills!#REF!,"AAAAAH//P/Q=")</f>
        <v>#REF!</v>
      </c>
      <c r="IL68" t="e">
        <f>AND(Bills!M183,"AAAAAH//P/U=")</f>
        <v>#VALUE!</v>
      </c>
      <c r="IM68" t="e">
        <f>AND(Bills!N183,"AAAAAH//P/Y=")</f>
        <v>#VALUE!</v>
      </c>
      <c r="IN68" t="e">
        <f>AND(Bills!O183,"AAAAAH//P/c=")</f>
        <v>#VALUE!</v>
      </c>
      <c r="IO68" t="e">
        <f>AND(Bills!P183,"AAAAAH//P/g=")</f>
        <v>#VALUE!</v>
      </c>
      <c r="IP68" t="e">
        <f>AND(Bills!Q183,"AAAAAH//P/k=")</f>
        <v>#VALUE!</v>
      </c>
      <c r="IQ68" t="e">
        <f>AND(Bills!R183,"AAAAAH//P/o=")</f>
        <v>#VALUE!</v>
      </c>
      <c r="IR68" t="e">
        <f>AND(Bills!S183,"AAAAAH//P/s=")</f>
        <v>#VALUE!</v>
      </c>
      <c r="IS68" t="e">
        <f>AND(Bills!T183,"AAAAAH//P/w=")</f>
        <v>#VALUE!</v>
      </c>
      <c r="IT68" t="e">
        <f>AND(Bills!#REF!,"AAAAAH//P/0=")</f>
        <v>#REF!</v>
      </c>
      <c r="IU68" t="e">
        <f>AND(Bills!U183,"AAAAAH//P/4=")</f>
        <v>#VALUE!</v>
      </c>
      <c r="IV68" t="e">
        <f>AND(Bills!V183,"AAAAAH//P/8=")</f>
        <v>#VALUE!</v>
      </c>
    </row>
    <row r="69" spans="1:256" x14ac:dyDescent="0.25">
      <c r="A69" t="e">
        <f>AND(Bills!W183,"AAAAAG/+5wA=")</f>
        <v>#VALUE!</v>
      </c>
      <c r="B69" t="e">
        <f>AND(Bills!#REF!,"AAAAAG/+5wE=")</f>
        <v>#REF!</v>
      </c>
      <c r="C69" t="e">
        <f>AND(Bills!#REF!,"AAAAAG/+5wI=")</f>
        <v>#REF!</v>
      </c>
      <c r="D69" t="e">
        <f>AND(Bills!Y183,"AAAAAG/+5wM=")</f>
        <v>#VALUE!</v>
      </c>
      <c r="E69" t="e">
        <f>AND(Bills!Z183,"AAAAAG/+5wQ=")</f>
        <v>#VALUE!</v>
      </c>
      <c r="F69" t="e">
        <f>AND(Bills!#REF!,"AAAAAG/+5wU=")</f>
        <v>#REF!</v>
      </c>
      <c r="G69" t="e">
        <f>AND(Bills!#REF!,"AAAAAG/+5wY=")</f>
        <v>#REF!</v>
      </c>
      <c r="H69" t="e">
        <f>AND(Bills!#REF!,"AAAAAG/+5wc=")</f>
        <v>#REF!</v>
      </c>
      <c r="I69" t="e">
        <f>AND(Bills!#REF!,"AAAAAG/+5wg=")</f>
        <v>#REF!</v>
      </c>
      <c r="J69" t="e">
        <f>AND(Bills!#REF!,"AAAAAG/+5wk=")</f>
        <v>#REF!</v>
      </c>
      <c r="K69" t="e">
        <f>AND(Bills!#REF!,"AAAAAG/+5wo=")</f>
        <v>#REF!</v>
      </c>
      <c r="L69" t="e">
        <f>AND(Bills!#REF!,"AAAAAG/+5ws=")</f>
        <v>#REF!</v>
      </c>
      <c r="M69" t="e">
        <f>AND(Bills!#REF!,"AAAAAG/+5ww=")</f>
        <v>#REF!</v>
      </c>
      <c r="N69" t="e">
        <f>AND(Bills!#REF!,"AAAAAG/+5w0=")</f>
        <v>#REF!</v>
      </c>
      <c r="O69" t="e">
        <f>AND(Bills!AA183,"AAAAAG/+5w4=")</f>
        <v>#VALUE!</v>
      </c>
      <c r="P69" t="e">
        <f>AND(Bills!AB183,"AAAAAG/+5w8=")</f>
        <v>#VALUE!</v>
      </c>
      <c r="Q69" t="e">
        <f>AND(Bills!#REF!,"AAAAAG/+5xA=")</f>
        <v>#REF!</v>
      </c>
      <c r="R69" t="e">
        <f>AND(Bills!#REF!,"AAAAAG/+5xE=")</f>
        <v>#REF!</v>
      </c>
      <c r="S69" t="e">
        <f>AND(Bills!#REF!,"AAAAAG/+5xI=")</f>
        <v>#REF!</v>
      </c>
      <c r="T69" t="e">
        <f>AND(Bills!AC183,"AAAAAG/+5xM=")</f>
        <v>#VALUE!</v>
      </c>
      <c r="U69" t="e">
        <f>AND(Bills!AD183,"AAAAAG/+5xQ=")</f>
        <v>#VALUE!</v>
      </c>
      <c r="V69" t="e">
        <f>AND(Bills!AE183,"AAAAAG/+5xU=")</f>
        <v>#VALUE!</v>
      </c>
      <c r="W69">
        <f>IF(Bills!184:184,"AAAAAG/+5xY=",0)</f>
        <v>0</v>
      </c>
      <c r="X69" t="e">
        <f>AND(Bills!B184,"AAAAAG/+5xc=")</f>
        <v>#VALUE!</v>
      </c>
      <c r="Y69" t="e">
        <f>AND(Bills!#REF!,"AAAAAG/+5xg=")</f>
        <v>#REF!</v>
      </c>
      <c r="Z69" t="e">
        <f>AND(Bills!C184,"AAAAAG/+5xk=")</f>
        <v>#VALUE!</v>
      </c>
      <c r="AA69" t="e">
        <f>AND(Bills!D184,"AAAAAG/+5xo=")</f>
        <v>#VALUE!</v>
      </c>
      <c r="AB69" t="e">
        <f>AND(Bills!E184,"AAAAAG/+5xs=")</f>
        <v>#VALUE!</v>
      </c>
      <c r="AC69" t="e">
        <f>AND(Bills!#REF!,"AAAAAG/+5xw=")</f>
        <v>#REF!</v>
      </c>
      <c r="AD69" t="e">
        <f>AND(Bills!#REF!,"AAAAAG/+5x0=")</f>
        <v>#REF!</v>
      </c>
      <c r="AE69" t="e">
        <f>AND(Bills!#REF!,"AAAAAG/+5x4=")</f>
        <v>#REF!</v>
      </c>
      <c r="AF69" t="e">
        <f>AND(Bills!F184,"AAAAAG/+5x8=")</f>
        <v>#VALUE!</v>
      </c>
      <c r="AG69" t="e">
        <f>AND(Bills!#REF!,"AAAAAG/+5yA=")</f>
        <v>#REF!</v>
      </c>
      <c r="AH69" t="e">
        <f>AND(Bills!G184,"AAAAAG/+5yE=")</f>
        <v>#VALUE!</v>
      </c>
      <c r="AI69" t="e">
        <f>AND(Bills!H184,"AAAAAG/+5yI=")</f>
        <v>#VALUE!</v>
      </c>
      <c r="AJ69" t="e">
        <f>AND(Bills!I184,"AAAAAG/+5yM=")</f>
        <v>#VALUE!</v>
      </c>
      <c r="AK69" t="e">
        <f>AND(Bills!J184,"AAAAAG/+5yQ=")</f>
        <v>#VALUE!</v>
      </c>
      <c r="AL69" t="e">
        <f>AND(Bills!K184,"AAAAAG/+5yU=")</f>
        <v>#VALUE!</v>
      </c>
      <c r="AM69" t="e">
        <f>AND(Bills!L184,"AAAAAG/+5yY=")</f>
        <v>#VALUE!</v>
      </c>
      <c r="AN69" t="e">
        <f>AND(Bills!#REF!,"AAAAAG/+5yc=")</f>
        <v>#REF!</v>
      </c>
      <c r="AO69" t="e">
        <f>AND(Bills!M184,"AAAAAG/+5yg=")</f>
        <v>#VALUE!</v>
      </c>
      <c r="AP69" t="e">
        <f>AND(Bills!N184,"AAAAAG/+5yk=")</f>
        <v>#VALUE!</v>
      </c>
      <c r="AQ69" t="e">
        <f>AND(Bills!O184,"AAAAAG/+5yo=")</f>
        <v>#VALUE!</v>
      </c>
      <c r="AR69" t="e">
        <f>AND(Bills!P184,"AAAAAG/+5ys=")</f>
        <v>#VALUE!</v>
      </c>
      <c r="AS69" t="e">
        <f>AND(Bills!Q184,"AAAAAG/+5yw=")</f>
        <v>#VALUE!</v>
      </c>
      <c r="AT69" t="e">
        <f>AND(Bills!R184,"AAAAAG/+5y0=")</f>
        <v>#VALUE!</v>
      </c>
      <c r="AU69" t="e">
        <f>AND(Bills!S184,"AAAAAG/+5y4=")</f>
        <v>#VALUE!</v>
      </c>
      <c r="AV69" t="e">
        <f>AND(Bills!T184,"AAAAAG/+5y8=")</f>
        <v>#VALUE!</v>
      </c>
      <c r="AW69" t="e">
        <f>AND(Bills!#REF!,"AAAAAG/+5zA=")</f>
        <v>#REF!</v>
      </c>
      <c r="AX69" t="e">
        <f>AND(Bills!U184,"AAAAAG/+5zE=")</f>
        <v>#VALUE!</v>
      </c>
      <c r="AY69" t="e">
        <f>AND(Bills!V184,"AAAAAG/+5zI=")</f>
        <v>#VALUE!</v>
      </c>
      <c r="AZ69" t="e">
        <f>AND(Bills!W184,"AAAAAG/+5zM=")</f>
        <v>#VALUE!</v>
      </c>
      <c r="BA69" t="e">
        <f>AND(Bills!#REF!,"AAAAAG/+5zQ=")</f>
        <v>#REF!</v>
      </c>
      <c r="BB69" t="e">
        <f>AND(Bills!#REF!,"AAAAAG/+5zU=")</f>
        <v>#REF!</v>
      </c>
      <c r="BC69" t="e">
        <f>AND(Bills!Y184,"AAAAAG/+5zY=")</f>
        <v>#VALUE!</v>
      </c>
      <c r="BD69" t="e">
        <f>AND(Bills!Z184,"AAAAAG/+5zc=")</f>
        <v>#VALUE!</v>
      </c>
      <c r="BE69" t="e">
        <f>AND(Bills!#REF!,"AAAAAG/+5zg=")</f>
        <v>#REF!</v>
      </c>
      <c r="BF69" t="e">
        <f>AND(Bills!#REF!,"AAAAAG/+5zk=")</f>
        <v>#REF!</v>
      </c>
      <c r="BG69" t="e">
        <f>AND(Bills!#REF!,"AAAAAG/+5zo=")</f>
        <v>#REF!</v>
      </c>
      <c r="BH69" t="e">
        <f>AND(Bills!#REF!,"AAAAAG/+5zs=")</f>
        <v>#REF!</v>
      </c>
      <c r="BI69" t="e">
        <f>AND(Bills!#REF!,"AAAAAG/+5zw=")</f>
        <v>#REF!</v>
      </c>
      <c r="BJ69" t="e">
        <f>AND(Bills!#REF!,"AAAAAG/+5z0=")</f>
        <v>#REF!</v>
      </c>
      <c r="BK69" t="e">
        <f>AND(Bills!#REF!,"AAAAAG/+5z4=")</f>
        <v>#REF!</v>
      </c>
      <c r="BL69" t="e">
        <f>AND(Bills!#REF!,"AAAAAG/+5z8=")</f>
        <v>#REF!</v>
      </c>
      <c r="BM69" t="e">
        <f>AND(Bills!#REF!,"AAAAAG/+50A=")</f>
        <v>#REF!</v>
      </c>
      <c r="BN69" t="e">
        <f>AND(Bills!AA184,"AAAAAG/+50E=")</f>
        <v>#VALUE!</v>
      </c>
      <c r="BO69" t="e">
        <f>AND(Bills!AB184,"AAAAAG/+50I=")</f>
        <v>#VALUE!</v>
      </c>
      <c r="BP69" t="e">
        <f>AND(Bills!#REF!,"AAAAAG/+50M=")</f>
        <v>#REF!</v>
      </c>
      <c r="BQ69" t="e">
        <f>AND(Bills!#REF!,"AAAAAG/+50Q=")</f>
        <v>#REF!</v>
      </c>
      <c r="BR69" t="e">
        <f>AND(Bills!#REF!,"AAAAAG/+50U=")</f>
        <v>#REF!</v>
      </c>
      <c r="BS69" t="e">
        <f>AND(Bills!AC184,"AAAAAG/+50Y=")</f>
        <v>#VALUE!</v>
      </c>
      <c r="BT69" t="e">
        <f>AND(Bills!AD184,"AAAAAG/+50c=")</f>
        <v>#VALUE!</v>
      </c>
      <c r="BU69" t="e">
        <f>AND(Bills!AE184,"AAAAAG/+50g=")</f>
        <v>#VALUE!</v>
      </c>
      <c r="BV69">
        <f>IF(Bills!185:185,"AAAAAG/+50k=",0)</f>
        <v>0</v>
      </c>
      <c r="BW69" t="e">
        <f>AND(Bills!B185,"AAAAAG/+50o=")</f>
        <v>#VALUE!</v>
      </c>
      <c r="BX69" t="e">
        <f>AND(Bills!#REF!,"AAAAAG/+50s=")</f>
        <v>#REF!</v>
      </c>
      <c r="BY69" t="e">
        <f>AND(Bills!C185,"AAAAAG/+50w=")</f>
        <v>#VALUE!</v>
      </c>
      <c r="BZ69" t="e">
        <f>AND(Bills!D185,"AAAAAG/+500=")</f>
        <v>#VALUE!</v>
      </c>
      <c r="CA69" t="e">
        <f>AND(Bills!E185,"AAAAAG/+504=")</f>
        <v>#VALUE!</v>
      </c>
      <c r="CB69" t="e">
        <f>AND(Bills!#REF!,"AAAAAG/+508=")</f>
        <v>#REF!</v>
      </c>
      <c r="CC69" t="e">
        <f>AND(Bills!#REF!,"AAAAAG/+51A=")</f>
        <v>#REF!</v>
      </c>
      <c r="CD69" t="e">
        <f>AND(Bills!#REF!,"AAAAAG/+51E=")</f>
        <v>#REF!</v>
      </c>
      <c r="CE69" t="e">
        <f>AND(Bills!F185,"AAAAAG/+51I=")</f>
        <v>#VALUE!</v>
      </c>
      <c r="CF69" t="e">
        <f>AND(Bills!#REF!,"AAAAAG/+51M=")</f>
        <v>#REF!</v>
      </c>
      <c r="CG69" t="e">
        <f>AND(Bills!G185,"AAAAAG/+51Q=")</f>
        <v>#VALUE!</v>
      </c>
      <c r="CH69" t="e">
        <f>AND(Bills!H185,"AAAAAG/+51U=")</f>
        <v>#VALUE!</v>
      </c>
      <c r="CI69" t="e">
        <f>AND(Bills!I185,"AAAAAG/+51Y=")</f>
        <v>#VALUE!</v>
      </c>
      <c r="CJ69" t="e">
        <f>AND(Bills!J185,"AAAAAG/+51c=")</f>
        <v>#VALUE!</v>
      </c>
      <c r="CK69" t="e">
        <f>AND(Bills!K185,"AAAAAG/+51g=")</f>
        <v>#VALUE!</v>
      </c>
      <c r="CL69" t="e">
        <f>AND(Bills!L185,"AAAAAG/+51k=")</f>
        <v>#VALUE!</v>
      </c>
      <c r="CM69" t="e">
        <f>AND(Bills!#REF!,"AAAAAG/+51o=")</f>
        <v>#REF!</v>
      </c>
      <c r="CN69" t="e">
        <f>AND(Bills!M185,"AAAAAG/+51s=")</f>
        <v>#VALUE!</v>
      </c>
      <c r="CO69" t="e">
        <f>AND(Bills!N185,"AAAAAG/+51w=")</f>
        <v>#VALUE!</v>
      </c>
      <c r="CP69" t="e">
        <f>AND(Bills!O185,"AAAAAG/+510=")</f>
        <v>#VALUE!</v>
      </c>
      <c r="CQ69" t="e">
        <f>AND(Bills!P185,"AAAAAG/+514=")</f>
        <v>#VALUE!</v>
      </c>
      <c r="CR69" t="e">
        <f>AND(Bills!Q185,"AAAAAG/+518=")</f>
        <v>#VALUE!</v>
      </c>
      <c r="CS69" t="e">
        <f>AND(Bills!R185,"AAAAAG/+52A=")</f>
        <v>#VALUE!</v>
      </c>
      <c r="CT69" t="e">
        <f>AND(Bills!S185,"AAAAAG/+52E=")</f>
        <v>#VALUE!</v>
      </c>
      <c r="CU69" t="e">
        <f>AND(Bills!T185,"AAAAAG/+52I=")</f>
        <v>#VALUE!</v>
      </c>
      <c r="CV69" t="e">
        <f>AND(Bills!#REF!,"AAAAAG/+52M=")</f>
        <v>#REF!</v>
      </c>
      <c r="CW69" t="e">
        <f>AND(Bills!U185,"AAAAAG/+52Q=")</f>
        <v>#VALUE!</v>
      </c>
      <c r="CX69" t="e">
        <f>AND(Bills!V185,"AAAAAG/+52U=")</f>
        <v>#VALUE!</v>
      </c>
      <c r="CY69" t="e">
        <f>AND(Bills!W185,"AAAAAG/+52Y=")</f>
        <v>#VALUE!</v>
      </c>
      <c r="CZ69" t="e">
        <f>AND(Bills!#REF!,"AAAAAG/+52c=")</f>
        <v>#REF!</v>
      </c>
      <c r="DA69" t="e">
        <f>AND(Bills!#REF!,"AAAAAG/+52g=")</f>
        <v>#REF!</v>
      </c>
      <c r="DB69" t="e">
        <f>AND(Bills!Y185,"AAAAAG/+52k=")</f>
        <v>#VALUE!</v>
      </c>
      <c r="DC69" t="e">
        <f>AND(Bills!Z185,"AAAAAG/+52o=")</f>
        <v>#VALUE!</v>
      </c>
      <c r="DD69" t="e">
        <f>AND(Bills!#REF!,"AAAAAG/+52s=")</f>
        <v>#REF!</v>
      </c>
      <c r="DE69" t="e">
        <f>AND(Bills!#REF!,"AAAAAG/+52w=")</f>
        <v>#REF!</v>
      </c>
      <c r="DF69" t="e">
        <f>AND(Bills!#REF!,"AAAAAG/+520=")</f>
        <v>#REF!</v>
      </c>
      <c r="DG69" t="e">
        <f>AND(Bills!#REF!,"AAAAAG/+524=")</f>
        <v>#REF!</v>
      </c>
      <c r="DH69" t="e">
        <f>AND(Bills!#REF!,"AAAAAG/+528=")</f>
        <v>#REF!</v>
      </c>
      <c r="DI69" t="e">
        <f>AND(Bills!#REF!,"AAAAAG/+53A=")</f>
        <v>#REF!</v>
      </c>
      <c r="DJ69" t="e">
        <f>AND(Bills!#REF!,"AAAAAG/+53E=")</f>
        <v>#REF!</v>
      </c>
      <c r="DK69" t="e">
        <f>AND(Bills!#REF!,"AAAAAG/+53I=")</f>
        <v>#REF!</v>
      </c>
      <c r="DL69" t="e">
        <f>AND(Bills!#REF!,"AAAAAG/+53M=")</f>
        <v>#REF!</v>
      </c>
      <c r="DM69" t="e">
        <f>AND(Bills!AA185,"AAAAAG/+53Q=")</f>
        <v>#VALUE!</v>
      </c>
      <c r="DN69" t="e">
        <f>AND(Bills!AB185,"AAAAAG/+53U=")</f>
        <v>#VALUE!</v>
      </c>
      <c r="DO69" t="e">
        <f>AND(Bills!#REF!,"AAAAAG/+53Y=")</f>
        <v>#REF!</v>
      </c>
      <c r="DP69" t="e">
        <f>AND(Bills!#REF!,"AAAAAG/+53c=")</f>
        <v>#REF!</v>
      </c>
      <c r="DQ69" t="e">
        <f>AND(Bills!#REF!,"AAAAAG/+53g=")</f>
        <v>#REF!</v>
      </c>
      <c r="DR69" t="e">
        <f>AND(Bills!AC185,"AAAAAG/+53k=")</f>
        <v>#VALUE!</v>
      </c>
      <c r="DS69" t="e">
        <f>AND(Bills!AD185,"AAAAAG/+53o=")</f>
        <v>#VALUE!</v>
      </c>
      <c r="DT69" t="e">
        <f>AND(Bills!AE185,"AAAAAG/+53s=")</f>
        <v>#VALUE!</v>
      </c>
      <c r="DU69">
        <f>IF(Bills!186:186,"AAAAAG/+53w=",0)</f>
        <v>0</v>
      </c>
      <c r="DV69" t="e">
        <f>AND(Bills!B186,"AAAAAG/+530=")</f>
        <v>#VALUE!</v>
      </c>
      <c r="DW69" t="e">
        <f>AND(Bills!#REF!,"AAAAAG/+534=")</f>
        <v>#REF!</v>
      </c>
      <c r="DX69" t="e">
        <f>AND(Bills!C186,"AAAAAG/+538=")</f>
        <v>#VALUE!</v>
      </c>
      <c r="DY69" t="e">
        <f>AND(Bills!D186,"AAAAAG/+54A=")</f>
        <v>#VALUE!</v>
      </c>
      <c r="DZ69" t="e">
        <f>AND(Bills!E186,"AAAAAG/+54E=")</f>
        <v>#VALUE!</v>
      </c>
      <c r="EA69" t="e">
        <f>AND(Bills!#REF!,"AAAAAG/+54I=")</f>
        <v>#REF!</v>
      </c>
      <c r="EB69" t="e">
        <f>AND(Bills!#REF!,"AAAAAG/+54M=")</f>
        <v>#REF!</v>
      </c>
      <c r="EC69" t="e">
        <f>AND(Bills!#REF!,"AAAAAG/+54Q=")</f>
        <v>#REF!</v>
      </c>
      <c r="ED69" t="e">
        <f>AND(Bills!F186,"AAAAAG/+54U=")</f>
        <v>#VALUE!</v>
      </c>
      <c r="EE69" t="e">
        <f>AND(Bills!#REF!,"AAAAAG/+54Y=")</f>
        <v>#REF!</v>
      </c>
      <c r="EF69" t="e">
        <f>AND(Bills!G186,"AAAAAG/+54c=")</f>
        <v>#VALUE!</v>
      </c>
      <c r="EG69" t="e">
        <f>AND(Bills!H186,"AAAAAG/+54g=")</f>
        <v>#VALUE!</v>
      </c>
      <c r="EH69" t="e">
        <f>AND(Bills!I186,"AAAAAG/+54k=")</f>
        <v>#VALUE!</v>
      </c>
      <c r="EI69" t="e">
        <f>AND(Bills!J186,"AAAAAG/+54o=")</f>
        <v>#VALUE!</v>
      </c>
      <c r="EJ69" t="e">
        <f>AND(Bills!K186,"AAAAAG/+54s=")</f>
        <v>#VALUE!</v>
      </c>
      <c r="EK69" t="e">
        <f>AND(Bills!L186,"AAAAAG/+54w=")</f>
        <v>#VALUE!</v>
      </c>
      <c r="EL69" t="e">
        <f>AND(Bills!#REF!,"AAAAAG/+540=")</f>
        <v>#REF!</v>
      </c>
      <c r="EM69" t="e">
        <f>AND(Bills!M186,"AAAAAG/+544=")</f>
        <v>#VALUE!</v>
      </c>
      <c r="EN69" t="e">
        <f>AND(Bills!N186,"AAAAAG/+548=")</f>
        <v>#VALUE!</v>
      </c>
      <c r="EO69" t="e">
        <f>AND(Bills!O186,"AAAAAG/+55A=")</f>
        <v>#VALUE!</v>
      </c>
      <c r="EP69" t="e">
        <f>AND(Bills!P186,"AAAAAG/+55E=")</f>
        <v>#VALUE!</v>
      </c>
      <c r="EQ69" t="e">
        <f>AND(Bills!Q186,"AAAAAG/+55I=")</f>
        <v>#VALUE!</v>
      </c>
      <c r="ER69" t="e">
        <f>AND(Bills!R186,"AAAAAG/+55M=")</f>
        <v>#VALUE!</v>
      </c>
      <c r="ES69" t="e">
        <f>AND(Bills!S186,"AAAAAG/+55Q=")</f>
        <v>#VALUE!</v>
      </c>
      <c r="ET69" t="e">
        <f>AND(Bills!T186,"AAAAAG/+55U=")</f>
        <v>#VALUE!</v>
      </c>
      <c r="EU69" t="e">
        <f>AND(Bills!#REF!,"AAAAAG/+55Y=")</f>
        <v>#REF!</v>
      </c>
      <c r="EV69" t="e">
        <f>AND(Bills!U186,"AAAAAG/+55c=")</f>
        <v>#VALUE!</v>
      </c>
      <c r="EW69" t="e">
        <f>AND(Bills!V186,"AAAAAG/+55g=")</f>
        <v>#VALUE!</v>
      </c>
      <c r="EX69" t="e">
        <f>AND(Bills!W186,"AAAAAG/+55k=")</f>
        <v>#VALUE!</v>
      </c>
      <c r="EY69" t="e">
        <f>AND(Bills!#REF!,"AAAAAG/+55o=")</f>
        <v>#REF!</v>
      </c>
      <c r="EZ69" t="e">
        <f>AND(Bills!#REF!,"AAAAAG/+55s=")</f>
        <v>#REF!</v>
      </c>
      <c r="FA69" t="e">
        <f>AND(Bills!Y186,"AAAAAG/+55w=")</f>
        <v>#VALUE!</v>
      </c>
      <c r="FB69" t="e">
        <f>AND(Bills!Z186,"AAAAAG/+550=")</f>
        <v>#VALUE!</v>
      </c>
      <c r="FC69" t="e">
        <f>AND(Bills!#REF!,"AAAAAG/+554=")</f>
        <v>#REF!</v>
      </c>
      <c r="FD69" t="e">
        <f>AND(Bills!#REF!,"AAAAAG/+558=")</f>
        <v>#REF!</v>
      </c>
      <c r="FE69" t="e">
        <f>AND(Bills!#REF!,"AAAAAG/+56A=")</f>
        <v>#REF!</v>
      </c>
      <c r="FF69" t="e">
        <f>AND(Bills!#REF!,"AAAAAG/+56E=")</f>
        <v>#REF!</v>
      </c>
      <c r="FG69" t="e">
        <f>AND(Bills!#REF!,"AAAAAG/+56I=")</f>
        <v>#REF!</v>
      </c>
      <c r="FH69" t="e">
        <f>AND(Bills!#REF!,"AAAAAG/+56M=")</f>
        <v>#REF!</v>
      </c>
      <c r="FI69" t="e">
        <f>AND(Bills!#REF!,"AAAAAG/+56Q=")</f>
        <v>#REF!</v>
      </c>
      <c r="FJ69" t="e">
        <f>AND(Bills!#REF!,"AAAAAG/+56U=")</f>
        <v>#REF!</v>
      </c>
      <c r="FK69" t="e">
        <f>AND(Bills!#REF!,"AAAAAG/+56Y=")</f>
        <v>#REF!</v>
      </c>
      <c r="FL69" t="e">
        <f>AND(Bills!AA186,"AAAAAG/+56c=")</f>
        <v>#VALUE!</v>
      </c>
      <c r="FM69" t="e">
        <f>AND(Bills!AB186,"AAAAAG/+56g=")</f>
        <v>#VALUE!</v>
      </c>
      <c r="FN69" t="e">
        <f>AND(Bills!#REF!,"AAAAAG/+56k=")</f>
        <v>#REF!</v>
      </c>
      <c r="FO69" t="e">
        <f>AND(Bills!#REF!,"AAAAAG/+56o=")</f>
        <v>#REF!</v>
      </c>
      <c r="FP69" t="e">
        <f>AND(Bills!#REF!,"AAAAAG/+56s=")</f>
        <v>#REF!</v>
      </c>
      <c r="FQ69" t="e">
        <f>AND(Bills!AC186,"AAAAAG/+56w=")</f>
        <v>#VALUE!</v>
      </c>
      <c r="FR69" t="e">
        <f>AND(Bills!AD186,"AAAAAG/+560=")</f>
        <v>#VALUE!</v>
      </c>
      <c r="FS69" t="e">
        <f>AND(Bills!AE186,"AAAAAG/+564=")</f>
        <v>#VALUE!</v>
      </c>
      <c r="FT69">
        <f>IF(Bills!187:187,"AAAAAG/+568=",0)</f>
        <v>0</v>
      </c>
      <c r="FU69" t="e">
        <f>AND(Bills!B187,"AAAAAG/+57A=")</f>
        <v>#VALUE!</v>
      </c>
      <c r="FV69" t="e">
        <f>AND(Bills!#REF!,"AAAAAG/+57E=")</f>
        <v>#REF!</v>
      </c>
      <c r="FW69" t="e">
        <f>AND(Bills!C187,"AAAAAG/+57I=")</f>
        <v>#VALUE!</v>
      </c>
      <c r="FX69" t="e">
        <f>AND(Bills!D187,"AAAAAG/+57M=")</f>
        <v>#VALUE!</v>
      </c>
      <c r="FY69" t="e">
        <f>AND(Bills!E187,"AAAAAG/+57Q=")</f>
        <v>#VALUE!</v>
      </c>
      <c r="FZ69" t="e">
        <f>AND(Bills!#REF!,"AAAAAG/+57U=")</f>
        <v>#REF!</v>
      </c>
      <c r="GA69" t="e">
        <f>AND(Bills!#REF!,"AAAAAG/+57Y=")</f>
        <v>#REF!</v>
      </c>
      <c r="GB69" t="e">
        <f>AND(Bills!#REF!,"AAAAAG/+57c=")</f>
        <v>#REF!</v>
      </c>
      <c r="GC69" t="e">
        <f>AND(Bills!F187,"AAAAAG/+57g=")</f>
        <v>#VALUE!</v>
      </c>
      <c r="GD69" t="e">
        <f>AND(Bills!#REF!,"AAAAAG/+57k=")</f>
        <v>#REF!</v>
      </c>
      <c r="GE69" t="e">
        <f>AND(Bills!G187,"AAAAAG/+57o=")</f>
        <v>#VALUE!</v>
      </c>
      <c r="GF69" t="e">
        <f>AND(Bills!H187,"AAAAAG/+57s=")</f>
        <v>#VALUE!</v>
      </c>
      <c r="GG69" t="e">
        <f>AND(Bills!I187,"AAAAAG/+57w=")</f>
        <v>#VALUE!</v>
      </c>
      <c r="GH69" t="e">
        <f>AND(Bills!J187,"AAAAAG/+570=")</f>
        <v>#VALUE!</v>
      </c>
      <c r="GI69" t="e">
        <f>AND(Bills!K187,"AAAAAG/+574=")</f>
        <v>#VALUE!</v>
      </c>
      <c r="GJ69" t="e">
        <f>AND(Bills!L187,"AAAAAG/+578=")</f>
        <v>#VALUE!</v>
      </c>
      <c r="GK69" t="e">
        <f>AND(Bills!#REF!,"AAAAAG/+58A=")</f>
        <v>#REF!</v>
      </c>
      <c r="GL69" t="e">
        <f>AND(Bills!M187,"AAAAAG/+58E=")</f>
        <v>#VALUE!</v>
      </c>
      <c r="GM69" t="e">
        <f>AND(Bills!N187,"AAAAAG/+58I=")</f>
        <v>#VALUE!</v>
      </c>
      <c r="GN69" t="e">
        <f>AND(Bills!O187,"AAAAAG/+58M=")</f>
        <v>#VALUE!</v>
      </c>
      <c r="GO69" t="e">
        <f>AND(Bills!P187,"AAAAAG/+58Q=")</f>
        <v>#VALUE!</v>
      </c>
      <c r="GP69" t="e">
        <f>AND(Bills!Q187,"AAAAAG/+58U=")</f>
        <v>#VALUE!</v>
      </c>
      <c r="GQ69" t="e">
        <f>AND(Bills!R187,"AAAAAG/+58Y=")</f>
        <v>#VALUE!</v>
      </c>
      <c r="GR69" t="e">
        <f>AND(Bills!S187,"AAAAAG/+58c=")</f>
        <v>#VALUE!</v>
      </c>
      <c r="GS69" t="e">
        <f>AND(Bills!T187,"AAAAAG/+58g=")</f>
        <v>#VALUE!</v>
      </c>
      <c r="GT69" t="e">
        <f>AND(Bills!#REF!,"AAAAAG/+58k=")</f>
        <v>#REF!</v>
      </c>
      <c r="GU69" t="e">
        <f>AND(Bills!U187,"AAAAAG/+58o=")</f>
        <v>#VALUE!</v>
      </c>
      <c r="GV69" t="e">
        <f>AND(Bills!V187,"AAAAAG/+58s=")</f>
        <v>#VALUE!</v>
      </c>
      <c r="GW69" t="e">
        <f>AND(Bills!W187,"AAAAAG/+58w=")</f>
        <v>#VALUE!</v>
      </c>
      <c r="GX69" t="e">
        <f>AND(Bills!#REF!,"AAAAAG/+580=")</f>
        <v>#REF!</v>
      </c>
      <c r="GY69" t="e">
        <f>AND(Bills!#REF!,"AAAAAG/+584=")</f>
        <v>#REF!</v>
      </c>
      <c r="GZ69" t="e">
        <f>AND(Bills!Y187,"AAAAAG/+588=")</f>
        <v>#VALUE!</v>
      </c>
      <c r="HA69" t="e">
        <f>AND(Bills!Z187,"AAAAAG/+59A=")</f>
        <v>#VALUE!</v>
      </c>
      <c r="HB69" t="e">
        <f>AND(Bills!#REF!,"AAAAAG/+59E=")</f>
        <v>#REF!</v>
      </c>
      <c r="HC69" t="e">
        <f>AND(Bills!#REF!,"AAAAAG/+59I=")</f>
        <v>#REF!</v>
      </c>
      <c r="HD69" t="e">
        <f>AND(Bills!#REF!,"AAAAAG/+59M=")</f>
        <v>#REF!</v>
      </c>
      <c r="HE69" t="e">
        <f>AND(Bills!#REF!,"AAAAAG/+59Q=")</f>
        <v>#REF!</v>
      </c>
      <c r="HF69" t="e">
        <f>AND(Bills!#REF!,"AAAAAG/+59U=")</f>
        <v>#REF!</v>
      </c>
      <c r="HG69" t="e">
        <f>AND(Bills!#REF!,"AAAAAG/+59Y=")</f>
        <v>#REF!</v>
      </c>
      <c r="HH69" t="e">
        <f>AND(Bills!#REF!,"AAAAAG/+59c=")</f>
        <v>#REF!</v>
      </c>
      <c r="HI69" t="e">
        <f>AND(Bills!#REF!,"AAAAAG/+59g=")</f>
        <v>#REF!</v>
      </c>
      <c r="HJ69" t="e">
        <f>AND(Bills!#REF!,"AAAAAG/+59k=")</f>
        <v>#REF!</v>
      </c>
      <c r="HK69" t="e">
        <f>AND(Bills!AA187,"AAAAAG/+59o=")</f>
        <v>#VALUE!</v>
      </c>
      <c r="HL69" t="e">
        <f>AND(Bills!AB187,"AAAAAG/+59s=")</f>
        <v>#VALUE!</v>
      </c>
      <c r="HM69" t="e">
        <f>AND(Bills!#REF!,"AAAAAG/+59w=")</f>
        <v>#REF!</v>
      </c>
      <c r="HN69" t="e">
        <f>AND(Bills!#REF!,"AAAAAG/+590=")</f>
        <v>#REF!</v>
      </c>
      <c r="HO69" t="e">
        <f>AND(Bills!#REF!,"AAAAAG/+594=")</f>
        <v>#REF!</v>
      </c>
      <c r="HP69" t="e">
        <f>AND(Bills!AC187,"AAAAAG/+598=")</f>
        <v>#VALUE!</v>
      </c>
      <c r="HQ69" t="e">
        <f>AND(Bills!AD187,"AAAAAG/+5+A=")</f>
        <v>#VALUE!</v>
      </c>
      <c r="HR69" t="e">
        <f>AND(Bills!AE187,"AAAAAG/+5+E=")</f>
        <v>#VALUE!</v>
      </c>
      <c r="HS69">
        <f>IF(Bills!188:188,"AAAAAG/+5+I=",0)</f>
        <v>0</v>
      </c>
      <c r="HT69" t="e">
        <f>AND(Bills!B188,"AAAAAG/+5+M=")</f>
        <v>#VALUE!</v>
      </c>
      <c r="HU69" t="e">
        <f>AND(Bills!#REF!,"AAAAAG/+5+Q=")</f>
        <v>#REF!</v>
      </c>
      <c r="HV69" t="e">
        <f>AND(Bills!C188,"AAAAAG/+5+U=")</f>
        <v>#VALUE!</v>
      </c>
      <c r="HW69" t="e">
        <f>AND(Bills!D188,"AAAAAG/+5+Y=")</f>
        <v>#VALUE!</v>
      </c>
      <c r="HX69" t="e">
        <f>AND(Bills!E188,"AAAAAG/+5+c=")</f>
        <v>#VALUE!</v>
      </c>
      <c r="HY69" t="e">
        <f>AND(Bills!#REF!,"AAAAAG/+5+g=")</f>
        <v>#REF!</v>
      </c>
      <c r="HZ69" t="e">
        <f>AND(Bills!#REF!,"AAAAAG/+5+k=")</f>
        <v>#REF!</v>
      </c>
      <c r="IA69" t="e">
        <f>AND(Bills!#REF!,"AAAAAG/+5+o=")</f>
        <v>#REF!</v>
      </c>
      <c r="IB69" t="e">
        <f>AND(Bills!F188,"AAAAAG/+5+s=")</f>
        <v>#VALUE!</v>
      </c>
      <c r="IC69" t="e">
        <f>AND(Bills!#REF!,"AAAAAG/+5+w=")</f>
        <v>#REF!</v>
      </c>
      <c r="ID69" t="e">
        <f>AND(Bills!G188,"AAAAAG/+5+0=")</f>
        <v>#VALUE!</v>
      </c>
      <c r="IE69" t="e">
        <f>AND(Bills!H188,"AAAAAG/+5+4=")</f>
        <v>#VALUE!</v>
      </c>
      <c r="IF69" t="e">
        <f>AND(Bills!I188,"AAAAAG/+5+8=")</f>
        <v>#VALUE!</v>
      </c>
      <c r="IG69" t="e">
        <f>AND(Bills!J188,"AAAAAG/+5/A=")</f>
        <v>#VALUE!</v>
      </c>
      <c r="IH69" t="e">
        <f>AND(Bills!K188,"AAAAAG/+5/E=")</f>
        <v>#VALUE!</v>
      </c>
      <c r="II69" t="e">
        <f>AND(Bills!L188,"AAAAAG/+5/I=")</f>
        <v>#VALUE!</v>
      </c>
      <c r="IJ69" t="e">
        <f>AND(Bills!#REF!,"AAAAAG/+5/M=")</f>
        <v>#REF!</v>
      </c>
      <c r="IK69" t="e">
        <f>AND(Bills!M188,"AAAAAG/+5/Q=")</f>
        <v>#VALUE!</v>
      </c>
      <c r="IL69" t="e">
        <f>AND(Bills!N188,"AAAAAG/+5/U=")</f>
        <v>#VALUE!</v>
      </c>
      <c r="IM69" t="e">
        <f>AND(Bills!O188,"AAAAAG/+5/Y=")</f>
        <v>#VALUE!</v>
      </c>
      <c r="IN69" t="e">
        <f>AND(Bills!P188,"AAAAAG/+5/c=")</f>
        <v>#VALUE!</v>
      </c>
      <c r="IO69" t="e">
        <f>AND(Bills!Q188,"AAAAAG/+5/g=")</f>
        <v>#VALUE!</v>
      </c>
      <c r="IP69" t="e">
        <f>AND(Bills!R188,"AAAAAG/+5/k=")</f>
        <v>#VALUE!</v>
      </c>
      <c r="IQ69" t="e">
        <f>AND(Bills!S188,"AAAAAG/+5/o=")</f>
        <v>#VALUE!</v>
      </c>
      <c r="IR69" t="e">
        <f>AND(Bills!T188,"AAAAAG/+5/s=")</f>
        <v>#VALUE!</v>
      </c>
      <c r="IS69" t="e">
        <f>AND(Bills!#REF!,"AAAAAG/+5/w=")</f>
        <v>#REF!</v>
      </c>
      <c r="IT69" t="e">
        <f>AND(Bills!U188,"AAAAAG/+5/0=")</f>
        <v>#VALUE!</v>
      </c>
      <c r="IU69" t="e">
        <f>AND(Bills!V188,"AAAAAG/+5/4=")</f>
        <v>#VALUE!</v>
      </c>
      <c r="IV69" t="e">
        <f>AND(Bills!W188,"AAAAAG/+5/8=")</f>
        <v>#VALUE!</v>
      </c>
    </row>
    <row r="70" spans="1:256" x14ac:dyDescent="0.25">
      <c r="A70" t="e">
        <f>AND(Bills!#REF!,"AAAAAGOf3QA=")</f>
        <v>#REF!</v>
      </c>
      <c r="B70" t="e">
        <f>AND(Bills!#REF!,"AAAAAGOf3QE=")</f>
        <v>#REF!</v>
      </c>
      <c r="C70" t="e">
        <f>AND(Bills!Y188,"AAAAAGOf3QI=")</f>
        <v>#VALUE!</v>
      </c>
      <c r="D70" t="e">
        <f>AND(Bills!Z188,"AAAAAGOf3QM=")</f>
        <v>#VALUE!</v>
      </c>
      <c r="E70" t="e">
        <f>AND(Bills!#REF!,"AAAAAGOf3QQ=")</f>
        <v>#REF!</v>
      </c>
      <c r="F70" t="e">
        <f>AND(Bills!#REF!,"AAAAAGOf3QU=")</f>
        <v>#REF!</v>
      </c>
      <c r="G70" t="e">
        <f>AND(Bills!#REF!,"AAAAAGOf3QY=")</f>
        <v>#REF!</v>
      </c>
      <c r="H70" t="e">
        <f>AND(Bills!#REF!,"AAAAAGOf3Qc=")</f>
        <v>#REF!</v>
      </c>
      <c r="I70" t="e">
        <f>AND(Bills!#REF!,"AAAAAGOf3Qg=")</f>
        <v>#REF!</v>
      </c>
      <c r="J70" t="e">
        <f>AND(Bills!#REF!,"AAAAAGOf3Qk=")</f>
        <v>#REF!</v>
      </c>
      <c r="K70" t="e">
        <f>AND(Bills!#REF!,"AAAAAGOf3Qo=")</f>
        <v>#REF!</v>
      </c>
      <c r="L70" t="e">
        <f>AND(Bills!#REF!,"AAAAAGOf3Qs=")</f>
        <v>#REF!</v>
      </c>
      <c r="M70" t="e">
        <f>AND(Bills!#REF!,"AAAAAGOf3Qw=")</f>
        <v>#REF!</v>
      </c>
      <c r="N70" t="e">
        <f>AND(Bills!AA188,"AAAAAGOf3Q0=")</f>
        <v>#VALUE!</v>
      </c>
      <c r="O70" t="e">
        <f>AND(Bills!AB188,"AAAAAGOf3Q4=")</f>
        <v>#VALUE!</v>
      </c>
      <c r="P70" t="e">
        <f>AND(Bills!#REF!,"AAAAAGOf3Q8=")</f>
        <v>#REF!</v>
      </c>
      <c r="Q70" t="e">
        <f>AND(Bills!#REF!,"AAAAAGOf3RA=")</f>
        <v>#REF!</v>
      </c>
      <c r="R70" t="e">
        <f>AND(Bills!#REF!,"AAAAAGOf3RE=")</f>
        <v>#REF!</v>
      </c>
      <c r="S70" t="e">
        <f>AND(Bills!AC188,"AAAAAGOf3RI=")</f>
        <v>#VALUE!</v>
      </c>
      <c r="T70" t="e">
        <f>AND(Bills!AD188,"AAAAAGOf3RM=")</f>
        <v>#VALUE!</v>
      </c>
      <c r="U70" t="e">
        <f>AND(Bills!AE188,"AAAAAGOf3RQ=")</f>
        <v>#VALUE!</v>
      </c>
      <c r="V70">
        <f>IF(Bills!189:189,"AAAAAGOf3RU=",0)</f>
        <v>0</v>
      </c>
      <c r="W70" t="e">
        <f>AND(Bills!B189,"AAAAAGOf3RY=")</f>
        <v>#VALUE!</v>
      </c>
      <c r="X70" t="e">
        <f>AND(Bills!#REF!,"AAAAAGOf3Rc=")</f>
        <v>#REF!</v>
      </c>
      <c r="Y70" t="e">
        <f>AND(Bills!C189,"AAAAAGOf3Rg=")</f>
        <v>#VALUE!</v>
      </c>
      <c r="Z70" t="e">
        <f>AND(Bills!D189,"AAAAAGOf3Rk=")</f>
        <v>#VALUE!</v>
      </c>
      <c r="AA70" t="e">
        <f>AND(Bills!E189,"AAAAAGOf3Ro=")</f>
        <v>#VALUE!</v>
      </c>
      <c r="AB70" t="e">
        <f>AND(Bills!#REF!,"AAAAAGOf3Rs=")</f>
        <v>#REF!</v>
      </c>
      <c r="AC70" t="e">
        <f>AND(Bills!#REF!,"AAAAAGOf3Rw=")</f>
        <v>#REF!</v>
      </c>
      <c r="AD70" t="e">
        <f>AND(Bills!#REF!,"AAAAAGOf3R0=")</f>
        <v>#REF!</v>
      </c>
      <c r="AE70" t="e">
        <f>AND(Bills!F189,"AAAAAGOf3R4=")</f>
        <v>#VALUE!</v>
      </c>
      <c r="AF70" t="e">
        <f>AND(Bills!#REF!,"AAAAAGOf3R8=")</f>
        <v>#REF!</v>
      </c>
      <c r="AG70" t="e">
        <f>AND(Bills!G189,"AAAAAGOf3SA=")</f>
        <v>#VALUE!</v>
      </c>
      <c r="AH70" t="e">
        <f>AND(Bills!H189,"AAAAAGOf3SE=")</f>
        <v>#VALUE!</v>
      </c>
      <c r="AI70" t="e">
        <f>AND(Bills!I189,"AAAAAGOf3SI=")</f>
        <v>#VALUE!</v>
      </c>
      <c r="AJ70" t="e">
        <f>AND(Bills!J189,"AAAAAGOf3SM=")</f>
        <v>#VALUE!</v>
      </c>
      <c r="AK70" t="e">
        <f>AND(Bills!K189,"AAAAAGOf3SQ=")</f>
        <v>#VALUE!</v>
      </c>
      <c r="AL70" t="e">
        <f>AND(Bills!L189,"AAAAAGOf3SU=")</f>
        <v>#VALUE!</v>
      </c>
      <c r="AM70" t="e">
        <f>AND(Bills!#REF!,"AAAAAGOf3SY=")</f>
        <v>#REF!</v>
      </c>
      <c r="AN70" t="e">
        <f>AND(Bills!M189,"AAAAAGOf3Sc=")</f>
        <v>#VALUE!</v>
      </c>
      <c r="AO70" t="e">
        <f>AND(Bills!N189,"AAAAAGOf3Sg=")</f>
        <v>#VALUE!</v>
      </c>
      <c r="AP70" t="e">
        <f>AND(Bills!O189,"AAAAAGOf3Sk=")</f>
        <v>#VALUE!</v>
      </c>
      <c r="AQ70" t="e">
        <f>AND(Bills!P189,"AAAAAGOf3So=")</f>
        <v>#VALUE!</v>
      </c>
      <c r="AR70" t="e">
        <f>AND(Bills!Q189,"AAAAAGOf3Ss=")</f>
        <v>#VALUE!</v>
      </c>
      <c r="AS70" t="e">
        <f>AND(Bills!R189,"AAAAAGOf3Sw=")</f>
        <v>#VALUE!</v>
      </c>
      <c r="AT70" t="e">
        <f>AND(Bills!S189,"AAAAAGOf3S0=")</f>
        <v>#VALUE!</v>
      </c>
      <c r="AU70" t="e">
        <f>AND(Bills!T189,"AAAAAGOf3S4=")</f>
        <v>#VALUE!</v>
      </c>
      <c r="AV70" t="e">
        <f>AND(Bills!#REF!,"AAAAAGOf3S8=")</f>
        <v>#REF!</v>
      </c>
      <c r="AW70" t="e">
        <f>AND(Bills!U189,"AAAAAGOf3TA=")</f>
        <v>#VALUE!</v>
      </c>
      <c r="AX70" t="e">
        <f>AND(Bills!V189,"AAAAAGOf3TE=")</f>
        <v>#VALUE!</v>
      </c>
      <c r="AY70" t="e">
        <f>AND(Bills!W189,"AAAAAGOf3TI=")</f>
        <v>#VALUE!</v>
      </c>
      <c r="AZ70" t="e">
        <f>AND(Bills!#REF!,"AAAAAGOf3TM=")</f>
        <v>#REF!</v>
      </c>
      <c r="BA70" t="e">
        <f>AND(Bills!#REF!,"AAAAAGOf3TQ=")</f>
        <v>#REF!</v>
      </c>
      <c r="BB70" t="e">
        <f>AND(Bills!Y189,"AAAAAGOf3TU=")</f>
        <v>#VALUE!</v>
      </c>
      <c r="BC70" t="e">
        <f>AND(Bills!Z189,"AAAAAGOf3TY=")</f>
        <v>#VALUE!</v>
      </c>
      <c r="BD70" t="e">
        <f>AND(Bills!#REF!,"AAAAAGOf3Tc=")</f>
        <v>#REF!</v>
      </c>
      <c r="BE70" t="e">
        <f>AND(Bills!#REF!,"AAAAAGOf3Tg=")</f>
        <v>#REF!</v>
      </c>
      <c r="BF70" t="e">
        <f>AND(Bills!#REF!,"AAAAAGOf3Tk=")</f>
        <v>#REF!</v>
      </c>
      <c r="BG70" t="e">
        <f>AND(Bills!#REF!,"AAAAAGOf3To=")</f>
        <v>#REF!</v>
      </c>
      <c r="BH70" t="e">
        <f>AND(Bills!#REF!,"AAAAAGOf3Ts=")</f>
        <v>#REF!</v>
      </c>
      <c r="BI70" t="e">
        <f>AND(Bills!#REF!,"AAAAAGOf3Tw=")</f>
        <v>#REF!</v>
      </c>
      <c r="BJ70" t="e">
        <f>AND(Bills!#REF!,"AAAAAGOf3T0=")</f>
        <v>#REF!</v>
      </c>
      <c r="BK70" t="e">
        <f>AND(Bills!#REF!,"AAAAAGOf3T4=")</f>
        <v>#REF!</v>
      </c>
      <c r="BL70" t="e">
        <f>AND(Bills!#REF!,"AAAAAGOf3T8=")</f>
        <v>#REF!</v>
      </c>
      <c r="BM70" t="e">
        <f>AND(Bills!AA189,"AAAAAGOf3UA=")</f>
        <v>#VALUE!</v>
      </c>
      <c r="BN70" t="e">
        <f>AND(Bills!AB189,"AAAAAGOf3UE=")</f>
        <v>#VALUE!</v>
      </c>
      <c r="BO70" t="e">
        <f>AND(Bills!#REF!,"AAAAAGOf3UI=")</f>
        <v>#REF!</v>
      </c>
      <c r="BP70" t="e">
        <f>AND(Bills!#REF!,"AAAAAGOf3UM=")</f>
        <v>#REF!</v>
      </c>
      <c r="BQ70" t="e">
        <f>AND(Bills!#REF!,"AAAAAGOf3UQ=")</f>
        <v>#REF!</v>
      </c>
      <c r="BR70" t="e">
        <f>AND(Bills!AC189,"AAAAAGOf3UU=")</f>
        <v>#VALUE!</v>
      </c>
      <c r="BS70" t="e">
        <f>AND(Bills!AD189,"AAAAAGOf3UY=")</f>
        <v>#VALUE!</v>
      </c>
      <c r="BT70" t="e">
        <f>AND(Bills!AE189,"AAAAAGOf3Uc=")</f>
        <v>#VALUE!</v>
      </c>
      <c r="BU70">
        <f>IF(Bills!190:190,"AAAAAGOf3Ug=",0)</f>
        <v>0</v>
      </c>
      <c r="BV70" t="e">
        <f>AND(Bills!B190,"AAAAAGOf3Uk=")</f>
        <v>#VALUE!</v>
      </c>
      <c r="BW70" t="e">
        <f>AND(Bills!#REF!,"AAAAAGOf3Uo=")</f>
        <v>#REF!</v>
      </c>
      <c r="BX70" t="e">
        <f>AND(Bills!C190,"AAAAAGOf3Us=")</f>
        <v>#VALUE!</v>
      </c>
      <c r="BY70" t="e">
        <f>AND(Bills!D190,"AAAAAGOf3Uw=")</f>
        <v>#VALUE!</v>
      </c>
      <c r="BZ70" t="e">
        <f>AND(Bills!E190,"AAAAAGOf3U0=")</f>
        <v>#VALUE!</v>
      </c>
      <c r="CA70" t="e">
        <f>AND(Bills!#REF!,"AAAAAGOf3U4=")</f>
        <v>#REF!</v>
      </c>
      <c r="CB70" t="e">
        <f>AND(Bills!#REF!,"AAAAAGOf3U8=")</f>
        <v>#REF!</v>
      </c>
      <c r="CC70" t="e">
        <f>AND(Bills!#REF!,"AAAAAGOf3VA=")</f>
        <v>#REF!</v>
      </c>
      <c r="CD70" t="e">
        <f>AND(Bills!F190,"AAAAAGOf3VE=")</f>
        <v>#VALUE!</v>
      </c>
      <c r="CE70" t="e">
        <f>AND(Bills!#REF!,"AAAAAGOf3VI=")</f>
        <v>#REF!</v>
      </c>
      <c r="CF70" t="e">
        <f>AND(Bills!G190,"AAAAAGOf3VM=")</f>
        <v>#VALUE!</v>
      </c>
      <c r="CG70" t="e">
        <f>AND(Bills!H190,"AAAAAGOf3VQ=")</f>
        <v>#VALUE!</v>
      </c>
      <c r="CH70" t="e">
        <f>AND(Bills!I190,"AAAAAGOf3VU=")</f>
        <v>#VALUE!</v>
      </c>
      <c r="CI70" t="e">
        <f>AND(Bills!J190,"AAAAAGOf3VY=")</f>
        <v>#VALUE!</v>
      </c>
      <c r="CJ70" t="e">
        <f>AND(Bills!K190,"AAAAAGOf3Vc=")</f>
        <v>#VALUE!</v>
      </c>
      <c r="CK70" t="e">
        <f>AND(Bills!L190,"AAAAAGOf3Vg=")</f>
        <v>#VALUE!</v>
      </c>
      <c r="CL70" t="e">
        <f>AND(Bills!#REF!,"AAAAAGOf3Vk=")</f>
        <v>#REF!</v>
      </c>
      <c r="CM70" t="e">
        <f>AND(Bills!M190,"AAAAAGOf3Vo=")</f>
        <v>#VALUE!</v>
      </c>
      <c r="CN70" t="e">
        <f>AND(Bills!N190,"AAAAAGOf3Vs=")</f>
        <v>#VALUE!</v>
      </c>
      <c r="CO70" t="e">
        <f>AND(Bills!O190,"AAAAAGOf3Vw=")</f>
        <v>#VALUE!</v>
      </c>
      <c r="CP70" t="e">
        <f>AND(Bills!P190,"AAAAAGOf3V0=")</f>
        <v>#VALUE!</v>
      </c>
      <c r="CQ70" t="e">
        <f>AND(Bills!Q190,"AAAAAGOf3V4=")</f>
        <v>#VALUE!</v>
      </c>
      <c r="CR70" t="e">
        <f>AND(Bills!R190,"AAAAAGOf3V8=")</f>
        <v>#VALUE!</v>
      </c>
      <c r="CS70" t="e">
        <f>AND(Bills!S190,"AAAAAGOf3WA=")</f>
        <v>#VALUE!</v>
      </c>
      <c r="CT70" t="e">
        <f>AND(Bills!T190,"AAAAAGOf3WE=")</f>
        <v>#VALUE!</v>
      </c>
      <c r="CU70" t="e">
        <f>AND(Bills!#REF!,"AAAAAGOf3WI=")</f>
        <v>#REF!</v>
      </c>
      <c r="CV70" t="e">
        <f>AND(Bills!U190,"AAAAAGOf3WM=")</f>
        <v>#VALUE!</v>
      </c>
      <c r="CW70" t="e">
        <f>AND(Bills!V190,"AAAAAGOf3WQ=")</f>
        <v>#VALUE!</v>
      </c>
      <c r="CX70" t="e">
        <f>AND(Bills!W190,"AAAAAGOf3WU=")</f>
        <v>#VALUE!</v>
      </c>
      <c r="CY70" t="e">
        <f>AND(Bills!#REF!,"AAAAAGOf3WY=")</f>
        <v>#REF!</v>
      </c>
      <c r="CZ70" t="e">
        <f>AND(Bills!#REF!,"AAAAAGOf3Wc=")</f>
        <v>#REF!</v>
      </c>
      <c r="DA70" t="e">
        <f>AND(Bills!Y190,"AAAAAGOf3Wg=")</f>
        <v>#VALUE!</v>
      </c>
      <c r="DB70" t="e">
        <f>AND(Bills!Z190,"AAAAAGOf3Wk=")</f>
        <v>#VALUE!</v>
      </c>
      <c r="DC70" t="e">
        <f>AND(Bills!#REF!,"AAAAAGOf3Wo=")</f>
        <v>#REF!</v>
      </c>
      <c r="DD70" t="e">
        <f>AND(Bills!#REF!,"AAAAAGOf3Ws=")</f>
        <v>#REF!</v>
      </c>
      <c r="DE70" t="e">
        <f>AND(Bills!#REF!,"AAAAAGOf3Ww=")</f>
        <v>#REF!</v>
      </c>
      <c r="DF70" t="e">
        <f>AND(Bills!#REF!,"AAAAAGOf3W0=")</f>
        <v>#REF!</v>
      </c>
      <c r="DG70" t="e">
        <f>AND(Bills!#REF!,"AAAAAGOf3W4=")</f>
        <v>#REF!</v>
      </c>
      <c r="DH70" t="e">
        <f>AND(Bills!#REF!,"AAAAAGOf3W8=")</f>
        <v>#REF!</v>
      </c>
      <c r="DI70" t="e">
        <f>AND(Bills!#REF!,"AAAAAGOf3XA=")</f>
        <v>#REF!</v>
      </c>
      <c r="DJ70" t="e">
        <f>AND(Bills!#REF!,"AAAAAGOf3XE=")</f>
        <v>#REF!</v>
      </c>
      <c r="DK70" t="e">
        <f>AND(Bills!#REF!,"AAAAAGOf3XI=")</f>
        <v>#REF!</v>
      </c>
      <c r="DL70" t="e">
        <f>AND(Bills!AA190,"AAAAAGOf3XM=")</f>
        <v>#VALUE!</v>
      </c>
      <c r="DM70" t="e">
        <f>AND(Bills!AB190,"AAAAAGOf3XQ=")</f>
        <v>#VALUE!</v>
      </c>
      <c r="DN70" t="e">
        <f>AND(Bills!#REF!,"AAAAAGOf3XU=")</f>
        <v>#REF!</v>
      </c>
      <c r="DO70" t="e">
        <f>AND(Bills!#REF!,"AAAAAGOf3XY=")</f>
        <v>#REF!</v>
      </c>
      <c r="DP70" t="e">
        <f>AND(Bills!#REF!,"AAAAAGOf3Xc=")</f>
        <v>#REF!</v>
      </c>
      <c r="DQ70" t="e">
        <f>AND(Bills!AC190,"AAAAAGOf3Xg=")</f>
        <v>#VALUE!</v>
      </c>
      <c r="DR70" t="e">
        <f>AND(Bills!AD190,"AAAAAGOf3Xk=")</f>
        <v>#VALUE!</v>
      </c>
      <c r="DS70" t="e">
        <f>AND(Bills!AE190,"AAAAAGOf3Xo=")</f>
        <v>#VALUE!</v>
      </c>
      <c r="DT70">
        <f>IF(Bills!191:191,"AAAAAGOf3Xs=",0)</f>
        <v>0</v>
      </c>
      <c r="DU70" t="e">
        <f>AND(Bills!B191,"AAAAAGOf3Xw=")</f>
        <v>#VALUE!</v>
      </c>
      <c r="DV70" t="e">
        <f>AND(Bills!#REF!,"AAAAAGOf3X0=")</f>
        <v>#REF!</v>
      </c>
      <c r="DW70" t="e">
        <f>AND(Bills!C191,"AAAAAGOf3X4=")</f>
        <v>#VALUE!</v>
      </c>
      <c r="DX70" t="e">
        <f>AND(Bills!D191,"AAAAAGOf3X8=")</f>
        <v>#VALUE!</v>
      </c>
      <c r="DY70" t="e">
        <f>AND(Bills!E191,"AAAAAGOf3YA=")</f>
        <v>#VALUE!</v>
      </c>
      <c r="DZ70" t="e">
        <f>AND(Bills!#REF!,"AAAAAGOf3YE=")</f>
        <v>#REF!</v>
      </c>
      <c r="EA70" t="e">
        <f>AND(Bills!#REF!,"AAAAAGOf3YI=")</f>
        <v>#REF!</v>
      </c>
      <c r="EB70" t="e">
        <f>AND(Bills!#REF!,"AAAAAGOf3YM=")</f>
        <v>#REF!</v>
      </c>
      <c r="EC70" t="e">
        <f>AND(Bills!F191,"AAAAAGOf3YQ=")</f>
        <v>#VALUE!</v>
      </c>
      <c r="ED70" t="e">
        <f>AND(Bills!#REF!,"AAAAAGOf3YU=")</f>
        <v>#REF!</v>
      </c>
      <c r="EE70" t="e">
        <f>AND(Bills!G191,"AAAAAGOf3YY=")</f>
        <v>#VALUE!</v>
      </c>
      <c r="EF70" t="e">
        <f>AND(Bills!H191,"AAAAAGOf3Yc=")</f>
        <v>#VALUE!</v>
      </c>
      <c r="EG70" t="e">
        <f>AND(Bills!I191,"AAAAAGOf3Yg=")</f>
        <v>#VALUE!</v>
      </c>
      <c r="EH70" t="e">
        <f>AND(Bills!J191,"AAAAAGOf3Yk=")</f>
        <v>#VALUE!</v>
      </c>
      <c r="EI70" t="e">
        <f>AND(Bills!K191,"AAAAAGOf3Yo=")</f>
        <v>#VALUE!</v>
      </c>
      <c r="EJ70" t="e">
        <f>AND(Bills!L191,"AAAAAGOf3Ys=")</f>
        <v>#VALUE!</v>
      </c>
      <c r="EK70" t="e">
        <f>AND(Bills!#REF!,"AAAAAGOf3Yw=")</f>
        <v>#REF!</v>
      </c>
      <c r="EL70" t="e">
        <f>AND(Bills!M191,"AAAAAGOf3Y0=")</f>
        <v>#VALUE!</v>
      </c>
      <c r="EM70" t="e">
        <f>AND(Bills!N191,"AAAAAGOf3Y4=")</f>
        <v>#VALUE!</v>
      </c>
      <c r="EN70" t="e">
        <f>AND(Bills!O191,"AAAAAGOf3Y8=")</f>
        <v>#VALUE!</v>
      </c>
      <c r="EO70" t="e">
        <f>AND(Bills!P191,"AAAAAGOf3ZA=")</f>
        <v>#VALUE!</v>
      </c>
      <c r="EP70" t="e">
        <f>AND(Bills!Q191,"AAAAAGOf3ZE=")</f>
        <v>#VALUE!</v>
      </c>
      <c r="EQ70" t="e">
        <f>AND(Bills!R191,"AAAAAGOf3ZI=")</f>
        <v>#VALUE!</v>
      </c>
      <c r="ER70" t="e">
        <f>AND(Bills!S191,"AAAAAGOf3ZM=")</f>
        <v>#VALUE!</v>
      </c>
      <c r="ES70" t="e">
        <f>AND(Bills!T191,"AAAAAGOf3ZQ=")</f>
        <v>#VALUE!</v>
      </c>
      <c r="ET70" t="e">
        <f>AND(Bills!#REF!,"AAAAAGOf3ZU=")</f>
        <v>#REF!</v>
      </c>
      <c r="EU70" t="e">
        <f>AND(Bills!U191,"AAAAAGOf3ZY=")</f>
        <v>#VALUE!</v>
      </c>
      <c r="EV70" t="e">
        <f>AND(Bills!V191,"AAAAAGOf3Zc=")</f>
        <v>#VALUE!</v>
      </c>
      <c r="EW70" t="e">
        <f>AND(Bills!W191,"AAAAAGOf3Zg=")</f>
        <v>#VALUE!</v>
      </c>
      <c r="EX70" t="e">
        <f>AND(Bills!#REF!,"AAAAAGOf3Zk=")</f>
        <v>#REF!</v>
      </c>
      <c r="EY70" t="e">
        <f>AND(Bills!#REF!,"AAAAAGOf3Zo=")</f>
        <v>#REF!</v>
      </c>
      <c r="EZ70" t="e">
        <f>AND(Bills!Y191,"AAAAAGOf3Zs=")</f>
        <v>#VALUE!</v>
      </c>
      <c r="FA70" t="e">
        <f>AND(Bills!Z191,"AAAAAGOf3Zw=")</f>
        <v>#VALUE!</v>
      </c>
      <c r="FB70" t="e">
        <f>AND(Bills!#REF!,"AAAAAGOf3Z0=")</f>
        <v>#REF!</v>
      </c>
      <c r="FC70" t="e">
        <f>AND(Bills!#REF!,"AAAAAGOf3Z4=")</f>
        <v>#REF!</v>
      </c>
      <c r="FD70" t="e">
        <f>AND(Bills!#REF!,"AAAAAGOf3Z8=")</f>
        <v>#REF!</v>
      </c>
      <c r="FE70" t="e">
        <f>AND(Bills!#REF!,"AAAAAGOf3aA=")</f>
        <v>#REF!</v>
      </c>
      <c r="FF70" t="e">
        <f>AND(Bills!#REF!,"AAAAAGOf3aE=")</f>
        <v>#REF!</v>
      </c>
      <c r="FG70" t="e">
        <f>AND(Bills!#REF!,"AAAAAGOf3aI=")</f>
        <v>#REF!</v>
      </c>
      <c r="FH70" t="e">
        <f>AND(Bills!#REF!,"AAAAAGOf3aM=")</f>
        <v>#REF!</v>
      </c>
      <c r="FI70" t="e">
        <f>AND(Bills!#REF!,"AAAAAGOf3aQ=")</f>
        <v>#REF!</v>
      </c>
      <c r="FJ70" t="e">
        <f>AND(Bills!#REF!,"AAAAAGOf3aU=")</f>
        <v>#REF!</v>
      </c>
      <c r="FK70" t="e">
        <f>AND(Bills!AA191,"AAAAAGOf3aY=")</f>
        <v>#VALUE!</v>
      </c>
      <c r="FL70" t="e">
        <f>AND(Bills!AB191,"AAAAAGOf3ac=")</f>
        <v>#VALUE!</v>
      </c>
      <c r="FM70" t="e">
        <f>AND(Bills!#REF!,"AAAAAGOf3ag=")</f>
        <v>#REF!</v>
      </c>
      <c r="FN70" t="e">
        <f>AND(Bills!#REF!,"AAAAAGOf3ak=")</f>
        <v>#REF!</v>
      </c>
      <c r="FO70" t="e">
        <f>AND(Bills!#REF!,"AAAAAGOf3ao=")</f>
        <v>#REF!</v>
      </c>
      <c r="FP70" t="e">
        <f>AND(Bills!AC191,"AAAAAGOf3as=")</f>
        <v>#VALUE!</v>
      </c>
      <c r="FQ70" t="e">
        <f>AND(Bills!AD191,"AAAAAGOf3aw=")</f>
        <v>#VALUE!</v>
      </c>
      <c r="FR70" t="e">
        <f>AND(Bills!AE191,"AAAAAGOf3a0=")</f>
        <v>#VALUE!</v>
      </c>
      <c r="FS70">
        <f>IF(Bills!192:192,"AAAAAGOf3a4=",0)</f>
        <v>0</v>
      </c>
      <c r="FT70" t="e">
        <f>AND(Bills!B192,"AAAAAGOf3a8=")</f>
        <v>#VALUE!</v>
      </c>
      <c r="FU70" t="e">
        <f>AND(Bills!#REF!,"AAAAAGOf3bA=")</f>
        <v>#REF!</v>
      </c>
      <c r="FV70" t="e">
        <f>AND(Bills!C192,"AAAAAGOf3bE=")</f>
        <v>#VALUE!</v>
      </c>
      <c r="FW70" t="e">
        <f>AND(Bills!D192,"AAAAAGOf3bI=")</f>
        <v>#VALUE!</v>
      </c>
      <c r="FX70" t="e">
        <f>AND(Bills!E192,"AAAAAGOf3bM=")</f>
        <v>#VALUE!</v>
      </c>
      <c r="FY70" t="e">
        <f>AND(Bills!#REF!,"AAAAAGOf3bQ=")</f>
        <v>#REF!</v>
      </c>
      <c r="FZ70" t="e">
        <f>AND(Bills!#REF!,"AAAAAGOf3bU=")</f>
        <v>#REF!</v>
      </c>
      <c r="GA70" t="e">
        <f>AND(Bills!#REF!,"AAAAAGOf3bY=")</f>
        <v>#REF!</v>
      </c>
      <c r="GB70" t="e">
        <f>AND(Bills!F192,"AAAAAGOf3bc=")</f>
        <v>#VALUE!</v>
      </c>
      <c r="GC70" t="e">
        <f>AND(Bills!#REF!,"AAAAAGOf3bg=")</f>
        <v>#REF!</v>
      </c>
      <c r="GD70" t="e">
        <f>AND(Bills!G192,"AAAAAGOf3bk=")</f>
        <v>#VALUE!</v>
      </c>
      <c r="GE70" t="e">
        <f>AND(Bills!H192,"AAAAAGOf3bo=")</f>
        <v>#VALUE!</v>
      </c>
      <c r="GF70" t="e">
        <f>AND(Bills!I192,"AAAAAGOf3bs=")</f>
        <v>#VALUE!</v>
      </c>
      <c r="GG70" t="e">
        <f>AND(Bills!J192,"AAAAAGOf3bw=")</f>
        <v>#VALUE!</v>
      </c>
      <c r="GH70" t="e">
        <f>AND(Bills!K192,"AAAAAGOf3b0=")</f>
        <v>#VALUE!</v>
      </c>
      <c r="GI70" t="e">
        <f>AND(Bills!L192,"AAAAAGOf3b4=")</f>
        <v>#VALUE!</v>
      </c>
      <c r="GJ70" t="e">
        <f>AND(Bills!#REF!,"AAAAAGOf3b8=")</f>
        <v>#REF!</v>
      </c>
      <c r="GK70" t="e">
        <f>AND(Bills!M192,"AAAAAGOf3cA=")</f>
        <v>#VALUE!</v>
      </c>
      <c r="GL70" t="e">
        <f>AND(Bills!N192,"AAAAAGOf3cE=")</f>
        <v>#VALUE!</v>
      </c>
      <c r="GM70" t="e">
        <f>AND(Bills!O192,"AAAAAGOf3cI=")</f>
        <v>#VALUE!</v>
      </c>
      <c r="GN70" t="e">
        <f>AND(Bills!P192,"AAAAAGOf3cM=")</f>
        <v>#VALUE!</v>
      </c>
      <c r="GO70" t="e">
        <f>AND(Bills!Q192,"AAAAAGOf3cQ=")</f>
        <v>#VALUE!</v>
      </c>
      <c r="GP70" t="e">
        <f>AND(Bills!R192,"AAAAAGOf3cU=")</f>
        <v>#VALUE!</v>
      </c>
      <c r="GQ70" t="e">
        <f>AND(Bills!S192,"AAAAAGOf3cY=")</f>
        <v>#VALUE!</v>
      </c>
      <c r="GR70" t="e">
        <f>AND(Bills!T192,"AAAAAGOf3cc=")</f>
        <v>#VALUE!</v>
      </c>
      <c r="GS70" t="e">
        <f>AND(Bills!#REF!,"AAAAAGOf3cg=")</f>
        <v>#REF!</v>
      </c>
      <c r="GT70" t="e">
        <f>AND(Bills!U192,"AAAAAGOf3ck=")</f>
        <v>#VALUE!</v>
      </c>
      <c r="GU70" t="e">
        <f>AND(Bills!V192,"AAAAAGOf3co=")</f>
        <v>#VALUE!</v>
      </c>
      <c r="GV70" t="e">
        <f>AND(Bills!W192,"AAAAAGOf3cs=")</f>
        <v>#VALUE!</v>
      </c>
      <c r="GW70" t="e">
        <f>AND(Bills!#REF!,"AAAAAGOf3cw=")</f>
        <v>#REF!</v>
      </c>
      <c r="GX70" t="e">
        <f>AND(Bills!#REF!,"AAAAAGOf3c0=")</f>
        <v>#REF!</v>
      </c>
      <c r="GY70" t="e">
        <f>AND(Bills!Y192,"AAAAAGOf3c4=")</f>
        <v>#VALUE!</v>
      </c>
      <c r="GZ70" t="e">
        <f>AND(Bills!Z192,"AAAAAGOf3c8=")</f>
        <v>#VALUE!</v>
      </c>
      <c r="HA70" t="e">
        <f>AND(Bills!#REF!,"AAAAAGOf3dA=")</f>
        <v>#REF!</v>
      </c>
      <c r="HB70" t="e">
        <f>AND(Bills!#REF!,"AAAAAGOf3dE=")</f>
        <v>#REF!</v>
      </c>
      <c r="HC70" t="e">
        <f>AND(Bills!#REF!,"AAAAAGOf3dI=")</f>
        <v>#REF!</v>
      </c>
      <c r="HD70" t="e">
        <f>AND(Bills!#REF!,"AAAAAGOf3dM=")</f>
        <v>#REF!</v>
      </c>
      <c r="HE70" t="e">
        <f>AND(Bills!#REF!,"AAAAAGOf3dQ=")</f>
        <v>#REF!</v>
      </c>
      <c r="HF70" t="e">
        <f>AND(Bills!#REF!,"AAAAAGOf3dU=")</f>
        <v>#REF!</v>
      </c>
      <c r="HG70" t="e">
        <f>AND(Bills!#REF!,"AAAAAGOf3dY=")</f>
        <v>#REF!</v>
      </c>
      <c r="HH70" t="e">
        <f>AND(Bills!#REF!,"AAAAAGOf3dc=")</f>
        <v>#REF!</v>
      </c>
      <c r="HI70" t="e">
        <f>AND(Bills!#REF!,"AAAAAGOf3dg=")</f>
        <v>#REF!</v>
      </c>
      <c r="HJ70" t="e">
        <f>AND(Bills!AA192,"AAAAAGOf3dk=")</f>
        <v>#VALUE!</v>
      </c>
      <c r="HK70" t="e">
        <f>AND(Bills!AB192,"AAAAAGOf3do=")</f>
        <v>#VALUE!</v>
      </c>
      <c r="HL70" t="e">
        <f>AND(Bills!#REF!,"AAAAAGOf3ds=")</f>
        <v>#REF!</v>
      </c>
      <c r="HM70" t="e">
        <f>AND(Bills!#REF!,"AAAAAGOf3dw=")</f>
        <v>#REF!</v>
      </c>
      <c r="HN70" t="e">
        <f>AND(Bills!#REF!,"AAAAAGOf3d0=")</f>
        <v>#REF!</v>
      </c>
      <c r="HO70" t="e">
        <f>AND(Bills!AC192,"AAAAAGOf3d4=")</f>
        <v>#VALUE!</v>
      </c>
      <c r="HP70" t="e">
        <f>AND(Bills!AD192,"AAAAAGOf3d8=")</f>
        <v>#VALUE!</v>
      </c>
      <c r="HQ70" t="e">
        <f>AND(Bills!AE192,"AAAAAGOf3eA=")</f>
        <v>#VALUE!</v>
      </c>
      <c r="HR70">
        <f>IF(Bills!193:193,"AAAAAGOf3eE=",0)</f>
        <v>0</v>
      </c>
      <c r="HS70" t="e">
        <f>AND(Bills!B193,"AAAAAGOf3eI=")</f>
        <v>#VALUE!</v>
      </c>
      <c r="HT70" t="e">
        <f>AND(Bills!#REF!,"AAAAAGOf3eM=")</f>
        <v>#REF!</v>
      </c>
      <c r="HU70" t="e">
        <f>AND(Bills!C193,"AAAAAGOf3eQ=")</f>
        <v>#VALUE!</v>
      </c>
      <c r="HV70" t="e">
        <f>AND(Bills!D193,"AAAAAGOf3eU=")</f>
        <v>#VALUE!</v>
      </c>
      <c r="HW70" t="e">
        <f>AND(Bills!E193,"AAAAAGOf3eY=")</f>
        <v>#VALUE!</v>
      </c>
      <c r="HX70" t="e">
        <f>AND(Bills!#REF!,"AAAAAGOf3ec=")</f>
        <v>#REF!</v>
      </c>
      <c r="HY70" t="e">
        <f>AND(Bills!#REF!,"AAAAAGOf3eg=")</f>
        <v>#REF!</v>
      </c>
      <c r="HZ70" t="e">
        <f>AND(Bills!#REF!,"AAAAAGOf3ek=")</f>
        <v>#REF!</v>
      </c>
      <c r="IA70" t="e">
        <f>AND(Bills!F193,"AAAAAGOf3eo=")</f>
        <v>#VALUE!</v>
      </c>
      <c r="IB70" t="e">
        <f>AND(Bills!#REF!,"AAAAAGOf3es=")</f>
        <v>#REF!</v>
      </c>
      <c r="IC70" t="e">
        <f>AND(Bills!G193,"AAAAAGOf3ew=")</f>
        <v>#VALUE!</v>
      </c>
      <c r="ID70" t="e">
        <f>AND(Bills!H193,"AAAAAGOf3e0=")</f>
        <v>#VALUE!</v>
      </c>
      <c r="IE70" t="e">
        <f>AND(Bills!I193,"AAAAAGOf3e4=")</f>
        <v>#VALUE!</v>
      </c>
      <c r="IF70" t="e">
        <f>AND(Bills!J193,"AAAAAGOf3e8=")</f>
        <v>#VALUE!</v>
      </c>
      <c r="IG70" t="e">
        <f>AND(Bills!K193,"AAAAAGOf3fA=")</f>
        <v>#VALUE!</v>
      </c>
      <c r="IH70" t="e">
        <f>AND(Bills!L193,"AAAAAGOf3fE=")</f>
        <v>#VALUE!</v>
      </c>
      <c r="II70" t="e">
        <f>AND(Bills!#REF!,"AAAAAGOf3fI=")</f>
        <v>#REF!</v>
      </c>
      <c r="IJ70" t="e">
        <f>AND(Bills!M193,"AAAAAGOf3fM=")</f>
        <v>#VALUE!</v>
      </c>
      <c r="IK70" t="e">
        <f>AND(Bills!N193,"AAAAAGOf3fQ=")</f>
        <v>#VALUE!</v>
      </c>
      <c r="IL70" t="e">
        <f>AND(Bills!O193,"AAAAAGOf3fU=")</f>
        <v>#VALUE!</v>
      </c>
      <c r="IM70" t="e">
        <f>AND(Bills!P193,"AAAAAGOf3fY=")</f>
        <v>#VALUE!</v>
      </c>
      <c r="IN70" t="e">
        <f>AND(Bills!Q193,"AAAAAGOf3fc=")</f>
        <v>#VALUE!</v>
      </c>
      <c r="IO70" t="e">
        <f>AND(Bills!R193,"AAAAAGOf3fg=")</f>
        <v>#VALUE!</v>
      </c>
      <c r="IP70" t="e">
        <f>AND(Bills!S193,"AAAAAGOf3fk=")</f>
        <v>#VALUE!</v>
      </c>
      <c r="IQ70" t="e">
        <f>AND(Bills!T193,"AAAAAGOf3fo=")</f>
        <v>#VALUE!</v>
      </c>
      <c r="IR70" t="e">
        <f>AND(Bills!#REF!,"AAAAAGOf3fs=")</f>
        <v>#REF!</v>
      </c>
      <c r="IS70" t="e">
        <f>AND(Bills!U193,"AAAAAGOf3fw=")</f>
        <v>#VALUE!</v>
      </c>
      <c r="IT70" t="e">
        <f>AND(Bills!V193,"AAAAAGOf3f0=")</f>
        <v>#VALUE!</v>
      </c>
      <c r="IU70" t="e">
        <f>AND(Bills!W193,"AAAAAGOf3f4=")</f>
        <v>#VALUE!</v>
      </c>
      <c r="IV70" t="e">
        <f>AND(Bills!#REF!,"AAAAAGOf3f8=")</f>
        <v>#REF!</v>
      </c>
    </row>
    <row r="71" spans="1:256" x14ac:dyDescent="0.25">
      <c r="A71" t="e">
        <f>AND(Bills!#REF!,"AAAAAHxvvwA=")</f>
        <v>#REF!</v>
      </c>
      <c r="B71" t="e">
        <f>AND(Bills!Y193,"AAAAAHxvvwE=")</f>
        <v>#VALUE!</v>
      </c>
      <c r="C71" t="e">
        <f>AND(Bills!Z193,"AAAAAHxvvwI=")</f>
        <v>#VALUE!</v>
      </c>
      <c r="D71" t="e">
        <f>AND(Bills!#REF!,"AAAAAHxvvwM=")</f>
        <v>#REF!</v>
      </c>
      <c r="E71" t="e">
        <f>AND(Bills!#REF!,"AAAAAHxvvwQ=")</f>
        <v>#REF!</v>
      </c>
      <c r="F71" t="e">
        <f>AND(Bills!#REF!,"AAAAAHxvvwU=")</f>
        <v>#REF!</v>
      </c>
      <c r="G71" t="e">
        <f>AND(Bills!#REF!,"AAAAAHxvvwY=")</f>
        <v>#REF!</v>
      </c>
      <c r="H71" t="e">
        <f>AND(Bills!#REF!,"AAAAAHxvvwc=")</f>
        <v>#REF!</v>
      </c>
      <c r="I71" t="e">
        <f>AND(Bills!#REF!,"AAAAAHxvvwg=")</f>
        <v>#REF!</v>
      </c>
      <c r="J71" t="e">
        <f>AND(Bills!#REF!,"AAAAAHxvvwk=")</f>
        <v>#REF!</v>
      </c>
      <c r="K71" t="e">
        <f>AND(Bills!#REF!,"AAAAAHxvvwo=")</f>
        <v>#REF!</v>
      </c>
      <c r="L71" t="e">
        <f>AND(Bills!#REF!,"AAAAAHxvvws=")</f>
        <v>#REF!</v>
      </c>
      <c r="M71" t="e">
        <f>AND(Bills!AA193,"AAAAAHxvvww=")</f>
        <v>#VALUE!</v>
      </c>
      <c r="N71" t="e">
        <f>AND(Bills!AB193,"AAAAAHxvvw0=")</f>
        <v>#VALUE!</v>
      </c>
      <c r="O71" t="e">
        <f>AND(Bills!#REF!,"AAAAAHxvvw4=")</f>
        <v>#REF!</v>
      </c>
      <c r="P71" t="e">
        <f>AND(Bills!#REF!,"AAAAAHxvvw8=")</f>
        <v>#REF!</v>
      </c>
      <c r="Q71" t="e">
        <f>AND(Bills!#REF!,"AAAAAHxvvxA=")</f>
        <v>#REF!</v>
      </c>
      <c r="R71" t="e">
        <f>AND(Bills!AC193,"AAAAAHxvvxE=")</f>
        <v>#VALUE!</v>
      </c>
      <c r="S71" t="e">
        <f>AND(Bills!AD193,"AAAAAHxvvxI=")</f>
        <v>#VALUE!</v>
      </c>
      <c r="T71" t="e">
        <f>AND(Bills!AE193,"AAAAAHxvvxM=")</f>
        <v>#VALUE!</v>
      </c>
      <c r="U71">
        <f>IF(Bills!194:194,"AAAAAHxvvxQ=",0)</f>
        <v>0</v>
      </c>
      <c r="V71" t="e">
        <f>AND(Bills!B194,"AAAAAHxvvxU=")</f>
        <v>#VALUE!</v>
      </c>
      <c r="W71" t="e">
        <f>AND(Bills!#REF!,"AAAAAHxvvxY=")</f>
        <v>#REF!</v>
      </c>
      <c r="X71" t="e">
        <f>AND(Bills!C194,"AAAAAHxvvxc=")</f>
        <v>#VALUE!</v>
      </c>
      <c r="Y71" t="e">
        <f>AND(Bills!D194,"AAAAAHxvvxg=")</f>
        <v>#VALUE!</v>
      </c>
      <c r="Z71" t="e">
        <f>AND(Bills!E194,"AAAAAHxvvxk=")</f>
        <v>#VALUE!</v>
      </c>
      <c r="AA71" t="e">
        <f>AND(Bills!#REF!,"AAAAAHxvvxo=")</f>
        <v>#REF!</v>
      </c>
      <c r="AB71" t="e">
        <f>AND(Bills!#REF!,"AAAAAHxvvxs=")</f>
        <v>#REF!</v>
      </c>
      <c r="AC71" t="e">
        <f>AND(Bills!#REF!,"AAAAAHxvvxw=")</f>
        <v>#REF!</v>
      </c>
      <c r="AD71" t="e">
        <f>AND(Bills!F194,"AAAAAHxvvx0=")</f>
        <v>#VALUE!</v>
      </c>
      <c r="AE71" t="e">
        <f>AND(Bills!#REF!,"AAAAAHxvvx4=")</f>
        <v>#REF!</v>
      </c>
      <c r="AF71" t="e">
        <f>AND(Bills!G194,"AAAAAHxvvx8=")</f>
        <v>#VALUE!</v>
      </c>
      <c r="AG71" t="e">
        <f>AND(Bills!H194,"AAAAAHxvvyA=")</f>
        <v>#VALUE!</v>
      </c>
      <c r="AH71" t="e">
        <f>AND(Bills!I194,"AAAAAHxvvyE=")</f>
        <v>#VALUE!</v>
      </c>
      <c r="AI71" t="e">
        <f>AND(Bills!J194,"AAAAAHxvvyI=")</f>
        <v>#VALUE!</v>
      </c>
      <c r="AJ71" t="e">
        <f>AND(Bills!K194,"AAAAAHxvvyM=")</f>
        <v>#VALUE!</v>
      </c>
      <c r="AK71" t="e">
        <f>AND(Bills!L194,"AAAAAHxvvyQ=")</f>
        <v>#VALUE!</v>
      </c>
      <c r="AL71" t="e">
        <f>AND(Bills!#REF!,"AAAAAHxvvyU=")</f>
        <v>#REF!</v>
      </c>
      <c r="AM71" t="e">
        <f>AND(Bills!M194,"AAAAAHxvvyY=")</f>
        <v>#VALUE!</v>
      </c>
      <c r="AN71" t="e">
        <f>AND(Bills!N194,"AAAAAHxvvyc=")</f>
        <v>#VALUE!</v>
      </c>
      <c r="AO71" t="e">
        <f>AND(Bills!O194,"AAAAAHxvvyg=")</f>
        <v>#VALUE!</v>
      </c>
      <c r="AP71" t="e">
        <f>AND(Bills!P194,"AAAAAHxvvyk=")</f>
        <v>#VALUE!</v>
      </c>
      <c r="AQ71" t="e">
        <f>AND(Bills!Q194,"AAAAAHxvvyo=")</f>
        <v>#VALUE!</v>
      </c>
      <c r="AR71" t="e">
        <f>AND(Bills!R194,"AAAAAHxvvys=")</f>
        <v>#VALUE!</v>
      </c>
      <c r="AS71" t="e">
        <f>AND(Bills!S194,"AAAAAHxvvyw=")</f>
        <v>#VALUE!</v>
      </c>
      <c r="AT71" t="e">
        <f>AND(Bills!T194,"AAAAAHxvvy0=")</f>
        <v>#VALUE!</v>
      </c>
      <c r="AU71" t="e">
        <f>AND(Bills!#REF!,"AAAAAHxvvy4=")</f>
        <v>#REF!</v>
      </c>
      <c r="AV71" t="e">
        <f>AND(Bills!U194,"AAAAAHxvvy8=")</f>
        <v>#VALUE!</v>
      </c>
      <c r="AW71" t="e">
        <f>AND(Bills!V194,"AAAAAHxvvzA=")</f>
        <v>#VALUE!</v>
      </c>
      <c r="AX71" t="e">
        <f>AND(Bills!W194,"AAAAAHxvvzE=")</f>
        <v>#VALUE!</v>
      </c>
      <c r="AY71" t="e">
        <f>AND(Bills!#REF!,"AAAAAHxvvzI=")</f>
        <v>#REF!</v>
      </c>
      <c r="AZ71" t="e">
        <f>AND(Bills!#REF!,"AAAAAHxvvzM=")</f>
        <v>#REF!</v>
      </c>
      <c r="BA71" t="e">
        <f>AND(Bills!Y194,"AAAAAHxvvzQ=")</f>
        <v>#VALUE!</v>
      </c>
      <c r="BB71" t="e">
        <f>AND(Bills!Z194,"AAAAAHxvvzU=")</f>
        <v>#VALUE!</v>
      </c>
      <c r="BC71" t="e">
        <f>AND(Bills!#REF!,"AAAAAHxvvzY=")</f>
        <v>#REF!</v>
      </c>
      <c r="BD71" t="e">
        <f>AND(Bills!#REF!,"AAAAAHxvvzc=")</f>
        <v>#REF!</v>
      </c>
      <c r="BE71" t="e">
        <f>AND(Bills!#REF!,"AAAAAHxvvzg=")</f>
        <v>#REF!</v>
      </c>
      <c r="BF71" t="e">
        <f>AND(Bills!#REF!,"AAAAAHxvvzk=")</f>
        <v>#REF!</v>
      </c>
      <c r="BG71" t="e">
        <f>AND(Bills!#REF!,"AAAAAHxvvzo=")</f>
        <v>#REF!</v>
      </c>
      <c r="BH71" t="e">
        <f>AND(Bills!#REF!,"AAAAAHxvvzs=")</f>
        <v>#REF!</v>
      </c>
      <c r="BI71" t="e">
        <f>AND(Bills!#REF!,"AAAAAHxvvzw=")</f>
        <v>#REF!</v>
      </c>
      <c r="BJ71" t="e">
        <f>AND(Bills!#REF!,"AAAAAHxvvz0=")</f>
        <v>#REF!</v>
      </c>
      <c r="BK71" t="e">
        <f>AND(Bills!#REF!,"AAAAAHxvvz4=")</f>
        <v>#REF!</v>
      </c>
      <c r="BL71" t="e">
        <f>AND(Bills!AA194,"AAAAAHxvvz8=")</f>
        <v>#VALUE!</v>
      </c>
      <c r="BM71" t="e">
        <f>AND(Bills!AB194,"AAAAAHxvv0A=")</f>
        <v>#VALUE!</v>
      </c>
      <c r="BN71" t="e">
        <f>AND(Bills!#REF!,"AAAAAHxvv0E=")</f>
        <v>#REF!</v>
      </c>
      <c r="BO71" t="e">
        <f>AND(Bills!#REF!,"AAAAAHxvv0I=")</f>
        <v>#REF!</v>
      </c>
      <c r="BP71" t="e">
        <f>AND(Bills!#REF!,"AAAAAHxvv0M=")</f>
        <v>#REF!</v>
      </c>
      <c r="BQ71" t="e">
        <f>AND(Bills!AC194,"AAAAAHxvv0Q=")</f>
        <v>#VALUE!</v>
      </c>
      <c r="BR71" t="e">
        <f>AND(Bills!AD194,"AAAAAHxvv0U=")</f>
        <v>#VALUE!</v>
      </c>
      <c r="BS71" t="e">
        <f>AND(Bills!AE194,"AAAAAHxvv0Y=")</f>
        <v>#VALUE!</v>
      </c>
      <c r="BT71">
        <f>IF(Bills!195:195,"AAAAAHxvv0c=",0)</f>
        <v>0</v>
      </c>
      <c r="BU71" t="e">
        <f>AND(Bills!B195,"AAAAAHxvv0g=")</f>
        <v>#VALUE!</v>
      </c>
      <c r="BV71" t="e">
        <f>AND(Bills!#REF!,"AAAAAHxvv0k=")</f>
        <v>#REF!</v>
      </c>
      <c r="BW71" t="e">
        <f>AND(Bills!C195,"AAAAAHxvv0o=")</f>
        <v>#VALUE!</v>
      </c>
      <c r="BX71" t="e">
        <f>AND(Bills!D195,"AAAAAHxvv0s=")</f>
        <v>#VALUE!</v>
      </c>
      <c r="BY71" t="e">
        <f>AND(Bills!E195,"AAAAAHxvv0w=")</f>
        <v>#VALUE!</v>
      </c>
      <c r="BZ71" t="e">
        <f>AND(Bills!#REF!,"AAAAAHxvv00=")</f>
        <v>#REF!</v>
      </c>
      <c r="CA71" t="e">
        <f>AND(Bills!#REF!,"AAAAAHxvv04=")</f>
        <v>#REF!</v>
      </c>
      <c r="CB71" t="e">
        <f>AND(Bills!#REF!,"AAAAAHxvv08=")</f>
        <v>#REF!</v>
      </c>
      <c r="CC71" t="e">
        <f>AND(Bills!F195,"AAAAAHxvv1A=")</f>
        <v>#VALUE!</v>
      </c>
      <c r="CD71" t="e">
        <f>AND(Bills!#REF!,"AAAAAHxvv1E=")</f>
        <v>#REF!</v>
      </c>
      <c r="CE71" t="e">
        <f>AND(Bills!G195,"AAAAAHxvv1I=")</f>
        <v>#VALUE!</v>
      </c>
      <c r="CF71" t="e">
        <f>AND(Bills!H195,"AAAAAHxvv1M=")</f>
        <v>#VALUE!</v>
      </c>
      <c r="CG71" t="e">
        <f>AND(Bills!I195,"AAAAAHxvv1Q=")</f>
        <v>#VALUE!</v>
      </c>
      <c r="CH71" t="e">
        <f>AND(Bills!J195,"AAAAAHxvv1U=")</f>
        <v>#VALUE!</v>
      </c>
      <c r="CI71" t="e">
        <f>AND(Bills!K195,"AAAAAHxvv1Y=")</f>
        <v>#VALUE!</v>
      </c>
      <c r="CJ71" t="e">
        <f>AND(Bills!L195,"AAAAAHxvv1c=")</f>
        <v>#VALUE!</v>
      </c>
      <c r="CK71" t="e">
        <f>AND(Bills!#REF!,"AAAAAHxvv1g=")</f>
        <v>#REF!</v>
      </c>
      <c r="CL71" t="e">
        <f>AND(Bills!M195,"AAAAAHxvv1k=")</f>
        <v>#VALUE!</v>
      </c>
      <c r="CM71" t="e">
        <f>AND(Bills!N195,"AAAAAHxvv1o=")</f>
        <v>#VALUE!</v>
      </c>
      <c r="CN71" t="e">
        <f>AND(Bills!O195,"AAAAAHxvv1s=")</f>
        <v>#VALUE!</v>
      </c>
      <c r="CO71" t="e">
        <f>AND(Bills!P195,"AAAAAHxvv1w=")</f>
        <v>#VALUE!</v>
      </c>
      <c r="CP71" t="e">
        <f>AND(Bills!Q195,"AAAAAHxvv10=")</f>
        <v>#VALUE!</v>
      </c>
      <c r="CQ71" t="e">
        <f>AND(Bills!R195,"AAAAAHxvv14=")</f>
        <v>#VALUE!</v>
      </c>
      <c r="CR71" t="e">
        <f>AND(Bills!S195,"AAAAAHxvv18=")</f>
        <v>#VALUE!</v>
      </c>
      <c r="CS71" t="e">
        <f>AND(Bills!T195,"AAAAAHxvv2A=")</f>
        <v>#VALUE!</v>
      </c>
      <c r="CT71" t="e">
        <f>AND(Bills!#REF!,"AAAAAHxvv2E=")</f>
        <v>#REF!</v>
      </c>
      <c r="CU71" t="e">
        <f>AND(Bills!U195,"AAAAAHxvv2I=")</f>
        <v>#VALUE!</v>
      </c>
      <c r="CV71" t="e">
        <f>AND(Bills!V195,"AAAAAHxvv2M=")</f>
        <v>#VALUE!</v>
      </c>
      <c r="CW71" t="e">
        <f>AND(Bills!W195,"AAAAAHxvv2Q=")</f>
        <v>#VALUE!</v>
      </c>
      <c r="CX71" t="e">
        <f>AND(Bills!#REF!,"AAAAAHxvv2U=")</f>
        <v>#REF!</v>
      </c>
      <c r="CY71" t="e">
        <f>AND(Bills!#REF!,"AAAAAHxvv2Y=")</f>
        <v>#REF!</v>
      </c>
      <c r="CZ71" t="e">
        <f>AND(Bills!Y195,"AAAAAHxvv2c=")</f>
        <v>#VALUE!</v>
      </c>
      <c r="DA71" t="e">
        <f>AND(Bills!Z195,"AAAAAHxvv2g=")</f>
        <v>#VALUE!</v>
      </c>
      <c r="DB71" t="e">
        <f>AND(Bills!#REF!,"AAAAAHxvv2k=")</f>
        <v>#REF!</v>
      </c>
      <c r="DC71" t="e">
        <f>AND(Bills!#REF!,"AAAAAHxvv2o=")</f>
        <v>#REF!</v>
      </c>
      <c r="DD71" t="e">
        <f>AND(Bills!#REF!,"AAAAAHxvv2s=")</f>
        <v>#REF!</v>
      </c>
      <c r="DE71" t="e">
        <f>AND(Bills!#REF!,"AAAAAHxvv2w=")</f>
        <v>#REF!</v>
      </c>
      <c r="DF71" t="e">
        <f>AND(Bills!#REF!,"AAAAAHxvv20=")</f>
        <v>#REF!</v>
      </c>
      <c r="DG71" t="e">
        <f>AND(Bills!#REF!,"AAAAAHxvv24=")</f>
        <v>#REF!</v>
      </c>
      <c r="DH71" t="e">
        <f>AND(Bills!#REF!,"AAAAAHxvv28=")</f>
        <v>#REF!</v>
      </c>
      <c r="DI71" t="e">
        <f>AND(Bills!#REF!,"AAAAAHxvv3A=")</f>
        <v>#REF!</v>
      </c>
      <c r="DJ71" t="e">
        <f>AND(Bills!#REF!,"AAAAAHxvv3E=")</f>
        <v>#REF!</v>
      </c>
      <c r="DK71" t="e">
        <f>AND(Bills!AA195,"AAAAAHxvv3I=")</f>
        <v>#VALUE!</v>
      </c>
      <c r="DL71" t="e">
        <f>AND(Bills!AB195,"AAAAAHxvv3M=")</f>
        <v>#VALUE!</v>
      </c>
      <c r="DM71" t="e">
        <f>AND(Bills!#REF!,"AAAAAHxvv3Q=")</f>
        <v>#REF!</v>
      </c>
      <c r="DN71" t="e">
        <f>AND(Bills!#REF!,"AAAAAHxvv3U=")</f>
        <v>#REF!</v>
      </c>
      <c r="DO71" t="e">
        <f>AND(Bills!#REF!,"AAAAAHxvv3Y=")</f>
        <v>#REF!</v>
      </c>
      <c r="DP71" t="e">
        <f>AND(Bills!AC195,"AAAAAHxvv3c=")</f>
        <v>#VALUE!</v>
      </c>
      <c r="DQ71" t="e">
        <f>AND(Bills!AD195,"AAAAAHxvv3g=")</f>
        <v>#VALUE!</v>
      </c>
      <c r="DR71" t="e">
        <f>AND(Bills!AE195,"AAAAAHxvv3k=")</f>
        <v>#VALUE!</v>
      </c>
      <c r="DS71">
        <f>IF(Bills!196:196,"AAAAAHxvv3o=",0)</f>
        <v>0</v>
      </c>
      <c r="DT71" t="e">
        <f>AND(Bills!B196,"AAAAAHxvv3s=")</f>
        <v>#VALUE!</v>
      </c>
      <c r="DU71" t="e">
        <f>AND(Bills!#REF!,"AAAAAHxvv3w=")</f>
        <v>#REF!</v>
      </c>
      <c r="DV71" t="e">
        <f>AND(Bills!C196,"AAAAAHxvv30=")</f>
        <v>#VALUE!</v>
      </c>
      <c r="DW71" t="e">
        <f>AND(Bills!D196,"AAAAAHxvv34=")</f>
        <v>#VALUE!</v>
      </c>
      <c r="DX71" t="e">
        <f>AND(Bills!E196,"AAAAAHxvv38=")</f>
        <v>#VALUE!</v>
      </c>
      <c r="DY71" t="e">
        <f>AND(Bills!#REF!,"AAAAAHxvv4A=")</f>
        <v>#REF!</v>
      </c>
      <c r="DZ71" t="e">
        <f>AND(Bills!#REF!,"AAAAAHxvv4E=")</f>
        <v>#REF!</v>
      </c>
      <c r="EA71" t="e">
        <f>AND(Bills!#REF!,"AAAAAHxvv4I=")</f>
        <v>#REF!</v>
      </c>
      <c r="EB71" t="e">
        <f>AND(Bills!F196,"AAAAAHxvv4M=")</f>
        <v>#VALUE!</v>
      </c>
      <c r="EC71" t="e">
        <f>AND(Bills!#REF!,"AAAAAHxvv4Q=")</f>
        <v>#REF!</v>
      </c>
      <c r="ED71" t="e">
        <f>AND(Bills!G196,"AAAAAHxvv4U=")</f>
        <v>#VALUE!</v>
      </c>
      <c r="EE71" t="e">
        <f>AND(Bills!H196,"AAAAAHxvv4Y=")</f>
        <v>#VALUE!</v>
      </c>
      <c r="EF71" t="e">
        <f>AND(Bills!I196,"AAAAAHxvv4c=")</f>
        <v>#VALUE!</v>
      </c>
      <c r="EG71" t="e">
        <f>AND(Bills!J196,"AAAAAHxvv4g=")</f>
        <v>#VALUE!</v>
      </c>
      <c r="EH71" t="e">
        <f>AND(Bills!K196,"AAAAAHxvv4k=")</f>
        <v>#VALUE!</v>
      </c>
      <c r="EI71" t="e">
        <f>AND(Bills!L196,"AAAAAHxvv4o=")</f>
        <v>#VALUE!</v>
      </c>
      <c r="EJ71" t="e">
        <f>AND(Bills!#REF!,"AAAAAHxvv4s=")</f>
        <v>#REF!</v>
      </c>
      <c r="EK71" t="e">
        <f>AND(Bills!M196,"AAAAAHxvv4w=")</f>
        <v>#VALUE!</v>
      </c>
      <c r="EL71" t="e">
        <f>AND(Bills!N196,"AAAAAHxvv40=")</f>
        <v>#VALUE!</v>
      </c>
      <c r="EM71" t="e">
        <f>AND(Bills!O196,"AAAAAHxvv44=")</f>
        <v>#VALUE!</v>
      </c>
      <c r="EN71" t="e">
        <f>AND(Bills!P196,"AAAAAHxvv48=")</f>
        <v>#VALUE!</v>
      </c>
      <c r="EO71" t="e">
        <f>AND(Bills!Q196,"AAAAAHxvv5A=")</f>
        <v>#VALUE!</v>
      </c>
      <c r="EP71" t="e">
        <f>AND(Bills!R196,"AAAAAHxvv5E=")</f>
        <v>#VALUE!</v>
      </c>
      <c r="EQ71" t="e">
        <f>AND(Bills!S196,"AAAAAHxvv5I=")</f>
        <v>#VALUE!</v>
      </c>
      <c r="ER71" t="e">
        <f>AND(Bills!T196,"AAAAAHxvv5M=")</f>
        <v>#VALUE!</v>
      </c>
      <c r="ES71" t="e">
        <f>AND(Bills!#REF!,"AAAAAHxvv5Q=")</f>
        <v>#REF!</v>
      </c>
      <c r="ET71" t="e">
        <f>AND(Bills!U196,"AAAAAHxvv5U=")</f>
        <v>#VALUE!</v>
      </c>
      <c r="EU71" t="e">
        <f>AND(Bills!V196,"AAAAAHxvv5Y=")</f>
        <v>#VALUE!</v>
      </c>
      <c r="EV71" t="e">
        <f>AND(Bills!W196,"AAAAAHxvv5c=")</f>
        <v>#VALUE!</v>
      </c>
      <c r="EW71" t="e">
        <f>AND(Bills!#REF!,"AAAAAHxvv5g=")</f>
        <v>#REF!</v>
      </c>
      <c r="EX71" t="e">
        <f>AND(Bills!#REF!,"AAAAAHxvv5k=")</f>
        <v>#REF!</v>
      </c>
      <c r="EY71" t="e">
        <f>AND(Bills!Y196,"AAAAAHxvv5o=")</f>
        <v>#VALUE!</v>
      </c>
      <c r="EZ71" t="e">
        <f>AND(Bills!Z196,"AAAAAHxvv5s=")</f>
        <v>#VALUE!</v>
      </c>
      <c r="FA71" t="e">
        <f>AND(Bills!#REF!,"AAAAAHxvv5w=")</f>
        <v>#REF!</v>
      </c>
      <c r="FB71" t="e">
        <f>AND(Bills!#REF!,"AAAAAHxvv50=")</f>
        <v>#REF!</v>
      </c>
      <c r="FC71" t="e">
        <f>AND(Bills!#REF!,"AAAAAHxvv54=")</f>
        <v>#REF!</v>
      </c>
      <c r="FD71" t="e">
        <f>AND(Bills!#REF!,"AAAAAHxvv58=")</f>
        <v>#REF!</v>
      </c>
      <c r="FE71" t="e">
        <f>AND(Bills!#REF!,"AAAAAHxvv6A=")</f>
        <v>#REF!</v>
      </c>
      <c r="FF71" t="e">
        <f>AND(Bills!#REF!,"AAAAAHxvv6E=")</f>
        <v>#REF!</v>
      </c>
      <c r="FG71" t="e">
        <f>AND(Bills!#REF!,"AAAAAHxvv6I=")</f>
        <v>#REF!</v>
      </c>
      <c r="FH71" t="e">
        <f>AND(Bills!#REF!,"AAAAAHxvv6M=")</f>
        <v>#REF!</v>
      </c>
      <c r="FI71" t="e">
        <f>AND(Bills!#REF!,"AAAAAHxvv6Q=")</f>
        <v>#REF!</v>
      </c>
      <c r="FJ71" t="e">
        <f>AND(Bills!AA196,"AAAAAHxvv6U=")</f>
        <v>#VALUE!</v>
      </c>
      <c r="FK71" t="e">
        <f>AND(Bills!AB196,"AAAAAHxvv6Y=")</f>
        <v>#VALUE!</v>
      </c>
      <c r="FL71" t="e">
        <f>AND(Bills!#REF!,"AAAAAHxvv6c=")</f>
        <v>#REF!</v>
      </c>
      <c r="FM71" t="e">
        <f>AND(Bills!#REF!,"AAAAAHxvv6g=")</f>
        <v>#REF!</v>
      </c>
      <c r="FN71" t="e">
        <f>AND(Bills!#REF!,"AAAAAHxvv6k=")</f>
        <v>#REF!</v>
      </c>
      <c r="FO71" t="e">
        <f>AND(Bills!AC196,"AAAAAHxvv6o=")</f>
        <v>#VALUE!</v>
      </c>
      <c r="FP71" t="e">
        <f>AND(Bills!AD196,"AAAAAHxvv6s=")</f>
        <v>#VALUE!</v>
      </c>
      <c r="FQ71" t="e">
        <f>AND(Bills!AE196,"AAAAAHxvv6w=")</f>
        <v>#VALUE!</v>
      </c>
      <c r="FR71">
        <f>IF(Bills!197:197,"AAAAAHxvv60=",0)</f>
        <v>0</v>
      </c>
      <c r="FS71" t="e">
        <f>AND(Bills!B197,"AAAAAHxvv64=")</f>
        <v>#VALUE!</v>
      </c>
      <c r="FT71" t="e">
        <f>AND(Bills!#REF!,"AAAAAHxvv68=")</f>
        <v>#REF!</v>
      </c>
      <c r="FU71" t="e">
        <f>AND(Bills!C197,"AAAAAHxvv7A=")</f>
        <v>#VALUE!</v>
      </c>
      <c r="FV71" t="e">
        <f>AND(Bills!D197,"AAAAAHxvv7E=")</f>
        <v>#VALUE!</v>
      </c>
      <c r="FW71" t="e">
        <f>AND(Bills!E197,"AAAAAHxvv7I=")</f>
        <v>#VALUE!</v>
      </c>
      <c r="FX71" t="e">
        <f>AND(Bills!#REF!,"AAAAAHxvv7M=")</f>
        <v>#REF!</v>
      </c>
      <c r="FY71" t="e">
        <f>AND(Bills!#REF!,"AAAAAHxvv7Q=")</f>
        <v>#REF!</v>
      </c>
      <c r="FZ71" t="e">
        <f>AND(Bills!#REF!,"AAAAAHxvv7U=")</f>
        <v>#REF!</v>
      </c>
      <c r="GA71" t="e">
        <f>AND(Bills!F197,"AAAAAHxvv7Y=")</f>
        <v>#VALUE!</v>
      </c>
      <c r="GB71" t="e">
        <f>AND(Bills!#REF!,"AAAAAHxvv7c=")</f>
        <v>#REF!</v>
      </c>
      <c r="GC71" t="e">
        <f>AND(Bills!G197,"AAAAAHxvv7g=")</f>
        <v>#VALUE!</v>
      </c>
      <c r="GD71" t="e">
        <f>AND(Bills!H197,"AAAAAHxvv7k=")</f>
        <v>#VALUE!</v>
      </c>
      <c r="GE71" t="e">
        <f>AND(Bills!I197,"AAAAAHxvv7o=")</f>
        <v>#VALUE!</v>
      </c>
      <c r="GF71" t="e">
        <f>AND(Bills!J197,"AAAAAHxvv7s=")</f>
        <v>#VALUE!</v>
      </c>
      <c r="GG71" t="e">
        <f>AND(Bills!K197,"AAAAAHxvv7w=")</f>
        <v>#VALUE!</v>
      </c>
      <c r="GH71" t="e">
        <f>AND(Bills!L197,"AAAAAHxvv70=")</f>
        <v>#VALUE!</v>
      </c>
      <c r="GI71" t="e">
        <f>AND(Bills!#REF!,"AAAAAHxvv74=")</f>
        <v>#REF!</v>
      </c>
      <c r="GJ71" t="e">
        <f>AND(Bills!M197,"AAAAAHxvv78=")</f>
        <v>#VALUE!</v>
      </c>
      <c r="GK71" t="e">
        <f>AND(Bills!N197,"AAAAAHxvv8A=")</f>
        <v>#VALUE!</v>
      </c>
      <c r="GL71" t="e">
        <f>AND(Bills!O197,"AAAAAHxvv8E=")</f>
        <v>#VALUE!</v>
      </c>
      <c r="GM71" t="e">
        <f>AND(Bills!P197,"AAAAAHxvv8I=")</f>
        <v>#VALUE!</v>
      </c>
      <c r="GN71" t="e">
        <f>AND(Bills!Q197,"AAAAAHxvv8M=")</f>
        <v>#VALUE!</v>
      </c>
      <c r="GO71" t="e">
        <f>AND(Bills!R197,"AAAAAHxvv8Q=")</f>
        <v>#VALUE!</v>
      </c>
      <c r="GP71" t="e">
        <f>AND(Bills!S197,"AAAAAHxvv8U=")</f>
        <v>#VALUE!</v>
      </c>
      <c r="GQ71" t="e">
        <f>AND(Bills!T197,"AAAAAHxvv8Y=")</f>
        <v>#VALUE!</v>
      </c>
      <c r="GR71" t="e">
        <f>AND(Bills!#REF!,"AAAAAHxvv8c=")</f>
        <v>#REF!</v>
      </c>
      <c r="GS71" t="e">
        <f>AND(Bills!U197,"AAAAAHxvv8g=")</f>
        <v>#VALUE!</v>
      </c>
      <c r="GT71" t="e">
        <f>AND(Bills!V197,"AAAAAHxvv8k=")</f>
        <v>#VALUE!</v>
      </c>
      <c r="GU71" t="e">
        <f>AND(Bills!W197,"AAAAAHxvv8o=")</f>
        <v>#VALUE!</v>
      </c>
      <c r="GV71" t="e">
        <f>AND(Bills!#REF!,"AAAAAHxvv8s=")</f>
        <v>#REF!</v>
      </c>
      <c r="GW71" t="e">
        <f>AND(Bills!#REF!,"AAAAAHxvv8w=")</f>
        <v>#REF!</v>
      </c>
      <c r="GX71" t="e">
        <f>AND(Bills!Y197,"AAAAAHxvv80=")</f>
        <v>#VALUE!</v>
      </c>
      <c r="GY71" t="e">
        <f>AND(Bills!Z197,"AAAAAHxvv84=")</f>
        <v>#VALUE!</v>
      </c>
      <c r="GZ71" t="e">
        <f>AND(Bills!#REF!,"AAAAAHxvv88=")</f>
        <v>#REF!</v>
      </c>
      <c r="HA71" t="e">
        <f>AND(Bills!#REF!,"AAAAAHxvv9A=")</f>
        <v>#REF!</v>
      </c>
      <c r="HB71" t="e">
        <f>AND(Bills!#REF!,"AAAAAHxvv9E=")</f>
        <v>#REF!</v>
      </c>
      <c r="HC71" t="e">
        <f>AND(Bills!#REF!,"AAAAAHxvv9I=")</f>
        <v>#REF!</v>
      </c>
      <c r="HD71" t="e">
        <f>AND(Bills!#REF!,"AAAAAHxvv9M=")</f>
        <v>#REF!</v>
      </c>
      <c r="HE71" t="e">
        <f>AND(Bills!#REF!,"AAAAAHxvv9Q=")</f>
        <v>#REF!</v>
      </c>
      <c r="HF71" t="e">
        <f>AND(Bills!#REF!,"AAAAAHxvv9U=")</f>
        <v>#REF!</v>
      </c>
      <c r="HG71" t="e">
        <f>AND(Bills!#REF!,"AAAAAHxvv9Y=")</f>
        <v>#REF!</v>
      </c>
      <c r="HH71" t="e">
        <f>AND(Bills!#REF!,"AAAAAHxvv9c=")</f>
        <v>#REF!</v>
      </c>
      <c r="HI71" t="e">
        <f>AND(Bills!AA197,"AAAAAHxvv9g=")</f>
        <v>#VALUE!</v>
      </c>
      <c r="HJ71" t="e">
        <f>AND(Bills!AB197,"AAAAAHxvv9k=")</f>
        <v>#VALUE!</v>
      </c>
      <c r="HK71" t="e">
        <f>AND(Bills!#REF!,"AAAAAHxvv9o=")</f>
        <v>#REF!</v>
      </c>
      <c r="HL71" t="e">
        <f>AND(Bills!#REF!,"AAAAAHxvv9s=")</f>
        <v>#REF!</v>
      </c>
      <c r="HM71" t="e">
        <f>AND(Bills!#REF!,"AAAAAHxvv9w=")</f>
        <v>#REF!</v>
      </c>
      <c r="HN71" t="e">
        <f>AND(Bills!AC197,"AAAAAHxvv90=")</f>
        <v>#VALUE!</v>
      </c>
      <c r="HO71" t="e">
        <f>AND(Bills!AD197,"AAAAAHxvv94=")</f>
        <v>#VALUE!</v>
      </c>
      <c r="HP71" t="e">
        <f>AND(Bills!AE197,"AAAAAHxvv98=")</f>
        <v>#VALUE!</v>
      </c>
      <c r="HQ71">
        <f>IF(Bills!198:198,"AAAAAHxvv+A=",0)</f>
        <v>0</v>
      </c>
      <c r="HR71" t="e">
        <f>AND(Bills!B198,"AAAAAHxvv+E=")</f>
        <v>#VALUE!</v>
      </c>
      <c r="HS71" t="e">
        <f>AND(Bills!#REF!,"AAAAAHxvv+I=")</f>
        <v>#REF!</v>
      </c>
      <c r="HT71" t="e">
        <f>AND(Bills!C198,"AAAAAHxvv+M=")</f>
        <v>#VALUE!</v>
      </c>
      <c r="HU71" t="e">
        <f>AND(Bills!D198,"AAAAAHxvv+Q=")</f>
        <v>#VALUE!</v>
      </c>
      <c r="HV71" t="e">
        <f>AND(Bills!E198,"AAAAAHxvv+U=")</f>
        <v>#VALUE!</v>
      </c>
      <c r="HW71" t="e">
        <f>AND(Bills!#REF!,"AAAAAHxvv+Y=")</f>
        <v>#REF!</v>
      </c>
      <c r="HX71" t="e">
        <f>AND(Bills!#REF!,"AAAAAHxvv+c=")</f>
        <v>#REF!</v>
      </c>
      <c r="HY71" t="e">
        <f>AND(Bills!#REF!,"AAAAAHxvv+g=")</f>
        <v>#REF!</v>
      </c>
      <c r="HZ71" t="e">
        <f>AND(Bills!F198,"AAAAAHxvv+k=")</f>
        <v>#VALUE!</v>
      </c>
      <c r="IA71" t="e">
        <f>AND(Bills!#REF!,"AAAAAHxvv+o=")</f>
        <v>#REF!</v>
      </c>
      <c r="IB71" t="e">
        <f>AND(Bills!G198,"AAAAAHxvv+s=")</f>
        <v>#VALUE!</v>
      </c>
      <c r="IC71" t="e">
        <f>AND(Bills!H198,"AAAAAHxvv+w=")</f>
        <v>#VALUE!</v>
      </c>
      <c r="ID71" t="e">
        <f>AND(Bills!I198,"AAAAAHxvv+0=")</f>
        <v>#VALUE!</v>
      </c>
      <c r="IE71" t="e">
        <f>AND(Bills!J198,"AAAAAHxvv+4=")</f>
        <v>#VALUE!</v>
      </c>
      <c r="IF71" t="e">
        <f>AND(Bills!K198,"AAAAAHxvv+8=")</f>
        <v>#VALUE!</v>
      </c>
      <c r="IG71" t="e">
        <f>AND(Bills!L198,"AAAAAHxvv/A=")</f>
        <v>#VALUE!</v>
      </c>
      <c r="IH71" t="e">
        <f>AND(Bills!#REF!,"AAAAAHxvv/E=")</f>
        <v>#REF!</v>
      </c>
      <c r="II71" t="e">
        <f>AND(Bills!M198,"AAAAAHxvv/I=")</f>
        <v>#VALUE!</v>
      </c>
      <c r="IJ71" t="e">
        <f>AND(Bills!N198,"AAAAAHxvv/M=")</f>
        <v>#VALUE!</v>
      </c>
      <c r="IK71" t="e">
        <f>AND(Bills!O198,"AAAAAHxvv/Q=")</f>
        <v>#VALUE!</v>
      </c>
      <c r="IL71" t="e">
        <f>AND(Bills!P198,"AAAAAHxvv/U=")</f>
        <v>#VALUE!</v>
      </c>
      <c r="IM71" t="e">
        <f>AND(Bills!Q198,"AAAAAHxvv/Y=")</f>
        <v>#VALUE!</v>
      </c>
      <c r="IN71" t="e">
        <f>AND(Bills!R198,"AAAAAHxvv/c=")</f>
        <v>#VALUE!</v>
      </c>
      <c r="IO71" t="e">
        <f>AND(Bills!S198,"AAAAAHxvv/g=")</f>
        <v>#VALUE!</v>
      </c>
      <c r="IP71" t="e">
        <f>AND(Bills!T198,"AAAAAHxvv/k=")</f>
        <v>#VALUE!</v>
      </c>
      <c r="IQ71" t="e">
        <f>AND(Bills!#REF!,"AAAAAHxvv/o=")</f>
        <v>#REF!</v>
      </c>
      <c r="IR71" t="e">
        <f>AND(Bills!U198,"AAAAAHxvv/s=")</f>
        <v>#VALUE!</v>
      </c>
      <c r="IS71" t="e">
        <f>AND(Bills!V198,"AAAAAHxvv/w=")</f>
        <v>#VALUE!</v>
      </c>
      <c r="IT71" t="e">
        <f>AND(Bills!W198,"AAAAAHxvv/0=")</f>
        <v>#VALUE!</v>
      </c>
      <c r="IU71" t="e">
        <f>AND(Bills!#REF!,"AAAAAHxvv/4=")</f>
        <v>#REF!</v>
      </c>
      <c r="IV71" t="e">
        <f>AND(Bills!#REF!,"AAAAAHxvv/8=")</f>
        <v>#REF!</v>
      </c>
    </row>
    <row r="72" spans="1:256" x14ac:dyDescent="0.25">
      <c r="A72" t="e">
        <f>AND(Bills!Y198,"AAAAAH+/TgA=")</f>
        <v>#VALUE!</v>
      </c>
      <c r="B72" t="e">
        <f>AND(Bills!Z198,"AAAAAH+/TgE=")</f>
        <v>#VALUE!</v>
      </c>
      <c r="C72" t="e">
        <f>AND(Bills!#REF!,"AAAAAH+/TgI=")</f>
        <v>#REF!</v>
      </c>
      <c r="D72" t="e">
        <f>AND(Bills!#REF!,"AAAAAH+/TgM=")</f>
        <v>#REF!</v>
      </c>
      <c r="E72" t="e">
        <f>AND(Bills!#REF!,"AAAAAH+/TgQ=")</f>
        <v>#REF!</v>
      </c>
      <c r="F72" t="e">
        <f>AND(Bills!#REF!,"AAAAAH+/TgU=")</f>
        <v>#REF!</v>
      </c>
      <c r="G72" t="e">
        <f>AND(Bills!#REF!,"AAAAAH+/TgY=")</f>
        <v>#REF!</v>
      </c>
      <c r="H72" t="e">
        <f>AND(Bills!#REF!,"AAAAAH+/Tgc=")</f>
        <v>#REF!</v>
      </c>
      <c r="I72" t="e">
        <f>AND(Bills!#REF!,"AAAAAH+/Tgg=")</f>
        <v>#REF!</v>
      </c>
      <c r="J72" t="e">
        <f>AND(Bills!#REF!,"AAAAAH+/Tgk=")</f>
        <v>#REF!</v>
      </c>
      <c r="K72" t="e">
        <f>AND(Bills!#REF!,"AAAAAH+/Tgo=")</f>
        <v>#REF!</v>
      </c>
      <c r="L72" t="e">
        <f>AND(Bills!AA198,"AAAAAH+/Tgs=")</f>
        <v>#VALUE!</v>
      </c>
      <c r="M72" t="e">
        <f>AND(Bills!AB198,"AAAAAH+/Tgw=")</f>
        <v>#VALUE!</v>
      </c>
      <c r="N72" t="e">
        <f>AND(Bills!#REF!,"AAAAAH+/Tg0=")</f>
        <v>#REF!</v>
      </c>
      <c r="O72" t="e">
        <f>AND(Bills!#REF!,"AAAAAH+/Tg4=")</f>
        <v>#REF!</v>
      </c>
      <c r="P72" t="e">
        <f>AND(Bills!#REF!,"AAAAAH+/Tg8=")</f>
        <v>#REF!</v>
      </c>
      <c r="Q72" t="e">
        <f>AND(Bills!AC198,"AAAAAH+/ThA=")</f>
        <v>#VALUE!</v>
      </c>
      <c r="R72" t="e">
        <f>AND(Bills!AD198,"AAAAAH+/ThE=")</f>
        <v>#VALUE!</v>
      </c>
      <c r="S72" t="e">
        <f>AND(Bills!AE198,"AAAAAH+/ThI=")</f>
        <v>#VALUE!</v>
      </c>
      <c r="T72">
        <f>IF(Bills!199:199,"AAAAAH+/ThM=",0)</f>
        <v>0</v>
      </c>
      <c r="U72" t="e">
        <f>AND(Bills!B199,"AAAAAH+/ThQ=")</f>
        <v>#VALUE!</v>
      </c>
      <c r="V72" t="e">
        <f>AND(Bills!#REF!,"AAAAAH+/ThU=")</f>
        <v>#REF!</v>
      </c>
      <c r="W72" t="e">
        <f>AND(Bills!C199,"AAAAAH+/ThY=")</f>
        <v>#VALUE!</v>
      </c>
      <c r="X72" t="e">
        <f>AND(Bills!D199,"AAAAAH+/Thc=")</f>
        <v>#VALUE!</v>
      </c>
      <c r="Y72" t="e">
        <f>AND(Bills!E199,"AAAAAH+/Thg=")</f>
        <v>#VALUE!</v>
      </c>
      <c r="Z72" t="e">
        <f>AND(Bills!#REF!,"AAAAAH+/Thk=")</f>
        <v>#REF!</v>
      </c>
      <c r="AA72" t="e">
        <f>AND(Bills!#REF!,"AAAAAH+/Tho=")</f>
        <v>#REF!</v>
      </c>
      <c r="AB72" t="e">
        <f>AND(Bills!#REF!,"AAAAAH+/Ths=")</f>
        <v>#REF!</v>
      </c>
      <c r="AC72" t="e">
        <f>AND(Bills!F199,"AAAAAH+/Thw=")</f>
        <v>#VALUE!</v>
      </c>
      <c r="AD72" t="e">
        <f>AND(Bills!#REF!,"AAAAAH+/Th0=")</f>
        <v>#REF!</v>
      </c>
      <c r="AE72" t="e">
        <f>AND(Bills!G199,"AAAAAH+/Th4=")</f>
        <v>#VALUE!</v>
      </c>
      <c r="AF72" t="e">
        <f>AND(Bills!H199,"AAAAAH+/Th8=")</f>
        <v>#VALUE!</v>
      </c>
      <c r="AG72" t="e">
        <f>AND(Bills!I199,"AAAAAH+/TiA=")</f>
        <v>#VALUE!</v>
      </c>
      <c r="AH72" t="e">
        <f>AND(Bills!J199,"AAAAAH+/TiE=")</f>
        <v>#VALUE!</v>
      </c>
      <c r="AI72" t="e">
        <f>AND(Bills!K199,"AAAAAH+/TiI=")</f>
        <v>#VALUE!</v>
      </c>
      <c r="AJ72" t="e">
        <f>AND(Bills!L199,"AAAAAH+/TiM=")</f>
        <v>#VALUE!</v>
      </c>
      <c r="AK72" t="e">
        <f>AND(Bills!#REF!,"AAAAAH+/TiQ=")</f>
        <v>#REF!</v>
      </c>
      <c r="AL72" t="e">
        <f>AND(Bills!M199,"AAAAAH+/TiU=")</f>
        <v>#VALUE!</v>
      </c>
      <c r="AM72" t="e">
        <f>AND(Bills!N199,"AAAAAH+/TiY=")</f>
        <v>#VALUE!</v>
      </c>
      <c r="AN72" t="e">
        <f>AND(Bills!O199,"AAAAAH+/Tic=")</f>
        <v>#VALUE!</v>
      </c>
      <c r="AO72" t="e">
        <f>AND(Bills!P199,"AAAAAH+/Tig=")</f>
        <v>#VALUE!</v>
      </c>
      <c r="AP72" t="e">
        <f>AND(Bills!Q199,"AAAAAH+/Tik=")</f>
        <v>#VALUE!</v>
      </c>
      <c r="AQ72" t="e">
        <f>AND(Bills!R199,"AAAAAH+/Tio=")</f>
        <v>#VALUE!</v>
      </c>
      <c r="AR72" t="e">
        <f>AND(Bills!S199,"AAAAAH+/Tis=")</f>
        <v>#VALUE!</v>
      </c>
      <c r="AS72" t="e">
        <f>AND(Bills!T199,"AAAAAH+/Tiw=")</f>
        <v>#VALUE!</v>
      </c>
      <c r="AT72" t="e">
        <f>AND(Bills!#REF!,"AAAAAH+/Ti0=")</f>
        <v>#REF!</v>
      </c>
      <c r="AU72" t="e">
        <f>AND(Bills!U199,"AAAAAH+/Ti4=")</f>
        <v>#VALUE!</v>
      </c>
      <c r="AV72" t="e">
        <f>AND(Bills!V199,"AAAAAH+/Ti8=")</f>
        <v>#VALUE!</v>
      </c>
      <c r="AW72" t="e">
        <f>AND(Bills!W199,"AAAAAH+/TjA=")</f>
        <v>#VALUE!</v>
      </c>
      <c r="AX72" t="e">
        <f>AND(Bills!#REF!,"AAAAAH+/TjE=")</f>
        <v>#REF!</v>
      </c>
      <c r="AY72" t="e">
        <f>AND(Bills!#REF!,"AAAAAH+/TjI=")</f>
        <v>#REF!</v>
      </c>
      <c r="AZ72" t="e">
        <f>AND(Bills!Y199,"AAAAAH+/TjM=")</f>
        <v>#VALUE!</v>
      </c>
      <c r="BA72" t="e">
        <f>AND(Bills!Z199,"AAAAAH+/TjQ=")</f>
        <v>#VALUE!</v>
      </c>
      <c r="BB72" t="e">
        <f>AND(Bills!#REF!,"AAAAAH+/TjU=")</f>
        <v>#REF!</v>
      </c>
      <c r="BC72" t="e">
        <f>AND(Bills!#REF!,"AAAAAH+/TjY=")</f>
        <v>#REF!</v>
      </c>
      <c r="BD72" t="e">
        <f>AND(Bills!#REF!,"AAAAAH+/Tjc=")</f>
        <v>#REF!</v>
      </c>
      <c r="BE72" t="e">
        <f>AND(Bills!#REF!,"AAAAAH+/Tjg=")</f>
        <v>#REF!</v>
      </c>
      <c r="BF72" t="e">
        <f>AND(Bills!#REF!,"AAAAAH+/Tjk=")</f>
        <v>#REF!</v>
      </c>
      <c r="BG72" t="e">
        <f>AND(Bills!#REF!,"AAAAAH+/Tjo=")</f>
        <v>#REF!</v>
      </c>
      <c r="BH72" t="e">
        <f>AND(Bills!#REF!,"AAAAAH+/Tjs=")</f>
        <v>#REF!</v>
      </c>
      <c r="BI72" t="e">
        <f>AND(Bills!#REF!,"AAAAAH+/Tjw=")</f>
        <v>#REF!</v>
      </c>
      <c r="BJ72" t="e">
        <f>AND(Bills!#REF!,"AAAAAH+/Tj0=")</f>
        <v>#REF!</v>
      </c>
      <c r="BK72" t="e">
        <f>AND(Bills!AA199,"AAAAAH+/Tj4=")</f>
        <v>#VALUE!</v>
      </c>
      <c r="BL72" t="e">
        <f>AND(Bills!AB199,"AAAAAH+/Tj8=")</f>
        <v>#VALUE!</v>
      </c>
      <c r="BM72" t="e">
        <f>AND(Bills!#REF!,"AAAAAH+/TkA=")</f>
        <v>#REF!</v>
      </c>
      <c r="BN72" t="e">
        <f>AND(Bills!#REF!,"AAAAAH+/TkE=")</f>
        <v>#REF!</v>
      </c>
      <c r="BO72" t="e">
        <f>AND(Bills!#REF!,"AAAAAH+/TkI=")</f>
        <v>#REF!</v>
      </c>
      <c r="BP72" t="e">
        <f>AND(Bills!AC199,"AAAAAH+/TkM=")</f>
        <v>#VALUE!</v>
      </c>
      <c r="BQ72" t="e">
        <f>AND(Bills!AD199,"AAAAAH+/TkQ=")</f>
        <v>#VALUE!</v>
      </c>
      <c r="BR72" t="e">
        <f>AND(Bills!AE199,"AAAAAH+/TkU=")</f>
        <v>#VALUE!</v>
      </c>
      <c r="BS72">
        <f>IF(Bills!200:200,"AAAAAH+/TkY=",0)</f>
        <v>0</v>
      </c>
      <c r="BT72" t="e">
        <f>AND(Bills!B200,"AAAAAH+/Tkc=")</f>
        <v>#VALUE!</v>
      </c>
      <c r="BU72" t="e">
        <f>AND(Bills!#REF!,"AAAAAH+/Tkg=")</f>
        <v>#REF!</v>
      </c>
      <c r="BV72" t="e">
        <f>AND(Bills!C200,"AAAAAH+/Tkk=")</f>
        <v>#VALUE!</v>
      </c>
      <c r="BW72" t="e">
        <f>AND(Bills!D200,"AAAAAH+/Tko=")</f>
        <v>#VALUE!</v>
      </c>
      <c r="BX72" t="e">
        <f>AND(Bills!E200,"AAAAAH+/Tks=")</f>
        <v>#VALUE!</v>
      </c>
      <c r="BY72" t="e">
        <f>AND(Bills!#REF!,"AAAAAH+/Tkw=")</f>
        <v>#REF!</v>
      </c>
      <c r="BZ72" t="e">
        <f>AND(Bills!#REF!,"AAAAAH+/Tk0=")</f>
        <v>#REF!</v>
      </c>
      <c r="CA72" t="e">
        <f>AND(Bills!#REF!,"AAAAAH+/Tk4=")</f>
        <v>#REF!</v>
      </c>
      <c r="CB72" t="e">
        <f>AND(Bills!F200,"AAAAAH+/Tk8=")</f>
        <v>#VALUE!</v>
      </c>
      <c r="CC72" t="e">
        <f>AND(Bills!#REF!,"AAAAAH+/TlA=")</f>
        <v>#REF!</v>
      </c>
      <c r="CD72" t="e">
        <f>AND(Bills!G200,"AAAAAH+/TlE=")</f>
        <v>#VALUE!</v>
      </c>
      <c r="CE72" t="e">
        <f>AND(Bills!H200,"AAAAAH+/TlI=")</f>
        <v>#VALUE!</v>
      </c>
      <c r="CF72" t="e">
        <f>AND(Bills!I200,"AAAAAH+/TlM=")</f>
        <v>#VALUE!</v>
      </c>
      <c r="CG72" t="e">
        <f>AND(Bills!J200,"AAAAAH+/TlQ=")</f>
        <v>#VALUE!</v>
      </c>
      <c r="CH72" t="e">
        <f>AND(Bills!K200,"AAAAAH+/TlU=")</f>
        <v>#VALUE!</v>
      </c>
      <c r="CI72" t="e">
        <f>AND(Bills!L200,"AAAAAH+/TlY=")</f>
        <v>#VALUE!</v>
      </c>
      <c r="CJ72" t="e">
        <f>AND(Bills!#REF!,"AAAAAH+/Tlc=")</f>
        <v>#REF!</v>
      </c>
      <c r="CK72" t="e">
        <f>AND(Bills!M200,"AAAAAH+/Tlg=")</f>
        <v>#VALUE!</v>
      </c>
      <c r="CL72" t="e">
        <f>AND(Bills!N200,"AAAAAH+/Tlk=")</f>
        <v>#VALUE!</v>
      </c>
      <c r="CM72" t="e">
        <f>AND(Bills!O200,"AAAAAH+/Tlo=")</f>
        <v>#VALUE!</v>
      </c>
      <c r="CN72" t="e">
        <f>AND(Bills!P200,"AAAAAH+/Tls=")</f>
        <v>#VALUE!</v>
      </c>
      <c r="CO72" t="e">
        <f>AND(Bills!Q200,"AAAAAH+/Tlw=")</f>
        <v>#VALUE!</v>
      </c>
      <c r="CP72" t="e">
        <f>AND(Bills!R200,"AAAAAH+/Tl0=")</f>
        <v>#VALUE!</v>
      </c>
      <c r="CQ72" t="e">
        <f>AND(Bills!S200,"AAAAAH+/Tl4=")</f>
        <v>#VALUE!</v>
      </c>
      <c r="CR72" t="e">
        <f>AND(Bills!T200,"AAAAAH+/Tl8=")</f>
        <v>#VALUE!</v>
      </c>
      <c r="CS72" t="e">
        <f>AND(Bills!#REF!,"AAAAAH+/TmA=")</f>
        <v>#REF!</v>
      </c>
      <c r="CT72" t="e">
        <f>AND(Bills!U200,"AAAAAH+/TmE=")</f>
        <v>#VALUE!</v>
      </c>
      <c r="CU72" t="e">
        <f>AND(Bills!V200,"AAAAAH+/TmI=")</f>
        <v>#VALUE!</v>
      </c>
      <c r="CV72" t="e">
        <f>AND(Bills!W200,"AAAAAH+/TmM=")</f>
        <v>#VALUE!</v>
      </c>
      <c r="CW72" t="e">
        <f>AND(Bills!#REF!,"AAAAAH+/TmQ=")</f>
        <v>#REF!</v>
      </c>
      <c r="CX72" t="e">
        <f>AND(Bills!#REF!,"AAAAAH+/TmU=")</f>
        <v>#REF!</v>
      </c>
      <c r="CY72" t="e">
        <f>AND(Bills!Y200,"AAAAAH+/TmY=")</f>
        <v>#VALUE!</v>
      </c>
      <c r="CZ72" t="e">
        <f>AND(Bills!Z200,"AAAAAH+/Tmc=")</f>
        <v>#VALUE!</v>
      </c>
      <c r="DA72" t="e">
        <f>AND(Bills!#REF!,"AAAAAH+/Tmg=")</f>
        <v>#REF!</v>
      </c>
      <c r="DB72" t="e">
        <f>AND(Bills!#REF!,"AAAAAH+/Tmk=")</f>
        <v>#REF!</v>
      </c>
      <c r="DC72" t="e">
        <f>AND(Bills!#REF!,"AAAAAH+/Tmo=")</f>
        <v>#REF!</v>
      </c>
      <c r="DD72" t="e">
        <f>AND(Bills!#REF!,"AAAAAH+/Tms=")</f>
        <v>#REF!</v>
      </c>
      <c r="DE72" t="e">
        <f>AND(Bills!#REF!,"AAAAAH+/Tmw=")</f>
        <v>#REF!</v>
      </c>
      <c r="DF72" t="e">
        <f>AND(Bills!#REF!,"AAAAAH+/Tm0=")</f>
        <v>#REF!</v>
      </c>
      <c r="DG72" t="e">
        <f>AND(Bills!#REF!,"AAAAAH+/Tm4=")</f>
        <v>#REF!</v>
      </c>
      <c r="DH72" t="e">
        <f>AND(Bills!#REF!,"AAAAAH+/Tm8=")</f>
        <v>#REF!</v>
      </c>
      <c r="DI72" t="e">
        <f>AND(Bills!#REF!,"AAAAAH+/TnA=")</f>
        <v>#REF!</v>
      </c>
      <c r="DJ72" t="e">
        <f>AND(Bills!AA200,"AAAAAH+/TnE=")</f>
        <v>#VALUE!</v>
      </c>
      <c r="DK72" t="e">
        <f>AND(Bills!AB200,"AAAAAH+/TnI=")</f>
        <v>#VALUE!</v>
      </c>
      <c r="DL72" t="e">
        <f>AND(Bills!#REF!,"AAAAAH+/TnM=")</f>
        <v>#REF!</v>
      </c>
      <c r="DM72" t="e">
        <f>AND(Bills!#REF!,"AAAAAH+/TnQ=")</f>
        <v>#REF!</v>
      </c>
      <c r="DN72" t="e">
        <f>AND(Bills!#REF!,"AAAAAH+/TnU=")</f>
        <v>#REF!</v>
      </c>
      <c r="DO72" t="e">
        <f>AND(Bills!AC200,"AAAAAH+/TnY=")</f>
        <v>#VALUE!</v>
      </c>
      <c r="DP72" t="e">
        <f>AND(Bills!AD200,"AAAAAH+/Tnc=")</f>
        <v>#VALUE!</v>
      </c>
      <c r="DQ72" t="e">
        <f>AND(Bills!AE200,"AAAAAH+/Tng=")</f>
        <v>#VALUE!</v>
      </c>
      <c r="DR72">
        <f>IF(Bills!201:201,"AAAAAH+/Tnk=",0)</f>
        <v>0</v>
      </c>
      <c r="DS72" t="e">
        <f>AND(Bills!B201,"AAAAAH+/Tno=")</f>
        <v>#VALUE!</v>
      </c>
      <c r="DT72" t="e">
        <f>AND(Bills!#REF!,"AAAAAH+/Tns=")</f>
        <v>#REF!</v>
      </c>
      <c r="DU72" t="e">
        <f>AND(Bills!C201,"AAAAAH+/Tnw=")</f>
        <v>#VALUE!</v>
      </c>
      <c r="DV72" t="e">
        <f>AND(Bills!D201,"AAAAAH+/Tn0=")</f>
        <v>#VALUE!</v>
      </c>
      <c r="DW72" t="e">
        <f>AND(Bills!E201,"AAAAAH+/Tn4=")</f>
        <v>#VALUE!</v>
      </c>
      <c r="DX72" t="e">
        <f>AND(Bills!#REF!,"AAAAAH+/Tn8=")</f>
        <v>#REF!</v>
      </c>
      <c r="DY72" t="e">
        <f>AND(Bills!#REF!,"AAAAAH+/ToA=")</f>
        <v>#REF!</v>
      </c>
      <c r="DZ72" t="e">
        <f>AND(Bills!#REF!,"AAAAAH+/ToE=")</f>
        <v>#REF!</v>
      </c>
      <c r="EA72" t="e">
        <f>AND(Bills!F201,"AAAAAH+/ToI=")</f>
        <v>#VALUE!</v>
      </c>
      <c r="EB72" t="e">
        <f>AND(Bills!#REF!,"AAAAAH+/ToM=")</f>
        <v>#REF!</v>
      </c>
      <c r="EC72" t="e">
        <f>AND(Bills!G201,"AAAAAH+/ToQ=")</f>
        <v>#VALUE!</v>
      </c>
      <c r="ED72" t="e">
        <f>AND(Bills!H201,"AAAAAH+/ToU=")</f>
        <v>#VALUE!</v>
      </c>
      <c r="EE72" t="e">
        <f>AND(Bills!I201,"AAAAAH+/ToY=")</f>
        <v>#VALUE!</v>
      </c>
      <c r="EF72" t="e">
        <f>AND(Bills!J201,"AAAAAH+/Toc=")</f>
        <v>#VALUE!</v>
      </c>
      <c r="EG72" t="e">
        <f>AND(Bills!K201,"AAAAAH+/Tog=")</f>
        <v>#VALUE!</v>
      </c>
      <c r="EH72" t="e">
        <f>AND(Bills!L201,"AAAAAH+/Tok=")</f>
        <v>#VALUE!</v>
      </c>
      <c r="EI72" t="e">
        <f>AND(Bills!#REF!,"AAAAAH+/Too=")</f>
        <v>#REF!</v>
      </c>
      <c r="EJ72" t="e">
        <f>AND(Bills!M201,"AAAAAH+/Tos=")</f>
        <v>#VALUE!</v>
      </c>
      <c r="EK72" t="e">
        <f>AND(Bills!N201,"AAAAAH+/Tow=")</f>
        <v>#VALUE!</v>
      </c>
      <c r="EL72" t="e">
        <f>AND(Bills!O201,"AAAAAH+/To0=")</f>
        <v>#VALUE!</v>
      </c>
      <c r="EM72" t="e">
        <f>AND(Bills!P201,"AAAAAH+/To4=")</f>
        <v>#VALUE!</v>
      </c>
      <c r="EN72" t="e">
        <f>AND(Bills!Q201,"AAAAAH+/To8=")</f>
        <v>#VALUE!</v>
      </c>
      <c r="EO72" t="e">
        <f>AND(Bills!R201,"AAAAAH+/TpA=")</f>
        <v>#VALUE!</v>
      </c>
      <c r="EP72" t="e">
        <f>AND(Bills!S201,"AAAAAH+/TpE=")</f>
        <v>#VALUE!</v>
      </c>
      <c r="EQ72" t="e">
        <f>AND(Bills!T201,"AAAAAH+/TpI=")</f>
        <v>#VALUE!</v>
      </c>
      <c r="ER72" t="e">
        <f>AND(Bills!#REF!,"AAAAAH+/TpM=")</f>
        <v>#REF!</v>
      </c>
      <c r="ES72" t="e">
        <f>AND(Bills!U201,"AAAAAH+/TpQ=")</f>
        <v>#VALUE!</v>
      </c>
      <c r="ET72" t="e">
        <f>AND(Bills!V201,"AAAAAH+/TpU=")</f>
        <v>#VALUE!</v>
      </c>
      <c r="EU72" t="e">
        <f>AND(Bills!W201,"AAAAAH+/TpY=")</f>
        <v>#VALUE!</v>
      </c>
      <c r="EV72" t="e">
        <f>AND(Bills!#REF!,"AAAAAH+/Tpc=")</f>
        <v>#REF!</v>
      </c>
      <c r="EW72" t="e">
        <f>AND(Bills!#REF!,"AAAAAH+/Tpg=")</f>
        <v>#REF!</v>
      </c>
      <c r="EX72" t="e">
        <f>AND(Bills!Y201,"AAAAAH+/Tpk=")</f>
        <v>#VALUE!</v>
      </c>
      <c r="EY72" t="e">
        <f>AND(Bills!Z201,"AAAAAH+/Tpo=")</f>
        <v>#VALUE!</v>
      </c>
      <c r="EZ72" t="e">
        <f>AND(Bills!#REF!,"AAAAAH+/Tps=")</f>
        <v>#REF!</v>
      </c>
      <c r="FA72" t="e">
        <f>AND(Bills!#REF!,"AAAAAH+/Tpw=")</f>
        <v>#REF!</v>
      </c>
      <c r="FB72" t="e">
        <f>AND(Bills!#REF!,"AAAAAH+/Tp0=")</f>
        <v>#REF!</v>
      </c>
      <c r="FC72" t="e">
        <f>AND(Bills!#REF!,"AAAAAH+/Tp4=")</f>
        <v>#REF!</v>
      </c>
      <c r="FD72" t="e">
        <f>AND(Bills!#REF!,"AAAAAH+/Tp8=")</f>
        <v>#REF!</v>
      </c>
      <c r="FE72" t="e">
        <f>AND(Bills!#REF!,"AAAAAH+/TqA=")</f>
        <v>#REF!</v>
      </c>
      <c r="FF72" t="e">
        <f>AND(Bills!#REF!,"AAAAAH+/TqE=")</f>
        <v>#REF!</v>
      </c>
      <c r="FG72" t="e">
        <f>AND(Bills!#REF!,"AAAAAH+/TqI=")</f>
        <v>#REF!</v>
      </c>
      <c r="FH72" t="e">
        <f>AND(Bills!#REF!,"AAAAAH+/TqM=")</f>
        <v>#REF!</v>
      </c>
      <c r="FI72" t="e">
        <f>AND(Bills!AA201,"AAAAAH+/TqQ=")</f>
        <v>#VALUE!</v>
      </c>
      <c r="FJ72" t="e">
        <f>AND(Bills!AB201,"AAAAAH+/TqU=")</f>
        <v>#VALUE!</v>
      </c>
      <c r="FK72" t="e">
        <f>AND(Bills!#REF!,"AAAAAH+/TqY=")</f>
        <v>#REF!</v>
      </c>
      <c r="FL72" t="e">
        <f>AND(Bills!#REF!,"AAAAAH+/Tqc=")</f>
        <v>#REF!</v>
      </c>
      <c r="FM72" t="e">
        <f>AND(Bills!#REF!,"AAAAAH+/Tqg=")</f>
        <v>#REF!</v>
      </c>
      <c r="FN72" t="e">
        <f>AND(Bills!AC201,"AAAAAH+/Tqk=")</f>
        <v>#VALUE!</v>
      </c>
      <c r="FO72" t="e">
        <f>AND(Bills!AD201,"AAAAAH+/Tqo=")</f>
        <v>#VALUE!</v>
      </c>
      <c r="FP72" t="e">
        <f>AND(Bills!AE201,"AAAAAH+/Tqs=")</f>
        <v>#VALUE!</v>
      </c>
      <c r="FQ72">
        <f>IF(Bills!202:202,"AAAAAH+/Tqw=",0)</f>
        <v>0</v>
      </c>
      <c r="FR72" t="e">
        <f>AND(Bills!B202,"AAAAAH+/Tq0=")</f>
        <v>#VALUE!</v>
      </c>
      <c r="FS72" t="e">
        <f>AND(Bills!#REF!,"AAAAAH+/Tq4=")</f>
        <v>#REF!</v>
      </c>
      <c r="FT72" t="e">
        <f>AND(Bills!C202,"AAAAAH+/Tq8=")</f>
        <v>#VALUE!</v>
      </c>
      <c r="FU72" t="e">
        <f>AND(Bills!D202,"AAAAAH+/TrA=")</f>
        <v>#VALUE!</v>
      </c>
      <c r="FV72" t="e">
        <f>AND(Bills!E202,"AAAAAH+/TrE=")</f>
        <v>#VALUE!</v>
      </c>
      <c r="FW72" t="e">
        <f>AND(Bills!#REF!,"AAAAAH+/TrI=")</f>
        <v>#REF!</v>
      </c>
      <c r="FX72" t="e">
        <f>AND(Bills!#REF!,"AAAAAH+/TrM=")</f>
        <v>#REF!</v>
      </c>
      <c r="FY72" t="e">
        <f>AND(Bills!#REF!,"AAAAAH+/TrQ=")</f>
        <v>#REF!</v>
      </c>
      <c r="FZ72" t="e">
        <f>AND(Bills!F202,"AAAAAH+/TrU=")</f>
        <v>#VALUE!</v>
      </c>
      <c r="GA72" t="e">
        <f>AND(Bills!#REF!,"AAAAAH+/TrY=")</f>
        <v>#REF!</v>
      </c>
      <c r="GB72" t="e">
        <f>AND(Bills!G202,"AAAAAH+/Trc=")</f>
        <v>#VALUE!</v>
      </c>
      <c r="GC72" t="e">
        <f>AND(Bills!H202,"AAAAAH+/Trg=")</f>
        <v>#VALUE!</v>
      </c>
      <c r="GD72" t="e">
        <f>AND(Bills!I202,"AAAAAH+/Trk=")</f>
        <v>#VALUE!</v>
      </c>
      <c r="GE72" t="e">
        <f>AND(Bills!J202,"AAAAAH+/Tro=")</f>
        <v>#VALUE!</v>
      </c>
      <c r="GF72" t="e">
        <f>AND(Bills!K202,"AAAAAH+/Trs=")</f>
        <v>#VALUE!</v>
      </c>
      <c r="GG72" t="e">
        <f>AND(Bills!L202,"AAAAAH+/Trw=")</f>
        <v>#VALUE!</v>
      </c>
      <c r="GH72" t="e">
        <f>AND(Bills!#REF!,"AAAAAH+/Tr0=")</f>
        <v>#REF!</v>
      </c>
      <c r="GI72" t="e">
        <f>AND(Bills!M202,"AAAAAH+/Tr4=")</f>
        <v>#VALUE!</v>
      </c>
      <c r="GJ72" t="e">
        <f>AND(Bills!N202,"AAAAAH+/Tr8=")</f>
        <v>#VALUE!</v>
      </c>
      <c r="GK72" t="e">
        <f>AND(Bills!O202,"AAAAAH+/TsA=")</f>
        <v>#VALUE!</v>
      </c>
      <c r="GL72" t="e">
        <f>AND(Bills!P202,"AAAAAH+/TsE=")</f>
        <v>#VALUE!</v>
      </c>
      <c r="GM72" t="e">
        <f>AND(Bills!Q202,"AAAAAH+/TsI=")</f>
        <v>#VALUE!</v>
      </c>
      <c r="GN72" t="e">
        <f>AND(Bills!R202,"AAAAAH+/TsM=")</f>
        <v>#VALUE!</v>
      </c>
      <c r="GO72" t="e">
        <f>AND(Bills!S202,"AAAAAH+/TsQ=")</f>
        <v>#VALUE!</v>
      </c>
      <c r="GP72" t="e">
        <f>AND(Bills!T202,"AAAAAH+/TsU=")</f>
        <v>#VALUE!</v>
      </c>
      <c r="GQ72" t="e">
        <f>AND(Bills!#REF!,"AAAAAH+/TsY=")</f>
        <v>#REF!</v>
      </c>
      <c r="GR72" t="e">
        <f>AND(Bills!U202,"AAAAAH+/Tsc=")</f>
        <v>#VALUE!</v>
      </c>
      <c r="GS72" t="e">
        <f>AND(Bills!V202,"AAAAAH+/Tsg=")</f>
        <v>#VALUE!</v>
      </c>
      <c r="GT72" t="e">
        <f>AND(Bills!W202,"AAAAAH+/Tsk=")</f>
        <v>#VALUE!</v>
      </c>
      <c r="GU72" t="e">
        <f>AND(Bills!#REF!,"AAAAAH+/Tso=")</f>
        <v>#REF!</v>
      </c>
      <c r="GV72" t="e">
        <f>AND(Bills!#REF!,"AAAAAH+/Tss=")</f>
        <v>#REF!</v>
      </c>
      <c r="GW72" t="e">
        <f>AND(Bills!Y202,"AAAAAH+/Tsw=")</f>
        <v>#VALUE!</v>
      </c>
      <c r="GX72" t="e">
        <f>AND(Bills!Z202,"AAAAAH+/Ts0=")</f>
        <v>#VALUE!</v>
      </c>
      <c r="GY72" t="e">
        <f>AND(Bills!#REF!,"AAAAAH+/Ts4=")</f>
        <v>#REF!</v>
      </c>
      <c r="GZ72" t="e">
        <f>AND(Bills!#REF!,"AAAAAH+/Ts8=")</f>
        <v>#REF!</v>
      </c>
      <c r="HA72" t="e">
        <f>AND(Bills!#REF!,"AAAAAH+/TtA=")</f>
        <v>#REF!</v>
      </c>
      <c r="HB72" t="e">
        <f>AND(Bills!#REF!,"AAAAAH+/TtE=")</f>
        <v>#REF!</v>
      </c>
      <c r="HC72" t="e">
        <f>AND(Bills!#REF!,"AAAAAH+/TtI=")</f>
        <v>#REF!</v>
      </c>
      <c r="HD72" t="e">
        <f>AND(Bills!#REF!,"AAAAAH+/TtM=")</f>
        <v>#REF!</v>
      </c>
      <c r="HE72" t="e">
        <f>AND(Bills!#REF!,"AAAAAH+/TtQ=")</f>
        <v>#REF!</v>
      </c>
      <c r="HF72" t="e">
        <f>AND(Bills!#REF!,"AAAAAH+/TtU=")</f>
        <v>#REF!</v>
      </c>
      <c r="HG72" t="e">
        <f>AND(Bills!#REF!,"AAAAAH+/TtY=")</f>
        <v>#REF!</v>
      </c>
      <c r="HH72" t="e">
        <f>AND(Bills!AA202,"AAAAAH+/Ttc=")</f>
        <v>#VALUE!</v>
      </c>
      <c r="HI72" t="e">
        <f>AND(Bills!AB202,"AAAAAH+/Ttg=")</f>
        <v>#VALUE!</v>
      </c>
      <c r="HJ72" t="e">
        <f>AND(Bills!#REF!,"AAAAAH+/Ttk=")</f>
        <v>#REF!</v>
      </c>
      <c r="HK72" t="e">
        <f>AND(Bills!#REF!,"AAAAAH+/Tto=")</f>
        <v>#REF!</v>
      </c>
      <c r="HL72" t="e">
        <f>AND(Bills!#REF!,"AAAAAH+/Tts=")</f>
        <v>#REF!</v>
      </c>
      <c r="HM72" t="e">
        <f>AND(Bills!AC202,"AAAAAH+/Ttw=")</f>
        <v>#VALUE!</v>
      </c>
      <c r="HN72" t="e">
        <f>AND(Bills!AD202,"AAAAAH+/Tt0=")</f>
        <v>#VALUE!</v>
      </c>
      <c r="HO72" t="e">
        <f>AND(Bills!AE202,"AAAAAH+/Tt4=")</f>
        <v>#VALUE!</v>
      </c>
      <c r="HP72">
        <f>IF(Bills!203:203,"AAAAAH+/Tt8=",0)</f>
        <v>0</v>
      </c>
      <c r="HQ72" t="e">
        <f>AND(Bills!B203,"AAAAAH+/TuA=")</f>
        <v>#VALUE!</v>
      </c>
      <c r="HR72" t="e">
        <f>AND(Bills!#REF!,"AAAAAH+/TuE=")</f>
        <v>#REF!</v>
      </c>
      <c r="HS72" t="e">
        <f>AND(Bills!C203,"AAAAAH+/TuI=")</f>
        <v>#VALUE!</v>
      </c>
      <c r="HT72" t="e">
        <f>AND(Bills!D203,"AAAAAH+/TuM=")</f>
        <v>#VALUE!</v>
      </c>
      <c r="HU72" t="e">
        <f>AND(Bills!E203,"AAAAAH+/TuQ=")</f>
        <v>#VALUE!</v>
      </c>
      <c r="HV72" t="e">
        <f>AND(Bills!#REF!,"AAAAAH+/TuU=")</f>
        <v>#REF!</v>
      </c>
      <c r="HW72" t="e">
        <f>AND(Bills!#REF!,"AAAAAH+/TuY=")</f>
        <v>#REF!</v>
      </c>
      <c r="HX72" t="e">
        <f>AND(Bills!#REF!,"AAAAAH+/Tuc=")</f>
        <v>#REF!</v>
      </c>
      <c r="HY72" t="e">
        <f>AND(Bills!F203,"AAAAAH+/Tug=")</f>
        <v>#VALUE!</v>
      </c>
      <c r="HZ72" t="e">
        <f>AND(Bills!#REF!,"AAAAAH+/Tuk=")</f>
        <v>#REF!</v>
      </c>
      <c r="IA72" t="e">
        <f>AND(Bills!G203,"AAAAAH+/Tuo=")</f>
        <v>#VALUE!</v>
      </c>
      <c r="IB72" t="e">
        <f>AND(Bills!H203,"AAAAAH+/Tus=")</f>
        <v>#VALUE!</v>
      </c>
      <c r="IC72" t="e">
        <f>AND(Bills!I203,"AAAAAH+/Tuw=")</f>
        <v>#VALUE!</v>
      </c>
      <c r="ID72" t="e">
        <f>AND(Bills!J203,"AAAAAH+/Tu0=")</f>
        <v>#VALUE!</v>
      </c>
      <c r="IE72" t="e">
        <f>AND(Bills!K203,"AAAAAH+/Tu4=")</f>
        <v>#VALUE!</v>
      </c>
      <c r="IF72" t="e">
        <f>AND(Bills!L203,"AAAAAH+/Tu8=")</f>
        <v>#VALUE!</v>
      </c>
      <c r="IG72" t="e">
        <f>AND(Bills!#REF!,"AAAAAH+/TvA=")</f>
        <v>#REF!</v>
      </c>
      <c r="IH72" t="e">
        <f>AND(Bills!M203,"AAAAAH+/TvE=")</f>
        <v>#VALUE!</v>
      </c>
      <c r="II72" t="e">
        <f>AND(Bills!N203,"AAAAAH+/TvI=")</f>
        <v>#VALUE!</v>
      </c>
      <c r="IJ72" t="e">
        <f>AND(Bills!O203,"AAAAAH+/TvM=")</f>
        <v>#VALUE!</v>
      </c>
      <c r="IK72" t="e">
        <f>AND(Bills!P203,"AAAAAH+/TvQ=")</f>
        <v>#VALUE!</v>
      </c>
      <c r="IL72" t="e">
        <f>AND(Bills!Q203,"AAAAAH+/TvU=")</f>
        <v>#VALUE!</v>
      </c>
      <c r="IM72" t="e">
        <f>AND(Bills!R203,"AAAAAH+/TvY=")</f>
        <v>#VALUE!</v>
      </c>
      <c r="IN72" t="e">
        <f>AND(Bills!S203,"AAAAAH+/Tvc=")</f>
        <v>#VALUE!</v>
      </c>
      <c r="IO72" t="e">
        <f>AND(Bills!T203,"AAAAAH+/Tvg=")</f>
        <v>#VALUE!</v>
      </c>
      <c r="IP72" t="e">
        <f>AND(Bills!#REF!,"AAAAAH+/Tvk=")</f>
        <v>#REF!</v>
      </c>
      <c r="IQ72" t="e">
        <f>AND(Bills!U203,"AAAAAH+/Tvo=")</f>
        <v>#VALUE!</v>
      </c>
      <c r="IR72" t="e">
        <f>AND(Bills!V203,"AAAAAH+/Tvs=")</f>
        <v>#VALUE!</v>
      </c>
      <c r="IS72" t="e">
        <f>AND(Bills!W203,"AAAAAH+/Tvw=")</f>
        <v>#VALUE!</v>
      </c>
      <c r="IT72" t="e">
        <f>AND(Bills!#REF!,"AAAAAH+/Tv0=")</f>
        <v>#REF!</v>
      </c>
      <c r="IU72" t="e">
        <f>AND(Bills!#REF!,"AAAAAH+/Tv4=")</f>
        <v>#REF!</v>
      </c>
      <c r="IV72" t="e">
        <f>AND(Bills!Y203,"AAAAAH+/Tv8=")</f>
        <v>#VALUE!</v>
      </c>
    </row>
    <row r="73" spans="1:256" x14ac:dyDescent="0.25">
      <c r="A73" t="e">
        <f>AND(Bills!Z203,"AAAAAH313gA=")</f>
        <v>#VALUE!</v>
      </c>
      <c r="B73" t="e">
        <f>AND(Bills!#REF!,"AAAAAH313gE=")</f>
        <v>#REF!</v>
      </c>
      <c r="C73" t="e">
        <f>AND(Bills!#REF!,"AAAAAH313gI=")</f>
        <v>#REF!</v>
      </c>
      <c r="D73" t="e">
        <f>AND(Bills!#REF!,"AAAAAH313gM=")</f>
        <v>#REF!</v>
      </c>
      <c r="E73" t="e">
        <f>AND(Bills!#REF!,"AAAAAH313gQ=")</f>
        <v>#REF!</v>
      </c>
      <c r="F73" t="e">
        <f>AND(Bills!#REF!,"AAAAAH313gU=")</f>
        <v>#REF!</v>
      </c>
      <c r="G73" t="e">
        <f>AND(Bills!#REF!,"AAAAAH313gY=")</f>
        <v>#REF!</v>
      </c>
      <c r="H73" t="e">
        <f>AND(Bills!#REF!,"AAAAAH313gc=")</f>
        <v>#REF!</v>
      </c>
      <c r="I73" t="e">
        <f>AND(Bills!#REF!,"AAAAAH313gg=")</f>
        <v>#REF!</v>
      </c>
      <c r="J73" t="e">
        <f>AND(Bills!#REF!,"AAAAAH313gk=")</f>
        <v>#REF!</v>
      </c>
      <c r="K73" t="e">
        <f>AND(Bills!AA203,"AAAAAH313go=")</f>
        <v>#VALUE!</v>
      </c>
      <c r="L73" t="e">
        <f>AND(Bills!AB203,"AAAAAH313gs=")</f>
        <v>#VALUE!</v>
      </c>
      <c r="M73" t="e">
        <f>AND(Bills!#REF!,"AAAAAH313gw=")</f>
        <v>#REF!</v>
      </c>
      <c r="N73" t="e">
        <f>AND(Bills!#REF!,"AAAAAH313g0=")</f>
        <v>#REF!</v>
      </c>
      <c r="O73" t="e">
        <f>AND(Bills!#REF!,"AAAAAH313g4=")</f>
        <v>#REF!</v>
      </c>
      <c r="P73" t="e">
        <f>AND(Bills!AC203,"AAAAAH313g8=")</f>
        <v>#VALUE!</v>
      </c>
      <c r="Q73" t="e">
        <f>AND(Bills!AD203,"AAAAAH313hA=")</f>
        <v>#VALUE!</v>
      </c>
      <c r="R73" t="e">
        <f>AND(Bills!AE203,"AAAAAH313hE=")</f>
        <v>#VALUE!</v>
      </c>
      <c r="S73">
        <f>IF(Bills!204:204,"AAAAAH313hI=",0)</f>
        <v>0</v>
      </c>
      <c r="T73" t="e">
        <f>AND(Bills!B204,"AAAAAH313hM=")</f>
        <v>#VALUE!</v>
      </c>
      <c r="U73" t="e">
        <f>AND(Bills!#REF!,"AAAAAH313hQ=")</f>
        <v>#REF!</v>
      </c>
      <c r="V73" t="e">
        <f>AND(Bills!C204,"AAAAAH313hU=")</f>
        <v>#VALUE!</v>
      </c>
      <c r="W73" t="e">
        <f>AND(Bills!D204,"AAAAAH313hY=")</f>
        <v>#VALUE!</v>
      </c>
      <c r="X73" t="e">
        <f>AND(Bills!E204,"AAAAAH313hc=")</f>
        <v>#VALUE!</v>
      </c>
      <c r="Y73" t="e">
        <f>AND(Bills!#REF!,"AAAAAH313hg=")</f>
        <v>#REF!</v>
      </c>
      <c r="Z73" t="e">
        <f>AND(Bills!#REF!,"AAAAAH313hk=")</f>
        <v>#REF!</v>
      </c>
      <c r="AA73" t="e">
        <f>AND(Bills!#REF!,"AAAAAH313ho=")</f>
        <v>#REF!</v>
      </c>
      <c r="AB73" t="e">
        <f>AND(Bills!F204,"AAAAAH313hs=")</f>
        <v>#VALUE!</v>
      </c>
      <c r="AC73" t="e">
        <f>AND(Bills!#REF!,"AAAAAH313hw=")</f>
        <v>#REF!</v>
      </c>
      <c r="AD73" t="e">
        <f>AND(Bills!G204,"AAAAAH313h0=")</f>
        <v>#VALUE!</v>
      </c>
      <c r="AE73" t="e">
        <f>AND(Bills!H204,"AAAAAH313h4=")</f>
        <v>#VALUE!</v>
      </c>
      <c r="AF73" t="e">
        <f>AND(Bills!I204,"AAAAAH313h8=")</f>
        <v>#VALUE!</v>
      </c>
      <c r="AG73" t="e">
        <f>AND(Bills!J204,"AAAAAH313iA=")</f>
        <v>#VALUE!</v>
      </c>
      <c r="AH73" t="e">
        <f>AND(Bills!K204,"AAAAAH313iE=")</f>
        <v>#VALUE!</v>
      </c>
      <c r="AI73" t="e">
        <f>AND(Bills!L204,"AAAAAH313iI=")</f>
        <v>#VALUE!</v>
      </c>
      <c r="AJ73" t="e">
        <f>AND(Bills!#REF!,"AAAAAH313iM=")</f>
        <v>#REF!</v>
      </c>
      <c r="AK73" t="e">
        <f>AND(Bills!M204,"AAAAAH313iQ=")</f>
        <v>#VALUE!</v>
      </c>
      <c r="AL73" t="e">
        <f>AND(Bills!N204,"AAAAAH313iU=")</f>
        <v>#VALUE!</v>
      </c>
      <c r="AM73" t="e">
        <f>AND(Bills!O204,"AAAAAH313iY=")</f>
        <v>#VALUE!</v>
      </c>
      <c r="AN73" t="e">
        <f>AND(Bills!P204,"AAAAAH313ic=")</f>
        <v>#VALUE!</v>
      </c>
      <c r="AO73" t="e">
        <f>AND(Bills!Q204,"AAAAAH313ig=")</f>
        <v>#VALUE!</v>
      </c>
      <c r="AP73" t="e">
        <f>AND(Bills!R204,"AAAAAH313ik=")</f>
        <v>#VALUE!</v>
      </c>
      <c r="AQ73" t="e">
        <f>AND(Bills!S204,"AAAAAH313io=")</f>
        <v>#VALUE!</v>
      </c>
      <c r="AR73" t="e">
        <f>AND(Bills!T204,"AAAAAH313is=")</f>
        <v>#VALUE!</v>
      </c>
      <c r="AS73" t="e">
        <f>AND(Bills!#REF!,"AAAAAH313iw=")</f>
        <v>#REF!</v>
      </c>
      <c r="AT73" t="e">
        <f>AND(Bills!U204,"AAAAAH313i0=")</f>
        <v>#VALUE!</v>
      </c>
      <c r="AU73" t="e">
        <f>AND(Bills!V204,"AAAAAH313i4=")</f>
        <v>#VALUE!</v>
      </c>
      <c r="AV73" t="e">
        <f>AND(Bills!W204,"AAAAAH313i8=")</f>
        <v>#VALUE!</v>
      </c>
      <c r="AW73" t="e">
        <f>AND(Bills!#REF!,"AAAAAH313jA=")</f>
        <v>#REF!</v>
      </c>
      <c r="AX73" t="e">
        <f>AND(Bills!#REF!,"AAAAAH313jE=")</f>
        <v>#REF!</v>
      </c>
      <c r="AY73" t="e">
        <f>AND(Bills!Y204,"AAAAAH313jI=")</f>
        <v>#VALUE!</v>
      </c>
      <c r="AZ73" t="e">
        <f>AND(Bills!Z204,"AAAAAH313jM=")</f>
        <v>#VALUE!</v>
      </c>
      <c r="BA73" t="e">
        <f>AND(Bills!#REF!,"AAAAAH313jQ=")</f>
        <v>#REF!</v>
      </c>
      <c r="BB73" t="e">
        <f>AND(Bills!#REF!,"AAAAAH313jU=")</f>
        <v>#REF!</v>
      </c>
      <c r="BC73" t="e">
        <f>AND(Bills!#REF!,"AAAAAH313jY=")</f>
        <v>#REF!</v>
      </c>
      <c r="BD73" t="e">
        <f>AND(Bills!#REF!,"AAAAAH313jc=")</f>
        <v>#REF!</v>
      </c>
      <c r="BE73" t="e">
        <f>AND(Bills!#REF!,"AAAAAH313jg=")</f>
        <v>#REF!</v>
      </c>
      <c r="BF73" t="e">
        <f>AND(Bills!#REF!,"AAAAAH313jk=")</f>
        <v>#REF!</v>
      </c>
      <c r="BG73" t="e">
        <f>AND(Bills!#REF!,"AAAAAH313jo=")</f>
        <v>#REF!</v>
      </c>
      <c r="BH73" t="e">
        <f>AND(Bills!#REF!,"AAAAAH313js=")</f>
        <v>#REF!</v>
      </c>
      <c r="BI73" t="e">
        <f>AND(Bills!#REF!,"AAAAAH313jw=")</f>
        <v>#REF!</v>
      </c>
      <c r="BJ73" t="e">
        <f>AND(Bills!AA204,"AAAAAH313j0=")</f>
        <v>#VALUE!</v>
      </c>
      <c r="BK73" t="e">
        <f>AND(Bills!AB204,"AAAAAH313j4=")</f>
        <v>#VALUE!</v>
      </c>
      <c r="BL73" t="e">
        <f>AND(Bills!#REF!,"AAAAAH313j8=")</f>
        <v>#REF!</v>
      </c>
      <c r="BM73" t="e">
        <f>AND(Bills!#REF!,"AAAAAH313kA=")</f>
        <v>#REF!</v>
      </c>
      <c r="BN73" t="e">
        <f>AND(Bills!#REF!,"AAAAAH313kE=")</f>
        <v>#REF!</v>
      </c>
      <c r="BO73" t="e">
        <f>AND(Bills!AC204,"AAAAAH313kI=")</f>
        <v>#VALUE!</v>
      </c>
      <c r="BP73" t="e">
        <f>AND(Bills!AD204,"AAAAAH313kM=")</f>
        <v>#VALUE!</v>
      </c>
      <c r="BQ73" t="e">
        <f>AND(Bills!AE204,"AAAAAH313kQ=")</f>
        <v>#VALUE!</v>
      </c>
      <c r="BR73">
        <f>IF(Bills!205:205,"AAAAAH313kU=",0)</f>
        <v>0</v>
      </c>
      <c r="BS73" t="e">
        <f>AND(Bills!B205,"AAAAAH313kY=")</f>
        <v>#VALUE!</v>
      </c>
      <c r="BT73" t="e">
        <f>AND(Bills!#REF!,"AAAAAH313kc=")</f>
        <v>#REF!</v>
      </c>
      <c r="BU73" t="e">
        <f>AND(Bills!C205,"AAAAAH313kg=")</f>
        <v>#VALUE!</v>
      </c>
      <c r="BV73" t="e">
        <f>AND(Bills!D205,"AAAAAH313kk=")</f>
        <v>#VALUE!</v>
      </c>
      <c r="BW73" t="e">
        <f>AND(Bills!E205,"AAAAAH313ko=")</f>
        <v>#VALUE!</v>
      </c>
      <c r="BX73" t="e">
        <f>AND(Bills!#REF!,"AAAAAH313ks=")</f>
        <v>#REF!</v>
      </c>
      <c r="BY73" t="e">
        <f>AND(Bills!#REF!,"AAAAAH313kw=")</f>
        <v>#REF!</v>
      </c>
      <c r="BZ73" t="e">
        <f>AND(Bills!#REF!,"AAAAAH313k0=")</f>
        <v>#REF!</v>
      </c>
      <c r="CA73" t="e">
        <f>AND(Bills!F205,"AAAAAH313k4=")</f>
        <v>#VALUE!</v>
      </c>
      <c r="CB73" t="e">
        <f>AND(Bills!#REF!,"AAAAAH313k8=")</f>
        <v>#REF!</v>
      </c>
      <c r="CC73" t="e">
        <f>AND(Bills!G205,"AAAAAH313lA=")</f>
        <v>#VALUE!</v>
      </c>
      <c r="CD73" t="e">
        <f>AND(Bills!H205,"AAAAAH313lE=")</f>
        <v>#VALUE!</v>
      </c>
      <c r="CE73" t="e">
        <f>AND(Bills!I205,"AAAAAH313lI=")</f>
        <v>#VALUE!</v>
      </c>
      <c r="CF73" t="e">
        <f>AND(Bills!J205,"AAAAAH313lM=")</f>
        <v>#VALUE!</v>
      </c>
      <c r="CG73" t="e">
        <f>AND(Bills!K205,"AAAAAH313lQ=")</f>
        <v>#VALUE!</v>
      </c>
      <c r="CH73" t="e">
        <f>AND(Bills!L205,"AAAAAH313lU=")</f>
        <v>#VALUE!</v>
      </c>
      <c r="CI73" t="e">
        <f>AND(Bills!#REF!,"AAAAAH313lY=")</f>
        <v>#REF!</v>
      </c>
      <c r="CJ73" t="e">
        <f>AND(Bills!M205,"AAAAAH313lc=")</f>
        <v>#VALUE!</v>
      </c>
      <c r="CK73" t="e">
        <f>AND(Bills!N205,"AAAAAH313lg=")</f>
        <v>#VALUE!</v>
      </c>
      <c r="CL73" t="e">
        <f>AND(Bills!O205,"AAAAAH313lk=")</f>
        <v>#VALUE!</v>
      </c>
      <c r="CM73" t="e">
        <f>AND(Bills!P205,"AAAAAH313lo=")</f>
        <v>#VALUE!</v>
      </c>
      <c r="CN73" t="e">
        <f>AND(Bills!Q205,"AAAAAH313ls=")</f>
        <v>#VALUE!</v>
      </c>
      <c r="CO73" t="e">
        <f>AND(Bills!R205,"AAAAAH313lw=")</f>
        <v>#VALUE!</v>
      </c>
      <c r="CP73" t="e">
        <f>AND(Bills!S205,"AAAAAH313l0=")</f>
        <v>#VALUE!</v>
      </c>
      <c r="CQ73" t="e">
        <f>AND(Bills!T205,"AAAAAH313l4=")</f>
        <v>#VALUE!</v>
      </c>
      <c r="CR73" t="e">
        <f>AND(Bills!#REF!,"AAAAAH313l8=")</f>
        <v>#REF!</v>
      </c>
      <c r="CS73" t="e">
        <f>AND(Bills!U205,"AAAAAH313mA=")</f>
        <v>#VALUE!</v>
      </c>
      <c r="CT73" t="e">
        <f>AND(Bills!V205,"AAAAAH313mE=")</f>
        <v>#VALUE!</v>
      </c>
      <c r="CU73" t="e">
        <f>AND(Bills!W205,"AAAAAH313mI=")</f>
        <v>#VALUE!</v>
      </c>
      <c r="CV73" t="e">
        <f>AND(Bills!#REF!,"AAAAAH313mM=")</f>
        <v>#REF!</v>
      </c>
      <c r="CW73" t="e">
        <f>AND(Bills!#REF!,"AAAAAH313mQ=")</f>
        <v>#REF!</v>
      </c>
      <c r="CX73" t="e">
        <f>AND(Bills!Y205,"AAAAAH313mU=")</f>
        <v>#VALUE!</v>
      </c>
      <c r="CY73" t="e">
        <f>AND(Bills!Z205,"AAAAAH313mY=")</f>
        <v>#VALUE!</v>
      </c>
      <c r="CZ73" t="e">
        <f>AND(Bills!#REF!,"AAAAAH313mc=")</f>
        <v>#REF!</v>
      </c>
      <c r="DA73" t="e">
        <f>AND(Bills!#REF!,"AAAAAH313mg=")</f>
        <v>#REF!</v>
      </c>
      <c r="DB73" t="e">
        <f>AND(Bills!#REF!,"AAAAAH313mk=")</f>
        <v>#REF!</v>
      </c>
      <c r="DC73" t="e">
        <f>AND(Bills!#REF!,"AAAAAH313mo=")</f>
        <v>#REF!</v>
      </c>
      <c r="DD73" t="e">
        <f>AND(Bills!#REF!,"AAAAAH313ms=")</f>
        <v>#REF!</v>
      </c>
      <c r="DE73" t="e">
        <f>AND(Bills!#REF!,"AAAAAH313mw=")</f>
        <v>#REF!</v>
      </c>
      <c r="DF73" t="e">
        <f>AND(Bills!#REF!,"AAAAAH313m0=")</f>
        <v>#REF!</v>
      </c>
      <c r="DG73" t="e">
        <f>AND(Bills!#REF!,"AAAAAH313m4=")</f>
        <v>#REF!</v>
      </c>
      <c r="DH73" t="e">
        <f>AND(Bills!#REF!,"AAAAAH313m8=")</f>
        <v>#REF!</v>
      </c>
      <c r="DI73" t="e">
        <f>AND(Bills!AA205,"AAAAAH313nA=")</f>
        <v>#VALUE!</v>
      </c>
      <c r="DJ73" t="e">
        <f>AND(Bills!AB205,"AAAAAH313nE=")</f>
        <v>#VALUE!</v>
      </c>
      <c r="DK73" t="e">
        <f>AND(Bills!#REF!,"AAAAAH313nI=")</f>
        <v>#REF!</v>
      </c>
      <c r="DL73" t="e">
        <f>AND(Bills!#REF!,"AAAAAH313nM=")</f>
        <v>#REF!</v>
      </c>
      <c r="DM73" t="e">
        <f>AND(Bills!#REF!,"AAAAAH313nQ=")</f>
        <v>#REF!</v>
      </c>
      <c r="DN73" t="e">
        <f>AND(Bills!AC205,"AAAAAH313nU=")</f>
        <v>#VALUE!</v>
      </c>
      <c r="DO73" t="e">
        <f>AND(Bills!AD205,"AAAAAH313nY=")</f>
        <v>#VALUE!</v>
      </c>
      <c r="DP73" t="e">
        <f>AND(Bills!AE205,"AAAAAH313nc=")</f>
        <v>#VALUE!</v>
      </c>
      <c r="DQ73">
        <f>IF(Bills!206:206,"AAAAAH313ng=",0)</f>
        <v>0</v>
      </c>
      <c r="DR73" t="e">
        <f>AND(Bills!B206,"AAAAAH313nk=")</f>
        <v>#VALUE!</v>
      </c>
      <c r="DS73" t="e">
        <f>AND(Bills!#REF!,"AAAAAH313no=")</f>
        <v>#REF!</v>
      </c>
      <c r="DT73" t="e">
        <f>AND(Bills!C206,"AAAAAH313ns=")</f>
        <v>#VALUE!</v>
      </c>
      <c r="DU73" t="e">
        <f>AND(Bills!D206,"AAAAAH313nw=")</f>
        <v>#VALUE!</v>
      </c>
      <c r="DV73" t="e">
        <f>AND(Bills!E206,"AAAAAH313n0=")</f>
        <v>#VALUE!</v>
      </c>
      <c r="DW73" t="e">
        <f>AND(Bills!#REF!,"AAAAAH313n4=")</f>
        <v>#REF!</v>
      </c>
      <c r="DX73" t="e">
        <f>AND(Bills!#REF!,"AAAAAH313n8=")</f>
        <v>#REF!</v>
      </c>
      <c r="DY73" t="e">
        <f>AND(Bills!#REF!,"AAAAAH313oA=")</f>
        <v>#REF!</v>
      </c>
      <c r="DZ73" t="e">
        <f>AND(Bills!F206,"AAAAAH313oE=")</f>
        <v>#VALUE!</v>
      </c>
      <c r="EA73" t="e">
        <f>AND(Bills!#REF!,"AAAAAH313oI=")</f>
        <v>#REF!</v>
      </c>
      <c r="EB73" t="e">
        <f>AND(Bills!G206,"AAAAAH313oM=")</f>
        <v>#VALUE!</v>
      </c>
      <c r="EC73" t="e">
        <f>AND(Bills!H206,"AAAAAH313oQ=")</f>
        <v>#VALUE!</v>
      </c>
      <c r="ED73" t="e">
        <f>AND(Bills!I206,"AAAAAH313oU=")</f>
        <v>#VALUE!</v>
      </c>
      <c r="EE73" t="e">
        <f>AND(Bills!J206,"AAAAAH313oY=")</f>
        <v>#VALUE!</v>
      </c>
      <c r="EF73" t="e">
        <f>AND(Bills!K206,"AAAAAH313oc=")</f>
        <v>#VALUE!</v>
      </c>
      <c r="EG73" t="e">
        <f>AND(Bills!L206,"AAAAAH313og=")</f>
        <v>#VALUE!</v>
      </c>
      <c r="EH73" t="e">
        <f>AND(Bills!#REF!,"AAAAAH313ok=")</f>
        <v>#REF!</v>
      </c>
      <c r="EI73" t="e">
        <f>AND(Bills!M206,"AAAAAH313oo=")</f>
        <v>#VALUE!</v>
      </c>
      <c r="EJ73" t="e">
        <f>AND(Bills!N206,"AAAAAH313os=")</f>
        <v>#VALUE!</v>
      </c>
      <c r="EK73" t="e">
        <f>AND(Bills!O206,"AAAAAH313ow=")</f>
        <v>#VALUE!</v>
      </c>
      <c r="EL73" t="e">
        <f>AND(Bills!P206,"AAAAAH313o0=")</f>
        <v>#VALUE!</v>
      </c>
      <c r="EM73" t="e">
        <f>AND(Bills!Q206,"AAAAAH313o4=")</f>
        <v>#VALUE!</v>
      </c>
      <c r="EN73" t="e">
        <f>AND(Bills!R206,"AAAAAH313o8=")</f>
        <v>#VALUE!</v>
      </c>
      <c r="EO73" t="e">
        <f>AND(Bills!S206,"AAAAAH313pA=")</f>
        <v>#VALUE!</v>
      </c>
      <c r="EP73" t="e">
        <f>AND(Bills!T206,"AAAAAH313pE=")</f>
        <v>#VALUE!</v>
      </c>
      <c r="EQ73" t="e">
        <f>AND(Bills!#REF!,"AAAAAH313pI=")</f>
        <v>#REF!</v>
      </c>
      <c r="ER73" t="e">
        <f>AND(Bills!U206,"AAAAAH313pM=")</f>
        <v>#VALUE!</v>
      </c>
      <c r="ES73" t="e">
        <f>AND(Bills!V206,"AAAAAH313pQ=")</f>
        <v>#VALUE!</v>
      </c>
      <c r="ET73" t="e">
        <f>AND(Bills!W206,"AAAAAH313pU=")</f>
        <v>#VALUE!</v>
      </c>
      <c r="EU73" t="e">
        <f>AND(Bills!#REF!,"AAAAAH313pY=")</f>
        <v>#REF!</v>
      </c>
      <c r="EV73" t="e">
        <f>AND(Bills!#REF!,"AAAAAH313pc=")</f>
        <v>#REF!</v>
      </c>
      <c r="EW73" t="e">
        <f>AND(Bills!Y206,"AAAAAH313pg=")</f>
        <v>#VALUE!</v>
      </c>
      <c r="EX73" t="e">
        <f>AND(Bills!Z206,"AAAAAH313pk=")</f>
        <v>#VALUE!</v>
      </c>
      <c r="EY73" t="e">
        <f>AND(Bills!#REF!,"AAAAAH313po=")</f>
        <v>#REF!</v>
      </c>
      <c r="EZ73" t="e">
        <f>AND(Bills!#REF!,"AAAAAH313ps=")</f>
        <v>#REF!</v>
      </c>
      <c r="FA73" t="e">
        <f>AND(Bills!#REF!,"AAAAAH313pw=")</f>
        <v>#REF!</v>
      </c>
      <c r="FB73" t="e">
        <f>AND(Bills!#REF!,"AAAAAH313p0=")</f>
        <v>#REF!</v>
      </c>
      <c r="FC73" t="e">
        <f>AND(Bills!#REF!,"AAAAAH313p4=")</f>
        <v>#REF!</v>
      </c>
      <c r="FD73" t="e">
        <f>AND(Bills!#REF!,"AAAAAH313p8=")</f>
        <v>#REF!</v>
      </c>
      <c r="FE73" t="e">
        <f>AND(Bills!#REF!,"AAAAAH313qA=")</f>
        <v>#REF!</v>
      </c>
      <c r="FF73" t="e">
        <f>AND(Bills!#REF!,"AAAAAH313qE=")</f>
        <v>#REF!</v>
      </c>
      <c r="FG73" t="e">
        <f>AND(Bills!#REF!,"AAAAAH313qI=")</f>
        <v>#REF!</v>
      </c>
      <c r="FH73" t="e">
        <f>AND(Bills!AA206,"AAAAAH313qM=")</f>
        <v>#VALUE!</v>
      </c>
      <c r="FI73" t="e">
        <f>AND(Bills!AB206,"AAAAAH313qQ=")</f>
        <v>#VALUE!</v>
      </c>
      <c r="FJ73" t="e">
        <f>AND(Bills!#REF!,"AAAAAH313qU=")</f>
        <v>#REF!</v>
      </c>
      <c r="FK73" t="e">
        <f>AND(Bills!#REF!,"AAAAAH313qY=")</f>
        <v>#REF!</v>
      </c>
      <c r="FL73" t="e">
        <f>AND(Bills!#REF!,"AAAAAH313qc=")</f>
        <v>#REF!</v>
      </c>
      <c r="FM73" t="e">
        <f>AND(Bills!AC206,"AAAAAH313qg=")</f>
        <v>#VALUE!</v>
      </c>
      <c r="FN73" t="e">
        <f>AND(Bills!AD206,"AAAAAH313qk=")</f>
        <v>#VALUE!</v>
      </c>
      <c r="FO73" t="e">
        <f>AND(Bills!AE206,"AAAAAH313qo=")</f>
        <v>#VALUE!</v>
      </c>
      <c r="FP73">
        <f>IF(Bills!207:207,"AAAAAH313qs=",0)</f>
        <v>0</v>
      </c>
      <c r="FQ73" t="e">
        <f>AND(Bills!B207,"AAAAAH313qw=")</f>
        <v>#VALUE!</v>
      </c>
      <c r="FR73" t="e">
        <f>AND(Bills!#REF!,"AAAAAH313q0=")</f>
        <v>#REF!</v>
      </c>
      <c r="FS73" t="e">
        <f>AND(Bills!C207,"AAAAAH313q4=")</f>
        <v>#VALUE!</v>
      </c>
      <c r="FT73" t="e">
        <f>AND(Bills!D207,"AAAAAH313q8=")</f>
        <v>#VALUE!</v>
      </c>
      <c r="FU73" t="e">
        <f>AND(Bills!E207,"AAAAAH313rA=")</f>
        <v>#VALUE!</v>
      </c>
      <c r="FV73" t="e">
        <f>AND(Bills!#REF!,"AAAAAH313rE=")</f>
        <v>#REF!</v>
      </c>
      <c r="FW73" t="e">
        <f>AND(Bills!#REF!,"AAAAAH313rI=")</f>
        <v>#REF!</v>
      </c>
      <c r="FX73" t="e">
        <f>AND(Bills!#REF!,"AAAAAH313rM=")</f>
        <v>#REF!</v>
      </c>
      <c r="FY73" t="e">
        <f>AND(Bills!F207,"AAAAAH313rQ=")</f>
        <v>#VALUE!</v>
      </c>
      <c r="FZ73" t="e">
        <f>AND(Bills!#REF!,"AAAAAH313rU=")</f>
        <v>#REF!</v>
      </c>
      <c r="GA73" t="e">
        <f>AND(Bills!G207,"AAAAAH313rY=")</f>
        <v>#VALUE!</v>
      </c>
      <c r="GB73" t="e">
        <f>AND(Bills!H207,"AAAAAH313rc=")</f>
        <v>#VALUE!</v>
      </c>
      <c r="GC73" t="e">
        <f>AND(Bills!I207,"AAAAAH313rg=")</f>
        <v>#VALUE!</v>
      </c>
      <c r="GD73" t="e">
        <f>AND(Bills!J207,"AAAAAH313rk=")</f>
        <v>#VALUE!</v>
      </c>
      <c r="GE73" t="e">
        <f>AND(Bills!K207,"AAAAAH313ro=")</f>
        <v>#VALUE!</v>
      </c>
      <c r="GF73" t="e">
        <f>AND(Bills!L207,"AAAAAH313rs=")</f>
        <v>#VALUE!</v>
      </c>
      <c r="GG73" t="e">
        <f>AND(Bills!#REF!,"AAAAAH313rw=")</f>
        <v>#REF!</v>
      </c>
      <c r="GH73" t="e">
        <f>AND(Bills!M207,"AAAAAH313r0=")</f>
        <v>#VALUE!</v>
      </c>
      <c r="GI73" t="e">
        <f>AND(Bills!N207,"AAAAAH313r4=")</f>
        <v>#VALUE!</v>
      </c>
      <c r="GJ73" t="e">
        <f>AND(Bills!O207,"AAAAAH313r8=")</f>
        <v>#VALUE!</v>
      </c>
      <c r="GK73" t="e">
        <f>AND(Bills!P207,"AAAAAH313sA=")</f>
        <v>#VALUE!</v>
      </c>
      <c r="GL73" t="e">
        <f>AND(Bills!Q207,"AAAAAH313sE=")</f>
        <v>#VALUE!</v>
      </c>
      <c r="GM73" t="e">
        <f>AND(Bills!R207,"AAAAAH313sI=")</f>
        <v>#VALUE!</v>
      </c>
      <c r="GN73" t="e">
        <f>AND(Bills!S207,"AAAAAH313sM=")</f>
        <v>#VALUE!</v>
      </c>
      <c r="GO73" t="e">
        <f>AND(Bills!T207,"AAAAAH313sQ=")</f>
        <v>#VALUE!</v>
      </c>
      <c r="GP73" t="e">
        <f>AND(Bills!#REF!,"AAAAAH313sU=")</f>
        <v>#REF!</v>
      </c>
      <c r="GQ73" t="e">
        <f>AND(Bills!U207,"AAAAAH313sY=")</f>
        <v>#VALUE!</v>
      </c>
      <c r="GR73" t="e">
        <f>AND(Bills!V207,"AAAAAH313sc=")</f>
        <v>#VALUE!</v>
      </c>
      <c r="GS73" t="e">
        <f>AND(Bills!W207,"AAAAAH313sg=")</f>
        <v>#VALUE!</v>
      </c>
      <c r="GT73" t="e">
        <f>AND(Bills!#REF!,"AAAAAH313sk=")</f>
        <v>#REF!</v>
      </c>
      <c r="GU73" t="e">
        <f>AND(Bills!#REF!,"AAAAAH313so=")</f>
        <v>#REF!</v>
      </c>
      <c r="GV73" t="e">
        <f>AND(Bills!Y207,"AAAAAH313ss=")</f>
        <v>#VALUE!</v>
      </c>
      <c r="GW73" t="e">
        <f>AND(Bills!Z207,"AAAAAH313sw=")</f>
        <v>#VALUE!</v>
      </c>
      <c r="GX73" t="e">
        <f>AND(Bills!#REF!,"AAAAAH313s0=")</f>
        <v>#REF!</v>
      </c>
      <c r="GY73" t="e">
        <f>AND(Bills!#REF!,"AAAAAH313s4=")</f>
        <v>#REF!</v>
      </c>
      <c r="GZ73" t="e">
        <f>AND(Bills!#REF!,"AAAAAH313s8=")</f>
        <v>#REF!</v>
      </c>
      <c r="HA73" t="e">
        <f>AND(Bills!#REF!,"AAAAAH313tA=")</f>
        <v>#REF!</v>
      </c>
      <c r="HB73" t="e">
        <f>AND(Bills!#REF!,"AAAAAH313tE=")</f>
        <v>#REF!</v>
      </c>
      <c r="HC73" t="e">
        <f>AND(Bills!#REF!,"AAAAAH313tI=")</f>
        <v>#REF!</v>
      </c>
      <c r="HD73" t="e">
        <f>AND(Bills!#REF!,"AAAAAH313tM=")</f>
        <v>#REF!</v>
      </c>
      <c r="HE73" t="e">
        <f>AND(Bills!#REF!,"AAAAAH313tQ=")</f>
        <v>#REF!</v>
      </c>
      <c r="HF73" t="e">
        <f>AND(Bills!#REF!,"AAAAAH313tU=")</f>
        <v>#REF!</v>
      </c>
      <c r="HG73" t="e">
        <f>AND(Bills!AA207,"AAAAAH313tY=")</f>
        <v>#VALUE!</v>
      </c>
      <c r="HH73" t="e">
        <f>AND(Bills!AB207,"AAAAAH313tc=")</f>
        <v>#VALUE!</v>
      </c>
      <c r="HI73" t="e">
        <f>AND(Bills!#REF!,"AAAAAH313tg=")</f>
        <v>#REF!</v>
      </c>
      <c r="HJ73" t="e">
        <f>AND(Bills!#REF!,"AAAAAH313tk=")</f>
        <v>#REF!</v>
      </c>
      <c r="HK73" t="e">
        <f>AND(Bills!#REF!,"AAAAAH313to=")</f>
        <v>#REF!</v>
      </c>
      <c r="HL73" t="e">
        <f>AND(Bills!AC207,"AAAAAH313ts=")</f>
        <v>#VALUE!</v>
      </c>
      <c r="HM73" t="e">
        <f>AND(Bills!AD207,"AAAAAH313tw=")</f>
        <v>#VALUE!</v>
      </c>
      <c r="HN73" t="e">
        <f>AND(Bills!AE207,"AAAAAH313t0=")</f>
        <v>#VALUE!</v>
      </c>
      <c r="HO73">
        <f>IF(Bills!208:208,"AAAAAH313t4=",0)</f>
        <v>0</v>
      </c>
      <c r="HP73" t="e">
        <f>AND(Bills!B208,"AAAAAH313t8=")</f>
        <v>#VALUE!</v>
      </c>
      <c r="HQ73" t="e">
        <f>AND(Bills!#REF!,"AAAAAH313uA=")</f>
        <v>#REF!</v>
      </c>
      <c r="HR73" t="e">
        <f>AND(Bills!C208,"AAAAAH313uE=")</f>
        <v>#VALUE!</v>
      </c>
      <c r="HS73" t="e">
        <f>AND(Bills!D208,"AAAAAH313uI=")</f>
        <v>#VALUE!</v>
      </c>
      <c r="HT73" t="e">
        <f>AND(Bills!E208,"AAAAAH313uM=")</f>
        <v>#VALUE!</v>
      </c>
      <c r="HU73" t="e">
        <f>AND(Bills!#REF!,"AAAAAH313uQ=")</f>
        <v>#REF!</v>
      </c>
      <c r="HV73" t="e">
        <f>AND(Bills!#REF!,"AAAAAH313uU=")</f>
        <v>#REF!</v>
      </c>
      <c r="HW73" t="e">
        <f>AND(Bills!#REF!,"AAAAAH313uY=")</f>
        <v>#REF!</v>
      </c>
      <c r="HX73" t="e">
        <f>AND(Bills!F208,"AAAAAH313uc=")</f>
        <v>#VALUE!</v>
      </c>
      <c r="HY73" t="e">
        <f>AND(Bills!#REF!,"AAAAAH313ug=")</f>
        <v>#REF!</v>
      </c>
      <c r="HZ73" t="e">
        <f>AND(Bills!G208,"AAAAAH313uk=")</f>
        <v>#VALUE!</v>
      </c>
      <c r="IA73" t="e">
        <f>AND(Bills!H208,"AAAAAH313uo=")</f>
        <v>#VALUE!</v>
      </c>
      <c r="IB73" t="e">
        <f>AND(Bills!I208,"AAAAAH313us=")</f>
        <v>#VALUE!</v>
      </c>
      <c r="IC73" t="e">
        <f>AND(Bills!J208,"AAAAAH313uw=")</f>
        <v>#VALUE!</v>
      </c>
      <c r="ID73" t="e">
        <f>AND(Bills!K208,"AAAAAH313u0=")</f>
        <v>#VALUE!</v>
      </c>
      <c r="IE73" t="e">
        <f>AND(Bills!L208,"AAAAAH313u4=")</f>
        <v>#VALUE!</v>
      </c>
      <c r="IF73" t="e">
        <f>AND(Bills!#REF!,"AAAAAH313u8=")</f>
        <v>#REF!</v>
      </c>
      <c r="IG73" t="e">
        <f>AND(Bills!M208,"AAAAAH313vA=")</f>
        <v>#VALUE!</v>
      </c>
      <c r="IH73" t="e">
        <f>AND(Bills!N208,"AAAAAH313vE=")</f>
        <v>#VALUE!</v>
      </c>
      <c r="II73" t="e">
        <f>AND(Bills!O208,"AAAAAH313vI=")</f>
        <v>#VALUE!</v>
      </c>
      <c r="IJ73" t="e">
        <f>AND(Bills!P208,"AAAAAH313vM=")</f>
        <v>#VALUE!</v>
      </c>
      <c r="IK73" t="e">
        <f>AND(Bills!Q208,"AAAAAH313vQ=")</f>
        <v>#VALUE!</v>
      </c>
      <c r="IL73" t="e">
        <f>AND(Bills!R208,"AAAAAH313vU=")</f>
        <v>#VALUE!</v>
      </c>
      <c r="IM73" t="e">
        <f>AND(Bills!S208,"AAAAAH313vY=")</f>
        <v>#VALUE!</v>
      </c>
      <c r="IN73" t="e">
        <f>AND(Bills!T208,"AAAAAH313vc=")</f>
        <v>#VALUE!</v>
      </c>
      <c r="IO73" t="e">
        <f>AND(Bills!#REF!,"AAAAAH313vg=")</f>
        <v>#REF!</v>
      </c>
      <c r="IP73" t="e">
        <f>AND(Bills!U208,"AAAAAH313vk=")</f>
        <v>#VALUE!</v>
      </c>
      <c r="IQ73" t="e">
        <f>AND(Bills!V208,"AAAAAH313vo=")</f>
        <v>#VALUE!</v>
      </c>
      <c r="IR73" t="e">
        <f>AND(Bills!W208,"AAAAAH313vs=")</f>
        <v>#VALUE!</v>
      </c>
      <c r="IS73" t="e">
        <f>AND(Bills!#REF!,"AAAAAH313vw=")</f>
        <v>#REF!</v>
      </c>
      <c r="IT73" t="e">
        <f>AND(Bills!#REF!,"AAAAAH313v0=")</f>
        <v>#REF!</v>
      </c>
      <c r="IU73" t="e">
        <f>AND(Bills!Y208,"AAAAAH313v4=")</f>
        <v>#VALUE!</v>
      </c>
      <c r="IV73" t="e">
        <f>AND(Bills!Z208,"AAAAAH313v8=")</f>
        <v>#VALUE!</v>
      </c>
    </row>
    <row r="74" spans="1:256" x14ac:dyDescent="0.25">
      <c r="A74" t="e">
        <f>AND(Bills!#REF!,"AAAAAB3PxwA=")</f>
        <v>#REF!</v>
      </c>
      <c r="B74" t="e">
        <f>AND(Bills!#REF!,"AAAAAB3PxwE=")</f>
        <v>#REF!</v>
      </c>
      <c r="C74" t="e">
        <f>AND(Bills!#REF!,"AAAAAB3PxwI=")</f>
        <v>#REF!</v>
      </c>
      <c r="D74" t="e">
        <f>AND(Bills!#REF!,"AAAAAB3PxwM=")</f>
        <v>#REF!</v>
      </c>
      <c r="E74" t="e">
        <f>AND(Bills!#REF!,"AAAAAB3PxwQ=")</f>
        <v>#REF!</v>
      </c>
      <c r="F74" t="e">
        <f>AND(Bills!#REF!,"AAAAAB3PxwU=")</f>
        <v>#REF!</v>
      </c>
      <c r="G74" t="e">
        <f>AND(Bills!#REF!,"AAAAAB3PxwY=")</f>
        <v>#REF!</v>
      </c>
      <c r="H74" t="e">
        <f>AND(Bills!#REF!,"AAAAAB3Pxwc=")</f>
        <v>#REF!</v>
      </c>
      <c r="I74" t="e">
        <f>AND(Bills!#REF!,"AAAAAB3Pxwg=")</f>
        <v>#REF!</v>
      </c>
      <c r="J74" t="e">
        <f>AND(Bills!AA208,"AAAAAB3Pxwk=")</f>
        <v>#VALUE!</v>
      </c>
      <c r="K74" t="e">
        <f>AND(Bills!AB208,"AAAAAB3Pxwo=")</f>
        <v>#VALUE!</v>
      </c>
      <c r="L74" t="e">
        <f>AND(Bills!#REF!,"AAAAAB3Pxws=")</f>
        <v>#REF!</v>
      </c>
      <c r="M74" t="e">
        <f>AND(Bills!#REF!,"AAAAAB3Pxww=")</f>
        <v>#REF!</v>
      </c>
      <c r="N74" t="e">
        <f>AND(Bills!#REF!,"AAAAAB3Pxw0=")</f>
        <v>#REF!</v>
      </c>
      <c r="O74" t="e">
        <f>AND(Bills!AC208,"AAAAAB3Pxw4=")</f>
        <v>#VALUE!</v>
      </c>
      <c r="P74" t="e">
        <f>AND(Bills!AD208,"AAAAAB3Pxw8=")</f>
        <v>#VALUE!</v>
      </c>
      <c r="Q74" t="e">
        <f>AND(Bills!AE208,"AAAAAB3PxxA=")</f>
        <v>#VALUE!</v>
      </c>
      <c r="R74">
        <f>IF(Bills!209:209,"AAAAAB3PxxE=",0)</f>
        <v>0</v>
      </c>
      <c r="S74" t="e">
        <f>AND(Bills!B209,"AAAAAB3PxxI=")</f>
        <v>#VALUE!</v>
      </c>
      <c r="T74" t="e">
        <f>AND(Bills!#REF!,"AAAAAB3PxxM=")</f>
        <v>#REF!</v>
      </c>
      <c r="U74" t="e">
        <f>AND(Bills!C209,"AAAAAB3PxxQ=")</f>
        <v>#VALUE!</v>
      </c>
      <c r="V74" t="e">
        <f>AND(Bills!D209,"AAAAAB3PxxU=")</f>
        <v>#VALUE!</v>
      </c>
      <c r="W74" t="e">
        <f>AND(Bills!E209,"AAAAAB3PxxY=")</f>
        <v>#VALUE!</v>
      </c>
      <c r="X74" t="e">
        <f>AND(Bills!#REF!,"AAAAAB3Pxxc=")</f>
        <v>#REF!</v>
      </c>
      <c r="Y74" t="e">
        <f>AND(Bills!#REF!,"AAAAAB3Pxxg=")</f>
        <v>#REF!</v>
      </c>
      <c r="Z74" t="e">
        <f>AND(Bills!#REF!,"AAAAAB3Pxxk=")</f>
        <v>#REF!</v>
      </c>
      <c r="AA74" t="e">
        <f>AND(Bills!F209,"AAAAAB3Pxxo=")</f>
        <v>#VALUE!</v>
      </c>
      <c r="AB74" t="e">
        <f>AND(Bills!#REF!,"AAAAAB3Pxxs=")</f>
        <v>#REF!</v>
      </c>
      <c r="AC74" t="e">
        <f>AND(Bills!G209,"AAAAAB3Pxxw=")</f>
        <v>#VALUE!</v>
      </c>
      <c r="AD74" t="e">
        <f>AND(Bills!H209,"AAAAAB3Pxx0=")</f>
        <v>#VALUE!</v>
      </c>
      <c r="AE74" t="e">
        <f>AND(Bills!I209,"AAAAAB3Pxx4=")</f>
        <v>#VALUE!</v>
      </c>
      <c r="AF74" t="e">
        <f>AND(Bills!J209,"AAAAAB3Pxx8=")</f>
        <v>#VALUE!</v>
      </c>
      <c r="AG74" t="e">
        <f>AND(Bills!K209,"AAAAAB3PxyA=")</f>
        <v>#VALUE!</v>
      </c>
      <c r="AH74" t="e">
        <f>AND(Bills!L209,"AAAAAB3PxyE=")</f>
        <v>#VALUE!</v>
      </c>
      <c r="AI74" t="e">
        <f>AND(Bills!#REF!,"AAAAAB3PxyI=")</f>
        <v>#REF!</v>
      </c>
      <c r="AJ74" t="e">
        <f>AND(Bills!M209,"AAAAAB3PxyM=")</f>
        <v>#VALUE!</v>
      </c>
      <c r="AK74" t="e">
        <f>AND(Bills!N209,"AAAAAB3PxyQ=")</f>
        <v>#VALUE!</v>
      </c>
      <c r="AL74" t="e">
        <f>AND(Bills!O209,"AAAAAB3PxyU=")</f>
        <v>#VALUE!</v>
      </c>
      <c r="AM74" t="e">
        <f>AND(Bills!P209,"AAAAAB3PxyY=")</f>
        <v>#VALUE!</v>
      </c>
      <c r="AN74" t="e">
        <f>AND(Bills!Q209,"AAAAAB3Pxyc=")</f>
        <v>#VALUE!</v>
      </c>
      <c r="AO74" t="e">
        <f>AND(Bills!R209,"AAAAAB3Pxyg=")</f>
        <v>#VALUE!</v>
      </c>
      <c r="AP74" t="e">
        <f>AND(Bills!S209,"AAAAAB3Pxyk=")</f>
        <v>#VALUE!</v>
      </c>
      <c r="AQ74" t="e">
        <f>AND(Bills!T209,"AAAAAB3Pxyo=")</f>
        <v>#VALUE!</v>
      </c>
      <c r="AR74" t="e">
        <f>AND(Bills!#REF!,"AAAAAB3Pxys=")</f>
        <v>#REF!</v>
      </c>
      <c r="AS74" t="e">
        <f>AND(Bills!U209,"AAAAAB3Pxyw=")</f>
        <v>#VALUE!</v>
      </c>
      <c r="AT74" t="e">
        <f>AND(Bills!V209,"AAAAAB3Pxy0=")</f>
        <v>#VALUE!</v>
      </c>
      <c r="AU74" t="e">
        <f>AND(Bills!W209,"AAAAAB3Pxy4=")</f>
        <v>#VALUE!</v>
      </c>
      <c r="AV74" t="e">
        <f>AND(Bills!#REF!,"AAAAAB3Pxy8=")</f>
        <v>#REF!</v>
      </c>
      <c r="AW74" t="e">
        <f>AND(Bills!#REF!,"AAAAAB3PxzA=")</f>
        <v>#REF!</v>
      </c>
      <c r="AX74" t="e">
        <f>AND(Bills!Y209,"AAAAAB3PxzE=")</f>
        <v>#VALUE!</v>
      </c>
      <c r="AY74" t="e">
        <f>AND(Bills!Z209,"AAAAAB3PxzI=")</f>
        <v>#VALUE!</v>
      </c>
      <c r="AZ74" t="e">
        <f>AND(Bills!#REF!,"AAAAAB3PxzM=")</f>
        <v>#REF!</v>
      </c>
      <c r="BA74" t="e">
        <f>AND(Bills!#REF!,"AAAAAB3PxzQ=")</f>
        <v>#REF!</v>
      </c>
      <c r="BB74" t="e">
        <f>AND(Bills!#REF!,"AAAAAB3PxzU=")</f>
        <v>#REF!</v>
      </c>
      <c r="BC74" t="e">
        <f>AND(Bills!#REF!,"AAAAAB3PxzY=")</f>
        <v>#REF!</v>
      </c>
      <c r="BD74" t="e">
        <f>AND(Bills!#REF!,"AAAAAB3Pxzc=")</f>
        <v>#REF!</v>
      </c>
      <c r="BE74" t="e">
        <f>AND(Bills!#REF!,"AAAAAB3Pxzg=")</f>
        <v>#REF!</v>
      </c>
      <c r="BF74" t="e">
        <f>AND(Bills!#REF!,"AAAAAB3Pxzk=")</f>
        <v>#REF!</v>
      </c>
      <c r="BG74" t="e">
        <f>AND(Bills!#REF!,"AAAAAB3Pxzo=")</f>
        <v>#REF!</v>
      </c>
      <c r="BH74" t="e">
        <f>AND(Bills!#REF!,"AAAAAB3Pxzs=")</f>
        <v>#REF!</v>
      </c>
      <c r="BI74" t="e">
        <f>AND(Bills!AA209,"AAAAAB3Pxzw=")</f>
        <v>#VALUE!</v>
      </c>
      <c r="BJ74" t="e">
        <f>AND(Bills!AB209,"AAAAAB3Pxz0=")</f>
        <v>#VALUE!</v>
      </c>
      <c r="BK74" t="e">
        <f>AND(Bills!#REF!,"AAAAAB3Pxz4=")</f>
        <v>#REF!</v>
      </c>
      <c r="BL74" t="e">
        <f>AND(Bills!#REF!,"AAAAAB3Pxz8=")</f>
        <v>#REF!</v>
      </c>
      <c r="BM74" t="e">
        <f>AND(Bills!#REF!,"AAAAAB3Px0A=")</f>
        <v>#REF!</v>
      </c>
      <c r="BN74" t="e">
        <f>AND(Bills!AC209,"AAAAAB3Px0E=")</f>
        <v>#VALUE!</v>
      </c>
      <c r="BO74" t="e">
        <f>AND(Bills!AD209,"AAAAAB3Px0I=")</f>
        <v>#VALUE!</v>
      </c>
      <c r="BP74" t="e">
        <f>AND(Bills!AE209,"AAAAAB3Px0M=")</f>
        <v>#VALUE!</v>
      </c>
      <c r="BQ74">
        <f>IF(Bills!210:210,"AAAAAB3Px0Q=",0)</f>
        <v>0</v>
      </c>
      <c r="BR74" t="e">
        <f>AND(Bills!B210,"AAAAAB3Px0U=")</f>
        <v>#VALUE!</v>
      </c>
      <c r="BS74" t="e">
        <f>AND(Bills!#REF!,"AAAAAB3Px0Y=")</f>
        <v>#REF!</v>
      </c>
      <c r="BT74" t="e">
        <f>AND(Bills!C210,"AAAAAB3Px0c=")</f>
        <v>#VALUE!</v>
      </c>
      <c r="BU74" t="e">
        <f>AND(Bills!D210,"AAAAAB3Px0g=")</f>
        <v>#VALUE!</v>
      </c>
      <c r="BV74" t="e">
        <f>AND(Bills!E210,"AAAAAB3Px0k=")</f>
        <v>#VALUE!</v>
      </c>
      <c r="BW74" t="e">
        <f>AND(Bills!#REF!,"AAAAAB3Px0o=")</f>
        <v>#REF!</v>
      </c>
      <c r="BX74" t="e">
        <f>AND(Bills!#REF!,"AAAAAB3Px0s=")</f>
        <v>#REF!</v>
      </c>
      <c r="BY74" t="e">
        <f>AND(Bills!#REF!,"AAAAAB3Px0w=")</f>
        <v>#REF!</v>
      </c>
      <c r="BZ74" t="e">
        <f>AND(Bills!F210,"AAAAAB3Px00=")</f>
        <v>#VALUE!</v>
      </c>
      <c r="CA74" t="e">
        <f>AND(Bills!#REF!,"AAAAAB3Px04=")</f>
        <v>#REF!</v>
      </c>
      <c r="CB74" t="e">
        <f>AND(Bills!G210,"AAAAAB3Px08=")</f>
        <v>#VALUE!</v>
      </c>
      <c r="CC74" t="e">
        <f>AND(Bills!H210,"AAAAAB3Px1A=")</f>
        <v>#VALUE!</v>
      </c>
      <c r="CD74" t="e">
        <f>AND(Bills!I210,"AAAAAB3Px1E=")</f>
        <v>#VALUE!</v>
      </c>
      <c r="CE74" t="e">
        <f>AND(Bills!J210,"AAAAAB3Px1I=")</f>
        <v>#VALUE!</v>
      </c>
      <c r="CF74" t="e">
        <f>AND(Bills!K210,"AAAAAB3Px1M=")</f>
        <v>#VALUE!</v>
      </c>
      <c r="CG74" t="e">
        <f>AND(Bills!L210,"AAAAAB3Px1Q=")</f>
        <v>#VALUE!</v>
      </c>
      <c r="CH74" t="e">
        <f>AND(Bills!#REF!,"AAAAAB3Px1U=")</f>
        <v>#REF!</v>
      </c>
      <c r="CI74" t="e">
        <f>AND(Bills!M210,"AAAAAB3Px1Y=")</f>
        <v>#VALUE!</v>
      </c>
      <c r="CJ74" t="e">
        <f>AND(Bills!N210,"AAAAAB3Px1c=")</f>
        <v>#VALUE!</v>
      </c>
      <c r="CK74" t="e">
        <f>AND(Bills!O210,"AAAAAB3Px1g=")</f>
        <v>#VALUE!</v>
      </c>
      <c r="CL74" t="e">
        <f>AND(Bills!P210,"AAAAAB3Px1k=")</f>
        <v>#VALUE!</v>
      </c>
      <c r="CM74" t="e">
        <f>AND(Bills!Q210,"AAAAAB3Px1o=")</f>
        <v>#VALUE!</v>
      </c>
      <c r="CN74" t="e">
        <f>AND(Bills!R210,"AAAAAB3Px1s=")</f>
        <v>#VALUE!</v>
      </c>
      <c r="CO74" t="e">
        <f>AND(Bills!S210,"AAAAAB3Px1w=")</f>
        <v>#VALUE!</v>
      </c>
      <c r="CP74" t="e">
        <f>AND(Bills!T210,"AAAAAB3Px10=")</f>
        <v>#VALUE!</v>
      </c>
      <c r="CQ74" t="e">
        <f>AND(Bills!#REF!,"AAAAAB3Px14=")</f>
        <v>#REF!</v>
      </c>
      <c r="CR74" t="e">
        <f>AND(Bills!U210,"AAAAAB3Px18=")</f>
        <v>#VALUE!</v>
      </c>
      <c r="CS74" t="e">
        <f>AND(Bills!V210,"AAAAAB3Px2A=")</f>
        <v>#VALUE!</v>
      </c>
      <c r="CT74" t="e">
        <f>AND(Bills!W210,"AAAAAB3Px2E=")</f>
        <v>#VALUE!</v>
      </c>
      <c r="CU74" t="e">
        <f>AND(Bills!#REF!,"AAAAAB3Px2I=")</f>
        <v>#REF!</v>
      </c>
      <c r="CV74" t="e">
        <f>AND(Bills!#REF!,"AAAAAB3Px2M=")</f>
        <v>#REF!</v>
      </c>
      <c r="CW74" t="e">
        <f>AND(Bills!Y210,"AAAAAB3Px2Q=")</f>
        <v>#VALUE!</v>
      </c>
      <c r="CX74" t="e">
        <f>AND(Bills!Z210,"AAAAAB3Px2U=")</f>
        <v>#VALUE!</v>
      </c>
      <c r="CY74" t="e">
        <f>AND(Bills!#REF!,"AAAAAB3Px2Y=")</f>
        <v>#REF!</v>
      </c>
      <c r="CZ74" t="e">
        <f>AND(Bills!#REF!,"AAAAAB3Px2c=")</f>
        <v>#REF!</v>
      </c>
      <c r="DA74" t="e">
        <f>AND(Bills!#REF!,"AAAAAB3Px2g=")</f>
        <v>#REF!</v>
      </c>
      <c r="DB74" t="e">
        <f>AND(Bills!#REF!,"AAAAAB3Px2k=")</f>
        <v>#REF!</v>
      </c>
      <c r="DC74" t="e">
        <f>AND(Bills!#REF!,"AAAAAB3Px2o=")</f>
        <v>#REF!</v>
      </c>
      <c r="DD74" t="e">
        <f>AND(Bills!#REF!,"AAAAAB3Px2s=")</f>
        <v>#REF!</v>
      </c>
      <c r="DE74" t="e">
        <f>AND(Bills!#REF!,"AAAAAB3Px2w=")</f>
        <v>#REF!</v>
      </c>
      <c r="DF74" t="e">
        <f>AND(Bills!#REF!,"AAAAAB3Px20=")</f>
        <v>#REF!</v>
      </c>
      <c r="DG74" t="e">
        <f>AND(Bills!#REF!,"AAAAAB3Px24=")</f>
        <v>#REF!</v>
      </c>
      <c r="DH74" t="e">
        <f>AND(Bills!AA210,"AAAAAB3Px28=")</f>
        <v>#VALUE!</v>
      </c>
      <c r="DI74" t="e">
        <f>AND(Bills!AB210,"AAAAAB3Px3A=")</f>
        <v>#VALUE!</v>
      </c>
      <c r="DJ74" t="e">
        <f>AND(Bills!#REF!,"AAAAAB3Px3E=")</f>
        <v>#REF!</v>
      </c>
      <c r="DK74" t="e">
        <f>AND(Bills!#REF!,"AAAAAB3Px3I=")</f>
        <v>#REF!</v>
      </c>
      <c r="DL74" t="e">
        <f>AND(Bills!#REF!,"AAAAAB3Px3M=")</f>
        <v>#REF!</v>
      </c>
      <c r="DM74" t="e">
        <f>AND(Bills!AC210,"AAAAAB3Px3Q=")</f>
        <v>#VALUE!</v>
      </c>
      <c r="DN74" t="e">
        <f>AND(Bills!AD210,"AAAAAB3Px3U=")</f>
        <v>#VALUE!</v>
      </c>
      <c r="DO74" t="e">
        <f>AND(Bills!AE210,"AAAAAB3Px3Y=")</f>
        <v>#VALUE!</v>
      </c>
      <c r="DP74">
        <f>IF(Bills!211:211,"AAAAAB3Px3c=",0)</f>
        <v>0</v>
      </c>
      <c r="DQ74" t="e">
        <f>AND(Bills!B211,"AAAAAB3Px3g=")</f>
        <v>#VALUE!</v>
      </c>
      <c r="DR74" t="e">
        <f>AND(Bills!#REF!,"AAAAAB3Px3k=")</f>
        <v>#REF!</v>
      </c>
      <c r="DS74" t="e">
        <f>AND(Bills!C211,"AAAAAB3Px3o=")</f>
        <v>#VALUE!</v>
      </c>
      <c r="DT74" t="e">
        <f>AND(Bills!D211,"AAAAAB3Px3s=")</f>
        <v>#VALUE!</v>
      </c>
      <c r="DU74" t="e">
        <f>AND(Bills!E211,"AAAAAB3Px3w=")</f>
        <v>#VALUE!</v>
      </c>
      <c r="DV74" t="e">
        <f>AND(Bills!#REF!,"AAAAAB3Px30=")</f>
        <v>#REF!</v>
      </c>
      <c r="DW74" t="e">
        <f>AND(Bills!#REF!,"AAAAAB3Px34=")</f>
        <v>#REF!</v>
      </c>
      <c r="DX74" t="e">
        <f>AND(Bills!#REF!,"AAAAAB3Px38=")</f>
        <v>#REF!</v>
      </c>
      <c r="DY74" t="e">
        <f>AND(Bills!F211,"AAAAAB3Px4A=")</f>
        <v>#VALUE!</v>
      </c>
      <c r="DZ74" t="e">
        <f>AND(Bills!#REF!,"AAAAAB3Px4E=")</f>
        <v>#REF!</v>
      </c>
      <c r="EA74" t="e">
        <f>AND(Bills!G211,"AAAAAB3Px4I=")</f>
        <v>#VALUE!</v>
      </c>
      <c r="EB74" t="e">
        <f>AND(Bills!H211,"AAAAAB3Px4M=")</f>
        <v>#VALUE!</v>
      </c>
      <c r="EC74" t="e">
        <f>AND(Bills!I211,"AAAAAB3Px4Q=")</f>
        <v>#VALUE!</v>
      </c>
      <c r="ED74" t="e">
        <f>AND(Bills!J211,"AAAAAB3Px4U=")</f>
        <v>#VALUE!</v>
      </c>
      <c r="EE74" t="e">
        <f>AND(Bills!K211,"AAAAAB3Px4Y=")</f>
        <v>#VALUE!</v>
      </c>
      <c r="EF74" t="e">
        <f>AND(Bills!L211,"AAAAAB3Px4c=")</f>
        <v>#VALUE!</v>
      </c>
      <c r="EG74" t="e">
        <f>AND(Bills!#REF!,"AAAAAB3Px4g=")</f>
        <v>#REF!</v>
      </c>
      <c r="EH74" t="e">
        <f>AND(Bills!M211,"AAAAAB3Px4k=")</f>
        <v>#VALUE!</v>
      </c>
      <c r="EI74" t="e">
        <f>AND(Bills!N211,"AAAAAB3Px4o=")</f>
        <v>#VALUE!</v>
      </c>
      <c r="EJ74" t="e">
        <f>AND(Bills!O211,"AAAAAB3Px4s=")</f>
        <v>#VALUE!</v>
      </c>
      <c r="EK74" t="e">
        <f>AND(Bills!P211,"AAAAAB3Px4w=")</f>
        <v>#VALUE!</v>
      </c>
      <c r="EL74" t="e">
        <f>AND(Bills!Q211,"AAAAAB3Px40=")</f>
        <v>#VALUE!</v>
      </c>
      <c r="EM74" t="e">
        <f>AND(Bills!R211,"AAAAAB3Px44=")</f>
        <v>#VALUE!</v>
      </c>
      <c r="EN74" t="e">
        <f>AND(Bills!S211,"AAAAAB3Px48=")</f>
        <v>#VALUE!</v>
      </c>
      <c r="EO74" t="e">
        <f>AND(Bills!T211,"AAAAAB3Px5A=")</f>
        <v>#VALUE!</v>
      </c>
      <c r="EP74" t="e">
        <f>AND(Bills!#REF!,"AAAAAB3Px5E=")</f>
        <v>#REF!</v>
      </c>
      <c r="EQ74" t="e">
        <f>AND(Bills!U211,"AAAAAB3Px5I=")</f>
        <v>#VALUE!</v>
      </c>
      <c r="ER74" t="e">
        <f>AND(Bills!V211,"AAAAAB3Px5M=")</f>
        <v>#VALUE!</v>
      </c>
      <c r="ES74" t="e">
        <f>AND(Bills!W211,"AAAAAB3Px5Q=")</f>
        <v>#VALUE!</v>
      </c>
      <c r="ET74" t="e">
        <f>AND(Bills!#REF!,"AAAAAB3Px5U=")</f>
        <v>#REF!</v>
      </c>
      <c r="EU74" t="e">
        <f>AND(Bills!#REF!,"AAAAAB3Px5Y=")</f>
        <v>#REF!</v>
      </c>
      <c r="EV74" t="e">
        <f>AND(Bills!Y211,"AAAAAB3Px5c=")</f>
        <v>#VALUE!</v>
      </c>
      <c r="EW74" t="e">
        <f>AND(Bills!Z211,"AAAAAB3Px5g=")</f>
        <v>#VALUE!</v>
      </c>
      <c r="EX74" t="e">
        <f>AND(Bills!#REF!,"AAAAAB3Px5k=")</f>
        <v>#REF!</v>
      </c>
      <c r="EY74" t="e">
        <f>AND(Bills!#REF!,"AAAAAB3Px5o=")</f>
        <v>#REF!</v>
      </c>
      <c r="EZ74" t="e">
        <f>AND(Bills!#REF!,"AAAAAB3Px5s=")</f>
        <v>#REF!</v>
      </c>
      <c r="FA74" t="e">
        <f>AND(Bills!#REF!,"AAAAAB3Px5w=")</f>
        <v>#REF!</v>
      </c>
      <c r="FB74" t="e">
        <f>AND(Bills!#REF!,"AAAAAB3Px50=")</f>
        <v>#REF!</v>
      </c>
      <c r="FC74" t="e">
        <f>AND(Bills!#REF!,"AAAAAB3Px54=")</f>
        <v>#REF!</v>
      </c>
      <c r="FD74" t="e">
        <f>AND(Bills!#REF!,"AAAAAB3Px58=")</f>
        <v>#REF!</v>
      </c>
      <c r="FE74" t="e">
        <f>AND(Bills!#REF!,"AAAAAB3Px6A=")</f>
        <v>#REF!</v>
      </c>
      <c r="FF74" t="e">
        <f>AND(Bills!#REF!,"AAAAAB3Px6E=")</f>
        <v>#REF!</v>
      </c>
      <c r="FG74" t="e">
        <f>AND(Bills!AA211,"AAAAAB3Px6I=")</f>
        <v>#VALUE!</v>
      </c>
      <c r="FH74" t="e">
        <f>AND(Bills!AB211,"AAAAAB3Px6M=")</f>
        <v>#VALUE!</v>
      </c>
      <c r="FI74" t="e">
        <f>AND(Bills!#REF!,"AAAAAB3Px6Q=")</f>
        <v>#REF!</v>
      </c>
      <c r="FJ74" t="e">
        <f>AND(Bills!#REF!,"AAAAAB3Px6U=")</f>
        <v>#REF!</v>
      </c>
      <c r="FK74" t="e">
        <f>AND(Bills!#REF!,"AAAAAB3Px6Y=")</f>
        <v>#REF!</v>
      </c>
      <c r="FL74" t="e">
        <f>AND(Bills!AC211,"AAAAAB3Px6c=")</f>
        <v>#VALUE!</v>
      </c>
      <c r="FM74" t="e">
        <f>AND(Bills!AD211,"AAAAAB3Px6g=")</f>
        <v>#VALUE!</v>
      </c>
      <c r="FN74" t="e">
        <f>AND(Bills!AE211,"AAAAAB3Px6k=")</f>
        <v>#VALUE!</v>
      </c>
      <c r="FO74">
        <f>IF(Bills!212:212,"AAAAAB3Px6o=",0)</f>
        <v>0</v>
      </c>
      <c r="FP74" t="e">
        <f>AND(Bills!B212,"AAAAAB3Px6s=")</f>
        <v>#VALUE!</v>
      </c>
      <c r="FQ74" t="e">
        <f>AND(Bills!#REF!,"AAAAAB3Px6w=")</f>
        <v>#REF!</v>
      </c>
      <c r="FR74" t="e">
        <f>AND(Bills!C212,"AAAAAB3Px60=")</f>
        <v>#VALUE!</v>
      </c>
      <c r="FS74" t="e">
        <f>AND(Bills!D212,"AAAAAB3Px64=")</f>
        <v>#VALUE!</v>
      </c>
      <c r="FT74" t="e">
        <f>AND(Bills!E212,"AAAAAB3Px68=")</f>
        <v>#VALUE!</v>
      </c>
      <c r="FU74" t="e">
        <f>AND(Bills!#REF!,"AAAAAB3Px7A=")</f>
        <v>#REF!</v>
      </c>
      <c r="FV74" t="e">
        <f>AND(Bills!#REF!,"AAAAAB3Px7E=")</f>
        <v>#REF!</v>
      </c>
      <c r="FW74" t="e">
        <f>AND(Bills!#REF!,"AAAAAB3Px7I=")</f>
        <v>#REF!</v>
      </c>
      <c r="FX74" t="e">
        <f>AND(Bills!F212,"AAAAAB3Px7M=")</f>
        <v>#VALUE!</v>
      </c>
      <c r="FY74" t="e">
        <f>AND(Bills!#REF!,"AAAAAB3Px7Q=")</f>
        <v>#REF!</v>
      </c>
      <c r="FZ74" t="e">
        <f>AND(Bills!G212,"AAAAAB3Px7U=")</f>
        <v>#VALUE!</v>
      </c>
      <c r="GA74" t="e">
        <f>AND(Bills!H212,"AAAAAB3Px7Y=")</f>
        <v>#VALUE!</v>
      </c>
      <c r="GB74" t="e">
        <f>AND(Bills!I212,"AAAAAB3Px7c=")</f>
        <v>#VALUE!</v>
      </c>
      <c r="GC74" t="e">
        <f>AND(Bills!J212,"AAAAAB3Px7g=")</f>
        <v>#VALUE!</v>
      </c>
      <c r="GD74" t="e">
        <f>AND(Bills!K212,"AAAAAB3Px7k=")</f>
        <v>#VALUE!</v>
      </c>
      <c r="GE74" t="e">
        <f>AND(Bills!L212,"AAAAAB3Px7o=")</f>
        <v>#VALUE!</v>
      </c>
      <c r="GF74" t="e">
        <f>AND(Bills!#REF!,"AAAAAB3Px7s=")</f>
        <v>#REF!</v>
      </c>
      <c r="GG74" t="e">
        <f>AND(Bills!M212,"AAAAAB3Px7w=")</f>
        <v>#VALUE!</v>
      </c>
      <c r="GH74" t="e">
        <f>AND(Bills!N212,"AAAAAB3Px70=")</f>
        <v>#VALUE!</v>
      </c>
      <c r="GI74" t="e">
        <f>AND(Bills!O212,"AAAAAB3Px74=")</f>
        <v>#VALUE!</v>
      </c>
      <c r="GJ74" t="e">
        <f>AND(Bills!P212,"AAAAAB3Px78=")</f>
        <v>#VALUE!</v>
      </c>
      <c r="GK74" t="e">
        <f>AND(Bills!Q212,"AAAAAB3Px8A=")</f>
        <v>#VALUE!</v>
      </c>
      <c r="GL74" t="e">
        <f>AND(Bills!R212,"AAAAAB3Px8E=")</f>
        <v>#VALUE!</v>
      </c>
      <c r="GM74" t="e">
        <f>AND(Bills!S212,"AAAAAB3Px8I=")</f>
        <v>#VALUE!</v>
      </c>
      <c r="GN74" t="e">
        <f>AND(Bills!T212,"AAAAAB3Px8M=")</f>
        <v>#VALUE!</v>
      </c>
      <c r="GO74" t="e">
        <f>AND(Bills!#REF!,"AAAAAB3Px8Q=")</f>
        <v>#REF!</v>
      </c>
      <c r="GP74" t="e">
        <f>AND(Bills!U212,"AAAAAB3Px8U=")</f>
        <v>#VALUE!</v>
      </c>
      <c r="GQ74" t="e">
        <f>AND(Bills!V212,"AAAAAB3Px8Y=")</f>
        <v>#VALUE!</v>
      </c>
      <c r="GR74" t="e">
        <f>AND(Bills!W212,"AAAAAB3Px8c=")</f>
        <v>#VALUE!</v>
      </c>
      <c r="GS74" t="e">
        <f>AND(Bills!#REF!,"AAAAAB3Px8g=")</f>
        <v>#REF!</v>
      </c>
      <c r="GT74" t="e">
        <f>AND(Bills!#REF!,"AAAAAB3Px8k=")</f>
        <v>#REF!</v>
      </c>
      <c r="GU74" t="e">
        <f>AND(Bills!Y212,"AAAAAB3Px8o=")</f>
        <v>#VALUE!</v>
      </c>
      <c r="GV74" t="e">
        <f>AND(Bills!Z212,"AAAAAB3Px8s=")</f>
        <v>#VALUE!</v>
      </c>
      <c r="GW74" t="e">
        <f>AND(Bills!#REF!,"AAAAAB3Px8w=")</f>
        <v>#REF!</v>
      </c>
      <c r="GX74" t="e">
        <f>AND(Bills!#REF!,"AAAAAB3Px80=")</f>
        <v>#REF!</v>
      </c>
      <c r="GY74" t="e">
        <f>AND(Bills!#REF!,"AAAAAB3Px84=")</f>
        <v>#REF!</v>
      </c>
      <c r="GZ74" t="e">
        <f>AND(Bills!#REF!,"AAAAAB3Px88=")</f>
        <v>#REF!</v>
      </c>
      <c r="HA74" t="e">
        <f>AND(Bills!#REF!,"AAAAAB3Px9A=")</f>
        <v>#REF!</v>
      </c>
      <c r="HB74" t="e">
        <f>AND(Bills!#REF!,"AAAAAB3Px9E=")</f>
        <v>#REF!</v>
      </c>
      <c r="HC74" t="e">
        <f>AND(Bills!#REF!,"AAAAAB3Px9I=")</f>
        <v>#REF!</v>
      </c>
      <c r="HD74" t="e">
        <f>AND(Bills!#REF!,"AAAAAB3Px9M=")</f>
        <v>#REF!</v>
      </c>
      <c r="HE74" t="e">
        <f>AND(Bills!#REF!,"AAAAAB3Px9Q=")</f>
        <v>#REF!</v>
      </c>
      <c r="HF74" t="e">
        <f>AND(Bills!AA212,"AAAAAB3Px9U=")</f>
        <v>#VALUE!</v>
      </c>
      <c r="HG74" t="e">
        <f>AND(Bills!AB212,"AAAAAB3Px9Y=")</f>
        <v>#VALUE!</v>
      </c>
      <c r="HH74" t="e">
        <f>AND(Bills!#REF!,"AAAAAB3Px9c=")</f>
        <v>#REF!</v>
      </c>
      <c r="HI74" t="e">
        <f>AND(Bills!#REF!,"AAAAAB3Px9g=")</f>
        <v>#REF!</v>
      </c>
      <c r="HJ74" t="e">
        <f>AND(Bills!#REF!,"AAAAAB3Px9k=")</f>
        <v>#REF!</v>
      </c>
      <c r="HK74" t="e">
        <f>AND(Bills!AC212,"AAAAAB3Px9o=")</f>
        <v>#VALUE!</v>
      </c>
      <c r="HL74" t="e">
        <f>AND(Bills!AD212,"AAAAAB3Px9s=")</f>
        <v>#VALUE!</v>
      </c>
      <c r="HM74" t="e">
        <f>AND(Bills!AE212,"AAAAAB3Px9w=")</f>
        <v>#VALUE!</v>
      </c>
      <c r="HN74">
        <f>IF(Bills!213:213,"AAAAAB3Px90=",0)</f>
        <v>0</v>
      </c>
      <c r="HO74" t="e">
        <f>AND(Bills!B213,"AAAAAB3Px94=")</f>
        <v>#VALUE!</v>
      </c>
      <c r="HP74" t="e">
        <f>AND(Bills!#REF!,"AAAAAB3Px98=")</f>
        <v>#REF!</v>
      </c>
      <c r="HQ74" t="e">
        <f>AND(Bills!C213,"AAAAAB3Px+A=")</f>
        <v>#VALUE!</v>
      </c>
      <c r="HR74" t="e">
        <f>AND(Bills!D213,"AAAAAB3Px+E=")</f>
        <v>#VALUE!</v>
      </c>
      <c r="HS74" t="e">
        <f>AND(Bills!E213,"AAAAAB3Px+I=")</f>
        <v>#VALUE!</v>
      </c>
      <c r="HT74" t="e">
        <f>AND(Bills!#REF!,"AAAAAB3Px+M=")</f>
        <v>#REF!</v>
      </c>
      <c r="HU74" t="e">
        <f>AND(Bills!#REF!,"AAAAAB3Px+Q=")</f>
        <v>#REF!</v>
      </c>
      <c r="HV74" t="e">
        <f>AND(Bills!#REF!,"AAAAAB3Px+U=")</f>
        <v>#REF!</v>
      </c>
      <c r="HW74" t="e">
        <f>AND(Bills!F213,"AAAAAB3Px+Y=")</f>
        <v>#VALUE!</v>
      </c>
      <c r="HX74" t="e">
        <f>AND(Bills!#REF!,"AAAAAB3Px+c=")</f>
        <v>#REF!</v>
      </c>
      <c r="HY74" t="e">
        <f>AND(Bills!G213,"AAAAAB3Px+g=")</f>
        <v>#VALUE!</v>
      </c>
      <c r="HZ74" t="e">
        <f>AND(Bills!H213,"AAAAAB3Px+k=")</f>
        <v>#VALUE!</v>
      </c>
      <c r="IA74" t="e">
        <f>AND(Bills!I213,"AAAAAB3Px+o=")</f>
        <v>#VALUE!</v>
      </c>
      <c r="IB74" t="e">
        <f>AND(Bills!J213,"AAAAAB3Px+s=")</f>
        <v>#VALUE!</v>
      </c>
      <c r="IC74" t="e">
        <f>AND(Bills!K213,"AAAAAB3Px+w=")</f>
        <v>#VALUE!</v>
      </c>
      <c r="ID74" t="e">
        <f>AND(Bills!L213,"AAAAAB3Px+0=")</f>
        <v>#VALUE!</v>
      </c>
      <c r="IE74" t="e">
        <f>AND(Bills!#REF!,"AAAAAB3Px+4=")</f>
        <v>#REF!</v>
      </c>
      <c r="IF74" t="e">
        <f>AND(Bills!M213,"AAAAAB3Px+8=")</f>
        <v>#VALUE!</v>
      </c>
      <c r="IG74" t="e">
        <f>AND(Bills!N213,"AAAAAB3Px/A=")</f>
        <v>#VALUE!</v>
      </c>
      <c r="IH74" t="e">
        <f>AND(Bills!O213,"AAAAAB3Px/E=")</f>
        <v>#VALUE!</v>
      </c>
      <c r="II74" t="e">
        <f>AND(Bills!P213,"AAAAAB3Px/I=")</f>
        <v>#VALUE!</v>
      </c>
      <c r="IJ74" t="e">
        <f>AND(Bills!Q213,"AAAAAB3Px/M=")</f>
        <v>#VALUE!</v>
      </c>
      <c r="IK74" t="e">
        <f>AND(Bills!R213,"AAAAAB3Px/Q=")</f>
        <v>#VALUE!</v>
      </c>
      <c r="IL74" t="e">
        <f>AND(Bills!S213,"AAAAAB3Px/U=")</f>
        <v>#VALUE!</v>
      </c>
      <c r="IM74" t="e">
        <f>AND(Bills!T213,"AAAAAB3Px/Y=")</f>
        <v>#VALUE!</v>
      </c>
      <c r="IN74" t="e">
        <f>AND(Bills!#REF!,"AAAAAB3Px/c=")</f>
        <v>#REF!</v>
      </c>
      <c r="IO74" t="e">
        <f>AND(Bills!U213,"AAAAAB3Px/g=")</f>
        <v>#VALUE!</v>
      </c>
      <c r="IP74" t="e">
        <f>AND(Bills!V213,"AAAAAB3Px/k=")</f>
        <v>#VALUE!</v>
      </c>
      <c r="IQ74" t="e">
        <f>AND(Bills!W213,"AAAAAB3Px/o=")</f>
        <v>#VALUE!</v>
      </c>
      <c r="IR74" t="e">
        <f>AND(Bills!#REF!,"AAAAAB3Px/s=")</f>
        <v>#REF!</v>
      </c>
      <c r="IS74" t="e">
        <f>AND(Bills!#REF!,"AAAAAB3Px/w=")</f>
        <v>#REF!</v>
      </c>
      <c r="IT74" t="e">
        <f>AND(Bills!Y213,"AAAAAB3Px/0=")</f>
        <v>#VALUE!</v>
      </c>
      <c r="IU74" t="e">
        <f>AND(Bills!Z213,"AAAAAB3Px/4=")</f>
        <v>#VALUE!</v>
      </c>
      <c r="IV74" t="e">
        <f>AND(Bills!#REF!,"AAAAAB3Px/8=")</f>
        <v>#REF!</v>
      </c>
    </row>
    <row r="75" spans="1:256" x14ac:dyDescent="0.25">
      <c r="A75" t="e">
        <f>AND(Bills!#REF!,"AAAAAD1f/wA=")</f>
        <v>#REF!</v>
      </c>
      <c r="B75" t="e">
        <f>AND(Bills!#REF!,"AAAAAD1f/wE=")</f>
        <v>#REF!</v>
      </c>
      <c r="C75" t="e">
        <f>AND(Bills!#REF!,"AAAAAD1f/wI=")</f>
        <v>#REF!</v>
      </c>
      <c r="D75" t="e">
        <f>AND(Bills!#REF!,"AAAAAD1f/wM=")</f>
        <v>#REF!</v>
      </c>
      <c r="E75" t="e">
        <f>AND(Bills!#REF!,"AAAAAD1f/wQ=")</f>
        <v>#REF!</v>
      </c>
      <c r="F75" t="e">
        <f>AND(Bills!#REF!,"AAAAAD1f/wU=")</f>
        <v>#REF!</v>
      </c>
      <c r="G75" t="e">
        <f>AND(Bills!#REF!,"AAAAAD1f/wY=")</f>
        <v>#REF!</v>
      </c>
      <c r="H75" t="e">
        <f>AND(Bills!#REF!,"AAAAAD1f/wc=")</f>
        <v>#REF!</v>
      </c>
      <c r="I75" t="e">
        <f>AND(Bills!AA213,"AAAAAD1f/wg=")</f>
        <v>#VALUE!</v>
      </c>
      <c r="J75" t="e">
        <f>AND(Bills!AB213,"AAAAAD1f/wk=")</f>
        <v>#VALUE!</v>
      </c>
      <c r="K75" t="e">
        <f>AND(Bills!#REF!,"AAAAAD1f/wo=")</f>
        <v>#REF!</v>
      </c>
      <c r="L75" t="e">
        <f>AND(Bills!#REF!,"AAAAAD1f/ws=")</f>
        <v>#REF!</v>
      </c>
      <c r="M75" t="e">
        <f>AND(Bills!#REF!,"AAAAAD1f/ww=")</f>
        <v>#REF!</v>
      </c>
      <c r="N75" t="e">
        <f>AND(Bills!AC213,"AAAAAD1f/w0=")</f>
        <v>#VALUE!</v>
      </c>
      <c r="O75" t="e">
        <f>AND(Bills!AD213,"AAAAAD1f/w4=")</f>
        <v>#VALUE!</v>
      </c>
      <c r="P75" t="e">
        <f>AND(Bills!AE213,"AAAAAD1f/w8=")</f>
        <v>#VALUE!</v>
      </c>
      <c r="Q75">
        <f>IF(Bills!214:214,"AAAAAD1f/xA=",0)</f>
        <v>0</v>
      </c>
      <c r="R75" t="e">
        <f>AND(Bills!B214,"AAAAAD1f/xE=")</f>
        <v>#VALUE!</v>
      </c>
      <c r="S75" t="e">
        <f>AND(Bills!#REF!,"AAAAAD1f/xI=")</f>
        <v>#REF!</v>
      </c>
      <c r="T75" t="e">
        <f>AND(Bills!C214,"AAAAAD1f/xM=")</f>
        <v>#VALUE!</v>
      </c>
      <c r="U75" t="e">
        <f>AND(Bills!D214,"AAAAAD1f/xQ=")</f>
        <v>#VALUE!</v>
      </c>
      <c r="V75" t="e">
        <f>AND(Bills!E214,"AAAAAD1f/xU=")</f>
        <v>#VALUE!</v>
      </c>
      <c r="W75" t="e">
        <f>AND(Bills!#REF!,"AAAAAD1f/xY=")</f>
        <v>#REF!</v>
      </c>
      <c r="X75" t="e">
        <f>AND(Bills!#REF!,"AAAAAD1f/xc=")</f>
        <v>#REF!</v>
      </c>
      <c r="Y75" t="e">
        <f>AND(Bills!#REF!,"AAAAAD1f/xg=")</f>
        <v>#REF!</v>
      </c>
      <c r="Z75" t="e">
        <f>AND(Bills!F214,"AAAAAD1f/xk=")</f>
        <v>#VALUE!</v>
      </c>
      <c r="AA75" t="e">
        <f>AND(Bills!#REF!,"AAAAAD1f/xo=")</f>
        <v>#REF!</v>
      </c>
      <c r="AB75" t="e">
        <f>AND(Bills!G214,"AAAAAD1f/xs=")</f>
        <v>#VALUE!</v>
      </c>
      <c r="AC75" t="e">
        <f>AND(Bills!H214,"AAAAAD1f/xw=")</f>
        <v>#VALUE!</v>
      </c>
      <c r="AD75" t="e">
        <f>AND(Bills!I214,"AAAAAD1f/x0=")</f>
        <v>#VALUE!</v>
      </c>
      <c r="AE75" t="e">
        <f>AND(Bills!J214,"AAAAAD1f/x4=")</f>
        <v>#VALUE!</v>
      </c>
      <c r="AF75" t="e">
        <f>AND(Bills!K214,"AAAAAD1f/x8=")</f>
        <v>#VALUE!</v>
      </c>
      <c r="AG75" t="e">
        <f>AND(Bills!L214,"AAAAAD1f/yA=")</f>
        <v>#VALUE!</v>
      </c>
      <c r="AH75" t="e">
        <f>AND(Bills!#REF!,"AAAAAD1f/yE=")</f>
        <v>#REF!</v>
      </c>
      <c r="AI75" t="e">
        <f>AND(Bills!M214,"AAAAAD1f/yI=")</f>
        <v>#VALUE!</v>
      </c>
      <c r="AJ75" t="e">
        <f>AND(Bills!N214,"AAAAAD1f/yM=")</f>
        <v>#VALUE!</v>
      </c>
      <c r="AK75" t="e">
        <f>AND(Bills!O214,"AAAAAD1f/yQ=")</f>
        <v>#VALUE!</v>
      </c>
      <c r="AL75" t="e">
        <f>AND(Bills!P214,"AAAAAD1f/yU=")</f>
        <v>#VALUE!</v>
      </c>
      <c r="AM75" t="e">
        <f>AND(Bills!Q214,"AAAAAD1f/yY=")</f>
        <v>#VALUE!</v>
      </c>
      <c r="AN75" t="e">
        <f>AND(Bills!R214,"AAAAAD1f/yc=")</f>
        <v>#VALUE!</v>
      </c>
      <c r="AO75" t="e">
        <f>AND(Bills!S214,"AAAAAD1f/yg=")</f>
        <v>#VALUE!</v>
      </c>
      <c r="AP75" t="e">
        <f>AND(Bills!T214,"AAAAAD1f/yk=")</f>
        <v>#VALUE!</v>
      </c>
      <c r="AQ75" t="e">
        <f>AND(Bills!#REF!,"AAAAAD1f/yo=")</f>
        <v>#REF!</v>
      </c>
      <c r="AR75" t="e">
        <f>AND(Bills!U214,"AAAAAD1f/ys=")</f>
        <v>#VALUE!</v>
      </c>
      <c r="AS75" t="e">
        <f>AND(Bills!V214,"AAAAAD1f/yw=")</f>
        <v>#VALUE!</v>
      </c>
      <c r="AT75" t="e">
        <f>AND(Bills!W214,"AAAAAD1f/y0=")</f>
        <v>#VALUE!</v>
      </c>
      <c r="AU75" t="e">
        <f>AND(Bills!#REF!,"AAAAAD1f/y4=")</f>
        <v>#REF!</v>
      </c>
      <c r="AV75" t="e">
        <f>AND(Bills!#REF!,"AAAAAD1f/y8=")</f>
        <v>#REF!</v>
      </c>
      <c r="AW75" t="e">
        <f>AND(Bills!Y214,"AAAAAD1f/zA=")</f>
        <v>#VALUE!</v>
      </c>
      <c r="AX75" t="e">
        <f>AND(Bills!Z214,"AAAAAD1f/zE=")</f>
        <v>#VALUE!</v>
      </c>
      <c r="AY75" t="e">
        <f>AND(Bills!#REF!,"AAAAAD1f/zI=")</f>
        <v>#REF!</v>
      </c>
      <c r="AZ75" t="e">
        <f>AND(Bills!#REF!,"AAAAAD1f/zM=")</f>
        <v>#REF!</v>
      </c>
      <c r="BA75" t="e">
        <f>AND(Bills!#REF!,"AAAAAD1f/zQ=")</f>
        <v>#REF!</v>
      </c>
      <c r="BB75" t="e">
        <f>AND(Bills!#REF!,"AAAAAD1f/zU=")</f>
        <v>#REF!</v>
      </c>
      <c r="BC75" t="e">
        <f>AND(Bills!#REF!,"AAAAAD1f/zY=")</f>
        <v>#REF!</v>
      </c>
      <c r="BD75" t="e">
        <f>AND(Bills!#REF!,"AAAAAD1f/zc=")</f>
        <v>#REF!</v>
      </c>
      <c r="BE75" t="e">
        <f>AND(Bills!#REF!,"AAAAAD1f/zg=")</f>
        <v>#REF!</v>
      </c>
      <c r="BF75" t="e">
        <f>AND(Bills!#REF!,"AAAAAD1f/zk=")</f>
        <v>#REF!</v>
      </c>
      <c r="BG75" t="e">
        <f>AND(Bills!#REF!,"AAAAAD1f/zo=")</f>
        <v>#REF!</v>
      </c>
      <c r="BH75" t="e">
        <f>AND(Bills!AA214,"AAAAAD1f/zs=")</f>
        <v>#VALUE!</v>
      </c>
      <c r="BI75" t="e">
        <f>AND(Bills!AB214,"AAAAAD1f/zw=")</f>
        <v>#VALUE!</v>
      </c>
      <c r="BJ75" t="e">
        <f>AND(Bills!#REF!,"AAAAAD1f/z0=")</f>
        <v>#REF!</v>
      </c>
      <c r="BK75" t="e">
        <f>AND(Bills!#REF!,"AAAAAD1f/z4=")</f>
        <v>#REF!</v>
      </c>
      <c r="BL75" t="e">
        <f>AND(Bills!#REF!,"AAAAAD1f/z8=")</f>
        <v>#REF!</v>
      </c>
      <c r="BM75" t="e">
        <f>AND(Bills!AC214,"AAAAAD1f/0A=")</f>
        <v>#VALUE!</v>
      </c>
      <c r="BN75" t="e">
        <f>AND(Bills!AD214,"AAAAAD1f/0E=")</f>
        <v>#VALUE!</v>
      </c>
      <c r="BO75" t="e">
        <f>AND(Bills!AE214,"AAAAAD1f/0I=")</f>
        <v>#VALUE!</v>
      </c>
      <c r="BP75">
        <f>IF(Bills!215:215,"AAAAAD1f/0M=",0)</f>
        <v>0</v>
      </c>
      <c r="BQ75" t="e">
        <f>AND(Bills!B215,"AAAAAD1f/0Q=")</f>
        <v>#VALUE!</v>
      </c>
      <c r="BR75" t="e">
        <f>AND(Bills!#REF!,"AAAAAD1f/0U=")</f>
        <v>#REF!</v>
      </c>
      <c r="BS75" t="e">
        <f>AND(Bills!C215,"AAAAAD1f/0Y=")</f>
        <v>#VALUE!</v>
      </c>
      <c r="BT75" t="e">
        <f>AND(Bills!D215,"AAAAAD1f/0c=")</f>
        <v>#VALUE!</v>
      </c>
      <c r="BU75" t="e">
        <f>AND(Bills!E215,"AAAAAD1f/0g=")</f>
        <v>#VALUE!</v>
      </c>
      <c r="BV75" t="e">
        <f>AND(Bills!#REF!,"AAAAAD1f/0k=")</f>
        <v>#REF!</v>
      </c>
      <c r="BW75" t="e">
        <f>AND(Bills!#REF!,"AAAAAD1f/0o=")</f>
        <v>#REF!</v>
      </c>
      <c r="BX75" t="e">
        <f>AND(Bills!#REF!,"AAAAAD1f/0s=")</f>
        <v>#REF!</v>
      </c>
      <c r="BY75" t="e">
        <f>AND(Bills!F215,"AAAAAD1f/0w=")</f>
        <v>#VALUE!</v>
      </c>
      <c r="BZ75" t="e">
        <f>AND(Bills!#REF!,"AAAAAD1f/00=")</f>
        <v>#REF!</v>
      </c>
      <c r="CA75" t="e">
        <f>AND(Bills!G215,"AAAAAD1f/04=")</f>
        <v>#VALUE!</v>
      </c>
      <c r="CB75" t="e">
        <f>AND(Bills!H215,"AAAAAD1f/08=")</f>
        <v>#VALUE!</v>
      </c>
      <c r="CC75" t="e">
        <f>AND(Bills!I215,"AAAAAD1f/1A=")</f>
        <v>#VALUE!</v>
      </c>
      <c r="CD75" t="e">
        <f>AND(Bills!J215,"AAAAAD1f/1E=")</f>
        <v>#VALUE!</v>
      </c>
      <c r="CE75" t="e">
        <f>AND(Bills!K215,"AAAAAD1f/1I=")</f>
        <v>#VALUE!</v>
      </c>
      <c r="CF75" t="e">
        <f>AND(Bills!L215,"AAAAAD1f/1M=")</f>
        <v>#VALUE!</v>
      </c>
      <c r="CG75" t="e">
        <f>AND(Bills!#REF!,"AAAAAD1f/1Q=")</f>
        <v>#REF!</v>
      </c>
      <c r="CH75" t="e">
        <f>AND(Bills!M215,"AAAAAD1f/1U=")</f>
        <v>#VALUE!</v>
      </c>
      <c r="CI75" t="e">
        <f>AND(Bills!N215,"AAAAAD1f/1Y=")</f>
        <v>#VALUE!</v>
      </c>
      <c r="CJ75" t="e">
        <f>AND(Bills!O215,"AAAAAD1f/1c=")</f>
        <v>#VALUE!</v>
      </c>
      <c r="CK75" t="e">
        <f>AND(Bills!P215,"AAAAAD1f/1g=")</f>
        <v>#VALUE!</v>
      </c>
      <c r="CL75" t="e">
        <f>AND(Bills!Q215,"AAAAAD1f/1k=")</f>
        <v>#VALUE!</v>
      </c>
      <c r="CM75" t="e">
        <f>AND(Bills!R215,"AAAAAD1f/1o=")</f>
        <v>#VALUE!</v>
      </c>
      <c r="CN75" t="e">
        <f>AND(Bills!S215,"AAAAAD1f/1s=")</f>
        <v>#VALUE!</v>
      </c>
      <c r="CO75" t="e">
        <f>AND(Bills!T215,"AAAAAD1f/1w=")</f>
        <v>#VALUE!</v>
      </c>
      <c r="CP75" t="e">
        <f>AND(Bills!#REF!,"AAAAAD1f/10=")</f>
        <v>#REF!</v>
      </c>
      <c r="CQ75" t="e">
        <f>AND(Bills!U215,"AAAAAD1f/14=")</f>
        <v>#VALUE!</v>
      </c>
      <c r="CR75" t="e">
        <f>AND(Bills!V215,"AAAAAD1f/18=")</f>
        <v>#VALUE!</v>
      </c>
      <c r="CS75" t="e">
        <f>AND(Bills!W215,"AAAAAD1f/2A=")</f>
        <v>#VALUE!</v>
      </c>
      <c r="CT75" t="e">
        <f>AND(Bills!#REF!,"AAAAAD1f/2E=")</f>
        <v>#REF!</v>
      </c>
      <c r="CU75" t="e">
        <f>AND(Bills!#REF!,"AAAAAD1f/2I=")</f>
        <v>#REF!</v>
      </c>
      <c r="CV75" t="e">
        <f>AND(Bills!Y215,"AAAAAD1f/2M=")</f>
        <v>#VALUE!</v>
      </c>
      <c r="CW75" t="e">
        <f>AND(Bills!Z215,"AAAAAD1f/2Q=")</f>
        <v>#VALUE!</v>
      </c>
      <c r="CX75" t="e">
        <f>AND(Bills!#REF!,"AAAAAD1f/2U=")</f>
        <v>#REF!</v>
      </c>
      <c r="CY75" t="e">
        <f>AND(Bills!#REF!,"AAAAAD1f/2Y=")</f>
        <v>#REF!</v>
      </c>
      <c r="CZ75" t="e">
        <f>AND(Bills!#REF!,"AAAAAD1f/2c=")</f>
        <v>#REF!</v>
      </c>
      <c r="DA75" t="e">
        <f>AND(Bills!#REF!,"AAAAAD1f/2g=")</f>
        <v>#REF!</v>
      </c>
      <c r="DB75" t="e">
        <f>AND(Bills!#REF!,"AAAAAD1f/2k=")</f>
        <v>#REF!</v>
      </c>
      <c r="DC75" t="e">
        <f>AND(Bills!#REF!,"AAAAAD1f/2o=")</f>
        <v>#REF!</v>
      </c>
      <c r="DD75" t="e">
        <f>AND(Bills!#REF!,"AAAAAD1f/2s=")</f>
        <v>#REF!</v>
      </c>
      <c r="DE75" t="e">
        <f>AND(Bills!#REF!,"AAAAAD1f/2w=")</f>
        <v>#REF!</v>
      </c>
      <c r="DF75" t="e">
        <f>AND(Bills!#REF!,"AAAAAD1f/20=")</f>
        <v>#REF!</v>
      </c>
      <c r="DG75" t="e">
        <f>AND(Bills!AA215,"AAAAAD1f/24=")</f>
        <v>#VALUE!</v>
      </c>
      <c r="DH75" t="e">
        <f>AND(Bills!AB215,"AAAAAD1f/28=")</f>
        <v>#VALUE!</v>
      </c>
      <c r="DI75" t="e">
        <f>AND(Bills!#REF!,"AAAAAD1f/3A=")</f>
        <v>#REF!</v>
      </c>
      <c r="DJ75" t="e">
        <f>AND(Bills!#REF!,"AAAAAD1f/3E=")</f>
        <v>#REF!</v>
      </c>
      <c r="DK75" t="e">
        <f>AND(Bills!#REF!,"AAAAAD1f/3I=")</f>
        <v>#REF!</v>
      </c>
      <c r="DL75" t="e">
        <f>AND(Bills!AC215,"AAAAAD1f/3M=")</f>
        <v>#VALUE!</v>
      </c>
      <c r="DM75" t="e">
        <f>AND(Bills!AD215,"AAAAAD1f/3Q=")</f>
        <v>#VALUE!</v>
      </c>
      <c r="DN75" t="e">
        <f>AND(Bills!AE215,"AAAAAD1f/3U=")</f>
        <v>#VALUE!</v>
      </c>
      <c r="DO75">
        <f>IF(Bills!216:216,"AAAAAD1f/3Y=",0)</f>
        <v>0</v>
      </c>
      <c r="DP75" t="e">
        <f>AND(Bills!B216,"AAAAAD1f/3c=")</f>
        <v>#VALUE!</v>
      </c>
      <c r="DQ75" t="e">
        <f>AND(Bills!#REF!,"AAAAAD1f/3g=")</f>
        <v>#REF!</v>
      </c>
      <c r="DR75" t="e">
        <f>AND(Bills!C216,"AAAAAD1f/3k=")</f>
        <v>#VALUE!</v>
      </c>
      <c r="DS75" t="e">
        <f>AND(Bills!D216,"AAAAAD1f/3o=")</f>
        <v>#VALUE!</v>
      </c>
      <c r="DT75" t="e">
        <f>AND(Bills!E216,"AAAAAD1f/3s=")</f>
        <v>#VALUE!</v>
      </c>
      <c r="DU75" t="e">
        <f>AND(Bills!#REF!,"AAAAAD1f/3w=")</f>
        <v>#REF!</v>
      </c>
      <c r="DV75" t="e">
        <f>AND(Bills!#REF!,"AAAAAD1f/30=")</f>
        <v>#REF!</v>
      </c>
      <c r="DW75" t="e">
        <f>AND(Bills!#REF!,"AAAAAD1f/34=")</f>
        <v>#REF!</v>
      </c>
      <c r="DX75" t="e">
        <f>AND(Bills!F216,"AAAAAD1f/38=")</f>
        <v>#VALUE!</v>
      </c>
      <c r="DY75" t="e">
        <f>AND(Bills!#REF!,"AAAAAD1f/4A=")</f>
        <v>#REF!</v>
      </c>
      <c r="DZ75" t="e">
        <f>AND(Bills!G216,"AAAAAD1f/4E=")</f>
        <v>#VALUE!</v>
      </c>
      <c r="EA75" t="e">
        <f>AND(Bills!H216,"AAAAAD1f/4I=")</f>
        <v>#VALUE!</v>
      </c>
      <c r="EB75" t="e">
        <f>AND(Bills!I216,"AAAAAD1f/4M=")</f>
        <v>#VALUE!</v>
      </c>
      <c r="EC75" t="e">
        <f>AND(Bills!J216,"AAAAAD1f/4Q=")</f>
        <v>#VALUE!</v>
      </c>
      <c r="ED75" t="e">
        <f>AND(Bills!K216,"AAAAAD1f/4U=")</f>
        <v>#VALUE!</v>
      </c>
      <c r="EE75" t="e">
        <f>AND(Bills!L216,"AAAAAD1f/4Y=")</f>
        <v>#VALUE!</v>
      </c>
      <c r="EF75" t="e">
        <f>AND(Bills!#REF!,"AAAAAD1f/4c=")</f>
        <v>#REF!</v>
      </c>
      <c r="EG75" t="e">
        <f>AND(Bills!M216,"AAAAAD1f/4g=")</f>
        <v>#VALUE!</v>
      </c>
      <c r="EH75" t="e">
        <f>AND(Bills!N216,"AAAAAD1f/4k=")</f>
        <v>#VALUE!</v>
      </c>
      <c r="EI75" t="e">
        <f>AND(Bills!O216,"AAAAAD1f/4o=")</f>
        <v>#VALUE!</v>
      </c>
      <c r="EJ75" t="e">
        <f>AND(Bills!P216,"AAAAAD1f/4s=")</f>
        <v>#VALUE!</v>
      </c>
      <c r="EK75" t="e">
        <f>AND(Bills!Q216,"AAAAAD1f/4w=")</f>
        <v>#VALUE!</v>
      </c>
      <c r="EL75" t="e">
        <f>AND(Bills!R216,"AAAAAD1f/40=")</f>
        <v>#VALUE!</v>
      </c>
      <c r="EM75" t="e">
        <f>AND(Bills!S216,"AAAAAD1f/44=")</f>
        <v>#VALUE!</v>
      </c>
      <c r="EN75" t="e">
        <f>AND(Bills!T216,"AAAAAD1f/48=")</f>
        <v>#VALUE!</v>
      </c>
      <c r="EO75" t="e">
        <f>AND(Bills!#REF!,"AAAAAD1f/5A=")</f>
        <v>#REF!</v>
      </c>
      <c r="EP75" t="e">
        <f>AND(Bills!U216,"AAAAAD1f/5E=")</f>
        <v>#VALUE!</v>
      </c>
      <c r="EQ75" t="e">
        <f>AND(Bills!V216,"AAAAAD1f/5I=")</f>
        <v>#VALUE!</v>
      </c>
      <c r="ER75" t="e">
        <f>AND(Bills!W216,"AAAAAD1f/5M=")</f>
        <v>#VALUE!</v>
      </c>
      <c r="ES75" t="e">
        <f>AND(Bills!#REF!,"AAAAAD1f/5Q=")</f>
        <v>#REF!</v>
      </c>
      <c r="ET75" t="e">
        <f>AND(Bills!#REF!,"AAAAAD1f/5U=")</f>
        <v>#REF!</v>
      </c>
      <c r="EU75" t="e">
        <f>AND(Bills!Y216,"AAAAAD1f/5Y=")</f>
        <v>#VALUE!</v>
      </c>
      <c r="EV75" t="e">
        <f>AND(Bills!Z216,"AAAAAD1f/5c=")</f>
        <v>#VALUE!</v>
      </c>
      <c r="EW75" t="e">
        <f>AND(Bills!#REF!,"AAAAAD1f/5g=")</f>
        <v>#REF!</v>
      </c>
      <c r="EX75" t="e">
        <f>AND(Bills!#REF!,"AAAAAD1f/5k=")</f>
        <v>#REF!</v>
      </c>
      <c r="EY75" t="e">
        <f>AND(Bills!#REF!,"AAAAAD1f/5o=")</f>
        <v>#REF!</v>
      </c>
      <c r="EZ75" t="e">
        <f>AND(Bills!#REF!,"AAAAAD1f/5s=")</f>
        <v>#REF!</v>
      </c>
      <c r="FA75" t="e">
        <f>AND(Bills!#REF!,"AAAAAD1f/5w=")</f>
        <v>#REF!</v>
      </c>
      <c r="FB75" t="e">
        <f>AND(Bills!#REF!,"AAAAAD1f/50=")</f>
        <v>#REF!</v>
      </c>
      <c r="FC75" t="e">
        <f>AND(Bills!#REF!,"AAAAAD1f/54=")</f>
        <v>#REF!</v>
      </c>
      <c r="FD75" t="e">
        <f>AND(Bills!#REF!,"AAAAAD1f/58=")</f>
        <v>#REF!</v>
      </c>
      <c r="FE75" t="e">
        <f>AND(Bills!#REF!,"AAAAAD1f/6A=")</f>
        <v>#REF!</v>
      </c>
      <c r="FF75" t="e">
        <f>AND(Bills!AA216,"AAAAAD1f/6E=")</f>
        <v>#VALUE!</v>
      </c>
      <c r="FG75" t="e">
        <f>AND(Bills!AB216,"AAAAAD1f/6I=")</f>
        <v>#VALUE!</v>
      </c>
      <c r="FH75" t="e">
        <f>AND(Bills!#REF!,"AAAAAD1f/6M=")</f>
        <v>#REF!</v>
      </c>
      <c r="FI75" t="e">
        <f>AND(Bills!#REF!,"AAAAAD1f/6Q=")</f>
        <v>#REF!</v>
      </c>
      <c r="FJ75" t="e">
        <f>AND(Bills!#REF!,"AAAAAD1f/6U=")</f>
        <v>#REF!</v>
      </c>
      <c r="FK75" t="e">
        <f>AND(Bills!AC216,"AAAAAD1f/6Y=")</f>
        <v>#VALUE!</v>
      </c>
      <c r="FL75" t="e">
        <f>AND(Bills!AD216,"AAAAAD1f/6c=")</f>
        <v>#VALUE!</v>
      </c>
      <c r="FM75" t="e">
        <f>AND(Bills!AE216,"AAAAAD1f/6g=")</f>
        <v>#VALUE!</v>
      </c>
      <c r="FN75">
        <f>IF(Bills!217:217,"AAAAAD1f/6k=",0)</f>
        <v>0</v>
      </c>
      <c r="FO75" t="e">
        <f>AND(Bills!B217,"AAAAAD1f/6o=")</f>
        <v>#VALUE!</v>
      </c>
      <c r="FP75" t="e">
        <f>AND(Bills!#REF!,"AAAAAD1f/6s=")</f>
        <v>#REF!</v>
      </c>
      <c r="FQ75" t="e">
        <f>AND(Bills!C217,"AAAAAD1f/6w=")</f>
        <v>#VALUE!</v>
      </c>
      <c r="FR75" t="e">
        <f>AND(Bills!D217,"AAAAAD1f/60=")</f>
        <v>#VALUE!</v>
      </c>
      <c r="FS75" t="e">
        <f>AND(Bills!E217,"AAAAAD1f/64=")</f>
        <v>#VALUE!</v>
      </c>
      <c r="FT75" t="e">
        <f>AND(Bills!#REF!,"AAAAAD1f/68=")</f>
        <v>#REF!</v>
      </c>
      <c r="FU75" t="e">
        <f>AND(Bills!#REF!,"AAAAAD1f/7A=")</f>
        <v>#REF!</v>
      </c>
      <c r="FV75" t="e">
        <f>AND(Bills!#REF!,"AAAAAD1f/7E=")</f>
        <v>#REF!</v>
      </c>
      <c r="FW75" t="e">
        <f>AND(Bills!F217,"AAAAAD1f/7I=")</f>
        <v>#VALUE!</v>
      </c>
      <c r="FX75" t="e">
        <f>AND(Bills!#REF!,"AAAAAD1f/7M=")</f>
        <v>#REF!</v>
      </c>
      <c r="FY75" t="e">
        <f>AND(Bills!G217,"AAAAAD1f/7Q=")</f>
        <v>#VALUE!</v>
      </c>
      <c r="FZ75" t="e">
        <f>AND(Bills!H217,"AAAAAD1f/7U=")</f>
        <v>#VALUE!</v>
      </c>
      <c r="GA75" t="e">
        <f>AND(Bills!I217,"AAAAAD1f/7Y=")</f>
        <v>#VALUE!</v>
      </c>
      <c r="GB75" t="e">
        <f>AND(Bills!J217,"AAAAAD1f/7c=")</f>
        <v>#VALUE!</v>
      </c>
      <c r="GC75" t="e">
        <f>AND(Bills!K217,"AAAAAD1f/7g=")</f>
        <v>#VALUE!</v>
      </c>
      <c r="GD75" t="e">
        <f>AND(Bills!L217,"AAAAAD1f/7k=")</f>
        <v>#VALUE!</v>
      </c>
      <c r="GE75" t="e">
        <f>AND(Bills!#REF!,"AAAAAD1f/7o=")</f>
        <v>#REF!</v>
      </c>
      <c r="GF75" t="e">
        <f>AND(Bills!M217,"AAAAAD1f/7s=")</f>
        <v>#VALUE!</v>
      </c>
      <c r="GG75" t="e">
        <f>AND(Bills!N217,"AAAAAD1f/7w=")</f>
        <v>#VALUE!</v>
      </c>
      <c r="GH75" t="e">
        <f>AND(Bills!O217,"AAAAAD1f/70=")</f>
        <v>#VALUE!</v>
      </c>
      <c r="GI75" t="e">
        <f>AND(Bills!P217,"AAAAAD1f/74=")</f>
        <v>#VALUE!</v>
      </c>
      <c r="GJ75" t="e">
        <f>AND(Bills!Q217,"AAAAAD1f/78=")</f>
        <v>#VALUE!</v>
      </c>
      <c r="GK75" t="e">
        <f>AND(Bills!R217,"AAAAAD1f/8A=")</f>
        <v>#VALUE!</v>
      </c>
      <c r="GL75" t="e">
        <f>AND(Bills!S217,"AAAAAD1f/8E=")</f>
        <v>#VALUE!</v>
      </c>
      <c r="GM75" t="e">
        <f>AND(Bills!T217,"AAAAAD1f/8I=")</f>
        <v>#VALUE!</v>
      </c>
      <c r="GN75" t="e">
        <f>AND(Bills!#REF!,"AAAAAD1f/8M=")</f>
        <v>#REF!</v>
      </c>
      <c r="GO75" t="e">
        <f>AND(Bills!U217,"AAAAAD1f/8Q=")</f>
        <v>#VALUE!</v>
      </c>
      <c r="GP75" t="e">
        <f>AND(Bills!V217,"AAAAAD1f/8U=")</f>
        <v>#VALUE!</v>
      </c>
      <c r="GQ75" t="e">
        <f>AND(Bills!W217,"AAAAAD1f/8Y=")</f>
        <v>#VALUE!</v>
      </c>
      <c r="GR75" t="e">
        <f>AND(Bills!#REF!,"AAAAAD1f/8c=")</f>
        <v>#REF!</v>
      </c>
      <c r="GS75" t="e">
        <f>AND(Bills!#REF!,"AAAAAD1f/8g=")</f>
        <v>#REF!</v>
      </c>
      <c r="GT75" t="e">
        <f>AND(Bills!Y217,"AAAAAD1f/8k=")</f>
        <v>#VALUE!</v>
      </c>
      <c r="GU75" t="e">
        <f>AND(Bills!Z217,"AAAAAD1f/8o=")</f>
        <v>#VALUE!</v>
      </c>
      <c r="GV75" t="e">
        <f>AND(Bills!#REF!,"AAAAAD1f/8s=")</f>
        <v>#REF!</v>
      </c>
      <c r="GW75" t="e">
        <f>AND(Bills!#REF!,"AAAAAD1f/8w=")</f>
        <v>#REF!</v>
      </c>
      <c r="GX75" t="e">
        <f>AND(Bills!#REF!,"AAAAAD1f/80=")</f>
        <v>#REF!</v>
      </c>
      <c r="GY75" t="e">
        <f>AND(Bills!#REF!,"AAAAAD1f/84=")</f>
        <v>#REF!</v>
      </c>
      <c r="GZ75" t="e">
        <f>AND(Bills!#REF!,"AAAAAD1f/88=")</f>
        <v>#REF!</v>
      </c>
      <c r="HA75" t="e">
        <f>AND(Bills!#REF!,"AAAAAD1f/9A=")</f>
        <v>#REF!</v>
      </c>
      <c r="HB75" t="e">
        <f>AND(Bills!#REF!,"AAAAAD1f/9E=")</f>
        <v>#REF!</v>
      </c>
      <c r="HC75" t="e">
        <f>AND(Bills!#REF!,"AAAAAD1f/9I=")</f>
        <v>#REF!</v>
      </c>
      <c r="HD75" t="e">
        <f>AND(Bills!#REF!,"AAAAAD1f/9M=")</f>
        <v>#REF!</v>
      </c>
      <c r="HE75" t="e">
        <f>AND(Bills!AA217,"AAAAAD1f/9Q=")</f>
        <v>#VALUE!</v>
      </c>
      <c r="HF75" t="e">
        <f>AND(Bills!AB217,"AAAAAD1f/9U=")</f>
        <v>#VALUE!</v>
      </c>
      <c r="HG75" t="e">
        <f>AND(Bills!#REF!,"AAAAAD1f/9Y=")</f>
        <v>#REF!</v>
      </c>
      <c r="HH75" t="e">
        <f>AND(Bills!#REF!,"AAAAAD1f/9c=")</f>
        <v>#REF!</v>
      </c>
      <c r="HI75" t="e">
        <f>AND(Bills!#REF!,"AAAAAD1f/9g=")</f>
        <v>#REF!</v>
      </c>
      <c r="HJ75" t="e">
        <f>AND(Bills!AC217,"AAAAAD1f/9k=")</f>
        <v>#VALUE!</v>
      </c>
      <c r="HK75" t="e">
        <f>AND(Bills!AD217,"AAAAAD1f/9o=")</f>
        <v>#VALUE!</v>
      </c>
      <c r="HL75" t="e">
        <f>AND(Bills!AE217,"AAAAAD1f/9s=")</f>
        <v>#VALUE!</v>
      </c>
      <c r="HM75">
        <f>IF(Bills!218:218,"AAAAAD1f/9w=",0)</f>
        <v>0</v>
      </c>
      <c r="HN75" t="e">
        <f>AND(Bills!B218,"AAAAAD1f/90=")</f>
        <v>#VALUE!</v>
      </c>
      <c r="HO75" t="e">
        <f>AND(Bills!#REF!,"AAAAAD1f/94=")</f>
        <v>#REF!</v>
      </c>
      <c r="HP75" t="e">
        <f>AND(Bills!C218,"AAAAAD1f/98=")</f>
        <v>#VALUE!</v>
      </c>
      <c r="HQ75" t="e">
        <f>AND(Bills!D218,"AAAAAD1f/+A=")</f>
        <v>#VALUE!</v>
      </c>
      <c r="HR75" t="e">
        <f>AND(Bills!E218,"AAAAAD1f/+E=")</f>
        <v>#VALUE!</v>
      </c>
      <c r="HS75" t="e">
        <f>AND(Bills!#REF!,"AAAAAD1f/+I=")</f>
        <v>#REF!</v>
      </c>
      <c r="HT75" t="e">
        <f>AND(Bills!#REF!,"AAAAAD1f/+M=")</f>
        <v>#REF!</v>
      </c>
      <c r="HU75" t="e">
        <f>AND(Bills!#REF!,"AAAAAD1f/+Q=")</f>
        <v>#REF!</v>
      </c>
      <c r="HV75" t="e">
        <f>AND(Bills!F218,"AAAAAD1f/+U=")</f>
        <v>#VALUE!</v>
      </c>
      <c r="HW75" t="e">
        <f>AND(Bills!#REF!,"AAAAAD1f/+Y=")</f>
        <v>#REF!</v>
      </c>
      <c r="HX75" t="e">
        <f>AND(Bills!G218,"AAAAAD1f/+c=")</f>
        <v>#VALUE!</v>
      </c>
      <c r="HY75" t="e">
        <f>AND(Bills!H218,"AAAAAD1f/+g=")</f>
        <v>#VALUE!</v>
      </c>
      <c r="HZ75" t="e">
        <f>AND(Bills!I218,"AAAAAD1f/+k=")</f>
        <v>#VALUE!</v>
      </c>
      <c r="IA75" t="e">
        <f>AND(Bills!J218,"AAAAAD1f/+o=")</f>
        <v>#VALUE!</v>
      </c>
      <c r="IB75" t="e">
        <f>AND(Bills!K218,"AAAAAD1f/+s=")</f>
        <v>#VALUE!</v>
      </c>
      <c r="IC75" t="e">
        <f>AND(Bills!L218,"AAAAAD1f/+w=")</f>
        <v>#VALUE!</v>
      </c>
      <c r="ID75" t="e">
        <f>AND(Bills!#REF!,"AAAAAD1f/+0=")</f>
        <v>#REF!</v>
      </c>
      <c r="IE75" t="e">
        <f>AND(Bills!M218,"AAAAAD1f/+4=")</f>
        <v>#VALUE!</v>
      </c>
      <c r="IF75" t="e">
        <f>AND(Bills!N218,"AAAAAD1f/+8=")</f>
        <v>#VALUE!</v>
      </c>
      <c r="IG75" t="e">
        <f>AND(Bills!O218,"AAAAAD1f//A=")</f>
        <v>#VALUE!</v>
      </c>
      <c r="IH75" t="e">
        <f>AND(Bills!P218,"AAAAAD1f//E=")</f>
        <v>#VALUE!</v>
      </c>
      <c r="II75" t="e">
        <f>AND(Bills!Q218,"AAAAAD1f//I=")</f>
        <v>#VALUE!</v>
      </c>
      <c r="IJ75" t="e">
        <f>AND(Bills!R218,"AAAAAD1f//M=")</f>
        <v>#VALUE!</v>
      </c>
      <c r="IK75" t="e">
        <f>AND(Bills!S218,"AAAAAD1f//Q=")</f>
        <v>#VALUE!</v>
      </c>
      <c r="IL75" t="e">
        <f>AND(Bills!T218,"AAAAAD1f//U=")</f>
        <v>#VALUE!</v>
      </c>
      <c r="IM75" t="e">
        <f>AND(Bills!#REF!,"AAAAAD1f//Y=")</f>
        <v>#REF!</v>
      </c>
      <c r="IN75" t="e">
        <f>AND(Bills!U218,"AAAAAD1f//c=")</f>
        <v>#VALUE!</v>
      </c>
      <c r="IO75" t="e">
        <f>AND(Bills!V218,"AAAAAD1f//g=")</f>
        <v>#VALUE!</v>
      </c>
      <c r="IP75" t="e">
        <f>AND(Bills!W218,"AAAAAD1f//k=")</f>
        <v>#VALUE!</v>
      </c>
      <c r="IQ75" t="e">
        <f>AND(Bills!#REF!,"AAAAAD1f//o=")</f>
        <v>#REF!</v>
      </c>
      <c r="IR75" t="e">
        <f>AND(Bills!#REF!,"AAAAAD1f//s=")</f>
        <v>#REF!</v>
      </c>
      <c r="IS75" t="e">
        <f>AND(Bills!Y218,"AAAAAD1f//w=")</f>
        <v>#VALUE!</v>
      </c>
      <c r="IT75" t="e">
        <f>AND(Bills!Z218,"AAAAAD1f//0=")</f>
        <v>#VALUE!</v>
      </c>
      <c r="IU75" t="e">
        <f>AND(Bills!#REF!,"AAAAAD1f//4=")</f>
        <v>#REF!</v>
      </c>
      <c r="IV75" t="e">
        <f>AND(Bills!#REF!,"AAAAAD1f//8=")</f>
        <v>#REF!</v>
      </c>
    </row>
    <row r="76" spans="1:256" x14ac:dyDescent="0.25">
      <c r="A76" t="e">
        <f>AND(Bills!#REF!,"AAAAACv/+QA=")</f>
        <v>#REF!</v>
      </c>
      <c r="B76" t="e">
        <f>AND(Bills!#REF!,"AAAAACv/+QE=")</f>
        <v>#REF!</v>
      </c>
      <c r="C76" t="e">
        <f>AND(Bills!#REF!,"AAAAACv/+QI=")</f>
        <v>#REF!</v>
      </c>
      <c r="D76" t="e">
        <f>AND(Bills!#REF!,"AAAAACv/+QM=")</f>
        <v>#REF!</v>
      </c>
      <c r="E76" t="e">
        <f>AND(Bills!#REF!,"AAAAACv/+QQ=")</f>
        <v>#REF!</v>
      </c>
      <c r="F76" t="e">
        <f>AND(Bills!#REF!,"AAAAACv/+QU=")</f>
        <v>#REF!</v>
      </c>
      <c r="G76" t="e">
        <f>AND(Bills!#REF!,"AAAAACv/+QY=")</f>
        <v>#REF!</v>
      </c>
      <c r="H76" t="e">
        <f>AND(Bills!AA218,"AAAAACv/+Qc=")</f>
        <v>#VALUE!</v>
      </c>
      <c r="I76" t="e">
        <f>AND(Bills!AB218,"AAAAACv/+Qg=")</f>
        <v>#VALUE!</v>
      </c>
      <c r="J76" t="e">
        <f>AND(Bills!#REF!,"AAAAACv/+Qk=")</f>
        <v>#REF!</v>
      </c>
      <c r="K76" t="e">
        <f>AND(Bills!#REF!,"AAAAACv/+Qo=")</f>
        <v>#REF!</v>
      </c>
      <c r="L76" t="e">
        <f>AND(Bills!#REF!,"AAAAACv/+Qs=")</f>
        <v>#REF!</v>
      </c>
      <c r="M76" t="e">
        <f>AND(Bills!AC218,"AAAAACv/+Qw=")</f>
        <v>#VALUE!</v>
      </c>
      <c r="N76" t="e">
        <f>AND(Bills!AD218,"AAAAACv/+Q0=")</f>
        <v>#VALUE!</v>
      </c>
      <c r="O76" t="e">
        <f>AND(Bills!AE218,"AAAAACv/+Q4=")</f>
        <v>#VALUE!</v>
      </c>
      <c r="P76">
        <f>IF(Bills!219:219,"AAAAACv/+Q8=",0)</f>
        <v>0</v>
      </c>
      <c r="Q76" t="e">
        <f>AND(Bills!B219,"AAAAACv/+RA=")</f>
        <v>#VALUE!</v>
      </c>
      <c r="R76" t="e">
        <f>AND(Bills!#REF!,"AAAAACv/+RE=")</f>
        <v>#REF!</v>
      </c>
      <c r="S76" t="e">
        <f>AND(Bills!C219,"AAAAACv/+RI=")</f>
        <v>#VALUE!</v>
      </c>
      <c r="T76" t="e">
        <f>AND(Bills!D219,"AAAAACv/+RM=")</f>
        <v>#VALUE!</v>
      </c>
      <c r="U76" t="e">
        <f>AND(Bills!E219,"AAAAACv/+RQ=")</f>
        <v>#VALUE!</v>
      </c>
      <c r="V76" t="e">
        <f>AND(Bills!#REF!,"AAAAACv/+RU=")</f>
        <v>#REF!</v>
      </c>
      <c r="W76" t="e">
        <f>AND(Bills!#REF!,"AAAAACv/+RY=")</f>
        <v>#REF!</v>
      </c>
      <c r="X76" t="e">
        <f>AND(Bills!#REF!,"AAAAACv/+Rc=")</f>
        <v>#REF!</v>
      </c>
      <c r="Y76" t="e">
        <f>AND(Bills!F219,"AAAAACv/+Rg=")</f>
        <v>#VALUE!</v>
      </c>
      <c r="Z76" t="e">
        <f>AND(Bills!#REF!,"AAAAACv/+Rk=")</f>
        <v>#REF!</v>
      </c>
      <c r="AA76" t="e">
        <f>AND(Bills!G219,"AAAAACv/+Ro=")</f>
        <v>#VALUE!</v>
      </c>
      <c r="AB76" t="e">
        <f>AND(Bills!H219,"AAAAACv/+Rs=")</f>
        <v>#VALUE!</v>
      </c>
      <c r="AC76" t="e">
        <f>AND(Bills!I219,"AAAAACv/+Rw=")</f>
        <v>#VALUE!</v>
      </c>
      <c r="AD76" t="e">
        <f>AND(Bills!J219,"AAAAACv/+R0=")</f>
        <v>#VALUE!</v>
      </c>
      <c r="AE76" t="e">
        <f>AND(Bills!K219,"AAAAACv/+R4=")</f>
        <v>#VALUE!</v>
      </c>
      <c r="AF76" t="e">
        <f>AND(Bills!L219,"AAAAACv/+R8=")</f>
        <v>#VALUE!</v>
      </c>
      <c r="AG76" t="e">
        <f>AND(Bills!#REF!,"AAAAACv/+SA=")</f>
        <v>#REF!</v>
      </c>
      <c r="AH76" t="e">
        <f>AND(Bills!M219,"AAAAACv/+SE=")</f>
        <v>#VALUE!</v>
      </c>
      <c r="AI76" t="e">
        <f>AND(Bills!N219,"AAAAACv/+SI=")</f>
        <v>#VALUE!</v>
      </c>
      <c r="AJ76" t="e">
        <f>AND(Bills!O219,"AAAAACv/+SM=")</f>
        <v>#VALUE!</v>
      </c>
      <c r="AK76" t="e">
        <f>AND(Bills!P219,"AAAAACv/+SQ=")</f>
        <v>#VALUE!</v>
      </c>
      <c r="AL76" t="e">
        <f>AND(Bills!Q219,"AAAAACv/+SU=")</f>
        <v>#VALUE!</v>
      </c>
      <c r="AM76" t="e">
        <f>AND(Bills!R219,"AAAAACv/+SY=")</f>
        <v>#VALUE!</v>
      </c>
      <c r="AN76" t="e">
        <f>AND(Bills!S219,"AAAAACv/+Sc=")</f>
        <v>#VALUE!</v>
      </c>
      <c r="AO76" t="e">
        <f>AND(Bills!T219,"AAAAACv/+Sg=")</f>
        <v>#VALUE!</v>
      </c>
      <c r="AP76" t="e">
        <f>AND(Bills!#REF!,"AAAAACv/+Sk=")</f>
        <v>#REF!</v>
      </c>
      <c r="AQ76" t="e">
        <f>AND(Bills!U219,"AAAAACv/+So=")</f>
        <v>#VALUE!</v>
      </c>
      <c r="AR76" t="e">
        <f>AND(Bills!V219,"AAAAACv/+Ss=")</f>
        <v>#VALUE!</v>
      </c>
      <c r="AS76" t="e">
        <f>AND(Bills!W219,"AAAAACv/+Sw=")</f>
        <v>#VALUE!</v>
      </c>
      <c r="AT76" t="e">
        <f>AND(Bills!#REF!,"AAAAACv/+S0=")</f>
        <v>#REF!</v>
      </c>
      <c r="AU76" t="e">
        <f>AND(Bills!#REF!,"AAAAACv/+S4=")</f>
        <v>#REF!</v>
      </c>
      <c r="AV76" t="e">
        <f>AND(Bills!Y219,"AAAAACv/+S8=")</f>
        <v>#VALUE!</v>
      </c>
      <c r="AW76" t="e">
        <f>AND(Bills!Z219,"AAAAACv/+TA=")</f>
        <v>#VALUE!</v>
      </c>
      <c r="AX76" t="e">
        <f>AND(Bills!#REF!,"AAAAACv/+TE=")</f>
        <v>#REF!</v>
      </c>
      <c r="AY76" t="e">
        <f>AND(Bills!#REF!,"AAAAACv/+TI=")</f>
        <v>#REF!</v>
      </c>
      <c r="AZ76" t="e">
        <f>AND(Bills!#REF!,"AAAAACv/+TM=")</f>
        <v>#REF!</v>
      </c>
      <c r="BA76" t="e">
        <f>AND(Bills!#REF!,"AAAAACv/+TQ=")</f>
        <v>#REF!</v>
      </c>
      <c r="BB76" t="e">
        <f>AND(Bills!#REF!,"AAAAACv/+TU=")</f>
        <v>#REF!</v>
      </c>
      <c r="BC76" t="e">
        <f>AND(Bills!#REF!,"AAAAACv/+TY=")</f>
        <v>#REF!</v>
      </c>
      <c r="BD76" t="e">
        <f>AND(Bills!#REF!,"AAAAACv/+Tc=")</f>
        <v>#REF!</v>
      </c>
      <c r="BE76" t="e">
        <f>AND(Bills!#REF!,"AAAAACv/+Tg=")</f>
        <v>#REF!</v>
      </c>
      <c r="BF76" t="e">
        <f>AND(Bills!#REF!,"AAAAACv/+Tk=")</f>
        <v>#REF!</v>
      </c>
      <c r="BG76" t="e">
        <f>AND(Bills!AA219,"AAAAACv/+To=")</f>
        <v>#VALUE!</v>
      </c>
      <c r="BH76" t="e">
        <f>AND(Bills!AB219,"AAAAACv/+Ts=")</f>
        <v>#VALUE!</v>
      </c>
      <c r="BI76" t="e">
        <f>AND(Bills!#REF!,"AAAAACv/+Tw=")</f>
        <v>#REF!</v>
      </c>
      <c r="BJ76" t="e">
        <f>AND(Bills!#REF!,"AAAAACv/+T0=")</f>
        <v>#REF!</v>
      </c>
      <c r="BK76" t="e">
        <f>AND(Bills!#REF!,"AAAAACv/+T4=")</f>
        <v>#REF!</v>
      </c>
      <c r="BL76" t="e">
        <f>AND(Bills!AC219,"AAAAACv/+T8=")</f>
        <v>#VALUE!</v>
      </c>
      <c r="BM76" t="e">
        <f>AND(Bills!AD219,"AAAAACv/+UA=")</f>
        <v>#VALUE!</v>
      </c>
      <c r="BN76" t="e">
        <f>AND(Bills!AE219,"AAAAACv/+UE=")</f>
        <v>#VALUE!</v>
      </c>
      <c r="BO76">
        <f>IF(Bills!220:220,"AAAAACv/+UI=",0)</f>
        <v>0</v>
      </c>
      <c r="BP76" t="e">
        <f>AND(Bills!B220,"AAAAACv/+UM=")</f>
        <v>#VALUE!</v>
      </c>
      <c r="BQ76" t="e">
        <f>AND(Bills!#REF!,"AAAAACv/+UQ=")</f>
        <v>#REF!</v>
      </c>
      <c r="BR76" t="e">
        <f>AND(Bills!C220,"AAAAACv/+UU=")</f>
        <v>#VALUE!</v>
      </c>
      <c r="BS76" t="e">
        <f>AND(Bills!D220,"AAAAACv/+UY=")</f>
        <v>#VALUE!</v>
      </c>
      <c r="BT76" t="e">
        <f>AND(Bills!E220,"AAAAACv/+Uc=")</f>
        <v>#VALUE!</v>
      </c>
      <c r="BU76" t="e">
        <f>AND(Bills!#REF!,"AAAAACv/+Ug=")</f>
        <v>#REF!</v>
      </c>
      <c r="BV76" t="e">
        <f>AND(Bills!#REF!,"AAAAACv/+Uk=")</f>
        <v>#REF!</v>
      </c>
      <c r="BW76" t="e">
        <f>AND(Bills!#REF!,"AAAAACv/+Uo=")</f>
        <v>#REF!</v>
      </c>
      <c r="BX76" t="e">
        <f>AND(Bills!F220,"AAAAACv/+Us=")</f>
        <v>#VALUE!</v>
      </c>
      <c r="BY76" t="e">
        <f>AND(Bills!#REF!,"AAAAACv/+Uw=")</f>
        <v>#REF!</v>
      </c>
      <c r="BZ76" t="e">
        <f>AND(Bills!G220,"AAAAACv/+U0=")</f>
        <v>#VALUE!</v>
      </c>
      <c r="CA76" t="e">
        <f>AND(Bills!H220,"AAAAACv/+U4=")</f>
        <v>#VALUE!</v>
      </c>
      <c r="CB76" t="e">
        <f>AND(Bills!I220,"AAAAACv/+U8=")</f>
        <v>#VALUE!</v>
      </c>
      <c r="CC76" t="e">
        <f>AND(Bills!J220,"AAAAACv/+VA=")</f>
        <v>#VALUE!</v>
      </c>
      <c r="CD76" t="e">
        <f>AND(Bills!K220,"AAAAACv/+VE=")</f>
        <v>#VALUE!</v>
      </c>
      <c r="CE76" t="e">
        <f>AND(Bills!L220,"AAAAACv/+VI=")</f>
        <v>#VALUE!</v>
      </c>
      <c r="CF76" t="e">
        <f>AND(Bills!#REF!,"AAAAACv/+VM=")</f>
        <v>#REF!</v>
      </c>
      <c r="CG76" t="e">
        <f>AND(Bills!M220,"AAAAACv/+VQ=")</f>
        <v>#VALUE!</v>
      </c>
      <c r="CH76" t="e">
        <f>AND(Bills!N220,"AAAAACv/+VU=")</f>
        <v>#VALUE!</v>
      </c>
      <c r="CI76" t="e">
        <f>AND(Bills!O220,"AAAAACv/+VY=")</f>
        <v>#VALUE!</v>
      </c>
      <c r="CJ76" t="e">
        <f>AND(Bills!P220,"AAAAACv/+Vc=")</f>
        <v>#VALUE!</v>
      </c>
      <c r="CK76" t="e">
        <f>AND(Bills!Q220,"AAAAACv/+Vg=")</f>
        <v>#VALUE!</v>
      </c>
      <c r="CL76" t="e">
        <f>AND(Bills!R220,"AAAAACv/+Vk=")</f>
        <v>#VALUE!</v>
      </c>
      <c r="CM76" t="e">
        <f>AND(Bills!S220,"AAAAACv/+Vo=")</f>
        <v>#VALUE!</v>
      </c>
      <c r="CN76" t="e">
        <f>AND(Bills!T220,"AAAAACv/+Vs=")</f>
        <v>#VALUE!</v>
      </c>
      <c r="CO76" t="e">
        <f>AND(Bills!#REF!,"AAAAACv/+Vw=")</f>
        <v>#REF!</v>
      </c>
      <c r="CP76" t="e">
        <f>AND(Bills!U220,"AAAAACv/+V0=")</f>
        <v>#VALUE!</v>
      </c>
      <c r="CQ76" t="e">
        <f>AND(Bills!V220,"AAAAACv/+V4=")</f>
        <v>#VALUE!</v>
      </c>
      <c r="CR76" t="e">
        <f>AND(Bills!W220,"AAAAACv/+V8=")</f>
        <v>#VALUE!</v>
      </c>
      <c r="CS76" t="e">
        <f>AND(Bills!#REF!,"AAAAACv/+WA=")</f>
        <v>#REF!</v>
      </c>
      <c r="CT76" t="e">
        <f>AND(Bills!#REF!,"AAAAACv/+WE=")</f>
        <v>#REF!</v>
      </c>
      <c r="CU76" t="e">
        <f>AND(Bills!Y220,"AAAAACv/+WI=")</f>
        <v>#VALUE!</v>
      </c>
      <c r="CV76" t="e">
        <f>AND(Bills!Z220,"AAAAACv/+WM=")</f>
        <v>#VALUE!</v>
      </c>
      <c r="CW76" t="e">
        <f>AND(Bills!#REF!,"AAAAACv/+WQ=")</f>
        <v>#REF!</v>
      </c>
      <c r="CX76" t="e">
        <f>AND(Bills!#REF!,"AAAAACv/+WU=")</f>
        <v>#REF!</v>
      </c>
      <c r="CY76" t="e">
        <f>AND(Bills!#REF!,"AAAAACv/+WY=")</f>
        <v>#REF!</v>
      </c>
      <c r="CZ76" t="e">
        <f>AND(Bills!#REF!,"AAAAACv/+Wc=")</f>
        <v>#REF!</v>
      </c>
      <c r="DA76" t="e">
        <f>AND(Bills!#REF!,"AAAAACv/+Wg=")</f>
        <v>#REF!</v>
      </c>
      <c r="DB76" t="e">
        <f>AND(Bills!#REF!,"AAAAACv/+Wk=")</f>
        <v>#REF!</v>
      </c>
      <c r="DC76" t="e">
        <f>AND(Bills!#REF!,"AAAAACv/+Wo=")</f>
        <v>#REF!</v>
      </c>
      <c r="DD76" t="e">
        <f>AND(Bills!#REF!,"AAAAACv/+Ws=")</f>
        <v>#REF!</v>
      </c>
      <c r="DE76" t="e">
        <f>AND(Bills!#REF!,"AAAAACv/+Ww=")</f>
        <v>#REF!</v>
      </c>
      <c r="DF76" t="e">
        <f>AND(Bills!AA220,"AAAAACv/+W0=")</f>
        <v>#VALUE!</v>
      </c>
      <c r="DG76" t="e">
        <f>AND(Bills!AB220,"AAAAACv/+W4=")</f>
        <v>#VALUE!</v>
      </c>
      <c r="DH76" t="e">
        <f>AND(Bills!#REF!,"AAAAACv/+W8=")</f>
        <v>#REF!</v>
      </c>
      <c r="DI76" t="e">
        <f>AND(Bills!#REF!,"AAAAACv/+XA=")</f>
        <v>#REF!</v>
      </c>
      <c r="DJ76" t="e">
        <f>AND(Bills!#REF!,"AAAAACv/+XE=")</f>
        <v>#REF!</v>
      </c>
      <c r="DK76" t="e">
        <f>AND(Bills!AC220,"AAAAACv/+XI=")</f>
        <v>#VALUE!</v>
      </c>
      <c r="DL76" t="e">
        <f>AND(Bills!AD220,"AAAAACv/+XM=")</f>
        <v>#VALUE!</v>
      </c>
      <c r="DM76" t="e">
        <f>AND(Bills!AE220,"AAAAACv/+XQ=")</f>
        <v>#VALUE!</v>
      </c>
      <c r="DN76">
        <f>IF(Bills!221:221,"AAAAACv/+XU=",0)</f>
        <v>0</v>
      </c>
      <c r="DO76" t="e">
        <f>AND(Bills!B221,"AAAAACv/+XY=")</f>
        <v>#VALUE!</v>
      </c>
      <c r="DP76" t="e">
        <f>AND(Bills!#REF!,"AAAAACv/+Xc=")</f>
        <v>#REF!</v>
      </c>
      <c r="DQ76" t="e">
        <f>AND(Bills!C221,"AAAAACv/+Xg=")</f>
        <v>#VALUE!</v>
      </c>
      <c r="DR76" t="e">
        <f>AND(Bills!D221,"AAAAACv/+Xk=")</f>
        <v>#VALUE!</v>
      </c>
      <c r="DS76" t="e">
        <f>AND(Bills!E221,"AAAAACv/+Xo=")</f>
        <v>#VALUE!</v>
      </c>
      <c r="DT76" t="e">
        <f>AND(Bills!#REF!,"AAAAACv/+Xs=")</f>
        <v>#REF!</v>
      </c>
      <c r="DU76" t="e">
        <f>AND(Bills!#REF!,"AAAAACv/+Xw=")</f>
        <v>#REF!</v>
      </c>
      <c r="DV76" t="e">
        <f>AND(Bills!#REF!,"AAAAACv/+X0=")</f>
        <v>#REF!</v>
      </c>
      <c r="DW76" t="e">
        <f>AND(Bills!F221,"AAAAACv/+X4=")</f>
        <v>#VALUE!</v>
      </c>
      <c r="DX76" t="e">
        <f>AND(Bills!#REF!,"AAAAACv/+X8=")</f>
        <v>#REF!</v>
      </c>
      <c r="DY76" t="e">
        <f>AND(Bills!G221,"AAAAACv/+YA=")</f>
        <v>#VALUE!</v>
      </c>
      <c r="DZ76" t="e">
        <f>AND(Bills!H221,"AAAAACv/+YE=")</f>
        <v>#VALUE!</v>
      </c>
      <c r="EA76" t="e">
        <f>AND(Bills!I221,"AAAAACv/+YI=")</f>
        <v>#VALUE!</v>
      </c>
      <c r="EB76" t="e">
        <f>AND(Bills!J221,"AAAAACv/+YM=")</f>
        <v>#VALUE!</v>
      </c>
      <c r="EC76" t="e">
        <f>AND(Bills!K221,"AAAAACv/+YQ=")</f>
        <v>#VALUE!</v>
      </c>
      <c r="ED76" t="e">
        <f>AND(Bills!L221,"AAAAACv/+YU=")</f>
        <v>#VALUE!</v>
      </c>
      <c r="EE76" t="e">
        <f>AND(Bills!#REF!,"AAAAACv/+YY=")</f>
        <v>#REF!</v>
      </c>
      <c r="EF76" t="e">
        <f>AND(Bills!M221,"AAAAACv/+Yc=")</f>
        <v>#VALUE!</v>
      </c>
      <c r="EG76" t="e">
        <f>AND(Bills!N221,"AAAAACv/+Yg=")</f>
        <v>#VALUE!</v>
      </c>
      <c r="EH76" t="e">
        <f>AND(Bills!O221,"AAAAACv/+Yk=")</f>
        <v>#VALUE!</v>
      </c>
      <c r="EI76" t="e">
        <f>AND(Bills!P221,"AAAAACv/+Yo=")</f>
        <v>#VALUE!</v>
      </c>
      <c r="EJ76" t="e">
        <f>AND(Bills!Q221,"AAAAACv/+Ys=")</f>
        <v>#VALUE!</v>
      </c>
      <c r="EK76" t="e">
        <f>AND(Bills!R221,"AAAAACv/+Yw=")</f>
        <v>#VALUE!</v>
      </c>
      <c r="EL76" t="e">
        <f>AND(Bills!S221,"AAAAACv/+Y0=")</f>
        <v>#VALUE!</v>
      </c>
      <c r="EM76" t="e">
        <f>AND(Bills!T221,"AAAAACv/+Y4=")</f>
        <v>#VALUE!</v>
      </c>
      <c r="EN76" t="e">
        <f>AND(Bills!#REF!,"AAAAACv/+Y8=")</f>
        <v>#REF!</v>
      </c>
      <c r="EO76" t="e">
        <f>AND(Bills!U221,"AAAAACv/+ZA=")</f>
        <v>#VALUE!</v>
      </c>
      <c r="EP76" t="e">
        <f>AND(Bills!V221,"AAAAACv/+ZE=")</f>
        <v>#VALUE!</v>
      </c>
      <c r="EQ76" t="e">
        <f>AND(Bills!W221,"AAAAACv/+ZI=")</f>
        <v>#VALUE!</v>
      </c>
      <c r="ER76" t="e">
        <f>AND(Bills!#REF!,"AAAAACv/+ZM=")</f>
        <v>#REF!</v>
      </c>
      <c r="ES76" t="e">
        <f>AND(Bills!#REF!,"AAAAACv/+ZQ=")</f>
        <v>#REF!</v>
      </c>
      <c r="ET76" t="e">
        <f>AND(Bills!Y221,"AAAAACv/+ZU=")</f>
        <v>#VALUE!</v>
      </c>
      <c r="EU76" t="e">
        <f>AND(Bills!Z221,"AAAAACv/+ZY=")</f>
        <v>#VALUE!</v>
      </c>
      <c r="EV76" t="e">
        <f>AND(Bills!#REF!,"AAAAACv/+Zc=")</f>
        <v>#REF!</v>
      </c>
      <c r="EW76" t="e">
        <f>AND(Bills!#REF!,"AAAAACv/+Zg=")</f>
        <v>#REF!</v>
      </c>
      <c r="EX76" t="e">
        <f>AND(Bills!#REF!,"AAAAACv/+Zk=")</f>
        <v>#REF!</v>
      </c>
      <c r="EY76" t="e">
        <f>AND(Bills!#REF!,"AAAAACv/+Zo=")</f>
        <v>#REF!</v>
      </c>
      <c r="EZ76" t="e">
        <f>AND(Bills!#REF!,"AAAAACv/+Zs=")</f>
        <v>#REF!</v>
      </c>
      <c r="FA76" t="e">
        <f>AND(Bills!#REF!,"AAAAACv/+Zw=")</f>
        <v>#REF!</v>
      </c>
      <c r="FB76" t="e">
        <f>AND(Bills!#REF!,"AAAAACv/+Z0=")</f>
        <v>#REF!</v>
      </c>
      <c r="FC76" t="e">
        <f>AND(Bills!#REF!,"AAAAACv/+Z4=")</f>
        <v>#REF!</v>
      </c>
      <c r="FD76" t="e">
        <f>AND(Bills!#REF!,"AAAAACv/+Z8=")</f>
        <v>#REF!</v>
      </c>
      <c r="FE76" t="e">
        <f>AND(Bills!AA221,"AAAAACv/+aA=")</f>
        <v>#VALUE!</v>
      </c>
      <c r="FF76" t="e">
        <f>AND(Bills!AB221,"AAAAACv/+aE=")</f>
        <v>#VALUE!</v>
      </c>
      <c r="FG76" t="e">
        <f>AND(Bills!#REF!,"AAAAACv/+aI=")</f>
        <v>#REF!</v>
      </c>
      <c r="FH76" t="e">
        <f>AND(Bills!#REF!,"AAAAACv/+aM=")</f>
        <v>#REF!</v>
      </c>
      <c r="FI76" t="e">
        <f>AND(Bills!#REF!,"AAAAACv/+aQ=")</f>
        <v>#REF!</v>
      </c>
      <c r="FJ76" t="e">
        <f>AND(Bills!AC221,"AAAAACv/+aU=")</f>
        <v>#VALUE!</v>
      </c>
      <c r="FK76" t="e">
        <f>AND(Bills!AD221,"AAAAACv/+aY=")</f>
        <v>#VALUE!</v>
      </c>
      <c r="FL76" t="e">
        <f>AND(Bills!AE221,"AAAAACv/+ac=")</f>
        <v>#VALUE!</v>
      </c>
      <c r="FM76">
        <f>IF(Bills!222:222,"AAAAACv/+ag=",0)</f>
        <v>0</v>
      </c>
      <c r="FN76" t="e">
        <f>AND(Bills!B222,"AAAAACv/+ak=")</f>
        <v>#VALUE!</v>
      </c>
      <c r="FO76" t="e">
        <f>AND(Bills!#REF!,"AAAAACv/+ao=")</f>
        <v>#REF!</v>
      </c>
      <c r="FP76" t="e">
        <f>AND(Bills!C222,"AAAAACv/+as=")</f>
        <v>#VALUE!</v>
      </c>
      <c r="FQ76" t="e">
        <f>AND(Bills!D222,"AAAAACv/+aw=")</f>
        <v>#VALUE!</v>
      </c>
      <c r="FR76" t="e">
        <f>AND(Bills!E222,"AAAAACv/+a0=")</f>
        <v>#VALUE!</v>
      </c>
      <c r="FS76" t="e">
        <f>AND(Bills!#REF!,"AAAAACv/+a4=")</f>
        <v>#REF!</v>
      </c>
      <c r="FT76" t="e">
        <f>AND(Bills!#REF!,"AAAAACv/+a8=")</f>
        <v>#REF!</v>
      </c>
      <c r="FU76" t="e">
        <f>AND(Bills!#REF!,"AAAAACv/+bA=")</f>
        <v>#REF!</v>
      </c>
      <c r="FV76" t="e">
        <f>AND(Bills!F222,"AAAAACv/+bE=")</f>
        <v>#VALUE!</v>
      </c>
      <c r="FW76" t="e">
        <f>AND(Bills!#REF!,"AAAAACv/+bI=")</f>
        <v>#REF!</v>
      </c>
      <c r="FX76" t="e">
        <f>AND(Bills!G222,"AAAAACv/+bM=")</f>
        <v>#VALUE!</v>
      </c>
      <c r="FY76" t="e">
        <f>AND(Bills!H222,"AAAAACv/+bQ=")</f>
        <v>#VALUE!</v>
      </c>
      <c r="FZ76" t="e">
        <f>AND(Bills!I222,"AAAAACv/+bU=")</f>
        <v>#VALUE!</v>
      </c>
      <c r="GA76" t="e">
        <f>AND(Bills!J222,"AAAAACv/+bY=")</f>
        <v>#VALUE!</v>
      </c>
      <c r="GB76" t="e">
        <f>AND(Bills!K222,"AAAAACv/+bc=")</f>
        <v>#VALUE!</v>
      </c>
      <c r="GC76" t="e">
        <f>AND(Bills!L222,"AAAAACv/+bg=")</f>
        <v>#VALUE!</v>
      </c>
      <c r="GD76" t="e">
        <f>AND(Bills!#REF!,"AAAAACv/+bk=")</f>
        <v>#REF!</v>
      </c>
      <c r="GE76" t="e">
        <f>AND(Bills!M222,"AAAAACv/+bo=")</f>
        <v>#VALUE!</v>
      </c>
      <c r="GF76" t="e">
        <f>AND(Bills!N222,"AAAAACv/+bs=")</f>
        <v>#VALUE!</v>
      </c>
      <c r="GG76" t="e">
        <f>AND(Bills!O222,"AAAAACv/+bw=")</f>
        <v>#VALUE!</v>
      </c>
      <c r="GH76" t="e">
        <f>AND(Bills!P222,"AAAAACv/+b0=")</f>
        <v>#VALUE!</v>
      </c>
      <c r="GI76" t="e">
        <f>AND(Bills!Q222,"AAAAACv/+b4=")</f>
        <v>#VALUE!</v>
      </c>
      <c r="GJ76" t="e">
        <f>AND(Bills!R222,"AAAAACv/+b8=")</f>
        <v>#VALUE!</v>
      </c>
      <c r="GK76" t="e">
        <f>AND(Bills!S222,"AAAAACv/+cA=")</f>
        <v>#VALUE!</v>
      </c>
      <c r="GL76" t="e">
        <f>AND(Bills!T222,"AAAAACv/+cE=")</f>
        <v>#VALUE!</v>
      </c>
      <c r="GM76" t="e">
        <f>AND(Bills!#REF!,"AAAAACv/+cI=")</f>
        <v>#REF!</v>
      </c>
      <c r="GN76" t="e">
        <f>AND(Bills!U222,"AAAAACv/+cM=")</f>
        <v>#VALUE!</v>
      </c>
      <c r="GO76" t="e">
        <f>AND(Bills!V222,"AAAAACv/+cQ=")</f>
        <v>#VALUE!</v>
      </c>
      <c r="GP76" t="e">
        <f>AND(Bills!W222,"AAAAACv/+cU=")</f>
        <v>#VALUE!</v>
      </c>
      <c r="GQ76" t="e">
        <f>AND(Bills!#REF!,"AAAAACv/+cY=")</f>
        <v>#REF!</v>
      </c>
      <c r="GR76" t="e">
        <f>AND(Bills!#REF!,"AAAAACv/+cc=")</f>
        <v>#REF!</v>
      </c>
      <c r="GS76" t="e">
        <f>AND(Bills!Y222,"AAAAACv/+cg=")</f>
        <v>#VALUE!</v>
      </c>
      <c r="GT76" t="e">
        <f>AND(Bills!Z222,"AAAAACv/+ck=")</f>
        <v>#VALUE!</v>
      </c>
      <c r="GU76" t="e">
        <f>AND(Bills!#REF!,"AAAAACv/+co=")</f>
        <v>#REF!</v>
      </c>
      <c r="GV76" t="e">
        <f>AND(Bills!#REF!,"AAAAACv/+cs=")</f>
        <v>#REF!</v>
      </c>
      <c r="GW76" t="e">
        <f>AND(Bills!#REF!,"AAAAACv/+cw=")</f>
        <v>#REF!</v>
      </c>
      <c r="GX76" t="e">
        <f>AND(Bills!#REF!,"AAAAACv/+c0=")</f>
        <v>#REF!</v>
      </c>
      <c r="GY76" t="e">
        <f>AND(Bills!#REF!,"AAAAACv/+c4=")</f>
        <v>#REF!</v>
      </c>
      <c r="GZ76" t="e">
        <f>AND(Bills!#REF!,"AAAAACv/+c8=")</f>
        <v>#REF!</v>
      </c>
      <c r="HA76" t="e">
        <f>AND(Bills!#REF!,"AAAAACv/+dA=")</f>
        <v>#REF!</v>
      </c>
      <c r="HB76" t="e">
        <f>AND(Bills!#REF!,"AAAAACv/+dE=")</f>
        <v>#REF!</v>
      </c>
      <c r="HC76" t="e">
        <f>AND(Bills!#REF!,"AAAAACv/+dI=")</f>
        <v>#REF!</v>
      </c>
      <c r="HD76" t="e">
        <f>AND(Bills!AA222,"AAAAACv/+dM=")</f>
        <v>#VALUE!</v>
      </c>
      <c r="HE76" t="e">
        <f>AND(Bills!AB222,"AAAAACv/+dQ=")</f>
        <v>#VALUE!</v>
      </c>
      <c r="HF76" t="e">
        <f>AND(Bills!#REF!,"AAAAACv/+dU=")</f>
        <v>#REF!</v>
      </c>
      <c r="HG76" t="e">
        <f>AND(Bills!#REF!,"AAAAACv/+dY=")</f>
        <v>#REF!</v>
      </c>
      <c r="HH76" t="e">
        <f>AND(Bills!#REF!,"AAAAACv/+dc=")</f>
        <v>#REF!</v>
      </c>
      <c r="HI76" t="e">
        <f>AND(Bills!AC222,"AAAAACv/+dg=")</f>
        <v>#VALUE!</v>
      </c>
      <c r="HJ76" t="e">
        <f>AND(Bills!AD222,"AAAAACv/+dk=")</f>
        <v>#VALUE!</v>
      </c>
      <c r="HK76" t="e">
        <f>AND(Bills!AE222,"AAAAACv/+do=")</f>
        <v>#VALUE!</v>
      </c>
      <c r="HL76">
        <f>IF(Bills!223:223,"AAAAACv/+ds=",0)</f>
        <v>0</v>
      </c>
      <c r="HM76" t="e">
        <f>AND(Bills!B223,"AAAAACv/+dw=")</f>
        <v>#VALUE!</v>
      </c>
      <c r="HN76" t="e">
        <f>AND(Bills!#REF!,"AAAAACv/+d0=")</f>
        <v>#REF!</v>
      </c>
      <c r="HO76" t="e">
        <f>AND(Bills!C223,"AAAAACv/+d4=")</f>
        <v>#VALUE!</v>
      </c>
      <c r="HP76" t="e">
        <f>AND(Bills!D223,"AAAAACv/+d8=")</f>
        <v>#VALUE!</v>
      </c>
      <c r="HQ76" t="e">
        <f>AND(Bills!E223,"AAAAACv/+eA=")</f>
        <v>#VALUE!</v>
      </c>
      <c r="HR76" t="e">
        <f>AND(Bills!#REF!,"AAAAACv/+eE=")</f>
        <v>#REF!</v>
      </c>
      <c r="HS76" t="e">
        <f>AND(Bills!#REF!,"AAAAACv/+eI=")</f>
        <v>#REF!</v>
      </c>
      <c r="HT76" t="e">
        <f>AND(Bills!#REF!,"AAAAACv/+eM=")</f>
        <v>#REF!</v>
      </c>
      <c r="HU76" t="e">
        <f>AND(Bills!F223,"AAAAACv/+eQ=")</f>
        <v>#VALUE!</v>
      </c>
      <c r="HV76" t="e">
        <f>AND(Bills!#REF!,"AAAAACv/+eU=")</f>
        <v>#REF!</v>
      </c>
      <c r="HW76" t="e">
        <f>AND(Bills!G223,"AAAAACv/+eY=")</f>
        <v>#VALUE!</v>
      </c>
      <c r="HX76" t="e">
        <f>AND(Bills!H223,"AAAAACv/+ec=")</f>
        <v>#VALUE!</v>
      </c>
      <c r="HY76" t="e">
        <f>AND(Bills!I223,"AAAAACv/+eg=")</f>
        <v>#VALUE!</v>
      </c>
      <c r="HZ76" t="e">
        <f>AND(Bills!J223,"AAAAACv/+ek=")</f>
        <v>#VALUE!</v>
      </c>
      <c r="IA76" t="e">
        <f>AND(Bills!K223,"AAAAACv/+eo=")</f>
        <v>#VALUE!</v>
      </c>
      <c r="IB76" t="e">
        <f>AND(Bills!L223,"AAAAACv/+es=")</f>
        <v>#VALUE!</v>
      </c>
      <c r="IC76" t="e">
        <f>AND(Bills!#REF!,"AAAAACv/+ew=")</f>
        <v>#REF!</v>
      </c>
      <c r="ID76" t="e">
        <f>AND(Bills!M223,"AAAAACv/+e0=")</f>
        <v>#VALUE!</v>
      </c>
      <c r="IE76" t="e">
        <f>AND(Bills!N223,"AAAAACv/+e4=")</f>
        <v>#VALUE!</v>
      </c>
      <c r="IF76" t="e">
        <f>AND(Bills!O223,"AAAAACv/+e8=")</f>
        <v>#VALUE!</v>
      </c>
      <c r="IG76" t="e">
        <f>AND(Bills!P223,"AAAAACv/+fA=")</f>
        <v>#VALUE!</v>
      </c>
      <c r="IH76" t="e">
        <f>AND(Bills!Q223,"AAAAACv/+fE=")</f>
        <v>#VALUE!</v>
      </c>
      <c r="II76" t="e">
        <f>AND(Bills!R223,"AAAAACv/+fI=")</f>
        <v>#VALUE!</v>
      </c>
      <c r="IJ76" t="e">
        <f>AND(Bills!S223,"AAAAACv/+fM=")</f>
        <v>#VALUE!</v>
      </c>
      <c r="IK76" t="e">
        <f>AND(Bills!T223,"AAAAACv/+fQ=")</f>
        <v>#VALUE!</v>
      </c>
      <c r="IL76" t="e">
        <f>AND(Bills!#REF!,"AAAAACv/+fU=")</f>
        <v>#REF!</v>
      </c>
      <c r="IM76" t="e">
        <f>AND(Bills!U223,"AAAAACv/+fY=")</f>
        <v>#VALUE!</v>
      </c>
      <c r="IN76" t="e">
        <f>AND(Bills!V223,"AAAAACv/+fc=")</f>
        <v>#VALUE!</v>
      </c>
      <c r="IO76" t="e">
        <f>AND(Bills!W223,"AAAAACv/+fg=")</f>
        <v>#VALUE!</v>
      </c>
      <c r="IP76" t="e">
        <f>AND(Bills!#REF!,"AAAAACv/+fk=")</f>
        <v>#REF!</v>
      </c>
      <c r="IQ76" t="e">
        <f>AND(Bills!#REF!,"AAAAACv/+fo=")</f>
        <v>#REF!</v>
      </c>
      <c r="IR76" t="e">
        <f>AND(Bills!Y223,"AAAAACv/+fs=")</f>
        <v>#VALUE!</v>
      </c>
      <c r="IS76" t="e">
        <f>AND(Bills!Z223,"AAAAACv/+fw=")</f>
        <v>#VALUE!</v>
      </c>
      <c r="IT76" t="e">
        <f>AND(Bills!#REF!,"AAAAACv/+f0=")</f>
        <v>#REF!</v>
      </c>
      <c r="IU76" t="e">
        <f>AND(Bills!#REF!,"AAAAACv/+f4=")</f>
        <v>#REF!</v>
      </c>
      <c r="IV76" t="e">
        <f>AND(Bills!#REF!,"AAAAACv/+f8=")</f>
        <v>#REF!</v>
      </c>
    </row>
    <row r="77" spans="1:256" x14ac:dyDescent="0.25">
      <c r="A77" t="e">
        <f>AND(Bills!#REF!,"AAAAAH+5zQA=")</f>
        <v>#REF!</v>
      </c>
      <c r="B77" t="e">
        <f>AND(Bills!#REF!,"AAAAAH+5zQE=")</f>
        <v>#REF!</v>
      </c>
      <c r="C77" t="e">
        <f>AND(Bills!#REF!,"AAAAAH+5zQI=")</f>
        <v>#REF!</v>
      </c>
      <c r="D77" t="e">
        <f>AND(Bills!#REF!,"AAAAAH+5zQM=")</f>
        <v>#REF!</v>
      </c>
      <c r="E77" t="e">
        <f>AND(Bills!#REF!,"AAAAAH+5zQQ=")</f>
        <v>#REF!</v>
      </c>
      <c r="F77" t="e">
        <f>AND(Bills!#REF!,"AAAAAH+5zQU=")</f>
        <v>#REF!</v>
      </c>
      <c r="G77" t="e">
        <f>AND(Bills!AA223,"AAAAAH+5zQY=")</f>
        <v>#VALUE!</v>
      </c>
      <c r="H77" t="e">
        <f>AND(Bills!AB223,"AAAAAH+5zQc=")</f>
        <v>#VALUE!</v>
      </c>
      <c r="I77" t="e">
        <f>AND(Bills!#REF!,"AAAAAH+5zQg=")</f>
        <v>#REF!</v>
      </c>
      <c r="J77" t="e">
        <f>AND(Bills!#REF!,"AAAAAH+5zQk=")</f>
        <v>#REF!</v>
      </c>
      <c r="K77" t="e">
        <f>AND(Bills!#REF!,"AAAAAH+5zQo=")</f>
        <v>#REF!</v>
      </c>
      <c r="L77" t="e">
        <f>AND(Bills!AC223,"AAAAAH+5zQs=")</f>
        <v>#VALUE!</v>
      </c>
      <c r="M77" t="e">
        <f>AND(Bills!AD223,"AAAAAH+5zQw=")</f>
        <v>#VALUE!</v>
      </c>
      <c r="N77" t="e">
        <f>AND(Bills!AE223,"AAAAAH+5zQ0=")</f>
        <v>#VALUE!</v>
      </c>
      <c r="O77">
        <f>IF(Bills!224:224,"AAAAAH+5zQ4=",0)</f>
        <v>0</v>
      </c>
      <c r="P77" t="e">
        <f>AND(Bills!B224,"AAAAAH+5zQ8=")</f>
        <v>#VALUE!</v>
      </c>
      <c r="Q77" t="e">
        <f>AND(Bills!#REF!,"AAAAAH+5zRA=")</f>
        <v>#REF!</v>
      </c>
      <c r="R77" t="e">
        <f>AND(Bills!C224,"AAAAAH+5zRE=")</f>
        <v>#VALUE!</v>
      </c>
      <c r="S77" t="e">
        <f>AND(Bills!D224,"AAAAAH+5zRI=")</f>
        <v>#VALUE!</v>
      </c>
      <c r="T77" t="e">
        <f>AND(Bills!E224,"AAAAAH+5zRM=")</f>
        <v>#VALUE!</v>
      </c>
      <c r="U77" t="e">
        <f>AND(Bills!#REF!,"AAAAAH+5zRQ=")</f>
        <v>#REF!</v>
      </c>
      <c r="V77" t="e">
        <f>AND(Bills!#REF!,"AAAAAH+5zRU=")</f>
        <v>#REF!</v>
      </c>
      <c r="W77" t="e">
        <f>AND(Bills!#REF!,"AAAAAH+5zRY=")</f>
        <v>#REF!</v>
      </c>
      <c r="X77" t="e">
        <f>AND(Bills!F224,"AAAAAH+5zRc=")</f>
        <v>#VALUE!</v>
      </c>
      <c r="Y77" t="e">
        <f>AND(Bills!#REF!,"AAAAAH+5zRg=")</f>
        <v>#REF!</v>
      </c>
      <c r="Z77" t="e">
        <f>AND(Bills!G224,"AAAAAH+5zRk=")</f>
        <v>#VALUE!</v>
      </c>
      <c r="AA77" t="e">
        <f>AND(Bills!H224,"AAAAAH+5zRo=")</f>
        <v>#VALUE!</v>
      </c>
      <c r="AB77" t="e">
        <f>AND(Bills!I224,"AAAAAH+5zRs=")</f>
        <v>#VALUE!</v>
      </c>
      <c r="AC77" t="e">
        <f>AND(Bills!J224,"AAAAAH+5zRw=")</f>
        <v>#VALUE!</v>
      </c>
      <c r="AD77" t="e">
        <f>AND(Bills!K224,"AAAAAH+5zR0=")</f>
        <v>#VALUE!</v>
      </c>
      <c r="AE77" t="e">
        <f>AND(Bills!L224,"AAAAAH+5zR4=")</f>
        <v>#VALUE!</v>
      </c>
      <c r="AF77" t="e">
        <f>AND(Bills!#REF!,"AAAAAH+5zR8=")</f>
        <v>#REF!</v>
      </c>
      <c r="AG77" t="e">
        <f>AND(Bills!M224,"AAAAAH+5zSA=")</f>
        <v>#VALUE!</v>
      </c>
      <c r="AH77" t="e">
        <f>AND(Bills!N224,"AAAAAH+5zSE=")</f>
        <v>#VALUE!</v>
      </c>
      <c r="AI77" t="e">
        <f>AND(Bills!O224,"AAAAAH+5zSI=")</f>
        <v>#VALUE!</v>
      </c>
      <c r="AJ77" t="e">
        <f>AND(Bills!P224,"AAAAAH+5zSM=")</f>
        <v>#VALUE!</v>
      </c>
      <c r="AK77" t="e">
        <f>AND(Bills!Q224,"AAAAAH+5zSQ=")</f>
        <v>#VALUE!</v>
      </c>
      <c r="AL77" t="e">
        <f>AND(Bills!R224,"AAAAAH+5zSU=")</f>
        <v>#VALUE!</v>
      </c>
      <c r="AM77" t="e">
        <f>AND(Bills!S224,"AAAAAH+5zSY=")</f>
        <v>#VALUE!</v>
      </c>
      <c r="AN77" t="e">
        <f>AND(Bills!T224,"AAAAAH+5zSc=")</f>
        <v>#VALUE!</v>
      </c>
      <c r="AO77" t="e">
        <f>AND(Bills!#REF!,"AAAAAH+5zSg=")</f>
        <v>#REF!</v>
      </c>
      <c r="AP77" t="e">
        <f>AND(Bills!U224,"AAAAAH+5zSk=")</f>
        <v>#VALUE!</v>
      </c>
      <c r="AQ77" t="e">
        <f>AND(Bills!V224,"AAAAAH+5zSo=")</f>
        <v>#VALUE!</v>
      </c>
      <c r="AR77" t="e">
        <f>AND(Bills!W224,"AAAAAH+5zSs=")</f>
        <v>#VALUE!</v>
      </c>
      <c r="AS77" t="e">
        <f>AND(Bills!#REF!,"AAAAAH+5zSw=")</f>
        <v>#REF!</v>
      </c>
      <c r="AT77" t="e">
        <f>AND(Bills!#REF!,"AAAAAH+5zS0=")</f>
        <v>#REF!</v>
      </c>
      <c r="AU77" t="e">
        <f>AND(Bills!Y224,"AAAAAH+5zS4=")</f>
        <v>#VALUE!</v>
      </c>
      <c r="AV77" t="e">
        <f>AND(Bills!Z224,"AAAAAH+5zS8=")</f>
        <v>#VALUE!</v>
      </c>
      <c r="AW77" t="e">
        <f>AND(Bills!#REF!,"AAAAAH+5zTA=")</f>
        <v>#REF!</v>
      </c>
      <c r="AX77" t="e">
        <f>AND(Bills!#REF!,"AAAAAH+5zTE=")</f>
        <v>#REF!</v>
      </c>
      <c r="AY77" t="e">
        <f>AND(Bills!#REF!,"AAAAAH+5zTI=")</f>
        <v>#REF!</v>
      </c>
      <c r="AZ77" t="e">
        <f>AND(Bills!#REF!,"AAAAAH+5zTM=")</f>
        <v>#REF!</v>
      </c>
      <c r="BA77" t="e">
        <f>AND(Bills!#REF!,"AAAAAH+5zTQ=")</f>
        <v>#REF!</v>
      </c>
      <c r="BB77" t="e">
        <f>AND(Bills!#REF!,"AAAAAH+5zTU=")</f>
        <v>#REF!</v>
      </c>
      <c r="BC77" t="e">
        <f>AND(Bills!#REF!,"AAAAAH+5zTY=")</f>
        <v>#REF!</v>
      </c>
      <c r="BD77" t="e">
        <f>AND(Bills!#REF!,"AAAAAH+5zTc=")</f>
        <v>#REF!</v>
      </c>
      <c r="BE77" t="e">
        <f>AND(Bills!#REF!,"AAAAAH+5zTg=")</f>
        <v>#REF!</v>
      </c>
      <c r="BF77" t="e">
        <f>AND(Bills!AA224,"AAAAAH+5zTk=")</f>
        <v>#VALUE!</v>
      </c>
      <c r="BG77" t="e">
        <f>AND(Bills!AB224,"AAAAAH+5zTo=")</f>
        <v>#VALUE!</v>
      </c>
      <c r="BH77" t="e">
        <f>AND(Bills!#REF!,"AAAAAH+5zTs=")</f>
        <v>#REF!</v>
      </c>
      <c r="BI77" t="e">
        <f>AND(Bills!#REF!,"AAAAAH+5zTw=")</f>
        <v>#REF!</v>
      </c>
      <c r="BJ77" t="e">
        <f>AND(Bills!#REF!,"AAAAAH+5zT0=")</f>
        <v>#REF!</v>
      </c>
      <c r="BK77" t="e">
        <f>AND(Bills!AC224,"AAAAAH+5zT4=")</f>
        <v>#VALUE!</v>
      </c>
      <c r="BL77" t="e">
        <f>AND(Bills!AD224,"AAAAAH+5zT8=")</f>
        <v>#VALUE!</v>
      </c>
      <c r="BM77" t="e">
        <f>AND(Bills!AE224,"AAAAAH+5zUA=")</f>
        <v>#VALUE!</v>
      </c>
      <c r="BN77">
        <f>IF(Bills!225:225,"AAAAAH+5zUE=",0)</f>
        <v>0</v>
      </c>
      <c r="BO77" t="e">
        <f>AND(Bills!B225,"AAAAAH+5zUI=")</f>
        <v>#VALUE!</v>
      </c>
      <c r="BP77" t="e">
        <f>AND(Bills!#REF!,"AAAAAH+5zUM=")</f>
        <v>#REF!</v>
      </c>
      <c r="BQ77" t="e">
        <f>AND(Bills!C225,"AAAAAH+5zUQ=")</f>
        <v>#VALUE!</v>
      </c>
      <c r="BR77" t="e">
        <f>AND(Bills!D225,"AAAAAH+5zUU=")</f>
        <v>#VALUE!</v>
      </c>
      <c r="BS77" t="e">
        <f>AND(Bills!E225,"AAAAAH+5zUY=")</f>
        <v>#VALUE!</v>
      </c>
      <c r="BT77" t="e">
        <f>AND(Bills!#REF!,"AAAAAH+5zUc=")</f>
        <v>#REF!</v>
      </c>
      <c r="BU77" t="e">
        <f>AND(Bills!#REF!,"AAAAAH+5zUg=")</f>
        <v>#REF!</v>
      </c>
      <c r="BV77" t="e">
        <f>AND(Bills!#REF!,"AAAAAH+5zUk=")</f>
        <v>#REF!</v>
      </c>
      <c r="BW77" t="e">
        <f>AND(Bills!F225,"AAAAAH+5zUo=")</f>
        <v>#VALUE!</v>
      </c>
      <c r="BX77" t="e">
        <f>AND(Bills!#REF!,"AAAAAH+5zUs=")</f>
        <v>#REF!</v>
      </c>
      <c r="BY77" t="e">
        <f>AND(Bills!G225,"AAAAAH+5zUw=")</f>
        <v>#VALUE!</v>
      </c>
      <c r="BZ77" t="e">
        <f>AND(Bills!H225,"AAAAAH+5zU0=")</f>
        <v>#VALUE!</v>
      </c>
      <c r="CA77" t="e">
        <f>AND(Bills!I225,"AAAAAH+5zU4=")</f>
        <v>#VALUE!</v>
      </c>
      <c r="CB77" t="e">
        <f>AND(Bills!J225,"AAAAAH+5zU8=")</f>
        <v>#VALUE!</v>
      </c>
      <c r="CC77" t="e">
        <f>AND(Bills!K225,"AAAAAH+5zVA=")</f>
        <v>#VALUE!</v>
      </c>
      <c r="CD77" t="e">
        <f>AND(Bills!L225,"AAAAAH+5zVE=")</f>
        <v>#VALUE!</v>
      </c>
      <c r="CE77" t="e">
        <f>AND(Bills!#REF!,"AAAAAH+5zVI=")</f>
        <v>#REF!</v>
      </c>
      <c r="CF77" t="e">
        <f>AND(Bills!M225,"AAAAAH+5zVM=")</f>
        <v>#VALUE!</v>
      </c>
      <c r="CG77" t="e">
        <f>AND(Bills!N225,"AAAAAH+5zVQ=")</f>
        <v>#VALUE!</v>
      </c>
      <c r="CH77" t="e">
        <f>AND(Bills!O225,"AAAAAH+5zVU=")</f>
        <v>#VALUE!</v>
      </c>
      <c r="CI77" t="e">
        <f>AND(Bills!P225,"AAAAAH+5zVY=")</f>
        <v>#VALUE!</v>
      </c>
      <c r="CJ77" t="e">
        <f>AND(Bills!Q225,"AAAAAH+5zVc=")</f>
        <v>#VALUE!</v>
      </c>
      <c r="CK77" t="e">
        <f>AND(Bills!R225,"AAAAAH+5zVg=")</f>
        <v>#VALUE!</v>
      </c>
      <c r="CL77" t="e">
        <f>AND(Bills!S225,"AAAAAH+5zVk=")</f>
        <v>#VALUE!</v>
      </c>
      <c r="CM77" t="e">
        <f>AND(Bills!T225,"AAAAAH+5zVo=")</f>
        <v>#VALUE!</v>
      </c>
      <c r="CN77" t="e">
        <f>AND(Bills!#REF!,"AAAAAH+5zVs=")</f>
        <v>#REF!</v>
      </c>
      <c r="CO77" t="e">
        <f>AND(Bills!U225,"AAAAAH+5zVw=")</f>
        <v>#VALUE!</v>
      </c>
      <c r="CP77" t="e">
        <f>AND(Bills!V225,"AAAAAH+5zV0=")</f>
        <v>#VALUE!</v>
      </c>
      <c r="CQ77" t="e">
        <f>AND(Bills!W225,"AAAAAH+5zV4=")</f>
        <v>#VALUE!</v>
      </c>
      <c r="CR77" t="e">
        <f>AND(Bills!#REF!,"AAAAAH+5zV8=")</f>
        <v>#REF!</v>
      </c>
      <c r="CS77" t="e">
        <f>AND(Bills!#REF!,"AAAAAH+5zWA=")</f>
        <v>#REF!</v>
      </c>
      <c r="CT77" t="e">
        <f>AND(Bills!Y225,"AAAAAH+5zWE=")</f>
        <v>#VALUE!</v>
      </c>
      <c r="CU77" t="e">
        <f>AND(Bills!Z225,"AAAAAH+5zWI=")</f>
        <v>#VALUE!</v>
      </c>
      <c r="CV77" t="e">
        <f>AND(Bills!#REF!,"AAAAAH+5zWM=")</f>
        <v>#REF!</v>
      </c>
      <c r="CW77" t="e">
        <f>AND(Bills!#REF!,"AAAAAH+5zWQ=")</f>
        <v>#REF!</v>
      </c>
      <c r="CX77" t="e">
        <f>AND(Bills!#REF!,"AAAAAH+5zWU=")</f>
        <v>#REF!</v>
      </c>
      <c r="CY77" t="e">
        <f>AND(Bills!#REF!,"AAAAAH+5zWY=")</f>
        <v>#REF!</v>
      </c>
      <c r="CZ77" t="e">
        <f>AND(Bills!#REF!,"AAAAAH+5zWc=")</f>
        <v>#REF!</v>
      </c>
      <c r="DA77" t="e">
        <f>AND(Bills!#REF!,"AAAAAH+5zWg=")</f>
        <v>#REF!</v>
      </c>
      <c r="DB77" t="e">
        <f>AND(Bills!#REF!,"AAAAAH+5zWk=")</f>
        <v>#REF!</v>
      </c>
      <c r="DC77" t="e">
        <f>AND(Bills!#REF!,"AAAAAH+5zWo=")</f>
        <v>#REF!</v>
      </c>
      <c r="DD77" t="e">
        <f>AND(Bills!#REF!,"AAAAAH+5zWs=")</f>
        <v>#REF!</v>
      </c>
      <c r="DE77" t="e">
        <f>AND(Bills!AA225,"AAAAAH+5zWw=")</f>
        <v>#VALUE!</v>
      </c>
      <c r="DF77" t="e">
        <f>AND(Bills!AB225,"AAAAAH+5zW0=")</f>
        <v>#VALUE!</v>
      </c>
      <c r="DG77" t="e">
        <f>AND(Bills!#REF!,"AAAAAH+5zW4=")</f>
        <v>#REF!</v>
      </c>
      <c r="DH77" t="e">
        <f>AND(Bills!#REF!,"AAAAAH+5zW8=")</f>
        <v>#REF!</v>
      </c>
      <c r="DI77" t="e">
        <f>AND(Bills!#REF!,"AAAAAH+5zXA=")</f>
        <v>#REF!</v>
      </c>
      <c r="DJ77" t="e">
        <f>AND(Bills!AC225,"AAAAAH+5zXE=")</f>
        <v>#VALUE!</v>
      </c>
      <c r="DK77" t="e">
        <f>AND(Bills!AD225,"AAAAAH+5zXI=")</f>
        <v>#VALUE!</v>
      </c>
      <c r="DL77" t="e">
        <f>AND(Bills!AE225,"AAAAAH+5zXM=")</f>
        <v>#VALUE!</v>
      </c>
      <c r="DM77">
        <f>IF(Bills!226:226,"AAAAAH+5zXQ=",0)</f>
        <v>0</v>
      </c>
      <c r="DN77" t="e">
        <f>AND(Bills!B226,"AAAAAH+5zXU=")</f>
        <v>#VALUE!</v>
      </c>
      <c r="DO77" t="e">
        <f>AND(Bills!#REF!,"AAAAAH+5zXY=")</f>
        <v>#REF!</v>
      </c>
      <c r="DP77" t="e">
        <f>AND(Bills!C226,"AAAAAH+5zXc=")</f>
        <v>#VALUE!</v>
      </c>
      <c r="DQ77" t="e">
        <f>AND(Bills!D226,"AAAAAH+5zXg=")</f>
        <v>#VALUE!</v>
      </c>
      <c r="DR77" t="e">
        <f>AND(Bills!E226,"AAAAAH+5zXk=")</f>
        <v>#VALUE!</v>
      </c>
      <c r="DS77" t="e">
        <f>AND(Bills!#REF!,"AAAAAH+5zXo=")</f>
        <v>#REF!</v>
      </c>
      <c r="DT77" t="e">
        <f>AND(Bills!#REF!,"AAAAAH+5zXs=")</f>
        <v>#REF!</v>
      </c>
      <c r="DU77" t="e">
        <f>AND(Bills!#REF!,"AAAAAH+5zXw=")</f>
        <v>#REF!</v>
      </c>
      <c r="DV77" t="e">
        <f>AND(Bills!F226,"AAAAAH+5zX0=")</f>
        <v>#VALUE!</v>
      </c>
      <c r="DW77" t="e">
        <f>AND(Bills!#REF!,"AAAAAH+5zX4=")</f>
        <v>#REF!</v>
      </c>
      <c r="DX77" t="e">
        <f>AND(Bills!G226,"AAAAAH+5zX8=")</f>
        <v>#VALUE!</v>
      </c>
      <c r="DY77" t="e">
        <f>AND(Bills!H226,"AAAAAH+5zYA=")</f>
        <v>#VALUE!</v>
      </c>
      <c r="DZ77" t="e">
        <f>AND(Bills!I226,"AAAAAH+5zYE=")</f>
        <v>#VALUE!</v>
      </c>
      <c r="EA77" t="e">
        <f>AND(Bills!J226,"AAAAAH+5zYI=")</f>
        <v>#VALUE!</v>
      </c>
      <c r="EB77" t="e">
        <f>AND(Bills!K226,"AAAAAH+5zYM=")</f>
        <v>#VALUE!</v>
      </c>
      <c r="EC77" t="e">
        <f>AND(Bills!L226,"AAAAAH+5zYQ=")</f>
        <v>#VALUE!</v>
      </c>
      <c r="ED77" t="e">
        <f>AND(Bills!#REF!,"AAAAAH+5zYU=")</f>
        <v>#REF!</v>
      </c>
      <c r="EE77" t="e">
        <f>AND(Bills!M226,"AAAAAH+5zYY=")</f>
        <v>#VALUE!</v>
      </c>
      <c r="EF77" t="e">
        <f>AND(Bills!N226,"AAAAAH+5zYc=")</f>
        <v>#VALUE!</v>
      </c>
      <c r="EG77" t="e">
        <f>AND(Bills!O226,"AAAAAH+5zYg=")</f>
        <v>#VALUE!</v>
      </c>
      <c r="EH77" t="e">
        <f>AND(Bills!P226,"AAAAAH+5zYk=")</f>
        <v>#VALUE!</v>
      </c>
      <c r="EI77" t="e">
        <f>AND(Bills!Q226,"AAAAAH+5zYo=")</f>
        <v>#VALUE!</v>
      </c>
      <c r="EJ77" t="e">
        <f>AND(Bills!R226,"AAAAAH+5zYs=")</f>
        <v>#VALUE!</v>
      </c>
      <c r="EK77" t="e">
        <f>AND(Bills!S226,"AAAAAH+5zYw=")</f>
        <v>#VALUE!</v>
      </c>
      <c r="EL77" t="e">
        <f>AND(Bills!T226,"AAAAAH+5zY0=")</f>
        <v>#VALUE!</v>
      </c>
      <c r="EM77" t="e">
        <f>AND(Bills!#REF!,"AAAAAH+5zY4=")</f>
        <v>#REF!</v>
      </c>
      <c r="EN77" t="e">
        <f>AND(Bills!U226,"AAAAAH+5zY8=")</f>
        <v>#VALUE!</v>
      </c>
      <c r="EO77" t="e">
        <f>AND(Bills!V226,"AAAAAH+5zZA=")</f>
        <v>#VALUE!</v>
      </c>
      <c r="EP77" t="e">
        <f>AND(Bills!W226,"AAAAAH+5zZE=")</f>
        <v>#VALUE!</v>
      </c>
      <c r="EQ77" t="e">
        <f>AND(Bills!#REF!,"AAAAAH+5zZI=")</f>
        <v>#REF!</v>
      </c>
      <c r="ER77" t="e">
        <f>AND(Bills!#REF!,"AAAAAH+5zZM=")</f>
        <v>#REF!</v>
      </c>
      <c r="ES77" t="e">
        <f>AND(Bills!Y226,"AAAAAH+5zZQ=")</f>
        <v>#VALUE!</v>
      </c>
      <c r="ET77" t="e">
        <f>AND(Bills!Z226,"AAAAAH+5zZU=")</f>
        <v>#VALUE!</v>
      </c>
      <c r="EU77" t="e">
        <f>AND(Bills!#REF!,"AAAAAH+5zZY=")</f>
        <v>#REF!</v>
      </c>
      <c r="EV77" t="e">
        <f>AND(Bills!#REF!,"AAAAAH+5zZc=")</f>
        <v>#REF!</v>
      </c>
      <c r="EW77" t="e">
        <f>AND(Bills!#REF!,"AAAAAH+5zZg=")</f>
        <v>#REF!</v>
      </c>
      <c r="EX77" t="e">
        <f>AND(Bills!#REF!,"AAAAAH+5zZk=")</f>
        <v>#REF!</v>
      </c>
      <c r="EY77" t="e">
        <f>AND(Bills!#REF!,"AAAAAH+5zZo=")</f>
        <v>#REF!</v>
      </c>
      <c r="EZ77" t="e">
        <f>AND(Bills!#REF!,"AAAAAH+5zZs=")</f>
        <v>#REF!</v>
      </c>
      <c r="FA77" t="e">
        <f>AND(Bills!#REF!,"AAAAAH+5zZw=")</f>
        <v>#REF!</v>
      </c>
      <c r="FB77" t="e">
        <f>AND(Bills!#REF!,"AAAAAH+5zZ0=")</f>
        <v>#REF!</v>
      </c>
      <c r="FC77" t="e">
        <f>AND(Bills!#REF!,"AAAAAH+5zZ4=")</f>
        <v>#REF!</v>
      </c>
      <c r="FD77" t="e">
        <f>AND(Bills!AA226,"AAAAAH+5zZ8=")</f>
        <v>#VALUE!</v>
      </c>
      <c r="FE77" t="e">
        <f>AND(Bills!AB226,"AAAAAH+5zaA=")</f>
        <v>#VALUE!</v>
      </c>
      <c r="FF77" t="e">
        <f>AND(Bills!#REF!,"AAAAAH+5zaE=")</f>
        <v>#REF!</v>
      </c>
      <c r="FG77" t="e">
        <f>AND(Bills!#REF!,"AAAAAH+5zaI=")</f>
        <v>#REF!</v>
      </c>
      <c r="FH77" t="e">
        <f>AND(Bills!#REF!,"AAAAAH+5zaM=")</f>
        <v>#REF!</v>
      </c>
      <c r="FI77" t="e">
        <f>AND(Bills!AC226,"AAAAAH+5zaQ=")</f>
        <v>#VALUE!</v>
      </c>
      <c r="FJ77" t="e">
        <f>AND(Bills!AD226,"AAAAAH+5zaU=")</f>
        <v>#VALUE!</v>
      </c>
      <c r="FK77" t="e">
        <f>AND(Bills!AE226,"AAAAAH+5zaY=")</f>
        <v>#VALUE!</v>
      </c>
      <c r="FL77">
        <f>IF(Bills!227:227,"AAAAAH+5zac=",0)</f>
        <v>0</v>
      </c>
      <c r="FM77" t="e">
        <f>AND(Bills!B227,"AAAAAH+5zag=")</f>
        <v>#VALUE!</v>
      </c>
      <c r="FN77" t="e">
        <f>AND(Bills!#REF!,"AAAAAH+5zak=")</f>
        <v>#REF!</v>
      </c>
      <c r="FO77" t="e">
        <f>AND(Bills!C227,"AAAAAH+5zao=")</f>
        <v>#VALUE!</v>
      </c>
      <c r="FP77" t="e">
        <f>AND(Bills!D227,"AAAAAH+5zas=")</f>
        <v>#VALUE!</v>
      </c>
      <c r="FQ77" t="e">
        <f>AND(Bills!E227,"AAAAAH+5zaw=")</f>
        <v>#VALUE!</v>
      </c>
      <c r="FR77" t="e">
        <f>AND(Bills!#REF!,"AAAAAH+5za0=")</f>
        <v>#REF!</v>
      </c>
      <c r="FS77" t="e">
        <f>AND(Bills!#REF!,"AAAAAH+5za4=")</f>
        <v>#REF!</v>
      </c>
      <c r="FT77" t="e">
        <f>AND(Bills!#REF!,"AAAAAH+5za8=")</f>
        <v>#REF!</v>
      </c>
      <c r="FU77" t="e">
        <f>AND(Bills!F227,"AAAAAH+5zbA=")</f>
        <v>#VALUE!</v>
      </c>
      <c r="FV77" t="e">
        <f>AND(Bills!#REF!,"AAAAAH+5zbE=")</f>
        <v>#REF!</v>
      </c>
      <c r="FW77" t="e">
        <f>AND(Bills!G227,"AAAAAH+5zbI=")</f>
        <v>#VALUE!</v>
      </c>
      <c r="FX77" t="e">
        <f>AND(Bills!H227,"AAAAAH+5zbM=")</f>
        <v>#VALUE!</v>
      </c>
      <c r="FY77" t="e">
        <f>AND(Bills!I227,"AAAAAH+5zbQ=")</f>
        <v>#VALUE!</v>
      </c>
      <c r="FZ77" t="e">
        <f>AND(Bills!J227,"AAAAAH+5zbU=")</f>
        <v>#VALUE!</v>
      </c>
      <c r="GA77" t="e">
        <f>AND(Bills!K227,"AAAAAH+5zbY=")</f>
        <v>#VALUE!</v>
      </c>
      <c r="GB77" t="e">
        <f>AND(Bills!L227,"AAAAAH+5zbc=")</f>
        <v>#VALUE!</v>
      </c>
      <c r="GC77" t="e">
        <f>AND(Bills!#REF!,"AAAAAH+5zbg=")</f>
        <v>#REF!</v>
      </c>
      <c r="GD77" t="e">
        <f>AND(Bills!M227,"AAAAAH+5zbk=")</f>
        <v>#VALUE!</v>
      </c>
      <c r="GE77" t="e">
        <f>AND(Bills!N227,"AAAAAH+5zbo=")</f>
        <v>#VALUE!</v>
      </c>
      <c r="GF77" t="e">
        <f>AND(Bills!O227,"AAAAAH+5zbs=")</f>
        <v>#VALUE!</v>
      </c>
      <c r="GG77" t="e">
        <f>AND(Bills!P227,"AAAAAH+5zbw=")</f>
        <v>#VALUE!</v>
      </c>
      <c r="GH77" t="e">
        <f>AND(Bills!Q227,"AAAAAH+5zb0=")</f>
        <v>#VALUE!</v>
      </c>
      <c r="GI77" t="e">
        <f>AND(Bills!R227,"AAAAAH+5zb4=")</f>
        <v>#VALUE!</v>
      </c>
      <c r="GJ77" t="e">
        <f>AND(Bills!S227,"AAAAAH+5zb8=")</f>
        <v>#VALUE!</v>
      </c>
      <c r="GK77" t="e">
        <f>AND(Bills!T227,"AAAAAH+5zcA=")</f>
        <v>#VALUE!</v>
      </c>
      <c r="GL77" t="e">
        <f>AND(Bills!#REF!,"AAAAAH+5zcE=")</f>
        <v>#REF!</v>
      </c>
      <c r="GM77" t="e">
        <f>AND(Bills!U227,"AAAAAH+5zcI=")</f>
        <v>#VALUE!</v>
      </c>
      <c r="GN77" t="e">
        <f>AND(Bills!V227,"AAAAAH+5zcM=")</f>
        <v>#VALUE!</v>
      </c>
      <c r="GO77" t="e">
        <f>AND(Bills!W227,"AAAAAH+5zcQ=")</f>
        <v>#VALUE!</v>
      </c>
      <c r="GP77" t="e">
        <f>AND(Bills!#REF!,"AAAAAH+5zcU=")</f>
        <v>#REF!</v>
      </c>
      <c r="GQ77" t="e">
        <f>AND(Bills!#REF!,"AAAAAH+5zcY=")</f>
        <v>#REF!</v>
      </c>
      <c r="GR77" t="e">
        <f>AND(Bills!Y227,"AAAAAH+5zcc=")</f>
        <v>#VALUE!</v>
      </c>
      <c r="GS77" t="e">
        <f>AND(Bills!Z227,"AAAAAH+5zcg=")</f>
        <v>#VALUE!</v>
      </c>
      <c r="GT77" t="e">
        <f>AND(Bills!#REF!,"AAAAAH+5zck=")</f>
        <v>#REF!</v>
      </c>
      <c r="GU77" t="e">
        <f>AND(Bills!#REF!,"AAAAAH+5zco=")</f>
        <v>#REF!</v>
      </c>
      <c r="GV77" t="e">
        <f>AND(Bills!#REF!,"AAAAAH+5zcs=")</f>
        <v>#REF!</v>
      </c>
      <c r="GW77" t="e">
        <f>AND(Bills!#REF!,"AAAAAH+5zcw=")</f>
        <v>#REF!</v>
      </c>
      <c r="GX77" t="e">
        <f>AND(Bills!#REF!,"AAAAAH+5zc0=")</f>
        <v>#REF!</v>
      </c>
      <c r="GY77" t="e">
        <f>AND(Bills!#REF!,"AAAAAH+5zc4=")</f>
        <v>#REF!</v>
      </c>
      <c r="GZ77" t="e">
        <f>AND(Bills!#REF!,"AAAAAH+5zc8=")</f>
        <v>#REF!</v>
      </c>
      <c r="HA77" t="e">
        <f>AND(Bills!#REF!,"AAAAAH+5zdA=")</f>
        <v>#REF!</v>
      </c>
      <c r="HB77" t="e">
        <f>AND(Bills!#REF!,"AAAAAH+5zdE=")</f>
        <v>#REF!</v>
      </c>
      <c r="HC77" t="e">
        <f>AND(Bills!AA227,"AAAAAH+5zdI=")</f>
        <v>#VALUE!</v>
      </c>
      <c r="HD77" t="e">
        <f>AND(Bills!AB227,"AAAAAH+5zdM=")</f>
        <v>#VALUE!</v>
      </c>
      <c r="HE77" t="e">
        <f>AND(Bills!#REF!,"AAAAAH+5zdQ=")</f>
        <v>#REF!</v>
      </c>
      <c r="HF77" t="e">
        <f>AND(Bills!#REF!,"AAAAAH+5zdU=")</f>
        <v>#REF!</v>
      </c>
      <c r="HG77" t="e">
        <f>AND(Bills!#REF!,"AAAAAH+5zdY=")</f>
        <v>#REF!</v>
      </c>
      <c r="HH77" t="e">
        <f>AND(Bills!AC227,"AAAAAH+5zdc=")</f>
        <v>#VALUE!</v>
      </c>
      <c r="HI77" t="e">
        <f>AND(Bills!AD227,"AAAAAH+5zdg=")</f>
        <v>#VALUE!</v>
      </c>
      <c r="HJ77" t="e">
        <f>AND(Bills!AE227,"AAAAAH+5zdk=")</f>
        <v>#VALUE!</v>
      </c>
      <c r="HK77">
        <f>IF(Bills!228:228,"AAAAAH+5zdo=",0)</f>
        <v>0</v>
      </c>
      <c r="HL77" t="e">
        <f>AND(Bills!B228,"AAAAAH+5zds=")</f>
        <v>#VALUE!</v>
      </c>
      <c r="HM77" t="e">
        <f>AND(Bills!#REF!,"AAAAAH+5zdw=")</f>
        <v>#REF!</v>
      </c>
      <c r="HN77" t="e">
        <f>AND(Bills!C228,"AAAAAH+5zd0=")</f>
        <v>#VALUE!</v>
      </c>
      <c r="HO77" t="e">
        <f>AND(Bills!D228,"AAAAAH+5zd4=")</f>
        <v>#VALUE!</v>
      </c>
      <c r="HP77" t="e">
        <f>AND(Bills!E228,"AAAAAH+5zd8=")</f>
        <v>#VALUE!</v>
      </c>
      <c r="HQ77" t="e">
        <f>AND(Bills!#REF!,"AAAAAH+5zeA=")</f>
        <v>#REF!</v>
      </c>
      <c r="HR77" t="e">
        <f>AND(Bills!#REF!,"AAAAAH+5zeE=")</f>
        <v>#REF!</v>
      </c>
      <c r="HS77" t="e">
        <f>AND(Bills!#REF!,"AAAAAH+5zeI=")</f>
        <v>#REF!</v>
      </c>
      <c r="HT77" t="e">
        <f>AND(Bills!F228,"AAAAAH+5zeM=")</f>
        <v>#VALUE!</v>
      </c>
      <c r="HU77" t="e">
        <f>AND(Bills!#REF!,"AAAAAH+5zeQ=")</f>
        <v>#REF!</v>
      </c>
      <c r="HV77" t="e">
        <f>AND(Bills!G228,"AAAAAH+5zeU=")</f>
        <v>#VALUE!</v>
      </c>
      <c r="HW77" t="e">
        <f>AND(Bills!H228,"AAAAAH+5zeY=")</f>
        <v>#VALUE!</v>
      </c>
      <c r="HX77" t="e">
        <f>AND(Bills!I228,"AAAAAH+5zec=")</f>
        <v>#VALUE!</v>
      </c>
      <c r="HY77" t="e">
        <f>AND(Bills!J228,"AAAAAH+5zeg=")</f>
        <v>#VALUE!</v>
      </c>
      <c r="HZ77" t="e">
        <f>AND(Bills!K228,"AAAAAH+5zek=")</f>
        <v>#VALUE!</v>
      </c>
      <c r="IA77" t="e">
        <f>AND(Bills!L228,"AAAAAH+5zeo=")</f>
        <v>#VALUE!</v>
      </c>
      <c r="IB77" t="e">
        <f>AND(Bills!#REF!,"AAAAAH+5zes=")</f>
        <v>#REF!</v>
      </c>
      <c r="IC77" t="e">
        <f>AND(Bills!M228,"AAAAAH+5zew=")</f>
        <v>#VALUE!</v>
      </c>
      <c r="ID77" t="e">
        <f>AND(Bills!N228,"AAAAAH+5ze0=")</f>
        <v>#VALUE!</v>
      </c>
      <c r="IE77" t="e">
        <f>AND(Bills!O228,"AAAAAH+5ze4=")</f>
        <v>#VALUE!</v>
      </c>
      <c r="IF77" t="e">
        <f>AND(Bills!P228,"AAAAAH+5ze8=")</f>
        <v>#VALUE!</v>
      </c>
      <c r="IG77" t="e">
        <f>AND(Bills!Q228,"AAAAAH+5zfA=")</f>
        <v>#VALUE!</v>
      </c>
      <c r="IH77" t="e">
        <f>AND(Bills!R228,"AAAAAH+5zfE=")</f>
        <v>#VALUE!</v>
      </c>
      <c r="II77" t="e">
        <f>AND(Bills!S228,"AAAAAH+5zfI=")</f>
        <v>#VALUE!</v>
      </c>
      <c r="IJ77" t="e">
        <f>AND(Bills!T228,"AAAAAH+5zfM=")</f>
        <v>#VALUE!</v>
      </c>
      <c r="IK77" t="e">
        <f>AND(Bills!#REF!,"AAAAAH+5zfQ=")</f>
        <v>#REF!</v>
      </c>
      <c r="IL77" t="e">
        <f>AND(Bills!U228,"AAAAAH+5zfU=")</f>
        <v>#VALUE!</v>
      </c>
      <c r="IM77" t="e">
        <f>AND(Bills!V228,"AAAAAH+5zfY=")</f>
        <v>#VALUE!</v>
      </c>
      <c r="IN77" t="e">
        <f>AND(Bills!W228,"AAAAAH+5zfc=")</f>
        <v>#VALUE!</v>
      </c>
      <c r="IO77" t="e">
        <f>AND(Bills!#REF!,"AAAAAH+5zfg=")</f>
        <v>#REF!</v>
      </c>
      <c r="IP77" t="e">
        <f>AND(Bills!#REF!,"AAAAAH+5zfk=")</f>
        <v>#REF!</v>
      </c>
      <c r="IQ77" t="e">
        <f>AND(Bills!Y228,"AAAAAH+5zfo=")</f>
        <v>#VALUE!</v>
      </c>
      <c r="IR77" t="e">
        <f>AND(Bills!Z228,"AAAAAH+5zfs=")</f>
        <v>#VALUE!</v>
      </c>
      <c r="IS77" t="e">
        <f>AND(Bills!#REF!,"AAAAAH+5zfw=")</f>
        <v>#REF!</v>
      </c>
      <c r="IT77" t="e">
        <f>AND(Bills!#REF!,"AAAAAH+5zf0=")</f>
        <v>#REF!</v>
      </c>
      <c r="IU77" t="e">
        <f>AND(Bills!#REF!,"AAAAAH+5zf4=")</f>
        <v>#REF!</v>
      </c>
      <c r="IV77" t="e">
        <f>AND(Bills!#REF!,"AAAAAH+5zf8=")</f>
        <v>#REF!</v>
      </c>
    </row>
    <row r="78" spans="1:256" x14ac:dyDescent="0.25">
      <c r="A78" t="e">
        <f>AND(Bills!#REF!,"AAAAAE97/wA=")</f>
        <v>#REF!</v>
      </c>
      <c r="B78" t="e">
        <f>AND(Bills!#REF!,"AAAAAE97/wE=")</f>
        <v>#REF!</v>
      </c>
      <c r="C78" t="e">
        <f>AND(Bills!#REF!,"AAAAAE97/wI=")</f>
        <v>#REF!</v>
      </c>
      <c r="D78" t="e">
        <f>AND(Bills!#REF!,"AAAAAE97/wM=")</f>
        <v>#REF!</v>
      </c>
      <c r="E78" t="e">
        <f>AND(Bills!#REF!,"AAAAAE97/wQ=")</f>
        <v>#REF!</v>
      </c>
      <c r="F78" t="e">
        <f>AND(Bills!AA228,"AAAAAE97/wU=")</f>
        <v>#VALUE!</v>
      </c>
      <c r="G78" t="e">
        <f>AND(Bills!AB228,"AAAAAE97/wY=")</f>
        <v>#VALUE!</v>
      </c>
      <c r="H78" t="e">
        <f>AND(Bills!#REF!,"AAAAAE97/wc=")</f>
        <v>#REF!</v>
      </c>
      <c r="I78" t="e">
        <f>AND(Bills!#REF!,"AAAAAE97/wg=")</f>
        <v>#REF!</v>
      </c>
      <c r="J78" t="e">
        <f>AND(Bills!#REF!,"AAAAAE97/wk=")</f>
        <v>#REF!</v>
      </c>
      <c r="K78" t="e">
        <f>AND(Bills!AC228,"AAAAAE97/wo=")</f>
        <v>#VALUE!</v>
      </c>
      <c r="L78" t="e">
        <f>AND(Bills!AD228,"AAAAAE97/ws=")</f>
        <v>#VALUE!</v>
      </c>
      <c r="M78" t="e">
        <f>AND(Bills!AE228,"AAAAAE97/ww=")</f>
        <v>#VALUE!</v>
      </c>
      <c r="N78">
        <f>IF(Bills!229:229,"AAAAAE97/w0=",0)</f>
        <v>0</v>
      </c>
      <c r="O78" t="e">
        <f>AND(Bills!B229,"AAAAAE97/w4=")</f>
        <v>#VALUE!</v>
      </c>
      <c r="P78" t="e">
        <f>AND(Bills!#REF!,"AAAAAE97/w8=")</f>
        <v>#REF!</v>
      </c>
      <c r="Q78" t="e">
        <f>AND(Bills!C229,"AAAAAE97/xA=")</f>
        <v>#VALUE!</v>
      </c>
      <c r="R78" t="e">
        <f>AND(Bills!D229,"AAAAAE97/xE=")</f>
        <v>#VALUE!</v>
      </c>
      <c r="S78" t="e">
        <f>AND(Bills!E229,"AAAAAE97/xI=")</f>
        <v>#VALUE!</v>
      </c>
      <c r="T78" t="e">
        <f>AND(Bills!#REF!,"AAAAAE97/xM=")</f>
        <v>#REF!</v>
      </c>
      <c r="U78" t="e">
        <f>AND(Bills!#REF!,"AAAAAE97/xQ=")</f>
        <v>#REF!</v>
      </c>
      <c r="V78" t="e">
        <f>AND(Bills!#REF!,"AAAAAE97/xU=")</f>
        <v>#REF!</v>
      </c>
      <c r="W78" t="e">
        <f>AND(Bills!F229,"AAAAAE97/xY=")</f>
        <v>#VALUE!</v>
      </c>
      <c r="X78" t="e">
        <f>AND(Bills!#REF!,"AAAAAE97/xc=")</f>
        <v>#REF!</v>
      </c>
      <c r="Y78" t="e">
        <f>AND(Bills!G229,"AAAAAE97/xg=")</f>
        <v>#VALUE!</v>
      </c>
      <c r="Z78" t="e">
        <f>AND(Bills!H229,"AAAAAE97/xk=")</f>
        <v>#VALUE!</v>
      </c>
      <c r="AA78" t="e">
        <f>AND(Bills!I229,"AAAAAE97/xo=")</f>
        <v>#VALUE!</v>
      </c>
      <c r="AB78" t="e">
        <f>AND(Bills!J229,"AAAAAE97/xs=")</f>
        <v>#VALUE!</v>
      </c>
      <c r="AC78" t="e">
        <f>AND(Bills!K229,"AAAAAE97/xw=")</f>
        <v>#VALUE!</v>
      </c>
      <c r="AD78" t="e">
        <f>AND(Bills!L229,"AAAAAE97/x0=")</f>
        <v>#VALUE!</v>
      </c>
      <c r="AE78" t="e">
        <f>AND(Bills!#REF!,"AAAAAE97/x4=")</f>
        <v>#REF!</v>
      </c>
      <c r="AF78" t="e">
        <f>AND(Bills!M229,"AAAAAE97/x8=")</f>
        <v>#VALUE!</v>
      </c>
      <c r="AG78" t="e">
        <f>AND(Bills!N229,"AAAAAE97/yA=")</f>
        <v>#VALUE!</v>
      </c>
      <c r="AH78" t="e">
        <f>AND(Bills!O229,"AAAAAE97/yE=")</f>
        <v>#VALUE!</v>
      </c>
      <c r="AI78" t="e">
        <f>AND(Bills!P229,"AAAAAE97/yI=")</f>
        <v>#VALUE!</v>
      </c>
      <c r="AJ78" t="e">
        <f>AND(Bills!Q229,"AAAAAE97/yM=")</f>
        <v>#VALUE!</v>
      </c>
      <c r="AK78" t="e">
        <f>AND(Bills!R229,"AAAAAE97/yQ=")</f>
        <v>#VALUE!</v>
      </c>
      <c r="AL78" t="e">
        <f>AND(Bills!S229,"AAAAAE97/yU=")</f>
        <v>#VALUE!</v>
      </c>
      <c r="AM78" t="e">
        <f>AND(Bills!T229,"AAAAAE97/yY=")</f>
        <v>#VALUE!</v>
      </c>
      <c r="AN78" t="e">
        <f>AND(Bills!#REF!,"AAAAAE97/yc=")</f>
        <v>#REF!</v>
      </c>
      <c r="AO78" t="e">
        <f>AND(Bills!U229,"AAAAAE97/yg=")</f>
        <v>#VALUE!</v>
      </c>
      <c r="AP78" t="e">
        <f>AND(Bills!V229,"AAAAAE97/yk=")</f>
        <v>#VALUE!</v>
      </c>
      <c r="AQ78" t="e">
        <f>AND(Bills!W229,"AAAAAE97/yo=")</f>
        <v>#VALUE!</v>
      </c>
      <c r="AR78" t="e">
        <f>AND(Bills!#REF!,"AAAAAE97/ys=")</f>
        <v>#REF!</v>
      </c>
      <c r="AS78" t="e">
        <f>AND(Bills!#REF!,"AAAAAE97/yw=")</f>
        <v>#REF!</v>
      </c>
      <c r="AT78" t="e">
        <f>AND(Bills!Y229,"AAAAAE97/y0=")</f>
        <v>#VALUE!</v>
      </c>
      <c r="AU78" t="e">
        <f>AND(Bills!Z229,"AAAAAE97/y4=")</f>
        <v>#VALUE!</v>
      </c>
      <c r="AV78" t="e">
        <f>AND(Bills!#REF!,"AAAAAE97/y8=")</f>
        <v>#REF!</v>
      </c>
      <c r="AW78" t="e">
        <f>AND(Bills!#REF!,"AAAAAE97/zA=")</f>
        <v>#REF!</v>
      </c>
      <c r="AX78" t="e">
        <f>AND(Bills!#REF!,"AAAAAE97/zE=")</f>
        <v>#REF!</v>
      </c>
      <c r="AY78" t="e">
        <f>AND(Bills!#REF!,"AAAAAE97/zI=")</f>
        <v>#REF!</v>
      </c>
      <c r="AZ78" t="e">
        <f>AND(Bills!#REF!,"AAAAAE97/zM=")</f>
        <v>#REF!</v>
      </c>
      <c r="BA78" t="e">
        <f>AND(Bills!#REF!,"AAAAAE97/zQ=")</f>
        <v>#REF!</v>
      </c>
      <c r="BB78" t="e">
        <f>AND(Bills!#REF!,"AAAAAE97/zU=")</f>
        <v>#REF!</v>
      </c>
      <c r="BC78" t="e">
        <f>AND(Bills!#REF!,"AAAAAE97/zY=")</f>
        <v>#REF!</v>
      </c>
      <c r="BD78" t="e">
        <f>AND(Bills!#REF!,"AAAAAE97/zc=")</f>
        <v>#REF!</v>
      </c>
      <c r="BE78" t="e">
        <f>AND(Bills!AA229,"AAAAAE97/zg=")</f>
        <v>#VALUE!</v>
      </c>
      <c r="BF78" t="e">
        <f>AND(Bills!AB229,"AAAAAE97/zk=")</f>
        <v>#VALUE!</v>
      </c>
      <c r="BG78" t="e">
        <f>AND(Bills!#REF!,"AAAAAE97/zo=")</f>
        <v>#REF!</v>
      </c>
      <c r="BH78" t="e">
        <f>AND(Bills!#REF!,"AAAAAE97/zs=")</f>
        <v>#REF!</v>
      </c>
      <c r="BI78" t="e">
        <f>AND(Bills!#REF!,"AAAAAE97/zw=")</f>
        <v>#REF!</v>
      </c>
      <c r="BJ78" t="e">
        <f>AND(Bills!AC229,"AAAAAE97/z0=")</f>
        <v>#VALUE!</v>
      </c>
      <c r="BK78" t="e">
        <f>AND(Bills!AD229,"AAAAAE97/z4=")</f>
        <v>#VALUE!</v>
      </c>
      <c r="BL78" t="e">
        <f>AND(Bills!AE229,"AAAAAE97/z8=")</f>
        <v>#VALUE!</v>
      </c>
      <c r="BM78">
        <f>IF(Bills!230:230,"AAAAAE97/0A=",0)</f>
        <v>0</v>
      </c>
      <c r="BN78" t="e">
        <f>AND(Bills!B230,"AAAAAE97/0E=")</f>
        <v>#VALUE!</v>
      </c>
      <c r="BO78" t="e">
        <f>AND(Bills!#REF!,"AAAAAE97/0I=")</f>
        <v>#REF!</v>
      </c>
      <c r="BP78" t="e">
        <f>AND(Bills!C230,"AAAAAE97/0M=")</f>
        <v>#VALUE!</v>
      </c>
      <c r="BQ78" t="e">
        <f>AND(Bills!D230,"AAAAAE97/0Q=")</f>
        <v>#VALUE!</v>
      </c>
      <c r="BR78" t="e">
        <f>AND(Bills!E230,"AAAAAE97/0U=")</f>
        <v>#VALUE!</v>
      </c>
      <c r="BS78" t="e">
        <f>AND(Bills!#REF!,"AAAAAE97/0Y=")</f>
        <v>#REF!</v>
      </c>
      <c r="BT78" t="e">
        <f>AND(Bills!#REF!,"AAAAAE97/0c=")</f>
        <v>#REF!</v>
      </c>
      <c r="BU78" t="e">
        <f>AND(Bills!#REF!,"AAAAAE97/0g=")</f>
        <v>#REF!</v>
      </c>
      <c r="BV78" t="e">
        <f>AND(Bills!F230,"AAAAAE97/0k=")</f>
        <v>#VALUE!</v>
      </c>
      <c r="BW78" t="e">
        <f>AND(Bills!#REF!,"AAAAAE97/0o=")</f>
        <v>#REF!</v>
      </c>
      <c r="BX78" t="e">
        <f>AND(Bills!G230,"AAAAAE97/0s=")</f>
        <v>#VALUE!</v>
      </c>
      <c r="BY78" t="e">
        <f>AND(Bills!H230,"AAAAAE97/0w=")</f>
        <v>#VALUE!</v>
      </c>
      <c r="BZ78" t="e">
        <f>AND(Bills!I230,"AAAAAE97/00=")</f>
        <v>#VALUE!</v>
      </c>
      <c r="CA78" t="e">
        <f>AND(Bills!J230,"AAAAAE97/04=")</f>
        <v>#VALUE!</v>
      </c>
      <c r="CB78" t="e">
        <f>AND(Bills!K230,"AAAAAE97/08=")</f>
        <v>#VALUE!</v>
      </c>
      <c r="CC78" t="e">
        <f>AND(Bills!L230,"AAAAAE97/1A=")</f>
        <v>#VALUE!</v>
      </c>
      <c r="CD78" t="e">
        <f>AND(Bills!#REF!,"AAAAAE97/1E=")</f>
        <v>#REF!</v>
      </c>
      <c r="CE78" t="e">
        <f>AND(Bills!M230,"AAAAAE97/1I=")</f>
        <v>#VALUE!</v>
      </c>
      <c r="CF78" t="e">
        <f>AND(Bills!N230,"AAAAAE97/1M=")</f>
        <v>#VALUE!</v>
      </c>
      <c r="CG78" t="e">
        <f>AND(Bills!O230,"AAAAAE97/1Q=")</f>
        <v>#VALUE!</v>
      </c>
      <c r="CH78" t="e">
        <f>AND(Bills!P230,"AAAAAE97/1U=")</f>
        <v>#VALUE!</v>
      </c>
      <c r="CI78" t="e">
        <f>AND(Bills!Q230,"AAAAAE97/1Y=")</f>
        <v>#VALUE!</v>
      </c>
      <c r="CJ78" t="e">
        <f>AND(Bills!R230,"AAAAAE97/1c=")</f>
        <v>#VALUE!</v>
      </c>
      <c r="CK78" t="e">
        <f>AND(Bills!S230,"AAAAAE97/1g=")</f>
        <v>#VALUE!</v>
      </c>
      <c r="CL78" t="e">
        <f>AND(Bills!T230,"AAAAAE97/1k=")</f>
        <v>#VALUE!</v>
      </c>
      <c r="CM78" t="e">
        <f>AND(Bills!#REF!,"AAAAAE97/1o=")</f>
        <v>#REF!</v>
      </c>
      <c r="CN78" t="e">
        <f>AND(Bills!U230,"AAAAAE97/1s=")</f>
        <v>#VALUE!</v>
      </c>
      <c r="CO78" t="e">
        <f>AND(Bills!V230,"AAAAAE97/1w=")</f>
        <v>#VALUE!</v>
      </c>
      <c r="CP78" t="e">
        <f>AND(Bills!W230,"AAAAAE97/10=")</f>
        <v>#VALUE!</v>
      </c>
      <c r="CQ78" t="e">
        <f>AND(Bills!#REF!,"AAAAAE97/14=")</f>
        <v>#REF!</v>
      </c>
      <c r="CR78" t="e">
        <f>AND(Bills!#REF!,"AAAAAE97/18=")</f>
        <v>#REF!</v>
      </c>
      <c r="CS78" t="e">
        <f>AND(Bills!Y230,"AAAAAE97/2A=")</f>
        <v>#VALUE!</v>
      </c>
      <c r="CT78" t="e">
        <f>AND(Bills!Z230,"AAAAAE97/2E=")</f>
        <v>#VALUE!</v>
      </c>
      <c r="CU78" t="e">
        <f>AND(Bills!#REF!,"AAAAAE97/2I=")</f>
        <v>#REF!</v>
      </c>
      <c r="CV78" t="e">
        <f>AND(Bills!#REF!,"AAAAAE97/2M=")</f>
        <v>#REF!</v>
      </c>
      <c r="CW78" t="e">
        <f>AND(Bills!#REF!,"AAAAAE97/2Q=")</f>
        <v>#REF!</v>
      </c>
      <c r="CX78" t="e">
        <f>AND(Bills!#REF!,"AAAAAE97/2U=")</f>
        <v>#REF!</v>
      </c>
      <c r="CY78" t="e">
        <f>AND(Bills!#REF!,"AAAAAE97/2Y=")</f>
        <v>#REF!</v>
      </c>
      <c r="CZ78" t="e">
        <f>AND(Bills!#REF!,"AAAAAE97/2c=")</f>
        <v>#REF!</v>
      </c>
      <c r="DA78" t="e">
        <f>AND(Bills!#REF!,"AAAAAE97/2g=")</f>
        <v>#REF!</v>
      </c>
      <c r="DB78" t="e">
        <f>AND(Bills!#REF!,"AAAAAE97/2k=")</f>
        <v>#REF!</v>
      </c>
      <c r="DC78" t="e">
        <f>AND(Bills!#REF!,"AAAAAE97/2o=")</f>
        <v>#REF!</v>
      </c>
      <c r="DD78" t="e">
        <f>AND(Bills!AA230,"AAAAAE97/2s=")</f>
        <v>#VALUE!</v>
      </c>
      <c r="DE78" t="e">
        <f>AND(Bills!AB230,"AAAAAE97/2w=")</f>
        <v>#VALUE!</v>
      </c>
      <c r="DF78" t="e">
        <f>AND(Bills!#REF!,"AAAAAE97/20=")</f>
        <v>#REF!</v>
      </c>
      <c r="DG78" t="e">
        <f>AND(Bills!#REF!,"AAAAAE97/24=")</f>
        <v>#REF!</v>
      </c>
      <c r="DH78" t="e">
        <f>AND(Bills!#REF!,"AAAAAE97/28=")</f>
        <v>#REF!</v>
      </c>
      <c r="DI78" t="e">
        <f>AND(Bills!AC230,"AAAAAE97/3A=")</f>
        <v>#VALUE!</v>
      </c>
      <c r="DJ78" t="e">
        <f>AND(Bills!AD230,"AAAAAE97/3E=")</f>
        <v>#VALUE!</v>
      </c>
      <c r="DK78" t="e">
        <f>AND(Bills!AE230,"AAAAAE97/3I=")</f>
        <v>#VALUE!</v>
      </c>
      <c r="DL78">
        <f>IF(Bills!231:231,"AAAAAE97/3M=",0)</f>
        <v>0</v>
      </c>
      <c r="DM78" t="e">
        <f>AND(Bills!B231,"AAAAAE97/3Q=")</f>
        <v>#VALUE!</v>
      </c>
      <c r="DN78" t="e">
        <f>AND(Bills!#REF!,"AAAAAE97/3U=")</f>
        <v>#REF!</v>
      </c>
      <c r="DO78" t="e">
        <f>AND(Bills!C231,"AAAAAE97/3Y=")</f>
        <v>#VALUE!</v>
      </c>
      <c r="DP78" t="e">
        <f>AND(Bills!D231,"AAAAAE97/3c=")</f>
        <v>#VALUE!</v>
      </c>
      <c r="DQ78" t="e">
        <f>AND(Bills!E231,"AAAAAE97/3g=")</f>
        <v>#VALUE!</v>
      </c>
      <c r="DR78" t="e">
        <f>AND(Bills!#REF!,"AAAAAE97/3k=")</f>
        <v>#REF!</v>
      </c>
      <c r="DS78" t="e">
        <f>AND(Bills!#REF!,"AAAAAE97/3o=")</f>
        <v>#REF!</v>
      </c>
      <c r="DT78" t="e">
        <f>AND(Bills!#REF!,"AAAAAE97/3s=")</f>
        <v>#REF!</v>
      </c>
      <c r="DU78" t="e">
        <f>AND(Bills!F231,"AAAAAE97/3w=")</f>
        <v>#VALUE!</v>
      </c>
      <c r="DV78" t="e">
        <f>AND(Bills!#REF!,"AAAAAE97/30=")</f>
        <v>#REF!</v>
      </c>
      <c r="DW78" t="e">
        <f>AND(Bills!G231,"AAAAAE97/34=")</f>
        <v>#VALUE!</v>
      </c>
      <c r="DX78" t="e">
        <f>AND(Bills!H231,"AAAAAE97/38=")</f>
        <v>#VALUE!</v>
      </c>
      <c r="DY78" t="e">
        <f>AND(Bills!I231,"AAAAAE97/4A=")</f>
        <v>#VALUE!</v>
      </c>
      <c r="DZ78" t="e">
        <f>AND(Bills!J231,"AAAAAE97/4E=")</f>
        <v>#VALUE!</v>
      </c>
      <c r="EA78" t="e">
        <f>AND(Bills!K231,"AAAAAE97/4I=")</f>
        <v>#VALUE!</v>
      </c>
      <c r="EB78" t="e">
        <f>AND(Bills!L231,"AAAAAE97/4M=")</f>
        <v>#VALUE!</v>
      </c>
      <c r="EC78" t="e">
        <f>AND(Bills!#REF!,"AAAAAE97/4Q=")</f>
        <v>#REF!</v>
      </c>
      <c r="ED78" t="e">
        <f>AND(Bills!M231,"AAAAAE97/4U=")</f>
        <v>#VALUE!</v>
      </c>
      <c r="EE78" t="e">
        <f>AND(Bills!N231,"AAAAAE97/4Y=")</f>
        <v>#VALUE!</v>
      </c>
      <c r="EF78" t="e">
        <f>AND(Bills!O231,"AAAAAE97/4c=")</f>
        <v>#VALUE!</v>
      </c>
      <c r="EG78" t="e">
        <f>AND(Bills!P231,"AAAAAE97/4g=")</f>
        <v>#VALUE!</v>
      </c>
      <c r="EH78" t="e">
        <f>AND(Bills!Q231,"AAAAAE97/4k=")</f>
        <v>#VALUE!</v>
      </c>
      <c r="EI78" t="e">
        <f>AND(Bills!R231,"AAAAAE97/4o=")</f>
        <v>#VALUE!</v>
      </c>
      <c r="EJ78" t="e">
        <f>AND(Bills!S231,"AAAAAE97/4s=")</f>
        <v>#VALUE!</v>
      </c>
      <c r="EK78" t="e">
        <f>AND(Bills!T231,"AAAAAE97/4w=")</f>
        <v>#VALUE!</v>
      </c>
      <c r="EL78" t="e">
        <f>AND(Bills!#REF!,"AAAAAE97/40=")</f>
        <v>#REF!</v>
      </c>
      <c r="EM78" t="e">
        <f>AND(Bills!U231,"AAAAAE97/44=")</f>
        <v>#VALUE!</v>
      </c>
      <c r="EN78" t="e">
        <f>AND(Bills!V231,"AAAAAE97/48=")</f>
        <v>#VALUE!</v>
      </c>
      <c r="EO78" t="e">
        <f>AND(Bills!W231,"AAAAAE97/5A=")</f>
        <v>#VALUE!</v>
      </c>
      <c r="EP78" t="e">
        <f>AND(Bills!#REF!,"AAAAAE97/5E=")</f>
        <v>#REF!</v>
      </c>
      <c r="EQ78" t="e">
        <f>AND(Bills!#REF!,"AAAAAE97/5I=")</f>
        <v>#REF!</v>
      </c>
      <c r="ER78" t="e">
        <f>AND(Bills!Y231,"AAAAAE97/5M=")</f>
        <v>#VALUE!</v>
      </c>
      <c r="ES78" t="e">
        <f>AND(Bills!Z231,"AAAAAE97/5Q=")</f>
        <v>#VALUE!</v>
      </c>
      <c r="ET78" t="e">
        <f>AND(Bills!#REF!,"AAAAAE97/5U=")</f>
        <v>#REF!</v>
      </c>
      <c r="EU78" t="e">
        <f>AND(Bills!#REF!,"AAAAAE97/5Y=")</f>
        <v>#REF!</v>
      </c>
      <c r="EV78" t="e">
        <f>AND(Bills!#REF!,"AAAAAE97/5c=")</f>
        <v>#REF!</v>
      </c>
      <c r="EW78" t="e">
        <f>AND(Bills!#REF!,"AAAAAE97/5g=")</f>
        <v>#REF!</v>
      </c>
      <c r="EX78" t="e">
        <f>AND(Bills!#REF!,"AAAAAE97/5k=")</f>
        <v>#REF!</v>
      </c>
      <c r="EY78" t="e">
        <f>AND(Bills!#REF!,"AAAAAE97/5o=")</f>
        <v>#REF!</v>
      </c>
      <c r="EZ78" t="e">
        <f>AND(Bills!#REF!,"AAAAAE97/5s=")</f>
        <v>#REF!</v>
      </c>
      <c r="FA78" t="e">
        <f>AND(Bills!#REF!,"AAAAAE97/5w=")</f>
        <v>#REF!</v>
      </c>
      <c r="FB78" t="e">
        <f>AND(Bills!#REF!,"AAAAAE97/50=")</f>
        <v>#REF!</v>
      </c>
      <c r="FC78" t="e">
        <f>AND(Bills!AA231,"AAAAAE97/54=")</f>
        <v>#VALUE!</v>
      </c>
      <c r="FD78" t="e">
        <f>AND(Bills!AB231,"AAAAAE97/58=")</f>
        <v>#VALUE!</v>
      </c>
      <c r="FE78" t="e">
        <f>AND(Bills!#REF!,"AAAAAE97/6A=")</f>
        <v>#REF!</v>
      </c>
      <c r="FF78" t="e">
        <f>AND(Bills!#REF!,"AAAAAE97/6E=")</f>
        <v>#REF!</v>
      </c>
      <c r="FG78" t="e">
        <f>AND(Bills!#REF!,"AAAAAE97/6I=")</f>
        <v>#REF!</v>
      </c>
      <c r="FH78" t="e">
        <f>AND(Bills!AC231,"AAAAAE97/6M=")</f>
        <v>#VALUE!</v>
      </c>
      <c r="FI78" t="e">
        <f>AND(Bills!AD231,"AAAAAE97/6Q=")</f>
        <v>#VALUE!</v>
      </c>
      <c r="FJ78" t="e">
        <f>AND(Bills!AE231,"AAAAAE97/6U=")</f>
        <v>#VALUE!</v>
      </c>
      <c r="FK78">
        <f>IF(Bills!232:232,"AAAAAE97/6Y=",0)</f>
        <v>0</v>
      </c>
      <c r="FL78" t="e">
        <f>AND(Bills!B232,"AAAAAE97/6c=")</f>
        <v>#VALUE!</v>
      </c>
      <c r="FM78" t="e">
        <f>AND(Bills!#REF!,"AAAAAE97/6g=")</f>
        <v>#REF!</v>
      </c>
      <c r="FN78" t="e">
        <f>AND(Bills!C232,"AAAAAE97/6k=")</f>
        <v>#VALUE!</v>
      </c>
      <c r="FO78" t="e">
        <f>AND(Bills!D232,"AAAAAE97/6o=")</f>
        <v>#VALUE!</v>
      </c>
      <c r="FP78" t="e">
        <f>AND(Bills!E232,"AAAAAE97/6s=")</f>
        <v>#VALUE!</v>
      </c>
      <c r="FQ78" t="e">
        <f>AND(Bills!#REF!,"AAAAAE97/6w=")</f>
        <v>#REF!</v>
      </c>
      <c r="FR78" t="e">
        <f>AND(Bills!#REF!,"AAAAAE97/60=")</f>
        <v>#REF!</v>
      </c>
      <c r="FS78" t="e">
        <f>AND(Bills!#REF!,"AAAAAE97/64=")</f>
        <v>#REF!</v>
      </c>
      <c r="FT78" t="e">
        <f>AND(Bills!F232,"AAAAAE97/68=")</f>
        <v>#VALUE!</v>
      </c>
      <c r="FU78" t="e">
        <f>AND(Bills!#REF!,"AAAAAE97/7A=")</f>
        <v>#REF!</v>
      </c>
      <c r="FV78" t="e">
        <f>AND(Bills!G232,"AAAAAE97/7E=")</f>
        <v>#VALUE!</v>
      </c>
      <c r="FW78" t="e">
        <f>AND(Bills!H232,"AAAAAE97/7I=")</f>
        <v>#VALUE!</v>
      </c>
      <c r="FX78" t="e">
        <f>AND(Bills!I232,"AAAAAE97/7M=")</f>
        <v>#VALUE!</v>
      </c>
      <c r="FY78" t="e">
        <f>AND(Bills!J232,"AAAAAE97/7Q=")</f>
        <v>#VALUE!</v>
      </c>
      <c r="FZ78" t="e">
        <f>AND(Bills!K232,"AAAAAE97/7U=")</f>
        <v>#VALUE!</v>
      </c>
      <c r="GA78" t="e">
        <f>AND(Bills!L232,"AAAAAE97/7Y=")</f>
        <v>#VALUE!</v>
      </c>
      <c r="GB78" t="e">
        <f>AND(Bills!#REF!,"AAAAAE97/7c=")</f>
        <v>#REF!</v>
      </c>
      <c r="GC78" t="e">
        <f>AND(Bills!M232,"AAAAAE97/7g=")</f>
        <v>#VALUE!</v>
      </c>
      <c r="GD78" t="e">
        <f>AND(Bills!N232,"AAAAAE97/7k=")</f>
        <v>#VALUE!</v>
      </c>
      <c r="GE78" t="e">
        <f>AND(Bills!O232,"AAAAAE97/7o=")</f>
        <v>#VALUE!</v>
      </c>
      <c r="GF78" t="e">
        <f>AND(Bills!P232,"AAAAAE97/7s=")</f>
        <v>#VALUE!</v>
      </c>
      <c r="GG78" t="e">
        <f>AND(Bills!Q232,"AAAAAE97/7w=")</f>
        <v>#VALUE!</v>
      </c>
      <c r="GH78" t="e">
        <f>AND(Bills!R232,"AAAAAE97/70=")</f>
        <v>#VALUE!</v>
      </c>
      <c r="GI78" t="e">
        <f>AND(Bills!S232,"AAAAAE97/74=")</f>
        <v>#VALUE!</v>
      </c>
      <c r="GJ78" t="e">
        <f>AND(Bills!T232,"AAAAAE97/78=")</f>
        <v>#VALUE!</v>
      </c>
      <c r="GK78" t="e">
        <f>AND(Bills!#REF!,"AAAAAE97/8A=")</f>
        <v>#REF!</v>
      </c>
      <c r="GL78" t="e">
        <f>AND(Bills!U232,"AAAAAE97/8E=")</f>
        <v>#VALUE!</v>
      </c>
      <c r="GM78" t="e">
        <f>AND(Bills!V232,"AAAAAE97/8I=")</f>
        <v>#VALUE!</v>
      </c>
      <c r="GN78" t="e">
        <f>AND(Bills!W232,"AAAAAE97/8M=")</f>
        <v>#VALUE!</v>
      </c>
      <c r="GO78" t="e">
        <f>AND(Bills!#REF!,"AAAAAE97/8Q=")</f>
        <v>#REF!</v>
      </c>
      <c r="GP78" t="e">
        <f>AND(Bills!#REF!,"AAAAAE97/8U=")</f>
        <v>#REF!</v>
      </c>
      <c r="GQ78" t="e">
        <f>AND(Bills!Y232,"AAAAAE97/8Y=")</f>
        <v>#VALUE!</v>
      </c>
      <c r="GR78" t="e">
        <f>AND(Bills!Z232,"AAAAAE97/8c=")</f>
        <v>#VALUE!</v>
      </c>
      <c r="GS78" t="e">
        <f>AND(Bills!#REF!,"AAAAAE97/8g=")</f>
        <v>#REF!</v>
      </c>
      <c r="GT78" t="e">
        <f>AND(Bills!#REF!,"AAAAAE97/8k=")</f>
        <v>#REF!</v>
      </c>
      <c r="GU78" t="e">
        <f>AND(Bills!#REF!,"AAAAAE97/8o=")</f>
        <v>#REF!</v>
      </c>
      <c r="GV78" t="e">
        <f>AND(Bills!#REF!,"AAAAAE97/8s=")</f>
        <v>#REF!</v>
      </c>
      <c r="GW78" t="e">
        <f>AND(Bills!#REF!,"AAAAAE97/8w=")</f>
        <v>#REF!</v>
      </c>
      <c r="GX78" t="e">
        <f>AND(Bills!#REF!,"AAAAAE97/80=")</f>
        <v>#REF!</v>
      </c>
      <c r="GY78" t="e">
        <f>AND(Bills!#REF!,"AAAAAE97/84=")</f>
        <v>#REF!</v>
      </c>
      <c r="GZ78" t="e">
        <f>AND(Bills!#REF!,"AAAAAE97/88=")</f>
        <v>#REF!</v>
      </c>
      <c r="HA78" t="e">
        <f>AND(Bills!#REF!,"AAAAAE97/9A=")</f>
        <v>#REF!</v>
      </c>
      <c r="HB78" t="e">
        <f>AND(Bills!AA232,"AAAAAE97/9E=")</f>
        <v>#VALUE!</v>
      </c>
      <c r="HC78" t="e">
        <f>AND(Bills!AB232,"AAAAAE97/9I=")</f>
        <v>#VALUE!</v>
      </c>
      <c r="HD78" t="e">
        <f>AND(Bills!#REF!,"AAAAAE97/9M=")</f>
        <v>#REF!</v>
      </c>
      <c r="HE78" t="e">
        <f>AND(Bills!#REF!,"AAAAAE97/9Q=")</f>
        <v>#REF!</v>
      </c>
      <c r="HF78" t="e">
        <f>AND(Bills!#REF!,"AAAAAE97/9U=")</f>
        <v>#REF!</v>
      </c>
      <c r="HG78" t="e">
        <f>AND(Bills!AC232,"AAAAAE97/9Y=")</f>
        <v>#VALUE!</v>
      </c>
      <c r="HH78" t="e">
        <f>AND(Bills!AD232,"AAAAAE97/9c=")</f>
        <v>#VALUE!</v>
      </c>
      <c r="HI78" t="e">
        <f>AND(Bills!AE232,"AAAAAE97/9g=")</f>
        <v>#VALUE!</v>
      </c>
      <c r="HJ78">
        <f>IF(Bills!233:233,"AAAAAE97/9k=",0)</f>
        <v>0</v>
      </c>
      <c r="HK78" t="e">
        <f>AND(Bills!B233,"AAAAAE97/9o=")</f>
        <v>#VALUE!</v>
      </c>
      <c r="HL78" t="e">
        <f>AND(Bills!#REF!,"AAAAAE97/9s=")</f>
        <v>#REF!</v>
      </c>
      <c r="HM78" t="e">
        <f>AND(Bills!C233,"AAAAAE97/9w=")</f>
        <v>#VALUE!</v>
      </c>
      <c r="HN78" t="e">
        <f>AND(Bills!D233,"AAAAAE97/90=")</f>
        <v>#VALUE!</v>
      </c>
      <c r="HO78" t="e">
        <f>AND(Bills!E233,"AAAAAE97/94=")</f>
        <v>#VALUE!</v>
      </c>
      <c r="HP78" t="e">
        <f>AND(Bills!#REF!,"AAAAAE97/98=")</f>
        <v>#REF!</v>
      </c>
      <c r="HQ78" t="e">
        <f>AND(Bills!#REF!,"AAAAAE97/+A=")</f>
        <v>#REF!</v>
      </c>
      <c r="HR78" t="e">
        <f>AND(Bills!#REF!,"AAAAAE97/+E=")</f>
        <v>#REF!</v>
      </c>
      <c r="HS78" t="e">
        <f>AND(Bills!F233,"AAAAAE97/+I=")</f>
        <v>#VALUE!</v>
      </c>
      <c r="HT78" t="e">
        <f>AND(Bills!#REF!,"AAAAAE97/+M=")</f>
        <v>#REF!</v>
      </c>
      <c r="HU78" t="e">
        <f>AND(Bills!G233,"AAAAAE97/+Q=")</f>
        <v>#VALUE!</v>
      </c>
      <c r="HV78" t="e">
        <f>AND(Bills!H233,"AAAAAE97/+U=")</f>
        <v>#VALUE!</v>
      </c>
      <c r="HW78" t="e">
        <f>AND(Bills!I233,"AAAAAE97/+Y=")</f>
        <v>#VALUE!</v>
      </c>
      <c r="HX78" t="e">
        <f>AND(Bills!J233,"AAAAAE97/+c=")</f>
        <v>#VALUE!</v>
      </c>
      <c r="HY78" t="e">
        <f>AND(Bills!K233,"AAAAAE97/+g=")</f>
        <v>#VALUE!</v>
      </c>
      <c r="HZ78" t="e">
        <f>AND(Bills!L233,"AAAAAE97/+k=")</f>
        <v>#VALUE!</v>
      </c>
      <c r="IA78" t="e">
        <f>AND(Bills!#REF!,"AAAAAE97/+o=")</f>
        <v>#REF!</v>
      </c>
      <c r="IB78" t="e">
        <f>AND(Bills!M233,"AAAAAE97/+s=")</f>
        <v>#VALUE!</v>
      </c>
      <c r="IC78" t="e">
        <f>AND(Bills!N233,"AAAAAE97/+w=")</f>
        <v>#VALUE!</v>
      </c>
      <c r="ID78" t="e">
        <f>AND(Bills!O233,"AAAAAE97/+0=")</f>
        <v>#VALUE!</v>
      </c>
      <c r="IE78" t="e">
        <f>AND(Bills!P233,"AAAAAE97/+4=")</f>
        <v>#VALUE!</v>
      </c>
      <c r="IF78" t="e">
        <f>AND(Bills!Q233,"AAAAAE97/+8=")</f>
        <v>#VALUE!</v>
      </c>
      <c r="IG78" t="e">
        <f>AND(Bills!R233,"AAAAAE97//A=")</f>
        <v>#VALUE!</v>
      </c>
      <c r="IH78" t="e">
        <f>AND(Bills!S233,"AAAAAE97//E=")</f>
        <v>#VALUE!</v>
      </c>
      <c r="II78" t="e">
        <f>AND(Bills!T233,"AAAAAE97//I=")</f>
        <v>#VALUE!</v>
      </c>
      <c r="IJ78" t="e">
        <f>AND(Bills!#REF!,"AAAAAE97//M=")</f>
        <v>#REF!</v>
      </c>
      <c r="IK78" t="e">
        <f>AND(Bills!U233,"AAAAAE97//Q=")</f>
        <v>#VALUE!</v>
      </c>
      <c r="IL78" t="e">
        <f>AND(Bills!V233,"AAAAAE97//U=")</f>
        <v>#VALUE!</v>
      </c>
      <c r="IM78" t="e">
        <f>AND(Bills!W233,"AAAAAE97//Y=")</f>
        <v>#VALUE!</v>
      </c>
      <c r="IN78" t="e">
        <f>AND(Bills!#REF!,"AAAAAE97//c=")</f>
        <v>#REF!</v>
      </c>
      <c r="IO78" t="e">
        <f>AND(Bills!#REF!,"AAAAAE97//g=")</f>
        <v>#REF!</v>
      </c>
      <c r="IP78" t="e">
        <f>AND(Bills!Y233,"AAAAAE97//k=")</f>
        <v>#VALUE!</v>
      </c>
      <c r="IQ78" t="e">
        <f>AND(Bills!Z233,"AAAAAE97//o=")</f>
        <v>#VALUE!</v>
      </c>
      <c r="IR78" t="e">
        <f>AND(Bills!#REF!,"AAAAAE97//s=")</f>
        <v>#REF!</v>
      </c>
      <c r="IS78" t="e">
        <f>AND(Bills!#REF!,"AAAAAE97//w=")</f>
        <v>#REF!</v>
      </c>
      <c r="IT78" t="e">
        <f>AND(Bills!#REF!,"AAAAAE97//0=")</f>
        <v>#REF!</v>
      </c>
      <c r="IU78" t="e">
        <f>AND(Bills!#REF!,"AAAAAE97//4=")</f>
        <v>#REF!</v>
      </c>
      <c r="IV78" t="e">
        <f>AND(Bills!#REF!,"AAAAAE97//8=")</f>
        <v>#REF!</v>
      </c>
    </row>
    <row r="79" spans="1:256" x14ac:dyDescent="0.25">
      <c r="A79" t="e">
        <f>AND(Bills!#REF!,"AAAAAH3stgA=")</f>
        <v>#REF!</v>
      </c>
      <c r="B79" t="e">
        <f>AND(Bills!#REF!,"AAAAAH3stgE=")</f>
        <v>#REF!</v>
      </c>
      <c r="C79" t="e">
        <f>AND(Bills!#REF!,"AAAAAH3stgI=")</f>
        <v>#REF!</v>
      </c>
      <c r="D79" t="e">
        <f>AND(Bills!#REF!,"AAAAAH3stgM=")</f>
        <v>#REF!</v>
      </c>
      <c r="E79" t="e">
        <f>AND(Bills!AA233,"AAAAAH3stgQ=")</f>
        <v>#VALUE!</v>
      </c>
      <c r="F79" t="e">
        <f>AND(Bills!AB233,"AAAAAH3stgU=")</f>
        <v>#VALUE!</v>
      </c>
      <c r="G79" t="e">
        <f>AND(Bills!#REF!,"AAAAAH3stgY=")</f>
        <v>#REF!</v>
      </c>
      <c r="H79" t="e">
        <f>AND(Bills!#REF!,"AAAAAH3stgc=")</f>
        <v>#REF!</v>
      </c>
      <c r="I79" t="e">
        <f>AND(Bills!#REF!,"AAAAAH3stgg=")</f>
        <v>#REF!</v>
      </c>
      <c r="J79" t="e">
        <f>AND(Bills!AC233,"AAAAAH3stgk=")</f>
        <v>#VALUE!</v>
      </c>
      <c r="K79" t="e">
        <f>AND(Bills!AD233,"AAAAAH3stgo=")</f>
        <v>#VALUE!</v>
      </c>
      <c r="L79" t="e">
        <f>AND(Bills!AE233,"AAAAAH3stgs=")</f>
        <v>#VALUE!</v>
      </c>
      <c r="M79">
        <f>IF(Bills!234:234,"AAAAAH3stgw=",0)</f>
        <v>0</v>
      </c>
      <c r="N79" t="e">
        <f>AND(Bills!B234,"AAAAAH3stg0=")</f>
        <v>#VALUE!</v>
      </c>
      <c r="O79" t="e">
        <f>AND(Bills!#REF!,"AAAAAH3stg4=")</f>
        <v>#REF!</v>
      </c>
      <c r="P79" t="e">
        <f>AND(Bills!C234,"AAAAAH3stg8=")</f>
        <v>#VALUE!</v>
      </c>
      <c r="Q79" t="e">
        <f>AND(Bills!D234,"AAAAAH3sthA=")</f>
        <v>#VALUE!</v>
      </c>
      <c r="R79" t="e">
        <f>AND(Bills!E234,"AAAAAH3sthE=")</f>
        <v>#VALUE!</v>
      </c>
      <c r="S79" t="e">
        <f>AND(Bills!#REF!,"AAAAAH3sthI=")</f>
        <v>#REF!</v>
      </c>
      <c r="T79" t="e">
        <f>AND(Bills!#REF!,"AAAAAH3sthM=")</f>
        <v>#REF!</v>
      </c>
      <c r="U79" t="e">
        <f>AND(Bills!#REF!,"AAAAAH3sthQ=")</f>
        <v>#REF!</v>
      </c>
      <c r="V79" t="e">
        <f>AND(Bills!F234,"AAAAAH3sthU=")</f>
        <v>#VALUE!</v>
      </c>
      <c r="W79" t="e">
        <f>AND(Bills!#REF!,"AAAAAH3sthY=")</f>
        <v>#REF!</v>
      </c>
      <c r="X79" t="e">
        <f>AND(Bills!G234,"AAAAAH3sthc=")</f>
        <v>#VALUE!</v>
      </c>
      <c r="Y79" t="e">
        <f>AND(Bills!H234,"AAAAAH3sthg=")</f>
        <v>#VALUE!</v>
      </c>
      <c r="Z79" t="e">
        <f>AND(Bills!I234,"AAAAAH3sthk=")</f>
        <v>#VALUE!</v>
      </c>
      <c r="AA79" t="e">
        <f>AND(Bills!J234,"AAAAAH3stho=")</f>
        <v>#VALUE!</v>
      </c>
      <c r="AB79" t="e">
        <f>AND(Bills!K234,"AAAAAH3sths=")</f>
        <v>#VALUE!</v>
      </c>
      <c r="AC79" t="e">
        <f>AND(Bills!L234,"AAAAAH3sthw=")</f>
        <v>#VALUE!</v>
      </c>
      <c r="AD79" t="e">
        <f>AND(Bills!#REF!,"AAAAAH3sth0=")</f>
        <v>#REF!</v>
      </c>
      <c r="AE79" t="e">
        <f>AND(Bills!M234,"AAAAAH3sth4=")</f>
        <v>#VALUE!</v>
      </c>
      <c r="AF79" t="e">
        <f>AND(Bills!N234,"AAAAAH3sth8=")</f>
        <v>#VALUE!</v>
      </c>
      <c r="AG79" t="e">
        <f>AND(Bills!O234,"AAAAAH3stiA=")</f>
        <v>#VALUE!</v>
      </c>
      <c r="AH79" t="e">
        <f>AND(Bills!P234,"AAAAAH3stiE=")</f>
        <v>#VALUE!</v>
      </c>
      <c r="AI79" t="e">
        <f>AND(Bills!Q234,"AAAAAH3stiI=")</f>
        <v>#VALUE!</v>
      </c>
      <c r="AJ79" t="e">
        <f>AND(Bills!R234,"AAAAAH3stiM=")</f>
        <v>#VALUE!</v>
      </c>
      <c r="AK79" t="e">
        <f>AND(Bills!S234,"AAAAAH3stiQ=")</f>
        <v>#VALUE!</v>
      </c>
      <c r="AL79" t="e">
        <f>AND(Bills!T234,"AAAAAH3stiU=")</f>
        <v>#VALUE!</v>
      </c>
      <c r="AM79" t="e">
        <f>AND(Bills!#REF!,"AAAAAH3stiY=")</f>
        <v>#REF!</v>
      </c>
      <c r="AN79" t="e">
        <f>AND(Bills!U234,"AAAAAH3stic=")</f>
        <v>#VALUE!</v>
      </c>
      <c r="AO79" t="e">
        <f>AND(Bills!V234,"AAAAAH3stig=")</f>
        <v>#VALUE!</v>
      </c>
      <c r="AP79" t="e">
        <f>AND(Bills!W234,"AAAAAH3stik=")</f>
        <v>#VALUE!</v>
      </c>
      <c r="AQ79" t="e">
        <f>AND(Bills!#REF!,"AAAAAH3stio=")</f>
        <v>#REF!</v>
      </c>
      <c r="AR79" t="e">
        <f>AND(Bills!#REF!,"AAAAAH3stis=")</f>
        <v>#REF!</v>
      </c>
      <c r="AS79" t="e">
        <f>AND(Bills!Y234,"AAAAAH3stiw=")</f>
        <v>#VALUE!</v>
      </c>
      <c r="AT79" t="e">
        <f>AND(Bills!Z234,"AAAAAH3sti0=")</f>
        <v>#VALUE!</v>
      </c>
      <c r="AU79" t="e">
        <f>AND(Bills!#REF!,"AAAAAH3sti4=")</f>
        <v>#REF!</v>
      </c>
      <c r="AV79" t="e">
        <f>AND(Bills!#REF!,"AAAAAH3sti8=")</f>
        <v>#REF!</v>
      </c>
      <c r="AW79" t="e">
        <f>AND(Bills!#REF!,"AAAAAH3stjA=")</f>
        <v>#REF!</v>
      </c>
      <c r="AX79" t="e">
        <f>AND(Bills!#REF!,"AAAAAH3stjE=")</f>
        <v>#REF!</v>
      </c>
      <c r="AY79" t="e">
        <f>AND(Bills!#REF!,"AAAAAH3stjI=")</f>
        <v>#REF!</v>
      </c>
      <c r="AZ79" t="e">
        <f>AND(Bills!#REF!,"AAAAAH3stjM=")</f>
        <v>#REF!</v>
      </c>
      <c r="BA79" t="e">
        <f>AND(Bills!#REF!,"AAAAAH3stjQ=")</f>
        <v>#REF!</v>
      </c>
      <c r="BB79" t="e">
        <f>AND(Bills!#REF!,"AAAAAH3stjU=")</f>
        <v>#REF!</v>
      </c>
      <c r="BC79" t="e">
        <f>AND(Bills!#REF!,"AAAAAH3stjY=")</f>
        <v>#REF!</v>
      </c>
      <c r="BD79" t="e">
        <f>AND(Bills!AA234,"AAAAAH3stjc=")</f>
        <v>#VALUE!</v>
      </c>
      <c r="BE79" t="e">
        <f>AND(Bills!AB234,"AAAAAH3stjg=")</f>
        <v>#VALUE!</v>
      </c>
      <c r="BF79" t="e">
        <f>AND(Bills!#REF!,"AAAAAH3stjk=")</f>
        <v>#REF!</v>
      </c>
      <c r="BG79" t="e">
        <f>AND(Bills!#REF!,"AAAAAH3stjo=")</f>
        <v>#REF!</v>
      </c>
      <c r="BH79" t="e">
        <f>AND(Bills!#REF!,"AAAAAH3stjs=")</f>
        <v>#REF!</v>
      </c>
      <c r="BI79" t="e">
        <f>AND(Bills!AC234,"AAAAAH3stjw=")</f>
        <v>#VALUE!</v>
      </c>
      <c r="BJ79" t="e">
        <f>AND(Bills!AD234,"AAAAAH3stj0=")</f>
        <v>#VALUE!</v>
      </c>
      <c r="BK79" t="e">
        <f>AND(Bills!AE234,"AAAAAH3stj4=")</f>
        <v>#VALUE!</v>
      </c>
      <c r="BL79">
        <f>IF(Bills!235:235,"AAAAAH3stj8=",0)</f>
        <v>0</v>
      </c>
      <c r="BM79" t="e">
        <f>AND(Bills!B235,"AAAAAH3stkA=")</f>
        <v>#VALUE!</v>
      </c>
      <c r="BN79" t="e">
        <f>AND(Bills!#REF!,"AAAAAH3stkE=")</f>
        <v>#REF!</v>
      </c>
      <c r="BO79" t="e">
        <f>AND(Bills!C235,"AAAAAH3stkI=")</f>
        <v>#VALUE!</v>
      </c>
      <c r="BP79" t="e">
        <f>AND(Bills!D235,"AAAAAH3stkM=")</f>
        <v>#VALUE!</v>
      </c>
      <c r="BQ79" t="e">
        <f>AND(Bills!E235,"AAAAAH3stkQ=")</f>
        <v>#VALUE!</v>
      </c>
      <c r="BR79" t="e">
        <f>AND(Bills!#REF!,"AAAAAH3stkU=")</f>
        <v>#REF!</v>
      </c>
      <c r="BS79" t="e">
        <f>AND(Bills!#REF!,"AAAAAH3stkY=")</f>
        <v>#REF!</v>
      </c>
      <c r="BT79" t="e">
        <f>AND(Bills!#REF!,"AAAAAH3stkc=")</f>
        <v>#REF!</v>
      </c>
      <c r="BU79" t="e">
        <f>AND(Bills!F235,"AAAAAH3stkg=")</f>
        <v>#VALUE!</v>
      </c>
      <c r="BV79" t="e">
        <f>AND(Bills!#REF!,"AAAAAH3stkk=")</f>
        <v>#REF!</v>
      </c>
      <c r="BW79" t="e">
        <f>AND(Bills!G235,"AAAAAH3stko=")</f>
        <v>#VALUE!</v>
      </c>
      <c r="BX79" t="e">
        <f>AND(Bills!H235,"AAAAAH3stks=")</f>
        <v>#VALUE!</v>
      </c>
      <c r="BY79" t="e">
        <f>AND(Bills!I235,"AAAAAH3stkw=")</f>
        <v>#VALUE!</v>
      </c>
      <c r="BZ79" t="e">
        <f>AND(Bills!J235,"AAAAAH3stk0=")</f>
        <v>#VALUE!</v>
      </c>
      <c r="CA79" t="e">
        <f>AND(Bills!K235,"AAAAAH3stk4=")</f>
        <v>#VALUE!</v>
      </c>
      <c r="CB79" t="e">
        <f>AND(Bills!L235,"AAAAAH3stk8=")</f>
        <v>#VALUE!</v>
      </c>
      <c r="CC79" t="e">
        <f>AND(Bills!#REF!,"AAAAAH3stlA=")</f>
        <v>#REF!</v>
      </c>
      <c r="CD79" t="e">
        <f>AND(Bills!M235,"AAAAAH3stlE=")</f>
        <v>#VALUE!</v>
      </c>
      <c r="CE79" t="e">
        <f>AND(Bills!N235,"AAAAAH3stlI=")</f>
        <v>#VALUE!</v>
      </c>
      <c r="CF79" t="e">
        <f>AND(Bills!O235,"AAAAAH3stlM=")</f>
        <v>#VALUE!</v>
      </c>
      <c r="CG79" t="e">
        <f>AND(Bills!P235,"AAAAAH3stlQ=")</f>
        <v>#VALUE!</v>
      </c>
      <c r="CH79" t="e">
        <f>AND(Bills!Q235,"AAAAAH3stlU=")</f>
        <v>#VALUE!</v>
      </c>
      <c r="CI79" t="e">
        <f>AND(Bills!R235,"AAAAAH3stlY=")</f>
        <v>#VALUE!</v>
      </c>
      <c r="CJ79" t="e">
        <f>AND(Bills!S235,"AAAAAH3stlc=")</f>
        <v>#VALUE!</v>
      </c>
      <c r="CK79" t="e">
        <f>AND(Bills!T235,"AAAAAH3stlg=")</f>
        <v>#VALUE!</v>
      </c>
      <c r="CL79" t="e">
        <f>AND(Bills!#REF!,"AAAAAH3stlk=")</f>
        <v>#REF!</v>
      </c>
      <c r="CM79" t="e">
        <f>AND(Bills!U235,"AAAAAH3stlo=")</f>
        <v>#VALUE!</v>
      </c>
      <c r="CN79" t="e">
        <f>AND(Bills!V235,"AAAAAH3stls=")</f>
        <v>#VALUE!</v>
      </c>
      <c r="CO79" t="e">
        <f>AND(Bills!W235,"AAAAAH3stlw=")</f>
        <v>#VALUE!</v>
      </c>
      <c r="CP79" t="e">
        <f>AND(Bills!#REF!,"AAAAAH3stl0=")</f>
        <v>#REF!</v>
      </c>
      <c r="CQ79" t="e">
        <f>AND(Bills!#REF!,"AAAAAH3stl4=")</f>
        <v>#REF!</v>
      </c>
      <c r="CR79" t="e">
        <f>AND(Bills!Y235,"AAAAAH3stl8=")</f>
        <v>#VALUE!</v>
      </c>
      <c r="CS79" t="e">
        <f>AND(Bills!Z235,"AAAAAH3stmA=")</f>
        <v>#VALUE!</v>
      </c>
      <c r="CT79" t="e">
        <f>AND(Bills!#REF!,"AAAAAH3stmE=")</f>
        <v>#REF!</v>
      </c>
      <c r="CU79" t="e">
        <f>AND(Bills!#REF!,"AAAAAH3stmI=")</f>
        <v>#REF!</v>
      </c>
      <c r="CV79" t="e">
        <f>AND(Bills!#REF!,"AAAAAH3stmM=")</f>
        <v>#REF!</v>
      </c>
      <c r="CW79" t="e">
        <f>AND(Bills!#REF!,"AAAAAH3stmQ=")</f>
        <v>#REF!</v>
      </c>
      <c r="CX79" t="e">
        <f>AND(Bills!#REF!,"AAAAAH3stmU=")</f>
        <v>#REF!</v>
      </c>
      <c r="CY79" t="e">
        <f>AND(Bills!#REF!,"AAAAAH3stmY=")</f>
        <v>#REF!</v>
      </c>
      <c r="CZ79" t="e">
        <f>AND(Bills!#REF!,"AAAAAH3stmc=")</f>
        <v>#REF!</v>
      </c>
      <c r="DA79" t="e">
        <f>AND(Bills!#REF!,"AAAAAH3stmg=")</f>
        <v>#REF!</v>
      </c>
      <c r="DB79" t="e">
        <f>AND(Bills!#REF!,"AAAAAH3stmk=")</f>
        <v>#REF!</v>
      </c>
      <c r="DC79" t="e">
        <f>AND(Bills!AA235,"AAAAAH3stmo=")</f>
        <v>#VALUE!</v>
      </c>
      <c r="DD79" t="e">
        <f>AND(Bills!AB235,"AAAAAH3stms=")</f>
        <v>#VALUE!</v>
      </c>
      <c r="DE79" t="e">
        <f>AND(Bills!#REF!,"AAAAAH3stmw=")</f>
        <v>#REF!</v>
      </c>
      <c r="DF79" t="e">
        <f>AND(Bills!#REF!,"AAAAAH3stm0=")</f>
        <v>#REF!</v>
      </c>
      <c r="DG79" t="e">
        <f>AND(Bills!#REF!,"AAAAAH3stm4=")</f>
        <v>#REF!</v>
      </c>
      <c r="DH79" t="e">
        <f>AND(Bills!AC235,"AAAAAH3stm8=")</f>
        <v>#VALUE!</v>
      </c>
      <c r="DI79" t="e">
        <f>AND(Bills!AD235,"AAAAAH3stnA=")</f>
        <v>#VALUE!</v>
      </c>
      <c r="DJ79" t="e">
        <f>AND(Bills!AE235,"AAAAAH3stnE=")</f>
        <v>#VALUE!</v>
      </c>
      <c r="DK79">
        <f>IF(Bills!236:236,"AAAAAH3stnI=",0)</f>
        <v>0</v>
      </c>
      <c r="DL79" t="e">
        <f>AND(Bills!B236,"AAAAAH3stnM=")</f>
        <v>#VALUE!</v>
      </c>
      <c r="DM79" t="e">
        <f>AND(Bills!#REF!,"AAAAAH3stnQ=")</f>
        <v>#REF!</v>
      </c>
      <c r="DN79" t="e">
        <f>AND(Bills!C236,"AAAAAH3stnU=")</f>
        <v>#VALUE!</v>
      </c>
      <c r="DO79" t="e">
        <f>AND(Bills!D236,"AAAAAH3stnY=")</f>
        <v>#VALUE!</v>
      </c>
      <c r="DP79" t="e">
        <f>AND(Bills!E236,"AAAAAH3stnc=")</f>
        <v>#VALUE!</v>
      </c>
      <c r="DQ79" t="e">
        <f>AND(Bills!#REF!,"AAAAAH3stng=")</f>
        <v>#REF!</v>
      </c>
      <c r="DR79" t="e">
        <f>AND(Bills!#REF!,"AAAAAH3stnk=")</f>
        <v>#REF!</v>
      </c>
      <c r="DS79" t="e">
        <f>AND(Bills!#REF!,"AAAAAH3stno=")</f>
        <v>#REF!</v>
      </c>
      <c r="DT79" t="e">
        <f>AND(Bills!F236,"AAAAAH3stns=")</f>
        <v>#VALUE!</v>
      </c>
      <c r="DU79" t="e">
        <f>AND(Bills!#REF!,"AAAAAH3stnw=")</f>
        <v>#REF!</v>
      </c>
      <c r="DV79" t="e">
        <f>AND(Bills!G236,"AAAAAH3stn0=")</f>
        <v>#VALUE!</v>
      </c>
      <c r="DW79" t="e">
        <f>AND(Bills!H236,"AAAAAH3stn4=")</f>
        <v>#VALUE!</v>
      </c>
      <c r="DX79" t="e">
        <f>AND(Bills!I236,"AAAAAH3stn8=")</f>
        <v>#VALUE!</v>
      </c>
      <c r="DY79" t="e">
        <f>AND(Bills!J236,"AAAAAH3stoA=")</f>
        <v>#VALUE!</v>
      </c>
      <c r="DZ79" t="e">
        <f>AND(Bills!K236,"AAAAAH3stoE=")</f>
        <v>#VALUE!</v>
      </c>
      <c r="EA79" t="e">
        <f>AND(Bills!L236,"AAAAAH3stoI=")</f>
        <v>#VALUE!</v>
      </c>
      <c r="EB79" t="e">
        <f>AND(Bills!#REF!,"AAAAAH3stoM=")</f>
        <v>#REF!</v>
      </c>
      <c r="EC79" t="e">
        <f>AND(Bills!M236,"AAAAAH3stoQ=")</f>
        <v>#VALUE!</v>
      </c>
      <c r="ED79" t="e">
        <f>AND(Bills!N236,"AAAAAH3stoU=")</f>
        <v>#VALUE!</v>
      </c>
      <c r="EE79" t="e">
        <f>AND(Bills!O236,"AAAAAH3stoY=")</f>
        <v>#VALUE!</v>
      </c>
      <c r="EF79" t="e">
        <f>AND(Bills!P236,"AAAAAH3stoc=")</f>
        <v>#VALUE!</v>
      </c>
      <c r="EG79" t="e">
        <f>AND(Bills!Q236,"AAAAAH3stog=")</f>
        <v>#VALUE!</v>
      </c>
      <c r="EH79" t="e">
        <f>AND(Bills!R236,"AAAAAH3stok=")</f>
        <v>#VALUE!</v>
      </c>
      <c r="EI79" t="e">
        <f>AND(Bills!S236,"AAAAAH3stoo=")</f>
        <v>#VALUE!</v>
      </c>
      <c r="EJ79" t="e">
        <f>AND(Bills!T236,"AAAAAH3stos=")</f>
        <v>#VALUE!</v>
      </c>
      <c r="EK79" t="e">
        <f>AND(Bills!#REF!,"AAAAAH3stow=")</f>
        <v>#REF!</v>
      </c>
      <c r="EL79" t="e">
        <f>AND(Bills!U236,"AAAAAH3sto0=")</f>
        <v>#VALUE!</v>
      </c>
      <c r="EM79" t="e">
        <f>AND(Bills!V236,"AAAAAH3sto4=")</f>
        <v>#VALUE!</v>
      </c>
      <c r="EN79" t="e">
        <f>AND(Bills!W236,"AAAAAH3sto8=")</f>
        <v>#VALUE!</v>
      </c>
      <c r="EO79" t="e">
        <f>AND(Bills!#REF!,"AAAAAH3stpA=")</f>
        <v>#REF!</v>
      </c>
      <c r="EP79" t="e">
        <f>AND(Bills!#REF!,"AAAAAH3stpE=")</f>
        <v>#REF!</v>
      </c>
      <c r="EQ79" t="e">
        <f>AND(Bills!Y236,"AAAAAH3stpI=")</f>
        <v>#VALUE!</v>
      </c>
      <c r="ER79" t="e">
        <f>AND(Bills!Z236,"AAAAAH3stpM=")</f>
        <v>#VALUE!</v>
      </c>
      <c r="ES79" t="e">
        <f>AND(Bills!#REF!,"AAAAAH3stpQ=")</f>
        <v>#REF!</v>
      </c>
      <c r="ET79" t="e">
        <f>AND(Bills!#REF!,"AAAAAH3stpU=")</f>
        <v>#REF!</v>
      </c>
      <c r="EU79" t="e">
        <f>AND(Bills!#REF!,"AAAAAH3stpY=")</f>
        <v>#REF!</v>
      </c>
      <c r="EV79" t="e">
        <f>AND(Bills!#REF!,"AAAAAH3stpc=")</f>
        <v>#REF!</v>
      </c>
      <c r="EW79" t="e">
        <f>AND(Bills!#REF!,"AAAAAH3stpg=")</f>
        <v>#REF!</v>
      </c>
      <c r="EX79" t="e">
        <f>AND(Bills!#REF!,"AAAAAH3stpk=")</f>
        <v>#REF!</v>
      </c>
      <c r="EY79" t="e">
        <f>AND(Bills!#REF!,"AAAAAH3stpo=")</f>
        <v>#REF!</v>
      </c>
      <c r="EZ79" t="e">
        <f>AND(Bills!#REF!,"AAAAAH3stps=")</f>
        <v>#REF!</v>
      </c>
      <c r="FA79" t="e">
        <f>AND(Bills!#REF!,"AAAAAH3stpw=")</f>
        <v>#REF!</v>
      </c>
      <c r="FB79" t="e">
        <f>AND(Bills!AA236,"AAAAAH3stp0=")</f>
        <v>#VALUE!</v>
      </c>
      <c r="FC79" t="e">
        <f>AND(Bills!AB236,"AAAAAH3stp4=")</f>
        <v>#VALUE!</v>
      </c>
      <c r="FD79" t="e">
        <f>AND(Bills!#REF!,"AAAAAH3stp8=")</f>
        <v>#REF!</v>
      </c>
      <c r="FE79" t="e">
        <f>AND(Bills!#REF!,"AAAAAH3stqA=")</f>
        <v>#REF!</v>
      </c>
      <c r="FF79" t="e">
        <f>AND(Bills!#REF!,"AAAAAH3stqE=")</f>
        <v>#REF!</v>
      </c>
      <c r="FG79" t="e">
        <f>AND(Bills!AC236,"AAAAAH3stqI=")</f>
        <v>#VALUE!</v>
      </c>
      <c r="FH79" t="e">
        <f>AND(Bills!AD236,"AAAAAH3stqM=")</f>
        <v>#VALUE!</v>
      </c>
      <c r="FI79" t="e">
        <f>AND(Bills!AE236,"AAAAAH3stqQ=")</f>
        <v>#VALUE!</v>
      </c>
      <c r="FJ79">
        <f>IF(Bills!237:237,"AAAAAH3stqU=",0)</f>
        <v>0</v>
      </c>
      <c r="FK79" t="e">
        <f>AND(Bills!B237,"AAAAAH3stqY=")</f>
        <v>#VALUE!</v>
      </c>
      <c r="FL79" t="e">
        <f>AND(Bills!#REF!,"AAAAAH3stqc=")</f>
        <v>#REF!</v>
      </c>
      <c r="FM79" t="e">
        <f>AND(Bills!C237,"AAAAAH3stqg=")</f>
        <v>#VALUE!</v>
      </c>
      <c r="FN79" t="e">
        <f>AND(Bills!D237,"AAAAAH3stqk=")</f>
        <v>#VALUE!</v>
      </c>
      <c r="FO79" t="e">
        <f>AND(Bills!E237,"AAAAAH3stqo=")</f>
        <v>#VALUE!</v>
      </c>
      <c r="FP79" t="e">
        <f>AND(Bills!#REF!,"AAAAAH3stqs=")</f>
        <v>#REF!</v>
      </c>
      <c r="FQ79" t="e">
        <f>AND(Bills!#REF!,"AAAAAH3stqw=")</f>
        <v>#REF!</v>
      </c>
      <c r="FR79" t="e">
        <f>AND(Bills!#REF!,"AAAAAH3stq0=")</f>
        <v>#REF!</v>
      </c>
      <c r="FS79" t="e">
        <f>AND(Bills!F237,"AAAAAH3stq4=")</f>
        <v>#VALUE!</v>
      </c>
      <c r="FT79" t="e">
        <f>AND(Bills!#REF!,"AAAAAH3stq8=")</f>
        <v>#REF!</v>
      </c>
      <c r="FU79" t="e">
        <f>AND(Bills!G237,"AAAAAH3strA=")</f>
        <v>#VALUE!</v>
      </c>
      <c r="FV79" t="e">
        <f>AND(Bills!H237,"AAAAAH3strE=")</f>
        <v>#VALUE!</v>
      </c>
      <c r="FW79" t="e">
        <f>AND(Bills!I237,"AAAAAH3strI=")</f>
        <v>#VALUE!</v>
      </c>
      <c r="FX79" t="e">
        <f>AND(Bills!J237,"AAAAAH3strM=")</f>
        <v>#VALUE!</v>
      </c>
      <c r="FY79" t="e">
        <f>AND(Bills!K237,"AAAAAH3strQ=")</f>
        <v>#VALUE!</v>
      </c>
      <c r="FZ79" t="e">
        <f>AND(Bills!L237,"AAAAAH3strU=")</f>
        <v>#VALUE!</v>
      </c>
      <c r="GA79" t="e">
        <f>AND(Bills!#REF!,"AAAAAH3strY=")</f>
        <v>#REF!</v>
      </c>
      <c r="GB79" t="e">
        <f>AND(Bills!M237,"AAAAAH3strc=")</f>
        <v>#VALUE!</v>
      </c>
      <c r="GC79" t="e">
        <f>AND(Bills!N237,"AAAAAH3strg=")</f>
        <v>#VALUE!</v>
      </c>
      <c r="GD79" t="e">
        <f>AND(Bills!O237,"AAAAAH3strk=")</f>
        <v>#VALUE!</v>
      </c>
      <c r="GE79" t="e">
        <f>AND(Bills!P237,"AAAAAH3stro=")</f>
        <v>#VALUE!</v>
      </c>
      <c r="GF79" t="e">
        <f>AND(Bills!Q237,"AAAAAH3strs=")</f>
        <v>#VALUE!</v>
      </c>
      <c r="GG79" t="e">
        <f>AND(Bills!R237,"AAAAAH3strw=")</f>
        <v>#VALUE!</v>
      </c>
      <c r="GH79" t="e">
        <f>AND(Bills!S237,"AAAAAH3str0=")</f>
        <v>#VALUE!</v>
      </c>
      <c r="GI79" t="e">
        <f>AND(Bills!T237,"AAAAAH3str4=")</f>
        <v>#VALUE!</v>
      </c>
      <c r="GJ79" t="e">
        <f>AND(Bills!#REF!,"AAAAAH3str8=")</f>
        <v>#REF!</v>
      </c>
      <c r="GK79" t="e">
        <f>AND(Bills!U237,"AAAAAH3stsA=")</f>
        <v>#VALUE!</v>
      </c>
      <c r="GL79" t="e">
        <f>AND(Bills!V237,"AAAAAH3stsE=")</f>
        <v>#VALUE!</v>
      </c>
      <c r="GM79" t="e">
        <f>AND(Bills!W237,"AAAAAH3stsI=")</f>
        <v>#VALUE!</v>
      </c>
      <c r="GN79" t="e">
        <f>AND(Bills!#REF!,"AAAAAH3stsM=")</f>
        <v>#REF!</v>
      </c>
      <c r="GO79" t="e">
        <f>AND(Bills!#REF!,"AAAAAH3stsQ=")</f>
        <v>#REF!</v>
      </c>
      <c r="GP79" t="e">
        <f>AND(Bills!Y237,"AAAAAH3stsU=")</f>
        <v>#VALUE!</v>
      </c>
      <c r="GQ79" t="e">
        <f>AND(Bills!Z237,"AAAAAH3stsY=")</f>
        <v>#VALUE!</v>
      </c>
      <c r="GR79" t="e">
        <f>AND(Bills!#REF!,"AAAAAH3stsc=")</f>
        <v>#REF!</v>
      </c>
      <c r="GS79" t="e">
        <f>AND(Bills!#REF!,"AAAAAH3stsg=")</f>
        <v>#REF!</v>
      </c>
      <c r="GT79" t="e">
        <f>AND(Bills!#REF!,"AAAAAH3stsk=")</f>
        <v>#REF!</v>
      </c>
      <c r="GU79" t="e">
        <f>AND(Bills!#REF!,"AAAAAH3stso=")</f>
        <v>#REF!</v>
      </c>
      <c r="GV79" t="e">
        <f>AND(Bills!#REF!,"AAAAAH3stss=")</f>
        <v>#REF!</v>
      </c>
      <c r="GW79" t="e">
        <f>AND(Bills!#REF!,"AAAAAH3stsw=")</f>
        <v>#REF!</v>
      </c>
      <c r="GX79" t="e">
        <f>AND(Bills!#REF!,"AAAAAH3sts0=")</f>
        <v>#REF!</v>
      </c>
      <c r="GY79" t="e">
        <f>AND(Bills!#REF!,"AAAAAH3sts4=")</f>
        <v>#REF!</v>
      </c>
      <c r="GZ79" t="e">
        <f>AND(Bills!#REF!,"AAAAAH3sts8=")</f>
        <v>#REF!</v>
      </c>
      <c r="HA79" t="e">
        <f>AND(Bills!AA237,"AAAAAH3sttA=")</f>
        <v>#VALUE!</v>
      </c>
      <c r="HB79" t="e">
        <f>AND(Bills!AB237,"AAAAAH3sttE=")</f>
        <v>#VALUE!</v>
      </c>
      <c r="HC79" t="e">
        <f>AND(Bills!#REF!,"AAAAAH3sttI=")</f>
        <v>#REF!</v>
      </c>
      <c r="HD79" t="e">
        <f>AND(Bills!#REF!,"AAAAAH3sttM=")</f>
        <v>#REF!</v>
      </c>
      <c r="HE79" t="e">
        <f>AND(Bills!#REF!,"AAAAAH3sttQ=")</f>
        <v>#REF!</v>
      </c>
      <c r="HF79" t="e">
        <f>AND(Bills!AC237,"AAAAAH3sttU=")</f>
        <v>#VALUE!</v>
      </c>
      <c r="HG79" t="e">
        <f>AND(Bills!AD237,"AAAAAH3sttY=")</f>
        <v>#VALUE!</v>
      </c>
      <c r="HH79" t="e">
        <f>AND(Bills!AE237,"AAAAAH3sttc=")</f>
        <v>#VALUE!</v>
      </c>
      <c r="HI79">
        <f>IF(Bills!238:238,"AAAAAH3sttg=",0)</f>
        <v>0</v>
      </c>
      <c r="HJ79" t="e">
        <f>AND(Bills!B238,"AAAAAH3sttk=")</f>
        <v>#VALUE!</v>
      </c>
      <c r="HK79" t="e">
        <f>AND(Bills!#REF!,"AAAAAH3stto=")</f>
        <v>#REF!</v>
      </c>
      <c r="HL79" t="e">
        <f>AND(Bills!C238,"AAAAAH3stts=")</f>
        <v>#VALUE!</v>
      </c>
      <c r="HM79" t="e">
        <f>AND(Bills!D238,"AAAAAH3sttw=")</f>
        <v>#VALUE!</v>
      </c>
      <c r="HN79" t="e">
        <f>AND(Bills!E238,"AAAAAH3stt0=")</f>
        <v>#VALUE!</v>
      </c>
      <c r="HO79" t="e">
        <f>AND(Bills!#REF!,"AAAAAH3stt4=")</f>
        <v>#REF!</v>
      </c>
      <c r="HP79" t="e">
        <f>AND(Bills!#REF!,"AAAAAH3stt8=")</f>
        <v>#REF!</v>
      </c>
      <c r="HQ79" t="e">
        <f>AND(Bills!#REF!,"AAAAAH3stuA=")</f>
        <v>#REF!</v>
      </c>
      <c r="HR79" t="e">
        <f>AND(Bills!F238,"AAAAAH3stuE=")</f>
        <v>#VALUE!</v>
      </c>
      <c r="HS79" t="e">
        <f>AND(Bills!#REF!,"AAAAAH3stuI=")</f>
        <v>#REF!</v>
      </c>
      <c r="HT79" t="e">
        <f>AND(Bills!G238,"AAAAAH3stuM=")</f>
        <v>#VALUE!</v>
      </c>
      <c r="HU79" t="e">
        <f>AND(Bills!H238,"AAAAAH3stuQ=")</f>
        <v>#VALUE!</v>
      </c>
      <c r="HV79" t="e">
        <f>AND(Bills!I238,"AAAAAH3stuU=")</f>
        <v>#VALUE!</v>
      </c>
      <c r="HW79" t="e">
        <f>AND(Bills!J238,"AAAAAH3stuY=")</f>
        <v>#VALUE!</v>
      </c>
      <c r="HX79" t="e">
        <f>AND(Bills!K238,"AAAAAH3stuc=")</f>
        <v>#VALUE!</v>
      </c>
      <c r="HY79" t="e">
        <f>AND(Bills!L238,"AAAAAH3stug=")</f>
        <v>#VALUE!</v>
      </c>
      <c r="HZ79" t="e">
        <f>AND(Bills!#REF!,"AAAAAH3stuk=")</f>
        <v>#REF!</v>
      </c>
      <c r="IA79" t="e">
        <f>AND(Bills!M238,"AAAAAH3stuo=")</f>
        <v>#VALUE!</v>
      </c>
      <c r="IB79" t="e">
        <f>AND(Bills!N238,"AAAAAH3stus=")</f>
        <v>#VALUE!</v>
      </c>
      <c r="IC79" t="e">
        <f>AND(Bills!O238,"AAAAAH3stuw=")</f>
        <v>#VALUE!</v>
      </c>
      <c r="ID79" t="e">
        <f>AND(Bills!P238,"AAAAAH3stu0=")</f>
        <v>#VALUE!</v>
      </c>
      <c r="IE79" t="e">
        <f>AND(Bills!Q238,"AAAAAH3stu4=")</f>
        <v>#VALUE!</v>
      </c>
      <c r="IF79" t="e">
        <f>AND(Bills!R238,"AAAAAH3stu8=")</f>
        <v>#VALUE!</v>
      </c>
      <c r="IG79" t="e">
        <f>AND(Bills!S238,"AAAAAH3stvA=")</f>
        <v>#VALUE!</v>
      </c>
      <c r="IH79" t="e">
        <f>AND(Bills!T238,"AAAAAH3stvE=")</f>
        <v>#VALUE!</v>
      </c>
      <c r="II79" t="e">
        <f>AND(Bills!#REF!,"AAAAAH3stvI=")</f>
        <v>#REF!</v>
      </c>
      <c r="IJ79" t="e">
        <f>AND(Bills!U238,"AAAAAH3stvM=")</f>
        <v>#VALUE!</v>
      </c>
      <c r="IK79" t="e">
        <f>AND(Bills!V238,"AAAAAH3stvQ=")</f>
        <v>#VALUE!</v>
      </c>
      <c r="IL79" t="e">
        <f>AND(Bills!W238,"AAAAAH3stvU=")</f>
        <v>#VALUE!</v>
      </c>
      <c r="IM79" t="e">
        <f>AND(Bills!#REF!,"AAAAAH3stvY=")</f>
        <v>#REF!</v>
      </c>
      <c r="IN79" t="e">
        <f>AND(Bills!#REF!,"AAAAAH3stvc=")</f>
        <v>#REF!</v>
      </c>
      <c r="IO79" t="e">
        <f>AND(Bills!Y238,"AAAAAH3stvg=")</f>
        <v>#VALUE!</v>
      </c>
      <c r="IP79" t="e">
        <f>AND(Bills!Z238,"AAAAAH3stvk=")</f>
        <v>#VALUE!</v>
      </c>
      <c r="IQ79" t="e">
        <f>AND(Bills!#REF!,"AAAAAH3stvo=")</f>
        <v>#REF!</v>
      </c>
      <c r="IR79" t="e">
        <f>AND(Bills!#REF!,"AAAAAH3stvs=")</f>
        <v>#REF!</v>
      </c>
      <c r="IS79" t="e">
        <f>AND(Bills!#REF!,"AAAAAH3stvw=")</f>
        <v>#REF!</v>
      </c>
      <c r="IT79" t="e">
        <f>AND(Bills!#REF!,"AAAAAH3stv0=")</f>
        <v>#REF!</v>
      </c>
      <c r="IU79" t="e">
        <f>AND(Bills!#REF!,"AAAAAH3stv4=")</f>
        <v>#REF!</v>
      </c>
      <c r="IV79" t="e">
        <f>AND(Bills!#REF!,"AAAAAH3stv8=")</f>
        <v>#REF!</v>
      </c>
    </row>
    <row r="80" spans="1:256" x14ac:dyDescent="0.25">
      <c r="A80" t="e">
        <f>AND(Bills!#REF!,"AAAAAEn5fwA=")</f>
        <v>#REF!</v>
      </c>
      <c r="B80" t="e">
        <f>AND(Bills!#REF!,"AAAAAEn5fwE=")</f>
        <v>#REF!</v>
      </c>
      <c r="C80" t="e">
        <f>AND(Bills!#REF!,"AAAAAEn5fwI=")</f>
        <v>#REF!</v>
      </c>
      <c r="D80" t="e">
        <f>AND(Bills!AA238,"AAAAAEn5fwM=")</f>
        <v>#VALUE!</v>
      </c>
      <c r="E80" t="e">
        <f>AND(Bills!AB238,"AAAAAEn5fwQ=")</f>
        <v>#VALUE!</v>
      </c>
      <c r="F80" t="e">
        <f>AND(Bills!#REF!,"AAAAAEn5fwU=")</f>
        <v>#REF!</v>
      </c>
      <c r="G80" t="e">
        <f>AND(Bills!#REF!,"AAAAAEn5fwY=")</f>
        <v>#REF!</v>
      </c>
      <c r="H80" t="e">
        <f>AND(Bills!#REF!,"AAAAAEn5fwc=")</f>
        <v>#REF!</v>
      </c>
      <c r="I80" t="e">
        <f>AND(Bills!AC238,"AAAAAEn5fwg=")</f>
        <v>#VALUE!</v>
      </c>
      <c r="J80" t="e">
        <f>AND(Bills!AD238,"AAAAAEn5fwk=")</f>
        <v>#VALUE!</v>
      </c>
      <c r="K80" t="e">
        <f>AND(Bills!AE238,"AAAAAEn5fwo=")</f>
        <v>#VALUE!</v>
      </c>
      <c r="L80">
        <f>IF(Bills!239:239,"AAAAAEn5fws=",0)</f>
        <v>0</v>
      </c>
      <c r="M80" t="e">
        <f>AND(Bills!B239,"AAAAAEn5fww=")</f>
        <v>#VALUE!</v>
      </c>
      <c r="N80" t="e">
        <f>AND(Bills!#REF!,"AAAAAEn5fw0=")</f>
        <v>#REF!</v>
      </c>
      <c r="O80" t="e">
        <f>AND(Bills!C239,"AAAAAEn5fw4=")</f>
        <v>#VALUE!</v>
      </c>
      <c r="P80" t="e">
        <f>AND(Bills!D239,"AAAAAEn5fw8=")</f>
        <v>#VALUE!</v>
      </c>
      <c r="Q80" t="e">
        <f>AND(Bills!E239,"AAAAAEn5fxA=")</f>
        <v>#VALUE!</v>
      </c>
      <c r="R80" t="e">
        <f>AND(Bills!#REF!,"AAAAAEn5fxE=")</f>
        <v>#REF!</v>
      </c>
      <c r="S80" t="e">
        <f>AND(Bills!#REF!,"AAAAAEn5fxI=")</f>
        <v>#REF!</v>
      </c>
      <c r="T80" t="e">
        <f>AND(Bills!#REF!,"AAAAAEn5fxM=")</f>
        <v>#REF!</v>
      </c>
      <c r="U80" t="e">
        <f>AND(Bills!F239,"AAAAAEn5fxQ=")</f>
        <v>#VALUE!</v>
      </c>
      <c r="V80" t="e">
        <f>AND(Bills!#REF!,"AAAAAEn5fxU=")</f>
        <v>#REF!</v>
      </c>
      <c r="W80" t="e">
        <f>AND(Bills!G239,"AAAAAEn5fxY=")</f>
        <v>#VALUE!</v>
      </c>
      <c r="X80" t="e">
        <f>AND(Bills!H239,"AAAAAEn5fxc=")</f>
        <v>#VALUE!</v>
      </c>
      <c r="Y80" t="e">
        <f>AND(Bills!I239,"AAAAAEn5fxg=")</f>
        <v>#VALUE!</v>
      </c>
      <c r="Z80" t="e">
        <f>AND(Bills!J239,"AAAAAEn5fxk=")</f>
        <v>#VALUE!</v>
      </c>
      <c r="AA80" t="e">
        <f>AND(Bills!K239,"AAAAAEn5fxo=")</f>
        <v>#VALUE!</v>
      </c>
      <c r="AB80" t="e">
        <f>AND(Bills!L239,"AAAAAEn5fxs=")</f>
        <v>#VALUE!</v>
      </c>
      <c r="AC80" t="e">
        <f>AND(Bills!#REF!,"AAAAAEn5fxw=")</f>
        <v>#REF!</v>
      </c>
      <c r="AD80" t="e">
        <f>AND(Bills!M239,"AAAAAEn5fx0=")</f>
        <v>#VALUE!</v>
      </c>
      <c r="AE80" t="e">
        <f>AND(Bills!N239,"AAAAAEn5fx4=")</f>
        <v>#VALUE!</v>
      </c>
      <c r="AF80" t="e">
        <f>AND(Bills!O239,"AAAAAEn5fx8=")</f>
        <v>#VALUE!</v>
      </c>
      <c r="AG80" t="e">
        <f>AND(Bills!P239,"AAAAAEn5fyA=")</f>
        <v>#VALUE!</v>
      </c>
      <c r="AH80" t="e">
        <f>AND(Bills!Q239,"AAAAAEn5fyE=")</f>
        <v>#VALUE!</v>
      </c>
      <c r="AI80" t="e">
        <f>AND(Bills!R239,"AAAAAEn5fyI=")</f>
        <v>#VALUE!</v>
      </c>
      <c r="AJ80" t="e">
        <f>AND(Bills!S239,"AAAAAEn5fyM=")</f>
        <v>#VALUE!</v>
      </c>
      <c r="AK80" t="e">
        <f>AND(Bills!T239,"AAAAAEn5fyQ=")</f>
        <v>#VALUE!</v>
      </c>
      <c r="AL80" t="e">
        <f>AND(Bills!#REF!,"AAAAAEn5fyU=")</f>
        <v>#REF!</v>
      </c>
      <c r="AM80" t="e">
        <f>AND(Bills!U239,"AAAAAEn5fyY=")</f>
        <v>#VALUE!</v>
      </c>
      <c r="AN80" t="e">
        <f>AND(Bills!V239,"AAAAAEn5fyc=")</f>
        <v>#VALUE!</v>
      </c>
      <c r="AO80" t="e">
        <f>AND(Bills!W239,"AAAAAEn5fyg=")</f>
        <v>#VALUE!</v>
      </c>
      <c r="AP80" t="e">
        <f>AND(Bills!#REF!,"AAAAAEn5fyk=")</f>
        <v>#REF!</v>
      </c>
      <c r="AQ80" t="e">
        <f>AND(Bills!#REF!,"AAAAAEn5fyo=")</f>
        <v>#REF!</v>
      </c>
      <c r="AR80" t="e">
        <f>AND(Bills!Y239,"AAAAAEn5fys=")</f>
        <v>#VALUE!</v>
      </c>
      <c r="AS80" t="e">
        <f>AND(Bills!Z239,"AAAAAEn5fyw=")</f>
        <v>#VALUE!</v>
      </c>
      <c r="AT80" t="e">
        <f>AND(Bills!#REF!,"AAAAAEn5fy0=")</f>
        <v>#REF!</v>
      </c>
      <c r="AU80" t="e">
        <f>AND(Bills!#REF!,"AAAAAEn5fy4=")</f>
        <v>#REF!</v>
      </c>
      <c r="AV80" t="e">
        <f>AND(Bills!#REF!,"AAAAAEn5fy8=")</f>
        <v>#REF!</v>
      </c>
      <c r="AW80" t="e">
        <f>AND(Bills!#REF!,"AAAAAEn5fzA=")</f>
        <v>#REF!</v>
      </c>
      <c r="AX80" t="e">
        <f>AND(Bills!#REF!,"AAAAAEn5fzE=")</f>
        <v>#REF!</v>
      </c>
      <c r="AY80" t="e">
        <f>AND(Bills!#REF!,"AAAAAEn5fzI=")</f>
        <v>#REF!</v>
      </c>
      <c r="AZ80" t="e">
        <f>AND(Bills!#REF!,"AAAAAEn5fzM=")</f>
        <v>#REF!</v>
      </c>
      <c r="BA80" t="e">
        <f>AND(Bills!#REF!,"AAAAAEn5fzQ=")</f>
        <v>#REF!</v>
      </c>
      <c r="BB80" t="e">
        <f>AND(Bills!#REF!,"AAAAAEn5fzU=")</f>
        <v>#REF!</v>
      </c>
      <c r="BC80" t="e">
        <f>AND(Bills!AA239,"AAAAAEn5fzY=")</f>
        <v>#VALUE!</v>
      </c>
      <c r="BD80" t="e">
        <f>AND(Bills!AB239,"AAAAAEn5fzc=")</f>
        <v>#VALUE!</v>
      </c>
      <c r="BE80" t="e">
        <f>AND(Bills!#REF!,"AAAAAEn5fzg=")</f>
        <v>#REF!</v>
      </c>
      <c r="BF80" t="e">
        <f>AND(Bills!#REF!,"AAAAAEn5fzk=")</f>
        <v>#REF!</v>
      </c>
      <c r="BG80" t="e">
        <f>AND(Bills!#REF!,"AAAAAEn5fzo=")</f>
        <v>#REF!</v>
      </c>
      <c r="BH80" t="e">
        <f>AND(Bills!AC239,"AAAAAEn5fzs=")</f>
        <v>#VALUE!</v>
      </c>
      <c r="BI80" t="e">
        <f>AND(Bills!AD239,"AAAAAEn5fzw=")</f>
        <v>#VALUE!</v>
      </c>
      <c r="BJ80" t="e">
        <f>AND(Bills!AE239,"AAAAAEn5fz0=")</f>
        <v>#VALUE!</v>
      </c>
      <c r="BK80">
        <f>IF(Bills!240:240,"AAAAAEn5fz4=",0)</f>
        <v>0</v>
      </c>
      <c r="BL80" t="e">
        <f>AND(Bills!B240,"AAAAAEn5fz8=")</f>
        <v>#VALUE!</v>
      </c>
      <c r="BM80" t="e">
        <f>AND(Bills!#REF!,"AAAAAEn5f0A=")</f>
        <v>#REF!</v>
      </c>
      <c r="BN80" t="e">
        <f>AND(Bills!C240,"AAAAAEn5f0E=")</f>
        <v>#VALUE!</v>
      </c>
      <c r="BO80" t="e">
        <f>AND(Bills!D240,"AAAAAEn5f0I=")</f>
        <v>#VALUE!</v>
      </c>
      <c r="BP80" t="e">
        <f>AND(Bills!E240,"AAAAAEn5f0M=")</f>
        <v>#VALUE!</v>
      </c>
      <c r="BQ80" t="e">
        <f>AND(Bills!#REF!,"AAAAAEn5f0Q=")</f>
        <v>#REF!</v>
      </c>
      <c r="BR80" t="e">
        <f>AND(Bills!#REF!,"AAAAAEn5f0U=")</f>
        <v>#REF!</v>
      </c>
      <c r="BS80" t="e">
        <f>AND(Bills!#REF!,"AAAAAEn5f0Y=")</f>
        <v>#REF!</v>
      </c>
      <c r="BT80" t="e">
        <f>AND(Bills!F240,"AAAAAEn5f0c=")</f>
        <v>#VALUE!</v>
      </c>
      <c r="BU80" t="e">
        <f>AND(Bills!#REF!,"AAAAAEn5f0g=")</f>
        <v>#REF!</v>
      </c>
      <c r="BV80" t="e">
        <f>AND(Bills!G240,"AAAAAEn5f0k=")</f>
        <v>#VALUE!</v>
      </c>
      <c r="BW80" t="e">
        <f>AND(Bills!H240,"AAAAAEn5f0o=")</f>
        <v>#VALUE!</v>
      </c>
      <c r="BX80" t="e">
        <f>AND(Bills!I240,"AAAAAEn5f0s=")</f>
        <v>#VALUE!</v>
      </c>
      <c r="BY80" t="e">
        <f>AND(Bills!J240,"AAAAAEn5f0w=")</f>
        <v>#VALUE!</v>
      </c>
      <c r="BZ80" t="e">
        <f>AND(Bills!K240,"AAAAAEn5f00=")</f>
        <v>#VALUE!</v>
      </c>
      <c r="CA80" t="e">
        <f>AND(Bills!L240,"AAAAAEn5f04=")</f>
        <v>#VALUE!</v>
      </c>
      <c r="CB80" t="e">
        <f>AND(Bills!#REF!,"AAAAAEn5f08=")</f>
        <v>#REF!</v>
      </c>
      <c r="CC80" t="e">
        <f>AND(Bills!M240,"AAAAAEn5f1A=")</f>
        <v>#VALUE!</v>
      </c>
      <c r="CD80" t="e">
        <f>AND(Bills!N240,"AAAAAEn5f1E=")</f>
        <v>#VALUE!</v>
      </c>
      <c r="CE80" t="e">
        <f>AND(Bills!O240,"AAAAAEn5f1I=")</f>
        <v>#VALUE!</v>
      </c>
      <c r="CF80" t="e">
        <f>AND(Bills!P240,"AAAAAEn5f1M=")</f>
        <v>#VALUE!</v>
      </c>
      <c r="CG80" t="e">
        <f>AND(Bills!Q240,"AAAAAEn5f1Q=")</f>
        <v>#VALUE!</v>
      </c>
      <c r="CH80" t="e">
        <f>AND(Bills!R240,"AAAAAEn5f1U=")</f>
        <v>#VALUE!</v>
      </c>
      <c r="CI80" t="e">
        <f>AND(Bills!S240,"AAAAAEn5f1Y=")</f>
        <v>#VALUE!</v>
      </c>
      <c r="CJ80" t="e">
        <f>AND(Bills!T240,"AAAAAEn5f1c=")</f>
        <v>#VALUE!</v>
      </c>
      <c r="CK80" t="e">
        <f>AND(Bills!#REF!,"AAAAAEn5f1g=")</f>
        <v>#REF!</v>
      </c>
      <c r="CL80" t="e">
        <f>AND(Bills!U240,"AAAAAEn5f1k=")</f>
        <v>#VALUE!</v>
      </c>
      <c r="CM80" t="e">
        <f>AND(Bills!V240,"AAAAAEn5f1o=")</f>
        <v>#VALUE!</v>
      </c>
      <c r="CN80" t="e">
        <f>AND(Bills!W240,"AAAAAEn5f1s=")</f>
        <v>#VALUE!</v>
      </c>
      <c r="CO80" t="e">
        <f>AND(Bills!#REF!,"AAAAAEn5f1w=")</f>
        <v>#REF!</v>
      </c>
      <c r="CP80" t="e">
        <f>AND(Bills!#REF!,"AAAAAEn5f10=")</f>
        <v>#REF!</v>
      </c>
      <c r="CQ80" t="e">
        <f>AND(Bills!Y240,"AAAAAEn5f14=")</f>
        <v>#VALUE!</v>
      </c>
      <c r="CR80" t="e">
        <f>AND(Bills!Z240,"AAAAAEn5f18=")</f>
        <v>#VALUE!</v>
      </c>
      <c r="CS80" t="e">
        <f>AND(Bills!#REF!,"AAAAAEn5f2A=")</f>
        <v>#REF!</v>
      </c>
      <c r="CT80" t="e">
        <f>AND(Bills!#REF!,"AAAAAEn5f2E=")</f>
        <v>#REF!</v>
      </c>
      <c r="CU80" t="e">
        <f>AND(Bills!#REF!,"AAAAAEn5f2I=")</f>
        <v>#REF!</v>
      </c>
      <c r="CV80" t="e">
        <f>AND(Bills!#REF!,"AAAAAEn5f2M=")</f>
        <v>#REF!</v>
      </c>
      <c r="CW80" t="e">
        <f>AND(Bills!#REF!,"AAAAAEn5f2Q=")</f>
        <v>#REF!</v>
      </c>
      <c r="CX80" t="e">
        <f>AND(Bills!#REF!,"AAAAAEn5f2U=")</f>
        <v>#REF!</v>
      </c>
      <c r="CY80" t="e">
        <f>AND(Bills!#REF!,"AAAAAEn5f2Y=")</f>
        <v>#REF!</v>
      </c>
      <c r="CZ80" t="e">
        <f>AND(Bills!#REF!,"AAAAAEn5f2c=")</f>
        <v>#REF!</v>
      </c>
      <c r="DA80" t="e">
        <f>AND(Bills!#REF!,"AAAAAEn5f2g=")</f>
        <v>#REF!</v>
      </c>
      <c r="DB80" t="e">
        <f>AND(Bills!AA240,"AAAAAEn5f2k=")</f>
        <v>#VALUE!</v>
      </c>
      <c r="DC80" t="e">
        <f>AND(Bills!AB240,"AAAAAEn5f2o=")</f>
        <v>#VALUE!</v>
      </c>
      <c r="DD80" t="e">
        <f>AND(Bills!#REF!,"AAAAAEn5f2s=")</f>
        <v>#REF!</v>
      </c>
      <c r="DE80" t="e">
        <f>AND(Bills!#REF!,"AAAAAEn5f2w=")</f>
        <v>#REF!</v>
      </c>
      <c r="DF80" t="e">
        <f>AND(Bills!#REF!,"AAAAAEn5f20=")</f>
        <v>#REF!</v>
      </c>
      <c r="DG80" t="e">
        <f>AND(Bills!AC240,"AAAAAEn5f24=")</f>
        <v>#VALUE!</v>
      </c>
      <c r="DH80" t="e">
        <f>AND(Bills!AD240,"AAAAAEn5f28=")</f>
        <v>#VALUE!</v>
      </c>
      <c r="DI80" t="e">
        <f>AND(Bills!AE240,"AAAAAEn5f3A=")</f>
        <v>#VALUE!</v>
      </c>
      <c r="DJ80">
        <f>IF(Bills!241:241,"AAAAAEn5f3E=",0)</f>
        <v>0</v>
      </c>
      <c r="DK80" t="e">
        <f>AND(Bills!B241,"AAAAAEn5f3I=")</f>
        <v>#VALUE!</v>
      </c>
      <c r="DL80" t="e">
        <f>AND(Bills!#REF!,"AAAAAEn5f3M=")</f>
        <v>#REF!</v>
      </c>
      <c r="DM80" t="e">
        <f>AND(Bills!C241,"AAAAAEn5f3Q=")</f>
        <v>#VALUE!</v>
      </c>
      <c r="DN80" t="e">
        <f>AND(Bills!D241,"AAAAAEn5f3U=")</f>
        <v>#VALUE!</v>
      </c>
      <c r="DO80" t="e">
        <f>AND(Bills!E241,"AAAAAEn5f3Y=")</f>
        <v>#VALUE!</v>
      </c>
      <c r="DP80" t="e">
        <f>AND(Bills!#REF!,"AAAAAEn5f3c=")</f>
        <v>#REF!</v>
      </c>
      <c r="DQ80" t="e">
        <f>AND(Bills!#REF!,"AAAAAEn5f3g=")</f>
        <v>#REF!</v>
      </c>
      <c r="DR80" t="e">
        <f>AND(Bills!#REF!,"AAAAAEn5f3k=")</f>
        <v>#REF!</v>
      </c>
      <c r="DS80" t="e">
        <f>AND(Bills!F241,"AAAAAEn5f3o=")</f>
        <v>#VALUE!</v>
      </c>
      <c r="DT80" t="e">
        <f>AND(Bills!#REF!,"AAAAAEn5f3s=")</f>
        <v>#REF!</v>
      </c>
      <c r="DU80" t="e">
        <f>AND(Bills!G241,"AAAAAEn5f3w=")</f>
        <v>#VALUE!</v>
      </c>
      <c r="DV80" t="e">
        <f>AND(Bills!H241,"AAAAAEn5f30=")</f>
        <v>#VALUE!</v>
      </c>
      <c r="DW80" t="e">
        <f>AND(Bills!I241,"AAAAAEn5f34=")</f>
        <v>#VALUE!</v>
      </c>
      <c r="DX80" t="e">
        <f>AND(Bills!J241,"AAAAAEn5f38=")</f>
        <v>#VALUE!</v>
      </c>
      <c r="DY80" t="e">
        <f>AND(Bills!K241,"AAAAAEn5f4A=")</f>
        <v>#VALUE!</v>
      </c>
      <c r="DZ80" t="e">
        <f>AND(Bills!L241,"AAAAAEn5f4E=")</f>
        <v>#VALUE!</v>
      </c>
      <c r="EA80" t="e">
        <f>AND(Bills!#REF!,"AAAAAEn5f4I=")</f>
        <v>#REF!</v>
      </c>
      <c r="EB80" t="e">
        <f>AND(Bills!M241,"AAAAAEn5f4M=")</f>
        <v>#VALUE!</v>
      </c>
      <c r="EC80" t="e">
        <f>AND(Bills!N241,"AAAAAEn5f4Q=")</f>
        <v>#VALUE!</v>
      </c>
      <c r="ED80" t="e">
        <f>AND(Bills!O241,"AAAAAEn5f4U=")</f>
        <v>#VALUE!</v>
      </c>
      <c r="EE80" t="e">
        <f>AND(Bills!P241,"AAAAAEn5f4Y=")</f>
        <v>#VALUE!</v>
      </c>
      <c r="EF80" t="e">
        <f>AND(Bills!Q241,"AAAAAEn5f4c=")</f>
        <v>#VALUE!</v>
      </c>
      <c r="EG80" t="e">
        <f>AND(Bills!R241,"AAAAAEn5f4g=")</f>
        <v>#VALUE!</v>
      </c>
      <c r="EH80" t="e">
        <f>AND(Bills!S241,"AAAAAEn5f4k=")</f>
        <v>#VALUE!</v>
      </c>
      <c r="EI80" t="e">
        <f>AND(Bills!T241,"AAAAAEn5f4o=")</f>
        <v>#VALUE!</v>
      </c>
      <c r="EJ80" t="e">
        <f>AND(Bills!#REF!,"AAAAAEn5f4s=")</f>
        <v>#REF!</v>
      </c>
      <c r="EK80" t="e">
        <f>AND(Bills!U241,"AAAAAEn5f4w=")</f>
        <v>#VALUE!</v>
      </c>
      <c r="EL80" t="e">
        <f>AND(Bills!V241,"AAAAAEn5f40=")</f>
        <v>#VALUE!</v>
      </c>
      <c r="EM80" t="e">
        <f>AND(Bills!W241,"AAAAAEn5f44=")</f>
        <v>#VALUE!</v>
      </c>
      <c r="EN80" t="e">
        <f>AND(Bills!#REF!,"AAAAAEn5f48=")</f>
        <v>#REF!</v>
      </c>
      <c r="EO80" t="e">
        <f>AND(Bills!#REF!,"AAAAAEn5f5A=")</f>
        <v>#REF!</v>
      </c>
      <c r="EP80" t="e">
        <f>AND(Bills!Y241,"AAAAAEn5f5E=")</f>
        <v>#VALUE!</v>
      </c>
      <c r="EQ80" t="e">
        <f>AND(Bills!Z241,"AAAAAEn5f5I=")</f>
        <v>#VALUE!</v>
      </c>
      <c r="ER80" t="e">
        <f>AND(Bills!#REF!,"AAAAAEn5f5M=")</f>
        <v>#REF!</v>
      </c>
      <c r="ES80" t="e">
        <f>AND(Bills!#REF!,"AAAAAEn5f5Q=")</f>
        <v>#REF!</v>
      </c>
      <c r="ET80" t="e">
        <f>AND(Bills!#REF!,"AAAAAEn5f5U=")</f>
        <v>#REF!</v>
      </c>
      <c r="EU80" t="e">
        <f>AND(Bills!#REF!,"AAAAAEn5f5Y=")</f>
        <v>#REF!</v>
      </c>
      <c r="EV80" t="e">
        <f>AND(Bills!#REF!,"AAAAAEn5f5c=")</f>
        <v>#REF!</v>
      </c>
      <c r="EW80" t="e">
        <f>AND(Bills!#REF!,"AAAAAEn5f5g=")</f>
        <v>#REF!</v>
      </c>
      <c r="EX80" t="e">
        <f>AND(Bills!#REF!,"AAAAAEn5f5k=")</f>
        <v>#REF!</v>
      </c>
      <c r="EY80" t="e">
        <f>AND(Bills!#REF!,"AAAAAEn5f5o=")</f>
        <v>#REF!</v>
      </c>
      <c r="EZ80" t="e">
        <f>AND(Bills!#REF!,"AAAAAEn5f5s=")</f>
        <v>#REF!</v>
      </c>
      <c r="FA80" t="e">
        <f>AND(Bills!AA241,"AAAAAEn5f5w=")</f>
        <v>#VALUE!</v>
      </c>
      <c r="FB80" t="e">
        <f>AND(Bills!AB241,"AAAAAEn5f50=")</f>
        <v>#VALUE!</v>
      </c>
      <c r="FC80" t="e">
        <f>AND(Bills!#REF!,"AAAAAEn5f54=")</f>
        <v>#REF!</v>
      </c>
      <c r="FD80" t="e">
        <f>AND(Bills!#REF!,"AAAAAEn5f58=")</f>
        <v>#REF!</v>
      </c>
      <c r="FE80" t="e">
        <f>AND(Bills!#REF!,"AAAAAEn5f6A=")</f>
        <v>#REF!</v>
      </c>
      <c r="FF80" t="e">
        <f>AND(Bills!AC241,"AAAAAEn5f6E=")</f>
        <v>#VALUE!</v>
      </c>
      <c r="FG80" t="e">
        <f>AND(Bills!AD241,"AAAAAEn5f6I=")</f>
        <v>#VALUE!</v>
      </c>
      <c r="FH80" t="e">
        <f>AND(Bills!AE241,"AAAAAEn5f6M=")</f>
        <v>#VALUE!</v>
      </c>
      <c r="FI80">
        <f>IF(Bills!242:242,"AAAAAEn5f6Q=",0)</f>
        <v>0</v>
      </c>
      <c r="FJ80" t="e">
        <f>AND(Bills!B242,"AAAAAEn5f6U=")</f>
        <v>#VALUE!</v>
      </c>
      <c r="FK80" t="e">
        <f>AND(Bills!#REF!,"AAAAAEn5f6Y=")</f>
        <v>#REF!</v>
      </c>
      <c r="FL80" t="e">
        <f>AND(Bills!C242,"AAAAAEn5f6c=")</f>
        <v>#VALUE!</v>
      </c>
      <c r="FM80" t="e">
        <f>AND(Bills!D242,"AAAAAEn5f6g=")</f>
        <v>#VALUE!</v>
      </c>
      <c r="FN80" t="e">
        <f>AND(Bills!E242,"AAAAAEn5f6k=")</f>
        <v>#VALUE!</v>
      </c>
      <c r="FO80" t="e">
        <f>AND(Bills!#REF!,"AAAAAEn5f6o=")</f>
        <v>#REF!</v>
      </c>
      <c r="FP80" t="e">
        <f>AND(Bills!#REF!,"AAAAAEn5f6s=")</f>
        <v>#REF!</v>
      </c>
      <c r="FQ80" t="e">
        <f>AND(Bills!#REF!,"AAAAAEn5f6w=")</f>
        <v>#REF!</v>
      </c>
      <c r="FR80" t="e">
        <f>AND(Bills!F242,"AAAAAEn5f60=")</f>
        <v>#VALUE!</v>
      </c>
      <c r="FS80" t="e">
        <f>AND(Bills!#REF!,"AAAAAEn5f64=")</f>
        <v>#REF!</v>
      </c>
      <c r="FT80" t="e">
        <f>AND(Bills!G242,"AAAAAEn5f68=")</f>
        <v>#VALUE!</v>
      </c>
      <c r="FU80" t="e">
        <f>AND(Bills!H242,"AAAAAEn5f7A=")</f>
        <v>#VALUE!</v>
      </c>
      <c r="FV80" t="e">
        <f>AND(Bills!I242,"AAAAAEn5f7E=")</f>
        <v>#VALUE!</v>
      </c>
      <c r="FW80" t="e">
        <f>AND(Bills!J242,"AAAAAEn5f7I=")</f>
        <v>#VALUE!</v>
      </c>
      <c r="FX80" t="e">
        <f>AND(Bills!K242,"AAAAAEn5f7M=")</f>
        <v>#VALUE!</v>
      </c>
      <c r="FY80" t="e">
        <f>AND(Bills!L242,"AAAAAEn5f7Q=")</f>
        <v>#VALUE!</v>
      </c>
      <c r="FZ80" t="e">
        <f>AND(Bills!#REF!,"AAAAAEn5f7U=")</f>
        <v>#REF!</v>
      </c>
      <c r="GA80" t="e">
        <f>AND(Bills!M242,"AAAAAEn5f7Y=")</f>
        <v>#VALUE!</v>
      </c>
      <c r="GB80" t="e">
        <f>AND(Bills!N242,"AAAAAEn5f7c=")</f>
        <v>#VALUE!</v>
      </c>
      <c r="GC80" t="e">
        <f>AND(Bills!O242,"AAAAAEn5f7g=")</f>
        <v>#VALUE!</v>
      </c>
      <c r="GD80" t="e">
        <f>AND(Bills!P242,"AAAAAEn5f7k=")</f>
        <v>#VALUE!</v>
      </c>
      <c r="GE80" t="e">
        <f>AND(Bills!Q242,"AAAAAEn5f7o=")</f>
        <v>#VALUE!</v>
      </c>
      <c r="GF80" t="e">
        <f>AND(Bills!R242,"AAAAAEn5f7s=")</f>
        <v>#VALUE!</v>
      </c>
      <c r="GG80" t="e">
        <f>AND(Bills!S242,"AAAAAEn5f7w=")</f>
        <v>#VALUE!</v>
      </c>
      <c r="GH80" t="e">
        <f>AND(Bills!T242,"AAAAAEn5f70=")</f>
        <v>#VALUE!</v>
      </c>
      <c r="GI80" t="e">
        <f>AND(Bills!#REF!,"AAAAAEn5f74=")</f>
        <v>#REF!</v>
      </c>
      <c r="GJ80" t="e">
        <f>AND(Bills!U242,"AAAAAEn5f78=")</f>
        <v>#VALUE!</v>
      </c>
      <c r="GK80" t="e">
        <f>AND(Bills!V242,"AAAAAEn5f8A=")</f>
        <v>#VALUE!</v>
      </c>
      <c r="GL80" t="e">
        <f>AND(Bills!W242,"AAAAAEn5f8E=")</f>
        <v>#VALUE!</v>
      </c>
      <c r="GM80" t="e">
        <f>AND(Bills!#REF!,"AAAAAEn5f8I=")</f>
        <v>#REF!</v>
      </c>
      <c r="GN80" t="e">
        <f>AND(Bills!#REF!,"AAAAAEn5f8M=")</f>
        <v>#REF!</v>
      </c>
      <c r="GO80" t="e">
        <f>AND(Bills!Y242,"AAAAAEn5f8Q=")</f>
        <v>#VALUE!</v>
      </c>
      <c r="GP80" t="e">
        <f>AND(Bills!Z242,"AAAAAEn5f8U=")</f>
        <v>#VALUE!</v>
      </c>
      <c r="GQ80" t="e">
        <f>AND(Bills!#REF!,"AAAAAEn5f8Y=")</f>
        <v>#REF!</v>
      </c>
      <c r="GR80" t="e">
        <f>AND(Bills!#REF!,"AAAAAEn5f8c=")</f>
        <v>#REF!</v>
      </c>
      <c r="GS80" t="e">
        <f>AND(Bills!#REF!,"AAAAAEn5f8g=")</f>
        <v>#REF!</v>
      </c>
      <c r="GT80" t="e">
        <f>AND(Bills!#REF!,"AAAAAEn5f8k=")</f>
        <v>#REF!</v>
      </c>
      <c r="GU80" t="e">
        <f>AND(Bills!#REF!,"AAAAAEn5f8o=")</f>
        <v>#REF!</v>
      </c>
      <c r="GV80" t="e">
        <f>AND(Bills!#REF!,"AAAAAEn5f8s=")</f>
        <v>#REF!</v>
      </c>
      <c r="GW80" t="e">
        <f>AND(Bills!#REF!,"AAAAAEn5f8w=")</f>
        <v>#REF!</v>
      </c>
      <c r="GX80" t="e">
        <f>AND(Bills!#REF!,"AAAAAEn5f80=")</f>
        <v>#REF!</v>
      </c>
      <c r="GY80" t="e">
        <f>AND(Bills!#REF!,"AAAAAEn5f84=")</f>
        <v>#REF!</v>
      </c>
      <c r="GZ80" t="e">
        <f>AND(Bills!AA242,"AAAAAEn5f88=")</f>
        <v>#VALUE!</v>
      </c>
      <c r="HA80" t="e">
        <f>AND(Bills!AB242,"AAAAAEn5f9A=")</f>
        <v>#VALUE!</v>
      </c>
      <c r="HB80" t="e">
        <f>AND(Bills!#REF!,"AAAAAEn5f9E=")</f>
        <v>#REF!</v>
      </c>
      <c r="HC80" t="e">
        <f>AND(Bills!#REF!,"AAAAAEn5f9I=")</f>
        <v>#REF!</v>
      </c>
      <c r="HD80" t="e">
        <f>AND(Bills!#REF!,"AAAAAEn5f9M=")</f>
        <v>#REF!</v>
      </c>
      <c r="HE80" t="e">
        <f>AND(Bills!AC242,"AAAAAEn5f9Q=")</f>
        <v>#VALUE!</v>
      </c>
      <c r="HF80" t="e">
        <f>AND(Bills!AD242,"AAAAAEn5f9U=")</f>
        <v>#VALUE!</v>
      </c>
      <c r="HG80" t="e">
        <f>AND(Bills!AE242,"AAAAAEn5f9Y=")</f>
        <v>#VALUE!</v>
      </c>
      <c r="HH80">
        <f>IF(Bills!243:243,"AAAAAEn5f9c=",0)</f>
        <v>0</v>
      </c>
      <c r="HI80" t="e">
        <f>AND(Bills!B243,"AAAAAEn5f9g=")</f>
        <v>#VALUE!</v>
      </c>
      <c r="HJ80" t="e">
        <f>AND(Bills!#REF!,"AAAAAEn5f9k=")</f>
        <v>#REF!</v>
      </c>
      <c r="HK80" t="e">
        <f>AND(Bills!C243,"AAAAAEn5f9o=")</f>
        <v>#VALUE!</v>
      </c>
      <c r="HL80" t="e">
        <f>AND(Bills!D243,"AAAAAEn5f9s=")</f>
        <v>#VALUE!</v>
      </c>
      <c r="HM80" t="e">
        <f>AND(Bills!E243,"AAAAAEn5f9w=")</f>
        <v>#VALUE!</v>
      </c>
      <c r="HN80" t="e">
        <f>AND(Bills!#REF!,"AAAAAEn5f90=")</f>
        <v>#REF!</v>
      </c>
      <c r="HO80" t="e">
        <f>AND(Bills!#REF!,"AAAAAEn5f94=")</f>
        <v>#REF!</v>
      </c>
      <c r="HP80" t="e">
        <f>AND(Bills!#REF!,"AAAAAEn5f98=")</f>
        <v>#REF!</v>
      </c>
      <c r="HQ80" t="e">
        <f>AND(Bills!F243,"AAAAAEn5f+A=")</f>
        <v>#VALUE!</v>
      </c>
      <c r="HR80" t="e">
        <f>AND(Bills!#REF!,"AAAAAEn5f+E=")</f>
        <v>#REF!</v>
      </c>
      <c r="HS80" t="e">
        <f>AND(Bills!G243,"AAAAAEn5f+I=")</f>
        <v>#VALUE!</v>
      </c>
      <c r="HT80" t="e">
        <f>AND(Bills!H243,"AAAAAEn5f+M=")</f>
        <v>#VALUE!</v>
      </c>
      <c r="HU80" t="e">
        <f>AND(Bills!I243,"AAAAAEn5f+Q=")</f>
        <v>#VALUE!</v>
      </c>
      <c r="HV80" t="e">
        <f>AND(Bills!J243,"AAAAAEn5f+U=")</f>
        <v>#VALUE!</v>
      </c>
      <c r="HW80" t="e">
        <f>AND(Bills!K243,"AAAAAEn5f+Y=")</f>
        <v>#VALUE!</v>
      </c>
      <c r="HX80" t="e">
        <f>AND(Bills!L243,"AAAAAEn5f+c=")</f>
        <v>#VALUE!</v>
      </c>
      <c r="HY80" t="e">
        <f>AND(Bills!#REF!,"AAAAAEn5f+g=")</f>
        <v>#REF!</v>
      </c>
      <c r="HZ80" t="e">
        <f>AND(Bills!M243,"AAAAAEn5f+k=")</f>
        <v>#VALUE!</v>
      </c>
      <c r="IA80" t="e">
        <f>AND(Bills!N243,"AAAAAEn5f+o=")</f>
        <v>#VALUE!</v>
      </c>
      <c r="IB80" t="e">
        <f>AND(Bills!O243,"AAAAAEn5f+s=")</f>
        <v>#VALUE!</v>
      </c>
      <c r="IC80" t="e">
        <f>AND(Bills!P243,"AAAAAEn5f+w=")</f>
        <v>#VALUE!</v>
      </c>
      <c r="ID80" t="e">
        <f>AND(Bills!Q243,"AAAAAEn5f+0=")</f>
        <v>#VALUE!</v>
      </c>
      <c r="IE80" t="e">
        <f>AND(Bills!R243,"AAAAAEn5f+4=")</f>
        <v>#VALUE!</v>
      </c>
      <c r="IF80" t="e">
        <f>AND(Bills!S243,"AAAAAEn5f+8=")</f>
        <v>#VALUE!</v>
      </c>
      <c r="IG80" t="e">
        <f>AND(Bills!T243,"AAAAAEn5f/A=")</f>
        <v>#VALUE!</v>
      </c>
      <c r="IH80" t="e">
        <f>AND(Bills!#REF!,"AAAAAEn5f/E=")</f>
        <v>#REF!</v>
      </c>
      <c r="II80" t="e">
        <f>AND(Bills!U243,"AAAAAEn5f/I=")</f>
        <v>#VALUE!</v>
      </c>
      <c r="IJ80" t="e">
        <f>AND(Bills!V243,"AAAAAEn5f/M=")</f>
        <v>#VALUE!</v>
      </c>
      <c r="IK80" t="e">
        <f>AND(Bills!W243,"AAAAAEn5f/Q=")</f>
        <v>#VALUE!</v>
      </c>
      <c r="IL80" t="e">
        <f>AND(Bills!#REF!,"AAAAAEn5f/U=")</f>
        <v>#REF!</v>
      </c>
      <c r="IM80" t="e">
        <f>AND(Bills!#REF!,"AAAAAEn5f/Y=")</f>
        <v>#REF!</v>
      </c>
      <c r="IN80" t="e">
        <f>AND(Bills!Y243,"AAAAAEn5f/c=")</f>
        <v>#VALUE!</v>
      </c>
      <c r="IO80" t="e">
        <f>AND(Bills!Z243,"AAAAAEn5f/g=")</f>
        <v>#VALUE!</v>
      </c>
      <c r="IP80" t="e">
        <f>AND(Bills!#REF!,"AAAAAEn5f/k=")</f>
        <v>#REF!</v>
      </c>
      <c r="IQ80" t="e">
        <f>AND(Bills!#REF!,"AAAAAEn5f/o=")</f>
        <v>#REF!</v>
      </c>
      <c r="IR80" t="e">
        <f>AND(Bills!#REF!,"AAAAAEn5f/s=")</f>
        <v>#REF!</v>
      </c>
      <c r="IS80" t="e">
        <f>AND(Bills!#REF!,"AAAAAEn5f/w=")</f>
        <v>#REF!</v>
      </c>
      <c r="IT80" t="e">
        <f>AND(Bills!#REF!,"AAAAAEn5f/0=")</f>
        <v>#REF!</v>
      </c>
      <c r="IU80" t="e">
        <f>AND(Bills!#REF!,"AAAAAEn5f/4=")</f>
        <v>#REF!</v>
      </c>
      <c r="IV80" t="e">
        <f>AND(Bills!#REF!,"AAAAAEn5f/8=")</f>
        <v>#REF!</v>
      </c>
    </row>
    <row r="81" spans="1:256" x14ac:dyDescent="0.25">
      <c r="A81" t="e">
        <f>AND(Bills!#REF!,"AAAAAH3uzAA=")</f>
        <v>#REF!</v>
      </c>
      <c r="B81" t="e">
        <f>AND(Bills!#REF!,"AAAAAH3uzAE=")</f>
        <v>#REF!</v>
      </c>
      <c r="C81" t="e">
        <f>AND(Bills!AA243,"AAAAAH3uzAI=")</f>
        <v>#VALUE!</v>
      </c>
      <c r="D81" t="e">
        <f>AND(Bills!AB243,"AAAAAH3uzAM=")</f>
        <v>#VALUE!</v>
      </c>
      <c r="E81" t="e">
        <f>AND(Bills!#REF!,"AAAAAH3uzAQ=")</f>
        <v>#REF!</v>
      </c>
      <c r="F81" t="e">
        <f>AND(Bills!#REF!,"AAAAAH3uzAU=")</f>
        <v>#REF!</v>
      </c>
      <c r="G81" t="e">
        <f>AND(Bills!#REF!,"AAAAAH3uzAY=")</f>
        <v>#REF!</v>
      </c>
      <c r="H81" t="e">
        <f>AND(Bills!AC243,"AAAAAH3uzAc=")</f>
        <v>#VALUE!</v>
      </c>
      <c r="I81" t="e">
        <f>AND(Bills!AD243,"AAAAAH3uzAg=")</f>
        <v>#VALUE!</v>
      </c>
      <c r="J81" t="e">
        <f>AND(Bills!AE243,"AAAAAH3uzAk=")</f>
        <v>#VALUE!</v>
      </c>
      <c r="K81">
        <f>IF(Bills!244:244,"AAAAAH3uzAo=",0)</f>
        <v>0</v>
      </c>
      <c r="L81" t="e">
        <f>AND(Bills!B244,"AAAAAH3uzAs=")</f>
        <v>#VALUE!</v>
      </c>
      <c r="M81" t="e">
        <f>AND(Bills!#REF!,"AAAAAH3uzAw=")</f>
        <v>#REF!</v>
      </c>
      <c r="N81" t="e">
        <f>AND(Bills!C244,"AAAAAH3uzA0=")</f>
        <v>#VALUE!</v>
      </c>
      <c r="O81" t="e">
        <f>AND(Bills!D244,"AAAAAH3uzA4=")</f>
        <v>#VALUE!</v>
      </c>
      <c r="P81" t="e">
        <f>AND(Bills!E244,"AAAAAH3uzA8=")</f>
        <v>#VALUE!</v>
      </c>
      <c r="Q81" t="e">
        <f>AND(Bills!#REF!,"AAAAAH3uzBA=")</f>
        <v>#REF!</v>
      </c>
      <c r="R81" t="e">
        <f>AND(Bills!#REF!,"AAAAAH3uzBE=")</f>
        <v>#REF!</v>
      </c>
      <c r="S81" t="e">
        <f>AND(Bills!#REF!,"AAAAAH3uzBI=")</f>
        <v>#REF!</v>
      </c>
      <c r="T81" t="e">
        <f>AND(Bills!F244,"AAAAAH3uzBM=")</f>
        <v>#VALUE!</v>
      </c>
      <c r="U81" t="e">
        <f>AND(Bills!#REF!,"AAAAAH3uzBQ=")</f>
        <v>#REF!</v>
      </c>
      <c r="V81" t="e">
        <f>AND(Bills!G244,"AAAAAH3uzBU=")</f>
        <v>#VALUE!</v>
      </c>
      <c r="W81" t="e">
        <f>AND(Bills!H244,"AAAAAH3uzBY=")</f>
        <v>#VALUE!</v>
      </c>
      <c r="X81" t="e">
        <f>AND(Bills!I244,"AAAAAH3uzBc=")</f>
        <v>#VALUE!</v>
      </c>
      <c r="Y81" t="e">
        <f>AND(Bills!J244,"AAAAAH3uzBg=")</f>
        <v>#VALUE!</v>
      </c>
      <c r="Z81" t="e">
        <f>AND(Bills!K244,"AAAAAH3uzBk=")</f>
        <v>#VALUE!</v>
      </c>
      <c r="AA81" t="e">
        <f>AND(Bills!L244,"AAAAAH3uzBo=")</f>
        <v>#VALUE!</v>
      </c>
      <c r="AB81" t="e">
        <f>AND(Bills!#REF!,"AAAAAH3uzBs=")</f>
        <v>#REF!</v>
      </c>
      <c r="AC81" t="e">
        <f>AND(Bills!M244,"AAAAAH3uzBw=")</f>
        <v>#VALUE!</v>
      </c>
      <c r="AD81" t="e">
        <f>AND(Bills!N244,"AAAAAH3uzB0=")</f>
        <v>#VALUE!</v>
      </c>
      <c r="AE81" t="e">
        <f>AND(Bills!O244,"AAAAAH3uzB4=")</f>
        <v>#VALUE!</v>
      </c>
      <c r="AF81" t="e">
        <f>AND(Bills!P244,"AAAAAH3uzB8=")</f>
        <v>#VALUE!</v>
      </c>
      <c r="AG81" t="e">
        <f>AND(Bills!Q244,"AAAAAH3uzCA=")</f>
        <v>#VALUE!</v>
      </c>
      <c r="AH81" t="e">
        <f>AND(Bills!R244,"AAAAAH3uzCE=")</f>
        <v>#VALUE!</v>
      </c>
      <c r="AI81" t="e">
        <f>AND(Bills!S244,"AAAAAH3uzCI=")</f>
        <v>#VALUE!</v>
      </c>
      <c r="AJ81" t="e">
        <f>AND(Bills!T244,"AAAAAH3uzCM=")</f>
        <v>#VALUE!</v>
      </c>
      <c r="AK81" t="e">
        <f>AND(Bills!#REF!,"AAAAAH3uzCQ=")</f>
        <v>#REF!</v>
      </c>
      <c r="AL81" t="e">
        <f>AND(Bills!U244,"AAAAAH3uzCU=")</f>
        <v>#VALUE!</v>
      </c>
      <c r="AM81" t="e">
        <f>AND(Bills!V244,"AAAAAH3uzCY=")</f>
        <v>#VALUE!</v>
      </c>
      <c r="AN81" t="e">
        <f>AND(Bills!W244,"AAAAAH3uzCc=")</f>
        <v>#VALUE!</v>
      </c>
      <c r="AO81" t="e">
        <f>AND(Bills!#REF!,"AAAAAH3uzCg=")</f>
        <v>#REF!</v>
      </c>
      <c r="AP81" t="e">
        <f>AND(Bills!#REF!,"AAAAAH3uzCk=")</f>
        <v>#REF!</v>
      </c>
      <c r="AQ81" t="e">
        <f>AND(Bills!Y244,"AAAAAH3uzCo=")</f>
        <v>#VALUE!</v>
      </c>
      <c r="AR81" t="e">
        <f>AND(Bills!Z244,"AAAAAH3uzCs=")</f>
        <v>#VALUE!</v>
      </c>
      <c r="AS81" t="e">
        <f>AND(Bills!#REF!,"AAAAAH3uzCw=")</f>
        <v>#REF!</v>
      </c>
      <c r="AT81" t="e">
        <f>AND(Bills!#REF!,"AAAAAH3uzC0=")</f>
        <v>#REF!</v>
      </c>
      <c r="AU81" t="e">
        <f>AND(Bills!#REF!,"AAAAAH3uzC4=")</f>
        <v>#REF!</v>
      </c>
      <c r="AV81" t="e">
        <f>AND(Bills!#REF!,"AAAAAH3uzC8=")</f>
        <v>#REF!</v>
      </c>
      <c r="AW81" t="e">
        <f>AND(Bills!#REF!,"AAAAAH3uzDA=")</f>
        <v>#REF!</v>
      </c>
      <c r="AX81" t="e">
        <f>AND(Bills!#REF!,"AAAAAH3uzDE=")</f>
        <v>#REF!</v>
      </c>
      <c r="AY81" t="e">
        <f>AND(Bills!#REF!,"AAAAAH3uzDI=")</f>
        <v>#REF!</v>
      </c>
      <c r="AZ81" t="e">
        <f>AND(Bills!#REF!,"AAAAAH3uzDM=")</f>
        <v>#REF!</v>
      </c>
      <c r="BA81" t="e">
        <f>AND(Bills!#REF!,"AAAAAH3uzDQ=")</f>
        <v>#REF!</v>
      </c>
      <c r="BB81" t="e">
        <f>AND(Bills!AA244,"AAAAAH3uzDU=")</f>
        <v>#VALUE!</v>
      </c>
      <c r="BC81" t="e">
        <f>AND(Bills!AB244,"AAAAAH3uzDY=")</f>
        <v>#VALUE!</v>
      </c>
      <c r="BD81" t="e">
        <f>AND(Bills!#REF!,"AAAAAH3uzDc=")</f>
        <v>#REF!</v>
      </c>
      <c r="BE81" t="e">
        <f>AND(Bills!#REF!,"AAAAAH3uzDg=")</f>
        <v>#REF!</v>
      </c>
      <c r="BF81" t="e">
        <f>AND(Bills!#REF!,"AAAAAH3uzDk=")</f>
        <v>#REF!</v>
      </c>
      <c r="BG81" t="e">
        <f>AND(Bills!AC244,"AAAAAH3uzDo=")</f>
        <v>#VALUE!</v>
      </c>
      <c r="BH81" t="e">
        <f>AND(Bills!AD244,"AAAAAH3uzDs=")</f>
        <v>#VALUE!</v>
      </c>
      <c r="BI81" t="e">
        <f>AND(Bills!AE244,"AAAAAH3uzDw=")</f>
        <v>#VALUE!</v>
      </c>
      <c r="BJ81">
        <f>IF(Bills!245:245,"AAAAAH3uzD0=",0)</f>
        <v>0</v>
      </c>
      <c r="BK81" t="e">
        <f>AND(Bills!B245,"AAAAAH3uzD4=")</f>
        <v>#VALUE!</v>
      </c>
      <c r="BL81" t="e">
        <f>AND(Bills!#REF!,"AAAAAH3uzD8=")</f>
        <v>#REF!</v>
      </c>
      <c r="BM81" t="e">
        <f>AND(Bills!C245,"AAAAAH3uzEA=")</f>
        <v>#VALUE!</v>
      </c>
      <c r="BN81" t="e">
        <f>AND(Bills!D245,"AAAAAH3uzEE=")</f>
        <v>#VALUE!</v>
      </c>
      <c r="BO81" t="e">
        <f>AND(Bills!E245,"AAAAAH3uzEI=")</f>
        <v>#VALUE!</v>
      </c>
      <c r="BP81" t="e">
        <f>AND(Bills!#REF!,"AAAAAH3uzEM=")</f>
        <v>#REF!</v>
      </c>
      <c r="BQ81" t="e">
        <f>AND(Bills!#REF!,"AAAAAH3uzEQ=")</f>
        <v>#REF!</v>
      </c>
      <c r="BR81" t="e">
        <f>AND(Bills!#REF!,"AAAAAH3uzEU=")</f>
        <v>#REF!</v>
      </c>
      <c r="BS81" t="e">
        <f>AND(Bills!F245,"AAAAAH3uzEY=")</f>
        <v>#VALUE!</v>
      </c>
      <c r="BT81" t="e">
        <f>AND(Bills!#REF!,"AAAAAH3uzEc=")</f>
        <v>#REF!</v>
      </c>
      <c r="BU81" t="e">
        <f>AND(Bills!G245,"AAAAAH3uzEg=")</f>
        <v>#VALUE!</v>
      </c>
      <c r="BV81" t="e">
        <f>AND(Bills!H245,"AAAAAH3uzEk=")</f>
        <v>#VALUE!</v>
      </c>
      <c r="BW81" t="e">
        <f>AND(Bills!I245,"AAAAAH3uzEo=")</f>
        <v>#VALUE!</v>
      </c>
      <c r="BX81" t="e">
        <f>AND(Bills!J245,"AAAAAH3uzEs=")</f>
        <v>#VALUE!</v>
      </c>
      <c r="BY81" t="e">
        <f>AND(Bills!K245,"AAAAAH3uzEw=")</f>
        <v>#VALUE!</v>
      </c>
      <c r="BZ81" t="e">
        <f>AND(Bills!L245,"AAAAAH3uzE0=")</f>
        <v>#VALUE!</v>
      </c>
      <c r="CA81" t="e">
        <f>AND(Bills!#REF!,"AAAAAH3uzE4=")</f>
        <v>#REF!</v>
      </c>
      <c r="CB81" t="e">
        <f>AND(Bills!M245,"AAAAAH3uzE8=")</f>
        <v>#VALUE!</v>
      </c>
      <c r="CC81" t="e">
        <f>AND(Bills!N245,"AAAAAH3uzFA=")</f>
        <v>#VALUE!</v>
      </c>
      <c r="CD81" t="e">
        <f>AND(Bills!O245,"AAAAAH3uzFE=")</f>
        <v>#VALUE!</v>
      </c>
      <c r="CE81" t="e">
        <f>AND(Bills!P245,"AAAAAH3uzFI=")</f>
        <v>#VALUE!</v>
      </c>
      <c r="CF81" t="e">
        <f>AND(Bills!Q245,"AAAAAH3uzFM=")</f>
        <v>#VALUE!</v>
      </c>
      <c r="CG81" t="e">
        <f>AND(Bills!R245,"AAAAAH3uzFQ=")</f>
        <v>#VALUE!</v>
      </c>
      <c r="CH81" t="e">
        <f>AND(Bills!S245,"AAAAAH3uzFU=")</f>
        <v>#VALUE!</v>
      </c>
      <c r="CI81" t="e">
        <f>AND(Bills!T245,"AAAAAH3uzFY=")</f>
        <v>#VALUE!</v>
      </c>
      <c r="CJ81" t="e">
        <f>AND(Bills!#REF!,"AAAAAH3uzFc=")</f>
        <v>#REF!</v>
      </c>
      <c r="CK81" t="e">
        <f>AND(Bills!U245,"AAAAAH3uzFg=")</f>
        <v>#VALUE!</v>
      </c>
      <c r="CL81" t="e">
        <f>AND(Bills!V245,"AAAAAH3uzFk=")</f>
        <v>#VALUE!</v>
      </c>
      <c r="CM81" t="e">
        <f>AND(Bills!W245,"AAAAAH3uzFo=")</f>
        <v>#VALUE!</v>
      </c>
      <c r="CN81" t="e">
        <f>AND(Bills!#REF!,"AAAAAH3uzFs=")</f>
        <v>#REF!</v>
      </c>
      <c r="CO81" t="e">
        <f>AND(Bills!#REF!,"AAAAAH3uzFw=")</f>
        <v>#REF!</v>
      </c>
      <c r="CP81" t="e">
        <f>AND(Bills!Y245,"AAAAAH3uzF0=")</f>
        <v>#VALUE!</v>
      </c>
      <c r="CQ81" t="e">
        <f>AND(Bills!Z245,"AAAAAH3uzF4=")</f>
        <v>#VALUE!</v>
      </c>
      <c r="CR81" t="e">
        <f>AND(Bills!#REF!,"AAAAAH3uzF8=")</f>
        <v>#REF!</v>
      </c>
      <c r="CS81" t="e">
        <f>AND(Bills!#REF!,"AAAAAH3uzGA=")</f>
        <v>#REF!</v>
      </c>
      <c r="CT81" t="e">
        <f>AND(Bills!#REF!,"AAAAAH3uzGE=")</f>
        <v>#REF!</v>
      </c>
      <c r="CU81" t="e">
        <f>AND(Bills!#REF!,"AAAAAH3uzGI=")</f>
        <v>#REF!</v>
      </c>
      <c r="CV81" t="e">
        <f>AND(Bills!#REF!,"AAAAAH3uzGM=")</f>
        <v>#REF!</v>
      </c>
      <c r="CW81" t="e">
        <f>AND(Bills!#REF!,"AAAAAH3uzGQ=")</f>
        <v>#REF!</v>
      </c>
      <c r="CX81" t="e">
        <f>AND(Bills!#REF!,"AAAAAH3uzGU=")</f>
        <v>#REF!</v>
      </c>
      <c r="CY81" t="e">
        <f>AND(Bills!#REF!,"AAAAAH3uzGY=")</f>
        <v>#REF!</v>
      </c>
      <c r="CZ81" t="e">
        <f>AND(Bills!#REF!,"AAAAAH3uzGc=")</f>
        <v>#REF!</v>
      </c>
      <c r="DA81" t="e">
        <f>AND(Bills!AA245,"AAAAAH3uzGg=")</f>
        <v>#VALUE!</v>
      </c>
      <c r="DB81" t="e">
        <f>AND(Bills!AB245,"AAAAAH3uzGk=")</f>
        <v>#VALUE!</v>
      </c>
      <c r="DC81" t="e">
        <f>AND(Bills!#REF!,"AAAAAH3uzGo=")</f>
        <v>#REF!</v>
      </c>
      <c r="DD81" t="e">
        <f>AND(Bills!#REF!,"AAAAAH3uzGs=")</f>
        <v>#REF!</v>
      </c>
      <c r="DE81" t="e">
        <f>AND(Bills!#REF!,"AAAAAH3uzGw=")</f>
        <v>#REF!</v>
      </c>
      <c r="DF81" t="e">
        <f>AND(Bills!AC245,"AAAAAH3uzG0=")</f>
        <v>#VALUE!</v>
      </c>
      <c r="DG81" t="e">
        <f>AND(Bills!AD245,"AAAAAH3uzG4=")</f>
        <v>#VALUE!</v>
      </c>
      <c r="DH81" t="e">
        <f>AND(Bills!AE245,"AAAAAH3uzG8=")</f>
        <v>#VALUE!</v>
      </c>
      <c r="DI81">
        <f>IF(Bills!246:246,"AAAAAH3uzHA=",0)</f>
        <v>0</v>
      </c>
      <c r="DJ81" t="e">
        <f>AND(Bills!B246,"AAAAAH3uzHE=")</f>
        <v>#VALUE!</v>
      </c>
      <c r="DK81" t="e">
        <f>AND(Bills!#REF!,"AAAAAH3uzHI=")</f>
        <v>#REF!</v>
      </c>
      <c r="DL81" t="e">
        <f>AND(Bills!C246,"AAAAAH3uzHM=")</f>
        <v>#VALUE!</v>
      </c>
      <c r="DM81" t="e">
        <f>AND(Bills!D246,"AAAAAH3uzHQ=")</f>
        <v>#VALUE!</v>
      </c>
      <c r="DN81" t="e">
        <f>AND(Bills!E246,"AAAAAH3uzHU=")</f>
        <v>#VALUE!</v>
      </c>
      <c r="DO81" t="e">
        <f>AND(Bills!#REF!,"AAAAAH3uzHY=")</f>
        <v>#REF!</v>
      </c>
      <c r="DP81" t="e">
        <f>AND(Bills!#REF!,"AAAAAH3uzHc=")</f>
        <v>#REF!</v>
      </c>
      <c r="DQ81" t="e">
        <f>AND(Bills!#REF!,"AAAAAH3uzHg=")</f>
        <v>#REF!</v>
      </c>
      <c r="DR81" t="e">
        <f>AND(Bills!F246,"AAAAAH3uzHk=")</f>
        <v>#VALUE!</v>
      </c>
      <c r="DS81" t="e">
        <f>AND(Bills!#REF!,"AAAAAH3uzHo=")</f>
        <v>#REF!</v>
      </c>
      <c r="DT81" t="e">
        <f>AND(Bills!G246,"AAAAAH3uzHs=")</f>
        <v>#VALUE!</v>
      </c>
      <c r="DU81" t="e">
        <f>AND(Bills!H246,"AAAAAH3uzHw=")</f>
        <v>#VALUE!</v>
      </c>
      <c r="DV81" t="e">
        <f>AND(Bills!I246,"AAAAAH3uzH0=")</f>
        <v>#VALUE!</v>
      </c>
      <c r="DW81" t="e">
        <f>AND(Bills!J246,"AAAAAH3uzH4=")</f>
        <v>#VALUE!</v>
      </c>
      <c r="DX81" t="e">
        <f>AND(Bills!K246,"AAAAAH3uzH8=")</f>
        <v>#VALUE!</v>
      </c>
      <c r="DY81" t="e">
        <f>AND(Bills!L246,"AAAAAH3uzIA=")</f>
        <v>#VALUE!</v>
      </c>
      <c r="DZ81" t="e">
        <f>AND(Bills!#REF!,"AAAAAH3uzIE=")</f>
        <v>#REF!</v>
      </c>
      <c r="EA81" t="e">
        <f>AND(Bills!M246,"AAAAAH3uzII=")</f>
        <v>#VALUE!</v>
      </c>
      <c r="EB81" t="e">
        <f>AND(Bills!N246,"AAAAAH3uzIM=")</f>
        <v>#VALUE!</v>
      </c>
      <c r="EC81" t="e">
        <f>AND(Bills!O246,"AAAAAH3uzIQ=")</f>
        <v>#VALUE!</v>
      </c>
      <c r="ED81" t="e">
        <f>AND(Bills!P246,"AAAAAH3uzIU=")</f>
        <v>#VALUE!</v>
      </c>
      <c r="EE81" t="e">
        <f>AND(Bills!Q246,"AAAAAH3uzIY=")</f>
        <v>#VALUE!</v>
      </c>
      <c r="EF81" t="e">
        <f>AND(Bills!R246,"AAAAAH3uzIc=")</f>
        <v>#VALUE!</v>
      </c>
      <c r="EG81" t="e">
        <f>AND(Bills!S246,"AAAAAH3uzIg=")</f>
        <v>#VALUE!</v>
      </c>
      <c r="EH81" t="e">
        <f>AND(Bills!T246,"AAAAAH3uzIk=")</f>
        <v>#VALUE!</v>
      </c>
      <c r="EI81" t="e">
        <f>AND(Bills!#REF!,"AAAAAH3uzIo=")</f>
        <v>#REF!</v>
      </c>
      <c r="EJ81" t="e">
        <f>AND(Bills!U246,"AAAAAH3uzIs=")</f>
        <v>#VALUE!</v>
      </c>
      <c r="EK81" t="e">
        <f>AND(Bills!V246,"AAAAAH3uzIw=")</f>
        <v>#VALUE!</v>
      </c>
      <c r="EL81" t="e">
        <f>AND(Bills!W246,"AAAAAH3uzI0=")</f>
        <v>#VALUE!</v>
      </c>
      <c r="EM81" t="e">
        <f>AND(Bills!#REF!,"AAAAAH3uzI4=")</f>
        <v>#REF!</v>
      </c>
      <c r="EN81" t="e">
        <f>AND(Bills!#REF!,"AAAAAH3uzI8=")</f>
        <v>#REF!</v>
      </c>
      <c r="EO81" t="e">
        <f>AND(Bills!Y246,"AAAAAH3uzJA=")</f>
        <v>#VALUE!</v>
      </c>
      <c r="EP81" t="e">
        <f>AND(Bills!Z246,"AAAAAH3uzJE=")</f>
        <v>#VALUE!</v>
      </c>
      <c r="EQ81" t="e">
        <f>AND(Bills!#REF!,"AAAAAH3uzJI=")</f>
        <v>#REF!</v>
      </c>
      <c r="ER81" t="e">
        <f>AND(Bills!#REF!,"AAAAAH3uzJM=")</f>
        <v>#REF!</v>
      </c>
      <c r="ES81" t="e">
        <f>AND(Bills!#REF!,"AAAAAH3uzJQ=")</f>
        <v>#REF!</v>
      </c>
      <c r="ET81" t="e">
        <f>AND(Bills!#REF!,"AAAAAH3uzJU=")</f>
        <v>#REF!</v>
      </c>
      <c r="EU81" t="e">
        <f>AND(Bills!#REF!,"AAAAAH3uzJY=")</f>
        <v>#REF!</v>
      </c>
      <c r="EV81" t="e">
        <f>AND(Bills!#REF!,"AAAAAH3uzJc=")</f>
        <v>#REF!</v>
      </c>
      <c r="EW81" t="e">
        <f>AND(Bills!#REF!,"AAAAAH3uzJg=")</f>
        <v>#REF!</v>
      </c>
      <c r="EX81" t="e">
        <f>AND(Bills!#REF!,"AAAAAH3uzJk=")</f>
        <v>#REF!</v>
      </c>
      <c r="EY81" t="e">
        <f>AND(Bills!#REF!,"AAAAAH3uzJo=")</f>
        <v>#REF!</v>
      </c>
      <c r="EZ81" t="e">
        <f>AND(Bills!AA246,"AAAAAH3uzJs=")</f>
        <v>#VALUE!</v>
      </c>
      <c r="FA81" t="e">
        <f>AND(Bills!AB246,"AAAAAH3uzJw=")</f>
        <v>#VALUE!</v>
      </c>
      <c r="FB81" t="e">
        <f>AND(Bills!#REF!,"AAAAAH3uzJ0=")</f>
        <v>#REF!</v>
      </c>
      <c r="FC81" t="e">
        <f>AND(Bills!#REF!,"AAAAAH3uzJ4=")</f>
        <v>#REF!</v>
      </c>
      <c r="FD81" t="e">
        <f>AND(Bills!#REF!,"AAAAAH3uzJ8=")</f>
        <v>#REF!</v>
      </c>
      <c r="FE81" t="e">
        <f>AND(Bills!AC246,"AAAAAH3uzKA=")</f>
        <v>#VALUE!</v>
      </c>
      <c r="FF81" t="e">
        <f>AND(Bills!AD246,"AAAAAH3uzKE=")</f>
        <v>#VALUE!</v>
      </c>
      <c r="FG81" t="e">
        <f>AND(Bills!AE246,"AAAAAH3uzKI=")</f>
        <v>#VALUE!</v>
      </c>
      <c r="FH81">
        <f>IF(Bills!247:247,"AAAAAH3uzKM=",0)</f>
        <v>0</v>
      </c>
      <c r="FI81" t="e">
        <f>AND(Bills!B247,"AAAAAH3uzKQ=")</f>
        <v>#VALUE!</v>
      </c>
      <c r="FJ81" t="e">
        <f>AND(Bills!#REF!,"AAAAAH3uzKU=")</f>
        <v>#REF!</v>
      </c>
      <c r="FK81" t="e">
        <f>AND(Bills!C247,"AAAAAH3uzKY=")</f>
        <v>#VALUE!</v>
      </c>
      <c r="FL81" t="e">
        <f>AND(Bills!D247,"AAAAAH3uzKc=")</f>
        <v>#VALUE!</v>
      </c>
      <c r="FM81" t="e">
        <f>AND(Bills!E247,"AAAAAH3uzKg=")</f>
        <v>#VALUE!</v>
      </c>
      <c r="FN81" t="e">
        <f>AND(Bills!#REF!,"AAAAAH3uzKk=")</f>
        <v>#REF!</v>
      </c>
      <c r="FO81" t="e">
        <f>AND(Bills!#REF!,"AAAAAH3uzKo=")</f>
        <v>#REF!</v>
      </c>
      <c r="FP81" t="e">
        <f>AND(Bills!#REF!,"AAAAAH3uzKs=")</f>
        <v>#REF!</v>
      </c>
      <c r="FQ81" t="e">
        <f>AND(Bills!F247,"AAAAAH3uzKw=")</f>
        <v>#VALUE!</v>
      </c>
      <c r="FR81" t="e">
        <f>AND(Bills!#REF!,"AAAAAH3uzK0=")</f>
        <v>#REF!</v>
      </c>
      <c r="FS81" t="e">
        <f>AND(Bills!G247,"AAAAAH3uzK4=")</f>
        <v>#VALUE!</v>
      </c>
      <c r="FT81" t="e">
        <f>AND(Bills!H247,"AAAAAH3uzK8=")</f>
        <v>#VALUE!</v>
      </c>
      <c r="FU81" t="e">
        <f>AND(Bills!I247,"AAAAAH3uzLA=")</f>
        <v>#VALUE!</v>
      </c>
      <c r="FV81" t="e">
        <f>AND(Bills!J247,"AAAAAH3uzLE=")</f>
        <v>#VALUE!</v>
      </c>
      <c r="FW81" t="e">
        <f>AND(Bills!K247,"AAAAAH3uzLI=")</f>
        <v>#VALUE!</v>
      </c>
      <c r="FX81" t="e">
        <f>AND(Bills!L247,"AAAAAH3uzLM=")</f>
        <v>#VALUE!</v>
      </c>
      <c r="FY81" t="e">
        <f>AND(Bills!#REF!,"AAAAAH3uzLQ=")</f>
        <v>#REF!</v>
      </c>
      <c r="FZ81" t="e">
        <f>AND(Bills!M247,"AAAAAH3uzLU=")</f>
        <v>#VALUE!</v>
      </c>
      <c r="GA81" t="e">
        <f>AND(Bills!N247,"AAAAAH3uzLY=")</f>
        <v>#VALUE!</v>
      </c>
      <c r="GB81" t="e">
        <f>AND(Bills!O247,"AAAAAH3uzLc=")</f>
        <v>#VALUE!</v>
      </c>
      <c r="GC81" t="e">
        <f>AND(Bills!P247,"AAAAAH3uzLg=")</f>
        <v>#VALUE!</v>
      </c>
      <c r="GD81" t="e">
        <f>AND(Bills!Q247,"AAAAAH3uzLk=")</f>
        <v>#VALUE!</v>
      </c>
      <c r="GE81" t="e">
        <f>AND(Bills!R247,"AAAAAH3uzLo=")</f>
        <v>#VALUE!</v>
      </c>
      <c r="GF81" t="e">
        <f>AND(Bills!S247,"AAAAAH3uzLs=")</f>
        <v>#VALUE!</v>
      </c>
      <c r="GG81" t="e">
        <f>AND(Bills!T247,"AAAAAH3uzLw=")</f>
        <v>#VALUE!</v>
      </c>
      <c r="GH81" t="e">
        <f>AND(Bills!#REF!,"AAAAAH3uzL0=")</f>
        <v>#REF!</v>
      </c>
      <c r="GI81" t="e">
        <f>AND(Bills!U247,"AAAAAH3uzL4=")</f>
        <v>#VALUE!</v>
      </c>
      <c r="GJ81" t="e">
        <f>AND(Bills!V247,"AAAAAH3uzL8=")</f>
        <v>#VALUE!</v>
      </c>
      <c r="GK81" t="e">
        <f>AND(Bills!W247,"AAAAAH3uzMA=")</f>
        <v>#VALUE!</v>
      </c>
      <c r="GL81" t="e">
        <f>AND(Bills!#REF!,"AAAAAH3uzME=")</f>
        <v>#REF!</v>
      </c>
      <c r="GM81" t="e">
        <f>AND(Bills!#REF!,"AAAAAH3uzMI=")</f>
        <v>#REF!</v>
      </c>
      <c r="GN81" t="e">
        <f>AND(Bills!Y247,"AAAAAH3uzMM=")</f>
        <v>#VALUE!</v>
      </c>
      <c r="GO81" t="e">
        <f>AND(Bills!Z247,"AAAAAH3uzMQ=")</f>
        <v>#VALUE!</v>
      </c>
      <c r="GP81" t="e">
        <f>AND(Bills!#REF!,"AAAAAH3uzMU=")</f>
        <v>#REF!</v>
      </c>
      <c r="GQ81" t="e">
        <f>AND(Bills!#REF!,"AAAAAH3uzMY=")</f>
        <v>#REF!</v>
      </c>
      <c r="GR81" t="e">
        <f>AND(Bills!#REF!,"AAAAAH3uzMc=")</f>
        <v>#REF!</v>
      </c>
      <c r="GS81" t="e">
        <f>AND(Bills!#REF!,"AAAAAH3uzMg=")</f>
        <v>#REF!</v>
      </c>
      <c r="GT81" t="e">
        <f>AND(Bills!#REF!,"AAAAAH3uzMk=")</f>
        <v>#REF!</v>
      </c>
      <c r="GU81" t="e">
        <f>AND(Bills!#REF!,"AAAAAH3uzMo=")</f>
        <v>#REF!</v>
      </c>
      <c r="GV81" t="e">
        <f>AND(Bills!#REF!,"AAAAAH3uzMs=")</f>
        <v>#REF!</v>
      </c>
      <c r="GW81" t="e">
        <f>AND(Bills!#REF!,"AAAAAH3uzMw=")</f>
        <v>#REF!</v>
      </c>
      <c r="GX81" t="e">
        <f>AND(Bills!#REF!,"AAAAAH3uzM0=")</f>
        <v>#REF!</v>
      </c>
      <c r="GY81" t="e">
        <f>AND(Bills!AA247,"AAAAAH3uzM4=")</f>
        <v>#VALUE!</v>
      </c>
      <c r="GZ81" t="e">
        <f>AND(Bills!AB247,"AAAAAH3uzM8=")</f>
        <v>#VALUE!</v>
      </c>
      <c r="HA81" t="e">
        <f>AND(Bills!#REF!,"AAAAAH3uzNA=")</f>
        <v>#REF!</v>
      </c>
      <c r="HB81" t="e">
        <f>AND(Bills!#REF!,"AAAAAH3uzNE=")</f>
        <v>#REF!</v>
      </c>
      <c r="HC81" t="e">
        <f>AND(Bills!#REF!,"AAAAAH3uzNI=")</f>
        <v>#REF!</v>
      </c>
      <c r="HD81" t="e">
        <f>AND(Bills!AC247,"AAAAAH3uzNM=")</f>
        <v>#VALUE!</v>
      </c>
      <c r="HE81" t="e">
        <f>AND(Bills!AD247,"AAAAAH3uzNQ=")</f>
        <v>#VALUE!</v>
      </c>
      <c r="HF81" t="e">
        <f>AND(Bills!AE247,"AAAAAH3uzNU=")</f>
        <v>#VALUE!</v>
      </c>
      <c r="HG81">
        <f>IF(Bills!248:248,"AAAAAH3uzNY=",0)</f>
        <v>0</v>
      </c>
      <c r="HH81" t="e">
        <f>AND(Bills!B248,"AAAAAH3uzNc=")</f>
        <v>#VALUE!</v>
      </c>
      <c r="HI81" t="e">
        <f>AND(Bills!#REF!,"AAAAAH3uzNg=")</f>
        <v>#REF!</v>
      </c>
      <c r="HJ81" t="e">
        <f>AND(Bills!C248,"AAAAAH3uzNk=")</f>
        <v>#VALUE!</v>
      </c>
      <c r="HK81" t="e">
        <f>AND(Bills!D248,"AAAAAH3uzNo=")</f>
        <v>#VALUE!</v>
      </c>
      <c r="HL81" t="e">
        <f>AND(Bills!E248,"AAAAAH3uzNs=")</f>
        <v>#VALUE!</v>
      </c>
      <c r="HM81" t="e">
        <f>AND(Bills!#REF!,"AAAAAH3uzNw=")</f>
        <v>#REF!</v>
      </c>
      <c r="HN81" t="e">
        <f>AND(Bills!#REF!,"AAAAAH3uzN0=")</f>
        <v>#REF!</v>
      </c>
      <c r="HO81" t="e">
        <f>AND(Bills!#REF!,"AAAAAH3uzN4=")</f>
        <v>#REF!</v>
      </c>
      <c r="HP81" t="e">
        <f>AND(Bills!F248,"AAAAAH3uzN8=")</f>
        <v>#VALUE!</v>
      </c>
      <c r="HQ81" t="e">
        <f>AND(Bills!#REF!,"AAAAAH3uzOA=")</f>
        <v>#REF!</v>
      </c>
      <c r="HR81" t="e">
        <f>AND(Bills!G248,"AAAAAH3uzOE=")</f>
        <v>#VALUE!</v>
      </c>
      <c r="HS81" t="e">
        <f>AND(Bills!H248,"AAAAAH3uzOI=")</f>
        <v>#VALUE!</v>
      </c>
      <c r="HT81" t="e">
        <f>AND(Bills!I248,"AAAAAH3uzOM=")</f>
        <v>#VALUE!</v>
      </c>
      <c r="HU81" t="e">
        <f>AND(Bills!J248,"AAAAAH3uzOQ=")</f>
        <v>#VALUE!</v>
      </c>
      <c r="HV81" t="e">
        <f>AND(Bills!K248,"AAAAAH3uzOU=")</f>
        <v>#VALUE!</v>
      </c>
      <c r="HW81" t="e">
        <f>AND(Bills!L248,"AAAAAH3uzOY=")</f>
        <v>#VALUE!</v>
      </c>
      <c r="HX81" t="e">
        <f>AND(Bills!#REF!,"AAAAAH3uzOc=")</f>
        <v>#REF!</v>
      </c>
      <c r="HY81" t="e">
        <f>AND(Bills!M248,"AAAAAH3uzOg=")</f>
        <v>#VALUE!</v>
      </c>
      <c r="HZ81" t="e">
        <f>AND(Bills!N248,"AAAAAH3uzOk=")</f>
        <v>#VALUE!</v>
      </c>
      <c r="IA81" t="e">
        <f>AND(Bills!O248,"AAAAAH3uzOo=")</f>
        <v>#VALUE!</v>
      </c>
      <c r="IB81" t="e">
        <f>AND(Bills!P248,"AAAAAH3uzOs=")</f>
        <v>#VALUE!</v>
      </c>
      <c r="IC81" t="e">
        <f>AND(Bills!Q248,"AAAAAH3uzOw=")</f>
        <v>#VALUE!</v>
      </c>
      <c r="ID81" t="e">
        <f>AND(Bills!R248,"AAAAAH3uzO0=")</f>
        <v>#VALUE!</v>
      </c>
      <c r="IE81" t="e">
        <f>AND(Bills!S248,"AAAAAH3uzO4=")</f>
        <v>#VALUE!</v>
      </c>
      <c r="IF81" t="e">
        <f>AND(Bills!T248,"AAAAAH3uzO8=")</f>
        <v>#VALUE!</v>
      </c>
      <c r="IG81" t="e">
        <f>AND(Bills!#REF!,"AAAAAH3uzPA=")</f>
        <v>#REF!</v>
      </c>
      <c r="IH81" t="e">
        <f>AND(Bills!U248,"AAAAAH3uzPE=")</f>
        <v>#VALUE!</v>
      </c>
      <c r="II81" t="e">
        <f>AND(Bills!V248,"AAAAAH3uzPI=")</f>
        <v>#VALUE!</v>
      </c>
      <c r="IJ81" t="e">
        <f>AND(Bills!W248,"AAAAAH3uzPM=")</f>
        <v>#VALUE!</v>
      </c>
      <c r="IK81" t="e">
        <f>AND(Bills!#REF!,"AAAAAH3uzPQ=")</f>
        <v>#REF!</v>
      </c>
      <c r="IL81" t="e">
        <f>AND(Bills!#REF!,"AAAAAH3uzPU=")</f>
        <v>#REF!</v>
      </c>
      <c r="IM81" t="e">
        <f>AND(Bills!Y248,"AAAAAH3uzPY=")</f>
        <v>#VALUE!</v>
      </c>
      <c r="IN81" t="e">
        <f>AND(Bills!Z248,"AAAAAH3uzPc=")</f>
        <v>#VALUE!</v>
      </c>
      <c r="IO81" t="e">
        <f>AND(Bills!#REF!,"AAAAAH3uzPg=")</f>
        <v>#REF!</v>
      </c>
      <c r="IP81" t="e">
        <f>AND(Bills!#REF!,"AAAAAH3uzPk=")</f>
        <v>#REF!</v>
      </c>
      <c r="IQ81" t="e">
        <f>AND(Bills!#REF!,"AAAAAH3uzPo=")</f>
        <v>#REF!</v>
      </c>
      <c r="IR81" t="e">
        <f>AND(Bills!#REF!,"AAAAAH3uzPs=")</f>
        <v>#REF!</v>
      </c>
      <c r="IS81" t="e">
        <f>AND(Bills!#REF!,"AAAAAH3uzPw=")</f>
        <v>#REF!</v>
      </c>
      <c r="IT81" t="e">
        <f>AND(Bills!#REF!,"AAAAAH3uzP0=")</f>
        <v>#REF!</v>
      </c>
      <c r="IU81" t="e">
        <f>AND(Bills!#REF!,"AAAAAH3uzP4=")</f>
        <v>#REF!</v>
      </c>
      <c r="IV81" t="e">
        <f>AND(Bills!#REF!,"AAAAAH3uzP8=")</f>
        <v>#REF!</v>
      </c>
    </row>
    <row r="82" spans="1:256" x14ac:dyDescent="0.25">
      <c r="A82" t="e">
        <f>AND(Bills!#REF!,"AAAAADvPYwA=")</f>
        <v>#REF!</v>
      </c>
      <c r="B82" t="e">
        <f>AND(Bills!AA248,"AAAAADvPYwE=")</f>
        <v>#VALUE!</v>
      </c>
      <c r="C82" t="e">
        <f>AND(Bills!AB248,"AAAAADvPYwI=")</f>
        <v>#VALUE!</v>
      </c>
      <c r="D82" t="e">
        <f>AND(Bills!#REF!,"AAAAADvPYwM=")</f>
        <v>#REF!</v>
      </c>
      <c r="E82" t="e">
        <f>AND(Bills!#REF!,"AAAAADvPYwQ=")</f>
        <v>#REF!</v>
      </c>
      <c r="F82" t="e">
        <f>AND(Bills!#REF!,"AAAAADvPYwU=")</f>
        <v>#REF!</v>
      </c>
      <c r="G82" t="e">
        <f>AND(Bills!AC248,"AAAAADvPYwY=")</f>
        <v>#VALUE!</v>
      </c>
      <c r="H82" t="e">
        <f>AND(Bills!AD248,"AAAAADvPYwc=")</f>
        <v>#VALUE!</v>
      </c>
      <c r="I82" t="e">
        <f>AND(Bills!AE248,"AAAAADvPYwg=")</f>
        <v>#VALUE!</v>
      </c>
      <c r="J82">
        <f>IF(Bills!249:249,"AAAAADvPYwk=",0)</f>
        <v>0</v>
      </c>
      <c r="K82" t="e">
        <f>AND(Bills!B249,"AAAAADvPYwo=")</f>
        <v>#VALUE!</v>
      </c>
      <c r="L82" t="e">
        <f>AND(Bills!#REF!,"AAAAADvPYws=")</f>
        <v>#REF!</v>
      </c>
      <c r="M82" t="e">
        <f>AND(Bills!C249,"AAAAADvPYww=")</f>
        <v>#VALUE!</v>
      </c>
      <c r="N82" t="e">
        <f>AND(Bills!D249,"AAAAADvPYw0=")</f>
        <v>#VALUE!</v>
      </c>
      <c r="O82" t="e">
        <f>AND(Bills!E249,"AAAAADvPYw4=")</f>
        <v>#VALUE!</v>
      </c>
      <c r="P82" t="e">
        <f>AND(Bills!#REF!,"AAAAADvPYw8=")</f>
        <v>#REF!</v>
      </c>
      <c r="Q82" t="e">
        <f>AND(Bills!#REF!,"AAAAADvPYxA=")</f>
        <v>#REF!</v>
      </c>
      <c r="R82" t="e">
        <f>AND(Bills!#REF!,"AAAAADvPYxE=")</f>
        <v>#REF!</v>
      </c>
      <c r="S82" t="e">
        <f>AND(Bills!F249,"AAAAADvPYxI=")</f>
        <v>#VALUE!</v>
      </c>
      <c r="T82" t="e">
        <f>AND(Bills!#REF!,"AAAAADvPYxM=")</f>
        <v>#REF!</v>
      </c>
      <c r="U82" t="e">
        <f>AND(Bills!G249,"AAAAADvPYxQ=")</f>
        <v>#VALUE!</v>
      </c>
      <c r="V82" t="e">
        <f>AND(Bills!H249,"AAAAADvPYxU=")</f>
        <v>#VALUE!</v>
      </c>
      <c r="W82" t="e">
        <f>AND(Bills!I249,"AAAAADvPYxY=")</f>
        <v>#VALUE!</v>
      </c>
      <c r="X82" t="e">
        <f>AND(Bills!J249,"AAAAADvPYxc=")</f>
        <v>#VALUE!</v>
      </c>
      <c r="Y82" t="e">
        <f>AND(Bills!K249,"AAAAADvPYxg=")</f>
        <v>#VALUE!</v>
      </c>
      <c r="Z82" t="e">
        <f>AND(Bills!L249,"AAAAADvPYxk=")</f>
        <v>#VALUE!</v>
      </c>
      <c r="AA82" t="e">
        <f>AND(Bills!#REF!,"AAAAADvPYxo=")</f>
        <v>#REF!</v>
      </c>
      <c r="AB82" t="e">
        <f>AND(Bills!M249,"AAAAADvPYxs=")</f>
        <v>#VALUE!</v>
      </c>
      <c r="AC82" t="e">
        <f>AND(Bills!N249,"AAAAADvPYxw=")</f>
        <v>#VALUE!</v>
      </c>
      <c r="AD82" t="e">
        <f>AND(Bills!O249,"AAAAADvPYx0=")</f>
        <v>#VALUE!</v>
      </c>
      <c r="AE82" t="e">
        <f>AND(Bills!P249,"AAAAADvPYx4=")</f>
        <v>#VALUE!</v>
      </c>
      <c r="AF82" t="e">
        <f>AND(Bills!Q249,"AAAAADvPYx8=")</f>
        <v>#VALUE!</v>
      </c>
      <c r="AG82" t="e">
        <f>AND(Bills!R249,"AAAAADvPYyA=")</f>
        <v>#VALUE!</v>
      </c>
      <c r="AH82" t="e">
        <f>AND(Bills!S249,"AAAAADvPYyE=")</f>
        <v>#VALUE!</v>
      </c>
      <c r="AI82" t="e">
        <f>AND(Bills!T249,"AAAAADvPYyI=")</f>
        <v>#VALUE!</v>
      </c>
      <c r="AJ82" t="e">
        <f>AND(Bills!#REF!,"AAAAADvPYyM=")</f>
        <v>#REF!</v>
      </c>
      <c r="AK82" t="e">
        <f>AND(Bills!U249,"AAAAADvPYyQ=")</f>
        <v>#VALUE!</v>
      </c>
      <c r="AL82" t="e">
        <f>AND(Bills!V249,"AAAAADvPYyU=")</f>
        <v>#VALUE!</v>
      </c>
      <c r="AM82" t="e">
        <f>AND(Bills!W249,"AAAAADvPYyY=")</f>
        <v>#VALUE!</v>
      </c>
      <c r="AN82" t="e">
        <f>AND(Bills!#REF!,"AAAAADvPYyc=")</f>
        <v>#REF!</v>
      </c>
      <c r="AO82" t="e">
        <f>AND(Bills!#REF!,"AAAAADvPYyg=")</f>
        <v>#REF!</v>
      </c>
      <c r="AP82" t="e">
        <f>AND(Bills!Y249,"AAAAADvPYyk=")</f>
        <v>#VALUE!</v>
      </c>
      <c r="AQ82" t="e">
        <f>AND(Bills!Z249,"AAAAADvPYyo=")</f>
        <v>#VALUE!</v>
      </c>
      <c r="AR82" t="e">
        <f>AND(Bills!#REF!,"AAAAADvPYys=")</f>
        <v>#REF!</v>
      </c>
      <c r="AS82" t="e">
        <f>AND(Bills!#REF!,"AAAAADvPYyw=")</f>
        <v>#REF!</v>
      </c>
      <c r="AT82" t="e">
        <f>AND(Bills!#REF!,"AAAAADvPYy0=")</f>
        <v>#REF!</v>
      </c>
      <c r="AU82" t="e">
        <f>AND(Bills!#REF!,"AAAAADvPYy4=")</f>
        <v>#REF!</v>
      </c>
      <c r="AV82" t="e">
        <f>AND(Bills!#REF!,"AAAAADvPYy8=")</f>
        <v>#REF!</v>
      </c>
      <c r="AW82" t="e">
        <f>AND(Bills!#REF!,"AAAAADvPYzA=")</f>
        <v>#REF!</v>
      </c>
      <c r="AX82" t="e">
        <f>AND(Bills!#REF!,"AAAAADvPYzE=")</f>
        <v>#REF!</v>
      </c>
      <c r="AY82" t="e">
        <f>AND(Bills!#REF!,"AAAAADvPYzI=")</f>
        <v>#REF!</v>
      </c>
      <c r="AZ82" t="e">
        <f>AND(Bills!#REF!,"AAAAADvPYzM=")</f>
        <v>#REF!</v>
      </c>
      <c r="BA82" t="e">
        <f>AND(Bills!AA249,"AAAAADvPYzQ=")</f>
        <v>#VALUE!</v>
      </c>
      <c r="BB82" t="e">
        <f>AND(Bills!AB249,"AAAAADvPYzU=")</f>
        <v>#VALUE!</v>
      </c>
      <c r="BC82" t="e">
        <f>AND(Bills!#REF!,"AAAAADvPYzY=")</f>
        <v>#REF!</v>
      </c>
      <c r="BD82" t="e">
        <f>AND(Bills!#REF!,"AAAAADvPYzc=")</f>
        <v>#REF!</v>
      </c>
      <c r="BE82" t="e">
        <f>AND(Bills!#REF!,"AAAAADvPYzg=")</f>
        <v>#REF!</v>
      </c>
      <c r="BF82" t="e">
        <f>AND(Bills!AC249,"AAAAADvPYzk=")</f>
        <v>#VALUE!</v>
      </c>
      <c r="BG82" t="e">
        <f>AND(Bills!AD249,"AAAAADvPYzo=")</f>
        <v>#VALUE!</v>
      </c>
      <c r="BH82" t="e">
        <f>AND(Bills!AE249,"AAAAADvPYzs=")</f>
        <v>#VALUE!</v>
      </c>
      <c r="BI82">
        <f>IF(Bills!250:250,"AAAAADvPYzw=",0)</f>
        <v>0</v>
      </c>
      <c r="BJ82" t="e">
        <f>AND(Bills!B250,"AAAAADvPYz0=")</f>
        <v>#VALUE!</v>
      </c>
      <c r="BK82" t="e">
        <f>AND(Bills!#REF!,"AAAAADvPYz4=")</f>
        <v>#REF!</v>
      </c>
      <c r="BL82" t="e">
        <f>AND(Bills!C250,"AAAAADvPYz8=")</f>
        <v>#VALUE!</v>
      </c>
      <c r="BM82" t="e">
        <f>AND(Bills!D250,"AAAAADvPY0A=")</f>
        <v>#VALUE!</v>
      </c>
      <c r="BN82" t="e">
        <f>AND(Bills!E250,"AAAAADvPY0E=")</f>
        <v>#VALUE!</v>
      </c>
      <c r="BO82" t="e">
        <f>AND(Bills!#REF!,"AAAAADvPY0I=")</f>
        <v>#REF!</v>
      </c>
      <c r="BP82" t="e">
        <f>AND(Bills!#REF!,"AAAAADvPY0M=")</f>
        <v>#REF!</v>
      </c>
      <c r="BQ82" t="e">
        <f>AND(Bills!#REF!,"AAAAADvPY0Q=")</f>
        <v>#REF!</v>
      </c>
      <c r="BR82" t="e">
        <f>AND(Bills!F250,"AAAAADvPY0U=")</f>
        <v>#VALUE!</v>
      </c>
      <c r="BS82" t="e">
        <f>AND(Bills!#REF!,"AAAAADvPY0Y=")</f>
        <v>#REF!</v>
      </c>
      <c r="BT82" t="e">
        <f>AND(Bills!G250,"AAAAADvPY0c=")</f>
        <v>#VALUE!</v>
      </c>
      <c r="BU82" t="e">
        <f>AND(Bills!H250,"AAAAADvPY0g=")</f>
        <v>#VALUE!</v>
      </c>
      <c r="BV82" t="e">
        <f>AND(Bills!I250,"AAAAADvPY0k=")</f>
        <v>#VALUE!</v>
      </c>
      <c r="BW82" t="e">
        <f>AND(Bills!J250,"AAAAADvPY0o=")</f>
        <v>#VALUE!</v>
      </c>
      <c r="BX82" t="e">
        <f>AND(Bills!K250,"AAAAADvPY0s=")</f>
        <v>#VALUE!</v>
      </c>
      <c r="BY82" t="e">
        <f>AND(Bills!L250,"AAAAADvPY0w=")</f>
        <v>#VALUE!</v>
      </c>
      <c r="BZ82" t="e">
        <f>AND(Bills!#REF!,"AAAAADvPY00=")</f>
        <v>#REF!</v>
      </c>
      <c r="CA82" t="e">
        <f>AND(Bills!M250,"AAAAADvPY04=")</f>
        <v>#VALUE!</v>
      </c>
      <c r="CB82" t="e">
        <f>AND(Bills!N250,"AAAAADvPY08=")</f>
        <v>#VALUE!</v>
      </c>
      <c r="CC82" t="e">
        <f>AND(Bills!O250,"AAAAADvPY1A=")</f>
        <v>#VALUE!</v>
      </c>
      <c r="CD82" t="e">
        <f>AND(Bills!P250,"AAAAADvPY1E=")</f>
        <v>#VALUE!</v>
      </c>
      <c r="CE82" t="e">
        <f>AND(Bills!Q250,"AAAAADvPY1I=")</f>
        <v>#VALUE!</v>
      </c>
      <c r="CF82" t="e">
        <f>AND(Bills!R250,"AAAAADvPY1M=")</f>
        <v>#VALUE!</v>
      </c>
      <c r="CG82" t="e">
        <f>AND(Bills!S250,"AAAAADvPY1Q=")</f>
        <v>#VALUE!</v>
      </c>
      <c r="CH82" t="e">
        <f>AND(Bills!T250,"AAAAADvPY1U=")</f>
        <v>#VALUE!</v>
      </c>
      <c r="CI82" t="e">
        <f>AND(Bills!#REF!,"AAAAADvPY1Y=")</f>
        <v>#REF!</v>
      </c>
      <c r="CJ82" t="e">
        <f>AND(Bills!U250,"AAAAADvPY1c=")</f>
        <v>#VALUE!</v>
      </c>
      <c r="CK82" t="e">
        <f>AND(Bills!V250,"AAAAADvPY1g=")</f>
        <v>#VALUE!</v>
      </c>
      <c r="CL82" t="e">
        <f>AND(Bills!W250,"AAAAADvPY1k=")</f>
        <v>#VALUE!</v>
      </c>
      <c r="CM82" t="e">
        <f>AND(Bills!#REF!,"AAAAADvPY1o=")</f>
        <v>#REF!</v>
      </c>
      <c r="CN82" t="e">
        <f>AND(Bills!#REF!,"AAAAADvPY1s=")</f>
        <v>#REF!</v>
      </c>
      <c r="CO82" t="e">
        <f>AND(Bills!Y250,"AAAAADvPY1w=")</f>
        <v>#VALUE!</v>
      </c>
      <c r="CP82" t="e">
        <f>AND(Bills!Z250,"AAAAADvPY10=")</f>
        <v>#VALUE!</v>
      </c>
      <c r="CQ82" t="e">
        <f>AND(Bills!#REF!,"AAAAADvPY14=")</f>
        <v>#REF!</v>
      </c>
      <c r="CR82" t="e">
        <f>AND(Bills!#REF!,"AAAAADvPY18=")</f>
        <v>#REF!</v>
      </c>
      <c r="CS82" t="e">
        <f>AND(Bills!#REF!,"AAAAADvPY2A=")</f>
        <v>#REF!</v>
      </c>
      <c r="CT82" t="e">
        <f>AND(Bills!#REF!,"AAAAADvPY2E=")</f>
        <v>#REF!</v>
      </c>
      <c r="CU82" t="e">
        <f>AND(Bills!#REF!,"AAAAADvPY2I=")</f>
        <v>#REF!</v>
      </c>
      <c r="CV82" t="e">
        <f>AND(Bills!#REF!,"AAAAADvPY2M=")</f>
        <v>#REF!</v>
      </c>
      <c r="CW82" t="e">
        <f>AND(Bills!#REF!,"AAAAADvPY2Q=")</f>
        <v>#REF!</v>
      </c>
      <c r="CX82" t="e">
        <f>AND(Bills!#REF!,"AAAAADvPY2U=")</f>
        <v>#REF!</v>
      </c>
      <c r="CY82" t="e">
        <f>AND(Bills!#REF!,"AAAAADvPY2Y=")</f>
        <v>#REF!</v>
      </c>
      <c r="CZ82" t="e">
        <f>AND(Bills!AA250,"AAAAADvPY2c=")</f>
        <v>#VALUE!</v>
      </c>
      <c r="DA82" t="e">
        <f>AND(Bills!AB250,"AAAAADvPY2g=")</f>
        <v>#VALUE!</v>
      </c>
      <c r="DB82" t="e">
        <f>AND(Bills!#REF!,"AAAAADvPY2k=")</f>
        <v>#REF!</v>
      </c>
      <c r="DC82" t="e">
        <f>AND(Bills!#REF!,"AAAAADvPY2o=")</f>
        <v>#REF!</v>
      </c>
      <c r="DD82" t="e">
        <f>AND(Bills!#REF!,"AAAAADvPY2s=")</f>
        <v>#REF!</v>
      </c>
      <c r="DE82" t="e">
        <f>AND(Bills!AC250,"AAAAADvPY2w=")</f>
        <v>#VALUE!</v>
      </c>
      <c r="DF82" t="e">
        <f>AND(Bills!AD250,"AAAAADvPY20=")</f>
        <v>#VALUE!</v>
      </c>
      <c r="DG82" t="e">
        <f>AND(Bills!AE250,"AAAAADvPY24=")</f>
        <v>#VALUE!</v>
      </c>
      <c r="DH82">
        <f>IF(Bills!251:251,"AAAAADvPY28=",0)</f>
        <v>0</v>
      </c>
      <c r="DI82" t="e">
        <f>AND(Bills!B251,"AAAAADvPY3A=")</f>
        <v>#VALUE!</v>
      </c>
      <c r="DJ82" t="e">
        <f>AND(Bills!#REF!,"AAAAADvPY3E=")</f>
        <v>#REF!</v>
      </c>
      <c r="DK82" t="e">
        <f>AND(Bills!C251,"AAAAADvPY3I=")</f>
        <v>#VALUE!</v>
      </c>
      <c r="DL82" t="e">
        <f>AND(Bills!D251,"AAAAADvPY3M=")</f>
        <v>#VALUE!</v>
      </c>
      <c r="DM82" t="e">
        <f>AND(Bills!E251,"AAAAADvPY3Q=")</f>
        <v>#VALUE!</v>
      </c>
      <c r="DN82" t="e">
        <f>AND(Bills!#REF!,"AAAAADvPY3U=")</f>
        <v>#REF!</v>
      </c>
      <c r="DO82" t="e">
        <f>AND(Bills!#REF!,"AAAAADvPY3Y=")</f>
        <v>#REF!</v>
      </c>
      <c r="DP82" t="e">
        <f>AND(Bills!#REF!,"AAAAADvPY3c=")</f>
        <v>#REF!</v>
      </c>
      <c r="DQ82" t="e">
        <f>AND(Bills!F251,"AAAAADvPY3g=")</f>
        <v>#VALUE!</v>
      </c>
      <c r="DR82" t="e">
        <f>AND(Bills!#REF!,"AAAAADvPY3k=")</f>
        <v>#REF!</v>
      </c>
      <c r="DS82" t="e">
        <f>AND(Bills!G251,"AAAAADvPY3o=")</f>
        <v>#VALUE!</v>
      </c>
      <c r="DT82" t="e">
        <f>AND(Bills!H251,"AAAAADvPY3s=")</f>
        <v>#VALUE!</v>
      </c>
      <c r="DU82" t="e">
        <f>AND(Bills!I251,"AAAAADvPY3w=")</f>
        <v>#VALUE!</v>
      </c>
      <c r="DV82" t="e">
        <f>AND(Bills!J251,"AAAAADvPY30=")</f>
        <v>#VALUE!</v>
      </c>
      <c r="DW82" t="e">
        <f>AND(Bills!K251,"AAAAADvPY34=")</f>
        <v>#VALUE!</v>
      </c>
      <c r="DX82" t="e">
        <f>AND(Bills!L251,"AAAAADvPY38=")</f>
        <v>#VALUE!</v>
      </c>
      <c r="DY82" t="e">
        <f>AND(Bills!#REF!,"AAAAADvPY4A=")</f>
        <v>#REF!</v>
      </c>
      <c r="DZ82" t="e">
        <f>AND(Bills!M251,"AAAAADvPY4E=")</f>
        <v>#VALUE!</v>
      </c>
      <c r="EA82" t="e">
        <f>AND(Bills!N251,"AAAAADvPY4I=")</f>
        <v>#VALUE!</v>
      </c>
      <c r="EB82" t="e">
        <f>AND(Bills!O251,"AAAAADvPY4M=")</f>
        <v>#VALUE!</v>
      </c>
      <c r="EC82" t="e">
        <f>AND(Bills!P251,"AAAAADvPY4Q=")</f>
        <v>#VALUE!</v>
      </c>
      <c r="ED82" t="e">
        <f>AND(Bills!Q251,"AAAAADvPY4U=")</f>
        <v>#VALUE!</v>
      </c>
      <c r="EE82" t="e">
        <f>AND(Bills!R251,"AAAAADvPY4Y=")</f>
        <v>#VALUE!</v>
      </c>
      <c r="EF82" t="e">
        <f>AND(Bills!S251,"AAAAADvPY4c=")</f>
        <v>#VALUE!</v>
      </c>
      <c r="EG82" t="e">
        <f>AND(Bills!T251,"AAAAADvPY4g=")</f>
        <v>#VALUE!</v>
      </c>
      <c r="EH82" t="e">
        <f>AND(Bills!#REF!,"AAAAADvPY4k=")</f>
        <v>#REF!</v>
      </c>
      <c r="EI82" t="e">
        <f>AND(Bills!U251,"AAAAADvPY4o=")</f>
        <v>#VALUE!</v>
      </c>
      <c r="EJ82" t="e">
        <f>AND(Bills!V251,"AAAAADvPY4s=")</f>
        <v>#VALUE!</v>
      </c>
      <c r="EK82" t="e">
        <f>AND(Bills!W251,"AAAAADvPY4w=")</f>
        <v>#VALUE!</v>
      </c>
      <c r="EL82" t="e">
        <f>AND(Bills!#REF!,"AAAAADvPY40=")</f>
        <v>#REF!</v>
      </c>
      <c r="EM82" t="e">
        <f>AND(Bills!#REF!,"AAAAADvPY44=")</f>
        <v>#REF!</v>
      </c>
      <c r="EN82" t="e">
        <f>AND(Bills!Y251,"AAAAADvPY48=")</f>
        <v>#VALUE!</v>
      </c>
      <c r="EO82" t="e">
        <f>AND(Bills!Z251,"AAAAADvPY5A=")</f>
        <v>#VALUE!</v>
      </c>
      <c r="EP82" t="e">
        <f>AND(Bills!#REF!,"AAAAADvPY5E=")</f>
        <v>#REF!</v>
      </c>
      <c r="EQ82" t="e">
        <f>AND(Bills!#REF!,"AAAAADvPY5I=")</f>
        <v>#REF!</v>
      </c>
      <c r="ER82" t="e">
        <f>AND(Bills!#REF!,"AAAAADvPY5M=")</f>
        <v>#REF!</v>
      </c>
      <c r="ES82" t="e">
        <f>AND(Bills!#REF!,"AAAAADvPY5Q=")</f>
        <v>#REF!</v>
      </c>
      <c r="ET82" t="e">
        <f>AND(Bills!#REF!,"AAAAADvPY5U=")</f>
        <v>#REF!</v>
      </c>
      <c r="EU82" t="e">
        <f>AND(Bills!#REF!,"AAAAADvPY5Y=")</f>
        <v>#REF!</v>
      </c>
      <c r="EV82" t="e">
        <f>AND(Bills!#REF!,"AAAAADvPY5c=")</f>
        <v>#REF!</v>
      </c>
      <c r="EW82" t="e">
        <f>AND(Bills!#REF!,"AAAAADvPY5g=")</f>
        <v>#REF!</v>
      </c>
      <c r="EX82" t="e">
        <f>AND(Bills!#REF!,"AAAAADvPY5k=")</f>
        <v>#REF!</v>
      </c>
      <c r="EY82" t="e">
        <f>AND(Bills!AA251,"AAAAADvPY5o=")</f>
        <v>#VALUE!</v>
      </c>
      <c r="EZ82" t="e">
        <f>AND(Bills!AB251,"AAAAADvPY5s=")</f>
        <v>#VALUE!</v>
      </c>
      <c r="FA82" t="e">
        <f>AND(Bills!#REF!,"AAAAADvPY5w=")</f>
        <v>#REF!</v>
      </c>
      <c r="FB82" t="e">
        <f>AND(Bills!#REF!,"AAAAADvPY50=")</f>
        <v>#REF!</v>
      </c>
      <c r="FC82" t="e">
        <f>AND(Bills!#REF!,"AAAAADvPY54=")</f>
        <v>#REF!</v>
      </c>
      <c r="FD82" t="e">
        <f>AND(Bills!AC251,"AAAAADvPY58=")</f>
        <v>#VALUE!</v>
      </c>
      <c r="FE82" t="e">
        <f>AND(Bills!AD251,"AAAAADvPY6A=")</f>
        <v>#VALUE!</v>
      </c>
      <c r="FF82" t="e">
        <f>AND(Bills!AE251,"AAAAADvPY6E=")</f>
        <v>#VALUE!</v>
      </c>
      <c r="FG82">
        <f>IF(Bills!252:252,"AAAAADvPY6I=",0)</f>
        <v>0</v>
      </c>
      <c r="FH82" t="e">
        <f>AND(Bills!B252,"AAAAADvPY6M=")</f>
        <v>#VALUE!</v>
      </c>
      <c r="FI82" t="e">
        <f>AND(Bills!#REF!,"AAAAADvPY6Q=")</f>
        <v>#REF!</v>
      </c>
      <c r="FJ82" t="e">
        <f>AND(Bills!C252,"AAAAADvPY6U=")</f>
        <v>#VALUE!</v>
      </c>
      <c r="FK82" t="e">
        <f>AND(Bills!D252,"AAAAADvPY6Y=")</f>
        <v>#VALUE!</v>
      </c>
      <c r="FL82" t="e">
        <f>AND(Bills!E252,"AAAAADvPY6c=")</f>
        <v>#VALUE!</v>
      </c>
      <c r="FM82" t="e">
        <f>AND(Bills!#REF!,"AAAAADvPY6g=")</f>
        <v>#REF!</v>
      </c>
      <c r="FN82" t="e">
        <f>AND(Bills!#REF!,"AAAAADvPY6k=")</f>
        <v>#REF!</v>
      </c>
      <c r="FO82" t="e">
        <f>AND(Bills!#REF!,"AAAAADvPY6o=")</f>
        <v>#REF!</v>
      </c>
      <c r="FP82" t="e">
        <f>AND(Bills!F252,"AAAAADvPY6s=")</f>
        <v>#VALUE!</v>
      </c>
      <c r="FQ82" t="e">
        <f>AND(Bills!#REF!,"AAAAADvPY6w=")</f>
        <v>#REF!</v>
      </c>
      <c r="FR82" t="e">
        <f>AND(Bills!G252,"AAAAADvPY60=")</f>
        <v>#VALUE!</v>
      </c>
      <c r="FS82" t="e">
        <f>AND(Bills!H252,"AAAAADvPY64=")</f>
        <v>#VALUE!</v>
      </c>
      <c r="FT82" t="e">
        <f>AND(Bills!I252,"AAAAADvPY68=")</f>
        <v>#VALUE!</v>
      </c>
      <c r="FU82" t="e">
        <f>AND(Bills!J252,"AAAAADvPY7A=")</f>
        <v>#VALUE!</v>
      </c>
      <c r="FV82" t="e">
        <f>AND(Bills!K252,"AAAAADvPY7E=")</f>
        <v>#VALUE!</v>
      </c>
      <c r="FW82" t="e">
        <f>AND(Bills!L252,"AAAAADvPY7I=")</f>
        <v>#VALUE!</v>
      </c>
      <c r="FX82" t="e">
        <f>AND(Bills!#REF!,"AAAAADvPY7M=")</f>
        <v>#REF!</v>
      </c>
      <c r="FY82" t="e">
        <f>AND(Bills!M252,"AAAAADvPY7Q=")</f>
        <v>#VALUE!</v>
      </c>
      <c r="FZ82" t="e">
        <f>AND(Bills!N252,"AAAAADvPY7U=")</f>
        <v>#VALUE!</v>
      </c>
      <c r="GA82" t="e">
        <f>AND(Bills!O252,"AAAAADvPY7Y=")</f>
        <v>#VALUE!</v>
      </c>
      <c r="GB82" t="e">
        <f>AND(Bills!P252,"AAAAADvPY7c=")</f>
        <v>#VALUE!</v>
      </c>
      <c r="GC82" t="e">
        <f>AND(Bills!Q252,"AAAAADvPY7g=")</f>
        <v>#VALUE!</v>
      </c>
      <c r="GD82" t="e">
        <f>AND(Bills!R252,"AAAAADvPY7k=")</f>
        <v>#VALUE!</v>
      </c>
      <c r="GE82" t="e">
        <f>AND(Bills!S252,"AAAAADvPY7o=")</f>
        <v>#VALUE!</v>
      </c>
      <c r="GF82" t="e">
        <f>AND(Bills!T252,"AAAAADvPY7s=")</f>
        <v>#VALUE!</v>
      </c>
      <c r="GG82" t="e">
        <f>AND(Bills!#REF!,"AAAAADvPY7w=")</f>
        <v>#REF!</v>
      </c>
      <c r="GH82" t="e">
        <f>AND(Bills!U252,"AAAAADvPY70=")</f>
        <v>#VALUE!</v>
      </c>
      <c r="GI82" t="e">
        <f>AND(Bills!V252,"AAAAADvPY74=")</f>
        <v>#VALUE!</v>
      </c>
      <c r="GJ82" t="e">
        <f>AND(Bills!W252,"AAAAADvPY78=")</f>
        <v>#VALUE!</v>
      </c>
      <c r="GK82" t="e">
        <f>AND(Bills!#REF!,"AAAAADvPY8A=")</f>
        <v>#REF!</v>
      </c>
      <c r="GL82" t="e">
        <f>AND(Bills!#REF!,"AAAAADvPY8E=")</f>
        <v>#REF!</v>
      </c>
      <c r="GM82" t="e">
        <f>AND(Bills!Y252,"AAAAADvPY8I=")</f>
        <v>#VALUE!</v>
      </c>
      <c r="GN82" t="e">
        <f>AND(Bills!Z252,"AAAAADvPY8M=")</f>
        <v>#VALUE!</v>
      </c>
      <c r="GO82" t="e">
        <f>AND(Bills!#REF!,"AAAAADvPY8Q=")</f>
        <v>#REF!</v>
      </c>
      <c r="GP82" t="e">
        <f>AND(Bills!#REF!,"AAAAADvPY8U=")</f>
        <v>#REF!</v>
      </c>
      <c r="GQ82" t="e">
        <f>AND(Bills!#REF!,"AAAAADvPY8Y=")</f>
        <v>#REF!</v>
      </c>
      <c r="GR82" t="e">
        <f>AND(Bills!#REF!,"AAAAADvPY8c=")</f>
        <v>#REF!</v>
      </c>
      <c r="GS82" t="e">
        <f>AND(Bills!#REF!,"AAAAADvPY8g=")</f>
        <v>#REF!</v>
      </c>
      <c r="GT82" t="e">
        <f>AND(Bills!#REF!,"AAAAADvPY8k=")</f>
        <v>#REF!</v>
      </c>
      <c r="GU82" t="e">
        <f>AND(Bills!#REF!,"AAAAADvPY8o=")</f>
        <v>#REF!</v>
      </c>
      <c r="GV82" t="e">
        <f>AND(Bills!#REF!,"AAAAADvPY8s=")</f>
        <v>#REF!</v>
      </c>
      <c r="GW82" t="e">
        <f>AND(Bills!#REF!,"AAAAADvPY8w=")</f>
        <v>#REF!</v>
      </c>
      <c r="GX82" t="e">
        <f>AND(Bills!AA252,"AAAAADvPY80=")</f>
        <v>#VALUE!</v>
      </c>
      <c r="GY82" t="e">
        <f>AND(Bills!AB252,"AAAAADvPY84=")</f>
        <v>#VALUE!</v>
      </c>
      <c r="GZ82" t="e">
        <f>AND(Bills!#REF!,"AAAAADvPY88=")</f>
        <v>#REF!</v>
      </c>
      <c r="HA82" t="e">
        <f>AND(Bills!#REF!,"AAAAADvPY9A=")</f>
        <v>#REF!</v>
      </c>
      <c r="HB82" t="e">
        <f>AND(Bills!#REF!,"AAAAADvPY9E=")</f>
        <v>#REF!</v>
      </c>
      <c r="HC82" t="e">
        <f>AND(Bills!AC252,"AAAAADvPY9I=")</f>
        <v>#VALUE!</v>
      </c>
      <c r="HD82" t="e">
        <f>AND(Bills!AD252,"AAAAADvPY9M=")</f>
        <v>#VALUE!</v>
      </c>
      <c r="HE82" t="e">
        <f>AND(Bills!AE252,"AAAAADvPY9Q=")</f>
        <v>#VALUE!</v>
      </c>
      <c r="HF82">
        <f>IF(Bills!253:253,"AAAAADvPY9U=",0)</f>
        <v>0</v>
      </c>
      <c r="HG82" t="e">
        <f>AND(Bills!B253,"AAAAADvPY9Y=")</f>
        <v>#VALUE!</v>
      </c>
      <c r="HH82" t="e">
        <f>AND(Bills!#REF!,"AAAAADvPY9c=")</f>
        <v>#REF!</v>
      </c>
      <c r="HI82" t="e">
        <f>AND(Bills!C253,"AAAAADvPY9g=")</f>
        <v>#VALUE!</v>
      </c>
      <c r="HJ82" t="e">
        <f>AND(Bills!D253,"AAAAADvPY9k=")</f>
        <v>#VALUE!</v>
      </c>
      <c r="HK82" t="e">
        <f>AND(Bills!E253,"AAAAADvPY9o=")</f>
        <v>#VALUE!</v>
      </c>
      <c r="HL82" t="e">
        <f>AND(Bills!#REF!,"AAAAADvPY9s=")</f>
        <v>#REF!</v>
      </c>
      <c r="HM82" t="e">
        <f>AND(Bills!#REF!,"AAAAADvPY9w=")</f>
        <v>#REF!</v>
      </c>
      <c r="HN82" t="e">
        <f>AND(Bills!#REF!,"AAAAADvPY90=")</f>
        <v>#REF!</v>
      </c>
      <c r="HO82" t="e">
        <f>AND(Bills!F253,"AAAAADvPY94=")</f>
        <v>#VALUE!</v>
      </c>
      <c r="HP82" t="e">
        <f>AND(Bills!#REF!,"AAAAADvPY98=")</f>
        <v>#REF!</v>
      </c>
      <c r="HQ82" t="e">
        <f>AND(Bills!G253,"AAAAADvPY+A=")</f>
        <v>#VALUE!</v>
      </c>
      <c r="HR82" t="e">
        <f>AND(Bills!H253,"AAAAADvPY+E=")</f>
        <v>#VALUE!</v>
      </c>
      <c r="HS82" t="e">
        <f>AND(Bills!I253,"AAAAADvPY+I=")</f>
        <v>#VALUE!</v>
      </c>
      <c r="HT82" t="e">
        <f>AND(Bills!J253,"AAAAADvPY+M=")</f>
        <v>#VALUE!</v>
      </c>
      <c r="HU82" t="e">
        <f>AND(Bills!K253,"AAAAADvPY+Q=")</f>
        <v>#VALUE!</v>
      </c>
      <c r="HV82" t="e">
        <f>AND(Bills!L253,"AAAAADvPY+U=")</f>
        <v>#VALUE!</v>
      </c>
      <c r="HW82" t="e">
        <f>AND(Bills!#REF!,"AAAAADvPY+Y=")</f>
        <v>#REF!</v>
      </c>
      <c r="HX82" t="e">
        <f>AND(Bills!M253,"AAAAADvPY+c=")</f>
        <v>#VALUE!</v>
      </c>
      <c r="HY82" t="e">
        <f>AND(Bills!N253,"AAAAADvPY+g=")</f>
        <v>#VALUE!</v>
      </c>
      <c r="HZ82" t="e">
        <f>AND(Bills!O253,"AAAAADvPY+k=")</f>
        <v>#VALUE!</v>
      </c>
      <c r="IA82" t="e">
        <f>AND(Bills!P253,"AAAAADvPY+o=")</f>
        <v>#VALUE!</v>
      </c>
      <c r="IB82" t="e">
        <f>AND(Bills!Q253,"AAAAADvPY+s=")</f>
        <v>#VALUE!</v>
      </c>
      <c r="IC82" t="e">
        <f>AND(Bills!R253,"AAAAADvPY+w=")</f>
        <v>#VALUE!</v>
      </c>
      <c r="ID82" t="e">
        <f>AND(Bills!S253,"AAAAADvPY+0=")</f>
        <v>#VALUE!</v>
      </c>
      <c r="IE82" t="e">
        <f>AND(Bills!T253,"AAAAADvPY+4=")</f>
        <v>#VALUE!</v>
      </c>
      <c r="IF82" t="e">
        <f>AND(Bills!#REF!,"AAAAADvPY+8=")</f>
        <v>#REF!</v>
      </c>
      <c r="IG82" t="e">
        <f>AND(Bills!U253,"AAAAADvPY/A=")</f>
        <v>#VALUE!</v>
      </c>
      <c r="IH82" t="e">
        <f>AND(Bills!V253,"AAAAADvPY/E=")</f>
        <v>#VALUE!</v>
      </c>
      <c r="II82" t="e">
        <f>AND(Bills!W253,"AAAAADvPY/I=")</f>
        <v>#VALUE!</v>
      </c>
      <c r="IJ82" t="e">
        <f>AND(Bills!#REF!,"AAAAADvPY/M=")</f>
        <v>#REF!</v>
      </c>
      <c r="IK82" t="e">
        <f>AND(Bills!#REF!,"AAAAADvPY/Q=")</f>
        <v>#REF!</v>
      </c>
      <c r="IL82" t="e">
        <f>AND(Bills!Y253,"AAAAADvPY/U=")</f>
        <v>#VALUE!</v>
      </c>
      <c r="IM82" t="e">
        <f>AND(Bills!Z253,"AAAAADvPY/Y=")</f>
        <v>#VALUE!</v>
      </c>
      <c r="IN82" t="e">
        <f>AND(Bills!#REF!,"AAAAADvPY/c=")</f>
        <v>#REF!</v>
      </c>
      <c r="IO82" t="e">
        <f>AND(Bills!#REF!,"AAAAADvPY/g=")</f>
        <v>#REF!</v>
      </c>
      <c r="IP82" t="e">
        <f>AND(Bills!#REF!,"AAAAADvPY/k=")</f>
        <v>#REF!</v>
      </c>
      <c r="IQ82" t="e">
        <f>AND(Bills!#REF!,"AAAAADvPY/o=")</f>
        <v>#REF!</v>
      </c>
      <c r="IR82" t="e">
        <f>AND(Bills!#REF!,"AAAAADvPY/s=")</f>
        <v>#REF!</v>
      </c>
      <c r="IS82" t="e">
        <f>AND(Bills!#REF!,"AAAAADvPY/w=")</f>
        <v>#REF!</v>
      </c>
      <c r="IT82" t="e">
        <f>AND(Bills!#REF!,"AAAAADvPY/0=")</f>
        <v>#REF!</v>
      </c>
      <c r="IU82" t="e">
        <f>AND(Bills!#REF!,"AAAAADvPY/4=")</f>
        <v>#REF!</v>
      </c>
      <c r="IV82" t="e">
        <f>AND(Bills!#REF!,"AAAAADvPY/8=")</f>
        <v>#REF!</v>
      </c>
    </row>
    <row r="83" spans="1:256" x14ac:dyDescent="0.25">
      <c r="A83" t="e">
        <f>AND(Bills!AA253,"AAAAAD+8twA=")</f>
        <v>#VALUE!</v>
      </c>
      <c r="B83" t="e">
        <f>AND(Bills!AB253,"AAAAAD+8twE=")</f>
        <v>#VALUE!</v>
      </c>
      <c r="C83" t="e">
        <f>AND(Bills!#REF!,"AAAAAD+8twI=")</f>
        <v>#REF!</v>
      </c>
      <c r="D83" t="e">
        <f>AND(Bills!#REF!,"AAAAAD+8twM=")</f>
        <v>#REF!</v>
      </c>
      <c r="E83" t="e">
        <f>AND(Bills!#REF!,"AAAAAD+8twQ=")</f>
        <v>#REF!</v>
      </c>
      <c r="F83" t="e">
        <f>AND(Bills!AC253,"AAAAAD+8twU=")</f>
        <v>#VALUE!</v>
      </c>
      <c r="G83" t="e">
        <f>AND(Bills!AD253,"AAAAAD+8twY=")</f>
        <v>#VALUE!</v>
      </c>
      <c r="H83" t="e">
        <f>AND(Bills!AE253,"AAAAAD+8twc=")</f>
        <v>#VALUE!</v>
      </c>
      <c r="I83">
        <f>IF(Bills!254:254,"AAAAAD+8twg=",0)</f>
        <v>0</v>
      </c>
      <c r="J83" t="e">
        <f>AND(Bills!B254,"AAAAAD+8twk=")</f>
        <v>#VALUE!</v>
      </c>
      <c r="K83" t="e">
        <f>AND(Bills!#REF!,"AAAAAD+8two=")</f>
        <v>#REF!</v>
      </c>
      <c r="L83" t="e">
        <f>AND(Bills!C254,"AAAAAD+8tws=")</f>
        <v>#VALUE!</v>
      </c>
      <c r="M83" t="e">
        <f>AND(Bills!D254,"AAAAAD+8tww=")</f>
        <v>#VALUE!</v>
      </c>
      <c r="N83" t="e">
        <f>AND(Bills!E254,"AAAAAD+8tw0=")</f>
        <v>#VALUE!</v>
      </c>
      <c r="O83" t="e">
        <f>AND(Bills!#REF!,"AAAAAD+8tw4=")</f>
        <v>#REF!</v>
      </c>
      <c r="P83" t="e">
        <f>AND(Bills!#REF!,"AAAAAD+8tw8=")</f>
        <v>#REF!</v>
      </c>
      <c r="Q83" t="e">
        <f>AND(Bills!#REF!,"AAAAAD+8txA=")</f>
        <v>#REF!</v>
      </c>
      <c r="R83" t="e">
        <f>AND(Bills!F254,"AAAAAD+8txE=")</f>
        <v>#VALUE!</v>
      </c>
      <c r="S83" t="e">
        <f>AND(Bills!#REF!,"AAAAAD+8txI=")</f>
        <v>#REF!</v>
      </c>
      <c r="T83" t="e">
        <f>AND(Bills!G254,"AAAAAD+8txM=")</f>
        <v>#VALUE!</v>
      </c>
      <c r="U83" t="e">
        <f>AND(Bills!H254,"AAAAAD+8txQ=")</f>
        <v>#VALUE!</v>
      </c>
      <c r="V83" t="e">
        <f>AND(Bills!I254,"AAAAAD+8txU=")</f>
        <v>#VALUE!</v>
      </c>
      <c r="W83" t="e">
        <f>AND(Bills!J254,"AAAAAD+8txY=")</f>
        <v>#VALUE!</v>
      </c>
      <c r="X83" t="e">
        <f>AND(Bills!K254,"AAAAAD+8txc=")</f>
        <v>#VALUE!</v>
      </c>
      <c r="Y83" t="e">
        <f>AND(Bills!L254,"AAAAAD+8txg=")</f>
        <v>#VALUE!</v>
      </c>
      <c r="Z83" t="e">
        <f>AND(Bills!#REF!,"AAAAAD+8txk=")</f>
        <v>#REF!</v>
      </c>
      <c r="AA83" t="e">
        <f>AND(Bills!M254,"AAAAAD+8txo=")</f>
        <v>#VALUE!</v>
      </c>
      <c r="AB83" t="e">
        <f>AND(Bills!N254,"AAAAAD+8txs=")</f>
        <v>#VALUE!</v>
      </c>
      <c r="AC83" t="e">
        <f>AND(Bills!O254,"AAAAAD+8txw=")</f>
        <v>#VALUE!</v>
      </c>
      <c r="AD83" t="e">
        <f>AND(Bills!P254,"AAAAAD+8tx0=")</f>
        <v>#VALUE!</v>
      </c>
      <c r="AE83" t="e">
        <f>AND(Bills!Q254,"AAAAAD+8tx4=")</f>
        <v>#VALUE!</v>
      </c>
      <c r="AF83" t="e">
        <f>AND(Bills!R254,"AAAAAD+8tx8=")</f>
        <v>#VALUE!</v>
      </c>
      <c r="AG83" t="e">
        <f>AND(Bills!S254,"AAAAAD+8tyA=")</f>
        <v>#VALUE!</v>
      </c>
      <c r="AH83" t="e">
        <f>AND(Bills!T254,"AAAAAD+8tyE=")</f>
        <v>#VALUE!</v>
      </c>
      <c r="AI83" t="e">
        <f>AND(Bills!#REF!,"AAAAAD+8tyI=")</f>
        <v>#REF!</v>
      </c>
      <c r="AJ83" t="e">
        <f>AND(Bills!U254,"AAAAAD+8tyM=")</f>
        <v>#VALUE!</v>
      </c>
      <c r="AK83" t="e">
        <f>AND(Bills!V254,"AAAAAD+8tyQ=")</f>
        <v>#VALUE!</v>
      </c>
      <c r="AL83" t="e">
        <f>AND(Bills!W254,"AAAAAD+8tyU=")</f>
        <v>#VALUE!</v>
      </c>
      <c r="AM83" t="e">
        <f>AND(Bills!#REF!,"AAAAAD+8tyY=")</f>
        <v>#REF!</v>
      </c>
      <c r="AN83" t="e">
        <f>AND(Bills!#REF!,"AAAAAD+8tyc=")</f>
        <v>#REF!</v>
      </c>
      <c r="AO83" t="e">
        <f>AND(Bills!Y254,"AAAAAD+8tyg=")</f>
        <v>#VALUE!</v>
      </c>
      <c r="AP83" t="e">
        <f>AND(Bills!Z254,"AAAAAD+8tyk=")</f>
        <v>#VALUE!</v>
      </c>
      <c r="AQ83" t="e">
        <f>AND(Bills!#REF!,"AAAAAD+8tyo=")</f>
        <v>#REF!</v>
      </c>
      <c r="AR83" t="e">
        <f>AND(Bills!#REF!,"AAAAAD+8tys=")</f>
        <v>#REF!</v>
      </c>
      <c r="AS83" t="e">
        <f>AND(Bills!#REF!,"AAAAAD+8tyw=")</f>
        <v>#REF!</v>
      </c>
      <c r="AT83" t="e">
        <f>AND(Bills!#REF!,"AAAAAD+8ty0=")</f>
        <v>#REF!</v>
      </c>
      <c r="AU83" t="e">
        <f>AND(Bills!#REF!,"AAAAAD+8ty4=")</f>
        <v>#REF!</v>
      </c>
      <c r="AV83" t="e">
        <f>AND(Bills!#REF!,"AAAAAD+8ty8=")</f>
        <v>#REF!</v>
      </c>
      <c r="AW83" t="e">
        <f>AND(Bills!#REF!,"AAAAAD+8tzA=")</f>
        <v>#REF!</v>
      </c>
      <c r="AX83" t="e">
        <f>AND(Bills!#REF!,"AAAAAD+8tzE=")</f>
        <v>#REF!</v>
      </c>
      <c r="AY83" t="e">
        <f>AND(Bills!#REF!,"AAAAAD+8tzI=")</f>
        <v>#REF!</v>
      </c>
      <c r="AZ83" t="e">
        <f>AND(Bills!AA254,"AAAAAD+8tzM=")</f>
        <v>#VALUE!</v>
      </c>
      <c r="BA83" t="e">
        <f>AND(Bills!AB254,"AAAAAD+8tzQ=")</f>
        <v>#VALUE!</v>
      </c>
      <c r="BB83" t="e">
        <f>AND(Bills!#REF!,"AAAAAD+8tzU=")</f>
        <v>#REF!</v>
      </c>
      <c r="BC83" t="e">
        <f>AND(Bills!#REF!,"AAAAAD+8tzY=")</f>
        <v>#REF!</v>
      </c>
      <c r="BD83" t="e">
        <f>AND(Bills!#REF!,"AAAAAD+8tzc=")</f>
        <v>#REF!</v>
      </c>
      <c r="BE83" t="e">
        <f>AND(Bills!AC254,"AAAAAD+8tzg=")</f>
        <v>#VALUE!</v>
      </c>
      <c r="BF83" t="e">
        <f>AND(Bills!AD254,"AAAAAD+8tzk=")</f>
        <v>#VALUE!</v>
      </c>
      <c r="BG83" t="e">
        <f>AND(Bills!AE254,"AAAAAD+8tzo=")</f>
        <v>#VALUE!</v>
      </c>
      <c r="BH83">
        <f>IF(Bills!255:255,"AAAAAD+8tzs=",0)</f>
        <v>0</v>
      </c>
      <c r="BI83" t="e">
        <f>AND(Bills!B255,"AAAAAD+8tzw=")</f>
        <v>#VALUE!</v>
      </c>
      <c r="BJ83" t="e">
        <f>AND(Bills!#REF!,"AAAAAD+8tz0=")</f>
        <v>#REF!</v>
      </c>
      <c r="BK83" t="e">
        <f>AND(Bills!C255,"AAAAAD+8tz4=")</f>
        <v>#VALUE!</v>
      </c>
      <c r="BL83" t="e">
        <f>AND(Bills!D255,"AAAAAD+8tz8=")</f>
        <v>#VALUE!</v>
      </c>
      <c r="BM83" t="e">
        <f>AND(Bills!E255,"AAAAAD+8t0A=")</f>
        <v>#VALUE!</v>
      </c>
      <c r="BN83" t="e">
        <f>AND(Bills!#REF!,"AAAAAD+8t0E=")</f>
        <v>#REF!</v>
      </c>
      <c r="BO83" t="e">
        <f>AND(Bills!#REF!,"AAAAAD+8t0I=")</f>
        <v>#REF!</v>
      </c>
      <c r="BP83" t="e">
        <f>AND(Bills!#REF!,"AAAAAD+8t0M=")</f>
        <v>#REF!</v>
      </c>
      <c r="BQ83" t="e">
        <f>AND(Bills!F255,"AAAAAD+8t0Q=")</f>
        <v>#VALUE!</v>
      </c>
      <c r="BR83" t="e">
        <f>AND(Bills!#REF!,"AAAAAD+8t0U=")</f>
        <v>#REF!</v>
      </c>
      <c r="BS83" t="e">
        <f>AND(Bills!G255,"AAAAAD+8t0Y=")</f>
        <v>#VALUE!</v>
      </c>
      <c r="BT83" t="e">
        <f>AND(Bills!H255,"AAAAAD+8t0c=")</f>
        <v>#VALUE!</v>
      </c>
      <c r="BU83" t="e">
        <f>AND(Bills!I255,"AAAAAD+8t0g=")</f>
        <v>#VALUE!</v>
      </c>
      <c r="BV83" t="e">
        <f>AND(Bills!J255,"AAAAAD+8t0k=")</f>
        <v>#VALUE!</v>
      </c>
      <c r="BW83" t="e">
        <f>AND(Bills!K255,"AAAAAD+8t0o=")</f>
        <v>#VALUE!</v>
      </c>
      <c r="BX83" t="e">
        <f>AND(Bills!L255,"AAAAAD+8t0s=")</f>
        <v>#VALUE!</v>
      </c>
      <c r="BY83" t="e">
        <f>AND(Bills!#REF!,"AAAAAD+8t0w=")</f>
        <v>#REF!</v>
      </c>
      <c r="BZ83" t="e">
        <f>AND(Bills!M255,"AAAAAD+8t00=")</f>
        <v>#VALUE!</v>
      </c>
      <c r="CA83" t="e">
        <f>AND(Bills!N255,"AAAAAD+8t04=")</f>
        <v>#VALUE!</v>
      </c>
      <c r="CB83" t="e">
        <f>AND(Bills!O255,"AAAAAD+8t08=")</f>
        <v>#VALUE!</v>
      </c>
      <c r="CC83" t="e">
        <f>AND(Bills!P255,"AAAAAD+8t1A=")</f>
        <v>#VALUE!</v>
      </c>
      <c r="CD83" t="e">
        <f>AND(Bills!Q255,"AAAAAD+8t1E=")</f>
        <v>#VALUE!</v>
      </c>
      <c r="CE83" t="e">
        <f>AND(Bills!R255,"AAAAAD+8t1I=")</f>
        <v>#VALUE!</v>
      </c>
      <c r="CF83" t="e">
        <f>AND(Bills!S255,"AAAAAD+8t1M=")</f>
        <v>#VALUE!</v>
      </c>
      <c r="CG83" t="e">
        <f>AND(Bills!T255,"AAAAAD+8t1Q=")</f>
        <v>#VALUE!</v>
      </c>
      <c r="CH83" t="e">
        <f>AND(Bills!#REF!,"AAAAAD+8t1U=")</f>
        <v>#REF!</v>
      </c>
      <c r="CI83" t="e">
        <f>AND(Bills!U255,"AAAAAD+8t1Y=")</f>
        <v>#VALUE!</v>
      </c>
      <c r="CJ83" t="e">
        <f>AND(Bills!V255,"AAAAAD+8t1c=")</f>
        <v>#VALUE!</v>
      </c>
      <c r="CK83" t="e">
        <f>AND(Bills!W255,"AAAAAD+8t1g=")</f>
        <v>#VALUE!</v>
      </c>
      <c r="CL83" t="e">
        <f>AND(Bills!#REF!,"AAAAAD+8t1k=")</f>
        <v>#REF!</v>
      </c>
      <c r="CM83" t="e">
        <f>AND(Bills!#REF!,"AAAAAD+8t1o=")</f>
        <v>#REF!</v>
      </c>
      <c r="CN83" t="e">
        <f>AND(Bills!Y255,"AAAAAD+8t1s=")</f>
        <v>#VALUE!</v>
      </c>
      <c r="CO83" t="e">
        <f>AND(Bills!Z255,"AAAAAD+8t1w=")</f>
        <v>#VALUE!</v>
      </c>
      <c r="CP83" t="e">
        <f>AND(Bills!#REF!,"AAAAAD+8t10=")</f>
        <v>#REF!</v>
      </c>
      <c r="CQ83" t="e">
        <f>AND(Bills!#REF!,"AAAAAD+8t14=")</f>
        <v>#REF!</v>
      </c>
      <c r="CR83" t="e">
        <f>AND(Bills!#REF!,"AAAAAD+8t18=")</f>
        <v>#REF!</v>
      </c>
      <c r="CS83" t="e">
        <f>AND(Bills!#REF!,"AAAAAD+8t2A=")</f>
        <v>#REF!</v>
      </c>
      <c r="CT83" t="e">
        <f>AND(Bills!#REF!,"AAAAAD+8t2E=")</f>
        <v>#REF!</v>
      </c>
      <c r="CU83" t="e">
        <f>AND(Bills!#REF!,"AAAAAD+8t2I=")</f>
        <v>#REF!</v>
      </c>
      <c r="CV83" t="e">
        <f>AND(Bills!#REF!,"AAAAAD+8t2M=")</f>
        <v>#REF!</v>
      </c>
      <c r="CW83" t="e">
        <f>AND(Bills!#REF!,"AAAAAD+8t2Q=")</f>
        <v>#REF!</v>
      </c>
      <c r="CX83" t="e">
        <f>AND(Bills!#REF!,"AAAAAD+8t2U=")</f>
        <v>#REF!</v>
      </c>
      <c r="CY83" t="e">
        <f>AND(Bills!AA255,"AAAAAD+8t2Y=")</f>
        <v>#VALUE!</v>
      </c>
      <c r="CZ83" t="e">
        <f>AND(Bills!AB255,"AAAAAD+8t2c=")</f>
        <v>#VALUE!</v>
      </c>
      <c r="DA83" t="e">
        <f>AND(Bills!#REF!,"AAAAAD+8t2g=")</f>
        <v>#REF!</v>
      </c>
      <c r="DB83" t="e">
        <f>AND(Bills!#REF!,"AAAAAD+8t2k=")</f>
        <v>#REF!</v>
      </c>
      <c r="DC83" t="e">
        <f>AND(Bills!#REF!,"AAAAAD+8t2o=")</f>
        <v>#REF!</v>
      </c>
      <c r="DD83" t="e">
        <f>AND(Bills!AC255,"AAAAAD+8t2s=")</f>
        <v>#VALUE!</v>
      </c>
      <c r="DE83" t="e">
        <f>AND(Bills!AD255,"AAAAAD+8t2w=")</f>
        <v>#VALUE!</v>
      </c>
      <c r="DF83" t="e">
        <f>AND(Bills!AE255,"AAAAAD+8t20=")</f>
        <v>#VALUE!</v>
      </c>
      <c r="DG83">
        <f>IF(Bills!256:256,"AAAAAD+8t24=",0)</f>
        <v>0</v>
      </c>
      <c r="DH83" t="e">
        <f>AND(Bills!B256,"AAAAAD+8t28=")</f>
        <v>#VALUE!</v>
      </c>
      <c r="DI83" t="e">
        <f>AND(Bills!#REF!,"AAAAAD+8t3A=")</f>
        <v>#REF!</v>
      </c>
      <c r="DJ83" t="e">
        <f>AND(Bills!C256,"AAAAAD+8t3E=")</f>
        <v>#VALUE!</v>
      </c>
      <c r="DK83" t="e">
        <f>AND(Bills!D256,"AAAAAD+8t3I=")</f>
        <v>#VALUE!</v>
      </c>
      <c r="DL83" t="e">
        <f>AND(Bills!E256,"AAAAAD+8t3M=")</f>
        <v>#VALUE!</v>
      </c>
      <c r="DM83" t="e">
        <f>AND(Bills!#REF!,"AAAAAD+8t3Q=")</f>
        <v>#REF!</v>
      </c>
      <c r="DN83" t="e">
        <f>AND(Bills!#REF!,"AAAAAD+8t3U=")</f>
        <v>#REF!</v>
      </c>
      <c r="DO83" t="e">
        <f>AND(Bills!#REF!,"AAAAAD+8t3Y=")</f>
        <v>#REF!</v>
      </c>
      <c r="DP83" t="e">
        <f>AND(Bills!F256,"AAAAAD+8t3c=")</f>
        <v>#VALUE!</v>
      </c>
      <c r="DQ83" t="e">
        <f>AND(Bills!#REF!,"AAAAAD+8t3g=")</f>
        <v>#REF!</v>
      </c>
      <c r="DR83" t="e">
        <f>AND(Bills!G256,"AAAAAD+8t3k=")</f>
        <v>#VALUE!</v>
      </c>
      <c r="DS83" t="e">
        <f>AND(Bills!H256,"AAAAAD+8t3o=")</f>
        <v>#VALUE!</v>
      </c>
      <c r="DT83" t="e">
        <f>AND(Bills!I256,"AAAAAD+8t3s=")</f>
        <v>#VALUE!</v>
      </c>
      <c r="DU83" t="e">
        <f>AND(Bills!J256,"AAAAAD+8t3w=")</f>
        <v>#VALUE!</v>
      </c>
      <c r="DV83" t="e">
        <f>AND(Bills!K256,"AAAAAD+8t30=")</f>
        <v>#VALUE!</v>
      </c>
      <c r="DW83" t="e">
        <f>AND(Bills!L256,"AAAAAD+8t34=")</f>
        <v>#VALUE!</v>
      </c>
      <c r="DX83" t="e">
        <f>AND(Bills!#REF!,"AAAAAD+8t38=")</f>
        <v>#REF!</v>
      </c>
      <c r="DY83" t="e">
        <f>AND(Bills!M256,"AAAAAD+8t4A=")</f>
        <v>#VALUE!</v>
      </c>
      <c r="DZ83" t="e">
        <f>AND(Bills!N256,"AAAAAD+8t4E=")</f>
        <v>#VALUE!</v>
      </c>
      <c r="EA83" t="e">
        <f>AND(Bills!O256,"AAAAAD+8t4I=")</f>
        <v>#VALUE!</v>
      </c>
      <c r="EB83" t="e">
        <f>AND(Bills!P256,"AAAAAD+8t4M=")</f>
        <v>#VALUE!</v>
      </c>
      <c r="EC83" t="e">
        <f>AND(Bills!Q256,"AAAAAD+8t4Q=")</f>
        <v>#VALUE!</v>
      </c>
      <c r="ED83" t="e">
        <f>AND(Bills!R256,"AAAAAD+8t4U=")</f>
        <v>#VALUE!</v>
      </c>
      <c r="EE83" t="e">
        <f>AND(Bills!S256,"AAAAAD+8t4Y=")</f>
        <v>#VALUE!</v>
      </c>
      <c r="EF83" t="e">
        <f>AND(Bills!T256,"AAAAAD+8t4c=")</f>
        <v>#VALUE!</v>
      </c>
      <c r="EG83" t="e">
        <f>AND(Bills!#REF!,"AAAAAD+8t4g=")</f>
        <v>#REF!</v>
      </c>
      <c r="EH83" t="e">
        <f>AND(Bills!U256,"AAAAAD+8t4k=")</f>
        <v>#VALUE!</v>
      </c>
      <c r="EI83" t="e">
        <f>AND(Bills!V256,"AAAAAD+8t4o=")</f>
        <v>#VALUE!</v>
      </c>
      <c r="EJ83" t="e">
        <f>AND(Bills!W256,"AAAAAD+8t4s=")</f>
        <v>#VALUE!</v>
      </c>
      <c r="EK83" t="e">
        <f>AND(Bills!#REF!,"AAAAAD+8t4w=")</f>
        <v>#REF!</v>
      </c>
      <c r="EL83" t="e">
        <f>AND(Bills!#REF!,"AAAAAD+8t40=")</f>
        <v>#REF!</v>
      </c>
      <c r="EM83" t="e">
        <f>AND(Bills!Y256,"AAAAAD+8t44=")</f>
        <v>#VALUE!</v>
      </c>
      <c r="EN83" t="e">
        <f>AND(Bills!Z256,"AAAAAD+8t48=")</f>
        <v>#VALUE!</v>
      </c>
      <c r="EO83" t="e">
        <f>AND(Bills!#REF!,"AAAAAD+8t5A=")</f>
        <v>#REF!</v>
      </c>
      <c r="EP83" t="e">
        <f>AND(Bills!#REF!,"AAAAAD+8t5E=")</f>
        <v>#REF!</v>
      </c>
      <c r="EQ83" t="e">
        <f>AND(Bills!#REF!,"AAAAAD+8t5I=")</f>
        <v>#REF!</v>
      </c>
      <c r="ER83" t="e">
        <f>AND(Bills!#REF!,"AAAAAD+8t5M=")</f>
        <v>#REF!</v>
      </c>
      <c r="ES83" t="e">
        <f>AND(Bills!#REF!,"AAAAAD+8t5Q=")</f>
        <v>#REF!</v>
      </c>
      <c r="ET83" t="e">
        <f>AND(Bills!#REF!,"AAAAAD+8t5U=")</f>
        <v>#REF!</v>
      </c>
      <c r="EU83" t="e">
        <f>AND(Bills!#REF!,"AAAAAD+8t5Y=")</f>
        <v>#REF!</v>
      </c>
      <c r="EV83" t="e">
        <f>AND(Bills!#REF!,"AAAAAD+8t5c=")</f>
        <v>#REF!</v>
      </c>
      <c r="EW83" t="e">
        <f>AND(Bills!#REF!,"AAAAAD+8t5g=")</f>
        <v>#REF!</v>
      </c>
      <c r="EX83" t="e">
        <f>AND(Bills!AA256,"AAAAAD+8t5k=")</f>
        <v>#VALUE!</v>
      </c>
      <c r="EY83" t="e">
        <f>AND(Bills!AB256,"AAAAAD+8t5o=")</f>
        <v>#VALUE!</v>
      </c>
      <c r="EZ83" t="e">
        <f>AND(Bills!#REF!,"AAAAAD+8t5s=")</f>
        <v>#REF!</v>
      </c>
      <c r="FA83" t="e">
        <f>AND(Bills!#REF!,"AAAAAD+8t5w=")</f>
        <v>#REF!</v>
      </c>
      <c r="FB83" t="e">
        <f>AND(Bills!#REF!,"AAAAAD+8t50=")</f>
        <v>#REF!</v>
      </c>
      <c r="FC83" t="e">
        <f>AND(Bills!AC256,"AAAAAD+8t54=")</f>
        <v>#VALUE!</v>
      </c>
      <c r="FD83" t="e">
        <f>AND(Bills!AD256,"AAAAAD+8t58=")</f>
        <v>#VALUE!</v>
      </c>
      <c r="FE83" t="e">
        <f>AND(Bills!AE256,"AAAAAD+8t6A=")</f>
        <v>#VALUE!</v>
      </c>
      <c r="FF83">
        <f>IF(Bills!257:257,"AAAAAD+8t6E=",0)</f>
        <v>0</v>
      </c>
      <c r="FG83" t="e">
        <f>AND(Bills!B257,"AAAAAD+8t6I=")</f>
        <v>#VALUE!</v>
      </c>
      <c r="FH83" t="e">
        <f>AND(Bills!#REF!,"AAAAAD+8t6M=")</f>
        <v>#REF!</v>
      </c>
      <c r="FI83" t="e">
        <f>AND(Bills!C257,"AAAAAD+8t6Q=")</f>
        <v>#VALUE!</v>
      </c>
      <c r="FJ83" t="e">
        <f>AND(Bills!D257,"AAAAAD+8t6U=")</f>
        <v>#VALUE!</v>
      </c>
      <c r="FK83" t="e">
        <f>AND(Bills!E257,"AAAAAD+8t6Y=")</f>
        <v>#VALUE!</v>
      </c>
      <c r="FL83" t="e">
        <f>AND(Bills!#REF!,"AAAAAD+8t6c=")</f>
        <v>#REF!</v>
      </c>
      <c r="FM83" t="e">
        <f>AND(Bills!#REF!,"AAAAAD+8t6g=")</f>
        <v>#REF!</v>
      </c>
      <c r="FN83" t="e">
        <f>AND(Bills!#REF!,"AAAAAD+8t6k=")</f>
        <v>#REF!</v>
      </c>
      <c r="FO83" t="e">
        <f>AND(Bills!F257,"AAAAAD+8t6o=")</f>
        <v>#VALUE!</v>
      </c>
      <c r="FP83" t="e">
        <f>AND(Bills!#REF!,"AAAAAD+8t6s=")</f>
        <v>#REF!</v>
      </c>
      <c r="FQ83" t="e">
        <f>AND(Bills!G257,"AAAAAD+8t6w=")</f>
        <v>#VALUE!</v>
      </c>
      <c r="FR83" t="e">
        <f>AND(Bills!H257,"AAAAAD+8t60=")</f>
        <v>#VALUE!</v>
      </c>
      <c r="FS83" t="e">
        <f>AND(Bills!I257,"AAAAAD+8t64=")</f>
        <v>#VALUE!</v>
      </c>
      <c r="FT83" t="e">
        <f>AND(Bills!J257,"AAAAAD+8t68=")</f>
        <v>#VALUE!</v>
      </c>
      <c r="FU83" t="e">
        <f>AND(Bills!K257,"AAAAAD+8t7A=")</f>
        <v>#VALUE!</v>
      </c>
      <c r="FV83" t="e">
        <f>AND(Bills!L257,"AAAAAD+8t7E=")</f>
        <v>#VALUE!</v>
      </c>
      <c r="FW83" t="e">
        <f>AND(Bills!#REF!,"AAAAAD+8t7I=")</f>
        <v>#REF!</v>
      </c>
      <c r="FX83" t="e">
        <f>AND(Bills!M257,"AAAAAD+8t7M=")</f>
        <v>#VALUE!</v>
      </c>
      <c r="FY83" t="e">
        <f>AND(Bills!N257,"AAAAAD+8t7Q=")</f>
        <v>#VALUE!</v>
      </c>
      <c r="FZ83" t="e">
        <f>AND(Bills!O257,"AAAAAD+8t7U=")</f>
        <v>#VALUE!</v>
      </c>
      <c r="GA83" t="e">
        <f>AND(Bills!P257,"AAAAAD+8t7Y=")</f>
        <v>#VALUE!</v>
      </c>
      <c r="GB83" t="e">
        <f>AND(Bills!Q257,"AAAAAD+8t7c=")</f>
        <v>#VALUE!</v>
      </c>
      <c r="GC83" t="e">
        <f>AND(Bills!R257,"AAAAAD+8t7g=")</f>
        <v>#VALUE!</v>
      </c>
      <c r="GD83" t="e">
        <f>AND(Bills!S257,"AAAAAD+8t7k=")</f>
        <v>#VALUE!</v>
      </c>
      <c r="GE83" t="e">
        <f>AND(Bills!T257,"AAAAAD+8t7o=")</f>
        <v>#VALUE!</v>
      </c>
      <c r="GF83" t="e">
        <f>AND(Bills!#REF!,"AAAAAD+8t7s=")</f>
        <v>#REF!</v>
      </c>
      <c r="GG83" t="e">
        <f>AND(Bills!U257,"AAAAAD+8t7w=")</f>
        <v>#VALUE!</v>
      </c>
      <c r="GH83" t="e">
        <f>AND(Bills!V257,"AAAAAD+8t70=")</f>
        <v>#VALUE!</v>
      </c>
      <c r="GI83" t="e">
        <f>AND(Bills!W257,"AAAAAD+8t74=")</f>
        <v>#VALUE!</v>
      </c>
      <c r="GJ83" t="e">
        <f>AND(Bills!#REF!,"AAAAAD+8t78=")</f>
        <v>#REF!</v>
      </c>
      <c r="GK83" t="e">
        <f>AND(Bills!#REF!,"AAAAAD+8t8A=")</f>
        <v>#REF!</v>
      </c>
      <c r="GL83" t="e">
        <f>AND(Bills!Y257,"AAAAAD+8t8E=")</f>
        <v>#VALUE!</v>
      </c>
      <c r="GM83" t="e">
        <f>AND(Bills!Z257,"AAAAAD+8t8I=")</f>
        <v>#VALUE!</v>
      </c>
      <c r="GN83" t="e">
        <f>AND(Bills!#REF!,"AAAAAD+8t8M=")</f>
        <v>#REF!</v>
      </c>
      <c r="GO83" t="e">
        <f>AND(Bills!#REF!,"AAAAAD+8t8Q=")</f>
        <v>#REF!</v>
      </c>
      <c r="GP83" t="e">
        <f>AND(Bills!#REF!,"AAAAAD+8t8U=")</f>
        <v>#REF!</v>
      </c>
      <c r="GQ83" t="e">
        <f>AND(Bills!#REF!,"AAAAAD+8t8Y=")</f>
        <v>#REF!</v>
      </c>
      <c r="GR83" t="e">
        <f>AND(Bills!#REF!,"AAAAAD+8t8c=")</f>
        <v>#REF!</v>
      </c>
      <c r="GS83" t="e">
        <f>AND(Bills!#REF!,"AAAAAD+8t8g=")</f>
        <v>#REF!</v>
      </c>
      <c r="GT83" t="e">
        <f>AND(Bills!#REF!,"AAAAAD+8t8k=")</f>
        <v>#REF!</v>
      </c>
      <c r="GU83" t="e">
        <f>AND(Bills!#REF!,"AAAAAD+8t8o=")</f>
        <v>#REF!</v>
      </c>
      <c r="GV83" t="e">
        <f>AND(Bills!#REF!,"AAAAAD+8t8s=")</f>
        <v>#REF!</v>
      </c>
      <c r="GW83" t="e">
        <f>AND(Bills!AA257,"AAAAAD+8t8w=")</f>
        <v>#VALUE!</v>
      </c>
      <c r="GX83" t="e">
        <f>AND(Bills!AB257,"AAAAAD+8t80=")</f>
        <v>#VALUE!</v>
      </c>
      <c r="GY83" t="e">
        <f>AND(Bills!#REF!,"AAAAAD+8t84=")</f>
        <v>#REF!</v>
      </c>
      <c r="GZ83" t="e">
        <f>AND(Bills!#REF!,"AAAAAD+8t88=")</f>
        <v>#REF!</v>
      </c>
      <c r="HA83" t="e">
        <f>AND(Bills!#REF!,"AAAAAD+8t9A=")</f>
        <v>#REF!</v>
      </c>
      <c r="HB83" t="e">
        <f>AND(Bills!AC257,"AAAAAD+8t9E=")</f>
        <v>#VALUE!</v>
      </c>
      <c r="HC83" t="e">
        <f>AND(Bills!AD257,"AAAAAD+8t9I=")</f>
        <v>#VALUE!</v>
      </c>
      <c r="HD83" t="e">
        <f>AND(Bills!AE257,"AAAAAD+8t9M=")</f>
        <v>#VALUE!</v>
      </c>
      <c r="HE83">
        <f>IF(Bills!258:258,"AAAAAD+8t9Q=",0)</f>
        <v>0</v>
      </c>
      <c r="HF83" t="e">
        <f>AND(Bills!B258,"AAAAAD+8t9U=")</f>
        <v>#VALUE!</v>
      </c>
      <c r="HG83" t="e">
        <f>AND(Bills!#REF!,"AAAAAD+8t9Y=")</f>
        <v>#REF!</v>
      </c>
      <c r="HH83" t="e">
        <f>AND(Bills!C258,"AAAAAD+8t9c=")</f>
        <v>#VALUE!</v>
      </c>
      <c r="HI83" t="e">
        <f>AND(Bills!D258,"AAAAAD+8t9g=")</f>
        <v>#VALUE!</v>
      </c>
      <c r="HJ83" t="e">
        <f>AND(Bills!E258,"AAAAAD+8t9k=")</f>
        <v>#VALUE!</v>
      </c>
      <c r="HK83" t="e">
        <f>AND(Bills!#REF!,"AAAAAD+8t9o=")</f>
        <v>#REF!</v>
      </c>
      <c r="HL83" t="e">
        <f>AND(Bills!#REF!,"AAAAAD+8t9s=")</f>
        <v>#REF!</v>
      </c>
      <c r="HM83" t="e">
        <f>AND(Bills!#REF!,"AAAAAD+8t9w=")</f>
        <v>#REF!</v>
      </c>
      <c r="HN83" t="e">
        <f>AND(Bills!F258,"AAAAAD+8t90=")</f>
        <v>#VALUE!</v>
      </c>
      <c r="HO83" t="e">
        <f>AND(Bills!#REF!,"AAAAAD+8t94=")</f>
        <v>#REF!</v>
      </c>
      <c r="HP83" t="e">
        <f>AND(Bills!G258,"AAAAAD+8t98=")</f>
        <v>#VALUE!</v>
      </c>
      <c r="HQ83" t="e">
        <f>AND(Bills!H258,"AAAAAD+8t+A=")</f>
        <v>#VALUE!</v>
      </c>
      <c r="HR83" t="e">
        <f>AND(Bills!I258,"AAAAAD+8t+E=")</f>
        <v>#VALUE!</v>
      </c>
      <c r="HS83" t="e">
        <f>AND(Bills!J258,"AAAAAD+8t+I=")</f>
        <v>#VALUE!</v>
      </c>
      <c r="HT83" t="e">
        <f>AND(Bills!K258,"AAAAAD+8t+M=")</f>
        <v>#VALUE!</v>
      </c>
      <c r="HU83" t="e">
        <f>AND(Bills!L258,"AAAAAD+8t+Q=")</f>
        <v>#VALUE!</v>
      </c>
      <c r="HV83" t="e">
        <f>AND(Bills!#REF!,"AAAAAD+8t+U=")</f>
        <v>#REF!</v>
      </c>
      <c r="HW83" t="e">
        <f>AND(Bills!M258,"AAAAAD+8t+Y=")</f>
        <v>#VALUE!</v>
      </c>
      <c r="HX83" t="e">
        <f>AND(Bills!N258,"AAAAAD+8t+c=")</f>
        <v>#VALUE!</v>
      </c>
      <c r="HY83" t="e">
        <f>AND(Bills!O258,"AAAAAD+8t+g=")</f>
        <v>#VALUE!</v>
      </c>
      <c r="HZ83" t="e">
        <f>AND(Bills!P258,"AAAAAD+8t+k=")</f>
        <v>#VALUE!</v>
      </c>
      <c r="IA83" t="e">
        <f>AND(Bills!Q258,"AAAAAD+8t+o=")</f>
        <v>#VALUE!</v>
      </c>
      <c r="IB83" t="e">
        <f>AND(Bills!R258,"AAAAAD+8t+s=")</f>
        <v>#VALUE!</v>
      </c>
      <c r="IC83" t="e">
        <f>AND(Bills!S258,"AAAAAD+8t+w=")</f>
        <v>#VALUE!</v>
      </c>
      <c r="ID83" t="e">
        <f>AND(Bills!T258,"AAAAAD+8t+0=")</f>
        <v>#VALUE!</v>
      </c>
      <c r="IE83" t="e">
        <f>AND(Bills!#REF!,"AAAAAD+8t+4=")</f>
        <v>#REF!</v>
      </c>
      <c r="IF83" t="e">
        <f>AND(Bills!U258,"AAAAAD+8t+8=")</f>
        <v>#VALUE!</v>
      </c>
      <c r="IG83" t="e">
        <f>AND(Bills!V258,"AAAAAD+8t/A=")</f>
        <v>#VALUE!</v>
      </c>
      <c r="IH83" t="e">
        <f>AND(Bills!W258,"AAAAAD+8t/E=")</f>
        <v>#VALUE!</v>
      </c>
      <c r="II83" t="e">
        <f>AND(Bills!#REF!,"AAAAAD+8t/I=")</f>
        <v>#REF!</v>
      </c>
      <c r="IJ83" t="e">
        <f>AND(Bills!#REF!,"AAAAAD+8t/M=")</f>
        <v>#REF!</v>
      </c>
      <c r="IK83" t="e">
        <f>AND(Bills!Y258,"AAAAAD+8t/Q=")</f>
        <v>#VALUE!</v>
      </c>
      <c r="IL83" t="e">
        <f>AND(Bills!Z258,"AAAAAD+8t/U=")</f>
        <v>#VALUE!</v>
      </c>
      <c r="IM83" t="e">
        <f>AND(Bills!#REF!,"AAAAAD+8t/Y=")</f>
        <v>#REF!</v>
      </c>
      <c r="IN83" t="e">
        <f>AND(Bills!#REF!,"AAAAAD+8t/c=")</f>
        <v>#REF!</v>
      </c>
      <c r="IO83" t="e">
        <f>AND(Bills!#REF!,"AAAAAD+8t/g=")</f>
        <v>#REF!</v>
      </c>
      <c r="IP83" t="e">
        <f>AND(Bills!#REF!,"AAAAAD+8t/k=")</f>
        <v>#REF!</v>
      </c>
      <c r="IQ83" t="e">
        <f>AND(Bills!#REF!,"AAAAAD+8t/o=")</f>
        <v>#REF!</v>
      </c>
      <c r="IR83" t="e">
        <f>AND(Bills!#REF!,"AAAAAD+8t/s=")</f>
        <v>#REF!</v>
      </c>
      <c r="IS83" t="e">
        <f>AND(Bills!#REF!,"AAAAAD+8t/w=")</f>
        <v>#REF!</v>
      </c>
      <c r="IT83" t="e">
        <f>AND(Bills!#REF!,"AAAAAD+8t/0=")</f>
        <v>#REF!</v>
      </c>
      <c r="IU83" t="e">
        <f>AND(Bills!#REF!,"AAAAAD+8t/4=")</f>
        <v>#REF!</v>
      </c>
      <c r="IV83" t="e">
        <f>AND(Bills!AA258,"AAAAAD+8t/8=")</f>
        <v>#VALUE!</v>
      </c>
    </row>
    <row r="84" spans="1:256" x14ac:dyDescent="0.25">
      <c r="A84" t="e">
        <f>AND(Bills!AB258,"AAAAAHn5zQA=")</f>
        <v>#VALUE!</v>
      </c>
      <c r="B84" t="e">
        <f>AND(Bills!#REF!,"AAAAAHn5zQE=")</f>
        <v>#REF!</v>
      </c>
      <c r="C84" t="e">
        <f>AND(Bills!#REF!,"AAAAAHn5zQI=")</f>
        <v>#REF!</v>
      </c>
      <c r="D84" t="e">
        <f>AND(Bills!#REF!,"AAAAAHn5zQM=")</f>
        <v>#REF!</v>
      </c>
      <c r="E84" t="e">
        <f>AND(Bills!AC258,"AAAAAHn5zQQ=")</f>
        <v>#VALUE!</v>
      </c>
      <c r="F84" t="e">
        <f>AND(Bills!AD258,"AAAAAHn5zQU=")</f>
        <v>#VALUE!</v>
      </c>
      <c r="G84" t="e">
        <f>AND(Bills!AE258,"AAAAAHn5zQY=")</f>
        <v>#VALUE!</v>
      </c>
      <c r="H84">
        <f>IF(Bills!259:259,"AAAAAHn5zQc=",0)</f>
        <v>0</v>
      </c>
      <c r="I84" t="e">
        <f>AND(Bills!B259,"AAAAAHn5zQg=")</f>
        <v>#VALUE!</v>
      </c>
      <c r="J84" t="e">
        <f>AND(Bills!#REF!,"AAAAAHn5zQk=")</f>
        <v>#REF!</v>
      </c>
      <c r="K84" t="e">
        <f>AND(Bills!C259,"AAAAAHn5zQo=")</f>
        <v>#VALUE!</v>
      </c>
      <c r="L84" t="e">
        <f>AND(Bills!D259,"AAAAAHn5zQs=")</f>
        <v>#VALUE!</v>
      </c>
      <c r="M84" t="e">
        <f>AND(Bills!E259,"AAAAAHn5zQw=")</f>
        <v>#VALUE!</v>
      </c>
      <c r="N84" t="e">
        <f>AND(Bills!#REF!,"AAAAAHn5zQ0=")</f>
        <v>#REF!</v>
      </c>
      <c r="O84" t="e">
        <f>AND(Bills!#REF!,"AAAAAHn5zQ4=")</f>
        <v>#REF!</v>
      </c>
      <c r="P84" t="e">
        <f>AND(Bills!#REF!,"AAAAAHn5zQ8=")</f>
        <v>#REF!</v>
      </c>
      <c r="Q84" t="e">
        <f>AND(Bills!F259,"AAAAAHn5zRA=")</f>
        <v>#VALUE!</v>
      </c>
      <c r="R84" t="e">
        <f>AND(Bills!#REF!,"AAAAAHn5zRE=")</f>
        <v>#REF!</v>
      </c>
      <c r="S84" t="e">
        <f>AND(Bills!G259,"AAAAAHn5zRI=")</f>
        <v>#VALUE!</v>
      </c>
      <c r="T84" t="e">
        <f>AND(Bills!H259,"AAAAAHn5zRM=")</f>
        <v>#VALUE!</v>
      </c>
      <c r="U84" t="e">
        <f>AND(Bills!I259,"AAAAAHn5zRQ=")</f>
        <v>#VALUE!</v>
      </c>
      <c r="V84" t="e">
        <f>AND(Bills!J259,"AAAAAHn5zRU=")</f>
        <v>#VALUE!</v>
      </c>
      <c r="W84" t="e">
        <f>AND(Bills!K259,"AAAAAHn5zRY=")</f>
        <v>#VALUE!</v>
      </c>
      <c r="X84" t="e">
        <f>AND(Bills!L259,"AAAAAHn5zRc=")</f>
        <v>#VALUE!</v>
      </c>
      <c r="Y84" t="e">
        <f>AND(Bills!#REF!,"AAAAAHn5zRg=")</f>
        <v>#REF!</v>
      </c>
      <c r="Z84" t="e">
        <f>AND(Bills!M259,"AAAAAHn5zRk=")</f>
        <v>#VALUE!</v>
      </c>
      <c r="AA84" t="e">
        <f>AND(Bills!N259,"AAAAAHn5zRo=")</f>
        <v>#VALUE!</v>
      </c>
      <c r="AB84" t="e">
        <f>AND(Bills!O259,"AAAAAHn5zRs=")</f>
        <v>#VALUE!</v>
      </c>
      <c r="AC84" t="e">
        <f>AND(Bills!P259,"AAAAAHn5zRw=")</f>
        <v>#VALUE!</v>
      </c>
      <c r="AD84" t="e">
        <f>AND(Bills!Q259,"AAAAAHn5zR0=")</f>
        <v>#VALUE!</v>
      </c>
      <c r="AE84" t="e">
        <f>AND(Bills!R259,"AAAAAHn5zR4=")</f>
        <v>#VALUE!</v>
      </c>
      <c r="AF84" t="e">
        <f>AND(Bills!S259,"AAAAAHn5zR8=")</f>
        <v>#VALUE!</v>
      </c>
      <c r="AG84" t="e">
        <f>AND(Bills!T259,"AAAAAHn5zSA=")</f>
        <v>#VALUE!</v>
      </c>
      <c r="AH84" t="e">
        <f>AND(Bills!#REF!,"AAAAAHn5zSE=")</f>
        <v>#REF!</v>
      </c>
      <c r="AI84" t="e">
        <f>AND(Bills!U259,"AAAAAHn5zSI=")</f>
        <v>#VALUE!</v>
      </c>
      <c r="AJ84" t="e">
        <f>AND(Bills!V259,"AAAAAHn5zSM=")</f>
        <v>#VALUE!</v>
      </c>
      <c r="AK84" t="e">
        <f>AND(Bills!W259,"AAAAAHn5zSQ=")</f>
        <v>#VALUE!</v>
      </c>
      <c r="AL84" t="e">
        <f>AND(Bills!#REF!,"AAAAAHn5zSU=")</f>
        <v>#REF!</v>
      </c>
      <c r="AM84" t="e">
        <f>AND(Bills!#REF!,"AAAAAHn5zSY=")</f>
        <v>#REF!</v>
      </c>
      <c r="AN84" t="e">
        <f>AND(Bills!Y259,"AAAAAHn5zSc=")</f>
        <v>#VALUE!</v>
      </c>
      <c r="AO84" t="e">
        <f>AND(Bills!Z259,"AAAAAHn5zSg=")</f>
        <v>#VALUE!</v>
      </c>
      <c r="AP84" t="e">
        <f>AND(Bills!#REF!,"AAAAAHn5zSk=")</f>
        <v>#REF!</v>
      </c>
      <c r="AQ84" t="e">
        <f>AND(Bills!#REF!,"AAAAAHn5zSo=")</f>
        <v>#REF!</v>
      </c>
      <c r="AR84" t="e">
        <f>AND(Bills!#REF!,"AAAAAHn5zSs=")</f>
        <v>#REF!</v>
      </c>
      <c r="AS84" t="e">
        <f>AND(Bills!#REF!,"AAAAAHn5zSw=")</f>
        <v>#REF!</v>
      </c>
      <c r="AT84" t="e">
        <f>AND(Bills!#REF!,"AAAAAHn5zS0=")</f>
        <v>#REF!</v>
      </c>
      <c r="AU84" t="e">
        <f>AND(Bills!#REF!,"AAAAAHn5zS4=")</f>
        <v>#REF!</v>
      </c>
      <c r="AV84" t="e">
        <f>AND(Bills!#REF!,"AAAAAHn5zS8=")</f>
        <v>#REF!</v>
      </c>
      <c r="AW84" t="e">
        <f>AND(Bills!#REF!,"AAAAAHn5zTA=")</f>
        <v>#REF!</v>
      </c>
      <c r="AX84" t="e">
        <f>AND(Bills!#REF!,"AAAAAHn5zTE=")</f>
        <v>#REF!</v>
      </c>
      <c r="AY84" t="e">
        <f>AND(Bills!AA259,"AAAAAHn5zTI=")</f>
        <v>#VALUE!</v>
      </c>
      <c r="AZ84" t="e">
        <f>AND(Bills!AB259,"AAAAAHn5zTM=")</f>
        <v>#VALUE!</v>
      </c>
      <c r="BA84" t="e">
        <f>AND(Bills!#REF!,"AAAAAHn5zTQ=")</f>
        <v>#REF!</v>
      </c>
      <c r="BB84" t="e">
        <f>AND(Bills!#REF!,"AAAAAHn5zTU=")</f>
        <v>#REF!</v>
      </c>
      <c r="BC84" t="e">
        <f>AND(Bills!#REF!,"AAAAAHn5zTY=")</f>
        <v>#REF!</v>
      </c>
      <c r="BD84" t="e">
        <f>AND(Bills!AC259,"AAAAAHn5zTc=")</f>
        <v>#VALUE!</v>
      </c>
      <c r="BE84" t="e">
        <f>AND(Bills!AD259,"AAAAAHn5zTg=")</f>
        <v>#VALUE!</v>
      </c>
      <c r="BF84" t="e">
        <f>AND(Bills!AE259,"AAAAAHn5zTk=")</f>
        <v>#VALUE!</v>
      </c>
      <c r="BG84">
        <f>IF(Bills!260:260,"AAAAAHn5zTo=",0)</f>
        <v>0</v>
      </c>
      <c r="BH84" t="e">
        <f>AND(Bills!B260,"AAAAAHn5zTs=")</f>
        <v>#VALUE!</v>
      </c>
      <c r="BI84" t="e">
        <f>AND(Bills!#REF!,"AAAAAHn5zTw=")</f>
        <v>#REF!</v>
      </c>
      <c r="BJ84" t="e">
        <f>AND(Bills!C260,"AAAAAHn5zT0=")</f>
        <v>#VALUE!</v>
      </c>
      <c r="BK84" t="e">
        <f>AND(Bills!D260,"AAAAAHn5zT4=")</f>
        <v>#VALUE!</v>
      </c>
      <c r="BL84" t="e">
        <f>AND(Bills!E260,"AAAAAHn5zT8=")</f>
        <v>#VALUE!</v>
      </c>
      <c r="BM84" t="e">
        <f>AND(Bills!#REF!,"AAAAAHn5zUA=")</f>
        <v>#REF!</v>
      </c>
      <c r="BN84" t="e">
        <f>AND(Bills!#REF!,"AAAAAHn5zUE=")</f>
        <v>#REF!</v>
      </c>
      <c r="BO84" t="e">
        <f>AND(Bills!#REF!,"AAAAAHn5zUI=")</f>
        <v>#REF!</v>
      </c>
      <c r="BP84" t="e">
        <f>AND(Bills!F260,"AAAAAHn5zUM=")</f>
        <v>#VALUE!</v>
      </c>
      <c r="BQ84" t="e">
        <f>AND(Bills!#REF!,"AAAAAHn5zUQ=")</f>
        <v>#REF!</v>
      </c>
      <c r="BR84" t="e">
        <f>AND(Bills!G260,"AAAAAHn5zUU=")</f>
        <v>#VALUE!</v>
      </c>
      <c r="BS84" t="e">
        <f>AND(Bills!H260,"AAAAAHn5zUY=")</f>
        <v>#VALUE!</v>
      </c>
      <c r="BT84" t="e">
        <f>AND(Bills!I260,"AAAAAHn5zUc=")</f>
        <v>#VALUE!</v>
      </c>
      <c r="BU84" t="e">
        <f>AND(Bills!J260,"AAAAAHn5zUg=")</f>
        <v>#VALUE!</v>
      </c>
      <c r="BV84" t="e">
        <f>AND(Bills!K260,"AAAAAHn5zUk=")</f>
        <v>#VALUE!</v>
      </c>
      <c r="BW84" t="e">
        <f>AND(Bills!L260,"AAAAAHn5zUo=")</f>
        <v>#VALUE!</v>
      </c>
      <c r="BX84" t="e">
        <f>AND(Bills!#REF!,"AAAAAHn5zUs=")</f>
        <v>#REF!</v>
      </c>
      <c r="BY84" t="e">
        <f>AND(Bills!M260,"AAAAAHn5zUw=")</f>
        <v>#VALUE!</v>
      </c>
      <c r="BZ84" t="e">
        <f>AND(Bills!N260,"AAAAAHn5zU0=")</f>
        <v>#VALUE!</v>
      </c>
      <c r="CA84" t="e">
        <f>AND(Bills!O260,"AAAAAHn5zU4=")</f>
        <v>#VALUE!</v>
      </c>
      <c r="CB84" t="e">
        <f>AND(Bills!P260,"AAAAAHn5zU8=")</f>
        <v>#VALUE!</v>
      </c>
      <c r="CC84" t="e">
        <f>AND(Bills!Q260,"AAAAAHn5zVA=")</f>
        <v>#VALUE!</v>
      </c>
      <c r="CD84" t="e">
        <f>AND(Bills!R260,"AAAAAHn5zVE=")</f>
        <v>#VALUE!</v>
      </c>
      <c r="CE84" t="e">
        <f>AND(Bills!S260,"AAAAAHn5zVI=")</f>
        <v>#VALUE!</v>
      </c>
      <c r="CF84" t="e">
        <f>AND(Bills!T260,"AAAAAHn5zVM=")</f>
        <v>#VALUE!</v>
      </c>
      <c r="CG84" t="e">
        <f>AND(Bills!#REF!,"AAAAAHn5zVQ=")</f>
        <v>#REF!</v>
      </c>
      <c r="CH84" t="e">
        <f>AND(Bills!U260,"AAAAAHn5zVU=")</f>
        <v>#VALUE!</v>
      </c>
      <c r="CI84" t="e">
        <f>AND(Bills!V260,"AAAAAHn5zVY=")</f>
        <v>#VALUE!</v>
      </c>
      <c r="CJ84" t="e">
        <f>AND(Bills!W260,"AAAAAHn5zVc=")</f>
        <v>#VALUE!</v>
      </c>
      <c r="CK84" t="e">
        <f>AND(Bills!#REF!,"AAAAAHn5zVg=")</f>
        <v>#REF!</v>
      </c>
      <c r="CL84" t="e">
        <f>AND(Bills!#REF!,"AAAAAHn5zVk=")</f>
        <v>#REF!</v>
      </c>
      <c r="CM84" t="e">
        <f>AND(Bills!Y260,"AAAAAHn5zVo=")</f>
        <v>#VALUE!</v>
      </c>
      <c r="CN84" t="e">
        <f>AND(Bills!Z260,"AAAAAHn5zVs=")</f>
        <v>#VALUE!</v>
      </c>
      <c r="CO84" t="e">
        <f>AND(Bills!#REF!,"AAAAAHn5zVw=")</f>
        <v>#REF!</v>
      </c>
      <c r="CP84" t="e">
        <f>AND(Bills!#REF!,"AAAAAHn5zV0=")</f>
        <v>#REF!</v>
      </c>
      <c r="CQ84" t="e">
        <f>AND(Bills!#REF!,"AAAAAHn5zV4=")</f>
        <v>#REF!</v>
      </c>
      <c r="CR84" t="e">
        <f>AND(Bills!#REF!,"AAAAAHn5zV8=")</f>
        <v>#REF!</v>
      </c>
      <c r="CS84" t="e">
        <f>AND(Bills!#REF!,"AAAAAHn5zWA=")</f>
        <v>#REF!</v>
      </c>
      <c r="CT84" t="e">
        <f>AND(Bills!#REF!,"AAAAAHn5zWE=")</f>
        <v>#REF!</v>
      </c>
      <c r="CU84" t="e">
        <f>AND(Bills!#REF!,"AAAAAHn5zWI=")</f>
        <v>#REF!</v>
      </c>
      <c r="CV84" t="e">
        <f>AND(Bills!#REF!,"AAAAAHn5zWM=")</f>
        <v>#REF!</v>
      </c>
      <c r="CW84" t="e">
        <f>AND(Bills!#REF!,"AAAAAHn5zWQ=")</f>
        <v>#REF!</v>
      </c>
      <c r="CX84" t="e">
        <f>AND(Bills!AA260,"AAAAAHn5zWU=")</f>
        <v>#VALUE!</v>
      </c>
      <c r="CY84" t="e">
        <f>AND(Bills!AB260,"AAAAAHn5zWY=")</f>
        <v>#VALUE!</v>
      </c>
      <c r="CZ84" t="e">
        <f>AND(Bills!#REF!,"AAAAAHn5zWc=")</f>
        <v>#REF!</v>
      </c>
      <c r="DA84" t="e">
        <f>AND(Bills!#REF!,"AAAAAHn5zWg=")</f>
        <v>#REF!</v>
      </c>
      <c r="DB84" t="e">
        <f>AND(Bills!#REF!,"AAAAAHn5zWk=")</f>
        <v>#REF!</v>
      </c>
      <c r="DC84" t="e">
        <f>AND(Bills!AC260,"AAAAAHn5zWo=")</f>
        <v>#VALUE!</v>
      </c>
      <c r="DD84" t="e">
        <f>AND(Bills!AD260,"AAAAAHn5zWs=")</f>
        <v>#VALUE!</v>
      </c>
      <c r="DE84" t="e">
        <f>AND(Bills!AE260,"AAAAAHn5zWw=")</f>
        <v>#VALUE!</v>
      </c>
      <c r="DF84">
        <f>IF(Bills!261:261,"AAAAAHn5zW0=",0)</f>
        <v>0</v>
      </c>
      <c r="DG84" t="e">
        <f>AND(Bills!B261,"AAAAAHn5zW4=")</f>
        <v>#VALUE!</v>
      </c>
      <c r="DH84" t="e">
        <f>AND(Bills!#REF!,"AAAAAHn5zW8=")</f>
        <v>#REF!</v>
      </c>
      <c r="DI84" t="e">
        <f>AND(Bills!C261,"AAAAAHn5zXA=")</f>
        <v>#VALUE!</v>
      </c>
      <c r="DJ84" t="e">
        <f>AND(Bills!D261,"AAAAAHn5zXE=")</f>
        <v>#VALUE!</v>
      </c>
      <c r="DK84" t="e">
        <f>AND(Bills!E261,"AAAAAHn5zXI=")</f>
        <v>#VALUE!</v>
      </c>
      <c r="DL84" t="e">
        <f>AND(Bills!#REF!,"AAAAAHn5zXM=")</f>
        <v>#REF!</v>
      </c>
      <c r="DM84" t="e">
        <f>AND(Bills!#REF!,"AAAAAHn5zXQ=")</f>
        <v>#REF!</v>
      </c>
      <c r="DN84" t="e">
        <f>AND(Bills!#REF!,"AAAAAHn5zXU=")</f>
        <v>#REF!</v>
      </c>
      <c r="DO84" t="e">
        <f>AND(Bills!F261,"AAAAAHn5zXY=")</f>
        <v>#VALUE!</v>
      </c>
      <c r="DP84" t="e">
        <f>AND(Bills!#REF!,"AAAAAHn5zXc=")</f>
        <v>#REF!</v>
      </c>
      <c r="DQ84" t="e">
        <f>AND(Bills!G261,"AAAAAHn5zXg=")</f>
        <v>#VALUE!</v>
      </c>
      <c r="DR84" t="e">
        <f>AND(Bills!H261,"AAAAAHn5zXk=")</f>
        <v>#VALUE!</v>
      </c>
      <c r="DS84" t="e">
        <f>AND(Bills!I261,"AAAAAHn5zXo=")</f>
        <v>#VALUE!</v>
      </c>
      <c r="DT84" t="e">
        <f>AND(Bills!J261,"AAAAAHn5zXs=")</f>
        <v>#VALUE!</v>
      </c>
      <c r="DU84" t="e">
        <f>AND(Bills!K261,"AAAAAHn5zXw=")</f>
        <v>#VALUE!</v>
      </c>
      <c r="DV84" t="e">
        <f>AND(Bills!L261,"AAAAAHn5zX0=")</f>
        <v>#VALUE!</v>
      </c>
      <c r="DW84" t="e">
        <f>AND(Bills!#REF!,"AAAAAHn5zX4=")</f>
        <v>#REF!</v>
      </c>
      <c r="DX84" t="e">
        <f>AND(Bills!M261,"AAAAAHn5zX8=")</f>
        <v>#VALUE!</v>
      </c>
      <c r="DY84" t="e">
        <f>AND(Bills!N261,"AAAAAHn5zYA=")</f>
        <v>#VALUE!</v>
      </c>
      <c r="DZ84" t="e">
        <f>AND(Bills!O261,"AAAAAHn5zYE=")</f>
        <v>#VALUE!</v>
      </c>
      <c r="EA84" t="e">
        <f>AND(Bills!P261,"AAAAAHn5zYI=")</f>
        <v>#VALUE!</v>
      </c>
      <c r="EB84" t="e">
        <f>AND(Bills!Q261,"AAAAAHn5zYM=")</f>
        <v>#VALUE!</v>
      </c>
      <c r="EC84" t="e">
        <f>AND(Bills!R261,"AAAAAHn5zYQ=")</f>
        <v>#VALUE!</v>
      </c>
      <c r="ED84" t="e">
        <f>AND(Bills!S261,"AAAAAHn5zYU=")</f>
        <v>#VALUE!</v>
      </c>
      <c r="EE84" t="e">
        <f>AND(Bills!T261,"AAAAAHn5zYY=")</f>
        <v>#VALUE!</v>
      </c>
      <c r="EF84" t="e">
        <f>AND(Bills!#REF!,"AAAAAHn5zYc=")</f>
        <v>#REF!</v>
      </c>
      <c r="EG84" t="e">
        <f>AND(Bills!U261,"AAAAAHn5zYg=")</f>
        <v>#VALUE!</v>
      </c>
      <c r="EH84" t="e">
        <f>AND(Bills!V261,"AAAAAHn5zYk=")</f>
        <v>#VALUE!</v>
      </c>
      <c r="EI84" t="e">
        <f>AND(Bills!W261,"AAAAAHn5zYo=")</f>
        <v>#VALUE!</v>
      </c>
      <c r="EJ84" t="e">
        <f>AND(Bills!#REF!,"AAAAAHn5zYs=")</f>
        <v>#REF!</v>
      </c>
      <c r="EK84" t="e">
        <f>AND(Bills!#REF!,"AAAAAHn5zYw=")</f>
        <v>#REF!</v>
      </c>
      <c r="EL84" t="e">
        <f>AND(Bills!Y261,"AAAAAHn5zY0=")</f>
        <v>#VALUE!</v>
      </c>
      <c r="EM84" t="e">
        <f>AND(Bills!Z261,"AAAAAHn5zY4=")</f>
        <v>#VALUE!</v>
      </c>
      <c r="EN84" t="e">
        <f>AND(Bills!#REF!,"AAAAAHn5zY8=")</f>
        <v>#REF!</v>
      </c>
      <c r="EO84" t="e">
        <f>AND(Bills!#REF!,"AAAAAHn5zZA=")</f>
        <v>#REF!</v>
      </c>
      <c r="EP84" t="e">
        <f>AND(Bills!#REF!,"AAAAAHn5zZE=")</f>
        <v>#REF!</v>
      </c>
      <c r="EQ84" t="e">
        <f>AND(Bills!#REF!,"AAAAAHn5zZI=")</f>
        <v>#REF!</v>
      </c>
      <c r="ER84" t="e">
        <f>AND(Bills!#REF!,"AAAAAHn5zZM=")</f>
        <v>#REF!</v>
      </c>
      <c r="ES84" t="e">
        <f>AND(Bills!#REF!,"AAAAAHn5zZQ=")</f>
        <v>#REF!</v>
      </c>
      <c r="ET84" t="e">
        <f>AND(Bills!#REF!,"AAAAAHn5zZU=")</f>
        <v>#REF!</v>
      </c>
      <c r="EU84" t="e">
        <f>AND(Bills!#REF!,"AAAAAHn5zZY=")</f>
        <v>#REF!</v>
      </c>
      <c r="EV84" t="e">
        <f>AND(Bills!#REF!,"AAAAAHn5zZc=")</f>
        <v>#REF!</v>
      </c>
      <c r="EW84" t="e">
        <f>AND(Bills!AA261,"AAAAAHn5zZg=")</f>
        <v>#VALUE!</v>
      </c>
      <c r="EX84" t="e">
        <f>AND(Bills!AB261,"AAAAAHn5zZk=")</f>
        <v>#VALUE!</v>
      </c>
      <c r="EY84" t="e">
        <f>AND(Bills!#REF!,"AAAAAHn5zZo=")</f>
        <v>#REF!</v>
      </c>
      <c r="EZ84" t="e">
        <f>AND(Bills!#REF!,"AAAAAHn5zZs=")</f>
        <v>#REF!</v>
      </c>
      <c r="FA84" t="e">
        <f>AND(Bills!#REF!,"AAAAAHn5zZw=")</f>
        <v>#REF!</v>
      </c>
      <c r="FB84" t="e">
        <f>AND(Bills!AC261,"AAAAAHn5zZ0=")</f>
        <v>#VALUE!</v>
      </c>
      <c r="FC84" t="e">
        <f>AND(Bills!AD261,"AAAAAHn5zZ4=")</f>
        <v>#VALUE!</v>
      </c>
      <c r="FD84" t="e">
        <f>AND(Bills!AE261,"AAAAAHn5zZ8=")</f>
        <v>#VALUE!</v>
      </c>
      <c r="FE84">
        <f>IF(Bills!262:262,"AAAAAHn5zaA=",0)</f>
        <v>0</v>
      </c>
      <c r="FF84" t="e">
        <f>AND(Bills!B262,"AAAAAHn5zaE=")</f>
        <v>#VALUE!</v>
      </c>
      <c r="FG84" t="e">
        <f>AND(Bills!#REF!,"AAAAAHn5zaI=")</f>
        <v>#REF!</v>
      </c>
      <c r="FH84" t="e">
        <f>AND(Bills!C262,"AAAAAHn5zaM=")</f>
        <v>#VALUE!</v>
      </c>
      <c r="FI84" t="e">
        <f>AND(Bills!D262,"AAAAAHn5zaQ=")</f>
        <v>#VALUE!</v>
      </c>
      <c r="FJ84" t="e">
        <f>AND(Bills!E262,"AAAAAHn5zaU=")</f>
        <v>#VALUE!</v>
      </c>
      <c r="FK84" t="e">
        <f>AND(Bills!#REF!,"AAAAAHn5zaY=")</f>
        <v>#REF!</v>
      </c>
      <c r="FL84" t="e">
        <f>AND(Bills!#REF!,"AAAAAHn5zac=")</f>
        <v>#REF!</v>
      </c>
      <c r="FM84" t="e">
        <f>AND(Bills!#REF!,"AAAAAHn5zag=")</f>
        <v>#REF!</v>
      </c>
      <c r="FN84" t="e">
        <f>AND(Bills!F262,"AAAAAHn5zak=")</f>
        <v>#VALUE!</v>
      </c>
      <c r="FO84" t="e">
        <f>AND(Bills!#REF!,"AAAAAHn5zao=")</f>
        <v>#REF!</v>
      </c>
      <c r="FP84" t="e">
        <f>AND(Bills!G262,"AAAAAHn5zas=")</f>
        <v>#VALUE!</v>
      </c>
      <c r="FQ84" t="e">
        <f>AND(Bills!H262,"AAAAAHn5zaw=")</f>
        <v>#VALUE!</v>
      </c>
      <c r="FR84" t="e">
        <f>AND(Bills!I262,"AAAAAHn5za0=")</f>
        <v>#VALUE!</v>
      </c>
      <c r="FS84" t="e">
        <f>AND(Bills!J262,"AAAAAHn5za4=")</f>
        <v>#VALUE!</v>
      </c>
      <c r="FT84" t="e">
        <f>AND(Bills!K262,"AAAAAHn5za8=")</f>
        <v>#VALUE!</v>
      </c>
      <c r="FU84" t="e">
        <f>AND(Bills!L262,"AAAAAHn5zbA=")</f>
        <v>#VALUE!</v>
      </c>
      <c r="FV84" t="e">
        <f>AND(Bills!#REF!,"AAAAAHn5zbE=")</f>
        <v>#REF!</v>
      </c>
      <c r="FW84" t="e">
        <f>AND(Bills!M262,"AAAAAHn5zbI=")</f>
        <v>#VALUE!</v>
      </c>
      <c r="FX84" t="e">
        <f>AND(Bills!N262,"AAAAAHn5zbM=")</f>
        <v>#VALUE!</v>
      </c>
      <c r="FY84" t="e">
        <f>AND(Bills!O262,"AAAAAHn5zbQ=")</f>
        <v>#VALUE!</v>
      </c>
      <c r="FZ84" t="e">
        <f>AND(Bills!P262,"AAAAAHn5zbU=")</f>
        <v>#VALUE!</v>
      </c>
      <c r="GA84" t="e">
        <f>AND(Bills!Q262,"AAAAAHn5zbY=")</f>
        <v>#VALUE!</v>
      </c>
      <c r="GB84" t="e">
        <f>AND(Bills!R262,"AAAAAHn5zbc=")</f>
        <v>#VALUE!</v>
      </c>
      <c r="GC84" t="e">
        <f>AND(Bills!S262,"AAAAAHn5zbg=")</f>
        <v>#VALUE!</v>
      </c>
      <c r="GD84" t="e">
        <f>AND(Bills!T262,"AAAAAHn5zbk=")</f>
        <v>#VALUE!</v>
      </c>
      <c r="GE84" t="e">
        <f>AND(Bills!#REF!,"AAAAAHn5zbo=")</f>
        <v>#REF!</v>
      </c>
      <c r="GF84" t="e">
        <f>AND(Bills!U262,"AAAAAHn5zbs=")</f>
        <v>#VALUE!</v>
      </c>
      <c r="GG84" t="e">
        <f>AND(Bills!V262,"AAAAAHn5zbw=")</f>
        <v>#VALUE!</v>
      </c>
      <c r="GH84" t="e">
        <f>AND(Bills!W262,"AAAAAHn5zb0=")</f>
        <v>#VALUE!</v>
      </c>
      <c r="GI84" t="e">
        <f>AND(Bills!#REF!,"AAAAAHn5zb4=")</f>
        <v>#REF!</v>
      </c>
      <c r="GJ84" t="e">
        <f>AND(Bills!#REF!,"AAAAAHn5zb8=")</f>
        <v>#REF!</v>
      </c>
      <c r="GK84" t="e">
        <f>AND(Bills!Y262,"AAAAAHn5zcA=")</f>
        <v>#VALUE!</v>
      </c>
      <c r="GL84" t="e">
        <f>AND(Bills!Z262,"AAAAAHn5zcE=")</f>
        <v>#VALUE!</v>
      </c>
      <c r="GM84" t="e">
        <f>AND(Bills!#REF!,"AAAAAHn5zcI=")</f>
        <v>#REF!</v>
      </c>
      <c r="GN84" t="e">
        <f>AND(Bills!#REF!,"AAAAAHn5zcM=")</f>
        <v>#REF!</v>
      </c>
      <c r="GO84" t="e">
        <f>AND(Bills!#REF!,"AAAAAHn5zcQ=")</f>
        <v>#REF!</v>
      </c>
      <c r="GP84" t="e">
        <f>AND(Bills!#REF!,"AAAAAHn5zcU=")</f>
        <v>#REF!</v>
      </c>
      <c r="GQ84" t="e">
        <f>AND(Bills!#REF!,"AAAAAHn5zcY=")</f>
        <v>#REF!</v>
      </c>
      <c r="GR84" t="e">
        <f>AND(Bills!#REF!,"AAAAAHn5zcc=")</f>
        <v>#REF!</v>
      </c>
      <c r="GS84" t="e">
        <f>AND(Bills!#REF!,"AAAAAHn5zcg=")</f>
        <v>#REF!</v>
      </c>
      <c r="GT84" t="e">
        <f>AND(Bills!#REF!,"AAAAAHn5zck=")</f>
        <v>#REF!</v>
      </c>
      <c r="GU84" t="e">
        <f>AND(Bills!#REF!,"AAAAAHn5zco=")</f>
        <v>#REF!</v>
      </c>
      <c r="GV84" t="e">
        <f>AND(Bills!AA262,"AAAAAHn5zcs=")</f>
        <v>#VALUE!</v>
      </c>
      <c r="GW84" t="e">
        <f>AND(Bills!AB262,"AAAAAHn5zcw=")</f>
        <v>#VALUE!</v>
      </c>
      <c r="GX84" t="e">
        <f>AND(Bills!#REF!,"AAAAAHn5zc0=")</f>
        <v>#REF!</v>
      </c>
      <c r="GY84" t="e">
        <f>AND(Bills!#REF!,"AAAAAHn5zc4=")</f>
        <v>#REF!</v>
      </c>
      <c r="GZ84" t="e">
        <f>AND(Bills!#REF!,"AAAAAHn5zc8=")</f>
        <v>#REF!</v>
      </c>
      <c r="HA84" t="e">
        <f>AND(Bills!AC262,"AAAAAHn5zdA=")</f>
        <v>#VALUE!</v>
      </c>
      <c r="HB84" t="e">
        <f>AND(Bills!AD262,"AAAAAHn5zdE=")</f>
        <v>#VALUE!</v>
      </c>
      <c r="HC84" t="e">
        <f>AND(Bills!AE262,"AAAAAHn5zdI=")</f>
        <v>#VALUE!</v>
      </c>
      <c r="HD84">
        <f>IF(Bills!263:263,"AAAAAHn5zdM=",0)</f>
        <v>0</v>
      </c>
      <c r="HE84" t="e">
        <f>AND(Bills!B263,"AAAAAHn5zdQ=")</f>
        <v>#VALUE!</v>
      </c>
      <c r="HF84" t="e">
        <f>AND(Bills!#REF!,"AAAAAHn5zdU=")</f>
        <v>#REF!</v>
      </c>
      <c r="HG84" t="e">
        <f>AND(Bills!C263,"AAAAAHn5zdY=")</f>
        <v>#VALUE!</v>
      </c>
      <c r="HH84" t="e">
        <f>AND(Bills!D263,"AAAAAHn5zdc=")</f>
        <v>#VALUE!</v>
      </c>
      <c r="HI84" t="e">
        <f>AND(Bills!E263,"AAAAAHn5zdg=")</f>
        <v>#VALUE!</v>
      </c>
      <c r="HJ84" t="e">
        <f>AND(Bills!#REF!,"AAAAAHn5zdk=")</f>
        <v>#REF!</v>
      </c>
      <c r="HK84" t="e">
        <f>AND(Bills!#REF!,"AAAAAHn5zdo=")</f>
        <v>#REF!</v>
      </c>
      <c r="HL84" t="e">
        <f>AND(Bills!#REF!,"AAAAAHn5zds=")</f>
        <v>#REF!</v>
      </c>
      <c r="HM84" t="e">
        <f>AND(Bills!F263,"AAAAAHn5zdw=")</f>
        <v>#VALUE!</v>
      </c>
      <c r="HN84" t="e">
        <f>AND(Bills!#REF!,"AAAAAHn5zd0=")</f>
        <v>#REF!</v>
      </c>
      <c r="HO84" t="e">
        <f>AND(Bills!G263,"AAAAAHn5zd4=")</f>
        <v>#VALUE!</v>
      </c>
      <c r="HP84" t="e">
        <f>AND(Bills!H263,"AAAAAHn5zd8=")</f>
        <v>#VALUE!</v>
      </c>
      <c r="HQ84" t="e">
        <f>AND(Bills!I263,"AAAAAHn5zeA=")</f>
        <v>#VALUE!</v>
      </c>
      <c r="HR84" t="e">
        <f>AND(Bills!J263,"AAAAAHn5zeE=")</f>
        <v>#VALUE!</v>
      </c>
      <c r="HS84" t="e">
        <f>AND(Bills!K263,"AAAAAHn5zeI=")</f>
        <v>#VALUE!</v>
      </c>
      <c r="HT84" t="e">
        <f>AND(Bills!L263,"AAAAAHn5zeM=")</f>
        <v>#VALUE!</v>
      </c>
      <c r="HU84" t="e">
        <f>AND(Bills!#REF!,"AAAAAHn5zeQ=")</f>
        <v>#REF!</v>
      </c>
      <c r="HV84" t="e">
        <f>AND(Bills!M263,"AAAAAHn5zeU=")</f>
        <v>#VALUE!</v>
      </c>
      <c r="HW84" t="e">
        <f>AND(Bills!N263,"AAAAAHn5zeY=")</f>
        <v>#VALUE!</v>
      </c>
      <c r="HX84" t="e">
        <f>AND(Bills!O263,"AAAAAHn5zec=")</f>
        <v>#VALUE!</v>
      </c>
      <c r="HY84" t="e">
        <f>AND(Bills!P263,"AAAAAHn5zeg=")</f>
        <v>#VALUE!</v>
      </c>
      <c r="HZ84" t="e">
        <f>AND(Bills!Q263,"AAAAAHn5zek=")</f>
        <v>#VALUE!</v>
      </c>
      <c r="IA84" t="e">
        <f>AND(Bills!R263,"AAAAAHn5zeo=")</f>
        <v>#VALUE!</v>
      </c>
      <c r="IB84" t="e">
        <f>AND(Bills!S263,"AAAAAHn5zes=")</f>
        <v>#VALUE!</v>
      </c>
      <c r="IC84" t="e">
        <f>AND(Bills!T263,"AAAAAHn5zew=")</f>
        <v>#VALUE!</v>
      </c>
      <c r="ID84" t="e">
        <f>AND(Bills!#REF!,"AAAAAHn5ze0=")</f>
        <v>#REF!</v>
      </c>
      <c r="IE84" t="e">
        <f>AND(Bills!U263,"AAAAAHn5ze4=")</f>
        <v>#VALUE!</v>
      </c>
      <c r="IF84" t="e">
        <f>AND(Bills!V263,"AAAAAHn5ze8=")</f>
        <v>#VALUE!</v>
      </c>
      <c r="IG84" t="e">
        <f>AND(Bills!W263,"AAAAAHn5zfA=")</f>
        <v>#VALUE!</v>
      </c>
      <c r="IH84" t="e">
        <f>AND(Bills!#REF!,"AAAAAHn5zfE=")</f>
        <v>#REF!</v>
      </c>
      <c r="II84" t="e">
        <f>AND(Bills!#REF!,"AAAAAHn5zfI=")</f>
        <v>#REF!</v>
      </c>
      <c r="IJ84" t="e">
        <f>AND(Bills!Y263,"AAAAAHn5zfM=")</f>
        <v>#VALUE!</v>
      </c>
      <c r="IK84" t="e">
        <f>AND(Bills!Z263,"AAAAAHn5zfQ=")</f>
        <v>#VALUE!</v>
      </c>
      <c r="IL84" t="e">
        <f>AND(Bills!#REF!,"AAAAAHn5zfU=")</f>
        <v>#REF!</v>
      </c>
      <c r="IM84" t="e">
        <f>AND(Bills!#REF!,"AAAAAHn5zfY=")</f>
        <v>#REF!</v>
      </c>
      <c r="IN84" t="e">
        <f>AND(Bills!#REF!,"AAAAAHn5zfc=")</f>
        <v>#REF!</v>
      </c>
      <c r="IO84" t="e">
        <f>AND(Bills!#REF!,"AAAAAHn5zfg=")</f>
        <v>#REF!</v>
      </c>
      <c r="IP84" t="e">
        <f>AND(Bills!#REF!,"AAAAAHn5zfk=")</f>
        <v>#REF!</v>
      </c>
      <c r="IQ84" t="e">
        <f>AND(Bills!#REF!,"AAAAAHn5zfo=")</f>
        <v>#REF!</v>
      </c>
      <c r="IR84" t="e">
        <f>AND(Bills!#REF!,"AAAAAHn5zfs=")</f>
        <v>#REF!</v>
      </c>
      <c r="IS84" t="e">
        <f>AND(Bills!#REF!,"AAAAAHn5zfw=")</f>
        <v>#REF!</v>
      </c>
      <c r="IT84" t="e">
        <f>AND(Bills!#REF!,"AAAAAHn5zf0=")</f>
        <v>#REF!</v>
      </c>
      <c r="IU84" t="e">
        <f>AND(Bills!AA263,"AAAAAHn5zf4=")</f>
        <v>#VALUE!</v>
      </c>
      <c r="IV84" t="e">
        <f>AND(Bills!AB263,"AAAAAHn5zf8=")</f>
        <v>#VALUE!</v>
      </c>
    </row>
    <row r="85" spans="1:256" x14ac:dyDescent="0.25">
      <c r="A85" t="e">
        <f>AND(Bills!#REF!,"AAAAAHZvcwA=")</f>
        <v>#REF!</v>
      </c>
      <c r="B85" t="e">
        <f>AND(Bills!#REF!,"AAAAAHZvcwE=")</f>
        <v>#REF!</v>
      </c>
      <c r="C85" t="e">
        <f>AND(Bills!#REF!,"AAAAAHZvcwI=")</f>
        <v>#REF!</v>
      </c>
      <c r="D85" t="e">
        <f>AND(Bills!AC263,"AAAAAHZvcwM=")</f>
        <v>#VALUE!</v>
      </c>
      <c r="E85" t="e">
        <f>AND(Bills!AD263,"AAAAAHZvcwQ=")</f>
        <v>#VALUE!</v>
      </c>
      <c r="F85" t="e">
        <f>AND(Bills!AE263,"AAAAAHZvcwU=")</f>
        <v>#VALUE!</v>
      </c>
      <c r="G85">
        <f>IF(Bills!264:264,"AAAAAHZvcwY=",0)</f>
        <v>0</v>
      </c>
      <c r="H85" t="e">
        <f>AND(Bills!B264,"AAAAAHZvcwc=")</f>
        <v>#VALUE!</v>
      </c>
      <c r="I85" t="e">
        <f>AND(Bills!#REF!,"AAAAAHZvcwg=")</f>
        <v>#REF!</v>
      </c>
      <c r="J85" t="e">
        <f>AND(Bills!C264,"AAAAAHZvcwk=")</f>
        <v>#VALUE!</v>
      </c>
      <c r="K85" t="e">
        <f>AND(Bills!D264,"AAAAAHZvcwo=")</f>
        <v>#VALUE!</v>
      </c>
      <c r="L85" t="e">
        <f>AND(Bills!E264,"AAAAAHZvcws=")</f>
        <v>#VALUE!</v>
      </c>
      <c r="M85" t="e">
        <f>AND(Bills!#REF!,"AAAAAHZvcww=")</f>
        <v>#REF!</v>
      </c>
      <c r="N85" t="e">
        <f>AND(Bills!#REF!,"AAAAAHZvcw0=")</f>
        <v>#REF!</v>
      </c>
      <c r="O85" t="e">
        <f>AND(Bills!#REF!,"AAAAAHZvcw4=")</f>
        <v>#REF!</v>
      </c>
      <c r="P85" t="e">
        <f>AND(Bills!F264,"AAAAAHZvcw8=")</f>
        <v>#VALUE!</v>
      </c>
      <c r="Q85" t="e">
        <f>AND(Bills!#REF!,"AAAAAHZvcxA=")</f>
        <v>#REF!</v>
      </c>
      <c r="R85" t="e">
        <f>AND(Bills!G264,"AAAAAHZvcxE=")</f>
        <v>#VALUE!</v>
      </c>
      <c r="S85" t="e">
        <f>AND(Bills!H264,"AAAAAHZvcxI=")</f>
        <v>#VALUE!</v>
      </c>
      <c r="T85" t="e">
        <f>AND(Bills!I264,"AAAAAHZvcxM=")</f>
        <v>#VALUE!</v>
      </c>
      <c r="U85" t="e">
        <f>AND(Bills!J264,"AAAAAHZvcxQ=")</f>
        <v>#VALUE!</v>
      </c>
      <c r="V85" t="e">
        <f>AND(Bills!K264,"AAAAAHZvcxU=")</f>
        <v>#VALUE!</v>
      </c>
      <c r="W85" t="e">
        <f>AND(Bills!L264,"AAAAAHZvcxY=")</f>
        <v>#VALUE!</v>
      </c>
      <c r="X85" t="e">
        <f>AND(Bills!#REF!,"AAAAAHZvcxc=")</f>
        <v>#REF!</v>
      </c>
      <c r="Y85" t="e">
        <f>AND(Bills!M264,"AAAAAHZvcxg=")</f>
        <v>#VALUE!</v>
      </c>
      <c r="Z85" t="e">
        <f>AND(Bills!N264,"AAAAAHZvcxk=")</f>
        <v>#VALUE!</v>
      </c>
      <c r="AA85" t="e">
        <f>AND(Bills!O264,"AAAAAHZvcxo=")</f>
        <v>#VALUE!</v>
      </c>
      <c r="AB85" t="e">
        <f>AND(Bills!P264,"AAAAAHZvcxs=")</f>
        <v>#VALUE!</v>
      </c>
      <c r="AC85" t="e">
        <f>AND(Bills!Q264,"AAAAAHZvcxw=")</f>
        <v>#VALUE!</v>
      </c>
      <c r="AD85" t="e">
        <f>AND(Bills!R264,"AAAAAHZvcx0=")</f>
        <v>#VALUE!</v>
      </c>
      <c r="AE85" t="e">
        <f>AND(Bills!S264,"AAAAAHZvcx4=")</f>
        <v>#VALUE!</v>
      </c>
      <c r="AF85" t="e">
        <f>AND(Bills!T264,"AAAAAHZvcx8=")</f>
        <v>#VALUE!</v>
      </c>
      <c r="AG85" t="e">
        <f>AND(Bills!#REF!,"AAAAAHZvcyA=")</f>
        <v>#REF!</v>
      </c>
      <c r="AH85" t="e">
        <f>AND(Bills!U264,"AAAAAHZvcyE=")</f>
        <v>#VALUE!</v>
      </c>
      <c r="AI85" t="e">
        <f>AND(Bills!V264,"AAAAAHZvcyI=")</f>
        <v>#VALUE!</v>
      </c>
      <c r="AJ85" t="e">
        <f>AND(Bills!W264,"AAAAAHZvcyM=")</f>
        <v>#VALUE!</v>
      </c>
      <c r="AK85" t="e">
        <f>AND(Bills!#REF!,"AAAAAHZvcyQ=")</f>
        <v>#REF!</v>
      </c>
      <c r="AL85" t="e">
        <f>AND(Bills!#REF!,"AAAAAHZvcyU=")</f>
        <v>#REF!</v>
      </c>
      <c r="AM85" t="e">
        <f>AND(Bills!Y264,"AAAAAHZvcyY=")</f>
        <v>#VALUE!</v>
      </c>
      <c r="AN85" t="e">
        <f>AND(Bills!Z264,"AAAAAHZvcyc=")</f>
        <v>#VALUE!</v>
      </c>
      <c r="AO85" t="e">
        <f>AND(Bills!#REF!,"AAAAAHZvcyg=")</f>
        <v>#REF!</v>
      </c>
      <c r="AP85" t="e">
        <f>AND(Bills!#REF!,"AAAAAHZvcyk=")</f>
        <v>#REF!</v>
      </c>
      <c r="AQ85" t="e">
        <f>AND(Bills!#REF!,"AAAAAHZvcyo=")</f>
        <v>#REF!</v>
      </c>
      <c r="AR85" t="e">
        <f>AND(Bills!#REF!,"AAAAAHZvcys=")</f>
        <v>#REF!</v>
      </c>
      <c r="AS85" t="e">
        <f>AND(Bills!#REF!,"AAAAAHZvcyw=")</f>
        <v>#REF!</v>
      </c>
      <c r="AT85" t="e">
        <f>AND(Bills!#REF!,"AAAAAHZvcy0=")</f>
        <v>#REF!</v>
      </c>
      <c r="AU85" t="e">
        <f>AND(Bills!#REF!,"AAAAAHZvcy4=")</f>
        <v>#REF!</v>
      </c>
      <c r="AV85" t="e">
        <f>AND(Bills!#REF!,"AAAAAHZvcy8=")</f>
        <v>#REF!</v>
      </c>
      <c r="AW85" t="e">
        <f>AND(Bills!#REF!,"AAAAAHZvczA=")</f>
        <v>#REF!</v>
      </c>
      <c r="AX85" t="e">
        <f>AND(Bills!AA264,"AAAAAHZvczE=")</f>
        <v>#VALUE!</v>
      </c>
      <c r="AY85" t="e">
        <f>AND(Bills!AB264,"AAAAAHZvczI=")</f>
        <v>#VALUE!</v>
      </c>
      <c r="AZ85" t="e">
        <f>AND(Bills!#REF!,"AAAAAHZvczM=")</f>
        <v>#REF!</v>
      </c>
      <c r="BA85" t="e">
        <f>AND(Bills!#REF!,"AAAAAHZvczQ=")</f>
        <v>#REF!</v>
      </c>
      <c r="BB85" t="e">
        <f>AND(Bills!#REF!,"AAAAAHZvczU=")</f>
        <v>#REF!</v>
      </c>
      <c r="BC85" t="e">
        <f>AND(Bills!AC264,"AAAAAHZvczY=")</f>
        <v>#VALUE!</v>
      </c>
      <c r="BD85" t="e">
        <f>AND(Bills!AD264,"AAAAAHZvczc=")</f>
        <v>#VALUE!</v>
      </c>
      <c r="BE85" t="e">
        <f>AND(Bills!AE264,"AAAAAHZvczg=")</f>
        <v>#VALUE!</v>
      </c>
      <c r="BF85">
        <f>IF(Bills!265:265,"AAAAAHZvczk=",0)</f>
        <v>0</v>
      </c>
      <c r="BG85" t="e">
        <f>AND(Bills!B265,"AAAAAHZvczo=")</f>
        <v>#VALUE!</v>
      </c>
      <c r="BH85" t="e">
        <f>AND(Bills!#REF!,"AAAAAHZvczs=")</f>
        <v>#REF!</v>
      </c>
      <c r="BI85" t="e">
        <f>AND(Bills!C265,"AAAAAHZvczw=")</f>
        <v>#VALUE!</v>
      </c>
      <c r="BJ85" t="e">
        <f>AND(Bills!D265,"AAAAAHZvcz0=")</f>
        <v>#VALUE!</v>
      </c>
      <c r="BK85" t="e">
        <f>AND(Bills!E265,"AAAAAHZvcz4=")</f>
        <v>#VALUE!</v>
      </c>
      <c r="BL85" t="e">
        <f>AND(Bills!#REF!,"AAAAAHZvcz8=")</f>
        <v>#REF!</v>
      </c>
      <c r="BM85" t="e">
        <f>AND(Bills!#REF!,"AAAAAHZvc0A=")</f>
        <v>#REF!</v>
      </c>
      <c r="BN85" t="e">
        <f>AND(Bills!#REF!,"AAAAAHZvc0E=")</f>
        <v>#REF!</v>
      </c>
      <c r="BO85" t="e">
        <f>AND(Bills!F265,"AAAAAHZvc0I=")</f>
        <v>#VALUE!</v>
      </c>
      <c r="BP85" t="e">
        <f>AND(Bills!#REF!,"AAAAAHZvc0M=")</f>
        <v>#REF!</v>
      </c>
      <c r="BQ85" t="e">
        <f>AND(Bills!G265,"AAAAAHZvc0Q=")</f>
        <v>#VALUE!</v>
      </c>
      <c r="BR85" t="e">
        <f>AND(Bills!H265,"AAAAAHZvc0U=")</f>
        <v>#VALUE!</v>
      </c>
      <c r="BS85" t="e">
        <f>AND(Bills!I265,"AAAAAHZvc0Y=")</f>
        <v>#VALUE!</v>
      </c>
      <c r="BT85" t="e">
        <f>AND(Bills!J265,"AAAAAHZvc0c=")</f>
        <v>#VALUE!</v>
      </c>
      <c r="BU85" t="e">
        <f>AND(Bills!K265,"AAAAAHZvc0g=")</f>
        <v>#VALUE!</v>
      </c>
      <c r="BV85" t="e">
        <f>AND(Bills!L265,"AAAAAHZvc0k=")</f>
        <v>#VALUE!</v>
      </c>
      <c r="BW85" t="e">
        <f>AND(Bills!#REF!,"AAAAAHZvc0o=")</f>
        <v>#REF!</v>
      </c>
      <c r="BX85" t="e">
        <f>AND(Bills!M265,"AAAAAHZvc0s=")</f>
        <v>#VALUE!</v>
      </c>
      <c r="BY85" t="e">
        <f>AND(Bills!N265,"AAAAAHZvc0w=")</f>
        <v>#VALUE!</v>
      </c>
      <c r="BZ85" t="e">
        <f>AND(Bills!O265,"AAAAAHZvc00=")</f>
        <v>#VALUE!</v>
      </c>
      <c r="CA85" t="e">
        <f>AND(Bills!P265,"AAAAAHZvc04=")</f>
        <v>#VALUE!</v>
      </c>
      <c r="CB85" t="e">
        <f>AND(Bills!Q265,"AAAAAHZvc08=")</f>
        <v>#VALUE!</v>
      </c>
      <c r="CC85" t="e">
        <f>AND(Bills!R265,"AAAAAHZvc1A=")</f>
        <v>#VALUE!</v>
      </c>
      <c r="CD85" t="e">
        <f>AND(Bills!S265,"AAAAAHZvc1E=")</f>
        <v>#VALUE!</v>
      </c>
      <c r="CE85" t="e">
        <f>AND(Bills!T265,"AAAAAHZvc1I=")</f>
        <v>#VALUE!</v>
      </c>
      <c r="CF85" t="e">
        <f>AND(Bills!#REF!,"AAAAAHZvc1M=")</f>
        <v>#REF!</v>
      </c>
      <c r="CG85" t="e">
        <f>AND(Bills!U265,"AAAAAHZvc1Q=")</f>
        <v>#VALUE!</v>
      </c>
      <c r="CH85" t="e">
        <f>AND(Bills!V265,"AAAAAHZvc1U=")</f>
        <v>#VALUE!</v>
      </c>
      <c r="CI85" t="e">
        <f>AND(Bills!W265,"AAAAAHZvc1Y=")</f>
        <v>#VALUE!</v>
      </c>
      <c r="CJ85" t="e">
        <f>AND(Bills!#REF!,"AAAAAHZvc1c=")</f>
        <v>#REF!</v>
      </c>
      <c r="CK85" t="e">
        <f>AND(Bills!#REF!,"AAAAAHZvc1g=")</f>
        <v>#REF!</v>
      </c>
      <c r="CL85" t="e">
        <f>AND(Bills!Y265,"AAAAAHZvc1k=")</f>
        <v>#VALUE!</v>
      </c>
      <c r="CM85" t="e">
        <f>AND(Bills!Z265,"AAAAAHZvc1o=")</f>
        <v>#VALUE!</v>
      </c>
      <c r="CN85" t="e">
        <f>AND(Bills!#REF!,"AAAAAHZvc1s=")</f>
        <v>#REF!</v>
      </c>
      <c r="CO85" t="e">
        <f>AND(Bills!#REF!,"AAAAAHZvc1w=")</f>
        <v>#REF!</v>
      </c>
      <c r="CP85" t="e">
        <f>AND(Bills!#REF!,"AAAAAHZvc10=")</f>
        <v>#REF!</v>
      </c>
      <c r="CQ85" t="e">
        <f>AND(Bills!#REF!,"AAAAAHZvc14=")</f>
        <v>#REF!</v>
      </c>
      <c r="CR85" t="e">
        <f>AND(Bills!#REF!,"AAAAAHZvc18=")</f>
        <v>#REF!</v>
      </c>
      <c r="CS85" t="e">
        <f>AND(Bills!#REF!,"AAAAAHZvc2A=")</f>
        <v>#REF!</v>
      </c>
      <c r="CT85" t="e">
        <f>AND(Bills!#REF!,"AAAAAHZvc2E=")</f>
        <v>#REF!</v>
      </c>
      <c r="CU85" t="e">
        <f>AND(Bills!#REF!,"AAAAAHZvc2I=")</f>
        <v>#REF!</v>
      </c>
      <c r="CV85" t="e">
        <f>AND(Bills!#REF!,"AAAAAHZvc2M=")</f>
        <v>#REF!</v>
      </c>
      <c r="CW85" t="e">
        <f>AND(Bills!AA265,"AAAAAHZvc2Q=")</f>
        <v>#VALUE!</v>
      </c>
      <c r="CX85" t="e">
        <f>AND(Bills!AB265,"AAAAAHZvc2U=")</f>
        <v>#VALUE!</v>
      </c>
      <c r="CY85" t="e">
        <f>AND(Bills!#REF!,"AAAAAHZvc2Y=")</f>
        <v>#REF!</v>
      </c>
      <c r="CZ85" t="e">
        <f>AND(Bills!#REF!,"AAAAAHZvc2c=")</f>
        <v>#REF!</v>
      </c>
      <c r="DA85" t="e">
        <f>AND(Bills!#REF!,"AAAAAHZvc2g=")</f>
        <v>#REF!</v>
      </c>
      <c r="DB85" t="e">
        <f>AND(Bills!AC265,"AAAAAHZvc2k=")</f>
        <v>#VALUE!</v>
      </c>
      <c r="DC85" t="e">
        <f>AND(Bills!AD265,"AAAAAHZvc2o=")</f>
        <v>#VALUE!</v>
      </c>
      <c r="DD85" t="e">
        <f>AND(Bills!AE265,"AAAAAHZvc2s=")</f>
        <v>#VALUE!</v>
      </c>
      <c r="DE85">
        <f>IF(Bills!266:266,"AAAAAHZvc2w=",0)</f>
        <v>0</v>
      </c>
      <c r="DF85" t="e">
        <f>AND(Bills!B266,"AAAAAHZvc20=")</f>
        <v>#VALUE!</v>
      </c>
      <c r="DG85" t="e">
        <f>AND(Bills!#REF!,"AAAAAHZvc24=")</f>
        <v>#REF!</v>
      </c>
      <c r="DH85" t="e">
        <f>AND(Bills!C266,"AAAAAHZvc28=")</f>
        <v>#VALUE!</v>
      </c>
      <c r="DI85" t="e">
        <f>AND(Bills!D266,"AAAAAHZvc3A=")</f>
        <v>#VALUE!</v>
      </c>
      <c r="DJ85" t="e">
        <f>AND(Bills!E266,"AAAAAHZvc3E=")</f>
        <v>#VALUE!</v>
      </c>
      <c r="DK85" t="e">
        <f>AND(Bills!#REF!,"AAAAAHZvc3I=")</f>
        <v>#REF!</v>
      </c>
      <c r="DL85" t="e">
        <f>AND(Bills!#REF!,"AAAAAHZvc3M=")</f>
        <v>#REF!</v>
      </c>
      <c r="DM85" t="e">
        <f>AND(Bills!#REF!,"AAAAAHZvc3Q=")</f>
        <v>#REF!</v>
      </c>
      <c r="DN85" t="e">
        <f>AND(Bills!F266,"AAAAAHZvc3U=")</f>
        <v>#VALUE!</v>
      </c>
      <c r="DO85" t="e">
        <f>AND(Bills!#REF!,"AAAAAHZvc3Y=")</f>
        <v>#REF!</v>
      </c>
      <c r="DP85" t="e">
        <f>AND(Bills!G266,"AAAAAHZvc3c=")</f>
        <v>#VALUE!</v>
      </c>
      <c r="DQ85" t="e">
        <f>AND(Bills!H266,"AAAAAHZvc3g=")</f>
        <v>#VALUE!</v>
      </c>
      <c r="DR85" t="e">
        <f>AND(Bills!I266,"AAAAAHZvc3k=")</f>
        <v>#VALUE!</v>
      </c>
      <c r="DS85" t="e">
        <f>AND(Bills!J266,"AAAAAHZvc3o=")</f>
        <v>#VALUE!</v>
      </c>
      <c r="DT85" t="e">
        <f>AND(Bills!K266,"AAAAAHZvc3s=")</f>
        <v>#VALUE!</v>
      </c>
      <c r="DU85" t="e">
        <f>AND(Bills!L266,"AAAAAHZvc3w=")</f>
        <v>#VALUE!</v>
      </c>
      <c r="DV85" t="e">
        <f>AND(Bills!#REF!,"AAAAAHZvc30=")</f>
        <v>#REF!</v>
      </c>
      <c r="DW85" t="e">
        <f>AND(Bills!M266,"AAAAAHZvc34=")</f>
        <v>#VALUE!</v>
      </c>
      <c r="DX85" t="e">
        <f>AND(Bills!N266,"AAAAAHZvc38=")</f>
        <v>#VALUE!</v>
      </c>
      <c r="DY85" t="e">
        <f>AND(Bills!O266,"AAAAAHZvc4A=")</f>
        <v>#VALUE!</v>
      </c>
      <c r="DZ85" t="e">
        <f>AND(Bills!P266,"AAAAAHZvc4E=")</f>
        <v>#VALUE!</v>
      </c>
      <c r="EA85" t="e">
        <f>AND(Bills!Q266,"AAAAAHZvc4I=")</f>
        <v>#VALUE!</v>
      </c>
      <c r="EB85" t="e">
        <f>AND(Bills!R266,"AAAAAHZvc4M=")</f>
        <v>#VALUE!</v>
      </c>
      <c r="EC85" t="e">
        <f>AND(Bills!S266,"AAAAAHZvc4Q=")</f>
        <v>#VALUE!</v>
      </c>
      <c r="ED85" t="e">
        <f>AND(Bills!T266,"AAAAAHZvc4U=")</f>
        <v>#VALUE!</v>
      </c>
      <c r="EE85" t="e">
        <f>AND(Bills!#REF!,"AAAAAHZvc4Y=")</f>
        <v>#REF!</v>
      </c>
      <c r="EF85" t="e">
        <f>AND(Bills!U266,"AAAAAHZvc4c=")</f>
        <v>#VALUE!</v>
      </c>
      <c r="EG85" t="e">
        <f>AND(Bills!V266,"AAAAAHZvc4g=")</f>
        <v>#VALUE!</v>
      </c>
      <c r="EH85" t="e">
        <f>AND(Bills!W266,"AAAAAHZvc4k=")</f>
        <v>#VALUE!</v>
      </c>
      <c r="EI85" t="e">
        <f>AND(Bills!#REF!,"AAAAAHZvc4o=")</f>
        <v>#REF!</v>
      </c>
      <c r="EJ85" t="e">
        <f>AND(Bills!#REF!,"AAAAAHZvc4s=")</f>
        <v>#REF!</v>
      </c>
      <c r="EK85" t="e">
        <f>AND(Bills!Y266,"AAAAAHZvc4w=")</f>
        <v>#VALUE!</v>
      </c>
      <c r="EL85" t="e">
        <f>AND(Bills!Z266,"AAAAAHZvc40=")</f>
        <v>#VALUE!</v>
      </c>
      <c r="EM85" t="e">
        <f>AND(Bills!#REF!,"AAAAAHZvc44=")</f>
        <v>#REF!</v>
      </c>
      <c r="EN85" t="e">
        <f>AND(Bills!#REF!,"AAAAAHZvc48=")</f>
        <v>#REF!</v>
      </c>
      <c r="EO85" t="e">
        <f>AND(Bills!#REF!,"AAAAAHZvc5A=")</f>
        <v>#REF!</v>
      </c>
      <c r="EP85" t="e">
        <f>AND(Bills!#REF!,"AAAAAHZvc5E=")</f>
        <v>#REF!</v>
      </c>
      <c r="EQ85" t="e">
        <f>AND(Bills!#REF!,"AAAAAHZvc5I=")</f>
        <v>#REF!</v>
      </c>
      <c r="ER85" t="e">
        <f>AND(Bills!#REF!,"AAAAAHZvc5M=")</f>
        <v>#REF!</v>
      </c>
      <c r="ES85" t="e">
        <f>AND(Bills!#REF!,"AAAAAHZvc5Q=")</f>
        <v>#REF!</v>
      </c>
      <c r="ET85" t="e">
        <f>AND(Bills!#REF!,"AAAAAHZvc5U=")</f>
        <v>#REF!</v>
      </c>
      <c r="EU85" t="e">
        <f>AND(Bills!#REF!,"AAAAAHZvc5Y=")</f>
        <v>#REF!</v>
      </c>
      <c r="EV85" t="e">
        <f>AND(Bills!AA266,"AAAAAHZvc5c=")</f>
        <v>#VALUE!</v>
      </c>
      <c r="EW85" t="e">
        <f>AND(Bills!AB266,"AAAAAHZvc5g=")</f>
        <v>#VALUE!</v>
      </c>
      <c r="EX85" t="e">
        <f>AND(Bills!#REF!,"AAAAAHZvc5k=")</f>
        <v>#REF!</v>
      </c>
      <c r="EY85" t="e">
        <f>AND(Bills!#REF!,"AAAAAHZvc5o=")</f>
        <v>#REF!</v>
      </c>
      <c r="EZ85" t="e">
        <f>AND(Bills!#REF!,"AAAAAHZvc5s=")</f>
        <v>#REF!</v>
      </c>
      <c r="FA85" t="e">
        <f>AND(Bills!AC266,"AAAAAHZvc5w=")</f>
        <v>#VALUE!</v>
      </c>
      <c r="FB85" t="e">
        <f>AND(Bills!AD266,"AAAAAHZvc50=")</f>
        <v>#VALUE!</v>
      </c>
      <c r="FC85" t="e">
        <f>AND(Bills!AE266,"AAAAAHZvc54=")</f>
        <v>#VALUE!</v>
      </c>
      <c r="FD85">
        <f>IF(Bills!267:267,"AAAAAHZvc58=",0)</f>
        <v>0</v>
      </c>
      <c r="FE85" t="e">
        <f>AND(Bills!B267,"AAAAAHZvc6A=")</f>
        <v>#VALUE!</v>
      </c>
      <c r="FF85" t="e">
        <f>AND(Bills!#REF!,"AAAAAHZvc6E=")</f>
        <v>#REF!</v>
      </c>
      <c r="FG85" t="e">
        <f>AND(Bills!C267,"AAAAAHZvc6I=")</f>
        <v>#VALUE!</v>
      </c>
      <c r="FH85" t="e">
        <f>AND(Bills!D267,"AAAAAHZvc6M=")</f>
        <v>#VALUE!</v>
      </c>
      <c r="FI85" t="e">
        <f>AND(Bills!E267,"AAAAAHZvc6Q=")</f>
        <v>#VALUE!</v>
      </c>
      <c r="FJ85" t="e">
        <f>AND(Bills!#REF!,"AAAAAHZvc6U=")</f>
        <v>#REF!</v>
      </c>
      <c r="FK85" t="e">
        <f>AND(Bills!#REF!,"AAAAAHZvc6Y=")</f>
        <v>#REF!</v>
      </c>
      <c r="FL85" t="e">
        <f>AND(Bills!#REF!,"AAAAAHZvc6c=")</f>
        <v>#REF!</v>
      </c>
      <c r="FM85" t="e">
        <f>AND(Bills!F267,"AAAAAHZvc6g=")</f>
        <v>#VALUE!</v>
      </c>
      <c r="FN85" t="e">
        <f>AND(Bills!#REF!,"AAAAAHZvc6k=")</f>
        <v>#REF!</v>
      </c>
      <c r="FO85" t="e">
        <f>AND(Bills!G267,"AAAAAHZvc6o=")</f>
        <v>#VALUE!</v>
      </c>
      <c r="FP85" t="e">
        <f>AND(Bills!H267,"AAAAAHZvc6s=")</f>
        <v>#VALUE!</v>
      </c>
      <c r="FQ85" t="e">
        <f>AND(Bills!I267,"AAAAAHZvc6w=")</f>
        <v>#VALUE!</v>
      </c>
      <c r="FR85" t="e">
        <f>AND(Bills!J267,"AAAAAHZvc60=")</f>
        <v>#VALUE!</v>
      </c>
      <c r="FS85" t="e">
        <f>AND(Bills!K267,"AAAAAHZvc64=")</f>
        <v>#VALUE!</v>
      </c>
      <c r="FT85" t="e">
        <f>AND(Bills!L267,"AAAAAHZvc68=")</f>
        <v>#VALUE!</v>
      </c>
      <c r="FU85" t="e">
        <f>AND(Bills!#REF!,"AAAAAHZvc7A=")</f>
        <v>#REF!</v>
      </c>
      <c r="FV85" t="e">
        <f>AND(Bills!M267,"AAAAAHZvc7E=")</f>
        <v>#VALUE!</v>
      </c>
      <c r="FW85" t="e">
        <f>AND(Bills!N267,"AAAAAHZvc7I=")</f>
        <v>#VALUE!</v>
      </c>
      <c r="FX85" t="e">
        <f>AND(Bills!O267,"AAAAAHZvc7M=")</f>
        <v>#VALUE!</v>
      </c>
      <c r="FY85" t="e">
        <f>AND(Bills!P267,"AAAAAHZvc7Q=")</f>
        <v>#VALUE!</v>
      </c>
      <c r="FZ85" t="e">
        <f>AND(Bills!Q267,"AAAAAHZvc7U=")</f>
        <v>#VALUE!</v>
      </c>
      <c r="GA85" t="e">
        <f>AND(Bills!R267,"AAAAAHZvc7Y=")</f>
        <v>#VALUE!</v>
      </c>
      <c r="GB85" t="e">
        <f>AND(Bills!S267,"AAAAAHZvc7c=")</f>
        <v>#VALUE!</v>
      </c>
      <c r="GC85" t="e">
        <f>AND(Bills!T267,"AAAAAHZvc7g=")</f>
        <v>#VALUE!</v>
      </c>
      <c r="GD85" t="e">
        <f>AND(Bills!#REF!,"AAAAAHZvc7k=")</f>
        <v>#REF!</v>
      </c>
      <c r="GE85" t="e">
        <f>AND(Bills!U267,"AAAAAHZvc7o=")</f>
        <v>#VALUE!</v>
      </c>
      <c r="GF85" t="e">
        <f>AND(Bills!V267,"AAAAAHZvc7s=")</f>
        <v>#VALUE!</v>
      </c>
      <c r="GG85" t="e">
        <f>AND(Bills!W267,"AAAAAHZvc7w=")</f>
        <v>#VALUE!</v>
      </c>
      <c r="GH85" t="e">
        <f>AND(Bills!#REF!,"AAAAAHZvc70=")</f>
        <v>#REF!</v>
      </c>
      <c r="GI85" t="e">
        <f>AND(Bills!#REF!,"AAAAAHZvc74=")</f>
        <v>#REF!</v>
      </c>
      <c r="GJ85" t="e">
        <f>AND(Bills!Y267,"AAAAAHZvc78=")</f>
        <v>#VALUE!</v>
      </c>
      <c r="GK85" t="e">
        <f>AND(Bills!Z267,"AAAAAHZvc8A=")</f>
        <v>#VALUE!</v>
      </c>
      <c r="GL85" t="e">
        <f>AND(Bills!#REF!,"AAAAAHZvc8E=")</f>
        <v>#REF!</v>
      </c>
      <c r="GM85" t="e">
        <f>AND(Bills!#REF!,"AAAAAHZvc8I=")</f>
        <v>#REF!</v>
      </c>
      <c r="GN85" t="e">
        <f>AND(Bills!#REF!,"AAAAAHZvc8M=")</f>
        <v>#REF!</v>
      </c>
      <c r="GO85" t="e">
        <f>AND(Bills!#REF!,"AAAAAHZvc8Q=")</f>
        <v>#REF!</v>
      </c>
      <c r="GP85" t="e">
        <f>AND(Bills!#REF!,"AAAAAHZvc8U=")</f>
        <v>#REF!</v>
      </c>
      <c r="GQ85" t="e">
        <f>AND(Bills!#REF!,"AAAAAHZvc8Y=")</f>
        <v>#REF!</v>
      </c>
      <c r="GR85" t="e">
        <f>AND(Bills!#REF!,"AAAAAHZvc8c=")</f>
        <v>#REF!</v>
      </c>
      <c r="GS85" t="e">
        <f>AND(Bills!#REF!,"AAAAAHZvc8g=")</f>
        <v>#REF!</v>
      </c>
      <c r="GT85" t="e">
        <f>AND(Bills!#REF!,"AAAAAHZvc8k=")</f>
        <v>#REF!</v>
      </c>
      <c r="GU85" t="e">
        <f>AND(Bills!AA267,"AAAAAHZvc8o=")</f>
        <v>#VALUE!</v>
      </c>
      <c r="GV85" t="e">
        <f>AND(Bills!AB267,"AAAAAHZvc8s=")</f>
        <v>#VALUE!</v>
      </c>
      <c r="GW85" t="e">
        <f>AND(Bills!#REF!,"AAAAAHZvc8w=")</f>
        <v>#REF!</v>
      </c>
      <c r="GX85" t="e">
        <f>AND(Bills!#REF!,"AAAAAHZvc80=")</f>
        <v>#REF!</v>
      </c>
      <c r="GY85" t="e">
        <f>AND(Bills!#REF!,"AAAAAHZvc84=")</f>
        <v>#REF!</v>
      </c>
      <c r="GZ85" t="e">
        <f>AND(Bills!AC267,"AAAAAHZvc88=")</f>
        <v>#VALUE!</v>
      </c>
      <c r="HA85" t="e">
        <f>AND(Bills!AD267,"AAAAAHZvc9A=")</f>
        <v>#VALUE!</v>
      </c>
      <c r="HB85" t="e">
        <f>AND(Bills!AE267,"AAAAAHZvc9E=")</f>
        <v>#VALUE!</v>
      </c>
      <c r="HC85">
        <f>IF(Bills!268:268,"AAAAAHZvc9I=",0)</f>
        <v>0</v>
      </c>
      <c r="HD85" t="e">
        <f>AND(Bills!B268,"AAAAAHZvc9M=")</f>
        <v>#VALUE!</v>
      </c>
      <c r="HE85" t="e">
        <f>AND(Bills!#REF!,"AAAAAHZvc9Q=")</f>
        <v>#REF!</v>
      </c>
      <c r="HF85" t="e">
        <f>AND(Bills!C268,"AAAAAHZvc9U=")</f>
        <v>#VALUE!</v>
      </c>
      <c r="HG85" t="e">
        <f>AND(Bills!D268,"AAAAAHZvc9Y=")</f>
        <v>#VALUE!</v>
      </c>
      <c r="HH85" t="e">
        <f>AND(Bills!E268,"AAAAAHZvc9c=")</f>
        <v>#VALUE!</v>
      </c>
      <c r="HI85" t="e">
        <f>AND(Bills!#REF!,"AAAAAHZvc9g=")</f>
        <v>#REF!</v>
      </c>
      <c r="HJ85" t="e">
        <f>AND(Bills!#REF!,"AAAAAHZvc9k=")</f>
        <v>#REF!</v>
      </c>
      <c r="HK85" t="e">
        <f>AND(Bills!#REF!,"AAAAAHZvc9o=")</f>
        <v>#REF!</v>
      </c>
      <c r="HL85" t="e">
        <f>AND(Bills!F268,"AAAAAHZvc9s=")</f>
        <v>#VALUE!</v>
      </c>
      <c r="HM85" t="e">
        <f>AND(Bills!#REF!,"AAAAAHZvc9w=")</f>
        <v>#REF!</v>
      </c>
      <c r="HN85" t="e">
        <f>AND(Bills!G268,"AAAAAHZvc90=")</f>
        <v>#VALUE!</v>
      </c>
      <c r="HO85" t="e">
        <f>AND(Bills!H268,"AAAAAHZvc94=")</f>
        <v>#VALUE!</v>
      </c>
      <c r="HP85" t="e">
        <f>AND(Bills!I268,"AAAAAHZvc98=")</f>
        <v>#VALUE!</v>
      </c>
      <c r="HQ85" t="e">
        <f>AND(Bills!J268,"AAAAAHZvc+A=")</f>
        <v>#VALUE!</v>
      </c>
      <c r="HR85" t="e">
        <f>AND(Bills!K268,"AAAAAHZvc+E=")</f>
        <v>#VALUE!</v>
      </c>
      <c r="HS85" t="e">
        <f>AND(Bills!L268,"AAAAAHZvc+I=")</f>
        <v>#VALUE!</v>
      </c>
      <c r="HT85" t="e">
        <f>AND(Bills!#REF!,"AAAAAHZvc+M=")</f>
        <v>#REF!</v>
      </c>
      <c r="HU85" t="e">
        <f>AND(Bills!M268,"AAAAAHZvc+Q=")</f>
        <v>#VALUE!</v>
      </c>
      <c r="HV85" t="e">
        <f>AND(Bills!N268,"AAAAAHZvc+U=")</f>
        <v>#VALUE!</v>
      </c>
      <c r="HW85" t="e">
        <f>AND(Bills!O268,"AAAAAHZvc+Y=")</f>
        <v>#VALUE!</v>
      </c>
      <c r="HX85" t="e">
        <f>AND(Bills!P268,"AAAAAHZvc+c=")</f>
        <v>#VALUE!</v>
      </c>
      <c r="HY85" t="e">
        <f>AND(Bills!Q268,"AAAAAHZvc+g=")</f>
        <v>#VALUE!</v>
      </c>
      <c r="HZ85" t="e">
        <f>AND(Bills!R268,"AAAAAHZvc+k=")</f>
        <v>#VALUE!</v>
      </c>
      <c r="IA85" t="e">
        <f>AND(Bills!S268,"AAAAAHZvc+o=")</f>
        <v>#VALUE!</v>
      </c>
      <c r="IB85" t="e">
        <f>AND(Bills!T268,"AAAAAHZvc+s=")</f>
        <v>#VALUE!</v>
      </c>
      <c r="IC85" t="e">
        <f>AND(Bills!#REF!,"AAAAAHZvc+w=")</f>
        <v>#REF!</v>
      </c>
      <c r="ID85" t="e">
        <f>AND(Bills!U268,"AAAAAHZvc+0=")</f>
        <v>#VALUE!</v>
      </c>
      <c r="IE85" t="e">
        <f>AND(Bills!V268,"AAAAAHZvc+4=")</f>
        <v>#VALUE!</v>
      </c>
      <c r="IF85" t="e">
        <f>AND(Bills!W268,"AAAAAHZvc+8=")</f>
        <v>#VALUE!</v>
      </c>
      <c r="IG85" t="e">
        <f>AND(Bills!#REF!,"AAAAAHZvc/A=")</f>
        <v>#REF!</v>
      </c>
      <c r="IH85" t="e">
        <f>AND(Bills!#REF!,"AAAAAHZvc/E=")</f>
        <v>#REF!</v>
      </c>
      <c r="II85" t="e">
        <f>AND(Bills!Y268,"AAAAAHZvc/I=")</f>
        <v>#VALUE!</v>
      </c>
      <c r="IJ85" t="e">
        <f>AND(Bills!Z268,"AAAAAHZvc/M=")</f>
        <v>#VALUE!</v>
      </c>
      <c r="IK85" t="e">
        <f>AND(Bills!#REF!,"AAAAAHZvc/Q=")</f>
        <v>#REF!</v>
      </c>
      <c r="IL85" t="e">
        <f>AND(Bills!#REF!,"AAAAAHZvc/U=")</f>
        <v>#REF!</v>
      </c>
      <c r="IM85" t="e">
        <f>AND(Bills!#REF!,"AAAAAHZvc/Y=")</f>
        <v>#REF!</v>
      </c>
      <c r="IN85" t="e">
        <f>AND(Bills!#REF!,"AAAAAHZvc/c=")</f>
        <v>#REF!</v>
      </c>
      <c r="IO85" t="e">
        <f>AND(Bills!#REF!,"AAAAAHZvc/g=")</f>
        <v>#REF!</v>
      </c>
      <c r="IP85" t="e">
        <f>AND(Bills!#REF!,"AAAAAHZvc/k=")</f>
        <v>#REF!</v>
      </c>
      <c r="IQ85" t="e">
        <f>AND(Bills!#REF!,"AAAAAHZvc/o=")</f>
        <v>#REF!</v>
      </c>
      <c r="IR85" t="e">
        <f>AND(Bills!#REF!,"AAAAAHZvc/s=")</f>
        <v>#REF!</v>
      </c>
      <c r="IS85" t="e">
        <f>AND(Bills!#REF!,"AAAAAHZvc/w=")</f>
        <v>#REF!</v>
      </c>
      <c r="IT85" t="e">
        <f>AND(Bills!AA268,"AAAAAHZvc/0=")</f>
        <v>#VALUE!</v>
      </c>
      <c r="IU85" t="e">
        <f>AND(Bills!AB268,"AAAAAHZvc/4=")</f>
        <v>#VALUE!</v>
      </c>
      <c r="IV85" t="e">
        <f>AND(Bills!#REF!,"AAAAAHZvc/8=")</f>
        <v>#REF!</v>
      </c>
    </row>
    <row r="86" spans="1:256" x14ac:dyDescent="0.25">
      <c r="A86" t="e">
        <f>AND(Bills!#REF!,"AAAAAHba+wA=")</f>
        <v>#REF!</v>
      </c>
      <c r="B86" t="e">
        <f>AND(Bills!#REF!,"AAAAAHba+wE=")</f>
        <v>#REF!</v>
      </c>
      <c r="C86" t="e">
        <f>AND(Bills!AC268,"AAAAAHba+wI=")</f>
        <v>#VALUE!</v>
      </c>
      <c r="D86" t="e">
        <f>AND(Bills!AD268,"AAAAAHba+wM=")</f>
        <v>#VALUE!</v>
      </c>
      <c r="E86" t="e">
        <f>AND(Bills!AE268,"AAAAAHba+wQ=")</f>
        <v>#VALUE!</v>
      </c>
      <c r="F86">
        <f>IF(Bills!269:269,"AAAAAHba+wU=",0)</f>
        <v>0</v>
      </c>
      <c r="G86" t="e">
        <f>AND(Bills!B269,"AAAAAHba+wY=")</f>
        <v>#VALUE!</v>
      </c>
      <c r="H86" t="e">
        <f>AND(Bills!#REF!,"AAAAAHba+wc=")</f>
        <v>#REF!</v>
      </c>
      <c r="I86" t="e">
        <f>AND(Bills!C269,"AAAAAHba+wg=")</f>
        <v>#VALUE!</v>
      </c>
      <c r="J86" t="e">
        <f>AND(Bills!D269,"AAAAAHba+wk=")</f>
        <v>#VALUE!</v>
      </c>
      <c r="K86" t="e">
        <f>AND(Bills!E269,"AAAAAHba+wo=")</f>
        <v>#VALUE!</v>
      </c>
      <c r="L86" t="e">
        <f>AND(Bills!#REF!,"AAAAAHba+ws=")</f>
        <v>#REF!</v>
      </c>
      <c r="M86" t="e">
        <f>AND(Bills!#REF!,"AAAAAHba+ww=")</f>
        <v>#REF!</v>
      </c>
      <c r="N86" t="e">
        <f>AND(Bills!#REF!,"AAAAAHba+w0=")</f>
        <v>#REF!</v>
      </c>
      <c r="O86" t="e">
        <f>AND(Bills!F269,"AAAAAHba+w4=")</f>
        <v>#VALUE!</v>
      </c>
      <c r="P86" t="e">
        <f>AND(Bills!#REF!,"AAAAAHba+w8=")</f>
        <v>#REF!</v>
      </c>
      <c r="Q86" t="e">
        <f>AND(Bills!G269,"AAAAAHba+xA=")</f>
        <v>#VALUE!</v>
      </c>
      <c r="R86" t="e">
        <f>AND(Bills!H269,"AAAAAHba+xE=")</f>
        <v>#VALUE!</v>
      </c>
      <c r="S86" t="e">
        <f>AND(Bills!I269,"AAAAAHba+xI=")</f>
        <v>#VALUE!</v>
      </c>
      <c r="T86" t="e">
        <f>AND(Bills!J269,"AAAAAHba+xM=")</f>
        <v>#VALUE!</v>
      </c>
      <c r="U86" t="e">
        <f>AND(Bills!K269,"AAAAAHba+xQ=")</f>
        <v>#VALUE!</v>
      </c>
      <c r="V86" t="e">
        <f>AND(Bills!L269,"AAAAAHba+xU=")</f>
        <v>#VALUE!</v>
      </c>
      <c r="W86" t="e">
        <f>AND(Bills!#REF!,"AAAAAHba+xY=")</f>
        <v>#REF!</v>
      </c>
      <c r="X86" t="e">
        <f>AND(Bills!M269,"AAAAAHba+xc=")</f>
        <v>#VALUE!</v>
      </c>
      <c r="Y86" t="e">
        <f>AND(Bills!N269,"AAAAAHba+xg=")</f>
        <v>#VALUE!</v>
      </c>
      <c r="Z86" t="e">
        <f>AND(Bills!O269,"AAAAAHba+xk=")</f>
        <v>#VALUE!</v>
      </c>
      <c r="AA86" t="e">
        <f>AND(Bills!P269,"AAAAAHba+xo=")</f>
        <v>#VALUE!</v>
      </c>
      <c r="AB86" t="e">
        <f>AND(Bills!Q269,"AAAAAHba+xs=")</f>
        <v>#VALUE!</v>
      </c>
      <c r="AC86" t="e">
        <f>AND(Bills!R269,"AAAAAHba+xw=")</f>
        <v>#VALUE!</v>
      </c>
      <c r="AD86" t="e">
        <f>AND(Bills!S269,"AAAAAHba+x0=")</f>
        <v>#VALUE!</v>
      </c>
      <c r="AE86" t="e">
        <f>AND(Bills!T269,"AAAAAHba+x4=")</f>
        <v>#VALUE!</v>
      </c>
      <c r="AF86" t="e">
        <f>AND(Bills!#REF!,"AAAAAHba+x8=")</f>
        <v>#REF!</v>
      </c>
      <c r="AG86" t="e">
        <f>AND(Bills!U269,"AAAAAHba+yA=")</f>
        <v>#VALUE!</v>
      </c>
      <c r="AH86" t="e">
        <f>AND(Bills!V269,"AAAAAHba+yE=")</f>
        <v>#VALUE!</v>
      </c>
      <c r="AI86" t="e">
        <f>AND(Bills!W269,"AAAAAHba+yI=")</f>
        <v>#VALUE!</v>
      </c>
      <c r="AJ86" t="e">
        <f>AND(Bills!#REF!,"AAAAAHba+yM=")</f>
        <v>#REF!</v>
      </c>
      <c r="AK86" t="e">
        <f>AND(Bills!#REF!,"AAAAAHba+yQ=")</f>
        <v>#REF!</v>
      </c>
      <c r="AL86" t="e">
        <f>AND(Bills!Y269,"AAAAAHba+yU=")</f>
        <v>#VALUE!</v>
      </c>
      <c r="AM86" t="e">
        <f>AND(Bills!Z269,"AAAAAHba+yY=")</f>
        <v>#VALUE!</v>
      </c>
      <c r="AN86" t="e">
        <f>AND(Bills!#REF!,"AAAAAHba+yc=")</f>
        <v>#REF!</v>
      </c>
      <c r="AO86" t="e">
        <f>AND(Bills!#REF!,"AAAAAHba+yg=")</f>
        <v>#REF!</v>
      </c>
      <c r="AP86" t="e">
        <f>AND(Bills!#REF!,"AAAAAHba+yk=")</f>
        <v>#REF!</v>
      </c>
      <c r="AQ86" t="e">
        <f>AND(Bills!#REF!,"AAAAAHba+yo=")</f>
        <v>#REF!</v>
      </c>
      <c r="AR86" t="e">
        <f>AND(Bills!#REF!,"AAAAAHba+ys=")</f>
        <v>#REF!</v>
      </c>
      <c r="AS86" t="e">
        <f>AND(Bills!#REF!,"AAAAAHba+yw=")</f>
        <v>#REF!</v>
      </c>
      <c r="AT86" t="e">
        <f>AND(Bills!#REF!,"AAAAAHba+y0=")</f>
        <v>#REF!</v>
      </c>
      <c r="AU86" t="e">
        <f>AND(Bills!#REF!,"AAAAAHba+y4=")</f>
        <v>#REF!</v>
      </c>
      <c r="AV86" t="e">
        <f>AND(Bills!#REF!,"AAAAAHba+y8=")</f>
        <v>#REF!</v>
      </c>
      <c r="AW86" t="e">
        <f>AND(Bills!AA269,"AAAAAHba+zA=")</f>
        <v>#VALUE!</v>
      </c>
      <c r="AX86" t="e">
        <f>AND(Bills!AB269,"AAAAAHba+zE=")</f>
        <v>#VALUE!</v>
      </c>
      <c r="AY86" t="e">
        <f>AND(Bills!#REF!,"AAAAAHba+zI=")</f>
        <v>#REF!</v>
      </c>
      <c r="AZ86" t="e">
        <f>AND(Bills!#REF!,"AAAAAHba+zM=")</f>
        <v>#REF!</v>
      </c>
      <c r="BA86" t="e">
        <f>AND(Bills!#REF!,"AAAAAHba+zQ=")</f>
        <v>#REF!</v>
      </c>
      <c r="BB86" t="e">
        <f>AND(Bills!AC269,"AAAAAHba+zU=")</f>
        <v>#VALUE!</v>
      </c>
      <c r="BC86" t="e">
        <f>AND(Bills!AD269,"AAAAAHba+zY=")</f>
        <v>#VALUE!</v>
      </c>
      <c r="BD86" t="e">
        <f>AND(Bills!AE269,"AAAAAHba+zc=")</f>
        <v>#VALUE!</v>
      </c>
      <c r="BE86">
        <f>IF(Bills!270:270,"AAAAAHba+zg=",0)</f>
        <v>0</v>
      </c>
      <c r="BF86" t="e">
        <f>AND(Bills!B270,"AAAAAHba+zk=")</f>
        <v>#VALUE!</v>
      </c>
      <c r="BG86" t="e">
        <f>AND(Bills!#REF!,"AAAAAHba+zo=")</f>
        <v>#REF!</v>
      </c>
      <c r="BH86" t="e">
        <f>AND(Bills!C270,"AAAAAHba+zs=")</f>
        <v>#VALUE!</v>
      </c>
      <c r="BI86" t="e">
        <f>AND(Bills!D270,"AAAAAHba+zw=")</f>
        <v>#VALUE!</v>
      </c>
      <c r="BJ86" t="e">
        <f>AND(Bills!E270,"AAAAAHba+z0=")</f>
        <v>#VALUE!</v>
      </c>
      <c r="BK86" t="e">
        <f>AND(Bills!#REF!,"AAAAAHba+z4=")</f>
        <v>#REF!</v>
      </c>
      <c r="BL86" t="e">
        <f>AND(Bills!#REF!,"AAAAAHba+z8=")</f>
        <v>#REF!</v>
      </c>
      <c r="BM86" t="e">
        <f>AND(Bills!#REF!,"AAAAAHba+0A=")</f>
        <v>#REF!</v>
      </c>
      <c r="BN86" t="e">
        <f>AND(Bills!F270,"AAAAAHba+0E=")</f>
        <v>#VALUE!</v>
      </c>
      <c r="BO86" t="e">
        <f>AND(Bills!#REF!,"AAAAAHba+0I=")</f>
        <v>#REF!</v>
      </c>
      <c r="BP86" t="e">
        <f>AND(Bills!G270,"AAAAAHba+0M=")</f>
        <v>#VALUE!</v>
      </c>
      <c r="BQ86" t="e">
        <f>AND(Bills!H270,"AAAAAHba+0Q=")</f>
        <v>#VALUE!</v>
      </c>
      <c r="BR86" t="e">
        <f>AND(Bills!I270,"AAAAAHba+0U=")</f>
        <v>#VALUE!</v>
      </c>
      <c r="BS86" t="e">
        <f>AND(Bills!J270,"AAAAAHba+0Y=")</f>
        <v>#VALUE!</v>
      </c>
      <c r="BT86" t="e">
        <f>AND(Bills!K270,"AAAAAHba+0c=")</f>
        <v>#VALUE!</v>
      </c>
      <c r="BU86" t="e">
        <f>AND(Bills!L270,"AAAAAHba+0g=")</f>
        <v>#VALUE!</v>
      </c>
      <c r="BV86" t="e">
        <f>AND(Bills!#REF!,"AAAAAHba+0k=")</f>
        <v>#REF!</v>
      </c>
      <c r="BW86" t="e">
        <f>AND(Bills!M270,"AAAAAHba+0o=")</f>
        <v>#VALUE!</v>
      </c>
      <c r="BX86" t="e">
        <f>AND(Bills!N270,"AAAAAHba+0s=")</f>
        <v>#VALUE!</v>
      </c>
      <c r="BY86" t="e">
        <f>AND(Bills!O270,"AAAAAHba+0w=")</f>
        <v>#VALUE!</v>
      </c>
      <c r="BZ86" t="e">
        <f>AND(Bills!P270,"AAAAAHba+00=")</f>
        <v>#VALUE!</v>
      </c>
      <c r="CA86" t="e">
        <f>AND(Bills!Q270,"AAAAAHba+04=")</f>
        <v>#VALUE!</v>
      </c>
      <c r="CB86" t="e">
        <f>AND(Bills!R270,"AAAAAHba+08=")</f>
        <v>#VALUE!</v>
      </c>
      <c r="CC86" t="e">
        <f>AND(Bills!S270,"AAAAAHba+1A=")</f>
        <v>#VALUE!</v>
      </c>
      <c r="CD86" t="e">
        <f>AND(Bills!T270,"AAAAAHba+1E=")</f>
        <v>#VALUE!</v>
      </c>
      <c r="CE86" t="e">
        <f>AND(Bills!#REF!,"AAAAAHba+1I=")</f>
        <v>#REF!</v>
      </c>
      <c r="CF86" t="e">
        <f>AND(Bills!U270,"AAAAAHba+1M=")</f>
        <v>#VALUE!</v>
      </c>
      <c r="CG86" t="e">
        <f>AND(Bills!V270,"AAAAAHba+1Q=")</f>
        <v>#VALUE!</v>
      </c>
      <c r="CH86" t="e">
        <f>AND(Bills!W270,"AAAAAHba+1U=")</f>
        <v>#VALUE!</v>
      </c>
      <c r="CI86" t="e">
        <f>AND(Bills!#REF!,"AAAAAHba+1Y=")</f>
        <v>#REF!</v>
      </c>
      <c r="CJ86" t="e">
        <f>AND(Bills!#REF!,"AAAAAHba+1c=")</f>
        <v>#REF!</v>
      </c>
      <c r="CK86" t="e">
        <f>AND(Bills!Y270,"AAAAAHba+1g=")</f>
        <v>#VALUE!</v>
      </c>
      <c r="CL86" t="e">
        <f>AND(Bills!Z270,"AAAAAHba+1k=")</f>
        <v>#VALUE!</v>
      </c>
      <c r="CM86" t="e">
        <f>AND(Bills!#REF!,"AAAAAHba+1o=")</f>
        <v>#REF!</v>
      </c>
      <c r="CN86" t="e">
        <f>AND(Bills!#REF!,"AAAAAHba+1s=")</f>
        <v>#REF!</v>
      </c>
      <c r="CO86" t="e">
        <f>AND(Bills!#REF!,"AAAAAHba+1w=")</f>
        <v>#REF!</v>
      </c>
      <c r="CP86" t="e">
        <f>AND(Bills!#REF!,"AAAAAHba+10=")</f>
        <v>#REF!</v>
      </c>
      <c r="CQ86" t="e">
        <f>AND(Bills!#REF!,"AAAAAHba+14=")</f>
        <v>#REF!</v>
      </c>
      <c r="CR86" t="e">
        <f>AND(Bills!#REF!,"AAAAAHba+18=")</f>
        <v>#REF!</v>
      </c>
      <c r="CS86" t="e">
        <f>AND(Bills!#REF!,"AAAAAHba+2A=")</f>
        <v>#REF!</v>
      </c>
      <c r="CT86" t="e">
        <f>AND(Bills!#REF!,"AAAAAHba+2E=")</f>
        <v>#REF!</v>
      </c>
      <c r="CU86" t="e">
        <f>AND(Bills!#REF!,"AAAAAHba+2I=")</f>
        <v>#REF!</v>
      </c>
      <c r="CV86" t="e">
        <f>AND(Bills!AA270,"AAAAAHba+2M=")</f>
        <v>#VALUE!</v>
      </c>
      <c r="CW86" t="e">
        <f>AND(Bills!AB270,"AAAAAHba+2Q=")</f>
        <v>#VALUE!</v>
      </c>
      <c r="CX86" t="e">
        <f>AND(Bills!#REF!,"AAAAAHba+2U=")</f>
        <v>#REF!</v>
      </c>
      <c r="CY86" t="e">
        <f>AND(Bills!#REF!,"AAAAAHba+2Y=")</f>
        <v>#REF!</v>
      </c>
      <c r="CZ86" t="e">
        <f>AND(Bills!#REF!,"AAAAAHba+2c=")</f>
        <v>#REF!</v>
      </c>
      <c r="DA86" t="e">
        <f>AND(Bills!AC270,"AAAAAHba+2g=")</f>
        <v>#VALUE!</v>
      </c>
      <c r="DB86" t="e">
        <f>AND(Bills!AD270,"AAAAAHba+2k=")</f>
        <v>#VALUE!</v>
      </c>
      <c r="DC86" t="e">
        <f>AND(Bills!AE270,"AAAAAHba+2o=")</f>
        <v>#VALUE!</v>
      </c>
      <c r="DD86">
        <f>IF(Bills!271:271,"AAAAAHba+2s=",0)</f>
        <v>0</v>
      </c>
      <c r="DE86" t="e">
        <f>AND(Bills!B271,"AAAAAHba+2w=")</f>
        <v>#VALUE!</v>
      </c>
      <c r="DF86" t="e">
        <f>AND(Bills!#REF!,"AAAAAHba+20=")</f>
        <v>#REF!</v>
      </c>
      <c r="DG86" t="e">
        <f>AND(Bills!C271,"AAAAAHba+24=")</f>
        <v>#VALUE!</v>
      </c>
      <c r="DH86" t="e">
        <f>AND(Bills!D271,"AAAAAHba+28=")</f>
        <v>#VALUE!</v>
      </c>
      <c r="DI86" t="e">
        <f>AND(Bills!E271,"AAAAAHba+3A=")</f>
        <v>#VALUE!</v>
      </c>
      <c r="DJ86" t="e">
        <f>AND(Bills!#REF!,"AAAAAHba+3E=")</f>
        <v>#REF!</v>
      </c>
      <c r="DK86" t="e">
        <f>AND(Bills!#REF!,"AAAAAHba+3I=")</f>
        <v>#REF!</v>
      </c>
      <c r="DL86" t="e">
        <f>AND(Bills!#REF!,"AAAAAHba+3M=")</f>
        <v>#REF!</v>
      </c>
      <c r="DM86" t="e">
        <f>AND(Bills!F271,"AAAAAHba+3Q=")</f>
        <v>#VALUE!</v>
      </c>
      <c r="DN86" t="e">
        <f>AND(Bills!#REF!,"AAAAAHba+3U=")</f>
        <v>#REF!</v>
      </c>
      <c r="DO86" t="e">
        <f>AND(Bills!G271,"AAAAAHba+3Y=")</f>
        <v>#VALUE!</v>
      </c>
      <c r="DP86" t="e">
        <f>AND(Bills!H271,"AAAAAHba+3c=")</f>
        <v>#VALUE!</v>
      </c>
      <c r="DQ86" t="e">
        <f>AND(Bills!I271,"AAAAAHba+3g=")</f>
        <v>#VALUE!</v>
      </c>
      <c r="DR86" t="e">
        <f>AND(Bills!J271,"AAAAAHba+3k=")</f>
        <v>#VALUE!</v>
      </c>
      <c r="DS86" t="e">
        <f>AND(Bills!K271,"AAAAAHba+3o=")</f>
        <v>#VALUE!</v>
      </c>
      <c r="DT86" t="e">
        <f>AND(Bills!L271,"AAAAAHba+3s=")</f>
        <v>#VALUE!</v>
      </c>
      <c r="DU86" t="e">
        <f>AND(Bills!#REF!,"AAAAAHba+3w=")</f>
        <v>#REF!</v>
      </c>
      <c r="DV86" t="e">
        <f>AND(Bills!M271,"AAAAAHba+30=")</f>
        <v>#VALUE!</v>
      </c>
      <c r="DW86" t="e">
        <f>AND(Bills!N271,"AAAAAHba+34=")</f>
        <v>#VALUE!</v>
      </c>
      <c r="DX86" t="e">
        <f>AND(Bills!O271,"AAAAAHba+38=")</f>
        <v>#VALUE!</v>
      </c>
      <c r="DY86" t="e">
        <f>AND(Bills!P271,"AAAAAHba+4A=")</f>
        <v>#VALUE!</v>
      </c>
      <c r="DZ86" t="e">
        <f>AND(Bills!Q271,"AAAAAHba+4E=")</f>
        <v>#VALUE!</v>
      </c>
      <c r="EA86" t="e">
        <f>AND(Bills!R271,"AAAAAHba+4I=")</f>
        <v>#VALUE!</v>
      </c>
      <c r="EB86" t="e">
        <f>AND(Bills!S271,"AAAAAHba+4M=")</f>
        <v>#VALUE!</v>
      </c>
      <c r="EC86" t="e">
        <f>AND(Bills!T271,"AAAAAHba+4Q=")</f>
        <v>#VALUE!</v>
      </c>
      <c r="ED86" t="e">
        <f>AND(Bills!#REF!,"AAAAAHba+4U=")</f>
        <v>#REF!</v>
      </c>
      <c r="EE86" t="e">
        <f>AND(Bills!U271,"AAAAAHba+4Y=")</f>
        <v>#VALUE!</v>
      </c>
      <c r="EF86" t="e">
        <f>AND(Bills!V271,"AAAAAHba+4c=")</f>
        <v>#VALUE!</v>
      </c>
      <c r="EG86" t="e">
        <f>AND(Bills!W271,"AAAAAHba+4g=")</f>
        <v>#VALUE!</v>
      </c>
      <c r="EH86" t="e">
        <f>AND(Bills!#REF!,"AAAAAHba+4k=")</f>
        <v>#REF!</v>
      </c>
      <c r="EI86" t="e">
        <f>AND(Bills!#REF!,"AAAAAHba+4o=")</f>
        <v>#REF!</v>
      </c>
      <c r="EJ86" t="e">
        <f>AND(Bills!Y271,"AAAAAHba+4s=")</f>
        <v>#VALUE!</v>
      </c>
      <c r="EK86" t="e">
        <f>AND(Bills!Z271,"AAAAAHba+4w=")</f>
        <v>#VALUE!</v>
      </c>
      <c r="EL86" t="e">
        <f>AND(Bills!#REF!,"AAAAAHba+40=")</f>
        <v>#REF!</v>
      </c>
      <c r="EM86" t="e">
        <f>AND(Bills!#REF!,"AAAAAHba+44=")</f>
        <v>#REF!</v>
      </c>
      <c r="EN86" t="e">
        <f>AND(Bills!#REF!,"AAAAAHba+48=")</f>
        <v>#REF!</v>
      </c>
      <c r="EO86" t="e">
        <f>AND(Bills!#REF!,"AAAAAHba+5A=")</f>
        <v>#REF!</v>
      </c>
      <c r="EP86" t="e">
        <f>AND(Bills!#REF!,"AAAAAHba+5E=")</f>
        <v>#REF!</v>
      </c>
      <c r="EQ86" t="e">
        <f>AND(Bills!#REF!,"AAAAAHba+5I=")</f>
        <v>#REF!</v>
      </c>
      <c r="ER86" t="e">
        <f>AND(Bills!#REF!,"AAAAAHba+5M=")</f>
        <v>#REF!</v>
      </c>
      <c r="ES86" t="e">
        <f>AND(Bills!#REF!,"AAAAAHba+5Q=")</f>
        <v>#REF!</v>
      </c>
      <c r="ET86" t="e">
        <f>AND(Bills!#REF!,"AAAAAHba+5U=")</f>
        <v>#REF!</v>
      </c>
      <c r="EU86" t="e">
        <f>AND(Bills!AA271,"AAAAAHba+5Y=")</f>
        <v>#VALUE!</v>
      </c>
      <c r="EV86" t="e">
        <f>AND(Bills!AB271,"AAAAAHba+5c=")</f>
        <v>#VALUE!</v>
      </c>
      <c r="EW86" t="e">
        <f>AND(Bills!#REF!,"AAAAAHba+5g=")</f>
        <v>#REF!</v>
      </c>
      <c r="EX86" t="e">
        <f>AND(Bills!#REF!,"AAAAAHba+5k=")</f>
        <v>#REF!</v>
      </c>
      <c r="EY86" t="e">
        <f>AND(Bills!#REF!,"AAAAAHba+5o=")</f>
        <v>#REF!</v>
      </c>
      <c r="EZ86" t="e">
        <f>AND(Bills!AC271,"AAAAAHba+5s=")</f>
        <v>#VALUE!</v>
      </c>
      <c r="FA86" t="e">
        <f>AND(Bills!AD271,"AAAAAHba+5w=")</f>
        <v>#VALUE!</v>
      </c>
      <c r="FB86" t="e">
        <f>AND(Bills!AE271,"AAAAAHba+50=")</f>
        <v>#VALUE!</v>
      </c>
      <c r="FC86">
        <f>IF(Bills!272:272,"AAAAAHba+54=",0)</f>
        <v>0</v>
      </c>
      <c r="FD86" t="e">
        <f>AND(Bills!B272,"AAAAAHba+58=")</f>
        <v>#VALUE!</v>
      </c>
      <c r="FE86" t="e">
        <f>AND(Bills!#REF!,"AAAAAHba+6A=")</f>
        <v>#REF!</v>
      </c>
      <c r="FF86" t="e">
        <f>AND(Bills!C272,"AAAAAHba+6E=")</f>
        <v>#VALUE!</v>
      </c>
      <c r="FG86" t="e">
        <f>AND(Bills!D272,"AAAAAHba+6I=")</f>
        <v>#VALUE!</v>
      </c>
      <c r="FH86" t="e">
        <f>AND(Bills!E272,"AAAAAHba+6M=")</f>
        <v>#VALUE!</v>
      </c>
      <c r="FI86" t="e">
        <f>AND(Bills!#REF!,"AAAAAHba+6Q=")</f>
        <v>#REF!</v>
      </c>
      <c r="FJ86" t="e">
        <f>AND(Bills!#REF!,"AAAAAHba+6U=")</f>
        <v>#REF!</v>
      </c>
      <c r="FK86" t="e">
        <f>AND(Bills!#REF!,"AAAAAHba+6Y=")</f>
        <v>#REF!</v>
      </c>
      <c r="FL86" t="e">
        <f>AND(Bills!F272,"AAAAAHba+6c=")</f>
        <v>#VALUE!</v>
      </c>
      <c r="FM86" t="e">
        <f>AND(Bills!#REF!,"AAAAAHba+6g=")</f>
        <v>#REF!</v>
      </c>
      <c r="FN86" t="e">
        <f>AND(Bills!G272,"AAAAAHba+6k=")</f>
        <v>#VALUE!</v>
      </c>
      <c r="FO86" t="e">
        <f>AND(Bills!H272,"AAAAAHba+6o=")</f>
        <v>#VALUE!</v>
      </c>
      <c r="FP86" t="e">
        <f>AND(Bills!I272,"AAAAAHba+6s=")</f>
        <v>#VALUE!</v>
      </c>
      <c r="FQ86" t="e">
        <f>AND(Bills!J272,"AAAAAHba+6w=")</f>
        <v>#VALUE!</v>
      </c>
      <c r="FR86" t="e">
        <f>AND(Bills!K272,"AAAAAHba+60=")</f>
        <v>#VALUE!</v>
      </c>
      <c r="FS86" t="e">
        <f>AND(Bills!L272,"AAAAAHba+64=")</f>
        <v>#VALUE!</v>
      </c>
      <c r="FT86" t="e">
        <f>AND(Bills!#REF!,"AAAAAHba+68=")</f>
        <v>#REF!</v>
      </c>
      <c r="FU86" t="e">
        <f>AND(Bills!M272,"AAAAAHba+7A=")</f>
        <v>#VALUE!</v>
      </c>
      <c r="FV86" t="e">
        <f>AND(Bills!N272,"AAAAAHba+7E=")</f>
        <v>#VALUE!</v>
      </c>
      <c r="FW86" t="e">
        <f>AND(Bills!O272,"AAAAAHba+7I=")</f>
        <v>#VALUE!</v>
      </c>
      <c r="FX86" t="e">
        <f>AND(Bills!P272,"AAAAAHba+7M=")</f>
        <v>#VALUE!</v>
      </c>
      <c r="FY86" t="e">
        <f>AND(Bills!Q272,"AAAAAHba+7Q=")</f>
        <v>#VALUE!</v>
      </c>
      <c r="FZ86" t="e">
        <f>AND(Bills!R272,"AAAAAHba+7U=")</f>
        <v>#VALUE!</v>
      </c>
      <c r="GA86" t="e">
        <f>AND(Bills!S272,"AAAAAHba+7Y=")</f>
        <v>#VALUE!</v>
      </c>
      <c r="GB86" t="e">
        <f>AND(Bills!T272,"AAAAAHba+7c=")</f>
        <v>#VALUE!</v>
      </c>
      <c r="GC86" t="e">
        <f>AND(Bills!#REF!,"AAAAAHba+7g=")</f>
        <v>#REF!</v>
      </c>
      <c r="GD86" t="e">
        <f>AND(Bills!U272,"AAAAAHba+7k=")</f>
        <v>#VALUE!</v>
      </c>
      <c r="GE86" t="e">
        <f>AND(Bills!V272,"AAAAAHba+7o=")</f>
        <v>#VALUE!</v>
      </c>
      <c r="GF86" t="e">
        <f>AND(Bills!W272,"AAAAAHba+7s=")</f>
        <v>#VALUE!</v>
      </c>
      <c r="GG86" t="e">
        <f>AND(Bills!#REF!,"AAAAAHba+7w=")</f>
        <v>#REF!</v>
      </c>
      <c r="GH86" t="e">
        <f>AND(Bills!#REF!,"AAAAAHba+70=")</f>
        <v>#REF!</v>
      </c>
      <c r="GI86" t="e">
        <f>AND(Bills!Y272,"AAAAAHba+74=")</f>
        <v>#VALUE!</v>
      </c>
      <c r="GJ86" t="e">
        <f>AND(Bills!Z272,"AAAAAHba+78=")</f>
        <v>#VALUE!</v>
      </c>
      <c r="GK86" t="e">
        <f>AND(Bills!#REF!,"AAAAAHba+8A=")</f>
        <v>#REF!</v>
      </c>
      <c r="GL86" t="e">
        <f>AND(Bills!#REF!,"AAAAAHba+8E=")</f>
        <v>#REF!</v>
      </c>
      <c r="GM86" t="e">
        <f>AND(Bills!#REF!,"AAAAAHba+8I=")</f>
        <v>#REF!</v>
      </c>
      <c r="GN86" t="e">
        <f>AND(Bills!#REF!,"AAAAAHba+8M=")</f>
        <v>#REF!</v>
      </c>
      <c r="GO86" t="e">
        <f>AND(Bills!#REF!,"AAAAAHba+8Q=")</f>
        <v>#REF!</v>
      </c>
      <c r="GP86" t="e">
        <f>AND(Bills!#REF!,"AAAAAHba+8U=")</f>
        <v>#REF!</v>
      </c>
      <c r="GQ86" t="e">
        <f>AND(Bills!#REF!,"AAAAAHba+8Y=")</f>
        <v>#REF!</v>
      </c>
      <c r="GR86" t="e">
        <f>AND(Bills!#REF!,"AAAAAHba+8c=")</f>
        <v>#REF!</v>
      </c>
      <c r="GS86" t="e">
        <f>AND(Bills!#REF!,"AAAAAHba+8g=")</f>
        <v>#REF!</v>
      </c>
      <c r="GT86" t="e">
        <f>AND(Bills!AA272,"AAAAAHba+8k=")</f>
        <v>#VALUE!</v>
      </c>
      <c r="GU86" t="e">
        <f>AND(Bills!AB272,"AAAAAHba+8o=")</f>
        <v>#VALUE!</v>
      </c>
      <c r="GV86" t="e">
        <f>AND(Bills!#REF!,"AAAAAHba+8s=")</f>
        <v>#REF!</v>
      </c>
      <c r="GW86" t="e">
        <f>AND(Bills!#REF!,"AAAAAHba+8w=")</f>
        <v>#REF!</v>
      </c>
      <c r="GX86" t="e">
        <f>AND(Bills!#REF!,"AAAAAHba+80=")</f>
        <v>#REF!</v>
      </c>
      <c r="GY86" t="e">
        <f>AND(Bills!AC272,"AAAAAHba+84=")</f>
        <v>#VALUE!</v>
      </c>
      <c r="GZ86" t="e">
        <f>AND(Bills!AD272,"AAAAAHba+88=")</f>
        <v>#VALUE!</v>
      </c>
      <c r="HA86" t="e">
        <f>AND(Bills!AE272,"AAAAAHba+9A=")</f>
        <v>#VALUE!</v>
      </c>
      <c r="HB86">
        <f>IF(Bills!273:273,"AAAAAHba+9E=",0)</f>
        <v>0</v>
      </c>
      <c r="HC86" t="e">
        <f>AND(Bills!B273,"AAAAAHba+9I=")</f>
        <v>#VALUE!</v>
      </c>
      <c r="HD86" t="e">
        <f>AND(Bills!#REF!,"AAAAAHba+9M=")</f>
        <v>#REF!</v>
      </c>
      <c r="HE86" t="e">
        <f>AND(Bills!C273,"AAAAAHba+9Q=")</f>
        <v>#VALUE!</v>
      </c>
      <c r="HF86" t="e">
        <f>AND(Bills!D273,"AAAAAHba+9U=")</f>
        <v>#VALUE!</v>
      </c>
      <c r="HG86" t="e">
        <f>AND(Bills!E273,"AAAAAHba+9Y=")</f>
        <v>#VALUE!</v>
      </c>
      <c r="HH86" t="e">
        <f>AND(Bills!#REF!,"AAAAAHba+9c=")</f>
        <v>#REF!</v>
      </c>
      <c r="HI86" t="e">
        <f>AND(Bills!#REF!,"AAAAAHba+9g=")</f>
        <v>#REF!</v>
      </c>
      <c r="HJ86" t="e">
        <f>AND(Bills!#REF!,"AAAAAHba+9k=")</f>
        <v>#REF!</v>
      </c>
      <c r="HK86" t="e">
        <f>AND(Bills!F273,"AAAAAHba+9o=")</f>
        <v>#VALUE!</v>
      </c>
      <c r="HL86" t="e">
        <f>AND(Bills!#REF!,"AAAAAHba+9s=")</f>
        <v>#REF!</v>
      </c>
      <c r="HM86" t="e">
        <f>AND(Bills!G273,"AAAAAHba+9w=")</f>
        <v>#VALUE!</v>
      </c>
      <c r="HN86" t="e">
        <f>AND(Bills!H273,"AAAAAHba+90=")</f>
        <v>#VALUE!</v>
      </c>
      <c r="HO86" t="e">
        <f>AND(Bills!I273,"AAAAAHba+94=")</f>
        <v>#VALUE!</v>
      </c>
      <c r="HP86" t="e">
        <f>AND(Bills!J273,"AAAAAHba+98=")</f>
        <v>#VALUE!</v>
      </c>
      <c r="HQ86" t="e">
        <f>AND(Bills!K273,"AAAAAHba++A=")</f>
        <v>#VALUE!</v>
      </c>
      <c r="HR86" t="e">
        <f>AND(Bills!L273,"AAAAAHba++E=")</f>
        <v>#VALUE!</v>
      </c>
      <c r="HS86" t="e">
        <f>AND(Bills!#REF!,"AAAAAHba++I=")</f>
        <v>#REF!</v>
      </c>
      <c r="HT86" t="e">
        <f>AND(Bills!M273,"AAAAAHba++M=")</f>
        <v>#VALUE!</v>
      </c>
      <c r="HU86" t="e">
        <f>AND(Bills!N273,"AAAAAHba++Q=")</f>
        <v>#VALUE!</v>
      </c>
      <c r="HV86" t="e">
        <f>AND(Bills!O273,"AAAAAHba++U=")</f>
        <v>#VALUE!</v>
      </c>
      <c r="HW86" t="e">
        <f>AND(Bills!P273,"AAAAAHba++Y=")</f>
        <v>#VALUE!</v>
      </c>
      <c r="HX86" t="e">
        <f>AND(Bills!Q273,"AAAAAHba++c=")</f>
        <v>#VALUE!</v>
      </c>
      <c r="HY86" t="e">
        <f>AND(Bills!R273,"AAAAAHba++g=")</f>
        <v>#VALUE!</v>
      </c>
      <c r="HZ86" t="e">
        <f>AND(Bills!S273,"AAAAAHba++k=")</f>
        <v>#VALUE!</v>
      </c>
      <c r="IA86" t="e">
        <f>AND(Bills!T273,"AAAAAHba++o=")</f>
        <v>#VALUE!</v>
      </c>
      <c r="IB86" t="e">
        <f>AND(Bills!#REF!,"AAAAAHba++s=")</f>
        <v>#REF!</v>
      </c>
      <c r="IC86" t="e">
        <f>AND(Bills!U273,"AAAAAHba++w=")</f>
        <v>#VALUE!</v>
      </c>
      <c r="ID86" t="e">
        <f>AND(Bills!V273,"AAAAAHba++0=")</f>
        <v>#VALUE!</v>
      </c>
      <c r="IE86" t="e">
        <f>AND(Bills!W273,"AAAAAHba++4=")</f>
        <v>#VALUE!</v>
      </c>
      <c r="IF86" t="e">
        <f>AND(Bills!#REF!,"AAAAAHba++8=")</f>
        <v>#REF!</v>
      </c>
      <c r="IG86" t="e">
        <f>AND(Bills!#REF!,"AAAAAHba+/A=")</f>
        <v>#REF!</v>
      </c>
      <c r="IH86" t="e">
        <f>AND(Bills!Y273,"AAAAAHba+/E=")</f>
        <v>#VALUE!</v>
      </c>
      <c r="II86" t="e">
        <f>AND(Bills!Z273,"AAAAAHba+/I=")</f>
        <v>#VALUE!</v>
      </c>
      <c r="IJ86" t="e">
        <f>AND(Bills!#REF!,"AAAAAHba+/M=")</f>
        <v>#REF!</v>
      </c>
      <c r="IK86" t="e">
        <f>AND(Bills!#REF!,"AAAAAHba+/Q=")</f>
        <v>#REF!</v>
      </c>
      <c r="IL86" t="e">
        <f>AND(Bills!#REF!,"AAAAAHba+/U=")</f>
        <v>#REF!</v>
      </c>
      <c r="IM86" t="e">
        <f>AND(Bills!#REF!,"AAAAAHba+/Y=")</f>
        <v>#REF!</v>
      </c>
      <c r="IN86" t="e">
        <f>AND(Bills!#REF!,"AAAAAHba+/c=")</f>
        <v>#REF!</v>
      </c>
      <c r="IO86" t="e">
        <f>AND(Bills!#REF!,"AAAAAHba+/g=")</f>
        <v>#REF!</v>
      </c>
      <c r="IP86" t="e">
        <f>AND(Bills!#REF!,"AAAAAHba+/k=")</f>
        <v>#REF!</v>
      </c>
      <c r="IQ86" t="e">
        <f>AND(Bills!#REF!,"AAAAAHba+/o=")</f>
        <v>#REF!</v>
      </c>
      <c r="IR86" t="e">
        <f>AND(Bills!#REF!,"AAAAAHba+/s=")</f>
        <v>#REF!</v>
      </c>
      <c r="IS86" t="e">
        <f>AND(Bills!AA273,"AAAAAHba+/w=")</f>
        <v>#VALUE!</v>
      </c>
      <c r="IT86" t="e">
        <f>AND(Bills!AB273,"AAAAAHba+/0=")</f>
        <v>#VALUE!</v>
      </c>
      <c r="IU86" t="e">
        <f>AND(Bills!#REF!,"AAAAAHba+/4=")</f>
        <v>#REF!</v>
      </c>
      <c r="IV86" t="e">
        <f>AND(Bills!#REF!,"AAAAAHba+/8=")</f>
        <v>#REF!</v>
      </c>
    </row>
    <row r="87" spans="1:256" x14ac:dyDescent="0.25">
      <c r="A87" t="e">
        <f>AND(Bills!#REF!,"AAAAAH/9/gA=")</f>
        <v>#REF!</v>
      </c>
      <c r="B87" t="e">
        <f>AND(Bills!AC273,"AAAAAH/9/gE=")</f>
        <v>#VALUE!</v>
      </c>
      <c r="C87" t="e">
        <f>AND(Bills!AD273,"AAAAAH/9/gI=")</f>
        <v>#VALUE!</v>
      </c>
      <c r="D87" t="e">
        <f>AND(Bills!AE273,"AAAAAH/9/gM=")</f>
        <v>#VALUE!</v>
      </c>
      <c r="E87">
        <f>IF(Bills!274:274,"AAAAAH/9/gQ=",0)</f>
        <v>0</v>
      </c>
      <c r="F87" t="e">
        <f>AND(Bills!B274,"AAAAAH/9/gU=")</f>
        <v>#VALUE!</v>
      </c>
      <c r="G87" t="e">
        <f>AND(Bills!#REF!,"AAAAAH/9/gY=")</f>
        <v>#REF!</v>
      </c>
      <c r="H87" t="e">
        <f>AND(Bills!C274,"AAAAAH/9/gc=")</f>
        <v>#VALUE!</v>
      </c>
      <c r="I87" t="e">
        <f>AND(Bills!D274,"AAAAAH/9/gg=")</f>
        <v>#VALUE!</v>
      </c>
      <c r="J87" t="e">
        <f>AND(Bills!E274,"AAAAAH/9/gk=")</f>
        <v>#VALUE!</v>
      </c>
      <c r="K87" t="e">
        <f>AND(Bills!#REF!,"AAAAAH/9/go=")</f>
        <v>#REF!</v>
      </c>
      <c r="L87" t="e">
        <f>AND(Bills!#REF!,"AAAAAH/9/gs=")</f>
        <v>#REF!</v>
      </c>
      <c r="M87" t="e">
        <f>AND(Bills!#REF!,"AAAAAH/9/gw=")</f>
        <v>#REF!</v>
      </c>
      <c r="N87" t="e">
        <f>AND(Bills!F274,"AAAAAH/9/g0=")</f>
        <v>#VALUE!</v>
      </c>
      <c r="O87" t="e">
        <f>AND(Bills!#REF!,"AAAAAH/9/g4=")</f>
        <v>#REF!</v>
      </c>
      <c r="P87" t="e">
        <f>AND(Bills!G274,"AAAAAH/9/g8=")</f>
        <v>#VALUE!</v>
      </c>
      <c r="Q87" t="e">
        <f>AND(Bills!H274,"AAAAAH/9/hA=")</f>
        <v>#VALUE!</v>
      </c>
      <c r="R87" t="e">
        <f>AND(Bills!I274,"AAAAAH/9/hE=")</f>
        <v>#VALUE!</v>
      </c>
      <c r="S87" t="e">
        <f>AND(Bills!J274,"AAAAAH/9/hI=")</f>
        <v>#VALUE!</v>
      </c>
      <c r="T87" t="e">
        <f>AND(Bills!K274,"AAAAAH/9/hM=")</f>
        <v>#VALUE!</v>
      </c>
      <c r="U87" t="e">
        <f>AND(Bills!L274,"AAAAAH/9/hQ=")</f>
        <v>#VALUE!</v>
      </c>
      <c r="V87" t="e">
        <f>AND(Bills!#REF!,"AAAAAH/9/hU=")</f>
        <v>#REF!</v>
      </c>
      <c r="W87" t="e">
        <f>AND(Bills!M274,"AAAAAH/9/hY=")</f>
        <v>#VALUE!</v>
      </c>
      <c r="X87" t="e">
        <f>AND(Bills!N274,"AAAAAH/9/hc=")</f>
        <v>#VALUE!</v>
      </c>
      <c r="Y87" t="e">
        <f>AND(Bills!O274,"AAAAAH/9/hg=")</f>
        <v>#VALUE!</v>
      </c>
      <c r="Z87" t="e">
        <f>AND(Bills!P274,"AAAAAH/9/hk=")</f>
        <v>#VALUE!</v>
      </c>
      <c r="AA87" t="e">
        <f>AND(Bills!Q274,"AAAAAH/9/ho=")</f>
        <v>#VALUE!</v>
      </c>
      <c r="AB87" t="e">
        <f>AND(Bills!R274,"AAAAAH/9/hs=")</f>
        <v>#VALUE!</v>
      </c>
      <c r="AC87" t="e">
        <f>AND(Bills!S274,"AAAAAH/9/hw=")</f>
        <v>#VALUE!</v>
      </c>
      <c r="AD87" t="e">
        <f>AND(Bills!T274,"AAAAAH/9/h0=")</f>
        <v>#VALUE!</v>
      </c>
      <c r="AE87" t="e">
        <f>AND(Bills!#REF!,"AAAAAH/9/h4=")</f>
        <v>#REF!</v>
      </c>
      <c r="AF87" t="e">
        <f>AND(Bills!U274,"AAAAAH/9/h8=")</f>
        <v>#VALUE!</v>
      </c>
      <c r="AG87" t="e">
        <f>AND(Bills!V274,"AAAAAH/9/iA=")</f>
        <v>#VALUE!</v>
      </c>
      <c r="AH87" t="e">
        <f>AND(Bills!W274,"AAAAAH/9/iE=")</f>
        <v>#VALUE!</v>
      </c>
      <c r="AI87" t="e">
        <f>AND(Bills!#REF!,"AAAAAH/9/iI=")</f>
        <v>#REF!</v>
      </c>
      <c r="AJ87" t="e">
        <f>AND(Bills!#REF!,"AAAAAH/9/iM=")</f>
        <v>#REF!</v>
      </c>
      <c r="AK87" t="e">
        <f>AND(Bills!Y274,"AAAAAH/9/iQ=")</f>
        <v>#VALUE!</v>
      </c>
      <c r="AL87" t="e">
        <f>AND(Bills!Z274,"AAAAAH/9/iU=")</f>
        <v>#VALUE!</v>
      </c>
      <c r="AM87" t="e">
        <f>AND(Bills!#REF!,"AAAAAH/9/iY=")</f>
        <v>#REF!</v>
      </c>
      <c r="AN87" t="e">
        <f>AND(Bills!#REF!,"AAAAAH/9/ic=")</f>
        <v>#REF!</v>
      </c>
      <c r="AO87" t="e">
        <f>AND(Bills!#REF!,"AAAAAH/9/ig=")</f>
        <v>#REF!</v>
      </c>
      <c r="AP87" t="e">
        <f>AND(Bills!#REF!,"AAAAAH/9/ik=")</f>
        <v>#REF!</v>
      </c>
      <c r="AQ87" t="e">
        <f>AND(Bills!#REF!,"AAAAAH/9/io=")</f>
        <v>#REF!</v>
      </c>
      <c r="AR87" t="e">
        <f>AND(Bills!#REF!,"AAAAAH/9/is=")</f>
        <v>#REF!</v>
      </c>
      <c r="AS87" t="e">
        <f>AND(Bills!#REF!,"AAAAAH/9/iw=")</f>
        <v>#REF!</v>
      </c>
      <c r="AT87" t="e">
        <f>AND(Bills!#REF!,"AAAAAH/9/i0=")</f>
        <v>#REF!</v>
      </c>
      <c r="AU87" t="e">
        <f>AND(Bills!#REF!,"AAAAAH/9/i4=")</f>
        <v>#REF!</v>
      </c>
      <c r="AV87" t="e">
        <f>AND(Bills!AA274,"AAAAAH/9/i8=")</f>
        <v>#VALUE!</v>
      </c>
      <c r="AW87" t="e">
        <f>AND(Bills!AB274,"AAAAAH/9/jA=")</f>
        <v>#VALUE!</v>
      </c>
      <c r="AX87" t="e">
        <f>AND(Bills!#REF!,"AAAAAH/9/jE=")</f>
        <v>#REF!</v>
      </c>
      <c r="AY87" t="e">
        <f>AND(Bills!#REF!,"AAAAAH/9/jI=")</f>
        <v>#REF!</v>
      </c>
      <c r="AZ87" t="e">
        <f>AND(Bills!#REF!,"AAAAAH/9/jM=")</f>
        <v>#REF!</v>
      </c>
      <c r="BA87" t="e">
        <f>AND(Bills!AC274,"AAAAAH/9/jQ=")</f>
        <v>#VALUE!</v>
      </c>
      <c r="BB87" t="e">
        <f>AND(Bills!AD274,"AAAAAH/9/jU=")</f>
        <v>#VALUE!</v>
      </c>
      <c r="BC87" t="e">
        <f>AND(Bills!AE274,"AAAAAH/9/jY=")</f>
        <v>#VALUE!</v>
      </c>
      <c r="BD87">
        <f>IF(Bills!275:275,"AAAAAH/9/jc=",0)</f>
        <v>0</v>
      </c>
      <c r="BE87" t="e">
        <f>AND(Bills!B275,"AAAAAH/9/jg=")</f>
        <v>#VALUE!</v>
      </c>
      <c r="BF87" t="e">
        <f>AND(Bills!#REF!,"AAAAAH/9/jk=")</f>
        <v>#REF!</v>
      </c>
      <c r="BG87" t="e">
        <f>AND(Bills!C275,"AAAAAH/9/jo=")</f>
        <v>#VALUE!</v>
      </c>
      <c r="BH87" t="e">
        <f>AND(Bills!D275,"AAAAAH/9/js=")</f>
        <v>#VALUE!</v>
      </c>
      <c r="BI87" t="e">
        <f>AND(Bills!E275,"AAAAAH/9/jw=")</f>
        <v>#VALUE!</v>
      </c>
      <c r="BJ87" t="e">
        <f>AND(Bills!#REF!,"AAAAAH/9/j0=")</f>
        <v>#REF!</v>
      </c>
      <c r="BK87" t="e">
        <f>AND(Bills!#REF!,"AAAAAH/9/j4=")</f>
        <v>#REF!</v>
      </c>
      <c r="BL87" t="e">
        <f>AND(Bills!#REF!,"AAAAAH/9/j8=")</f>
        <v>#REF!</v>
      </c>
      <c r="BM87" t="e">
        <f>AND(Bills!F275,"AAAAAH/9/kA=")</f>
        <v>#VALUE!</v>
      </c>
      <c r="BN87" t="e">
        <f>AND(Bills!#REF!,"AAAAAH/9/kE=")</f>
        <v>#REF!</v>
      </c>
      <c r="BO87" t="e">
        <f>AND(Bills!G275,"AAAAAH/9/kI=")</f>
        <v>#VALUE!</v>
      </c>
      <c r="BP87" t="e">
        <f>AND(Bills!H275,"AAAAAH/9/kM=")</f>
        <v>#VALUE!</v>
      </c>
      <c r="BQ87" t="e">
        <f>AND(Bills!I275,"AAAAAH/9/kQ=")</f>
        <v>#VALUE!</v>
      </c>
      <c r="BR87" t="e">
        <f>AND(Bills!J275,"AAAAAH/9/kU=")</f>
        <v>#VALUE!</v>
      </c>
      <c r="BS87" t="e">
        <f>AND(Bills!K275,"AAAAAH/9/kY=")</f>
        <v>#VALUE!</v>
      </c>
      <c r="BT87" t="e">
        <f>AND(Bills!L275,"AAAAAH/9/kc=")</f>
        <v>#VALUE!</v>
      </c>
      <c r="BU87" t="e">
        <f>AND(Bills!#REF!,"AAAAAH/9/kg=")</f>
        <v>#REF!</v>
      </c>
      <c r="BV87" t="e">
        <f>AND(Bills!M275,"AAAAAH/9/kk=")</f>
        <v>#VALUE!</v>
      </c>
      <c r="BW87" t="e">
        <f>AND(Bills!N275,"AAAAAH/9/ko=")</f>
        <v>#VALUE!</v>
      </c>
      <c r="BX87" t="e">
        <f>AND(Bills!O275,"AAAAAH/9/ks=")</f>
        <v>#VALUE!</v>
      </c>
      <c r="BY87" t="e">
        <f>AND(Bills!P275,"AAAAAH/9/kw=")</f>
        <v>#VALUE!</v>
      </c>
      <c r="BZ87" t="e">
        <f>AND(Bills!Q275,"AAAAAH/9/k0=")</f>
        <v>#VALUE!</v>
      </c>
      <c r="CA87" t="e">
        <f>AND(Bills!R275,"AAAAAH/9/k4=")</f>
        <v>#VALUE!</v>
      </c>
      <c r="CB87" t="e">
        <f>AND(Bills!S275,"AAAAAH/9/k8=")</f>
        <v>#VALUE!</v>
      </c>
      <c r="CC87" t="e">
        <f>AND(Bills!T275,"AAAAAH/9/lA=")</f>
        <v>#VALUE!</v>
      </c>
      <c r="CD87" t="e">
        <f>AND(Bills!#REF!,"AAAAAH/9/lE=")</f>
        <v>#REF!</v>
      </c>
      <c r="CE87" t="e">
        <f>AND(Bills!U275,"AAAAAH/9/lI=")</f>
        <v>#VALUE!</v>
      </c>
      <c r="CF87" t="e">
        <f>AND(Bills!V275,"AAAAAH/9/lM=")</f>
        <v>#VALUE!</v>
      </c>
      <c r="CG87" t="e">
        <f>AND(Bills!W275,"AAAAAH/9/lQ=")</f>
        <v>#VALUE!</v>
      </c>
      <c r="CH87" t="e">
        <f>AND(Bills!#REF!,"AAAAAH/9/lU=")</f>
        <v>#REF!</v>
      </c>
      <c r="CI87" t="e">
        <f>AND(Bills!#REF!,"AAAAAH/9/lY=")</f>
        <v>#REF!</v>
      </c>
      <c r="CJ87" t="e">
        <f>AND(Bills!Y275,"AAAAAH/9/lc=")</f>
        <v>#VALUE!</v>
      </c>
      <c r="CK87" t="e">
        <f>AND(Bills!Z275,"AAAAAH/9/lg=")</f>
        <v>#VALUE!</v>
      </c>
      <c r="CL87" t="e">
        <f>AND(Bills!#REF!,"AAAAAH/9/lk=")</f>
        <v>#REF!</v>
      </c>
      <c r="CM87" t="e">
        <f>AND(Bills!#REF!,"AAAAAH/9/lo=")</f>
        <v>#REF!</v>
      </c>
      <c r="CN87" t="e">
        <f>AND(Bills!#REF!,"AAAAAH/9/ls=")</f>
        <v>#REF!</v>
      </c>
      <c r="CO87" t="e">
        <f>AND(Bills!#REF!,"AAAAAH/9/lw=")</f>
        <v>#REF!</v>
      </c>
      <c r="CP87" t="e">
        <f>AND(Bills!#REF!,"AAAAAH/9/l0=")</f>
        <v>#REF!</v>
      </c>
      <c r="CQ87" t="e">
        <f>AND(Bills!#REF!,"AAAAAH/9/l4=")</f>
        <v>#REF!</v>
      </c>
      <c r="CR87" t="e">
        <f>AND(Bills!#REF!,"AAAAAH/9/l8=")</f>
        <v>#REF!</v>
      </c>
      <c r="CS87" t="e">
        <f>AND(Bills!#REF!,"AAAAAH/9/mA=")</f>
        <v>#REF!</v>
      </c>
      <c r="CT87" t="e">
        <f>AND(Bills!#REF!,"AAAAAH/9/mE=")</f>
        <v>#REF!</v>
      </c>
      <c r="CU87" t="e">
        <f>AND(Bills!AA275,"AAAAAH/9/mI=")</f>
        <v>#VALUE!</v>
      </c>
      <c r="CV87" t="e">
        <f>AND(Bills!AB275,"AAAAAH/9/mM=")</f>
        <v>#VALUE!</v>
      </c>
      <c r="CW87" t="e">
        <f>AND(Bills!#REF!,"AAAAAH/9/mQ=")</f>
        <v>#REF!</v>
      </c>
      <c r="CX87" t="e">
        <f>AND(Bills!#REF!,"AAAAAH/9/mU=")</f>
        <v>#REF!</v>
      </c>
      <c r="CY87" t="e">
        <f>AND(Bills!#REF!,"AAAAAH/9/mY=")</f>
        <v>#REF!</v>
      </c>
      <c r="CZ87" t="e">
        <f>AND(Bills!AC275,"AAAAAH/9/mc=")</f>
        <v>#VALUE!</v>
      </c>
      <c r="DA87" t="e">
        <f>AND(Bills!AD275,"AAAAAH/9/mg=")</f>
        <v>#VALUE!</v>
      </c>
      <c r="DB87" t="e">
        <f>AND(Bills!AE275,"AAAAAH/9/mk=")</f>
        <v>#VALUE!</v>
      </c>
      <c r="DC87">
        <f>IF(Bills!276:276,"AAAAAH/9/mo=",0)</f>
        <v>0</v>
      </c>
      <c r="DD87" t="e">
        <f>AND(Bills!B276,"AAAAAH/9/ms=")</f>
        <v>#VALUE!</v>
      </c>
      <c r="DE87" t="e">
        <f>AND(Bills!#REF!,"AAAAAH/9/mw=")</f>
        <v>#REF!</v>
      </c>
      <c r="DF87" t="e">
        <f>AND(Bills!C276,"AAAAAH/9/m0=")</f>
        <v>#VALUE!</v>
      </c>
      <c r="DG87" t="e">
        <f>AND(Bills!D276,"AAAAAH/9/m4=")</f>
        <v>#VALUE!</v>
      </c>
      <c r="DH87" t="e">
        <f>AND(Bills!E276,"AAAAAH/9/m8=")</f>
        <v>#VALUE!</v>
      </c>
      <c r="DI87" t="e">
        <f>AND(Bills!#REF!,"AAAAAH/9/nA=")</f>
        <v>#REF!</v>
      </c>
      <c r="DJ87" t="e">
        <f>AND(Bills!#REF!,"AAAAAH/9/nE=")</f>
        <v>#REF!</v>
      </c>
      <c r="DK87" t="e">
        <f>AND(Bills!#REF!,"AAAAAH/9/nI=")</f>
        <v>#REF!</v>
      </c>
      <c r="DL87" t="e">
        <f>AND(Bills!F276,"AAAAAH/9/nM=")</f>
        <v>#VALUE!</v>
      </c>
      <c r="DM87" t="e">
        <f>AND(Bills!#REF!,"AAAAAH/9/nQ=")</f>
        <v>#REF!</v>
      </c>
      <c r="DN87" t="e">
        <f>AND(Bills!G276,"AAAAAH/9/nU=")</f>
        <v>#VALUE!</v>
      </c>
      <c r="DO87" t="e">
        <f>AND(Bills!H276,"AAAAAH/9/nY=")</f>
        <v>#VALUE!</v>
      </c>
      <c r="DP87" t="e">
        <f>AND(Bills!I276,"AAAAAH/9/nc=")</f>
        <v>#VALUE!</v>
      </c>
      <c r="DQ87" t="e">
        <f>AND(Bills!J276,"AAAAAH/9/ng=")</f>
        <v>#VALUE!</v>
      </c>
      <c r="DR87" t="e">
        <f>AND(Bills!K276,"AAAAAH/9/nk=")</f>
        <v>#VALUE!</v>
      </c>
      <c r="DS87" t="e">
        <f>AND(Bills!L276,"AAAAAH/9/no=")</f>
        <v>#VALUE!</v>
      </c>
      <c r="DT87" t="e">
        <f>AND(Bills!#REF!,"AAAAAH/9/ns=")</f>
        <v>#REF!</v>
      </c>
      <c r="DU87" t="e">
        <f>AND(Bills!M276,"AAAAAH/9/nw=")</f>
        <v>#VALUE!</v>
      </c>
      <c r="DV87" t="e">
        <f>AND(Bills!N276,"AAAAAH/9/n0=")</f>
        <v>#VALUE!</v>
      </c>
      <c r="DW87" t="e">
        <f>AND(Bills!O276,"AAAAAH/9/n4=")</f>
        <v>#VALUE!</v>
      </c>
      <c r="DX87" t="e">
        <f>AND(Bills!P276,"AAAAAH/9/n8=")</f>
        <v>#VALUE!</v>
      </c>
      <c r="DY87" t="e">
        <f>AND(Bills!Q276,"AAAAAH/9/oA=")</f>
        <v>#VALUE!</v>
      </c>
      <c r="DZ87" t="e">
        <f>AND(Bills!R276,"AAAAAH/9/oE=")</f>
        <v>#VALUE!</v>
      </c>
      <c r="EA87" t="e">
        <f>AND(Bills!S276,"AAAAAH/9/oI=")</f>
        <v>#VALUE!</v>
      </c>
      <c r="EB87" t="e">
        <f>AND(Bills!T276,"AAAAAH/9/oM=")</f>
        <v>#VALUE!</v>
      </c>
      <c r="EC87" t="e">
        <f>AND(Bills!#REF!,"AAAAAH/9/oQ=")</f>
        <v>#REF!</v>
      </c>
      <c r="ED87" t="e">
        <f>AND(Bills!U276,"AAAAAH/9/oU=")</f>
        <v>#VALUE!</v>
      </c>
      <c r="EE87" t="e">
        <f>AND(Bills!V276,"AAAAAH/9/oY=")</f>
        <v>#VALUE!</v>
      </c>
      <c r="EF87" t="e">
        <f>AND(Bills!W276,"AAAAAH/9/oc=")</f>
        <v>#VALUE!</v>
      </c>
      <c r="EG87" t="e">
        <f>AND(Bills!#REF!,"AAAAAH/9/og=")</f>
        <v>#REF!</v>
      </c>
      <c r="EH87" t="e">
        <f>AND(Bills!#REF!,"AAAAAH/9/ok=")</f>
        <v>#REF!</v>
      </c>
      <c r="EI87" t="e">
        <f>AND(Bills!Y276,"AAAAAH/9/oo=")</f>
        <v>#VALUE!</v>
      </c>
      <c r="EJ87" t="e">
        <f>AND(Bills!Z276,"AAAAAH/9/os=")</f>
        <v>#VALUE!</v>
      </c>
      <c r="EK87" t="e">
        <f>AND(Bills!#REF!,"AAAAAH/9/ow=")</f>
        <v>#REF!</v>
      </c>
      <c r="EL87" t="e">
        <f>AND(Bills!#REF!,"AAAAAH/9/o0=")</f>
        <v>#REF!</v>
      </c>
      <c r="EM87" t="e">
        <f>AND(Bills!#REF!,"AAAAAH/9/o4=")</f>
        <v>#REF!</v>
      </c>
      <c r="EN87" t="e">
        <f>AND(Bills!#REF!,"AAAAAH/9/o8=")</f>
        <v>#REF!</v>
      </c>
      <c r="EO87" t="e">
        <f>AND(Bills!#REF!,"AAAAAH/9/pA=")</f>
        <v>#REF!</v>
      </c>
      <c r="EP87" t="e">
        <f>AND(Bills!#REF!,"AAAAAH/9/pE=")</f>
        <v>#REF!</v>
      </c>
      <c r="EQ87" t="e">
        <f>AND(Bills!#REF!,"AAAAAH/9/pI=")</f>
        <v>#REF!</v>
      </c>
      <c r="ER87" t="e">
        <f>AND(Bills!#REF!,"AAAAAH/9/pM=")</f>
        <v>#REF!</v>
      </c>
      <c r="ES87" t="e">
        <f>AND(Bills!#REF!,"AAAAAH/9/pQ=")</f>
        <v>#REF!</v>
      </c>
      <c r="ET87" t="e">
        <f>AND(Bills!AA276,"AAAAAH/9/pU=")</f>
        <v>#VALUE!</v>
      </c>
      <c r="EU87" t="e">
        <f>AND(Bills!AB276,"AAAAAH/9/pY=")</f>
        <v>#VALUE!</v>
      </c>
      <c r="EV87" t="e">
        <f>AND(Bills!#REF!,"AAAAAH/9/pc=")</f>
        <v>#REF!</v>
      </c>
      <c r="EW87" t="e">
        <f>AND(Bills!#REF!,"AAAAAH/9/pg=")</f>
        <v>#REF!</v>
      </c>
      <c r="EX87" t="e">
        <f>AND(Bills!#REF!,"AAAAAH/9/pk=")</f>
        <v>#REF!</v>
      </c>
      <c r="EY87" t="e">
        <f>AND(Bills!AC276,"AAAAAH/9/po=")</f>
        <v>#VALUE!</v>
      </c>
      <c r="EZ87" t="e">
        <f>AND(Bills!AD276,"AAAAAH/9/ps=")</f>
        <v>#VALUE!</v>
      </c>
      <c r="FA87" t="e">
        <f>AND(Bills!AE276,"AAAAAH/9/pw=")</f>
        <v>#VALUE!</v>
      </c>
      <c r="FB87">
        <f>IF(Bills!277:277,"AAAAAH/9/p0=",0)</f>
        <v>0</v>
      </c>
      <c r="FC87" t="e">
        <f>AND(Bills!B277,"AAAAAH/9/p4=")</f>
        <v>#VALUE!</v>
      </c>
      <c r="FD87" t="e">
        <f>AND(Bills!#REF!,"AAAAAH/9/p8=")</f>
        <v>#REF!</v>
      </c>
      <c r="FE87" t="e">
        <f>AND(Bills!C277,"AAAAAH/9/qA=")</f>
        <v>#VALUE!</v>
      </c>
      <c r="FF87" t="e">
        <f>AND(Bills!D277,"AAAAAH/9/qE=")</f>
        <v>#VALUE!</v>
      </c>
      <c r="FG87" t="e">
        <f>AND(Bills!E277,"AAAAAH/9/qI=")</f>
        <v>#VALUE!</v>
      </c>
      <c r="FH87" t="e">
        <f>AND(Bills!#REF!,"AAAAAH/9/qM=")</f>
        <v>#REF!</v>
      </c>
      <c r="FI87" t="e">
        <f>AND(Bills!#REF!,"AAAAAH/9/qQ=")</f>
        <v>#REF!</v>
      </c>
      <c r="FJ87" t="e">
        <f>AND(Bills!#REF!,"AAAAAH/9/qU=")</f>
        <v>#REF!</v>
      </c>
      <c r="FK87" t="e">
        <f>AND(Bills!F277,"AAAAAH/9/qY=")</f>
        <v>#VALUE!</v>
      </c>
      <c r="FL87" t="e">
        <f>AND(Bills!#REF!,"AAAAAH/9/qc=")</f>
        <v>#REF!</v>
      </c>
      <c r="FM87" t="e">
        <f>AND(Bills!G277,"AAAAAH/9/qg=")</f>
        <v>#VALUE!</v>
      </c>
      <c r="FN87" t="e">
        <f>AND(Bills!H277,"AAAAAH/9/qk=")</f>
        <v>#VALUE!</v>
      </c>
      <c r="FO87" t="e">
        <f>AND(Bills!I277,"AAAAAH/9/qo=")</f>
        <v>#VALUE!</v>
      </c>
      <c r="FP87" t="e">
        <f>AND(Bills!J277,"AAAAAH/9/qs=")</f>
        <v>#VALUE!</v>
      </c>
      <c r="FQ87" t="e">
        <f>AND(Bills!K277,"AAAAAH/9/qw=")</f>
        <v>#VALUE!</v>
      </c>
      <c r="FR87" t="e">
        <f>AND(Bills!L277,"AAAAAH/9/q0=")</f>
        <v>#VALUE!</v>
      </c>
      <c r="FS87" t="e">
        <f>AND(Bills!#REF!,"AAAAAH/9/q4=")</f>
        <v>#REF!</v>
      </c>
      <c r="FT87" t="e">
        <f>AND(Bills!M277,"AAAAAH/9/q8=")</f>
        <v>#VALUE!</v>
      </c>
      <c r="FU87" t="e">
        <f>AND(Bills!N277,"AAAAAH/9/rA=")</f>
        <v>#VALUE!</v>
      </c>
      <c r="FV87" t="e">
        <f>AND(Bills!O277,"AAAAAH/9/rE=")</f>
        <v>#VALUE!</v>
      </c>
      <c r="FW87" t="e">
        <f>AND(Bills!P277,"AAAAAH/9/rI=")</f>
        <v>#VALUE!</v>
      </c>
      <c r="FX87" t="e">
        <f>AND(Bills!Q277,"AAAAAH/9/rM=")</f>
        <v>#VALUE!</v>
      </c>
      <c r="FY87" t="e">
        <f>AND(Bills!R277,"AAAAAH/9/rQ=")</f>
        <v>#VALUE!</v>
      </c>
      <c r="FZ87" t="e">
        <f>AND(Bills!S277,"AAAAAH/9/rU=")</f>
        <v>#VALUE!</v>
      </c>
      <c r="GA87" t="e">
        <f>AND(Bills!T277,"AAAAAH/9/rY=")</f>
        <v>#VALUE!</v>
      </c>
      <c r="GB87" t="e">
        <f>AND(Bills!#REF!,"AAAAAH/9/rc=")</f>
        <v>#REF!</v>
      </c>
      <c r="GC87" t="e">
        <f>AND(Bills!U277,"AAAAAH/9/rg=")</f>
        <v>#VALUE!</v>
      </c>
      <c r="GD87" t="e">
        <f>AND(Bills!V277,"AAAAAH/9/rk=")</f>
        <v>#VALUE!</v>
      </c>
      <c r="GE87" t="e">
        <f>AND(Bills!W277,"AAAAAH/9/ro=")</f>
        <v>#VALUE!</v>
      </c>
      <c r="GF87" t="e">
        <f>AND(Bills!#REF!,"AAAAAH/9/rs=")</f>
        <v>#REF!</v>
      </c>
      <c r="GG87" t="e">
        <f>AND(Bills!#REF!,"AAAAAH/9/rw=")</f>
        <v>#REF!</v>
      </c>
      <c r="GH87" t="e">
        <f>AND(Bills!Y277,"AAAAAH/9/r0=")</f>
        <v>#VALUE!</v>
      </c>
      <c r="GI87" t="e">
        <f>AND(Bills!Z277,"AAAAAH/9/r4=")</f>
        <v>#VALUE!</v>
      </c>
      <c r="GJ87" t="e">
        <f>AND(Bills!#REF!,"AAAAAH/9/r8=")</f>
        <v>#REF!</v>
      </c>
      <c r="GK87" t="e">
        <f>AND(Bills!#REF!,"AAAAAH/9/sA=")</f>
        <v>#REF!</v>
      </c>
      <c r="GL87" t="e">
        <f>AND(Bills!#REF!,"AAAAAH/9/sE=")</f>
        <v>#REF!</v>
      </c>
      <c r="GM87" t="e">
        <f>AND(Bills!#REF!,"AAAAAH/9/sI=")</f>
        <v>#REF!</v>
      </c>
      <c r="GN87" t="e">
        <f>AND(Bills!#REF!,"AAAAAH/9/sM=")</f>
        <v>#REF!</v>
      </c>
      <c r="GO87" t="e">
        <f>AND(Bills!#REF!,"AAAAAH/9/sQ=")</f>
        <v>#REF!</v>
      </c>
      <c r="GP87" t="e">
        <f>AND(Bills!#REF!,"AAAAAH/9/sU=")</f>
        <v>#REF!</v>
      </c>
      <c r="GQ87" t="e">
        <f>AND(Bills!#REF!,"AAAAAH/9/sY=")</f>
        <v>#REF!</v>
      </c>
      <c r="GR87" t="e">
        <f>AND(Bills!#REF!,"AAAAAH/9/sc=")</f>
        <v>#REF!</v>
      </c>
      <c r="GS87" t="e">
        <f>AND(Bills!AA277,"AAAAAH/9/sg=")</f>
        <v>#VALUE!</v>
      </c>
      <c r="GT87" t="e">
        <f>AND(Bills!AB277,"AAAAAH/9/sk=")</f>
        <v>#VALUE!</v>
      </c>
      <c r="GU87" t="e">
        <f>AND(Bills!#REF!,"AAAAAH/9/so=")</f>
        <v>#REF!</v>
      </c>
      <c r="GV87" t="e">
        <f>AND(Bills!#REF!,"AAAAAH/9/ss=")</f>
        <v>#REF!</v>
      </c>
      <c r="GW87" t="e">
        <f>AND(Bills!#REF!,"AAAAAH/9/sw=")</f>
        <v>#REF!</v>
      </c>
      <c r="GX87" t="e">
        <f>AND(Bills!AC277,"AAAAAH/9/s0=")</f>
        <v>#VALUE!</v>
      </c>
      <c r="GY87" t="e">
        <f>AND(Bills!AD277,"AAAAAH/9/s4=")</f>
        <v>#VALUE!</v>
      </c>
      <c r="GZ87" t="e">
        <f>AND(Bills!AE277,"AAAAAH/9/s8=")</f>
        <v>#VALUE!</v>
      </c>
      <c r="HA87">
        <f>IF(Bills!278:278,"AAAAAH/9/tA=",0)</f>
        <v>0</v>
      </c>
      <c r="HB87" t="e">
        <f>AND(Bills!B278,"AAAAAH/9/tE=")</f>
        <v>#VALUE!</v>
      </c>
      <c r="HC87" t="e">
        <f>AND(Bills!#REF!,"AAAAAH/9/tI=")</f>
        <v>#REF!</v>
      </c>
      <c r="HD87" t="e">
        <f>AND(Bills!C278,"AAAAAH/9/tM=")</f>
        <v>#VALUE!</v>
      </c>
      <c r="HE87" t="e">
        <f>AND(Bills!D278,"AAAAAH/9/tQ=")</f>
        <v>#VALUE!</v>
      </c>
      <c r="HF87" t="e">
        <f>AND(Bills!E278,"AAAAAH/9/tU=")</f>
        <v>#VALUE!</v>
      </c>
      <c r="HG87" t="e">
        <f>AND(Bills!#REF!,"AAAAAH/9/tY=")</f>
        <v>#REF!</v>
      </c>
      <c r="HH87" t="e">
        <f>AND(Bills!#REF!,"AAAAAH/9/tc=")</f>
        <v>#REF!</v>
      </c>
      <c r="HI87" t="e">
        <f>AND(Bills!#REF!,"AAAAAH/9/tg=")</f>
        <v>#REF!</v>
      </c>
      <c r="HJ87" t="e">
        <f>AND(Bills!F278,"AAAAAH/9/tk=")</f>
        <v>#VALUE!</v>
      </c>
      <c r="HK87" t="e">
        <f>AND(Bills!#REF!,"AAAAAH/9/to=")</f>
        <v>#REF!</v>
      </c>
      <c r="HL87" t="e">
        <f>AND(Bills!G278,"AAAAAH/9/ts=")</f>
        <v>#VALUE!</v>
      </c>
      <c r="HM87" t="e">
        <f>AND(Bills!H278,"AAAAAH/9/tw=")</f>
        <v>#VALUE!</v>
      </c>
      <c r="HN87" t="e">
        <f>AND(Bills!I278,"AAAAAH/9/t0=")</f>
        <v>#VALUE!</v>
      </c>
      <c r="HO87" t="e">
        <f>AND(Bills!J278,"AAAAAH/9/t4=")</f>
        <v>#VALUE!</v>
      </c>
      <c r="HP87" t="e">
        <f>AND(Bills!K278,"AAAAAH/9/t8=")</f>
        <v>#VALUE!</v>
      </c>
      <c r="HQ87" t="e">
        <f>AND(Bills!L278,"AAAAAH/9/uA=")</f>
        <v>#VALUE!</v>
      </c>
      <c r="HR87" t="e">
        <f>AND(Bills!#REF!,"AAAAAH/9/uE=")</f>
        <v>#REF!</v>
      </c>
      <c r="HS87" t="e">
        <f>AND(Bills!M278,"AAAAAH/9/uI=")</f>
        <v>#VALUE!</v>
      </c>
      <c r="HT87" t="e">
        <f>AND(Bills!N278,"AAAAAH/9/uM=")</f>
        <v>#VALUE!</v>
      </c>
      <c r="HU87" t="e">
        <f>AND(Bills!O278,"AAAAAH/9/uQ=")</f>
        <v>#VALUE!</v>
      </c>
      <c r="HV87" t="e">
        <f>AND(Bills!P278,"AAAAAH/9/uU=")</f>
        <v>#VALUE!</v>
      </c>
      <c r="HW87" t="e">
        <f>AND(Bills!Q278,"AAAAAH/9/uY=")</f>
        <v>#VALUE!</v>
      </c>
      <c r="HX87" t="e">
        <f>AND(Bills!R278,"AAAAAH/9/uc=")</f>
        <v>#VALUE!</v>
      </c>
      <c r="HY87" t="e">
        <f>AND(Bills!S278,"AAAAAH/9/ug=")</f>
        <v>#VALUE!</v>
      </c>
      <c r="HZ87" t="e">
        <f>AND(Bills!T278,"AAAAAH/9/uk=")</f>
        <v>#VALUE!</v>
      </c>
      <c r="IA87" t="e">
        <f>AND(Bills!#REF!,"AAAAAH/9/uo=")</f>
        <v>#REF!</v>
      </c>
      <c r="IB87" t="e">
        <f>AND(Bills!U278,"AAAAAH/9/us=")</f>
        <v>#VALUE!</v>
      </c>
      <c r="IC87" t="e">
        <f>AND(Bills!V278,"AAAAAH/9/uw=")</f>
        <v>#VALUE!</v>
      </c>
      <c r="ID87" t="e">
        <f>AND(Bills!W278,"AAAAAH/9/u0=")</f>
        <v>#VALUE!</v>
      </c>
      <c r="IE87" t="e">
        <f>AND(Bills!#REF!,"AAAAAH/9/u4=")</f>
        <v>#REF!</v>
      </c>
      <c r="IF87" t="e">
        <f>AND(Bills!#REF!,"AAAAAH/9/u8=")</f>
        <v>#REF!</v>
      </c>
      <c r="IG87" t="e">
        <f>AND(Bills!Y278,"AAAAAH/9/vA=")</f>
        <v>#VALUE!</v>
      </c>
      <c r="IH87" t="e">
        <f>AND(Bills!Z278,"AAAAAH/9/vE=")</f>
        <v>#VALUE!</v>
      </c>
      <c r="II87" t="e">
        <f>AND(Bills!#REF!,"AAAAAH/9/vI=")</f>
        <v>#REF!</v>
      </c>
      <c r="IJ87" t="e">
        <f>AND(Bills!#REF!,"AAAAAH/9/vM=")</f>
        <v>#REF!</v>
      </c>
      <c r="IK87" t="e">
        <f>AND(Bills!#REF!,"AAAAAH/9/vQ=")</f>
        <v>#REF!</v>
      </c>
      <c r="IL87" t="e">
        <f>AND(Bills!#REF!,"AAAAAH/9/vU=")</f>
        <v>#REF!</v>
      </c>
      <c r="IM87" t="e">
        <f>AND(Bills!#REF!,"AAAAAH/9/vY=")</f>
        <v>#REF!</v>
      </c>
      <c r="IN87" t="e">
        <f>AND(Bills!#REF!,"AAAAAH/9/vc=")</f>
        <v>#REF!</v>
      </c>
      <c r="IO87" t="e">
        <f>AND(Bills!#REF!,"AAAAAH/9/vg=")</f>
        <v>#REF!</v>
      </c>
      <c r="IP87" t="e">
        <f>AND(Bills!#REF!,"AAAAAH/9/vk=")</f>
        <v>#REF!</v>
      </c>
      <c r="IQ87" t="e">
        <f>AND(Bills!#REF!,"AAAAAH/9/vo=")</f>
        <v>#REF!</v>
      </c>
      <c r="IR87" t="e">
        <f>AND(Bills!AA278,"AAAAAH/9/vs=")</f>
        <v>#VALUE!</v>
      </c>
      <c r="IS87" t="e">
        <f>AND(Bills!AB278,"AAAAAH/9/vw=")</f>
        <v>#VALUE!</v>
      </c>
      <c r="IT87" t="e">
        <f>AND(Bills!#REF!,"AAAAAH/9/v0=")</f>
        <v>#REF!</v>
      </c>
      <c r="IU87" t="e">
        <f>AND(Bills!#REF!,"AAAAAH/9/v4=")</f>
        <v>#REF!</v>
      </c>
      <c r="IV87" t="e">
        <f>AND(Bills!#REF!,"AAAAAH/9/v8=")</f>
        <v>#REF!</v>
      </c>
    </row>
    <row r="88" spans="1:256" x14ac:dyDescent="0.25">
      <c r="A88" t="e">
        <f>AND(Bills!AC278,"AAAAADtWuwA=")</f>
        <v>#VALUE!</v>
      </c>
      <c r="B88" t="e">
        <f>AND(Bills!AD278,"AAAAADtWuwE=")</f>
        <v>#VALUE!</v>
      </c>
      <c r="C88" t="e">
        <f>AND(Bills!AE278,"AAAAADtWuwI=")</f>
        <v>#VALUE!</v>
      </c>
      <c r="D88">
        <f>IF(Bills!279:279,"AAAAADtWuwM=",0)</f>
        <v>0</v>
      </c>
      <c r="E88" t="e">
        <f>AND(Bills!B279,"AAAAADtWuwQ=")</f>
        <v>#VALUE!</v>
      </c>
      <c r="F88" t="e">
        <f>AND(Bills!#REF!,"AAAAADtWuwU=")</f>
        <v>#REF!</v>
      </c>
      <c r="G88" t="e">
        <f>AND(Bills!C279,"AAAAADtWuwY=")</f>
        <v>#VALUE!</v>
      </c>
      <c r="H88" t="e">
        <f>AND(Bills!D279,"AAAAADtWuwc=")</f>
        <v>#VALUE!</v>
      </c>
      <c r="I88" t="e">
        <f>AND(Bills!E279,"AAAAADtWuwg=")</f>
        <v>#VALUE!</v>
      </c>
      <c r="J88" t="e">
        <f>AND(Bills!#REF!,"AAAAADtWuwk=")</f>
        <v>#REF!</v>
      </c>
      <c r="K88" t="e">
        <f>AND(Bills!#REF!,"AAAAADtWuwo=")</f>
        <v>#REF!</v>
      </c>
      <c r="L88" t="e">
        <f>AND(Bills!#REF!,"AAAAADtWuws=")</f>
        <v>#REF!</v>
      </c>
      <c r="M88" t="e">
        <f>AND(Bills!F279,"AAAAADtWuww=")</f>
        <v>#VALUE!</v>
      </c>
      <c r="N88" t="e">
        <f>AND(Bills!#REF!,"AAAAADtWuw0=")</f>
        <v>#REF!</v>
      </c>
      <c r="O88" t="e">
        <f>AND(Bills!G279,"AAAAADtWuw4=")</f>
        <v>#VALUE!</v>
      </c>
      <c r="P88" t="e">
        <f>AND(Bills!H279,"AAAAADtWuw8=")</f>
        <v>#VALUE!</v>
      </c>
      <c r="Q88" t="e">
        <f>AND(Bills!I279,"AAAAADtWuxA=")</f>
        <v>#VALUE!</v>
      </c>
      <c r="R88" t="e">
        <f>AND(Bills!J279,"AAAAADtWuxE=")</f>
        <v>#VALUE!</v>
      </c>
      <c r="S88" t="e">
        <f>AND(Bills!K279,"AAAAADtWuxI=")</f>
        <v>#VALUE!</v>
      </c>
      <c r="T88" t="e">
        <f>AND(Bills!L279,"AAAAADtWuxM=")</f>
        <v>#VALUE!</v>
      </c>
      <c r="U88" t="e">
        <f>AND(Bills!#REF!,"AAAAADtWuxQ=")</f>
        <v>#REF!</v>
      </c>
      <c r="V88" t="e">
        <f>AND(Bills!M279,"AAAAADtWuxU=")</f>
        <v>#VALUE!</v>
      </c>
      <c r="W88" t="e">
        <f>AND(Bills!N279,"AAAAADtWuxY=")</f>
        <v>#VALUE!</v>
      </c>
      <c r="X88" t="e">
        <f>AND(Bills!O279,"AAAAADtWuxc=")</f>
        <v>#VALUE!</v>
      </c>
      <c r="Y88" t="e">
        <f>AND(Bills!P279,"AAAAADtWuxg=")</f>
        <v>#VALUE!</v>
      </c>
      <c r="Z88" t="e">
        <f>AND(Bills!Q279,"AAAAADtWuxk=")</f>
        <v>#VALUE!</v>
      </c>
      <c r="AA88" t="e">
        <f>AND(Bills!R279,"AAAAADtWuxo=")</f>
        <v>#VALUE!</v>
      </c>
      <c r="AB88" t="e">
        <f>AND(Bills!S279,"AAAAADtWuxs=")</f>
        <v>#VALUE!</v>
      </c>
      <c r="AC88" t="e">
        <f>AND(Bills!T279,"AAAAADtWuxw=")</f>
        <v>#VALUE!</v>
      </c>
      <c r="AD88" t="e">
        <f>AND(Bills!#REF!,"AAAAADtWux0=")</f>
        <v>#REF!</v>
      </c>
      <c r="AE88" t="e">
        <f>AND(Bills!U279,"AAAAADtWux4=")</f>
        <v>#VALUE!</v>
      </c>
      <c r="AF88" t="e">
        <f>AND(Bills!V279,"AAAAADtWux8=")</f>
        <v>#VALUE!</v>
      </c>
      <c r="AG88" t="e">
        <f>AND(Bills!W279,"AAAAADtWuyA=")</f>
        <v>#VALUE!</v>
      </c>
      <c r="AH88" t="e">
        <f>AND(Bills!#REF!,"AAAAADtWuyE=")</f>
        <v>#REF!</v>
      </c>
      <c r="AI88" t="e">
        <f>AND(Bills!#REF!,"AAAAADtWuyI=")</f>
        <v>#REF!</v>
      </c>
      <c r="AJ88" t="e">
        <f>AND(Bills!Y279,"AAAAADtWuyM=")</f>
        <v>#VALUE!</v>
      </c>
      <c r="AK88" t="e">
        <f>AND(Bills!Z279,"AAAAADtWuyQ=")</f>
        <v>#VALUE!</v>
      </c>
      <c r="AL88" t="e">
        <f>AND(Bills!#REF!,"AAAAADtWuyU=")</f>
        <v>#REF!</v>
      </c>
      <c r="AM88" t="e">
        <f>AND(Bills!#REF!,"AAAAADtWuyY=")</f>
        <v>#REF!</v>
      </c>
      <c r="AN88" t="e">
        <f>AND(Bills!#REF!,"AAAAADtWuyc=")</f>
        <v>#REF!</v>
      </c>
      <c r="AO88" t="e">
        <f>AND(Bills!#REF!,"AAAAADtWuyg=")</f>
        <v>#REF!</v>
      </c>
      <c r="AP88" t="e">
        <f>AND(Bills!#REF!,"AAAAADtWuyk=")</f>
        <v>#REF!</v>
      </c>
      <c r="AQ88" t="e">
        <f>AND(Bills!#REF!,"AAAAADtWuyo=")</f>
        <v>#REF!</v>
      </c>
      <c r="AR88" t="e">
        <f>AND(Bills!#REF!,"AAAAADtWuys=")</f>
        <v>#REF!</v>
      </c>
      <c r="AS88" t="e">
        <f>AND(Bills!#REF!,"AAAAADtWuyw=")</f>
        <v>#REF!</v>
      </c>
      <c r="AT88" t="e">
        <f>AND(Bills!#REF!,"AAAAADtWuy0=")</f>
        <v>#REF!</v>
      </c>
      <c r="AU88" t="e">
        <f>AND(Bills!AA279,"AAAAADtWuy4=")</f>
        <v>#VALUE!</v>
      </c>
      <c r="AV88" t="e">
        <f>AND(Bills!AB279,"AAAAADtWuy8=")</f>
        <v>#VALUE!</v>
      </c>
      <c r="AW88" t="e">
        <f>AND(Bills!#REF!,"AAAAADtWuzA=")</f>
        <v>#REF!</v>
      </c>
      <c r="AX88" t="e">
        <f>AND(Bills!#REF!,"AAAAADtWuzE=")</f>
        <v>#REF!</v>
      </c>
      <c r="AY88" t="e">
        <f>AND(Bills!#REF!,"AAAAADtWuzI=")</f>
        <v>#REF!</v>
      </c>
      <c r="AZ88" t="e">
        <f>AND(Bills!AC279,"AAAAADtWuzM=")</f>
        <v>#VALUE!</v>
      </c>
      <c r="BA88" t="e">
        <f>AND(Bills!AD279,"AAAAADtWuzQ=")</f>
        <v>#VALUE!</v>
      </c>
      <c r="BB88" t="e">
        <f>AND(Bills!AE279,"AAAAADtWuzU=")</f>
        <v>#VALUE!</v>
      </c>
      <c r="BC88">
        <f>IF(Bills!280:280,"AAAAADtWuzY=",0)</f>
        <v>0</v>
      </c>
      <c r="BD88" t="e">
        <f>AND(Bills!B280,"AAAAADtWuzc=")</f>
        <v>#VALUE!</v>
      </c>
      <c r="BE88" t="e">
        <f>AND(Bills!#REF!,"AAAAADtWuzg=")</f>
        <v>#REF!</v>
      </c>
      <c r="BF88" t="e">
        <f>AND(Bills!C280,"AAAAADtWuzk=")</f>
        <v>#VALUE!</v>
      </c>
      <c r="BG88" t="e">
        <f>AND(Bills!D280,"AAAAADtWuzo=")</f>
        <v>#VALUE!</v>
      </c>
      <c r="BH88" t="e">
        <f>AND(Bills!E280,"AAAAADtWuzs=")</f>
        <v>#VALUE!</v>
      </c>
      <c r="BI88" t="e">
        <f>AND(Bills!#REF!,"AAAAADtWuzw=")</f>
        <v>#REF!</v>
      </c>
      <c r="BJ88" t="e">
        <f>AND(Bills!#REF!,"AAAAADtWuz0=")</f>
        <v>#REF!</v>
      </c>
      <c r="BK88" t="e">
        <f>AND(Bills!#REF!,"AAAAADtWuz4=")</f>
        <v>#REF!</v>
      </c>
      <c r="BL88" t="e">
        <f>AND(Bills!F280,"AAAAADtWuz8=")</f>
        <v>#VALUE!</v>
      </c>
      <c r="BM88" t="e">
        <f>AND(Bills!#REF!,"AAAAADtWu0A=")</f>
        <v>#REF!</v>
      </c>
      <c r="BN88" t="e">
        <f>AND(Bills!G280,"AAAAADtWu0E=")</f>
        <v>#VALUE!</v>
      </c>
      <c r="BO88" t="e">
        <f>AND(Bills!H280,"AAAAADtWu0I=")</f>
        <v>#VALUE!</v>
      </c>
      <c r="BP88" t="e">
        <f>AND(Bills!I280,"AAAAADtWu0M=")</f>
        <v>#VALUE!</v>
      </c>
      <c r="BQ88" t="e">
        <f>AND(Bills!J280,"AAAAADtWu0Q=")</f>
        <v>#VALUE!</v>
      </c>
      <c r="BR88" t="e">
        <f>AND(Bills!K280,"AAAAADtWu0U=")</f>
        <v>#VALUE!</v>
      </c>
      <c r="BS88" t="e">
        <f>AND(Bills!L280,"AAAAADtWu0Y=")</f>
        <v>#VALUE!</v>
      </c>
      <c r="BT88" t="e">
        <f>AND(Bills!#REF!,"AAAAADtWu0c=")</f>
        <v>#REF!</v>
      </c>
      <c r="BU88" t="e">
        <f>AND(Bills!M280,"AAAAADtWu0g=")</f>
        <v>#VALUE!</v>
      </c>
      <c r="BV88" t="e">
        <f>AND(Bills!N280,"AAAAADtWu0k=")</f>
        <v>#VALUE!</v>
      </c>
      <c r="BW88" t="e">
        <f>AND(Bills!O280,"AAAAADtWu0o=")</f>
        <v>#VALUE!</v>
      </c>
      <c r="BX88" t="e">
        <f>AND(Bills!P280,"AAAAADtWu0s=")</f>
        <v>#VALUE!</v>
      </c>
      <c r="BY88" t="e">
        <f>AND(Bills!Q280,"AAAAADtWu0w=")</f>
        <v>#VALUE!</v>
      </c>
      <c r="BZ88" t="e">
        <f>AND(Bills!R280,"AAAAADtWu00=")</f>
        <v>#VALUE!</v>
      </c>
      <c r="CA88" t="e">
        <f>AND(Bills!S280,"AAAAADtWu04=")</f>
        <v>#VALUE!</v>
      </c>
      <c r="CB88" t="e">
        <f>AND(Bills!T280,"AAAAADtWu08=")</f>
        <v>#VALUE!</v>
      </c>
      <c r="CC88" t="e">
        <f>AND(Bills!#REF!,"AAAAADtWu1A=")</f>
        <v>#REF!</v>
      </c>
      <c r="CD88" t="e">
        <f>AND(Bills!U280,"AAAAADtWu1E=")</f>
        <v>#VALUE!</v>
      </c>
      <c r="CE88" t="e">
        <f>AND(Bills!V280,"AAAAADtWu1I=")</f>
        <v>#VALUE!</v>
      </c>
      <c r="CF88" t="e">
        <f>AND(Bills!W280,"AAAAADtWu1M=")</f>
        <v>#VALUE!</v>
      </c>
      <c r="CG88" t="e">
        <f>AND(Bills!#REF!,"AAAAADtWu1Q=")</f>
        <v>#REF!</v>
      </c>
      <c r="CH88" t="e">
        <f>AND(Bills!#REF!,"AAAAADtWu1U=")</f>
        <v>#REF!</v>
      </c>
      <c r="CI88" t="e">
        <f>AND(Bills!Y280,"AAAAADtWu1Y=")</f>
        <v>#VALUE!</v>
      </c>
      <c r="CJ88" t="e">
        <f>AND(Bills!Z280,"AAAAADtWu1c=")</f>
        <v>#VALUE!</v>
      </c>
      <c r="CK88" t="e">
        <f>AND(Bills!#REF!,"AAAAADtWu1g=")</f>
        <v>#REF!</v>
      </c>
      <c r="CL88" t="e">
        <f>AND(Bills!#REF!,"AAAAADtWu1k=")</f>
        <v>#REF!</v>
      </c>
      <c r="CM88" t="e">
        <f>AND(Bills!#REF!,"AAAAADtWu1o=")</f>
        <v>#REF!</v>
      </c>
      <c r="CN88" t="e">
        <f>AND(Bills!#REF!,"AAAAADtWu1s=")</f>
        <v>#REF!</v>
      </c>
      <c r="CO88" t="e">
        <f>AND(Bills!#REF!,"AAAAADtWu1w=")</f>
        <v>#REF!</v>
      </c>
      <c r="CP88" t="e">
        <f>AND(Bills!#REF!,"AAAAADtWu10=")</f>
        <v>#REF!</v>
      </c>
      <c r="CQ88" t="e">
        <f>AND(Bills!#REF!,"AAAAADtWu14=")</f>
        <v>#REF!</v>
      </c>
      <c r="CR88" t="e">
        <f>AND(Bills!#REF!,"AAAAADtWu18=")</f>
        <v>#REF!</v>
      </c>
      <c r="CS88" t="e">
        <f>AND(Bills!#REF!,"AAAAADtWu2A=")</f>
        <v>#REF!</v>
      </c>
      <c r="CT88" t="e">
        <f>AND(Bills!AA280,"AAAAADtWu2E=")</f>
        <v>#VALUE!</v>
      </c>
      <c r="CU88" t="e">
        <f>AND(Bills!AB280,"AAAAADtWu2I=")</f>
        <v>#VALUE!</v>
      </c>
      <c r="CV88" t="e">
        <f>AND(Bills!#REF!,"AAAAADtWu2M=")</f>
        <v>#REF!</v>
      </c>
      <c r="CW88" t="e">
        <f>AND(Bills!#REF!,"AAAAADtWu2Q=")</f>
        <v>#REF!</v>
      </c>
      <c r="CX88" t="e">
        <f>AND(Bills!#REF!,"AAAAADtWu2U=")</f>
        <v>#REF!</v>
      </c>
      <c r="CY88" t="e">
        <f>AND(Bills!AC280,"AAAAADtWu2Y=")</f>
        <v>#VALUE!</v>
      </c>
      <c r="CZ88" t="e">
        <f>AND(Bills!AD280,"AAAAADtWu2c=")</f>
        <v>#VALUE!</v>
      </c>
      <c r="DA88" t="e">
        <f>AND(Bills!AE280,"AAAAADtWu2g=")</f>
        <v>#VALUE!</v>
      </c>
      <c r="DB88">
        <f>IF(Bills!281:281,"AAAAADtWu2k=",0)</f>
        <v>0</v>
      </c>
      <c r="DC88" t="e">
        <f>AND(Bills!B281,"AAAAADtWu2o=")</f>
        <v>#VALUE!</v>
      </c>
      <c r="DD88" t="e">
        <f>AND(Bills!#REF!,"AAAAADtWu2s=")</f>
        <v>#REF!</v>
      </c>
      <c r="DE88" t="e">
        <f>AND(Bills!C281,"AAAAADtWu2w=")</f>
        <v>#VALUE!</v>
      </c>
      <c r="DF88" t="e">
        <f>AND(Bills!D281,"AAAAADtWu20=")</f>
        <v>#VALUE!</v>
      </c>
      <c r="DG88" t="e">
        <f>AND(Bills!E281,"AAAAADtWu24=")</f>
        <v>#VALUE!</v>
      </c>
      <c r="DH88" t="e">
        <f>AND(Bills!#REF!,"AAAAADtWu28=")</f>
        <v>#REF!</v>
      </c>
      <c r="DI88" t="e">
        <f>AND(Bills!#REF!,"AAAAADtWu3A=")</f>
        <v>#REF!</v>
      </c>
      <c r="DJ88" t="e">
        <f>AND(Bills!#REF!,"AAAAADtWu3E=")</f>
        <v>#REF!</v>
      </c>
      <c r="DK88" t="e">
        <f>AND(Bills!F281,"AAAAADtWu3I=")</f>
        <v>#VALUE!</v>
      </c>
      <c r="DL88" t="e">
        <f>AND(Bills!#REF!,"AAAAADtWu3M=")</f>
        <v>#REF!</v>
      </c>
      <c r="DM88" t="e">
        <f>AND(Bills!G281,"AAAAADtWu3Q=")</f>
        <v>#VALUE!</v>
      </c>
      <c r="DN88" t="e">
        <f>AND(Bills!H281,"AAAAADtWu3U=")</f>
        <v>#VALUE!</v>
      </c>
      <c r="DO88" t="e">
        <f>AND(Bills!I281,"AAAAADtWu3Y=")</f>
        <v>#VALUE!</v>
      </c>
      <c r="DP88" t="e">
        <f>AND(Bills!J281,"AAAAADtWu3c=")</f>
        <v>#VALUE!</v>
      </c>
      <c r="DQ88" t="e">
        <f>AND(Bills!K281,"AAAAADtWu3g=")</f>
        <v>#VALUE!</v>
      </c>
      <c r="DR88" t="e">
        <f>AND(Bills!L281,"AAAAADtWu3k=")</f>
        <v>#VALUE!</v>
      </c>
      <c r="DS88" t="e">
        <f>AND(Bills!#REF!,"AAAAADtWu3o=")</f>
        <v>#REF!</v>
      </c>
      <c r="DT88" t="e">
        <f>AND(Bills!M281,"AAAAADtWu3s=")</f>
        <v>#VALUE!</v>
      </c>
      <c r="DU88" t="e">
        <f>AND(Bills!N281,"AAAAADtWu3w=")</f>
        <v>#VALUE!</v>
      </c>
      <c r="DV88" t="e">
        <f>AND(Bills!O281,"AAAAADtWu30=")</f>
        <v>#VALUE!</v>
      </c>
      <c r="DW88" t="e">
        <f>AND(Bills!P281,"AAAAADtWu34=")</f>
        <v>#VALUE!</v>
      </c>
      <c r="DX88" t="e">
        <f>AND(Bills!Q281,"AAAAADtWu38=")</f>
        <v>#VALUE!</v>
      </c>
      <c r="DY88" t="e">
        <f>AND(Bills!R281,"AAAAADtWu4A=")</f>
        <v>#VALUE!</v>
      </c>
      <c r="DZ88" t="e">
        <f>AND(Bills!S281,"AAAAADtWu4E=")</f>
        <v>#VALUE!</v>
      </c>
      <c r="EA88" t="e">
        <f>AND(Bills!T281,"AAAAADtWu4I=")</f>
        <v>#VALUE!</v>
      </c>
      <c r="EB88" t="e">
        <f>AND(Bills!#REF!,"AAAAADtWu4M=")</f>
        <v>#REF!</v>
      </c>
      <c r="EC88" t="e">
        <f>AND(Bills!U281,"AAAAADtWu4Q=")</f>
        <v>#VALUE!</v>
      </c>
      <c r="ED88" t="e">
        <f>AND(Bills!V281,"AAAAADtWu4U=")</f>
        <v>#VALUE!</v>
      </c>
      <c r="EE88" t="e">
        <f>AND(Bills!W281,"AAAAADtWu4Y=")</f>
        <v>#VALUE!</v>
      </c>
      <c r="EF88" t="e">
        <f>AND(Bills!#REF!,"AAAAADtWu4c=")</f>
        <v>#REF!</v>
      </c>
      <c r="EG88" t="e">
        <f>AND(Bills!#REF!,"AAAAADtWu4g=")</f>
        <v>#REF!</v>
      </c>
      <c r="EH88" t="e">
        <f>AND(Bills!Y281,"AAAAADtWu4k=")</f>
        <v>#VALUE!</v>
      </c>
      <c r="EI88" t="e">
        <f>AND(Bills!Z281,"AAAAADtWu4o=")</f>
        <v>#VALUE!</v>
      </c>
      <c r="EJ88" t="e">
        <f>AND(Bills!#REF!,"AAAAADtWu4s=")</f>
        <v>#REF!</v>
      </c>
      <c r="EK88" t="e">
        <f>AND(Bills!#REF!,"AAAAADtWu4w=")</f>
        <v>#REF!</v>
      </c>
      <c r="EL88" t="e">
        <f>AND(Bills!#REF!,"AAAAADtWu40=")</f>
        <v>#REF!</v>
      </c>
      <c r="EM88" t="e">
        <f>AND(Bills!#REF!,"AAAAADtWu44=")</f>
        <v>#REF!</v>
      </c>
      <c r="EN88" t="e">
        <f>AND(Bills!#REF!,"AAAAADtWu48=")</f>
        <v>#REF!</v>
      </c>
      <c r="EO88" t="e">
        <f>AND(Bills!#REF!,"AAAAADtWu5A=")</f>
        <v>#REF!</v>
      </c>
      <c r="EP88" t="e">
        <f>AND(Bills!#REF!,"AAAAADtWu5E=")</f>
        <v>#REF!</v>
      </c>
      <c r="EQ88" t="e">
        <f>AND(Bills!#REF!,"AAAAADtWu5I=")</f>
        <v>#REF!</v>
      </c>
      <c r="ER88" t="e">
        <f>AND(Bills!#REF!,"AAAAADtWu5M=")</f>
        <v>#REF!</v>
      </c>
      <c r="ES88" t="e">
        <f>AND(Bills!AA281,"AAAAADtWu5Q=")</f>
        <v>#VALUE!</v>
      </c>
      <c r="ET88" t="e">
        <f>AND(Bills!AB281,"AAAAADtWu5U=")</f>
        <v>#VALUE!</v>
      </c>
      <c r="EU88" t="e">
        <f>AND(Bills!#REF!,"AAAAADtWu5Y=")</f>
        <v>#REF!</v>
      </c>
      <c r="EV88" t="e">
        <f>AND(Bills!#REF!,"AAAAADtWu5c=")</f>
        <v>#REF!</v>
      </c>
      <c r="EW88" t="e">
        <f>AND(Bills!#REF!,"AAAAADtWu5g=")</f>
        <v>#REF!</v>
      </c>
      <c r="EX88" t="e">
        <f>AND(Bills!AC281,"AAAAADtWu5k=")</f>
        <v>#VALUE!</v>
      </c>
      <c r="EY88" t="e">
        <f>AND(Bills!AD281,"AAAAADtWu5o=")</f>
        <v>#VALUE!</v>
      </c>
      <c r="EZ88" t="e">
        <f>AND(Bills!AE281,"AAAAADtWu5s=")</f>
        <v>#VALUE!</v>
      </c>
      <c r="FA88">
        <f>IF(Bills!282:282,"AAAAADtWu5w=",0)</f>
        <v>0</v>
      </c>
      <c r="FB88" t="e">
        <f>AND(Bills!B282,"AAAAADtWu50=")</f>
        <v>#VALUE!</v>
      </c>
      <c r="FC88" t="e">
        <f>AND(Bills!#REF!,"AAAAADtWu54=")</f>
        <v>#REF!</v>
      </c>
      <c r="FD88" t="e">
        <f>AND(Bills!C282,"AAAAADtWu58=")</f>
        <v>#VALUE!</v>
      </c>
      <c r="FE88" t="e">
        <f>AND(Bills!D282,"AAAAADtWu6A=")</f>
        <v>#VALUE!</v>
      </c>
      <c r="FF88" t="e">
        <f>AND(Bills!E282,"AAAAADtWu6E=")</f>
        <v>#VALUE!</v>
      </c>
      <c r="FG88" t="e">
        <f>AND(Bills!#REF!,"AAAAADtWu6I=")</f>
        <v>#REF!</v>
      </c>
      <c r="FH88" t="e">
        <f>AND(Bills!#REF!,"AAAAADtWu6M=")</f>
        <v>#REF!</v>
      </c>
      <c r="FI88" t="e">
        <f>AND(Bills!#REF!,"AAAAADtWu6Q=")</f>
        <v>#REF!</v>
      </c>
      <c r="FJ88" t="e">
        <f>AND(Bills!F282,"AAAAADtWu6U=")</f>
        <v>#VALUE!</v>
      </c>
      <c r="FK88" t="e">
        <f>AND(Bills!#REF!,"AAAAADtWu6Y=")</f>
        <v>#REF!</v>
      </c>
      <c r="FL88" t="e">
        <f>AND(Bills!G282,"AAAAADtWu6c=")</f>
        <v>#VALUE!</v>
      </c>
      <c r="FM88" t="e">
        <f>AND(Bills!H282,"AAAAADtWu6g=")</f>
        <v>#VALUE!</v>
      </c>
      <c r="FN88" t="e">
        <f>AND(Bills!I282,"AAAAADtWu6k=")</f>
        <v>#VALUE!</v>
      </c>
      <c r="FO88" t="e">
        <f>AND(Bills!J282,"AAAAADtWu6o=")</f>
        <v>#VALUE!</v>
      </c>
      <c r="FP88" t="e">
        <f>AND(Bills!K282,"AAAAADtWu6s=")</f>
        <v>#VALUE!</v>
      </c>
      <c r="FQ88" t="e">
        <f>AND(Bills!L282,"AAAAADtWu6w=")</f>
        <v>#VALUE!</v>
      </c>
      <c r="FR88" t="e">
        <f>AND(Bills!#REF!,"AAAAADtWu60=")</f>
        <v>#REF!</v>
      </c>
      <c r="FS88" t="e">
        <f>AND(Bills!M282,"AAAAADtWu64=")</f>
        <v>#VALUE!</v>
      </c>
      <c r="FT88" t="e">
        <f>AND(Bills!N282,"AAAAADtWu68=")</f>
        <v>#VALUE!</v>
      </c>
      <c r="FU88" t="e">
        <f>AND(Bills!O282,"AAAAADtWu7A=")</f>
        <v>#VALUE!</v>
      </c>
      <c r="FV88" t="e">
        <f>AND(Bills!P282,"AAAAADtWu7E=")</f>
        <v>#VALUE!</v>
      </c>
      <c r="FW88" t="e">
        <f>AND(Bills!Q282,"AAAAADtWu7I=")</f>
        <v>#VALUE!</v>
      </c>
      <c r="FX88" t="e">
        <f>AND(Bills!R282,"AAAAADtWu7M=")</f>
        <v>#VALUE!</v>
      </c>
      <c r="FY88" t="e">
        <f>AND(Bills!S282,"AAAAADtWu7Q=")</f>
        <v>#VALUE!</v>
      </c>
      <c r="FZ88" t="e">
        <f>AND(Bills!T282,"AAAAADtWu7U=")</f>
        <v>#VALUE!</v>
      </c>
      <c r="GA88" t="e">
        <f>AND(Bills!#REF!,"AAAAADtWu7Y=")</f>
        <v>#REF!</v>
      </c>
      <c r="GB88" t="e">
        <f>AND(Bills!U282,"AAAAADtWu7c=")</f>
        <v>#VALUE!</v>
      </c>
      <c r="GC88" t="e">
        <f>AND(Bills!V282,"AAAAADtWu7g=")</f>
        <v>#VALUE!</v>
      </c>
      <c r="GD88" t="e">
        <f>AND(Bills!W282,"AAAAADtWu7k=")</f>
        <v>#VALUE!</v>
      </c>
      <c r="GE88" t="e">
        <f>AND(Bills!#REF!,"AAAAADtWu7o=")</f>
        <v>#REF!</v>
      </c>
      <c r="GF88" t="e">
        <f>AND(Bills!#REF!,"AAAAADtWu7s=")</f>
        <v>#REF!</v>
      </c>
      <c r="GG88" t="e">
        <f>AND(Bills!Y282,"AAAAADtWu7w=")</f>
        <v>#VALUE!</v>
      </c>
      <c r="GH88" t="e">
        <f>AND(Bills!Z282,"AAAAADtWu70=")</f>
        <v>#VALUE!</v>
      </c>
      <c r="GI88" t="e">
        <f>AND(Bills!#REF!,"AAAAADtWu74=")</f>
        <v>#REF!</v>
      </c>
      <c r="GJ88" t="e">
        <f>AND(Bills!#REF!,"AAAAADtWu78=")</f>
        <v>#REF!</v>
      </c>
      <c r="GK88" t="e">
        <f>AND(Bills!#REF!,"AAAAADtWu8A=")</f>
        <v>#REF!</v>
      </c>
      <c r="GL88" t="e">
        <f>AND(Bills!#REF!,"AAAAADtWu8E=")</f>
        <v>#REF!</v>
      </c>
      <c r="GM88" t="e">
        <f>AND(Bills!#REF!,"AAAAADtWu8I=")</f>
        <v>#REF!</v>
      </c>
      <c r="GN88" t="e">
        <f>AND(Bills!#REF!,"AAAAADtWu8M=")</f>
        <v>#REF!</v>
      </c>
      <c r="GO88" t="e">
        <f>AND(Bills!#REF!,"AAAAADtWu8Q=")</f>
        <v>#REF!</v>
      </c>
      <c r="GP88" t="e">
        <f>AND(Bills!#REF!,"AAAAADtWu8U=")</f>
        <v>#REF!</v>
      </c>
      <c r="GQ88" t="e">
        <f>AND(Bills!#REF!,"AAAAADtWu8Y=")</f>
        <v>#REF!</v>
      </c>
      <c r="GR88" t="e">
        <f>AND(Bills!AA282,"AAAAADtWu8c=")</f>
        <v>#VALUE!</v>
      </c>
      <c r="GS88" t="e">
        <f>AND(Bills!AB282,"AAAAADtWu8g=")</f>
        <v>#VALUE!</v>
      </c>
      <c r="GT88" t="e">
        <f>AND(Bills!#REF!,"AAAAADtWu8k=")</f>
        <v>#REF!</v>
      </c>
      <c r="GU88" t="e">
        <f>AND(Bills!#REF!,"AAAAADtWu8o=")</f>
        <v>#REF!</v>
      </c>
      <c r="GV88" t="e">
        <f>AND(Bills!#REF!,"AAAAADtWu8s=")</f>
        <v>#REF!</v>
      </c>
      <c r="GW88" t="e">
        <f>AND(Bills!AC282,"AAAAADtWu8w=")</f>
        <v>#VALUE!</v>
      </c>
      <c r="GX88" t="e">
        <f>AND(Bills!AD282,"AAAAADtWu80=")</f>
        <v>#VALUE!</v>
      </c>
      <c r="GY88" t="e">
        <f>AND(Bills!AE282,"AAAAADtWu84=")</f>
        <v>#VALUE!</v>
      </c>
      <c r="GZ88">
        <f>IF(Bills!283:283,"AAAAADtWu88=",0)</f>
        <v>0</v>
      </c>
      <c r="HA88" t="e">
        <f>AND(Bills!B283,"AAAAADtWu9A=")</f>
        <v>#VALUE!</v>
      </c>
      <c r="HB88" t="e">
        <f>AND(Bills!#REF!,"AAAAADtWu9E=")</f>
        <v>#REF!</v>
      </c>
      <c r="HC88" t="e">
        <f>AND(Bills!C283,"AAAAADtWu9I=")</f>
        <v>#VALUE!</v>
      </c>
      <c r="HD88" t="e">
        <f>AND(Bills!D283,"AAAAADtWu9M=")</f>
        <v>#VALUE!</v>
      </c>
      <c r="HE88" t="e">
        <f>AND(Bills!E283,"AAAAADtWu9Q=")</f>
        <v>#VALUE!</v>
      </c>
      <c r="HF88" t="e">
        <f>AND(Bills!#REF!,"AAAAADtWu9U=")</f>
        <v>#REF!</v>
      </c>
      <c r="HG88" t="e">
        <f>AND(Bills!#REF!,"AAAAADtWu9Y=")</f>
        <v>#REF!</v>
      </c>
      <c r="HH88" t="e">
        <f>AND(Bills!#REF!,"AAAAADtWu9c=")</f>
        <v>#REF!</v>
      </c>
      <c r="HI88" t="e">
        <f>AND(Bills!F283,"AAAAADtWu9g=")</f>
        <v>#VALUE!</v>
      </c>
      <c r="HJ88" t="e">
        <f>AND(Bills!#REF!,"AAAAADtWu9k=")</f>
        <v>#REF!</v>
      </c>
      <c r="HK88" t="e">
        <f>AND(Bills!G283,"AAAAADtWu9o=")</f>
        <v>#VALUE!</v>
      </c>
      <c r="HL88" t="e">
        <f>AND(Bills!H283,"AAAAADtWu9s=")</f>
        <v>#VALUE!</v>
      </c>
      <c r="HM88" t="e">
        <f>AND(Bills!I283,"AAAAADtWu9w=")</f>
        <v>#VALUE!</v>
      </c>
      <c r="HN88" t="e">
        <f>AND(Bills!J283,"AAAAADtWu90=")</f>
        <v>#VALUE!</v>
      </c>
      <c r="HO88" t="e">
        <f>AND(Bills!K283,"AAAAADtWu94=")</f>
        <v>#VALUE!</v>
      </c>
      <c r="HP88" t="e">
        <f>AND(Bills!L283,"AAAAADtWu98=")</f>
        <v>#VALUE!</v>
      </c>
      <c r="HQ88" t="e">
        <f>AND(Bills!#REF!,"AAAAADtWu+A=")</f>
        <v>#REF!</v>
      </c>
      <c r="HR88" t="e">
        <f>AND(Bills!M283,"AAAAADtWu+E=")</f>
        <v>#VALUE!</v>
      </c>
      <c r="HS88" t="e">
        <f>AND(Bills!N283,"AAAAADtWu+I=")</f>
        <v>#VALUE!</v>
      </c>
      <c r="HT88" t="e">
        <f>AND(Bills!O283,"AAAAADtWu+M=")</f>
        <v>#VALUE!</v>
      </c>
      <c r="HU88" t="e">
        <f>AND(Bills!P283,"AAAAADtWu+Q=")</f>
        <v>#VALUE!</v>
      </c>
      <c r="HV88" t="e">
        <f>AND(Bills!Q283,"AAAAADtWu+U=")</f>
        <v>#VALUE!</v>
      </c>
      <c r="HW88" t="e">
        <f>AND(Bills!R283,"AAAAADtWu+Y=")</f>
        <v>#VALUE!</v>
      </c>
      <c r="HX88" t="e">
        <f>AND(Bills!S283,"AAAAADtWu+c=")</f>
        <v>#VALUE!</v>
      </c>
      <c r="HY88" t="e">
        <f>AND(Bills!T283,"AAAAADtWu+g=")</f>
        <v>#VALUE!</v>
      </c>
      <c r="HZ88" t="e">
        <f>AND(Bills!#REF!,"AAAAADtWu+k=")</f>
        <v>#REF!</v>
      </c>
      <c r="IA88" t="e">
        <f>AND(Bills!U283,"AAAAADtWu+o=")</f>
        <v>#VALUE!</v>
      </c>
      <c r="IB88" t="e">
        <f>AND(Bills!V283,"AAAAADtWu+s=")</f>
        <v>#VALUE!</v>
      </c>
      <c r="IC88" t="e">
        <f>AND(Bills!W283,"AAAAADtWu+w=")</f>
        <v>#VALUE!</v>
      </c>
      <c r="ID88" t="e">
        <f>AND(Bills!#REF!,"AAAAADtWu+0=")</f>
        <v>#REF!</v>
      </c>
      <c r="IE88" t="e">
        <f>AND(Bills!#REF!,"AAAAADtWu+4=")</f>
        <v>#REF!</v>
      </c>
      <c r="IF88" t="e">
        <f>AND(Bills!Y283,"AAAAADtWu+8=")</f>
        <v>#VALUE!</v>
      </c>
      <c r="IG88" t="e">
        <f>AND(Bills!Z283,"AAAAADtWu/A=")</f>
        <v>#VALUE!</v>
      </c>
      <c r="IH88" t="e">
        <f>AND(Bills!#REF!,"AAAAADtWu/E=")</f>
        <v>#REF!</v>
      </c>
      <c r="II88" t="e">
        <f>AND(Bills!#REF!,"AAAAADtWu/I=")</f>
        <v>#REF!</v>
      </c>
      <c r="IJ88" t="e">
        <f>AND(Bills!#REF!,"AAAAADtWu/M=")</f>
        <v>#REF!</v>
      </c>
      <c r="IK88" t="e">
        <f>AND(Bills!#REF!,"AAAAADtWu/Q=")</f>
        <v>#REF!</v>
      </c>
      <c r="IL88" t="e">
        <f>AND(Bills!#REF!,"AAAAADtWu/U=")</f>
        <v>#REF!</v>
      </c>
      <c r="IM88" t="e">
        <f>AND(Bills!#REF!,"AAAAADtWu/Y=")</f>
        <v>#REF!</v>
      </c>
      <c r="IN88" t="e">
        <f>AND(Bills!#REF!,"AAAAADtWu/c=")</f>
        <v>#REF!</v>
      </c>
      <c r="IO88" t="e">
        <f>AND(Bills!#REF!,"AAAAADtWu/g=")</f>
        <v>#REF!</v>
      </c>
      <c r="IP88" t="e">
        <f>AND(Bills!#REF!,"AAAAADtWu/k=")</f>
        <v>#REF!</v>
      </c>
      <c r="IQ88" t="e">
        <f>AND(Bills!AA283,"AAAAADtWu/o=")</f>
        <v>#VALUE!</v>
      </c>
      <c r="IR88" t="e">
        <f>AND(Bills!AB283,"AAAAADtWu/s=")</f>
        <v>#VALUE!</v>
      </c>
      <c r="IS88" t="e">
        <f>AND(Bills!#REF!,"AAAAADtWu/w=")</f>
        <v>#REF!</v>
      </c>
      <c r="IT88" t="e">
        <f>AND(Bills!#REF!,"AAAAADtWu/0=")</f>
        <v>#REF!</v>
      </c>
      <c r="IU88" t="e">
        <f>AND(Bills!#REF!,"AAAAADtWu/4=")</f>
        <v>#REF!</v>
      </c>
      <c r="IV88" t="e">
        <f>AND(Bills!AC283,"AAAAADtWu/8=")</f>
        <v>#VALUE!</v>
      </c>
    </row>
    <row r="89" spans="1:256" x14ac:dyDescent="0.25">
      <c r="A89" t="e">
        <f>AND(Bills!AD283,"AAAAABdX3wA=")</f>
        <v>#VALUE!</v>
      </c>
      <c r="B89" t="e">
        <f>AND(Bills!AE283,"AAAAABdX3wE=")</f>
        <v>#VALUE!</v>
      </c>
      <c r="C89">
        <f>IF(Bills!284:284,"AAAAABdX3wI=",0)</f>
        <v>0</v>
      </c>
      <c r="D89" t="e">
        <f>AND(Bills!B284,"AAAAABdX3wM=")</f>
        <v>#VALUE!</v>
      </c>
      <c r="E89" t="e">
        <f>AND(Bills!#REF!,"AAAAABdX3wQ=")</f>
        <v>#REF!</v>
      </c>
      <c r="F89" t="e">
        <f>AND(Bills!C284,"AAAAABdX3wU=")</f>
        <v>#VALUE!</v>
      </c>
      <c r="G89" t="e">
        <f>AND(Bills!D284,"AAAAABdX3wY=")</f>
        <v>#VALUE!</v>
      </c>
      <c r="H89" t="e">
        <f>AND(Bills!E284,"AAAAABdX3wc=")</f>
        <v>#VALUE!</v>
      </c>
      <c r="I89" t="e">
        <f>AND(Bills!#REF!,"AAAAABdX3wg=")</f>
        <v>#REF!</v>
      </c>
      <c r="J89" t="e">
        <f>AND(Bills!#REF!,"AAAAABdX3wk=")</f>
        <v>#REF!</v>
      </c>
      <c r="K89" t="e">
        <f>AND(Bills!#REF!,"AAAAABdX3wo=")</f>
        <v>#REF!</v>
      </c>
      <c r="L89" t="e">
        <f>AND(Bills!F284,"AAAAABdX3ws=")</f>
        <v>#VALUE!</v>
      </c>
      <c r="M89" t="e">
        <f>AND(Bills!#REF!,"AAAAABdX3ww=")</f>
        <v>#REF!</v>
      </c>
      <c r="N89" t="e">
        <f>AND(Bills!G284,"AAAAABdX3w0=")</f>
        <v>#VALUE!</v>
      </c>
      <c r="O89" t="e">
        <f>AND(Bills!H284,"AAAAABdX3w4=")</f>
        <v>#VALUE!</v>
      </c>
      <c r="P89" t="e">
        <f>AND(Bills!I284,"AAAAABdX3w8=")</f>
        <v>#VALUE!</v>
      </c>
      <c r="Q89" t="e">
        <f>AND(Bills!J284,"AAAAABdX3xA=")</f>
        <v>#VALUE!</v>
      </c>
      <c r="R89" t="e">
        <f>AND(Bills!K284,"AAAAABdX3xE=")</f>
        <v>#VALUE!</v>
      </c>
      <c r="S89" t="e">
        <f>AND(Bills!L284,"AAAAABdX3xI=")</f>
        <v>#VALUE!</v>
      </c>
      <c r="T89" t="e">
        <f>AND(Bills!#REF!,"AAAAABdX3xM=")</f>
        <v>#REF!</v>
      </c>
      <c r="U89" t="e">
        <f>AND(Bills!M284,"AAAAABdX3xQ=")</f>
        <v>#VALUE!</v>
      </c>
      <c r="V89" t="e">
        <f>AND(Bills!N284,"AAAAABdX3xU=")</f>
        <v>#VALUE!</v>
      </c>
      <c r="W89" t="e">
        <f>AND(Bills!O284,"AAAAABdX3xY=")</f>
        <v>#VALUE!</v>
      </c>
      <c r="X89" t="e">
        <f>AND(Bills!P284,"AAAAABdX3xc=")</f>
        <v>#VALUE!</v>
      </c>
      <c r="Y89" t="e">
        <f>AND(Bills!Q284,"AAAAABdX3xg=")</f>
        <v>#VALUE!</v>
      </c>
      <c r="Z89" t="e">
        <f>AND(Bills!R284,"AAAAABdX3xk=")</f>
        <v>#VALUE!</v>
      </c>
      <c r="AA89" t="e">
        <f>AND(Bills!S284,"AAAAABdX3xo=")</f>
        <v>#VALUE!</v>
      </c>
      <c r="AB89" t="e">
        <f>AND(Bills!T284,"AAAAABdX3xs=")</f>
        <v>#VALUE!</v>
      </c>
      <c r="AC89" t="e">
        <f>AND(Bills!#REF!,"AAAAABdX3xw=")</f>
        <v>#REF!</v>
      </c>
      <c r="AD89" t="e">
        <f>AND(Bills!U284,"AAAAABdX3x0=")</f>
        <v>#VALUE!</v>
      </c>
      <c r="AE89" t="e">
        <f>AND(Bills!V284,"AAAAABdX3x4=")</f>
        <v>#VALUE!</v>
      </c>
      <c r="AF89" t="e">
        <f>AND(Bills!W284,"AAAAABdX3x8=")</f>
        <v>#VALUE!</v>
      </c>
      <c r="AG89" t="e">
        <f>AND(Bills!#REF!,"AAAAABdX3yA=")</f>
        <v>#REF!</v>
      </c>
      <c r="AH89" t="e">
        <f>AND(Bills!#REF!,"AAAAABdX3yE=")</f>
        <v>#REF!</v>
      </c>
      <c r="AI89" t="e">
        <f>AND(Bills!Y284,"AAAAABdX3yI=")</f>
        <v>#VALUE!</v>
      </c>
      <c r="AJ89" t="e">
        <f>AND(Bills!Z284,"AAAAABdX3yM=")</f>
        <v>#VALUE!</v>
      </c>
      <c r="AK89" t="e">
        <f>AND(Bills!#REF!,"AAAAABdX3yQ=")</f>
        <v>#REF!</v>
      </c>
      <c r="AL89" t="e">
        <f>AND(Bills!#REF!,"AAAAABdX3yU=")</f>
        <v>#REF!</v>
      </c>
      <c r="AM89" t="e">
        <f>AND(Bills!#REF!,"AAAAABdX3yY=")</f>
        <v>#REF!</v>
      </c>
      <c r="AN89" t="e">
        <f>AND(Bills!#REF!,"AAAAABdX3yc=")</f>
        <v>#REF!</v>
      </c>
      <c r="AO89" t="e">
        <f>AND(Bills!#REF!,"AAAAABdX3yg=")</f>
        <v>#REF!</v>
      </c>
      <c r="AP89" t="e">
        <f>AND(Bills!#REF!,"AAAAABdX3yk=")</f>
        <v>#REF!</v>
      </c>
      <c r="AQ89" t="e">
        <f>AND(Bills!#REF!,"AAAAABdX3yo=")</f>
        <v>#REF!</v>
      </c>
      <c r="AR89" t="e">
        <f>AND(Bills!#REF!,"AAAAABdX3ys=")</f>
        <v>#REF!</v>
      </c>
      <c r="AS89" t="e">
        <f>AND(Bills!#REF!,"AAAAABdX3yw=")</f>
        <v>#REF!</v>
      </c>
      <c r="AT89" t="e">
        <f>AND(Bills!AA284,"AAAAABdX3y0=")</f>
        <v>#VALUE!</v>
      </c>
      <c r="AU89" t="e">
        <f>AND(Bills!AB284,"AAAAABdX3y4=")</f>
        <v>#VALUE!</v>
      </c>
      <c r="AV89" t="e">
        <f>AND(Bills!#REF!,"AAAAABdX3y8=")</f>
        <v>#REF!</v>
      </c>
      <c r="AW89" t="e">
        <f>AND(Bills!#REF!,"AAAAABdX3zA=")</f>
        <v>#REF!</v>
      </c>
      <c r="AX89" t="e">
        <f>AND(Bills!#REF!,"AAAAABdX3zE=")</f>
        <v>#REF!</v>
      </c>
      <c r="AY89" t="e">
        <f>AND(Bills!AC284,"AAAAABdX3zI=")</f>
        <v>#VALUE!</v>
      </c>
      <c r="AZ89" t="e">
        <f>AND(Bills!AD284,"AAAAABdX3zM=")</f>
        <v>#VALUE!</v>
      </c>
      <c r="BA89" t="e">
        <f>AND(Bills!AE284,"AAAAABdX3zQ=")</f>
        <v>#VALUE!</v>
      </c>
      <c r="BB89">
        <f>IF(Bills!285:285,"AAAAABdX3zU=",0)</f>
        <v>0</v>
      </c>
      <c r="BC89" t="e">
        <f>AND(Bills!B285,"AAAAABdX3zY=")</f>
        <v>#VALUE!</v>
      </c>
      <c r="BD89" t="e">
        <f>AND(Bills!#REF!,"AAAAABdX3zc=")</f>
        <v>#REF!</v>
      </c>
      <c r="BE89" t="e">
        <f>AND(Bills!C285,"AAAAABdX3zg=")</f>
        <v>#VALUE!</v>
      </c>
      <c r="BF89" t="e">
        <f>AND(Bills!D285,"AAAAABdX3zk=")</f>
        <v>#VALUE!</v>
      </c>
      <c r="BG89" t="e">
        <f>AND(Bills!E285,"AAAAABdX3zo=")</f>
        <v>#VALUE!</v>
      </c>
      <c r="BH89" t="e">
        <f>AND(Bills!#REF!,"AAAAABdX3zs=")</f>
        <v>#REF!</v>
      </c>
      <c r="BI89" t="e">
        <f>AND(Bills!#REF!,"AAAAABdX3zw=")</f>
        <v>#REF!</v>
      </c>
      <c r="BJ89" t="e">
        <f>AND(Bills!#REF!,"AAAAABdX3z0=")</f>
        <v>#REF!</v>
      </c>
      <c r="BK89" t="e">
        <f>AND(Bills!F285,"AAAAABdX3z4=")</f>
        <v>#VALUE!</v>
      </c>
      <c r="BL89" t="e">
        <f>AND(Bills!#REF!,"AAAAABdX3z8=")</f>
        <v>#REF!</v>
      </c>
      <c r="BM89" t="e">
        <f>AND(Bills!G285,"AAAAABdX30A=")</f>
        <v>#VALUE!</v>
      </c>
      <c r="BN89" t="e">
        <f>AND(Bills!H285,"AAAAABdX30E=")</f>
        <v>#VALUE!</v>
      </c>
      <c r="BO89" t="e">
        <f>AND(Bills!I285,"AAAAABdX30I=")</f>
        <v>#VALUE!</v>
      </c>
      <c r="BP89" t="e">
        <f>AND(Bills!J285,"AAAAABdX30M=")</f>
        <v>#VALUE!</v>
      </c>
      <c r="BQ89" t="e">
        <f>AND(Bills!K285,"AAAAABdX30Q=")</f>
        <v>#VALUE!</v>
      </c>
      <c r="BR89" t="e">
        <f>AND(Bills!L285,"AAAAABdX30U=")</f>
        <v>#VALUE!</v>
      </c>
      <c r="BS89" t="e">
        <f>AND(Bills!#REF!,"AAAAABdX30Y=")</f>
        <v>#REF!</v>
      </c>
      <c r="BT89" t="e">
        <f>AND(Bills!M285,"AAAAABdX30c=")</f>
        <v>#VALUE!</v>
      </c>
      <c r="BU89" t="e">
        <f>AND(Bills!N285,"AAAAABdX30g=")</f>
        <v>#VALUE!</v>
      </c>
      <c r="BV89" t="e">
        <f>AND(Bills!O285,"AAAAABdX30k=")</f>
        <v>#VALUE!</v>
      </c>
      <c r="BW89" t="e">
        <f>AND(Bills!P285,"AAAAABdX30o=")</f>
        <v>#VALUE!</v>
      </c>
      <c r="BX89" t="e">
        <f>AND(Bills!Q285,"AAAAABdX30s=")</f>
        <v>#VALUE!</v>
      </c>
      <c r="BY89" t="e">
        <f>AND(Bills!R285,"AAAAABdX30w=")</f>
        <v>#VALUE!</v>
      </c>
      <c r="BZ89" t="e">
        <f>AND(Bills!S285,"AAAAABdX300=")</f>
        <v>#VALUE!</v>
      </c>
      <c r="CA89" t="e">
        <f>AND(Bills!T285,"AAAAABdX304=")</f>
        <v>#VALUE!</v>
      </c>
      <c r="CB89" t="e">
        <f>AND(Bills!#REF!,"AAAAABdX308=")</f>
        <v>#REF!</v>
      </c>
      <c r="CC89" t="e">
        <f>AND(Bills!U285,"AAAAABdX31A=")</f>
        <v>#VALUE!</v>
      </c>
      <c r="CD89" t="e">
        <f>AND(Bills!V285,"AAAAABdX31E=")</f>
        <v>#VALUE!</v>
      </c>
      <c r="CE89" t="e">
        <f>AND(Bills!W285,"AAAAABdX31I=")</f>
        <v>#VALUE!</v>
      </c>
      <c r="CF89" t="e">
        <f>AND(Bills!#REF!,"AAAAABdX31M=")</f>
        <v>#REF!</v>
      </c>
      <c r="CG89" t="e">
        <f>AND(Bills!#REF!,"AAAAABdX31Q=")</f>
        <v>#REF!</v>
      </c>
      <c r="CH89" t="e">
        <f>AND(Bills!Y285,"AAAAABdX31U=")</f>
        <v>#VALUE!</v>
      </c>
      <c r="CI89" t="e">
        <f>AND(Bills!Z285,"AAAAABdX31Y=")</f>
        <v>#VALUE!</v>
      </c>
      <c r="CJ89" t="e">
        <f>AND(Bills!#REF!,"AAAAABdX31c=")</f>
        <v>#REF!</v>
      </c>
      <c r="CK89" t="e">
        <f>AND(Bills!#REF!,"AAAAABdX31g=")</f>
        <v>#REF!</v>
      </c>
      <c r="CL89" t="e">
        <f>AND(Bills!#REF!,"AAAAABdX31k=")</f>
        <v>#REF!</v>
      </c>
      <c r="CM89" t="e">
        <f>AND(Bills!#REF!,"AAAAABdX31o=")</f>
        <v>#REF!</v>
      </c>
      <c r="CN89" t="e">
        <f>AND(Bills!#REF!,"AAAAABdX31s=")</f>
        <v>#REF!</v>
      </c>
      <c r="CO89" t="e">
        <f>AND(Bills!#REF!,"AAAAABdX31w=")</f>
        <v>#REF!</v>
      </c>
      <c r="CP89" t="e">
        <f>AND(Bills!#REF!,"AAAAABdX310=")</f>
        <v>#REF!</v>
      </c>
      <c r="CQ89" t="e">
        <f>AND(Bills!#REF!,"AAAAABdX314=")</f>
        <v>#REF!</v>
      </c>
      <c r="CR89" t="e">
        <f>AND(Bills!#REF!,"AAAAABdX318=")</f>
        <v>#REF!</v>
      </c>
      <c r="CS89" t="e">
        <f>AND(Bills!AA285,"AAAAABdX32A=")</f>
        <v>#VALUE!</v>
      </c>
      <c r="CT89" t="e">
        <f>AND(Bills!AB285,"AAAAABdX32E=")</f>
        <v>#VALUE!</v>
      </c>
      <c r="CU89" t="e">
        <f>AND(Bills!#REF!,"AAAAABdX32I=")</f>
        <v>#REF!</v>
      </c>
      <c r="CV89" t="e">
        <f>AND(Bills!#REF!,"AAAAABdX32M=")</f>
        <v>#REF!</v>
      </c>
      <c r="CW89" t="e">
        <f>AND(Bills!#REF!,"AAAAABdX32Q=")</f>
        <v>#REF!</v>
      </c>
      <c r="CX89" t="e">
        <f>AND(Bills!AC285,"AAAAABdX32U=")</f>
        <v>#VALUE!</v>
      </c>
      <c r="CY89" t="e">
        <f>AND(Bills!AD285,"AAAAABdX32Y=")</f>
        <v>#VALUE!</v>
      </c>
      <c r="CZ89" t="e">
        <f>AND(Bills!AE285,"AAAAABdX32c=")</f>
        <v>#VALUE!</v>
      </c>
      <c r="DA89">
        <f>IF(Bills!286:286,"AAAAABdX32g=",0)</f>
        <v>0</v>
      </c>
      <c r="DB89" t="e">
        <f>AND(Bills!B286,"AAAAABdX32k=")</f>
        <v>#VALUE!</v>
      </c>
      <c r="DC89" t="e">
        <f>AND(Bills!#REF!,"AAAAABdX32o=")</f>
        <v>#REF!</v>
      </c>
      <c r="DD89" t="e">
        <f>AND(Bills!C286,"AAAAABdX32s=")</f>
        <v>#VALUE!</v>
      </c>
      <c r="DE89" t="e">
        <f>AND(Bills!D286,"AAAAABdX32w=")</f>
        <v>#VALUE!</v>
      </c>
      <c r="DF89" t="e">
        <f>AND(Bills!E286,"AAAAABdX320=")</f>
        <v>#VALUE!</v>
      </c>
      <c r="DG89" t="e">
        <f>AND(Bills!#REF!,"AAAAABdX324=")</f>
        <v>#REF!</v>
      </c>
      <c r="DH89" t="e">
        <f>AND(Bills!#REF!,"AAAAABdX328=")</f>
        <v>#REF!</v>
      </c>
      <c r="DI89" t="e">
        <f>AND(Bills!#REF!,"AAAAABdX33A=")</f>
        <v>#REF!</v>
      </c>
      <c r="DJ89" t="e">
        <f>AND(Bills!F286,"AAAAABdX33E=")</f>
        <v>#VALUE!</v>
      </c>
      <c r="DK89" t="e">
        <f>AND(Bills!#REF!,"AAAAABdX33I=")</f>
        <v>#REF!</v>
      </c>
      <c r="DL89" t="e">
        <f>AND(Bills!G286,"AAAAABdX33M=")</f>
        <v>#VALUE!</v>
      </c>
      <c r="DM89" t="e">
        <f>AND(Bills!H286,"AAAAABdX33Q=")</f>
        <v>#VALUE!</v>
      </c>
      <c r="DN89" t="e">
        <f>AND(Bills!I286,"AAAAABdX33U=")</f>
        <v>#VALUE!</v>
      </c>
      <c r="DO89" t="e">
        <f>AND(Bills!J286,"AAAAABdX33Y=")</f>
        <v>#VALUE!</v>
      </c>
      <c r="DP89" t="e">
        <f>AND(Bills!K286,"AAAAABdX33c=")</f>
        <v>#VALUE!</v>
      </c>
      <c r="DQ89" t="e">
        <f>AND(Bills!L286,"AAAAABdX33g=")</f>
        <v>#VALUE!</v>
      </c>
      <c r="DR89" t="e">
        <f>AND(Bills!#REF!,"AAAAABdX33k=")</f>
        <v>#REF!</v>
      </c>
      <c r="DS89" t="e">
        <f>AND(Bills!M286,"AAAAABdX33o=")</f>
        <v>#VALUE!</v>
      </c>
      <c r="DT89" t="e">
        <f>AND(Bills!N286,"AAAAABdX33s=")</f>
        <v>#VALUE!</v>
      </c>
      <c r="DU89" t="e">
        <f>AND(Bills!O286,"AAAAABdX33w=")</f>
        <v>#VALUE!</v>
      </c>
      <c r="DV89" t="e">
        <f>AND(Bills!P286,"AAAAABdX330=")</f>
        <v>#VALUE!</v>
      </c>
      <c r="DW89" t="e">
        <f>AND(Bills!Q286,"AAAAABdX334=")</f>
        <v>#VALUE!</v>
      </c>
      <c r="DX89" t="e">
        <f>AND(Bills!R286,"AAAAABdX338=")</f>
        <v>#VALUE!</v>
      </c>
      <c r="DY89" t="e">
        <f>AND(Bills!S286,"AAAAABdX34A=")</f>
        <v>#VALUE!</v>
      </c>
      <c r="DZ89" t="e">
        <f>AND(Bills!T286,"AAAAABdX34E=")</f>
        <v>#VALUE!</v>
      </c>
      <c r="EA89" t="e">
        <f>AND(Bills!#REF!,"AAAAABdX34I=")</f>
        <v>#REF!</v>
      </c>
      <c r="EB89" t="e">
        <f>AND(Bills!U286,"AAAAABdX34M=")</f>
        <v>#VALUE!</v>
      </c>
      <c r="EC89" t="e">
        <f>AND(Bills!V286,"AAAAABdX34Q=")</f>
        <v>#VALUE!</v>
      </c>
      <c r="ED89" t="e">
        <f>AND(Bills!W286,"AAAAABdX34U=")</f>
        <v>#VALUE!</v>
      </c>
      <c r="EE89" t="e">
        <f>AND(Bills!#REF!,"AAAAABdX34Y=")</f>
        <v>#REF!</v>
      </c>
      <c r="EF89" t="e">
        <f>AND(Bills!#REF!,"AAAAABdX34c=")</f>
        <v>#REF!</v>
      </c>
      <c r="EG89" t="e">
        <f>AND(Bills!Y286,"AAAAABdX34g=")</f>
        <v>#VALUE!</v>
      </c>
      <c r="EH89" t="e">
        <f>AND(Bills!Z286,"AAAAABdX34k=")</f>
        <v>#VALUE!</v>
      </c>
      <c r="EI89" t="e">
        <f>AND(Bills!#REF!,"AAAAABdX34o=")</f>
        <v>#REF!</v>
      </c>
      <c r="EJ89" t="e">
        <f>AND(Bills!#REF!,"AAAAABdX34s=")</f>
        <v>#REF!</v>
      </c>
      <c r="EK89" t="e">
        <f>AND(Bills!#REF!,"AAAAABdX34w=")</f>
        <v>#REF!</v>
      </c>
      <c r="EL89" t="e">
        <f>AND(Bills!#REF!,"AAAAABdX340=")</f>
        <v>#REF!</v>
      </c>
      <c r="EM89" t="e">
        <f>AND(Bills!#REF!,"AAAAABdX344=")</f>
        <v>#REF!</v>
      </c>
      <c r="EN89" t="e">
        <f>AND(Bills!#REF!,"AAAAABdX348=")</f>
        <v>#REF!</v>
      </c>
      <c r="EO89" t="e">
        <f>AND(Bills!#REF!,"AAAAABdX35A=")</f>
        <v>#REF!</v>
      </c>
      <c r="EP89" t="e">
        <f>AND(Bills!#REF!,"AAAAABdX35E=")</f>
        <v>#REF!</v>
      </c>
      <c r="EQ89" t="e">
        <f>AND(Bills!#REF!,"AAAAABdX35I=")</f>
        <v>#REF!</v>
      </c>
      <c r="ER89" t="e">
        <f>AND(Bills!AA286,"AAAAABdX35M=")</f>
        <v>#VALUE!</v>
      </c>
      <c r="ES89" t="e">
        <f>AND(Bills!AB286,"AAAAABdX35Q=")</f>
        <v>#VALUE!</v>
      </c>
      <c r="ET89" t="e">
        <f>AND(Bills!#REF!,"AAAAABdX35U=")</f>
        <v>#REF!</v>
      </c>
      <c r="EU89" t="e">
        <f>AND(Bills!#REF!,"AAAAABdX35Y=")</f>
        <v>#REF!</v>
      </c>
      <c r="EV89" t="e">
        <f>AND(Bills!#REF!,"AAAAABdX35c=")</f>
        <v>#REF!</v>
      </c>
      <c r="EW89" t="e">
        <f>AND(Bills!AC286,"AAAAABdX35g=")</f>
        <v>#VALUE!</v>
      </c>
      <c r="EX89" t="e">
        <f>AND(Bills!AD286,"AAAAABdX35k=")</f>
        <v>#VALUE!</v>
      </c>
      <c r="EY89" t="e">
        <f>AND(Bills!AE286,"AAAAABdX35o=")</f>
        <v>#VALUE!</v>
      </c>
      <c r="EZ89">
        <f>IF(Bills!287:287,"AAAAABdX35s=",0)</f>
        <v>0</v>
      </c>
      <c r="FA89" t="e">
        <f>AND(Bills!B287,"AAAAABdX35w=")</f>
        <v>#VALUE!</v>
      </c>
      <c r="FB89" t="e">
        <f>AND(Bills!#REF!,"AAAAABdX350=")</f>
        <v>#REF!</v>
      </c>
      <c r="FC89" t="e">
        <f>AND(Bills!C287,"AAAAABdX354=")</f>
        <v>#VALUE!</v>
      </c>
      <c r="FD89" t="e">
        <f>AND(Bills!D287,"AAAAABdX358=")</f>
        <v>#VALUE!</v>
      </c>
      <c r="FE89" t="e">
        <f>AND(Bills!E287,"AAAAABdX36A=")</f>
        <v>#VALUE!</v>
      </c>
      <c r="FF89" t="e">
        <f>AND(Bills!#REF!,"AAAAABdX36E=")</f>
        <v>#REF!</v>
      </c>
      <c r="FG89" t="e">
        <f>AND(Bills!#REF!,"AAAAABdX36I=")</f>
        <v>#REF!</v>
      </c>
      <c r="FH89" t="e">
        <f>AND(Bills!#REF!,"AAAAABdX36M=")</f>
        <v>#REF!</v>
      </c>
      <c r="FI89" t="e">
        <f>AND(Bills!F287,"AAAAABdX36Q=")</f>
        <v>#VALUE!</v>
      </c>
      <c r="FJ89" t="e">
        <f>AND(Bills!#REF!,"AAAAABdX36U=")</f>
        <v>#REF!</v>
      </c>
      <c r="FK89" t="e">
        <f>AND(Bills!G287,"AAAAABdX36Y=")</f>
        <v>#VALUE!</v>
      </c>
      <c r="FL89" t="e">
        <f>AND(Bills!H287,"AAAAABdX36c=")</f>
        <v>#VALUE!</v>
      </c>
      <c r="FM89" t="e">
        <f>AND(Bills!I287,"AAAAABdX36g=")</f>
        <v>#VALUE!</v>
      </c>
      <c r="FN89" t="e">
        <f>AND(Bills!J287,"AAAAABdX36k=")</f>
        <v>#VALUE!</v>
      </c>
      <c r="FO89" t="e">
        <f>AND(Bills!K287,"AAAAABdX36o=")</f>
        <v>#VALUE!</v>
      </c>
      <c r="FP89" t="e">
        <f>AND(Bills!L287,"AAAAABdX36s=")</f>
        <v>#VALUE!</v>
      </c>
      <c r="FQ89" t="e">
        <f>AND(Bills!#REF!,"AAAAABdX36w=")</f>
        <v>#REF!</v>
      </c>
      <c r="FR89" t="e">
        <f>AND(Bills!M287,"AAAAABdX360=")</f>
        <v>#VALUE!</v>
      </c>
      <c r="FS89" t="e">
        <f>AND(Bills!N287,"AAAAABdX364=")</f>
        <v>#VALUE!</v>
      </c>
      <c r="FT89" t="e">
        <f>AND(Bills!O287,"AAAAABdX368=")</f>
        <v>#VALUE!</v>
      </c>
      <c r="FU89" t="e">
        <f>AND(Bills!P287,"AAAAABdX37A=")</f>
        <v>#VALUE!</v>
      </c>
      <c r="FV89" t="e">
        <f>AND(Bills!Q287,"AAAAABdX37E=")</f>
        <v>#VALUE!</v>
      </c>
      <c r="FW89" t="e">
        <f>AND(Bills!R287,"AAAAABdX37I=")</f>
        <v>#VALUE!</v>
      </c>
      <c r="FX89" t="e">
        <f>AND(Bills!S287,"AAAAABdX37M=")</f>
        <v>#VALUE!</v>
      </c>
      <c r="FY89" t="e">
        <f>AND(Bills!T287,"AAAAABdX37Q=")</f>
        <v>#VALUE!</v>
      </c>
      <c r="FZ89" t="e">
        <f>AND(Bills!#REF!,"AAAAABdX37U=")</f>
        <v>#REF!</v>
      </c>
      <c r="GA89" t="e">
        <f>AND(Bills!U287,"AAAAABdX37Y=")</f>
        <v>#VALUE!</v>
      </c>
      <c r="GB89" t="e">
        <f>AND(Bills!V287,"AAAAABdX37c=")</f>
        <v>#VALUE!</v>
      </c>
      <c r="GC89" t="e">
        <f>AND(Bills!W287,"AAAAABdX37g=")</f>
        <v>#VALUE!</v>
      </c>
      <c r="GD89" t="e">
        <f>AND(Bills!#REF!,"AAAAABdX37k=")</f>
        <v>#REF!</v>
      </c>
      <c r="GE89" t="e">
        <f>AND(Bills!#REF!,"AAAAABdX37o=")</f>
        <v>#REF!</v>
      </c>
      <c r="GF89" t="e">
        <f>AND(Bills!Y287,"AAAAABdX37s=")</f>
        <v>#VALUE!</v>
      </c>
      <c r="GG89" t="e">
        <f>AND(Bills!Z287,"AAAAABdX37w=")</f>
        <v>#VALUE!</v>
      </c>
      <c r="GH89" t="e">
        <f>AND(Bills!#REF!,"AAAAABdX370=")</f>
        <v>#REF!</v>
      </c>
      <c r="GI89" t="e">
        <f>AND(Bills!#REF!,"AAAAABdX374=")</f>
        <v>#REF!</v>
      </c>
      <c r="GJ89" t="e">
        <f>AND(Bills!#REF!,"AAAAABdX378=")</f>
        <v>#REF!</v>
      </c>
      <c r="GK89" t="e">
        <f>AND(Bills!#REF!,"AAAAABdX38A=")</f>
        <v>#REF!</v>
      </c>
      <c r="GL89" t="e">
        <f>AND(Bills!#REF!,"AAAAABdX38E=")</f>
        <v>#REF!</v>
      </c>
      <c r="GM89" t="e">
        <f>AND(Bills!#REF!,"AAAAABdX38I=")</f>
        <v>#REF!</v>
      </c>
      <c r="GN89" t="e">
        <f>AND(Bills!#REF!,"AAAAABdX38M=")</f>
        <v>#REF!</v>
      </c>
      <c r="GO89" t="e">
        <f>AND(Bills!#REF!,"AAAAABdX38Q=")</f>
        <v>#REF!</v>
      </c>
      <c r="GP89" t="e">
        <f>AND(Bills!#REF!,"AAAAABdX38U=")</f>
        <v>#REF!</v>
      </c>
      <c r="GQ89" t="e">
        <f>AND(Bills!AA287,"AAAAABdX38Y=")</f>
        <v>#VALUE!</v>
      </c>
      <c r="GR89" t="e">
        <f>AND(Bills!AB287,"AAAAABdX38c=")</f>
        <v>#VALUE!</v>
      </c>
      <c r="GS89" t="e">
        <f>AND(Bills!#REF!,"AAAAABdX38g=")</f>
        <v>#REF!</v>
      </c>
      <c r="GT89" t="e">
        <f>AND(Bills!#REF!,"AAAAABdX38k=")</f>
        <v>#REF!</v>
      </c>
      <c r="GU89" t="e">
        <f>AND(Bills!#REF!,"AAAAABdX38o=")</f>
        <v>#REF!</v>
      </c>
      <c r="GV89" t="e">
        <f>AND(Bills!AC287,"AAAAABdX38s=")</f>
        <v>#VALUE!</v>
      </c>
      <c r="GW89" t="e">
        <f>AND(Bills!AD287,"AAAAABdX38w=")</f>
        <v>#VALUE!</v>
      </c>
      <c r="GX89" t="e">
        <f>AND(Bills!AE287,"AAAAABdX380=")</f>
        <v>#VALUE!</v>
      </c>
      <c r="GY89">
        <f>IF(Bills!288:288,"AAAAABdX384=",0)</f>
        <v>0</v>
      </c>
      <c r="GZ89" t="e">
        <f>AND(Bills!B288,"AAAAABdX388=")</f>
        <v>#VALUE!</v>
      </c>
      <c r="HA89" t="e">
        <f>AND(Bills!#REF!,"AAAAABdX39A=")</f>
        <v>#REF!</v>
      </c>
      <c r="HB89" t="e">
        <f>AND(Bills!C288,"AAAAABdX39E=")</f>
        <v>#VALUE!</v>
      </c>
      <c r="HC89" t="e">
        <f>AND(Bills!D288,"AAAAABdX39I=")</f>
        <v>#VALUE!</v>
      </c>
      <c r="HD89" t="e">
        <f>AND(Bills!E288,"AAAAABdX39M=")</f>
        <v>#VALUE!</v>
      </c>
      <c r="HE89" t="e">
        <f>AND(Bills!#REF!,"AAAAABdX39Q=")</f>
        <v>#REF!</v>
      </c>
      <c r="HF89" t="e">
        <f>AND(Bills!#REF!,"AAAAABdX39U=")</f>
        <v>#REF!</v>
      </c>
      <c r="HG89" t="e">
        <f>AND(Bills!#REF!,"AAAAABdX39Y=")</f>
        <v>#REF!</v>
      </c>
      <c r="HH89" t="e">
        <f>AND(Bills!F288,"AAAAABdX39c=")</f>
        <v>#VALUE!</v>
      </c>
      <c r="HI89" t="e">
        <f>AND(Bills!#REF!,"AAAAABdX39g=")</f>
        <v>#REF!</v>
      </c>
      <c r="HJ89" t="e">
        <f>AND(Bills!G288,"AAAAABdX39k=")</f>
        <v>#VALUE!</v>
      </c>
      <c r="HK89" t="e">
        <f>AND(Bills!H288,"AAAAABdX39o=")</f>
        <v>#VALUE!</v>
      </c>
      <c r="HL89" t="e">
        <f>AND(Bills!I288,"AAAAABdX39s=")</f>
        <v>#VALUE!</v>
      </c>
      <c r="HM89" t="e">
        <f>AND(Bills!J288,"AAAAABdX39w=")</f>
        <v>#VALUE!</v>
      </c>
      <c r="HN89" t="e">
        <f>AND(Bills!K288,"AAAAABdX390=")</f>
        <v>#VALUE!</v>
      </c>
      <c r="HO89" t="e">
        <f>AND(Bills!L288,"AAAAABdX394=")</f>
        <v>#VALUE!</v>
      </c>
      <c r="HP89" t="e">
        <f>AND(Bills!#REF!,"AAAAABdX398=")</f>
        <v>#REF!</v>
      </c>
      <c r="HQ89" t="e">
        <f>AND(Bills!M288,"AAAAABdX3+A=")</f>
        <v>#VALUE!</v>
      </c>
      <c r="HR89" t="e">
        <f>AND(Bills!N288,"AAAAABdX3+E=")</f>
        <v>#VALUE!</v>
      </c>
      <c r="HS89" t="e">
        <f>AND(Bills!O288,"AAAAABdX3+I=")</f>
        <v>#VALUE!</v>
      </c>
      <c r="HT89" t="e">
        <f>AND(Bills!P288,"AAAAABdX3+M=")</f>
        <v>#VALUE!</v>
      </c>
      <c r="HU89" t="e">
        <f>AND(Bills!Q288,"AAAAABdX3+Q=")</f>
        <v>#VALUE!</v>
      </c>
      <c r="HV89" t="e">
        <f>AND(Bills!R288,"AAAAABdX3+U=")</f>
        <v>#VALUE!</v>
      </c>
      <c r="HW89" t="e">
        <f>AND(Bills!S288,"AAAAABdX3+Y=")</f>
        <v>#VALUE!</v>
      </c>
      <c r="HX89" t="e">
        <f>AND(Bills!T288,"AAAAABdX3+c=")</f>
        <v>#VALUE!</v>
      </c>
      <c r="HY89" t="e">
        <f>AND(Bills!#REF!,"AAAAABdX3+g=")</f>
        <v>#REF!</v>
      </c>
      <c r="HZ89" t="e">
        <f>AND(Bills!U288,"AAAAABdX3+k=")</f>
        <v>#VALUE!</v>
      </c>
      <c r="IA89" t="e">
        <f>AND(Bills!V288,"AAAAABdX3+o=")</f>
        <v>#VALUE!</v>
      </c>
      <c r="IB89" t="e">
        <f>AND(Bills!W288,"AAAAABdX3+s=")</f>
        <v>#VALUE!</v>
      </c>
      <c r="IC89" t="e">
        <f>AND(Bills!#REF!,"AAAAABdX3+w=")</f>
        <v>#REF!</v>
      </c>
      <c r="ID89" t="e">
        <f>AND(Bills!#REF!,"AAAAABdX3+0=")</f>
        <v>#REF!</v>
      </c>
      <c r="IE89" t="e">
        <f>AND(Bills!Y288,"AAAAABdX3+4=")</f>
        <v>#VALUE!</v>
      </c>
      <c r="IF89" t="e">
        <f>AND(Bills!Z288,"AAAAABdX3+8=")</f>
        <v>#VALUE!</v>
      </c>
      <c r="IG89" t="e">
        <f>AND(Bills!#REF!,"AAAAABdX3/A=")</f>
        <v>#REF!</v>
      </c>
      <c r="IH89" t="e">
        <f>AND(Bills!#REF!,"AAAAABdX3/E=")</f>
        <v>#REF!</v>
      </c>
      <c r="II89" t="e">
        <f>AND(Bills!#REF!,"AAAAABdX3/I=")</f>
        <v>#REF!</v>
      </c>
      <c r="IJ89" t="e">
        <f>AND(Bills!#REF!,"AAAAABdX3/M=")</f>
        <v>#REF!</v>
      </c>
      <c r="IK89" t="e">
        <f>AND(Bills!#REF!,"AAAAABdX3/Q=")</f>
        <v>#REF!</v>
      </c>
      <c r="IL89" t="e">
        <f>AND(Bills!#REF!,"AAAAABdX3/U=")</f>
        <v>#REF!</v>
      </c>
      <c r="IM89" t="e">
        <f>AND(Bills!#REF!,"AAAAABdX3/Y=")</f>
        <v>#REF!</v>
      </c>
      <c r="IN89" t="e">
        <f>AND(Bills!#REF!,"AAAAABdX3/c=")</f>
        <v>#REF!</v>
      </c>
      <c r="IO89" t="e">
        <f>AND(Bills!#REF!,"AAAAABdX3/g=")</f>
        <v>#REF!</v>
      </c>
      <c r="IP89" t="e">
        <f>AND(Bills!AA288,"AAAAABdX3/k=")</f>
        <v>#VALUE!</v>
      </c>
      <c r="IQ89" t="e">
        <f>AND(Bills!AB288,"AAAAABdX3/o=")</f>
        <v>#VALUE!</v>
      </c>
      <c r="IR89" t="e">
        <f>AND(Bills!#REF!,"AAAAABdX3/s=")</f>
        <v>#REF!</v>
      </c>
      <c r="IS89" t="e">
        <f>AND(Bills!#REF!,"AAAAABdX3/w=")</f>
        <v>#REF!</v>
      </c>
      <c r="IT89" t="e">
        <f>AND(Bills!#REF!,"AAAAABdX3/0=")</f>
        <v>#REF!</v>
      </c>
      <c r="IU89" t="e">
        <f>AND(Bills!AC288,"AAAAABdX3/4=")</f>
        <v>#VALUE!</v>
      </c>
      <c r="IV89" t="e">
        <f>AND(Bills!AD288,"AAAAABdX3/8=")</f>
        <v>#VALUE!</v>
      </c>
    </row>
    <row r="90" spans="1:256" x14ac:dyDescent="0.25">
      <c r="A90" t="e">
        <f>AND(Bills!AE288,"AAAAAHfbXwA=")</f>
        <v>#VALUE!</v>
      </c>
      <c r="B90">
        <f>IF(Bills!289:289,"AAAAAHfbXwE=",0)</f>
        <v>0</v>
      </c>
      <c r="C90" t="e">
        <f>AND(Bills!B289,"AAAAAHfbXwI=")</f>
        <v>#VALUE!</v>
      </c>
      <c r="D90" t="e">
        <f>AND(Bills!#REF!,"AAAAAHfbXwM=")</f>
        <v>#REF!</v>
      </c>
      <c r="E90" t="e">
        <f>AND(Bills!C289,"AAAAAHfbXwQ=")</f>
        <v>#VALUE!</v>
      </c>
      <c r="F90" t="e">
        <f>AND(Bills!D289,"AAAAAHfbXwU=")</f>
        <v>#VALUE!</v>
      </c>
      <c r="G90" t="e">
        <f>AND(Bills!E289,"AAAAAHfbXwY=")</f>
        <v>#VALUE!</v>
      </c>
      <c r="H90" t="e">
        <f>AND(Bills!#REF!,"AAAAAHfbXwc=")</f>
        <v>#REF!</v>
      </c>
      <c r="I90" t="e">
        <f>AND(Bills!#REF!,"AAAAAHfbXwg=")</f>
        <v>#REF!</v>
      </c>
      <c r="J90" t="e">
        <f>AND(Bills!#REF!,"AAAAAHfbXwk=")</f>
        <v>#REF!</v>
      </c>
      <c r="K90" t="e">
        <f>AND(Bills!F289,"AAAAAHfbXwo=")</f>
        <v>#VALUE!</v>
      </c>
      <c r="L90" t="e">
        <f>AND(Bills!#REF!,"AAAAAHfbXws=")</f>
        <v>#REF!</v>
      </c>
      <c r="M90" t="e">
        <f>AND(Bills!G289,"AAAAAHfbXww=")</f>
        <v>#VALUE!</v>
      </c>
      <c r="N90" t="e">
        <f>AND(Bills!H289,"AAAAAHfbXw0=")</f>
        <v>#VALUE!</v>
      </c>
      <c r="O90" t="e">
        <f>AND(Bills!I289,"AAAAAHfbXw4=")</f>
        <v>#VALUE!</v>
      </c>
      <c r="P90" t="e">
        <f>AND(Bills!J289,"AAAAAHfbXw8=")</f>
        <v>#VALUE!</v>
      </c>
      <c r="Q90" t="e">
        <f>AND(Bills!K289,"AAAAAHfbXxA=")</f>
        <v>#VALUE!</v>
      </c>
      <c r="R90" t="e">
        <f>AND(Bills!L289,"AAAAAHfbXxE=")</f>
        <v>#VALUE!</v>
      </c>
      <c r="S90" t="e">
        <f>AND(Bills!#REF!,"AAAAAHfbXxI=")</f>
        <v>#REF!</v>
      </c>
      <c r="T90" t="e">
        <f>AND(Bills!M289,"AAAAAHfbXxM=")</f>
        <v>#VALUE!</v>
      </c>
      <c r="U90" t="e">
        <f>AND(Bills!N289,"AAAAAHfbXxQ=")</f>
        <v>#VALUE!</v>
      </c>
      <c r="V90" t="e">
        <f>AND(Bills!O289,"AAAAAHfbXxU=")</f>
        <v>#VALUE!</v>
      </c>
      <c r="W90" t="e">
        <f>AND(Bills!P289,"AAAAAHfbXxY=")</f>
        <v>#VALUE!</v>
      </c>
      <c r="X90" t="e">
        <f>AND(Bills!Q289,"AAAAAHfbXxc=")</f>
        <v>#VALUE!</v>
      </c>
      <c r="Y90" t="e">
        <f>AND(Bills!R289,"AAAAAHfbXxg=")</f>
        <v>#VALUE!</v>
      </c>
      <c r="Z90" t="e">
        <f>AND(Bills!S289,"AAAAAHfbXxk=")</f>
        <v>#VALUE!</v>
      </c>
      <c r="AA90" t="e">
        <f>AND(Bills!T289,"AAAAAHfbXxo=")</f>
        <v>#VALUE!</v>
      </c>
      <c r="AB90" t="e">
        <f>AND(Bills!#REF!,"AAAAAHfbXxs=")</f>
        <v>#REF!</v>
      </c>
      <c r="AC90" t="e">
        <f>AND(Bills!U289,"AAAAAHfbXxw=")</f>
        <v>#VALUE!</v>
      </c>
      <c r="AD90" t="e">
        <f>AND(Bills!V289,"AAAAAHfbXx0=")</f>
        <v>#VALUE!</v>
      </c>
      <c r="AE90" t="e">
        <f>AND(Bills!W289,"AAAAAHfbXx4=")</f>
        <v>#VALUE!</v>
      </c>
      <c r="AF90" t="e">
        <f>AND(Bills!#REF!,"AAAAAHfbXx8=")</f>
        <v>#REF!</v>
      </c>
      <c r="AG90" t="e">
        <f>AND(Bills!#REF!,"AAAAAHfbXyA=")</f>
        <v>#REF!</v>
      </c>
      <c r="AH90" t="e">
        <f>AND(Bills!Y289,"AAAAAHfbXyE=")</f>
        <v>#VALUE!</v>
      </c>
      <c r="AI90" t="e">
        <f>AND(Bills!Z289,"AAAAAHfbXyI=")</f>
        <v>#VALUE!</v>
      </c>
      <c r="AJ90" t="e">
        <f>AND(Bills!#REF!,"AAAAAHfbXyM=")</f>
        <v>#REF!</v>
      </c>
      <c r="AK90" t="e">
        <f>AND(Bills!#REF!,"AAAAAHfbXyQ=")</f>
        <v>#REF!</v>
      </c>
      <c r="AL90" t="e">
        <f>AND(Bills!#REF!,"AAAAAHfbXyU=")</f>
        <v>#REF!</v>
      </c>
      <c r="AM90" t="e">
        <f>AND(Bills!#REF!,"AAAAAHfbXyY=")</f>
        <v>#REF!</v>
      </c>
      <c r="AN90" t="e">
        <f>AND(Bills!#REF!,"AAAAAHfbXyc=")</f>
        <v>#REF!</v>
      </c>
      <c r="AO90" t="e">
        <f>AND(Bills!#REF!,"AAAAAHfbXyg=")</f>
        <v>#REF!</v>
      </c>
      <c r="AP90" t="e">
        <f>AND(Bills!#REF!,"AAAAAHfbXyk=")</f>
        <v>#REF!</v>
      </c>
      <c r="AQ90" t="e">
        <f>AND(Bills!#REF!,"AAAAAHfbXyo=")</f>
        <v>#REF!</v>
      </c>
      <c r="AR90" t="e">
        <f>AND(Bills!#REF!,"AAAAAHfbXys=")</f>
        <v>#REF!</v>
      </c>
      <c r="AS90" t="e">
        <f>AND(Bills!AA289,"AAAAAHfbXyw=")</f>
        <v>#VALUE!</v>
      </c>
      <c r="AT90" t="e">
        <f>AND(Bills!AB289,"AAAAAHfbXy0=")</f>
        <v>#VALUE!</v>
      </c>
      <c r="AU90" t="e">
        <f>AND(Bills!#REF!,"AAAAAHfbXy4=")</f>
        <v>#REF!</v>
      </c>
      <c r="AV90" t="e">
        <f>AND(Bills!#REF!,"AAAAAHfbXy8=")</f>
        <v>#REF!</v>
      </c>
      <c r="AW90" t="e">
        <f>AND(Bills!#REF!,"AAAAAHfbXzA=")</f>
        <v>#REF!</v>
      </c>
      <c r="AX90" t="e">
        <f>AND(Bills!AC289,"AAAAAHfbXzE=")</f>
        <v>#VALUE!</v>
      </c>
      <c r="AY90" t="e">
        <f>AND(Bills!AD289,"AAAAAHfbXzI=")</f>
        <v>#VALUE!</v>
      </c>
      <c r="AZ90" t="e">
        <f>AND(Bills!AE289,"AAAAAHfbXzM=")</f>
        <v>#VALUE!</v>
      </c>
      <c r="BA90">
        <f>IF(Bills!290:290,"AAAAAHfbXzQ=",0)</f>
        <v>0</v>
      </c>
      <c r="BB90" t="e">
        <f>AND(Bills!B290,"AAAAAHfbXzU=")</f>
        <v>#VALUE!</v>
      </c>
      <c r="BC90" t="e">
        <f>AND(Bills!#REF!,"AAAAAHfbXzY=")</f>
        <v>#REF!</v>
      </c>
      <c r="BD90" t="e">
        <f>AND(Bills!C290,"AAAAAHfbXzc=")</f>
        <v>#VALUE!</v>
      </c>
      <c r="BE90" t="e">
        <f>AND(Bills!D290,"AAAAAHfbXzg=")</f>
        <v>#VALUE!</v>
      </c>
      <c r="BF90" t="e">
        <f>AND(Bills!E290,"AAAAAHfbXzk=")</f>
        <v>#VALUE!</v>
      </c>
      <c r="BG90" t="e">
        <f>AND(Bills!#REF!,"AAAAAHfbXzo=")</f>
        <v>#REF!</v>
      </c>
      <c r="BH90" t="e">
        <f>AND(Bills!#REF!,"AAAAAHfbXzs=")</f>
        <v>#REF!</v>
      </c>
      <c r="BI90" t="e">
        <f>AND(Bills!#REF!,"AAAAAHfbXzw=")</f>
        <v>#REF!</v>
      </c>
      <c r="BJ90" t="e">
        <f>AND(Bills!F290,"AAAAAHfbXz0=")</f>
        <v>#VALUE!</v>
      </c>
      <c r="BK90" t="e">
        <f>AND(Bills!#REF!,"AAAAAHfbXz4=")</f>
        <v>#REF!</v>
      </c>
      <c r="BL90" t="e">
        <f>AND(Bills!G290,"AAAAAHfbXz8=")</f>
        <v>#VALUE!</v>
      </c>
      <c r="BM90" t="e">
        <f>AND(Bills!H290,"AAAAAHfbX0A=")</f>
        <v>#VALUE!</v>
      </c>
      <c r="BN90" t="e">
        <f>AND(Bills!I290,"AAAAAHfbX0E=")</f>
        <v>#VALUE!</v>
      </c>
      <c r="BO90" t="e">
        <f>AND(Bills!J290,"AAAAAHfbX0I=")</f>
        <v>#VALUE!</v>
      </c>
      <c r="BP90" t="e">
        <f>AND(Bills!K290,"AAAAAHfbX0M=")</f>
        <v>#VALUE!</v>
      </c>
      <c r="BQ90" t="e">
        <f>AND(Bills!L290,"AAAAAHfbX0Q=")</f>
        <v>#VALUE!</v>
      </c>
      <c r="BR90" t="e">
        <f>AND(Bills!#REF!,"AAAAAHfbX0U=")</f>
        <v>#REF!</v>
      </c>
      <c r="BS90" t="e">
        <f>AND(Bills!M290,"AAAAAHfbX0Y=")</f>
        <v>#VALUE!</v>
      </c>
      <c r="BT90" t="e">
        <f>AND(Bills!N290,"AAAAAHfbX0c=")</f>
        <v>#VALUE!</v>
      </c>
      <c r="BU90" t="e">
        <f>AND(Bills!O290,"AAAAAHfbX0g=")</f>
        <v>#VALUE!</v>
      </c>
      <c r="BV90" t="e">
        <f>AND(Bills!P290,"AAAAAHfbX0k=")</f>
        <v>#VALUE!</v>
      </c>
      <c r="BW90" t="e">
        <f>AND(Bills!Q290,"AAAAAHfbX0o=")</f>
        <v>#VALUE!</v>
      </c>
      <c r="BX90" t="e">
        <f>AND(Bills!R290,"AAAAAHfbX0s=")</f>
        <v>#VALUE!</v>
      </c>
      <c r="BY90" t="e">
        <f>AND(Bills!S290,"AAAAAHfbX0w=")</f>
        <v>#VALUE!</v>
      </c>
      <c r="BZ90" t="e">
        <f>AND(Bills!T290,"AAAAAHfbX00=")</f>
        <v>#VALUE!</v>
      </c>
      <c r="CA90" t="e">
        <f>AND(Bills!#REF!,"AAAAAHfbX04=")</f>
        <v>#REF!</v>
      </c>
      <c r="CB90" t="e">
        <f>AND(Bills!U290,"AAAAAHfbX08=")</f>
        <v>#VALUE!</v>
      </c>
      <c r="CC90" t="e">
        <f>AND(Bills!V290,"AAAAAHfbX1A=")</f>
        <v>#VALUE!</v>
      </c>
      <c r="CD90" t="e">
        <f>AND(Bills!W290,"AAAAAHfbX1E=")</f>
        <v>#VALUE!</v>
      </c>
      <c r="CE90" t="e">
        <f>AND(Bills!#REF!,"AAAAAHfbX1I=")</f>
        <v>#REF!</v>
      </c>
      <c r="CF90" t="e">
        <f>AND(Bills!#REF!,"AAAAAHfbX1M=")</f>
        <v>#REF!</v>
      </c>
      <c r="CG90" t="e">
        <f>AND(Bills!Y290,"AAAAAHfbX1Q=")</f>
        <v>#VALUE!</v>
      </c>
      <c r="CH90" t="e">
        <f>AND(Bills!Z290,"AAAAAHfbX1U=")</f>
        <v>#VALUE!</v>
      </c>
      <c r="CI90" t="e">
        <f>AND(Bills!#REF!,"AAAAAHfbX1Y=")</f>
        <v>#REF!</v>
      </c>
      <c r="CJ90" t="e">
        <f>AND(Bills!#REF!,"AAAAAHfbX1c=")</f>
        <v>#REF!</v>
      </c>
      <c r="CK90" t="e">
        <f>AND(Bills!#REF!,"AAAAAHfbX1g=")</f>
        <v>#REF!</v>
      </c>
      <c r="CL90" t="e">
        <f>AND(Bills!#REF!,"AAAAAHfbX1k=")</f>
        <v>#REF!</v>
      </c>
      <c r="CM90" t="e">
        <f>AND(Bills!#REF!,"AAAAAHfbX1o=")</f>
        <v>#REF!</v>
      </c>
      <c r="CN90" t="e">
        <f>AND(Bills!#REF!,"AAAAAHfbX1s=")</f>
        <v>#REF!</v>
      </c>
      <c r="CO90" t="e">
        <f>AND(Bills!#REF!,"AAAAAHfbX1w=")</f>
        <v>#REF!</v>
      </c>
      <c r="CP90" t="e">
        <f>AND(Bills!#REF!,"AAAAAHfbX10=")</f>
        <v>#REF!</v>
      </c>
      <c r="CQ90" t="e">
        <f>AND(Bills!#REF!,"AAAAAHfbX14=")</f>
        <v>#REF!</v>
      </c>
      <c r="CR90" t="e">
        <f>AND(Bills!AA290,"AAAAAHfbX18=")</f>
        <v>#VALUE!</v>
      </c>
      <c r="CS90" t="e">
        <f>AND(Bills!AB290,"AAAAAHfbX2A=")</f>
        <v>#VALUE!</v>
      </c>
      <c r="CT90" t="e">
        <f>AND(Bills!#REF!,"AAAAAHfbX2E=")</f>
        <v>#REF!</v>
      </c>
      <c r="CU90" t="e">
        <f>AND(Bills!#REF!,"AAAAAHfbX2I=")</f>
        <v>#REF!</v>
      </c>
      <c r="CV90" t="e">
        <f>AND(Bills!#REF!,"AAAAAHfbX2M=")</f>
        <v>#REF!</v>
      </c>
      <c r="CW90" t="e">
        <f>AND(Bills!AC290,"AAAAAHfbX2Q=")</f>
        <v>#VALUE!</v>
      </c>
      <c r="CX90" t="e">
        <f>AND(Bills!AD290,"AAAAAHfbX2U=")</f>
        <v>#VALUE!</v>
      </c>
      <c r="CY90" t="e">
        <f>AND(Bills!AE290,"AAAAAHfbX2Y=")</f>
        <v>#VALUE!</v>
      </c>
      <c r="CZ90">
        <f>IF(Bills!291:291,"AAAAAHfbX2c=",0)</f>
        <v>0</v>
      </c>
      <c r="DA90" t="e">
        <f>AND(Bills!B291,"AAAAAHfbX2g=")</f>
        <v>#VALUE!</v>
      </c>
      <c r="DB90" t="e">
        <f>AND(Bills!#REF!,"AAAAAHfbX2k=")</f>
        <v>#REF!</v>
      </c>
      <c r="DC90" t="e">
        <f>AND(Bills!C291,"AAAAAHfbX2o=")</f>
        <v>#VALUE!</v>
      </c>
      <c r="DD90" t="e">
        <f>AND(Bills!D291,"AAAAAHfbX2s=")</f>
        <v>#VALUE!</v>
      </c>
      <c r="DE90" t="e">
        <f>AND(Bills!E291,"AAAAAHfbX2w=")</f>
        <v>#VALUE!</v>
      </c>
      <c r="DF90" t="e">
        <f>AND(Bills!#REF!,"AAAAAHfbX20=")</f>
        <v>#REF!</v>
      </c>
      <c r="DG90" t="e">
        <f>AND(Bills!#REF!,"AAAAAHfbX24=")</f>
        <v>#REF!</v>
      </c>
      <c r="DH90" t="e">
        <f>AND(Bills!#REF!,"AAAAAHfbX28=")</f>
        <v>#REF!</v>
      </c>
      <c r="DI90" t="e">
        <f>AND(Bills!F291,"AAAAAHfbX3A=")</f>
        <v>#VALUE!</v>
      </c>
      <c r="DJ90" t="e">
        <f>AND(Bills!#REF!,"AAAAAHfbX3E=")</f>
        <v>#REF!</v>
      </c>
      <c r="DK90" t="e">
        <f>AND(Bills!G291,"AAAAAHfbX3I=")</f>
        <v>#VALUE!</v>
      </c>
      <c r="DL90" t="e">
        <f>AND(Bills!H291,"AAAAAHfbX3M=")</f>
        <v>#VALUE!</v>
      </c>
      <c r="DM90" t="e">
        <f>AND(Bills!I291,"AAAAAHfbX3Q=")</f>
        <v>#VALUE!</v>
      </c>
      <c r="DN90" t="e">
        <f>AND(Bills!J291,"AAAAAHfbX3U=")</f>
        <v>#VALUE!</v>
      </c>
      <c r="DO90" t="e">
        <f>AND(Bills!K291,"AAAAAHfbX3Y=")</f>
        <v>#VALUE!</v>
      </c>
      <c r="DP90" t="e">
        <f>AND(Bills!L291,"AAAAAHfbX3c=")</f>
        <v>#VALUE!</v>
      </c>
      <c r="DQ90" t="e">
        <f>AND(Bills!#REF!,"AAAAAHfbX3g=")</f>
        <v>#REF!</v>
      </c>
      <c r="DR90" t="e">
        <f>AND(Bills!M291,"AAAAAHfbX3k=")</f>
        <v>#VALUE!</v>
      </c>
      <c r="DS90" t="e">
        <f>AND(Bills!N291,"AAAAAHfbX3o=")</f>
        <v>#VALUE!</v>
      </c>
      <c r="DT90" t="e">
        <f>AND(Bills!O291,"AAAAAHfbX3s=")</f>
        <v>#VALUE!</v>
      </c>
      <c r="DU90" t="e">
        <f>AND(Bills!P291,"AAAAAHfbX3w=")</f>
        <v>#VALUE!</v>
      </c>
      <c r="DV90" t="e">
        <f>AND(Bills!Q291,"AAAAAHfbX30=")</f>
        <v>#VALUE!</v>
      </c>
      <c r="DW90" t="e">
        <f>AND(Bills!R291,"AAAAAHfbX34=")</f>
        <v>#VALUE!</v>
      </c>
      <c r="DX90" t="e">
        <f>AND(Bills!S291,"AAAAAHfbX38=")</f>
        <v>#VALUE!</v>
      </c>
      <c r="DY90" t="e">
        <f>AND(Bills!T291,"AAAAAHfbX4A=")</f>
        <v>#VALUE!</v>
      </c>
      <c r="DZ90" t="e">
        <f>AND(Bills!#REF!,"AAAAAHfbX4E=")</f>
        <v>#REF!</v>
      </c>
      <c r="EA90" t="e">
        <f>AND(Bills!U291,"AAAAAHfbX4I=")</f>
        <v>#VALUE!</v>
      </c>
      <c r="EB90" t="e">
        <f>AND(Bills!V291,"AAAAAHfbX4M=")</f>
        <v>#VALUE!</v>
      </c>
      <c r="EC90" t="e">
        <f>AND(Bills!W291,"AAAAAHfbX4Q=")</f>
        <v>#VALUE!</v>
      </c>
      <c r="ED90" t="e">
        <f>AND(Bills!#REF!,"AAAAAHfbX4U=")</f>
        <v>#REF!</v>
      </c>
      <c r="EE90" t="e">
        <f>AND(Bills!#REF!,"AAAAAHfbX4Y=")</f>
        <v>#REF!</v>
      </c>
      <c r="EF90" t="e">
        <f>AND(Bills!Y291,"AAAAAHfbX4c=")</f>
        <v>#VALUE!</v>
      </c>
      <c r="EG90" t="e">
        <f>AND(Bills!Z291,"AAAAAHfbX4g=")</f>
        <v>#VALUE!</v>
      </c>
      <c r="EH90" t="e">
        <f>AND(Bills!#REF!,"AAAAAHfbX4k=")</f>
        <v>#REF!</v>
      </c>
      <c r="EI90" t="e">
        <f>AND(Bills!#REF!,"AAAAAHfbX4o=")</f>
        <v>#REF!</v>
      </c>
      <c r="EJ90" t="e">
        <f>AND(Bills!#REF!,"AAAAAHfbX4s=")</f>
        <v>#REF!</v>
      </c>
      <c r="EK90" t="e">
        <f>AND(Bills!#REF!,"AAAAAHfbX4w=")</f>
        <v>#REF!</v>
      </c>
      <c r="EL90" t="e">
        <f>AND(Bills!#REF!,"AAAAAHfbX40=")</f>
        <v>#REF!</v>
      </c>
      <c r="EM90" t="e">
        <f>AND(Bills!#REF!,"AAAAAHfbX44=")</f>
        <v>#REF!</v>
      </c>
      <c r="EN90" t="e">
        <f>AND(Bills!#REF!,"AAAAAHfbX48=")</f>
        <v>#REF!</v>
      </c>
      <c r="EO90" t="e">
        <f>AND(Bills!#REF!,"AAAAAHfbX5A=")</f>
        <v>#REF!</v>
      </c>
      <c r="EP90" t="e">
        <f>AND(Bills!#REF!,"AAAAAHfbX5E=")</f>
        <v>#REF!</v>
      </c>
      <c r="EQ90" t="e">
        <f>AND(Bills!AA291,"AAAAAHfbX5I=")</f>
        <v>#VALUE!</v>
      </c>
      <c r="ER90" t="e">
        <f>AND(Bills!AB291,"AAAAAHfbX5M=")</f>
        <v>#VALUE!</v>
      </c>
      <c r="ES90" t="e">
        <f>AND(Bills!#REF!,"AAAAAHfbX5Q=")</f>
        <v>#REF!</v>
      </c>
      <c r="ET90" t="e">
        <f>AND(Bills!#REF!,"AAAAAHfbX5U=")</f>
        <v>#REF!</v>
      </c>
      <c r="EU90" t="e">
        <f>AND(Bills!#REF!,"AAAAAHfbX5Y=")</f>
        <v>#REF!</v>
      </c>
      <c r="EV90" t="e">
        <f>AND(Bills!AC291,"AAAAAHfbX5c=")</f>
        <v>#VALUE!</v>
      </c>
      <c r="EW90" t="e">
        <f>AND(Bills!AD291,"AAAAAHfbX5g=")</f>
        <v>#VALUE!</v>
      </c>
      <c r="EX90" t="e">
        <f>AND(Bills!AE291,"AAAAAHfbX5k=")</f>
        <v>#VALUE!</v>
      </c>
      <c r="EY90">
        <f>IF(Bills!292:292,"AAAAAHfbX5o=",0)</f>
        <v>0</v>
      </c>
      <c r="EZ90" t="e">
        <f>AND(Bills!B292,"AAAAAHfbX5s=")</f>
        <v>#VALUE!</v>
      </c>
      <c r="FA90" t="e">
        <f>AND(Bills!#REF!,"AAAAAHfbX5w=")</f>
        <v>#REF!</v>
      </c>
      <c r="FB90" t="e">
        <f>AND(Bills!C292,"AAAAAHfbX50=")</f>
        <v>#VALUE!</v>
      </c>
      <c r="FC90" t="e">
        <f>AND(Bills!D292,"AAAAAHfbX54=")</f>
        <v>#VALUE!</v>
      </c>
      <c r="FD90" t="e">
        <f>AND(Bills!E292,"AAAAAHfbX58=")</f>
        <v>#VALUE!</v>
      </c>
      <c r="FE90" t="e">
        <f>AND(Bills!#REF!,"AAAAAHfbX6A=")</f>
        <v>#REF!</v>
      </c>
      <c r="FF90" t="e">
        <f>AND(Bills!#REF!,"AAAAAHfbX6E=")</f>
        <v>#REF!</v>
      </c>
      <c r="FG90" t="e">
        <f>AND(Bills!#REF!,"AAAAAHfbX6I=")</f>
        <v>#REF!</v>
      </c>
      <c r="FH90" t="e">
        <f>AND(Bills!F292,"AAAAAHfbX6M=")</f>
        <v>#VALUE!</v>
      </c>
      <c r="FI90" t="e">
        <f>AND(Bills!#REF!,"AAAAAHfbX6Q=")</f>
        <v>#REF!</v>
      </c>
      <c r="FJ90" t="e">
        <f>AND(Bills!G292,"AAAAAHfbX6U=")</f>
        <v>#VALUE!</v>
      </c>
      <c r="FK90" t="e">
        <f>AND(Bills!H292,"AAAAAHfbX6Y=")</f>
        <v>#VALUE!</v>
      </c>
      <c r="FL90" t="e">
        <f>AND(Bills!I292,"AAAAAHfbX6c=")</f>
        <v>#VALUE!</v>
      </c>
      <c r="FM90" t="e">
        <f>AND(Bills!J292,"AAAAAHfbX6g=")</f>
        <v>#VALUE!</v>
      </c>
      <c r="FN90" t="e">
        <f>AND(Bills!K292,"AAAAAHfbX6k=")</f>
        <v>#VALUE!</v>
      </c>
      <c r="FO90" t="e">
        <f>AND(Bills!L292,"AAAAAHfbX6o=")</f>
        <v>#VALUE!</v>
      </c>
      <c r="FP90" t="e">
        <f>AND(Bills!#REF!,"AAAAAHfbX6s=")</f>
        <v>#REF!</v>
      </c>
      <c r="FQ90" t="e">
        <f>AND(Bills!M292,"AAAAAHfbX6w=")</f>
        <v>#VALUE!</v>
      </c>
      <c r="FR90" t="e">
        <f>AND(Bills!N292,"AAAAAHfbX60=")</f>
        <v>#VALUE!</v>
      </c>
      <c r="FS90" t="e">
        <f>AND(Bills!O292,"AAAAAHfbX64=")</f>
        <v>#VALUE!</v>
      </c>
      <c r="FT90" t="e">
        <f>AND(Bills!P292,"AAAAAHfbX68=")</f>
        <v>#VALUE!</v>
      </c>
      <c r="FU90" t="e">
        <f>AND(Bills!Q292,"AAAAAHfbX7A=")</f>
        <v>#VALUE!</v>
      </c>
      <c r="FV90" t="e">
        <f>AND(Bills!R292,"AAAAAHfbX7E=")</f>
        <v>#VALUE!</v>
      </c>
      <c r="FW90" t="e">
        <f>AND(Bills!S292,"AAAAAHfbX7I=")</f>
        <v>#VALUE!</v>
      </c>
      <c r="FX90" t="e">
        <f>AND(Bills!T292,"AAAAAHfbX7M=")</f>
        <v>#VALUE!</v>
      </c>
      <c r="FY90" t="e">
        <f>AND(Bills!#REF!,"AAAAAHfbX7Q=")</f>
        <v>#REF!</v>
      </c>
      <c r="FZ90" t="e">
        <f>AND(Bills!U292,"AAAAAHfbX7U=")</f>
        <v>#VALUE!</v>
      </c>
      <c r="GA90" t="e">
        <f>AND(Bills!V292,"AAAAAHfbX7Y=")</f>
        <v>#VALUE!</v>
      </c>
      <c r="GB90" t="e">
        <f>AND(Bills!W292,"AAAAAHfbX7c=")</f>
        <v>#VALUE!</v>
      </c>
      <c r="GC90" t="e">
        <f>AND(Bills!#REF!,"AAAAAHfbX7g=")</f>
        <v>#REF!</v>
      </c>
      <c r="GD90" t="e">
        <f>AND(Bills!#REF!,"AAAAAHfbX7k=")</f>
        <v>#REF!</v>
      </c>
      <c r="GE90" t="e">
        <f>AND(Bills!Y292,"AAAAAHfbX7o=")</f>
        <v>#VALUE!</v>
      </c>
      <c r="GF90" t="e">
        <f>AND(Bills!Z292,"AAAAAHfbX7s=")</f>
        <v>#VALUE!</v>
      </c>
      <c r="GG90" t="e">
        <f>AND(Bills!#REF!,"AAAAAHfbX7w=")</f>
        <v>#REF!</v>
      </c>
      <c r="GH90" t="e">
        <f>AND(Bills!#REF!,"AAAAAHfbX70=")</f>
        <v>#REF!</v>
      </c>
      <c r="GI90" t="e">
        <f>AND(Bills!#REF!,"AAAAAHfbX74=")</f>
        <v>#REF!</v>
      </c>
      <c r="GJ90" t="e">
        <f>AND(Bills!#REF!,"AAAAAHfbX78=")</f>
        <v>#REF!</v>
      </c>
      <c r="GK90" t="e">
        <f>AND(Bills!#REF!,"AAAAAHfbX8A=")</f>
        <v>#REF!</v>
      </c>
      <c r="GL90" t="e">
        <f>AND(Bills!#REF!,"AAAAAHfbX8E=")</f>
        <v>#REF!</v>
      </c>
      <c r="GM90" t="e">
        <f>AND(Bills!#REF!,"AAAAAHfbX8I=")</f>
        <v>#REF!</v>
      </c>
      <c r="GN90" t="e">
        <f>AND(Bills!#REF!,"AAAAAHfbX8M=")</f>
        <v>#REF!</v>
      </c>
      <c r="GO90" t="e">
        <f>AND(Bills!#REF!,"AAAAAHfbX8Q=")</f>
        <v>#REF!</v>
      </c>
      <c r="GP90" t="e">
        <f>AND(Bills!AA292,"AAAAAHfbX8U=")</f>
        <v>#VALUE!</v>
      </c>
      <c r="GQ90" t="e">
        <f>AND(Bills!AB292,"AAAAAHfbX8Y=")</f>
        <v>#VALUE!</v>
      </c>
      <c r="GR90" t="e">
        <f>AND(Bills!#REF!,"AAAAAHfbX8c=")</f>
        <v>#REF!</v>
      </c>
      <c r="GS90" t="e">
        <f>AND(Bills!#REF!,"AAAAAHfbX8g=")</f>
        <v>#REF!</v>
      </c>
      <c r="GT90" t="e">
        <f>AND(Bills!#REF!,"AAAAAHfbX8k=")</f>
        <v>#REF!</v>
      </c>
      <c r="GU90" t="e">
        <f>AND(Bills!AC292,"AAAAAHfbX8o=")</f>
        <v>#VALUE!</v>
      </c>
      <c r="GV90" t="e">
        <f>AND(Bills!AD292,"AAAAAHfbX8s=")</f>
        <v>#VALUE!</v>
      </c>
      <c r="GW90" t="e">
        <f>AND(Bills!AE292,"AAAAAHfbX8w=")</f>
        <v>#VALUE!</v>
      </c>
      <c r="GX90">
        <f>IF(Bills!293:293,"AAAAAHfbX80=",0)</f>
        <v>0</v>
      </c>
      <c r="GY90" t="e">
        <f>AND(Bills!B293,"AAAAAHfbX84=")</f>
        <v>#VALUE!</v>
      </c>
      <c r="GZ90" t="e">
        <f>AND(Bills!#REF!,"AAAAAHfbX88=")</f>
        <v>#REF!</v>
      </c>
      <c r="HA90" t="e">
        <f>AND(Bills!C293,"AAAAAHfbX9A=")</f>
        <v>#VALUE!</v>
      </c>
      <c r="HB90" t="e">
        <f>AND(Bills!D293,"AAAAAHfbX9E=")</f>
        <v>#VALUE!</v>
      </c>
      <c r="HC90" t="e">
        <f>AND(Bills!E293,"AAAAAHfbX9I=")</f>
        <v>#VALUE!</v>
      </c>
      <c r="HD90" t="e">
        <f>AND(Bills!#REF!,"AAAAAHfbX9M=")</f>
        <v>#REF!</v>
      </c>
      <c r="HE90" t="e">
        <f>AND(Bills!#REF!,"AAAAAHfbX9Q=")</f>
        <v>#REF!</v>
      </c>
      <c r="HF90" t="e">
        <f>AND(Bills!#REF!,"AAAAAHfbX9U=")</f>
        <v>#REF!</v>
      </c>
      <c r="HG90" t="e">
        <f>AND(Bills!F293,"AAAAAHfbX9Y=")</f>
        <v>#VALUE!</v>
      </c>
      <c r="HH90" t="e">
        <f>AND(Bills!#REF!,"AAAAAHfbX9c=")</f>
        <v>#REF!</v>
      </c>
      <c r="HI90" t="e">
        <f>AND(Bills!G293,"AAAAAHfbX9g=")</f>
        <v>#VALUE!</v>
      </c>
      <c r="HJ90" t="e">
        <f>AND(Bills!H293,"AAAAAHfbX9k=")</f>
        <v>#VALUE!</v>
      </c>
      <c r="HK90" t="e">
        <f>AND(Bills!I293,"AAAAAHfbX9o=")</f>
        <v>#VALUE!</v>
      </c>
      <c r="HL90" t="e">
        <f>AND(Bills!J293,"AAAAAHfbX9s=")</f>
        <v>#VALUE!</v>
      </c>
      <c r="HM90" t="e">
        <f>AND(Bills!K293,"AAAAAHfbX9w=")</f>
        <v>#VALUE!</v>
      </c>
      <c r="HN90" t="e">
        <f>AND(Bills!L293,"AAAAAHfbX90=")</f>
        <v>#VALUE!</v>
      </c>
      <c r="HO90" t="e">
        <f>AND(Bills!#REF!,"AAAAAHfbX94=")</f>
        <v>#REF!</v>
      </c>
      <c r="HP90" t="e">
        <f>AND(Bills!M293,"AAAAAHfbX98=")</f>
        <v>#VALUE!</v>
      </c>
      <c r="HQ90" t="e">
        <f>AND(Bills!N293,"AAAAAHfbX+A=")</f>
        <v>#VALUE!</v>
      </c>
      <c r="HR90" t="e">
        <f>AND(Bills!O293,"AAAAAHfbX+E=")</f>
        <v>#VALUE!</v>
      </c>
      <c r="HS90" t="e">
        <f>AND(Bills!P293,"AAAAAHfbX+I=")</f>
        <v>#VALUE!</v>
      </c>
      <c r="HT90" t="e">
        <f>AND(Bills!Q293,"AAAAAHfbX+M=")</f>
        <v>#VALUE!</v>
      </c>
      <c r="HU90" t="e">
        <f>AND(Bills!R293,"AAAAAHfbX+Q=")</f>
        <v>#VALUE!</v>
      </c>
      <c r="HV90" t="e">
        <f>AND(Bills!S293,"AAAAAHfbX+U=")</f>
        <v>#VALUE!</v>
      </c>
      <c r="HW90" t="e">
        <f>AND(Bills!T293,"AAAAAHfbX+Y=")</f>
        <v>#VALUE!</v>
      </c>
      <c r="HX90" t="e">
        <f>AND(Bills!#REF!,"AAAAAHfbX+c=")</f>
        <v>#REF!</v>
      </c>
      <c r="HY90" t="e">
        <f>AND(Bills!U293,"AAAAAHfbX+g=")</f>
        <v>#VALUE!</v>
      </c>
      <c r="HZ90" t="e">
        <f>AND(Bills!V293,"AAAAAHfbX+k=")</f>
        <v>#VALUE!</v>
      </c>
      <c r="IA90" t="e">
        <f>AND(Bills!W293,"AAAAAHfbX+o=")</f>
        <v>#VALUE!</v>
      </c>
      <c r="IB90" t="e">
        <f>AND(Bills!#REF!,"AAAAAHfbX+s=")</f>
        <v>#REF!</v>
      </c>
      <c r="IC90" t="e">
        <f>AND(Bills!#REF!,"AAAAAHfbX+w=")</f>
        <v>#REF!</v>
      </c>
      <c r="ID90" t="e">
        <f>AND(Bills!Y293,"AAAAAHfbX+0=")</f>
        <v>#VALUE!</v>
      </c>
      <c r="IE90" t="e">
        <f>AND(Bills!Z293,"AAAAAHfbX+4=")</f>
        <v>#VALUE!</v>
      </c>
      <c r="IF90" t="e">
        <f>AND(Bills!#REF!,"AAAAAHfbX+8=")</f>
        <v>#REF!</v>
      </c>
      <c r="IG90" t="e">
        <f>AND(Bills!#REF!,"AAAAAHfbX/A=")</f>
        <v>#REF!</v>
      </c>
      <c r="IH90" t="e">
        <f>AND(Bills!#REF!,"AAAAAHfbX/E=")</f>
        <v>#REF!</v>
      </c>
      <c r="II90" t="e">
        <f>AND(Bills!#REF!,"AAAAAHfbX/I=")</f>
        <v>#REF!</v>
      </c>
      <c r="IJ90" t="e">
        <f>AND(Bills!#REF!,"AAAAAHfbX/M=")</f>
        <v>#REF!</v>
      </c>
      <c r="IK90" t="e">
        <f>AND(Bills!#REF!,"AAAAAHfbX/Q=")</f>
        <v>#REF!</v>
      </c>
      <c r="IL90" t="e">
        <f>AND(Bills!#REF!,"AAAAAHfbX/U=")</f>
        <v>#REF!</v>
      </c>
      <c r="IM90" t="e">
        <f>AND(Bills!#REF!,"AAAAAHfbX/Y=")</f>
        <v>#REF!</v>
      </c>
      <c r="IN90" t="e">
        <f>AND(Bills!#REF!,"AAAAAHfbX/c=")</f>
        <v>#REF!</v>
      </c>
      <c r="IO90" t="e">
        <f>AND(Bills!AA293,"AAAAAHfbX/g=")</f>
        <v>#VALUE!</v>
      </c>
      <c r="IP90" t="e">
        <f>AND(Bills!AB293,"AAAAAHfbX/k=")</f>
        <v>#VALUE!</v>
      </c>
      <c r="IQ90" t="e">
        <f>AND(Bills!#REF!,"AAAAAHfbX/o=")</f>
        <v>#REF!</v>
      </c>
      <c r="IR90" t="e">
        <f>AND(Bills!#REF!,"AAAAAHfbX/s=")</f>
        <v>#REF!</v>
      </c>
      <c r="IS90" t="e">
        <f>AND(Bills!#REF!,"AAAAAHfbX/w=")</f>
        <v>#REF!</v>
      </c>
      <c r="IT90" t="e">
        <f>AND(Bills!AC293,"AAAAAHfbX/0=")</f>
        <v>#VALUE!</v>
      </c>
      <c r="IU90" t="e">
        <f>AND(Bills!AD293,"AAAAAHfbX/4=")</f>
        <v>#VALUE!</v>
      </c>
      <c r="IV90" t="e">
        <f>AND(Bills!AE293,"AAAAAHfbX/8=")</f>
        <v>#VALUE!</v>
      </c>
    </row>
    <row r="91" spans="1:256" x14ac:dyDescent="0.25">
      <c r="A91">
        <f>IF(Bills!294:294,"AAAAAH6rfwA=",0)</f>
        <v>0</v>
      </c>
      <c r="B91" t="e">
        <f>AND(Bills!B294,"AAAAAH6rfwE=")</f>
        <v>#VALUE!</v>
      </c>
      <c r="C91" t="e">
        <f>AND(Bills!#REF!,"AAAAAH6rfwI=")</f>
        <v>#REF!</v>
      </c>
      <c r="D91" t="e">
        <f>AND(Bills!C294,"AAAAAH6rfwM=")</f>
        <v>#VALUE!</v>
      </c>
      <c r="E91" t="e">
        <f>AND(Bills!D294,"AAAAAH6rfwQ=")</f>
        <v>#VALUE!</v>
      </c>
      <c r="F91" t="e">
        <f>AND(Bills!E294,"AAAAAH6rfwU=")</f>
        <v>#VALUE!</v>
      </c>
      <c r="G91" t="e">
        <f>AND(Bills!#REF!,"AAAAAH6rfwY=")</f>
        <v>#REF!</v>
      </c>
      <c r="H91" t="e">
        <f>AND(Bills!#REF!,"AAAAAH6rfwc=")</f>
        <v>#REF!</v>
      </c>
      <c r="I91" t="e">
        <f>AND(Bills!#REF!,"AAAAAH6rfwg=")</f>
        <v>#REF!</v>
      </c>
      <c r="J91" t="e">
        <f>AND(Bills!F294,"AAAAAH6rfwk=")</f>
        <v>#VALUE!</v>
      </c>
      <c r="K91" t="e">
        <f>AND(Bills!#REF!,"AAAAAH6rfwo=")</f>
        <v>#REF!</v>
      </c>
      <c r="L91" t="e">
        <f>AND(Bills!G294,"AAAAAH6rfws=")</f>
        <v>#VALUE!</v>
      </c>
      <c r="M91" t="e">
        <f>AND(Bills!H294,"AAAAAH6rfww=")</f>
        <v>#VALUE!</v>
      </c>
      <c r="N91" t="e">
        <f>AND(Bills!I294,"AAAAAH6rfw0=")</f>
        <v>#VALUE!</v>
      </c>
      <c r="O91" t="e">
        <f>AND(Bills!J294,"AAAAAH6rfw4=")</f>
        <v>#VALUE!</v>
      </c>
      <c r="P91" t="e">
        <f>AND(Bills!K294,"AAAAAH6rfw8=")</f>
        <v>#VALUE!</v>
      </c>
      <c r="Q91" t="e">
        <f>AND(Bills!L294,"AAAAAH6rfxA=")</f>
        <v>#VALUE!</v>
      </c>
      <c r="R91" t="e">
        <f>AND(Bills!#REF!,"AAAAAH6rfxE=")</f>
        <v>#REF!</v>
      </c>
      <c r="S91" t="e">
        <f>AND(Bills!M294,"AAAAAH6rfxI=")</f>
        <v>#VALUE!</v>
      </c>
      <c r="T91" t="e">
        <f>AND(Bills!N294,"AAAAAH6rfxM=")</f>
        <v>#VALUE!</v>
      </c>
      <c r="U91" t="e">
        <f>AND(Bills!O294,"AAAAAH6rfxQ=")</f>
        <v>#VALUE!</v>
      </c>
      <c r="V91" t="e">
        <f>AND(Bills!P294,"AAAAAH6rfxU=")</f>
        <v>#VALUE!</v>
      </c>
      <c r="W91" t="e">
        <f>AND(Bills!Q294,"AAAAAH6rfxY=")</f>
        <v>#VALUE!</v>
      </c>
      <c r="X91" t="e">
        <f>AND(Bills!R294,"AAAAAH6rfxc=")</f>
        <v>#VALUE!</v>
      </c>
      <c r="Y91" t="e">
        <f>AND(Bills!S294,"AAAAAH6rfxg=")</f>
        <v>#VALUE!</v>
      </c>
      <c r="Z91" t="e">
        <f>AND(Bills!T294,"AAAAAH6rfxk=")</f>
        <v>#VALUE!</v>
      </c>
      <c r="AA91" t="e">
        <f>AND(Bills!#REF!,"AAAAAH6rfxo=")</f>
        <v>#REF!</v>
      </c>
      <c r="AB91" t="e">
        <f>AND(Bills!U294,"AAAAAH6rfxs=")</f>
        <v>#VALUE!</v>
      </c>
      <c r="AC91" t="e">
        <f>AND(Bills!V294,"AAAAAH6rfxw=")</f>
        <v>#VALUE!</v>
      </c>
      <c r="AD91" t="e">
        <f>AND(Bills!W294,"AAAAAH6rfx0=")</f>
        <v>#VALUE!</v>
      </c>
      <c r="AE91" t="e">
        <f>AND(Bills!#REF!,"AAAAAH6rfx4=")</f>
        <v>#REF!</v>
      </c>
      <c r="AF91" t="e">
        <f>AND(Bills!#REF!,"AAAAAH6rfx8=")</f>
        <v>#REF!</v>
      </c>
      <c r="AG91" t="e">
        <f>AND(Bills!Y294,"AAAAAH6rfyA=")</f>
        <v>#VALUE!</v>
      </c>
      <c r="AH91" t="e">
        <f>AND(Bills!Z294,"AAAAAH6rfyE=")</f>
        <v>#VALUE!</v>
      </c>
      <c r="AI91" t="e">
        <f>AND(Bills!#REF!,"AAAAAH6rfyI=")</f>
        <v>#REF!</v>
      </c>
      <c r="AJ91" t="e">
        <f>AND(Bills!#REF!,"AAAAAH6rfyM=")</f>
        <v>#REF!</v>
      </c>
      <c r="AK91" t="e">
        <f>AND(Bills!#REF!,"AAAAAH6rfyQ=")</f>
        <v>#REF!</v>
      </c>
      <c r="AL91" t="e">
        <f>AND(Bills!#REF!,"AAAAAH6rfyU=")</f>
        <v>#REF!</v>
      </c>
      <c r="AM91" t="e">
        <f>AND(Bills!#REF!,"AAAAAH6rfyY=")</f>
        <v>#REF!</v>
      </c>
      <c r="AN91" t="e">
        <f>AND(Bills!#REF!,"AAAAAH6rfyc=")</f>
        <v>#REF!</v>
      </c>
      <c r="AO91" t="e">
        <f>AND(Bills!#REF!,"AAAAAH6rfyg=")</f>
        <v>#REF!</v>
      </c>
      <c r="AP91" t="e">
        <f>AND(Bills!#REF!,"AAAAAH6rfyk=")</f>
        <v>#REF!</v>
      </c>
      <c r="AQ91" t="e">
        <f>AND(Bills!#REF!,"AAAAAH6rfyo=")</f>
        <v>#REF!</v>
      </c>
      <c r="AR91" t="e">
        <f>AND(Bills!AA294,"AAAAAH6rfys=")</f>
        <v>#VALUE!</v>
      </c>
      <c r="AS91" t="e">
        <f>AND(Bills!AB294,"AAAAAH6rfyw=")</f>
        <v>#VALUE!</v>
      </c>
      <c r="AT91" t="e">
        <f>AND(Bills!#REF!,"AAAAAH6rfy0=")</f>
        <v>#REF!</v>
      </c>
      <c r="AU91" t="e">
        <f>AND(Bills!#REF!,"AAAAAH6rfy4=")</f>
        <v>#REF!</v>
      </c>
      <c r="AV91" t="e">
        <f>AND(Bills!#REF!,"AAAAAH6rfy8=")</f>
        <v>#REF!</v>
      </c>
      <c r="AW91" t="e">
        <f>AND(Bills!AC294,"AAAAAH6rfzA=")</f>
        <v>#VALUE!</v>
      </c>
      <c r="AX91" t="e">
        <f>AND(Bills!AD294,"AAAAAH6rfzE=")</f>
        <v>#VALUE!</v>
      </c>
      <c r="AY91" t="e">
        <f>AND(Bills!AE294,"AAAAAH6rfzI=")</f>
        <v>#VALUE!</v>
      </c>
      <c r="AZ91">
        <f>IF(Bills!295:295,"AAAAAH6rfzM=",0)</f>
        <v>0</v>
      </c>
      <c r="BA91" t="e">
        <f>AND(Bills!B295,"AAAAAH6rfzQ=")</f>
        <v>#VALUE!</v>
      </c>
      <c r="BB91" t="e">
        <f>AND(Bills!#REF!,"AAAAAH6rfzU=")</f>
        <v>#REF!</v>
      </c>
      <c r="BC91" t="e">
        <f>AND(Bills!C295,"AAAAAH6rfzY=")</f>
        <v>#VALUE!</v>
      </c>
      <c r="BD91" t="e">
        <f>AND(Bills!D295,"AAAAAH6rfzc=")</f>
        <v>#VALUE!</v>
      </c>
      <c r="BE91" t="e">
        <f>AND(Bills!E295,"AAAAAH6rfzg=")</f>
        <v>#VALUE!</v>
      </c>
      <c r="BF91" t="e">
        <f>AND(Bills!#REF!,"AAAAAH6rfzk=")</f>
        <v>#REF!</v>
      </c>
      <c r="BG91" t="e">
        <f>AND(Bills!#REF!,"AAAAAH6rfzo=")</f>
        <v>#REF!</v>
      </c>
      <c r="BH91" t="e">
        <f>AND(Bills!#REF!,"AAAAAH6rfzs=")</f>
        <v>#REF!</v>
      </c>
      <c r="BI91" t="e">
        <f>AND(Bills!F295,"AAAAAH6rfzw=")</f>
        <v>#VALUE!</v>
      </c>
      <c r="BJ91" t="e">
        <f>AND(Bills!#REF!,"AAAAAH6rfz0=")</f>
        <v>#REF!</v>
      </c>
      <c r="BK91" t="e">
        <f>AND(Bills!G295,"AAAAAH6rfz4=")</f>
        <v>#VALUE!</v>
      </c>
      <c r="BL91" t="e">
        <f>AND(Bills!H295,"AAAAAH6rfz8=")</f>
        <v>#VALUE!</v>
      </c>
      <c r="BM91" t="e">
        <f>AND(Bills!I295,"AAAAAH6rf0A=")</f>
        <v>#VALUE!</v>
      </c>
      <c r="BN91" t="e">
        <f>AND(Bills!J295,"AAAAAH6rf0E=")</f>
        <v>#VALUE!</v>
      </c>
      <c r="BO91" t="e">
        <f>AND(Bills!K295,"AAAAAH6rf0I=")</f>
        <v>#VALUE!</v>
      </c>
      <c r="BP91" t="e">
        <f>AND(Bills!L295,"AAAAAH6rf0M=")</f>
        <v>#VALUE!</v>
      </c>
      <c r="BQ91" t="e">
        <f>AND(Bills!#REF!,"AAAAAH6rf0Q=")</f>
        <v>#REF!</v>
      </c>
      <c r="BR91" t="e">
        <f>AND(Bills!M295,"AAAAAH6rf0U=")</f>
        <v>#VALUE!</v>
      </c>
      <c r="BS91" t="e">
        <f>AND(Bills!N295,"AAAAAH6rf0Y=")</f>
        <v>#VALUE!</v>
      </c>
      <c r="BT91" t="e">
        <f>AND(Bills!O295,"AAAAAH6rf0c=")</f>
        <v>#VALUE!</v>
      </c>
      <c r="BU91" t="e">
        <f>AND(Bills!P295,"AAAAAH6rf0g=")</f>
        <v>#VALUE!</v>
      </c>
      <c r="BV91" t="e">
        <f>AND(Bills!Q295,"AAAAAH6rf0k=")</f>
        <v>#VALUE!</v>
      </c>
      <c r="BW91" t="e">
        <f>AND(Bills!R295,"AAAAAH6rf0o=")</f>
        <v>#VALUE!</v>
      </c>
      <c r="BX91" t="e">
        <f>AND(Bills!S295,"AAAAAH6rf0s=")</f>
        <v>#VALUE!</v>
      </c>
      <c r="BY91" t="e">
        <f>AND(Bills!T295,"AAAAAH6rf0w=")</f>
        <v>#VALUE!</v>
      </c>
      <c r="BZ91" t="e">
        <f>AND(Bills!#REF!,"AAAAAH6rf00=")</f>
        <v>#REF!</v>
      </c>
      <c r="CA91" t="e">
        <f>AND(Bills!U295,"AAAAAH6rf04=")</f>
        <v>#VALUE!</v>
      </c>
      <c r="CB91" t="e">
        <f>AND(Bills!V295,"AAAAAH6rf08=")</f>
        <v>#VALUE!</v>
      </c>
      <c r="CC91" t="e">
        <f>AND(Bills!W295,"AAAAAH6rf1A=")</f>
        <v>#VALUE!</v>
      </c>
      <c r="CD91" t="e">
        <f>AND(Bills!#REF!,"AAAAAH6rf1E=")</f>
        <v>#REF!</v>
      </c>
      <c r="CE91" t="e">
        <f>AND(Bills!#REF!,"AAAAAH6rf1I=")</f>
        <v>#REF!</v>
      </c>
      <c r="CF91" t="e">
        <f>AND(Bills!Y295,"AAAAAH6rf1M=")</f>
        <v>#VALUE!</v>
      </c>
      <c r="CG91" t="e">
        <f>AND(Bills!Z295,"AAAAAH6rf1Q=")</f>
        <v>#VALUE!</v>
      </c>
      <c r="CH91" t="e">
        <f>AND(Bills!#REF!,"AAAAAH6rf1U=")</f>
        <v>#REF!</v>
      </c>
      <c r="CI91" t="e">
        <f>AND(Bills!#REF!,"AAAAAH6rf1Y=")</f>
        <v>#REF!</v>
      </c>
      <c r="CJ91" t="e">
        <f>AND(Bills!#REF!,"AAAAAH6rf1c=")</f>
        <v>#REF!</v>
      </c>
      <c r="CK91" t="e">
        <f>AND(Bills!#REF!,"AAAAAH6rf1g=")</f>
        <v>#REF!</v>
      </c>
      <c r="CL91" t="e">
        <f>AND(Bills!#REF!,"AAAAAH6rf1k=")</f>
        <v>#REF!</v>
      </c>
      <c r="CM91" t="e">
        <f>AND(Bills!#REF!,"AAAAAH6rf1o=")</f>
        <v>#REF!</v>
      </c>
      <c r="CN91" t="e">
        <f>AND(Bills!#REF!,"AAAAAH6rf1s=")</f>
        <v>#REF!</v>
      </c>
      <c r="CO91" t="e">
        <f>AND(Bills!#REF!,"AAAAAH6rf1w=")</f>
        <v>#REF!</v>
      </c>
      <c r="CP91" t="e">
        <f>AND(Bills!#REF!,"AAAAAH6rf10=")</f>
        <v>#REF!</v>
      </c>
      <c r="CQ91" t="e">
        <f>AND(Bills!AA295,"AAAAAH6rf14=")</f>
        <v>#VALUE!</v>
      </c>
      <c r="CR91" t="e">
        <f>AND(Bills!AB295,"AAAAAH6rf18=")</f>
        <v>#VALUE!</v>
      </c>
      <c r="CS91" t="e">
        <f>AND(Bills!#REF!,"AAAAAH6rf2A=")</f>
        <v>#REF!</v>
      </c>
      <c r="CT91" t="e">
        <f>AND(Bills!#REF!,"AAAAAH6rf2E=")</f>
        <v>#REF!</v>
      </c>
      <c r="CU91" t="e">
        <f>AND(Bills!#REF!,"AAAAAH6rf2I=")</f>
        <v>#REF!</v>
      </c>
      <c r="CV91" t="e">
        <f>AND(Bills!AC295,"AAAAAH6rf2M=")</f>
        <v>#VALUE!</v>
      </c>
      <c r="CW91" t="e">
        <f>AND(Bills!AD295,"AAAAAH6rf2Q=")</f>
        <v>#VALUE!</v>
      </c>
      <c r="CX91" t="e">
        <f>AND(Bills!AE295,"AAAAAH6rf2U=")</f>
        <v>#VALUE!</v>
      </c>
      <c r="CY91">
        <f>IF(Bills!296:296,"AAAAAH6rf2Y=",0)</f>
        <v>0</v>
      </c>
      <c r="CZ91" t="e">
        <f>AND(Bills!B296,"AAAAAH6rf2c=")</f>
        <v>#VALUE!</v>
      </c>
      <c r="DA91" t="e">
        <f>AND(Bills!#REF!,"AAAAAH6rf2g=")</f>
        <v>#REF!</v>
      </c>
      <c r="DB91" t="e">
        <f>AND(Bills!C296,"AAAAAH6rf2k=")</f>
        <v>#VALUE!</v>
      </c>
      <c r="DC91" t="e">
        <f>AND(Bills!D296,"AAAAAH6rf2o=")</f>
        <v>#VALUE!</v>
      </c>
      <c r="DD91" t="e">
        <f>AND(Bills!E296,"AAAAAH6rf2s=")</f>
        <v>#VALUE!</v>
      </c>
      <c r="DE91" t="e">
        <f>AND(Bills!#REF!,"AAAAAH6rf2w=")</f>
        <v>#REF!</v>
      </c>
      <c r="DF91" t="e">
        <f>AND(Bills!#REF!,"AAAAAH6rf20=")</f>
        <v>#REF!</v>
      </c>
      <c r="DG91" t="e">
        <f>AND(Bills!#REF!,"AAAAAH6rf24=")</f>
        <v>#REF!</v>
      </c>
      <c r="DH91" t="e">
        <f>AND(Bills!F296,"AAAAAH6rf28=")</f>
        <v>#VALUE!</v>
      </c>
      <c r="DI91" t="e">
        <f>AND(Bills!#REF!,"AAAAAH6rf3A=")</f>
        <v>#REF!</v>
      </c>
      <c r="DJ91" t="e">
        <f>AND(Bills!G296,"AAAAAH6rf3E=")</f>
        <v>#VALUE!</v>
      </c>
      <c r="DK91" t="e">
        <f>AND(Bills!H296,"AAAAAH6rf3I=")</f>
        <v>#VALUE!</v>
      </c>
      <c r="DL91" t="e">
        <f>AND(Bills!I296,"AAAAAH6rf3M=")</f>
        <v>#VALUE!</v>
      </c>
      <c r="DM91" t="e">
        <f>AND(Bills!J296,"AAAAAH6rf3Q=")</f>
        <v>#VALUE!</v>
      </c>
      <c r="DN91" t="e">
        <f>AND(Bills!K296,"AAAAAH6rf3U=")</f>
        <v>#VALUE!</v>
      </c>
      <c r="DO91" t="e">
        <f>AND(Bills!L296,"AAAAAH6rf3Y=")</f>
        <v>#VALUE!</v>
      </c>
      <c r="DP91" t="e">
        <f>AND(Bills!#REF!,"AAAAAH6rf3c=")</f>
        <v>#REF!</v>
      </c>
      <c r="DQ91" t="e">
        <f>AND(Bills!M296,"AAAAAH6rf3g=")</f>
        <v>#VALUE!</v>
      </c>
      <c r="DR91" t="e">
        <f>AND(Bills!N296,"AAAAAH6rf3k=")</f>
        <v>#VALUE!</v>
      </c>
      <c r="DS91" t="e">
        <f>AND(Bills!O296,"AAAAAH6rf3o=")</f>
        <v>#VALUE!</v>
      </c>
      <c r="DT91" t="e">
        <f>AND(Bills!P296,"AAAAAH6rf3s=")</f>
        <v>#VALUE!</v>
      </c>
      <c r="DU91" t="e">
        <f>AND(Bills!Q296,"AAAAAH6rf3w=")</f>
        <v>#VALUE!</v>
      </c>
      <c r="DV91" t="e">
        <f>AND(Bills!R296,"AAAAAH6rf30=")</f>
        <v>#VALUE!</v>
      </c>
      <c r="DW91" t="e">
        <f>AND(Bills!S296,"AAAAAH6rf34=")</f>
        <v>#VALUE!</v>
      </c>
      <c r="DX91" t="e">
        <f>AND(Bills!T296,"AAAAAH6rf38=")</f>
        <v>#VALUE!</v>
      </c>
      <c r="DY91" t="e">
        <f>AND(Bills!#REF!,"AAAAAH6rf4A=")</f>
        <v>#REF!</v>
      </c>
      <c r="DZ91" t="e">
        <f>AND(Bills!U296,"AAAAAH6rf4E=")</f>
        <v>#VALUE!</v>
      </c>
      <c r="EA91" t="e">
        <f>AND(Bills!V296,"AAAAAH6rf4I=")</f>
        <v>#VALUE!</v>
      </c>
      <c r="EB91" t="e">
        <f>AND(Bills!W296,"AAAAAH6rf4M=")</f>
        <v>#VALUE!</v>
      </c>
      <c r="EC91" t="e">
        <f>AND(Bills!#REF!,"AAAAAH6rf4Q=")</f>
        <v>#REF!</v>
      </c>
      <c r="ED91" t="e">
        <f>AND(Bills!#REF!,"AAAAAH6rf4U=")</f>
        <v>#REF!</v>
      </c>
      <c r="EE91" t="e">
        <f>AND(Bills!Y296,"AAAAAH6rf4Y=")</f>
        <v>#VALUE!</v>
      </c>
      <c r="EF91" t="e">
        <f>AND(Bills!Z296,"AAAAAH6rf4c=")</f>
        <v>#VALUE!</v>
      </c>
      <c r="EG91" t="e">
        <f>AND(Bills!#REF!,"AAAAAH6rf4g=")</f>
        <v>#REF!</v>
      </c>
      <c r="EH91" t="e">
        <f>AND(Bills!#REF!,"AAAAAH6rf4k=")</f>
        <v>#REF!</v>
      </c>
      <c r="EI91" t="e">
        <f>AND(Bills!#REF!,"AAAAAH6rf4o=")</f>
        <v>#REF!</v>
      </c>
      <c r="EJ91" t="e">
        <f>AND(Bills!#REF!,"AAAAAH6rf4s=")</f>
        <v>#REF!</v>
      </c>
      <c r="EK91" t="e">
        <f>AND(Bills!#REF!,"AAAAAH6rf4w=")</f>
        <v>#REF!</v>
      </c>
      <c r="EL91" t="e">
        <f>AND(Bills!#REF!,"AAAAAH6rf40=")</f>
        <v>#REF!</v>
      </c>
      <c r="EM91" t="e">
        <f>AND(Bills!#REF!,"AAAAAH6rf44=")</f>
        <v>#REF!</v>
      </c>
      <c r="EN91" t="e">
        <f>AND(Bills!#REF!,"AAAAAH6rf48=")</f>
        <v>#REF!</v>
      </c>
      <c r="EO91" t="e">
        <f>AND(Bills!#REF!,"AAAAAH6rf5A=")</f>
        <v>#REF!</v>
      </c>
      <c r="EP91" t="e">
        <f>AND(Bills!AA296,"AAAAAH6rf5E=")</f>
        <v>#VALUE!</v>
      </c>
      <c r="EQ91" t="e">
        <f>AND(Bills!AB296,"AAAAAH6rf5I=")</f>
        <v>#VALUE!</v>
      </c>
      <c r="ER91" t="e">
        <f>AND(Bills!#REF!,"AAAAAH6rf5M=")</f>
        <v>#REF!</v>
      </c>
      <c r="ES91" t="e">
        <f>AND(Bills!#REF!,"AAAAAH6rf5Q=")</f>
        <v>#REF!</v>
      </c>
      <c r="ET91" t="e">
        <f>AND(Bills!#REF!,"AAAAAH6rf5U=")</f>
        <v>#REF!</v>
      </c>
      <c r="EU91" t="e">
        <f>AND(Bills!AC296,"AAAAAH6rf5Y=")</f>
        <v>#VALUE!</v>
      </c>
      <c r="EV91" t="e">
        <f>AND(Bills!AD296,"AAAAAH6rf5c=")</f>
        <v>#VALUE!</v>
      </c>
      <c r="EW91" t="e">
        <f>AND(Bills!AE296,"AAAAAH6rf5g=")</f>
        <v>#VALUE!</v>
      </c>
      <c r="EX91">
        <f>IF(Bills!297:297,"AAAAAH6rf5k=",0)</f>
        <v>0</v>
      </c>
      <c r="EY91" t="e">
        <f>AND(Bills!B297,"AAAAAH6rf5o=")</f>
        <v>#VALUE!</v>
      </c>
      <c r="EZ91" t="e">
        <f>AND(Bills!#REF!,"AAAAAH6rf5s=")</f>
        <v>#REF!</v>
      </c>
      <c r="FA91" t="e">
        <f>AND(Bills!C297,"AAAAAH6rf5w=")</f>
        <v>#VALUE!</v>
      </c>
      <c r="FB91" t="e">
        <f>AND(Bills!D297,"AAAAAH6rf50=")</f>
        <v>#VALUE!</v>
      </c>
      <c r="FC91" t="e">
        <f>AND(Bills!E297,"AAAAAH6rf54=")</f>
        <v>#VALUE!</v>
      </c>
      <c r="FD91" t="e">
        <f>AND(Bills!#REF!,"AAAAAH6rf58=")</f>
        <v>#REF!</v>
      </c>
      <c r="FE91" t="e">
        <f>AND(Bills!#REF!,"AAAAAH6rf6A=")</f>
        <v>#REF!</v>
      </c>
      <c r="FF91" t="e">
        <f>AND(Bills!#REF!,"AAAAAH6rf6E=")</f>
        <v>#REF!</v>
      </c>
      <c r="FG91" t="e">
        <f>AND(Bills!F297,"AAAAAH6rf6I=")</f>
        <v>#VALUE!</v>
      </c>
      <c r="FH91" t="e">
        <f>AND(Bills!#REF!,"AAAAAH6rf6M=")</f>
        <v>#REF!</v>
      </c>
      <c r="FI91" t="e">
        <f>AND(Bills!G297,"AAAAAH6rf6Q=")</f>
        <v>#VALUE!</v>
      </c>
      <c r="FJ91" t="e">
        <f>AND(Bills!H297,"AAAAAH6rf6U=")</f>
        <v>#VALUE!</v>
      </c>
      <c r="FK91" t="e">
        <f>AND(Bills!I297,"AAAAAH6rf6Y=")</f>
        <v>#VALUE!</v>
      </c>
      <c r="FL91" t="e">
        <f>AND(Bills!J297,"AAAAAH6rf6c=")</f>
        <v>#VALUE!</v>
      </c>
      <c r="FM91" t="e">
        <f>AND(Bills!K297,"AAAAAH6rf6g=")</f>
        <v>#VALUE!</v>
      </c>
      <c r="FN91" t="e">
        <f>AND(Bills!L297,"AAAAAH6rf6k=")</f>
        <v>#VALUE!</v>
      </c>
      <c r="FO91" t="e">
        <f>AND(Bills!#REF!,"AAAAAH6rf6o=")</f>
        <v>#REF!</v>
      </c>
      <c r="FP91" t="e">
        <f>AND(Bills!M297,"AAAAAH6rf6s=")</f>
        <v>#VALUE!</v>
      </c>
      <c r="FQ91" t="e">
        <f>AND(Bills!N297,"AAAAAH6rf6w=")</f>
        <v>#VALUE!</v>
      </c>
      <c r="FR91" t="e">
        <f>AND(Bills!O297,"AAAAAH6rf60=")</f>
        <v>#VALUE!</v>
      </c>
      <c r="FS91" t="e">
        <f>AND(Bills!P297,"AAAAAH6rf64=")</f>
        <v>#VALUE!</v>
      </c>
      <c r="FT91" t="e">
        <f>AND(Bills!Q297,"AAAAAH6rf68=")</f>
        <v>#VALUE!</v>
      </c>
      <c r="FU91" t="e">
        <f>AND(Bills!R297,"AAAAAH6rf7A=")</f>
        <v>#VALUE!</v>
      </c>
      <c r="FV91" t="e">
        <f>AND(Bills!S297,"AAAAAH6rf7E=")</f>
        <v>#VALUE!</v>
      </c>
      <c r="FW91" t="e">
        <f>AND(Bills!T297,"AAAAAH6rf7I=")</f>
        <v>#VALUE!</v>
      </c>
      <c r="FX91" t="e">
        <f>AND(Bills!#REF!,"AAAAAH6rf7M=")</f>
        <v>#REF!</v>
      </c>
      <c r="FY91" t="e">
        <f>AND(Bills!U297,"AAAAAH6rf7Q=")</f>
        <v>#VALUE!</v>
      </c>
      <c r="FZ91" t="e">
        <f>AND(Bills!V297,"AAAAAH6rf7U=")</f>
        <v>#VALUE!</v>
      </c>
      <c r="GA91" t="e">
        <f>AND(Bills!W297,"AAAAAH6rf7Y=")</f>
        <v>#VALUE!</v>
      </c>
      <c r="GB91" t="e">
        <f>AND(Bills!#REF!,"AAAAAH6rf7c=")</f>
        <v>#REF!</v>
      </c>
      <c r="GC91" t="e">
        <f>AND(Bills!#REF!,"AAAAAH6rf7g=")</f>
        <v>#REF!</v>
      </c>
      <c r="GD91" t="e">
        <f>AND(Bills!Y297,"AAAAAH6rf7k=")</f>
        <v>#VALUE!</v>
      </c>
      <c r="GE91" t="e">
        <f>AND(Bills!Z297,"AAAAAH6rf7o=")</f>
        <v>#VALUE!</v>
      </c>
      <c r="GF91" t="e">
        <f>AND(Bills!#REF!,"AAAAAH6rf7s=")</f>
        <v>#REF!</v>
      </c>
      <c r="GG91" t="e">
        <f>AND(Bills!#REF!,"AAAAAH6rf7w=")</f>
        <v>#REF!</v>
      </c>
      <c r="GH91" t="e">
        <f>AND(Bills!#REF!,"AAAAAH6rf70=")</f>
        <v>#REF!</v>
      </c>
      <c r="GI91" t="e">
        <f>AND(Bills!#REF!,"AAAAAH6rf74=")</f>
        <v>#REF!</v>
      </c>
      <c r="GJ91" t="e">
        <f>AND(Bills!#REF!,"AAAAAH6rf78=")</f>
        <v>#REF!</v>
      </c>
      <c r="GK91" t="e">
        <f>AND(Bills!#REF!,"AAAAAH6rf8A=")</f>
        <v>#REF!</v>
      </c>
      <c r="GL91" t="e">
        <f>AND(Bills!#REF!,"AAAAAH6rf8E=")</f>
        <v>#REF!</v>
      </c>
      <c r="GM91" t="e">
        <f>AND(Bills!#REF!,"AAAAAH6rf8I=")</f>
        <v>#REF!</v>
      </c>
      <c r="GN91" t="e">
        <f>AND(Bills!#REF!,"AAAAAH6rf8M=")</f>
        <v>#REF!</v>
      </c>
      <c r="GO91" t="e">
        <f>AND(Bills!AA297,"AAAAAH6rf8Q=")</f>
        <v>#VALUE!</v>
      </c>
      <c r="GP91" t="e">
        <f>AND(Bills!AB297,"AAAAAH6rf8U=")</f>
        <v>#VALUE!</v>
      </c>
      <c r="GQ91" t="e">
        <f>AND(Bills!#REF!,"AAAAAH6rf8Y=")</f>
        <v>#REF!</v>
      </c>
      <c r="GR91" t="e">
        <f>AND(Bills!#REF!,"AAAAAH6rf8c=")</f>
        <v>#REF!</v>
      </c>
      <c r="GS91" t="e">
        <f>AND(Bills!#REF!,"AAAAAH6rf8g=")</f>
        <v>#REF!</v>
      </c>
      <c r="GT91" t="e">
        <f>AND(Bills!AC297,"AAAAAH6rf8k=")</f>
        <v>#VALUE!</v>
      </c>
      <c r="GU91" t="e">
        <f>AND(Bills!AD297,"AAAAAH6rf8o=")</f>
        <v>#VALUE!</v>
      </c>
      <c r="GV91" t="e">
        <f>AND(Bills!AE297,"AAAAAH6rf8s=")</f>
        <v>#VALUE!</v>
      </c>
      <c r="GW91">
        <f>IF(Bills!298:298,"AAAAAH6rf8w=",0)</f>
        <v>0</v>
      </c>
      <c r="GX91" t="e">
        <f>AND(Bills!B298,"AAAAAH6rf80=")</f>
        <v>#VALUE!</v>
      </c>
      <c r="GY91" t="e">
        <f>AND(Bills!#REF!,"AAAAAH6rf84=")</f>
        <v>#REF!</v>
      </c>
      <c r="GZ91" t="e">
        <f>AND(Bills!C298,"AAAAAH6rf88=")</f>
        <v>#VALUE!</v>
      </c>
      <c r="HA91" t="e">
        <f>AND(Bills!D298,"AAAAAH6rf9A=")</f>
        <v>#VALUE!</v>
      </c>
      <c r="HB91" t="e">
        <f>AND(Bills!E298,"AAAAAH6rf9E=")</f>
        <v>#VALUE!</v>
      </c>
      <c r="HC91" t="e">
        <f>AND(Bills!#REF!,"AAAAAH6rf9I=")</f>
        <v>#REF!</v>
      </c>
      <c r="HD91" t="e">
        <f>AND(Bills!#REF!,"AAAAAH6rf9M=")</f>
        <v>#REF!</v>
      </c>
      <c r="HE91" t="e">
        <f>AND(Bills!#REF!,"AAAAAH6rf9Q=")</f>
        <v>#REF!</v>
      </c>
      <c r="HF91" t="e">
        <f>AND(Bills!F298,"AAAAAH6rf9U=")</f>
        <v>#VALUE!</v>
      </c>
      <c r="HG91" t="e">
        <f>AND(Bills!#REF!,"AAAAAH6rf9Y=")</f>
        <v>#REF!</v>
      </c>
      <c r="HH91" t="e">
        <f>AND(Bills!G298,"AAAAAH6rf9c=")</f>
        <v>#VALUE!</v>
      </c>
      <c r="HI91" t="e">
        <f>AND(Bills!H298,"AAAAAH6rf9g=")</f>
        <v>#VALUE!</v>
      </c>
      <c r="HJ91" t="e">
        <f>AND(Bills!I298,"AAAAAH6rf9k=")</f>
        <v>#VALUE!</v>
      </c>
      <c r="HK91" t="e">
        <f>AND(Bills!J298,"AAAAAH6rf9o=")</f>
        <v>#VALUE!</v>
      </c>
      <c r="HL91" t="e">
        <f>AND(Bills!K298,"AAAAAH6rf9s=")</f>
        <v>#VALUE!</v>
      </c>
      <c r="HM91" t="e">
        <f>AND(Bills!L298,"AAAAAH6rf9w=")</f>
        <v>#VALUE!</v>
      </c>
      <c r="HN91" t="e">
        <f>AND(Bills!#REF!,"AAAAAH6rf90=")</f>
        <v>#REF!</v>
      </c>
      <c r="HO91" t="e">
        <f>AND(Bills!M298,"AAAAAH6rf94=")</f>
        <v>#VALUE!</v>
      </c>
      <c r="HP91" t="e">
        <f>AND(Bills!N298,"AAAAAH6rf98=")</f>
        <v>#VALUE!</v>
      </c>
      <c r="HQ91" t="e">
        <f>AND(Bills!O298,"AAAAAH6rf+A=")</f>
        <v>#VALUE!</v>
      </c>
      <c r="HR91" t="e">
        <f>AND(Bills!P298,"AAAAAH6rf+E=")</f>
        <v>#VALUE!</v>
      </c>
      <c r="HS91" t="e">
        <f>AND(Bills!Q298,"AAAAAH6rf+I=")</f>
        <v>#VALUE!</v>
      </c>
      <c r="HT91" t="e">
        <f>AND(Bills!R298,"AAAAAH6rf+M=")</f>
        <v>#VALUE!</v>
      </c>
      <c r="HU91" t="e">
        <f>AND(Bills!S298,"AAAAAH6rf+Q=")</f>
        <v>#VALUE!</v>
      </c>
      <c r="HV91" t="e">
        <f>AND(Bills!T298,"AAAAAH6rf+U=")</f>
        <v>#VALUE!</v>
      </c>
      <c r="HW91" t="e">
        <f>AND(Bills!#REF!,"AAAAAH6rf+Y=")</f>
        <v>#REF!</v>
      </c>
      <c r="HX91" t="e">
        <f>AND(Bills!U298,"AAAAAH6rf+c=")</f>
        <v>#VALUE!</v>
      </c>
      <c r="HY91" t="e">
        <f>AND(Bills!V298,"AAAAAH6rf+g=")</f>
        <v>#VALUE!</v>
      </c>
      <c r="HZ91" t="e">
        <f>AND(Bills!W298,"AAAAAH6rf+k=")</f>
        <v>#VALUE!</v>
      </c>
      <c r="IA91" t="e">
        <f>AND(Bills!#REF!,"AAAAAH6rf+o=")</f>
        <v>#REF!</v>
      </c>
      <c r="IB91" t="e">
        <f>AND(Bills!#REF!,"AAAAAH6rf+s=")</f>
        <v>#REF!</v>
      </c>
      <c r="IC91" t="e">
        <f>AND(Bills!Y298,"AAAAAH6rf+w=")</f>
        <v>#VALUE!</v>
      </c>
      <c r="ID91" t="e">
        <f>AND(Bills!Z298,"AAAAAH6rf+0=")</f>
        <v>#VALUE!</v>
      </c>
      <c r="IE91" t="e">
        <f>AND(Bills!#REF!,"AAAAAH6rf+4=")</f>
        <v>#REF!</v>
      </c>
      <c r="IF91" t="e">
        <f>AND(Bills!#REF!,"AAAAAH6rf+8=")</f>
        <v>#REF!</v>
      </c>
      <c r="IG91" t="e">
        <f>AND(Bills!#REF!,"AAAAAH6rf/A=")</f>
        <v>#REF!</v>
      </c>
      <c r="IH91" t="e">
        <f>AND(Bills!#REF!,"AAAAAH6rf/E=")</f>
        <v>#REF!</v>
      </c>
      <c r="II91" t="e">
        <f>AND(Bills!#REF!,"AAAAAH6rf/I=")</f>
        <v>#REF!</v>
      </c>
      <c r="IJ91" t="e">
        <f>AND(Bills!#REF!,"AAAAAH6rf/M=")</f>
        <v>#REF!</v>
      </c>
      <c r="IK91" t="e">
        <f>AND(Bills!#REF!,"AAAAAH6rf/Q=")</f>
        <v>#REF!</v>
      </c>
      <c r="IL91" t="e">
        <f>AND(Bills!#REF!,"AAAAAH6rf/U=")</f>
        <v>#REF!</v>
      </c>
      <c r="IM91" t="e">
        <f>AND(Bills!#REF!,"AAAAAH6rf/Y=")</f>
        <v>#REF!</v>
      </c>
      <c r="IN91" t="e">
        <f>AND(Bills!AA298,"AAAAAH6rf/c=")</f>
        <v>#VALUE!</v>
      </c>
      <c r="IO91" t="e">
        <f>AND(Bills!AB298,"AAAAAH6rf/g=")</f>
        <v>#VALUE!</v>
      </c>
      <c r="IP91" t="e">
        <f>AND(Bills!#REF!,"AAAAAH6rf/k=")</f>
        <v>#REF!</v>
      </c>
      <c r="IQ91" t="e">
        <f>AND(Bills!#REF!,"AAAAAH6rf/o=")</f>
        <v>#REF!</v>
      </c>
      <c r="IR91" t="e">
        <f>AND(Bills!#REF!,"AAAAAH6rf/s=")</f>
        <v>#REF!</v>
      </c>
      <c r="IS91" t="e">
        <f>AND(Bills!AC298,"AAAAAH6rf/w=")</f>
        <v>#VALUE!</v>
      </c>
      <c r="IT91" t="e">
        <f>AND(Bills!AD298,"AAAAAH6rf/0=")</f>
        <v>#VALUE!</v>
      </c>
      <c r="IU91" t="e">
        <f>AND(Bills!AE298,"AAAAAH6rf/4=")</f>
        <v>#VALUE!</v>
      </c>
      <c r="IV91">
        <f>IF(Bills!299:299,"AAAAAH6rf/8=",0)</f>
        <v>0</v>
      </c>
    </row>
    <row r="92" spans="1:256" x14ac:dyDescent="0.25">
      <c r="A92" t="e">
        <f>AND(Bills!B299,"AAAAAD/v3wA=")</f>
        <v>#VALUE!</v>
      </c>
      <c r="B92" t="e">
        <f>AND(Bills!#REF!,"AAAAAD/v3wE=")</f>
        <v>#REF!</v>
      </c>
      <c r="C92" t="e">
        <f>AND(Bills!C299,"AAAAAD/v3wI=")</f>
        <v>#VALUE!</v>
      </c>
      <c r="D92" t="e">
        <f>AND(Bills!D299,"AAAAAD/v3wM=")</f>
        <v>#VALUE!</v>
      </c>
      <c r="E92" t="e">
        <f>AND(Bills!E299,"AAAAAD/v3wQ=")</f>
        <v>#VALUE!</v>
      </c>
      <c r="F92" t="e">
        <f>AND(Bills!#REF!,"AAAAAD/v3wU=")</f>
        <v>#REF!</v>
      </c>
      <c r="G92" t="e">
        <f>AND(Bills!#REF!,"AAAAAD/v3wY=")</f>
        <v>#REF!</v>
      </c>
      <c r="H92" t="e">
        <f>AND(Bills!#REF!,"AAAAAD/v3wc=")</f>
        <v>#REF!</v>
      </c>
      <c r="I92" t="e">
        <f>AND(Bills!F299,"AAAAAD/v3wg=")</f>
        <v>#VALUE!</v>
      </c>
      <c r="J92" t="e">
        <f>AND(Bills!#REF!,"AAAAAD/v3wk=")</f>
        <v>#REF!</v>
      </c>
      <c r="K92" t="e">
        <f>AND(Bills!G299,"AAAAAD/v3wo=")</f>
        <v>#VALUE!</v>
      </c>
      <c r="L92" t="e">
        <f>AND(Bills!H299,"AAAAAD/v3ws=")</f>
        <v>#VALUE!</v>
      </c>
      <c r="M92" t="e">
        <f>AND(Bills!I299,"AAAAAD/v3ww=")</f>
        <v>#VALUE!</v>
      </c>
      <c r="N92" t="e">
        <f>AND(Bills!J299,"AAAAAD/v3w0=")</f>
        <v>#VALUE!</v>
      </c>
      <c r="O92" t="e">
        <f>AND(Bills!K299,"AAAAAD/v3w4=")</f>
        <v>#VALUE!</v>
      </c>
      <c r="P92" t="e">
        <f>AND(Bills!L299,"AAAAAD/v3w8=")</f>
        <v>#VALUE!</v>
      </c>
      <c r="Q92" t="e">
        <f>AND(Bills!#REF!,"AAAAAD/v3xA=")</f>
        <v>#REF!</v>
      </c>
      <c r="R92" t="e">
        <f>AND(Bills!M299,"AAAAAD/v3xE=")</f>
        <v>#VALUE!</v>
      </c>
      <c r="S92" t="e">
        <f>AND(Bills!N299,"AAAAAD/v3xI=")</f>
        <v>#VALUE!</v>
      </c>
      <c r="T92" t="e">
        <f>AND(Bills!O299,"AAAAAD/v3xM=")</f>
        <v>#VALUE!</v>
      </c>
      <c r="U92" t="e">
        <f>AND(Bills!P299,"AAAAAD/v3xQ=")</f>
        <v>#VALUE!</v>
      </c>
      <c r="V92" t="e">
        <f>AND(Bills!Q299,"AAAAAD/v3xU=")</f>
        <v>#VALUE!</v>
      </c>
      <c r="W92" t="e">
        <f>AND(Bills!R299,"AAAAAD/v3xY=")</f>
        <v>#VALUE!</v>
      </c>
      <c r="X92" t="e">
        <f>AND(Bills!S299,"AAAAAD/v3xc=")</f>
        <v>#VALUE!</v>
      </c>
      <c r="Y92" t="e">
        <f>AND(Bills!T299,"AAAAAD/v3xg=")</f>
        <v>#VALUE!</v>
      </c>
      <c r="Z92" t="e">
        <f>AND(Bills!#REF!,"AAAAAD/v3xk=")</f>
        <v>#REF!</v>
      </c>
      <c r="AA92" t="e">
        <f>AND(Bills!U299,"AAAAAD/v3xo=")</f>
        <v>#VALUE!</v>
      </c>
      <c r="AB92" t="e">
        <f>AND(Bills!V299,"AAAAAD/v3xs=")</f>
        <v>#VALUE!</v>
      </c>
      <c r="AC92" t="e">
        <f>AND(Bills!W299,"AAAAAD/v3xw=")</f>
        <v>#VALUE!</v>
      </c>
      <c r="AD92" t="e">
        <f>AND(Bills!#REF!,"AAAAAD/v3x0=")</f>
        <v>#REF!</v>
      </c>
      <c r="AE92" t="e">
        <f>AND(Bills!#REF!,"AAAAAD/v3x4=")</f>
        <v>#REF!</v>
      </c>
      <c r="AF92" t="e">
        <f>AND(Bills!Y299,"AAAAAD/v3x8=")</f>
        <v>#VALUE!</v>
      </c>
      <c r="AG92" t="e">
        <f>AND(Bills!Z299,"AAAAAD/v3yA=")</f>
        <v>#VALUE!</v>
      </c>
      <c r="AH92" t="e">
        <f>AND(Bills!#REF!,"AAAAAD/v3yE=")</f>
        <v>#REF!</v>
      </c>
      <c r="AI92" t="e">
        <f>AND(Bills!#REF!,"AAAAAD/v3yI=")</f>
        <v>#REF!</v>
      </c>
      <c r="AJ92" t="e">
        <f>AND(Bills!#REF!,"AAAAAD/v3yM=")</f>
        <v>#REF!</v>
      </c>
      <c r="AK92" t="e">
        <f>AND(Bills!#REF!,"AAAAAD/v3yQ=")</f>
        <v>#REF!</v>
      </c>
      <c r="AL92" t="e">
        <f>AND(Bills!#REF!,"AAAAAD/v3yU=")</f>
        <v>#REF!</v>
      </c>
      <c r="AM92" t="e">
        <f>AND(Bills!#REF!,"AAAAAD/v3yY=")</f>
        <v>#REF!</v>
      </c>
      <c r="AN92" t="e">
        <f>AND(Bills!#REF!,"AAAAAD/v3yc=")</f>
        <v>#REF!</v>
      </c>
      <c r="AO92" t="e">
        <f>AND(Bills!#REF!,"AAAAAD/v3yg=")</f>
        <v>#REF!</v>
      </c>
      <c r="AP92" t="e">
        <f>AND(Bills!#REF!,"AAAAAD/v3yk=")</f>
        <v>#REF!</v>
      </c>
      <c r="AQ92" t="e">
        <f>AND(Bills!AA299,"AAAAAD/v3yo=")</f>
        <v>#VALUE!</v>
      </c>
      <c r="AR92" t="e">
        <f>AND(Bills!AB299,"AAAAAD/v3ys=")</f>
        <v>#VALUE!</v>
      </c>
      <c r="AS92" t="e">
        <f>AND(Bills!#REF!,"AAAAAD/v3yw=")</f>
        <v>#REF!</v>
      </c>
      <c r="AT92" t="e">
        <f>AND(Bills!#REF!,"AAAAAD/v3y0=")</f>
        <v>#REF!</v>
      </c>
      <c r="AU92" t="e">
        <f>AND(Bills!#REF!,"AAAAAD/v3y4=")</f>
        <v>#REF!</v>
      </c>
      <c r="AV92" t="e">
        <f>AND(Bills!AC299,"AAAAAD/v3y8=")</f>
        <v>#VALUE!</v>
      </c>
      <c r="AW92" t="e">
        <f>AND(Bills!AD299,"AAAAAD/v3zA=")</f>
        <v>#VALUE!</v>
      </c>
      <c r="AX92" t="e">
        <f>AND(Bills!AE299,"AAAAAD/v3zE=")</f>
        <v>#VALUE!</v>
      </c>
      <c r="AY92">
        <f>IF(Bills!300:300,"AAAAAD/v3zI=",0)</f>
        <v>0</v>
      </c>
      <c r="AZ92" t="e">
        <f>AND(Bills!B300,"AAAAAD/v3zM=")</f>
        <v>#VALUE!</v>
      </c>
      <c r="BA92" t="e">
        <f>AND(Bills!#REF!,"AAAAAD/v3zQ=")</f>
        <v>#REF!</v>
      </c>
      <c r="BB92" t="e">
        <f>AND(Bills!C300,"AAAAAD/v3zU=")</f>
        <v>#VALUE!</v>
      </c>
      <c r="BC92" t="e">
        <f>AND(Bills!D300,"AAAAAD/v3zY=")</f>
        <v>#VALUE!</v>
      </c>
      <c r="BD92" t="e">
        <f>AND(Bills!E300,"AAAAAD/v3zc=")</f>
        <v>#VALUE!</v>
      </c>
      <c r="BE92" t="e">
        <f>AND(Bills!#REF!,"AAAAAD/v3zg=")</f>
        <v>#REF!</v>
      </c>
      <c r="BF92" t="e">
        <f>AND(Bills!#REF!,"AAAAAD/v3zk=")</f>
        <v>#REF!</v>
      </c>
      <c r="BG92" t="e">
        <f>AND(Bills!#REF!,"AAAAAD/v3zo=")</f>
        <v>#REF!</v>
      </c>
      <c r="BH92" t="e">
        <f>AND(Bills!F300,"AAAAAD/v3zs=")</f>
        <v>#VALUE!</v>
      </c>
      <c r="BI92" t="e">
        <f>AND(Bills!#REF!,"AAAAAD/v3zw=")</f>
        <v>#REF!</v>
      </c>
      <c r="BJ92" t="e">
        <f>AND(Bills!G300,"AAAAAD/v3z0=")</f>
        <v>#VALUE!</v>
      </c>
      <c r="BK92" t="e">
        <f>AND(Bills!H300,"AAAAAD/v3z4=")</f>
        <v>#VALUE!</v>
      </c>
      <c r="BL92" t="e">
        <f>AND(Bills!I300,"AAAAAD/v3z8=")</f>
        <v>#VALUE!</v>
      </c>
      <c r="BM92" t="e">
        <f>AND(Bills!J300,"AAAAAD/v30A=")</f>
        <v>#VALUE!</v>
      </c>
      <c r="BN92" t="e">
        <f>AND(Bills!K300,"AAAAAD/v30E=")</f>
        <v>#VALUE!</v>
      </c>
      <c r="BO92" t="e">
        <f>AND(Bills!L300,"AAAAAD/v30I=")</f>
        <v>#VALUE!</v>
      </c>
      <c r="BP92" t="e">
        <f>AND(Bills!#REF!,"AAAAAD/v30M=")</f>
        <v>#REF!</v>
      </c>
      <c r="BQ92" t="e">
        <f>AND(Bills!M300,"AAAAAD/v30Q=")</f>
        <v>#VALUE!</v>
      </c>
      <c r="BR92" t="e">
        <f>AND(Bills!N300,"AAAAAD/v30U=")</f>
        <v>#VALUE!</v>
      </c>
      <c r="BS92" t="e">
        <f>AND(Bills!O300,"AAAAAD/v30Y=")</f>
        <v>#VALUE!</v>
      </c>
      <c r="BT92" t="e">
        <f>AND(Bills!P300,"AAAAAD/v30c=")</f>
        <v>#VALUE!</v>
      </c>
      <c r="BU92" t="e">
        <f>AND(Bills!Q300,"AAAAAD/v30g=")</f>
        <v>#VALUE!</v>
      </c>
      <c r="BV92" t="e">
        <f>AND(Bills!R300,"AAAAAD/v30k=")</f>
        <v>#VALUE!</v>
      </c>
      <c r="BW92" t="e">
        <f>AND(Bills!S300,"AAAAAD/v30o=")</f>
        <v>#VALUE!</v>
      </c>
      <c r="BX92" t="e">
        <f>AND(Bills!T300,"AAAAAD/v30s=")</f>
        <v>#VALUE!</v>
      </c>
      <c r="BY92" t="e">
        <f>AND(Bills!#REF!,"AAAAAD/v30w=")</f>
        <v>#REF!</v>
      </c>
      <c r="BZ92" t="e">
        <f>AND(Bills!U300,"AAAAAD/v300=")</f>
        <v>#VALUE!</v>
      </c>
      <c r="CA92" t="e">
        <f>AND(Bills!V300,"AAAAAD/v304=")</f>
        <v>#VALUE!</v>
      </c>
      <c r="CB92" t="e">
        <f>AND(Bills!W300,"AAAAAD/v308=")</f>
        <v>#VALUE!</v>
      </c>
      <c r="CC92" t="e">
        <f>AND(Bills!#REF!,"AAAAAD/v31A=")</f>
        <v>#REF!</v>
      </c>
      <c r="CD92" t="e">
        <f>AND(Bills!#REF!,"AAAAAD/v31E=")</f>
        <v>#REF!</v>
      </c>
      <c r="CE92" t="e">
        <f>AND(Bills!Y300,"AAAAAD/v31I=")</f>
        <v>#VALUE!</v>
      </c>
      <c r="CF92" t="e">
        <f>AND(Bills!Z300,"AAAAAD/v31M=")</f>
        <v>#VALUE!</v>
      </c>
      <c r="CG92" t="e">
        <f>AND(Bills!#REF!,"AAAAAD/v31Q=")</f>
        <v>#REF!</v>
      </c>
      <c r="CH92" t="e">
        <f>AND(Bills!#REF!,"AAAAAD/v31U=")</f>
        <v>#REF!</v>
      </c>
      <c r="CI92" t="e">
        <f>AND(Bills!#REF!,"AAAAAD/v31Y=")</f>
        <v>#REF!</v>
      </c>
      <c r="CJ92" t="e">
        <f>AND(Bills!#REF!,"AAAAAD/v31c=")</f>
        <v>#REF!</v>
      </c>
      <c r="CK92" t="e">
        <f>AND(Bills!#REF!,"AAAAAD/v31g=")</f>
        <v>#REF!</v>
      </c>
      <c r="CL92" t="e">
        <f>AND(Bills!#REF!,"AAAAAD/v31k=")</f>
        <v>#REF!</v>
      </c>
      <c r="CM92" t="e">
        <f>AND(Bills!#REF!,"AAAAAD/v31o=")</f>
        <v>#REF!</v>
      </c>
      <c r="CN92" t="e">
        <f>AND(Bills!#REF!,"AAAAAD/v31s=")</f>
        <v>#REF!</v>
      </c>
      <c r="CO92" t="e">
        <f>AND(Bills!#REF!,"AAAAAD/v31w=")</f>
        <v>#REF!</v>
      </c>
      <c r="CP92" t="e">
        <f>AND(Bills!AA300,"AAAAAD/v310=")</f>
        <v>#VALUE!</v>
      </c>
      <c r="CQ92" t="e">
        <f>AND(Bills!AB300,"AAAAAD/v314=")</f>
        <v>#VALUE!</v>
      </c>
      <c r="CR92" t="e">
        <f>AND(Bills!#REF!,"AAAAAD/v318=")</f>
        <v>#REF!</v>
      </c>
      <c r="CS92" t="e">
        <f>AND(Bills!#REF!,"AAAAAD/v32A=")</f>
        <v>#REF!</v>
      </c>
      <c r="CT92" t="e">
        <f>AND(Bills!#REF!,"AAAAAD/v32E=")</f>
        <v>#REF!</v>
      </c>
      <c r="CU92" t="e">
        <f>AND(Bills!AC300,"AAAAAD/v32I=")</f>
        <v>#VALUE!</v>
      </c>
      <c r="CV92" t="e">
        <f>AND(Bills!AD300,"AAAAAD/v32M=")</f>
        <v>#VALUE!</v>
      </c>
      <c r="CW92" t="e">
        <f>AND(Bills!AE300,"AAAAAD/v32Q=")</f>
        <v>#VALUE!</v>
      </c>
      <c r="CX92">
        <f>IF(Bills!301:301,"AAAAAD/v32U=",0)</f>
        <v>0</v>
      </c>
      <c r="CY92" t="e">
        <f>AND(Bills!B301,"AAAAAD/v32Y=")</f>
        <v>#VALUE!</v>
      </c>
      <c r="CZ92" t="e">
        <f>AND(Bills!#REF!,"AAAAAD/v32c=")</f>
        <v>#REF!</v>
      </c>
      <c r="DA92" t="e">
        <f>AND(Bills!C301,"AAAAAD/v32g=")</f>
        <v>#VALUE!</v>
      </c>
      <c r="DB92" t="e">
        <f>AND(Bills!D301,"AAAAAD/v32k=")</f>
        <v>#VALUE!</v>
      </c>
      <c r="DC92" t="e">
        <f>AND(Bills!E301,"AAAAAD/v32o=")</f>
        <v>#VALUE!</v>
      </c>
      <c r="DD92" t="e">
        <f>AND(Bills!#REF!,"AAAAAD/v32s=")</f>
        <v>#REF!</v>
      </c>
      <c r="DE92" t="e">
        <f>AND(Bills!#REF!,"AAAAAD/v32w=")</f>
        <v>#REF!</v>
      </c>
      <c r="DF92" t="e">
        <f>AND(Bills!#REF!,"AAAAAD/v320=")</f>
        <v>#REF!</v>
      </c>
      <c r="DG92" t="e">
        <f>AND(Bills!F301,"AAAAAD/v324=")</f>
        <v>#VALUE!</v>
      </c>
      <c r="DH92" t="e">
        <f>AND(Bills!#REF!,"AAAAAD/v328=")</f>
        <v>#REF!</v>
      </c>
      <c r="DI92" t="e">
        <f>AND(Bills!G301,"AAAAAD/v33A=")</f>
        <v>#VALUE!</v>
      </c>
      <c r="DJ92" t="e">
        <f>AND(Bills!H301,"AAAAAD/v33E=")</f>
        <v>#VALUE!</v>
      </c>
      <c r="DK92" t="e">
        <f>AND(Bills!I301,"AAAAAD/v33I=")</f>
        <v>#VALUE!</v>
      </c>
      <c r="DL92" t="e">
        <f>AND(Bills!J301,"AAAAAD/v33M=")</f>
        <v>#VALUE!</v>
      </c>
      <c r="DM92" t="e">
        <f>AND(Bills!K301,"AAAAAD/v33Q=")</f>
        <v>#VALUE!</v>
      </c>
      <c r="DN92" t="e">
        <f>AND(Bills!L301,"AAAAAD/v33U=")</f>
        <v>#VALUE!</v>
      </c>
      <c r="DO92" t="e">
        <f>AND(Bills!#REF!,"AAAAAD/v33Y=")</f>
        <v>#REF!</v>
      </c>
      <c r="DP92" t="e">
        <f>AND(Bills!M301,"AAAAAD/v33c=")</f>
        <v>#VALUE!</v>
      </c>
      <c r="DQ92" t="e">
        <f>AND(Bills!N301,"AAAAAD/v33g=")</f>
        <v>#VALUE!</v>
      </c>
      <c r="DR92" t="e">
        <f>AND(Bills!O301,"AAAAAD/v33k=")</f>
        <v>#VALUE!</v>
      </c>
      <c r="DS92" t="e">
        <f>AND(Bills!P301,"AAAAAD/v33o=")</f>
        <v>#VALUE!</v>
      </c>
      <c r="DT92" t="e">
        <f>AND(Bills!Q301,"AAAAAD/v33s=")</f>
        <v>#VALUE!</v>
      </c>
      <c r="DU92" t="e">
        <f>AND(Bills!R301,"AAAAAD/v33w=")</f>
        <v>#VALUE!</v>
      </c>
      <c r="DV92" t="e">
        <f>AND(Bills!S301,"AAAAAD/v330=")</f>
        <v>#VALUE!</v>
      </c>
      <c r="DW92" t="e">
        <f>AND(Bills!T301,"AAAAAD/v334=")</f>
        <v>#VALUE!</v>
      </c>
      <c r="DX92" t="e">
        <f>AND(Bills!#REF!,"AAAAAD/v338=")</f>
        <v>#REF!</v>
      </c>
      <c r="DY92" t="e">
        <f>AND(Bills!U301,"AAAAAD/v34A=")</f>
        <v>#VALUE!</v>
      </c>
      <c r="DZ92" t="e">
        <f>AND(Bills!V301,"AAAAAD/v34E=")</f>
        <v>#VALUE!</v>
      </c>
      <c r="EA92" t="e">
        <f>AND(Bills!W301,"AAAAAD/v34I=")</f>
        <v>#VALUE!</v>
      </c>
      <c r="EB92" t="e">
        <f>AND(Bills!#REF!,"AAAAAD/v34M=")</f>
        <v>#REF!</v>
      </c>
      <c r="EC92" t="e">
        <f>AND(Bills!#REF!,"AAAAAD/v34Q=")</f>
        <v>#REF!</v>
      </c>
      <c r="ED92" t="e">
        <f>AND(Bills!Y301,"AAAAAD/v34U=")</f>
        <v>#VALUE!</v>
      </c>
      <c r="EE92" t="e">
        <f>AND(Bills!Z301,"AAAAAD/v34Y=")</f>
        <v>#VALUE!</v>
      </c>
      <c r="EF92" t="e">
        <f>AND(Bills!#REF!,"AAAAAD/v34c=")</f>
        <v>#REF!</v>
      </c>
      <c r="EG92" t="e">
        <f>AND(Bills!#REF!,"AAAAAD/v34g=")</f>
        <v>#REF!</v>
      </c>
      <c r="EH92" t="e">
        <f>AND(Bills!#REF!,"AAAAAD/v34k=")</f>
        <v>#REF!</v>
      </c>
      <c r="EI92" t="e">
        <f>AND(Bills!#REF!,"AAAAAD/v34o=")</f>
        <v>#REF!</v>
      </c>
      <c r="EJ92" t="e">
        <f>AND(Bills!#REF!,"AAAAAD/v34s=")</f>
        <v>#REF!</v>
      </c>
      <c r="EK92" t="e">
        <f>AND(Bills!#REF!,"AAAAAD/v34w=")</f>
        <v>#REF!</v>
      </c>
      <c r="EL92" t="e">
        <f>AND(Bills!#REF!,"AAAAAD/v340=")</f>
        <v>#REF!</v>
      </c>
      <c r="EM92" t="e">
        <f>AND(Bills!#REF!,"AAAAAD/v344=")</f>
        <v>#REF!</v>
      </c>
      <c r="EN92" t="e">
        <f>AND(Bills!#REF!,"AAAAAD/v348=")</f>
        <v>#REF!</v>
      </c>
      <c r="EO92" t="e">
        <f>AND(Bills!AA301,"AAAAAD/v35A=")</f>
        <v>#VALUE!</v>
      </c>
      <c r="EP92" t="e">
        <f>AND(Bills!AB301,"AAAAAD/v35E=")</f>
        <v>#VALUE!</v>
      </c>
      <c r="EQ92" t="e">
        <f>AND(Bills!#REF!,"AAAAAD/v35I=")</f>
        <v>#REF!</v>
      </c>
      <c r="ER92" t="e">
        <f>AND(Bills!#REF!,"AAAAAD/v35M=")</f>
        <v>#REF!</v>
      </c>
      <c r="ES92" t="e">
        <f>AND(Bills!#REF!,"AAAAAD/v35Q=")</f>
        <v>#REF!</v>
      </c>
      <c r="ET92" t="e">
        <f>AND(Bills!AC301,"AAAAAD/v35U=")</f>
        <v>#VALUE!</v>
      </c>
      <c r="EU92" t="e">
        <f>AND(Bills!AD301,"AAAAAD/v35Y=")</f>
        <v>#VALUE!</v>
      </c>
      <c r="EV92" t="e">
        <f>AND(Bills!AE301,"AAAAAD/v35c=")</f>
        <v>#VALUE!</v>
      </c>
      <c r="EW92">
        <f>IF(Bills!302:302,"AAAAAD/v35g=",0)</f>
        <v>0</v>
      </c>
      <c r="EX92" t="e">
        <f>AND(Bills!B302,"AAAAAD/v35k=")</f>
        <v>#VALUE!</v>
      </c>
      <c r="EY92" t="e">
        <f>AND(Bills!#REF!,"AAAAAD/v35o=")</f>
        <v>#REF!</v>
      </c>
      <c r="EZ92" t="e">
        <f>AND(Bills!C302,"AAAAAD/v35s=")</f>
        <v>#VALUE!</v>
      </c>
      <c r="FA92" t="e">
        <f>AND(Bills!D302,"AAAAAD/v35w=")</f>
        <v>#VALUE!</v>
      </c>
      <c r="FB92" t="e">
        <f>AND(Bills!E302,"AAAAAD/v350=")</f>
        <v>#VALUE!</v>
      </c>
      <c r="FC92" t="e">
        <f>AND(Bills!#REF!,"AAAAAD/v354=")</f>
        <v>#REF!</v>
      </c>
      <c r="FD92" t="e">
        <f>AND(Bills!#REF!,"AAAAAD/v358=")</f>
        <v>#REF!</v>
      </c>
      <c r="FE92" t="e">
        <f>AND(Bills!#REF!,"AAAAAD/v36A=")</f>
        <v>#REF!</v>
      </c>
      <c r="FF92" t="e">
        <f>AND(Bills!F302,"AAAAAD/v36E=")</f>
        <v>#VALUE!</v>
      </c>
      <c r="FG92" t="e">
        <f>AND(Bills!#REF!,"AAAAAD/v36I=")</f>
        <v>#REF!</v>
      </c>
      <c r="FH92" t="e">
        <f>AND(Bills!G302,"AAAAAD/v36M=")</f>
        <v>#VALUE!</v>
      </c>
      <c r="FI92" t="e">
        <f>AND(Bills!H302,"AAAAAD/v36Q=")</f>
        <v>#VALUE!</v>
      </c>
      <c r="FJ92" t="e">
        <f>AND(Bills!I302,"AAAAAD/v36U=")</f>
        <v>#VALUE!</v>
      </c>
      <c r="FK92" t="e">
        <f>AND(Bills!J302,"AAAAAD/v36Y=")</f>
        <v>#VALUE!</v>
      </c>
      <c r="FL92" t="e">
        <f>AND(Bills!K302,"AAAAAD/v36c=")</f>
        <v>#VALUE!</v>
      </c>
      <c r="FM92" t="e">
        <f>AND(Bills!L302,"AAAAAD/v36g=")</f>
        <v>#VALUE!</v>
      </c>
      <c r="FN92" t="e">
        <f>AND(Bills!#REF!,"AAAAAD/v36k=")</f>
        <v>#REF!</v>
      </c>
      <c r="FO92" t="e">
        <f>AND(Bills!M302,"AAAAAD/v36o=")</f>
        <v>#VALUE!</v>
      </c>
      <c r="FP92" t="e">
        <f>AND(Bills!N302,"AAAAAD/v36s=")</f>
        <v>#VALUE!</v>
      </c>
      <c r="FQ92" t="e">
        <f>AND(Bills!O302,"AAAAAD/v36w=")</f>
        <v>#VALUE!</v>
      </c>
      <c r="FR92" t="e">
        <f>AND(Bills!P302,"AAAAAD/v360=")</f>
        <v>#VALUE!</v>
      </c>
      <c r="FS92" t="e">
        <f>AND(Bills!Q302,"AAAAAD/v364=")</f>
        <v>#VALUE!</v>
      </c>
      <c r="FT92" t="e">
        <f>AND(Bills!R302,"AAAAAD/v368=")</f>
        <v>#VALUE!</v>
      </c>
      <c r="FU92" t="e">
        <f>AND(Bills!S302,"AAAAAD/v37A=")</f>
        <v>#VALUE!</v>
      </c>
      <c r="FV92" t="e">
        <f>AND(Bills!T302,"AAAAAD/v37E=")</f>
        <v>#VALUE!</v>
      </c>
      <c r="FW92" t="e">
        <f>AND(Bills!#REF!,"AAAAAD/v37I=")</f>
        <v>#REF!</v>
      </c>
      <c r="FX92" t="e">
        <f>AND(Bills!U302,"AAAAAD/v37M=")</f>
        <v>#VALUE!</v>
      </c>
      <c r="FY92" t="e">
        <f>AND(Bills!V302,"AAAAAD/v37Q=")</f>
        <v>#VALUE!</v>
      </c>
      <c r="FZ92" t="e">
        <f>AND(Bills!W302,"AAAAAD/v37U=")</f>
        <v>#VALUE!</v>
      </c>
      <c r="GA92" t="e">
        <f>AND(Bills!#REF!,"AAAAAD/v37Y=")</f>
        <v>#REF!</v>
      </c>
      <c r="GB92" t="e">
        <f>AND(Bills!#REF!,"AAAAAD/v37c=")</f>
        <v>#REF!</v>
      </c>
      <c r="GC92" t="e">
        <f>AND(Bills!Y302,"AAAAAD/v37g=")</f>
        <v>#VALUE!</v>
      </c>
      <c r="GD92" t="e">
        <f>AND(Bills!Z302,"AAAAAD/v37k=")</f>
        <v>#VALUE!</v>
      </c>
      <c r="GE92" t="e">
        <f>AND(Bills!#REF!,"AAAAAD/v37o=")</f>
        <v>#REF!</v>
      </c>
      <c r="GF92" t="e">
        <f>AND(Bills!#REF!,"AAAAAD/v37s=")</f>
        <v>#REF!</v>
      </c>
      <c r="GG92" t="e">
        <f>AND(Bills!#REF!,"AAAAAD/v37w=")</f>
        <v>#REF!</v>
      </c>
      <c r="GH92" t="e">
        <f>AND(Bills!#REF!,"AAAAAD/v370=")</f>
        <v>#REF!</v>
      </c>
      <c r="GI92" t="e">
        <f>AND(Bills!#REF!,"AAAAAD/v374=")</f>
        <v>#REF!</v>
      </c>
      <c r="GJ92" t="e">
        <f>AND(Bills!#REF!,"AAAAAD/v378=")</f>
        <v>#REF!</v>
      </c>
      <c r="GK92" t="e">
        <f>AND(Bills!#REF!,"AAAAAD/v38A=")</f>
        <v>#REF!</v>
      </c>
      <c r="GL92" t="e">
        <f>AND(Bills!#REF!,"AAAAAD/v38E=")</f>
        <v>#REF!</v>
      </c>
      <c r="GM92" t="e">
        <f>AND(Bills!#REF!,"AAAAAD/v38I=")</f>
        <v>#REF!</v>
      </c>
      <c r="GN92" t="e">
        <f>AND(Bills!AA302,"AAAAAD/v38M=")</f>
        <v>#VALUE!</v>
      </c>
      <c r="GO92" t="e">
        <f>AND(Bills!AB302,"AAAAAD/v38Q=")</f>
        <v>#VALUE!</v>
      </c>
      <c r="GP92" t="e">
        <f>AND(Bills!#REF!,"AAAAAD/v38U=")</f>
        <v>#REF!</v>
      </c>
      <c r="GQ92" t="e">
        <f>AND(Bills!#REF!,"AAAAAD/v38Y=")</f>
        <v>#REF!</v>
      </c>
      <c r="GR92" t="e">
        <f>AND(Bills!#REF!,"AAAAAD/v38c=")</f>
        <v>#REF!</v>
      </c>
      <c r="GS92" t="e">
        <f>AND(Bills!AC302,"AAAAAD/v38g=")</f>
        <v>#VALUE!</v>
      </c>
      <c r="GT92" t="e">
        <f>AND(Bills!AD302,"AAAAAD/v38k=")</f>
        <v>#VALUE!</v>
      </c>
      <c r="GU92" t="e">
        <f>AND(Bills!AE302,"AAAAAD/v38o=")</f>
        <v>#VALUE!</v>
      </c>
      <c r="GV92">
        <f>IF(Bills!303:303,"AAAAAD/v38s=",0)</f>
        <v>0</v>
      </c>
      <c r="GW92" t="e">
        <f>AND(Bills!B303,"AAAAAD/v38w=")</f>
        <v>#VALUE!</v>
      </c>
      <c r="GX92" t="e">
        <f>AND(Bills!#REF!,"AAAAAD/v380=")</f>
        <v>#REF!</v>
      </c>
      <c r="GY92" t="e">
        <f>AND(Bills!C303,"AAAAAD/v384=")</f>
        <v>#VALUE!</v>
      </c>
      <c r="GZ92" t="e">
        <f>AND(Bills!D303,"AAAAAD/v388=")</f>
        <v>#VALUE!</v>
      </c>
      <c r="HA92" t="e">
        <f>AND(Bills!E303,"AAAAAD/v39A=")</f>
        <v>#VALUE!</v>
      </c>
      <c r="HB92" t="e">
        <f>AND(Bills!#REF!,"AAAAAD/v39E=")</f>
        <v>#REF!</v>
      </c>
      <c r="HC92" t="e">
        <f>AND(Bills!#REF!,"AAAAAD/v39I=")</f>
        <v>#REF!</v>
      </c>
      <c r="HD92" t="e">
        <f>AND(Bills!#REF!,"AAAAAD/v39M=")</f>
        <v>#REF!</v>
      </c>
      <c r="HE92" t="e">
        <f>AND(Bills!F303,"AAAAAD/v39Q=")</f>
        <v>#VALUE!</v>
      </c>
      <c r="HF92" t="e">
        <f>AND(Bills!#REF!,"AAAAAD/v39U=")</f>
        <v>#REF!</v>
      </c>
      <c r="HG92" t="e">
        <f>AND(Bills!G303,"AAAAAD/v39Y=")</f>
        <v>#VALUE!</v>
      </c>
      <c r="HH92" t="e">
        <f>AND(Bills!H303,"AAAAAD/v39c=")</f>
        <v>#VALUE!</v>
      </c>
      <c r="HI92" t="e">
        <f>AND(Bills!I303,"AAAAAD/v39g=")</f>
        <v>#VALUE!</v>
      </c>
      <c r="HJ92" t="e">
        <f>AND(Bills!J303,"AAAAAD/v39k=")</f>
        <v>#VALUE!</v>
      </c>
      <c r="HK92" t="e">
        <f>AND(Bills!K303,"AAAAAD/v39o=")</f>
        <v>#VALUE!</v>
      </c>
      <c r="HL92" t="e">
        <f>AND(Bills!L303,"AAAAAD/v39s=")</f>
        <v>#VALUE!</v>
      </c>
      <c r="HM92" t="e">
        <f>AND(Bills!#REF!,"AAAAAD/v39w=")</f>
        <v>#REF!</v>
      </c>
      <c r="HN92" t="e">
        <f>AND(Bills!M303,"AAAAAD/v390=")</f>
        <v>#VALUE!</v>
      </c>
      <c r="HO92" t="e">
        <f>AND(Bills!N303,"AAAAAD/v394=")</f>
        <v>#VALUE!</v>
      </c>
      <c r="HP92" t="e">
        <f>AND(Bills!O303,"AAAAAD/v398=")</f>
        <v>#VALUE!</v>
      </c>
      <c r="HQ92" t="e">
        <f>AND(Bills!P303,"AAAAAD/v3+A=")</f>
        <v>#VALUE!</v>
      </c>
      <c r="HR92" t="e">
        <f>AND(Bills!Q303,"AAAAAD/v3+E=")</f>
        <v>#VALUE!</v>
      </c>
      <c r="HS92" t="e">
        <f>AND(Bills!R303,"AAAAAD/v3+I=")</f>
        <v>#VALUE!</v>
      </c>
      <c r="HT92" t="e">
        <f>AND(Bills!S303,"AAAAAD/v3+M=")</f>
        <v>#VALUE!</v>
      </c>
      <c r="HU92" t="e">
        <f>AND(Bills!T303,"AAAAAD/v3+Q=")</f>
        <v>#VALUE!</v>
      </c>
      <c r="HV92" t="e">
        <f>AND(Bills!#REF!,"AAAAAD/v3+U=")</f>
        <v>#REF!</v>
      </c>
      <c r="HW92" t="e">
        <f>AND(Bills!U303,"AAAAAD/v3+Y=")</f>
        <v>#VALUE!</v>
      </c>
      <c r="HX92" t="e">
        <f>AND(Bills!V303,"AAAAAD/v3+c=")</f>
        <v>#VALUE!</v>
      </c>
      <c r="HY92" t="e">
        <f>AND(Bills!W303,"AAAAAD/v3+g=")</f>
        <v>#VALUE!</v>
      </c>
      <c r="HZ92" t="e">
        <f>AND(Bills!#REF!,"AAAAAD/v3+k=")</f>
        <v>#REF!</v>
      </c>
      <c r="IA92" t="e">
        <f>AND(Bills!#REF!,"AAAAAD/v3+o=")</f>
        <v>#REF!</v>
      </c>
      <c r="IB92" t="e">
        <f>AND(Bills!Y303,"AAAAAD/v3+s=")</f>
        <v>#VALUE!</v>
      </c>
      <c r="IC92" t="e">
        <f>AND(Bills!Z303,"AAAAAD/v3+w=")</f>
        <v>#VALUE!</v>
      </c>
      <c r="ID92" t="e">
        <f>AND(Bills!#REF!,"AAAAAD/v3+0=")</f>
        <v>#REF!</v>
      </c>
      <c r="IE92" t="e">
        <f>AND(Bills!#REF!,"AAAAAD/v3+4=")</f>
        <v>#REF!</v>
      </c>
      <c r="IF92" t="e">
        <f>AND(Bills!#REF!,"AAAAAD/v3+8=")</f>
        <v>#REF!</v>
      </c>
      <c r="IG92" t="e">
        <f>AND(Bills!#REF!,"AAAAAD/v3/A=")</f>
        <v>#REF!</v>
      </c>
      <c r="IH92" t="e">
        <f>AND(Bills!#REF!,"AAAAAD/v3/E=")</f>
        <v>#REF!</v>
      </c>
      <c r="II92" t="e">
        <f>AND(Bills!#REF!,"AAAAAD/v3/I=")</f>
        <v>#REF!</v>
      </c>
      <c r="IJ92" t="e">
        <f>AND(Bills!#REF!,"AAAAAD/v3/M=")</f>
        <v>#REF!</v>
      </c>
      <c r="IK92" t="e">
        <f>AND(Bills!#REF!,"AAAAAD/v3/Q=")</f>
        <v>#REF!</v>
      </c>
      <c r="IL92" t="e">
        <f>AND(Bills!#REF!,"AAAAAD/v3/U=")</f>
        <v>#REF!</v>
      </c>
      <c r="IM92" t="e">
        <f>AND(Bills!AA303,"AAAAAD/v3/Y=")</f>
        <v>#VALUE!</v>
      </c>
      <c r="IN92" t="e">
        <f>AND(Bills!AB303,"AAAAAD/v3/c=")</f>
        <v>#VALUE!</v>
      </c>
      <c r="IO92" t="e">
        <f>AND(Bills!#REF!,"AAAAAD/v3/g=")</f>
        <v>#REF!</v>
      </c>
      <c r="IP92" t="e">
        <f>AND(Bills!#REF!,"AAAAAD/v3/k=")</f>
        <v>#REF!</v>
      </c>
      <c r="IQ92" t="e">
        <f>AND(Bills!#REF!,"AAAAAD/v3/o=")</f>
        <v>#REF!</v>
      </c>
      <c r="IR92" t="e">
        <f>AND(Bills!AC303,"AAAAAD/v3/s=")</f>
        <v>#VALUE!</v>
      </c>
      <c r="IS92" t="e">
        <f>AND(Bills!AD303,"AAAAAD/v3/w=")</f>
        <v>#VALUE!</v>
      </c>
      <c r="IT92" t="e">
        <f>AND(Bills!AE303,"AAAAAD/v3/0=")</f>
        <v>#VALUE!</v>
      </c>
      <c r="IU92">
        <f>IF(Bills!304:304,"AAAAAD/v3/4=",0)</f>
        <v>0</v>
      </c>
      <c r="IV92" t="e">
        <f>AND(Bills!B304,"AAAAAD/v3/8=")</f>
        <v>#VALUE!</v>
      </c>
    </row>
    <row r="93" spans="1:256" x14ac:dyDescent="0.25">
      <c r="A93" t="e">
        <f>AND(Bills!#REF!,"AAAAAHj1/gA=")</f>
        <v>#REF!</v>
      </c>
      <c r="B93" t="e">
        <f>AND(Bills!C304,"AAAAAHj1/gE=")</f>
        <v>#VALUE!</v>
      </c>
      <c r="C93" t="e">
        <f>AND(Bills!D304,"AAAAAHj1/gI=")</f>
        <v>#VALUE!</v>
      </c>
      <c r="D93" t="e">
        <f>AND(Bills!E304,"AAAAAHj1/gM=")</f>
        <v>#VALUE!</v>
      </c>
      <c r="E93" t="e">
        <f>AND(Bills!#REF!,"AAAAAHj1/gQ=")</f>
        <v>#REF!</v>
      </c>
      <c r="F93" t="e">
        <f>AND(Bills!#REF!,"AAAAAHj1/gU=")</f>
        <v>#REF!</v>
      </c>
      <c r="G93" t="e">
        <f>AND(Bills!#REF!,"AAAAAHj1/gY=")</f>
        <v>#REF!</v>
      </c>
      <c r="H93" t="e">
        <f>AND(Bills!F304,"AAAAAHj1/gc=")</f>
        <v>#VALUE!</v>
      </c>
      <c r="I93" t="e">
        <f>AND(Bills!#REF!,"AAAAAHj1/gg=")</f>
        <v>#REF!</v>
      </c>
      <c r="J93" t="e">
        <f>AND(Bills!G304,"AAAAAHj1/gk=")</f>
        <v>#VALUE!</v>
      </c>
      <c r="K93" t="e">
        <f>AND(Bills!H304,"AAAAAHj1/go=")</f>
        <v>#VALUE!</v>
      </c>
      <c r="L93" t="e">
        <f>AND(Bills!I304,"AAAAAHj1/gs=")</f>
        <v>#VALUE!</v>
      </c>
      <c r="M93" t="e">
        <f>AND(Bills!J304,"AAAAAHj1/gw=")</f>
        <v>#VALUE!</v>
      </c>
      <c r="N93" t="e">
        <f>AND(Bills!K304,"AAAAAHj1/g0=")</f>
        <v>#VALUE!</v>
      </c>
      <c r="O93" t="e">
        <f>AND(Bills!L304,"AAAAAHj1/g4=")</f>
        <v>#VALUE!</v>
      </c>
      <c r="P93" t="e">
        <f>AND(Bills!#REF!,"AAAAAHj1/g8=")</f>
        <v>#REF!</v>
      </c>
      <c r="Q93" t="e">
        <f>AND(Bills!M304,"AAAAAHj1/hA=")</f>
        <v>#VALUE!</v>
      </c>
      <c r="R93" t="e">
        <f>AND(Bills!N304,"AAAAAHj1/hE=")</f>
        <v>#VALUE!</v>
      </c>
      <c r="S93" t="e">
        <f>AND(Bills!O304,"AAAAAHj1/hI=")</f>
        <v>#VALUE!</v>
      </c>
      <c r="T93" t="e">
        <f>AND(Bills!P304,"AAAAAHj1/hM=")</f>
        <v>#VALUE!</v>
      </c>
      <c r="U93" t="e">
        <f>AND(Bills!Q304,"AAAAAHj1/hQ=")</f>
        <v>#VALUE!</v>
      </c>
      <c r="V93" t="e">
        <f>AND(Bills!R304,"AAAAAHj1/hU=")</f>
        <v>#VALUE!</v>
      </c>
      <c r="W93" t="e">
        <f>AND(Bills!S304,"AAAAAHj1/hY=")</f>
        <v>#VALUE!</v>
      </c>
      <c r="X93" t="e">
        <f>AND(Bills!T304,"AAAAAHj1/hc=")</f>
        <v>#VALUE!</v>
      </c>
      <c r="Y93" t="e">
        <f>AND(Bills!#REF!,"AAAAAHj1/hg=")</f>
        <v>#REF!</v>
      </c>
      <c r="Z93" t="e">
        <f>AND(Bills!U304,"AAAAAHj1/hk=")</f>
        <v>#VALUE!</v>
      </c>
      <c r="AA93" t="e">
        <f>AND(Bills!V304,"AAAAAHj1/ho=")</f>
        <v>#VALUE!</v>
      </c>
      <c r="AB93" t="e">
        <f>AND(Bills!W304,"AAAAAHj1/hs=")</f>
        <v>#VALUE!</v>
      </c>
      <c r="AC93" t="e">
        <f>AND(Bills!#REF!,"AAAAAHj1/hw=")</f>
        <v>#REF!</v>
      </c>
      <c r="AD93" t="e">
        <f>AND(Bills!#REF!,"AAAAAHj1/h0=")</f>
        <v>#REF!</v>
      </c>
      <c r="AE93" t="e">
        <f>AND(Bills!Y304,"AAAAAHj1/h4=")</f>
        <v>#VALUE!</v>
      </c>
      <c r="AF93" t="e">
        <f>AND(Bills!Z304,"AAAAAHj1/h8=")</f>
        <v>#VALUE!</v>
      </c>
      <c r="AG93" t="e">
        <f>AND(Bills!#REF!,"AAAAAHj1/iA=")</f>
        <v>#REF!</v>
      </c>
      <c r="AH93" t="e">
        <f>AND(Bills!#REF!,"AAAAAHj1/iE=")</f>
        <v>#REF!</v>
      </c>
      <c r="AI93" t="e">
        <f>AND(Bills!#REF!,"AAAAAHj1/iI=")</f>
        <v>#REF!</v>
      </c>
      <c r="AJ93" t="e">
        <f>AND(Bills!#REF!,"AAAAAHj1/iM=")</f>
        <v>#REF!</v>
      </c>
      <c r="AK93" t="e">
        <f>AND(Bills!#REF!,"AAAAAHj1/iQ=")</f>
        <v>#REF!</v>
      </c>
      <c r="AL93" t="e">
        <f>AND(Bills!#REF!,"AAAAAHj1/iU=")</f>
        <v>#REF!</v>
      </c>
      <c r="AM93" t="e">
        <f>AND(Bills!#REF!,"AAAAAHj1/iY=")</f>
        <v>#REF!</v>
      </c>
      <c r="AN93" t="e">
        <f>AND(Bills!#REF!,"AAAAAHj1/ic=")</f>
        <v>#REF!</v>
      </c>
      <c r="AO93" t="e">
        <f>AND(Bills!#REF!,"AAAAAHj1/ig=")</f>
        <v>#REF!</v>
      </c>
      <c r="AP93" t="e">
        <f>AND(Bills!AA304,"AAAAAHj1/ik=")</f>
        <v>#VALUE!</v>
      </c>
      <c r="AQ93" t="e">
        <f>AND(Bills!AB304,"AAAAAHj1/io=")</f>
        <v>#VALUE!</v>
      </c>
      <c r="AR93" t="e">
        <f>AND(Bills!#REF!,"AAAAAHj1/is=")</f>
        <v>#REF!</v>
      </c>
      <c r="AS93" t="e">
        <f>AND(Bills!#REF!,"AAAAAHj1/iw=")</f>
        <v>#REF!</v>
      </c>
      <c r="AT93" t="e">
        <f>AND(Bills!#REF!,"AAAAAHj1/i0=")</f>
        <v>#REF!</v>
      </c>
      <c r="AU93" t="e">
        <f>AND(Bills!AC304,"AAAAAHj1/i4=")</f>
        <v>#VALUE!</v>
      </c>
      <c r="AV93" t="e">
        <f>AND(Bills!AD304,"AAAAAHj1/i8=")</f>
        <v>#VALUE!</v>
      </c>
      <c r="AW93" t="e">
        <f>AND(Bills!AE304,"AAAAAHj1/jA=")</f>
        <v>#VALUE!</v>
      </c>
      <c r="AX93">
        <f>IF(Bills!305:305,"AAAAAHj1/jE=",0)</f>
        <v>0</v>
      </c>
      <c r="AY93" t="e">
        <f>AND(Bills!B305,"AAAAAHj1/jI=")</f>
        <v>#VALUE!</v>
      </c>
      <c r="AZ93" t="e">
        <f>AND(Bills!#REF!,"AAAAAHj1/jM=")</f>
        <v>#REF!</v>
      </c>
      <c r="BA93" t="e">
        <f>AND(Bills!C305,"AAAAAHj1/jQ=")</f>
        <v>#VALUE!</v>
      </c>
      <c r="BB93" t="e">
        <f>AND(Bills!D305,"AAAAAHj1/jU=")</f>
        <v>#VALUE!</v>
      </c>
      <c r="BC93" t="e">
        <f>AND(Bills!E305,"AAAAAHj1/jY=")</f>
        <v>#VALUE!</v>
      </c>
      <c r="BD93" t="e">
        <f>AND(Bills!#REF!,"AAAAAHj1/jc=")</f>
        <v>#REF!</v>
      </c>
      <c r="BE93" t="e">
        <f>AND(Bills!#REF!,"AAAAAHj1/jg=")</f>
        <v>#REF!</v>
      </c>
      <c r="BF93" t="e">
        <f>AND(Bills!#REF!,"AAAAAHj1/jk=")</f>
        <v>#REF!</v>
      </c>
      <c r="BG93" t="e">
        <f>AND(Bills!F305,"AAAAAHj1/jo=")</f>
        <v>#VALUE!</v>
      </c>
      <c r="BH93" t="e">
        <f>AND(Bills!#REF!,"AAAAAHj1/js=")</f>
        <v>#REF!</v>
      </c>
      <c r="BI93" t="e">
        <f>AND(Bills!G305,"AAAAAHj1/jw=")</f>
        <v>#VALUE!</v>
      </c>
      <c r="BJ93" t="e">
        <f>AND(Bills!H305,"AAAAAHj1/j0=")</f>
        <v>#VALUE!</v>
      </c>
      <c r="BK93" t="e">
        <f>AND(Bills!I305,"AAAAAHj1/j4=")</f>
        <v>#VALUE!</v>
      </c>
      <c r="BL93" t="e">
        <f>AND(Bills!J305,"AAAAAHj1/j8=")</f>
        <v>#VALUE!</v>
      </c>
      <c r="BM93" t="e">
        <f>AND(Bills!K305,"AAAAAHj1/kA=")</f>
        <v>#VALUE!</v>
      </c>
      <c r="BN93" t="e">
        <f>AND(Bills!L305,"AAAAAHj1/kE=")</f>
        <v>#VALUE!</v>
      </c>
      <c r="BO93" t="e">
        <f>AND(Bills!#REF!,"AAAAAHj1/kI=")</f>
        <v>#REF!</v>
      </c>
      <c r="BP93" t="e">
        <f>AND(Bills!M305,"AAAAAHj1/kM=")</f>
        <v>#VALUE!</v>
      </c>
      <c r="BQ93" t="e">
        <f>AND(Bills!N305,"AAAAAHj1/kQ=")</f>
        <v>#VALUE!</v>
      </c>
      <c r="BR93" t="e">
        <f>AND(Bills!O305,"AAAAAHj1/kU=")</f>
        <v>#VALUE!</v>
      </c>
      <c r="BS93" t="e">
        <f>AND(Bills!P305,"AAAAAHj1/kY=")</f>
        <v>#VALUE!</v>
      </c>
      <c r="BT93" t="e">
        <f>AND(Bills!Q305,"AAAAAHj1/kc=")</f>
        <v>#VALUE!</v>
      </c>
      <c r="BU93" t="e">
        <f>AND(Bills!R305,"AAAAAHj1/kg=")</f>
        <v>#VALUE!</v>
      </c>
      <c r="BV93" t="e">
        <f>AND(Bills!S305,"AAAAAHj1/kk=")</f>
        <v>#VALUE!</v>
      </c>
      <c r="BW93" t="e">
        <f>AND(Bills!T305,"AAAAAHj1/ko=")</f>
        <v>#VALUE!</v>
      </c>
      <c r="BX93" t="e">
        <f>AND(Bills!#REF!,"AAAAAHj1/ks=")</f>
        <v>#REF!</v>
      </c>
      <c r="BY93" t="e">
        <f>AND(Bills!U305,"AAAAAHj1/kw=")</f>
        <v>#VALUE!</v>
      </c>
      <c r="BZ93" t="e">
        <f>AND(Bills!V305,"AAAAAHj1/k0=")</f>
        <v>#VALUE!</v>
      </c>
      <c r="CA93" t="e">
        <f>AND(Bills!W305,"AAAAAHj1/k4=")</f>
        <v>#VALUE!</v>
      </c>
      <c r="CB93" t="e">
        <f>AND(Bills!#REF!,"AAAAAHj1/k8=")</f>
        <v>#REF!</v>
      </c>
      <c r="CC93" t="e">
        <f>AND(Bills!#REF!,"AAAAAHj1/lA=")</f>
        <v>#REF!</v>
      </c>
      <c r="CD93" t="e">
        <f>AND(Bills!Y305,"AAAAAHj1/lE=")</f>
        <v>#VALUE!</v>
      </c>
      <c r="CE93" t="e">
        <f>AND(Bills!Z305,"AAAAAHj1/lI=")</f>
        <v>#VALUE!</v>
      </c>
      <c r="CF93" t="e">
        <f>AND(Bills!#REF!,"AAAAAHj1/lM=")</f>
        <v>#REF!</v>
      </c>
      <c r="CG93" t="e">
        <f>AND(Bills!#REF!,"AAAAAHj1/lQ=")</f>
        <v>#REF!</v>
      </c>
      <c r="CH93" t="e">
        <f>AND(Bills!#REF!,"AAAAAHj1/lU=")</f>
        <v>#REF!</v>
      </c>
      <c r="CI93" t="e">
        <f>AND(Bills!#REF!,"AAAAAHj1/lY=")</f>
        <v>#REF!</v>
      </c>
      <c r="CJ93" t="e">
        <f>AND(Bills!#REF!,"AAAAAHj1/lc=")</f>
        <v>#REF!</v>
      </c>
      <c r="CK93" t="e">
        <f>AND(Bills!#REF!,"AAAAAHj1/lg=")</f>
        <v>#REF!</v>
      </c>
      <c r="CL93" t="e">
        <f>AND(Bills!#REF!,"AAAAAHj1/lk=")</f>
        <v>#REF!</v>
      </c>
      <c r="CM93" t="e">
        <f>AND(Bills!#REF!,"AAAAAHj1/lo=")</f>
        <v>#REF!</v>
      </c>
      <c r="CN93" t="e">
        <f>AND(Bills!#REF!,"AAAAAHj1/ls=")</f>
        <v>#REF!</v>
      </c>
      <c r="CO93" t="e">
        <f>AND(Bills!AA305,"AAAAAHj1/lw=")</f>
        <v>#VALUE!</v>
      </c>
      <c r="CP93" t="e">
        <f>AND(Bills!AB305,"AAAAAHj1/l0=")</f>
        <v>#VALUE!</v>
      </c>
      <c r="CQ93" t="e">
        <f>AND(Bills!#REF!,"AAAAAHj1/l4=")</f>
        <v>#REF!</v>
      </c>
      <c r="CR93" t="e">
        <f>AND(Bills!#REF!,"AAAAAHj1/l8=")</f>
        <v>#REF!</v>
      </c>
      <c r="CS93" t="e">
        <f>AND(Bills!#REF!,"AAAAAHj1/mA=")</f>
        <v>#REF!</v>
      </c>
      <c r="CT93" t="e">
        <f>AND(Bills!AC305,"AAAAAHj1/mE=")</f>
        <v>#VALUE!</v>
      </c>
      <c r="CU93" t="e">
        <f>AND(Bills!AD305,"AAAAAHj1/mI=")</f>
        <v>#VALUE!</v>
      </c>
      <c r="CV93" t="e">
        <f>AND(Bills!AE305,"AAAAAHj1/mM=")</f>
        <v>#VALUE!</v>
      </c>
      <c r="CW93">
        <f>IF(Bills!306:306,"AAAAAHj1/mQ=",0)</f>
        <v>0</v>
      </c>
      <c r="CX93" t="e">
        <f>AND(Bills!B306,"AAAAAHj1/mU=")</f>
        <v>#VALUE!</v>
      </c>
      <c r="CY93" t="e">
        <f>AND(Bills!#REF!,"AAAAAHj1/mY=")</f>
        <v>#REF!</v>
      </c>
      <c r="CZ93" t="e">
        <f>AND(Bills!C306,"AAAAAHj1/mc=")</f>
        <v>#VALUE!</v>
      </c>
      <c r="DA93" t="e">
        <f>AND(Bills!D306,"AAAAAHj1/mg=")</f>
        <v>#VALUE!</v>
      </c>
      <c r="DB93" t="e">
        <f>AND(Bills!E306,"AAAAAHj1/mk=")</f>
        <v>#VALUE!</v>
      </c>
      <c r="DC93" t="e">
        <f>AND(Bills!#REF!,"AAAAAHj1/mo=")</f>
        <v>#REF!</v>
      </c>
      <c r="DD93" t="e">
        <f>AND(Bills!#REF!,"AAAAAHj1/ms=")</f>
        <v>#REF!</v>
      </c>
      <c r="DE93" t="e">
        <f>AND(Bills!#REF!,"AAAAAHj1/mw=")</f>
        <v>#REF!</v>
      </c>
      <c r="DF93" t="e">
        <f>AND(Bills!F306,"AAAAAHj1/m0=")</f>
        <v>#VALUE!</v>
      </c>
      <c r="DG93" t="e">
        <f>AND(Bills!#REF!,"AAAAAHj1/m4=")</f>
        <v>#REF!</v>
      </c>
      <c r="DH93" t="e">
        <f>AND(Bills!G306,"AAAAAHj1/m8=")</f>
        <v>#VALUE!</v>
      </c>
      <c r="DI93" t="e">
        <f>AND(Bills!H306,"AAAAAHj1/nA=")</f>
        <v>#VALUE!</v>
      </c>
      <c r="DJ93" t="e">
        <f>AND(Bills!I306,"AAAAAHj1/nE=")</f>
        <v>#VALUE!</v>
      </c>
      <c r="DK93" t="e">
        <f>AND(Bills!J306,"AAAAAHj1/nI=")</f>
        <v>#VALUE!</v>
      </c>
      <c r="DL93" t="e">
        <f>AND(Bills!K306,"AAAAAHj1/nM=")</f>
        <v>#VALUE!</v>
      </c>
      <c r="DM93" t="e">
        <f>AND(Bills!L306,"AAAAAHj1/nQ=")</f>
        <v>#VALUE!</v>
      </c>
      <c r="DN93" t="e">
        <f>AND(Bills!#REF!,"AAAAAHj1/nU=")</f>
        <v>#REF!</v>
      </c>
      <c r="DO93" t="e">
        <f>AND(Bills!M306,"AAAAAHj1/nY=")</f>
        <v>#VALUE!</v>
      </c>
      <c r="DP93" t="e">
        <f>AND(Bills!N306,"AAAAAHj1/nc=")</f>
        <v>#VALUE!</v>
      </c>
      <c r="DQ93" t="e">
        <f>AND(Bills!O306,"AAAAAHj1/ng=")</f>
        <v>#VALUE!</v>
      </c>
      <c r="DR93" t="e">
        <f>AND(Bills!P306,"AAAAAHj1/nk=")</f>
        <v>#VALUE!</v>
      </c>
      <c r="DS93" t="e">
        <f>AND(Bills!Q306,"AAAAAHj1/no=")</f>
        <v>#VALUE!</v>
      </c>
      <c r="DT93" t="e">
        <f>AND(Bills!R306,"AAAAAHj1/ns=")</f>
        <v>#VALUE!</v>
      </c>
      <c r="DU93" t="e">
        <f>AND(Bills!S306,"AAAAAHj1/nw=")</f>
        <v>#VALUE!</v>
      </c>
      <c r="DV93" t="e">
        <f>AND(Bills!T306,"AAAAAHj1/n0=")</f>
        <v>#VALUE!</v>
      </c>
      <c r="DW93" t="e">
        <f>AND(Bills!#REF!,"AAAAAHj1/n4=")</f>
        <v>#REF!</v>
      </c>
      <c r="DX93" t="e">
        <f>AND(Bills!U306,"AAAAAHj1/n8=")</f>
        <v>#VALUE!</v>
      </c>
      <c r="DY93" t="e">
        <f>AND(Bills!V306,"AAAAAHj1/oA=")</f>
        <v>#VALUE!</v>
      </c>
      <c r="DZ93" t="e">
        <f>AND(Bills!W306,"AAAAAHj1/oE=")</f>
        <v>#VALUE!</v>
      </c>
      <c r="EA93" t="e">
        <f>AND(Bills!#REF!,"AAAAAHj1/oI=")</f>
        <v>#REF!</v>
      </c>
      <c r="EB93" t="e">
        <f>AND(Bills!#REF!,"AAAAAHj1/oM=")</f>
        <v>#REF!</v>
      </c>
      <c r="EC93" t="e">
        <f>AND(Bills!Y306,"AAAAAHj1/oQ=")</f>
        <v>#VALUE!</v>
      </c>
      <c r="ED93" t="e">
        <f>AND(Bills!Z306,"AAAAAHj1/oU=")</f>
        <v>#VALUE!</v>
      </c>
      <c r="EE93" t="e">
        <f>AND(Bills!#REF!,"AAAAAHj1/oY=")</f>
        <v>#REF!</v>
      </c>
      <c r="EF93" t="e">
        <f>AND(Bills!#REF!,"AAAAAHj1/oc=")</f>
        <v>#REF!</v>
      </c>
      <c r="EG93" t="e">
        <f>AND(Bills!#REF!,"AAAAAHj1/og=")</f>
        <v>#REF!</v>
      </c>
      <c r="EH93" t="e">
        <f>AND(Bills!#REF!,"AAAAAHj1/ok=")</f>
        <v>#REF!</v>
      </c>
      <c r="EI93" t="e">
        <f>AND(Bills!#REF!,"AAAAAHj1/oo=")</f>
        <v>#REF!</v>
      </c>
      <c r="EJ93" t="e">
        <f>AND(Bills!#REF!,"AAAAAHj1/os=")</f>
        <v>#REF!</v>
      </c>
      <c r="EK93" t="e">
        <f>AND(Bills!#REF!,"AAAAAHj1/ow=")</f>
        <v>#REF!</v>
      </c>
      <c r="EL93" t="e">
        <f>AND(Bills!#REF!,"AAAAAHj1/o0=")</f>
        <v>#REF!</v>
      </c>
      <c r="EM93" t="e">
        <f>AND(Bills!#REF!,"AAAAAHj1/o4=")</f>
        <v>#REF!</v>
      </c>
      <c r="EN93" t="e">
        <f>AND(Bills!AA306,"AAAAAHj1/o8=")</f>
        <v>#VALUE!</v>
      </c>
      <c r="EO93" t="e">
        <f>AND(Bills!AB306,"AAAAAHj1/pA=")</f>
        <v>#VALUE!</v>
      </c>
      <c r="EP93" t="e">
        <f>AND(Bills!#REF!,"AAAAAHj1/pE=")</f>
        <v>#REF!</v>
      </c>
      <c r="EQ93" t="e">
        <f>AND(Bills!#REF!,"AAAAAHj1/pI=")</f>
        <v>#REF!</v>
      </c>
      <c r="ER93" t="e">
        <f>AND(Bills!#REF!,"AAAAAHj1/pM=")</f>
        <v>#REF!</v>
      </c>
      <c r="ES93" t="e">
        <f>AND(Bills!AC306,"AAAAAHj1/pQ=")</f>
        <v>#VALUE!</v>
      </c>
      <c r="ET93" t="e">
        <f>AND(Bills!AD306,"AAAAAHj1/pU=")</f>
        <v>#VALUE!</v>
      </c>
      <c r="EU93" t="e">
        <f>AND(Bills!AE306,"AAAAAHj1/pY=")</f>
        <v>#VALUE!</v>
      </c>
      <c r="EV93">
        <f>IF(Bills!307:307,"AAAAAHj1/pc=",0)</f>
        <v>0</v>
      </c>
      <c r="EW93" t="e">
        <f>AND(Bills!B307,"AAAAAHj1/pg=")</f>
        <v>#VALUE!</v>
      </c>
      <c r="EX93" t="e">
        <f>AND(Bills!#REF!,"AAAAAHj1/pk=")</f>
        <v>#REF!</v>
      </c>
      <c r="EY93" t="e">
        <f>AND(Bills!C307,"AAAAAHj1/po=")</f>
        <v>#VALUE!</v>
      </c>
      <c r="EZ93" t="e">
        <f>AND(Bills!D307,"AAAAAHj1/ps=")</f>
        <v>#VALUE!</v>
      </c>
      <c r="FA93" t="e">
        <f>AND(Bills!E307,"AAAAAHj1/pw=")</f>
        <v>#VALUE!</v>
      </c>
      <c r="FB93" t="e">
        <f>AND(Bills!#REF!,"AAAAAHj1/p0=")</f>
        <v>#REF!</v>
      </c>
      <c r="FC93" t="e">
        <f>AND(Bills!#REF!,"AAAAAHj1/p4=")</f>
        <v>#REF!</v>
      </c>
      <c r="FD93" t="e">
        <f>AND(Bills!#REF!,"AAAAAHj1/p8=")</f>
        <v>#REF!</v>
      </c>
      <c r="FE93" t="e">
        <f>AND(Bills!F307,"AAAAAHj1/qA=")</f>
        <v>#VALUE!</v>
      </c>
      <c r="FF93" t="e">
        <f>AND(Bills!#REF!,"AAAAAHj1/qE=")</f>
        <v>#REF!</v>
      </c>
      <c r="FG93" t="e">
        <f>AND(Bills!G307,"AAAAAHj1/qI=")</f>
        <v>#VALUE!</v>
      </c>
      <c r="FH93" t="e">
        <f>AND(Bills!H307,"AAAAAHj1/qM=")</f>
        <v>#VALUE!</v>
      </c>
      <c r="FI93" t="e">
        <f>AND(Bills!I307,"AAAAAHj1/qQ=")</f>
        <v>#VALUE!</v>
      </c>
      <c r="FJ93" t="e">
        <f>AND(Bills!J307,"AAAAAHj1/qU=")</f>
        <v>#VALUE!</v>
      </c>
      <c r="FK93" t="e">
        <f>AND(Bills!K307,"AAAAAHj1/qY=")</f>
        <v>#VALUE!</v>
      </c>
      <c r="FL93" t="e">
        <f>AND(Bills!L307,"AAAAAHj1/qc=")</f>
        <v>#VALUE!</v>
      </c>
      <c r="FM93" t="e">
        <f>AND(Bills!#REF!,"AAAAAHj1/qg=")</f>
        <v>#REF!</v>
      </c>
      <c r="FN93" t="e">
        <f>AND(Bills!M307,"AAAAAHj1/qk=")</f>
        <v>#VALUE!</v>
      </c>
      <c r="FO93" t="e">
        <f>AND(Bills!N307,"AAAAAHj1/qo=")</f>
        <v>#VALUE!</v>
      </c>
      <c r="FP93" t="e">
        <f>AND(Bills!O307,"AAAAAHj1/qs=")</f>
        <v>#VALUE!</v>
      </c>
      <c r="FQ93" t="e">
        <f>AND(Bills!P307,"AAAAAHj1/qw=")</f>
        <v>#VALUE!</v>
      </c>
      <c r="FR93" t="e">
        <f>AND(Bills!Q307,"AAAAAHj1/q0=")</f>
        <v>#VALUE!</v>
      </c>
      <c r="FS93" t="e">
        <f>AND(Bills!R307,"AAAAAHj1/q4=")</f>
        <v>#VALUE!</v>
      </c>
      <c r="FT93" t="e">
        <f>AND(Bills!S307,"AAAAAHj1/q8=")</f>
        <v>#VALUE!</v>
      </c>
      <c r="FU93" t="e">
        <f>AND(Bills!T307,"AAAAAHj1/rA=")</f>
        <v>#VALUE!</v>
      </c>
      <c r="FV93" t="e">
        <f>AND(Bills!#REF!,"AAAAAHj1/rE=")</f>
        <v>#REF!</v>
      </c>
      <c r="FW93" t="e">
        <f>AND(Bills!U307,"AAAAAHj1/rI=")</f>
        <v>#VALUE!</v>
      </c>
      <c r="FX93" t="e">
        <f>AND(Bills!V307,"AAAAAHj1/rM=")</f>
        <v>#VALUE!</v>
      </c>
      <c r="FY93" t="e">
        <f>AND(Bills!W307,"AAAAAHj1/rQ=")</f>
        <v>#VALUE!</v>
      </c>
      <c r="FZ93" t="e">
        <f>AND(Bills!#REF!,"AAAAAHj1/rU=")</f>
        <v>#REF!</v>
      </c>
      <c r="GA93" t="e">
        <f>AND(Bills!#REF!,"AAAAAHj1/rY=")</f>
        <v>#REF!</v>
      </c>
      <c r="GB93" t="e">
        <f>AND(Bills!Y307,"AAAAAHj1/rc=")</f>
        <v>#VALUE!</v>
      </c>
      <c r="GC93" t="e">
        <f>AND(Bills!Z307,"AAAAAHj1/rg=")</f>
        <v>#VALUE!</v>
      </c>
      <c r="GD93" t="e">
        <f>AND(Bills!#REF!,"AAAAAHj1/rk=")</f>
        <v>#REF!</v>
      </c>
      <c r="GE93" t="e">
        <f>AND(Bills!#REF!,"AAAAAHj1/ro=")</f>
        <v>#REF!</v>
      </c>
      <c r="GF93" t="e">
        <f>AND(Bills!#REF!,"AAAAAHj1/rs=")</f>
        <v>#REF!</v>
      </c>
      <c r="GG93" t="e">
        <f>AND(Bills!#REF!,"AAAAAHj1/rw=")</f>
        <v>#REF!</v>
      </c>
      <c r="GH93" t="e">
        <f>AND(Bills!#REF!,"AAAAAHj1/r0=")</f>
        <v>#REF!</v>
      </c>
      <c r="GI93" t="e">
        <f>AND(Bills!#REF!,"AAAAAHj1/r4=")</f>
        <v>#REF!</v>
      </c>
      <c r="GJ93" t="e">
        <f>AND(Bills!#REF!,"AAAAAHj1/r8=")</f>
        <v>#REF!</v>
      </c>
      <c r="GK93" t="e">
        <f>AND(Bills!#REF!,"AAAAAHj1/sA=")</f>
        <v>#REF!</v>
      </c>
      <c r="GL93" t="e">
        <f>AND(Bills!#REF!,"AAAAAHj1/sE=")</f>
        <v>#REF!</v>
      </c>
      <c r="GM93" t="e">
        <f>AND(Bills!AA307,"AAAAAHj1/sI=")</f>
        <v>#VALUE!</v>
      </c>
      <c r="GN93" t="e">
        <f>AND(Bills!AB307,"AAAAAHj1/sM=")</f>
        <v>#VALUE!</v>
      </c>
      <c r="GO93" t="e">
        <f>AND(Bills!#REF!,"AAAAAHj1/sQ=")</f>
        <v>#REF!</v>
      </c>
      <c r="GP93" t="e">
        <f>AND(Bills!#REF!,"AAAAAHj1/sU=")</f>
        <v>#REF!</v>
      </c>
      <c r="GQ93" t="e">
        <f>AND(Bills!#REF!,"AAAAAHj1/sY=")</f>
        <v>#REF!</v>
      </c>
      <c r="GR93" t="e">
        <f>AND(Bills!AC307,"AAAAAHj1/sc=")</f>
        <v>#VALUE!</v>
      </c>
      <c r="GS93" t="e">
        <f>AND(Bills!AD307,"AAAAAHj1/sg=")</f>
        <v>#VALUE!</v>
      </c>
      <c r="GT93" t="e">
        <f>AND(Bills!AE307,"AAAAAHj1/sk=")</f>
        <v>#VALUE!</v>
      </c>
      <c r="GU93">
        <f>IF(Bills!308:308,"AAAAAHj1/so=",0)</f>
        <v>0</v>
      </c>
      <c r="GV93" t="e">
        <f>AND(Bills!B308,"AAAAAHj1/ss=")</f>
        <v>#VALUE!</v>
      </c>
      <c r="GW93" t="e">
        <f>AND(Bills!#REF!,"AAAAAHj1/sw=")</f>
        <v>#REF!</v>
      </c>
      <c r="GX93" t="e">
        <f>AND(Bills!C308,"AAAAAHj1/s0=")</f>
        <v>#VALUE!</v>
      </c>
      <c r="GY93" t="e">
        <f>AND(Bills!D308,"AAAAAHj1/s4=")</f>
        <v>#VALUE!</v>
      </c>
      <c r="GZ93" t="e">
        <f>AND(Bills!E308,"AAAAAHj1/s8=")</f>
        <v>#VALUE!</v>
      </c>
      <c r="HA93" t="e">
        <f>AND(Bills!#REF!,"AAAAAHj1/tA=")</f>
        <v>#REF!</v>
      </c>
      <c r="HB93" t="e">
        <f>AND(Bills!#REF!,"AAAAAHj1/tE=")</f>
        <v>#REF!</v>
      </c>
      <c r="HC93" t="e">
        <f>AND(Bills!#REF!,"AAAAAHj1/tI=")</f>
        <v>#REF!</v>
      </c>
      <c r="HD93" t="e">
        <f>AND(Bills!F308,"AAAAAHj1/tM=")</f>
        <v>#VALUE!</v>
      </c>
      <c r="HE93" t="e">
        <f>AND(Bills!#REF!,"AAAAAHj1/tQ=")</f>
        <v>#REF!</v>
      </c>
      <c r="HF93" t="e">
        <f>AND(Bills!G308,"AAAAAHj1/tU=")</f>
        <v>#VALUE!</v>
      </c>
      <c r="HG93" t="e">
        <f>AND(Bills!H308,"AAAAAHj1/tY=")</f>
        <v>#VALUE!</v>
      </c>
      <c r="HH93" t="e">
        <f>AND(Bills!I308,"AAAAAHj1/tc=")</f>
        <v>#VALUE!</v>
      </c>
      <c r="HI93" t="e">
        <f>AND(Bills!J308,"AAAAAHj1/tg=")</f>
        <v>#VALUE!</v>
      </c>
      <c r="HJ93" t="e">
        <f>AND(Bills!K308,"AAAAAHj1/tk=")</f>
        <v>#VALUE!</v>
      </c>
      <c r="HK93" t="e">
        <f>AND(Bills!L308,"AAAAAHj1/to=")</f>
        <v>#VALUE!</v>
      </c>
      <c r="HL93" t="e">
        <f>AND(Bills!#REF!,"AAAAAHj1/ts=")</f>
        <v>#REF!</v>
      </c>
      <c r="HM93" t="e">
        <f>AND(Bills!M308,"AAAAAHj1/tw=")</f>
        <v>#VALUE!</v>
      </c>
      <c r="HN93" t="e">
        <f>AND(Bills!N308,"AAAAAHj1/t0=")</f>
        <v>#VALUE!</v>
      </c>
      <c r="HO93" t="e">
        <f>AND(Bills!O308,"AAAAAHj1/t4=")</f>
        <v>#VALUE!</v>
      </c>
      <c r="HP93" t="e">
        <f>AND(Bills!P308,"AAAAAHj1/t8=")</f>
        <v>#VALUE!</v>
      </c>
      <c r="HQ93" t="e">
        <f>AND(Bills!Q308,"AAAAAHj1/uA=")</f>
        <v>#VALUE!</v>
      </c>
      <c r="HR93" t="e">
        <f>AND(Bills!R308,"AAAAAHj1/uE=")</f>
        <v>#VALUE!</v>
      </c>
      <c r="HS93" t="e">
        <f>AND(Bills!S308,"AAAAAHj1/uI=")</f>
        <v>#VALUE!</v>
      </c>
      <c r="HT93" t="e">
        <f>AND(Bills!T308,"AAAAAHj1/uM=")</f>
        <v>#VALUE!</v>
      </c>
      <c r="HU93" t="e">
        <f>AND(Bills!#REF!,"AAAAAHj1/uQ=")</f>
        <v>#REF!</v>
      </c>
      <c r="HV93" t="e">
        <f>AND(Bills!U308,"AAAAAHj1/uU=")</f>
        <v>#VALUE!</v>
      </c>
      <c r="HW93" t="e">
        <f>AND(Bills!V308,"AAAAAHj1/uY=")</f>
        <v>#VALUE!</v>
      </c>
      <c r="HX93" t="e">
        <f>AND(Bills!W308,"AAAAAHj1/uc=")</f>
        <v>#VALUE!</v>
      </c>
      <c r="HY93" t="e">
        <f>AND(Bills!#REF!,"AAAAAHj1/ug=")</f>
        <v>#REF!</v>
      </c>
      <c r="HZ93" t="e">
        <f>AND(Bills!#REF!,"AAAAAHj1/uk=")</f>
        <v>#REF!</v>
      </c>
      <c r="IA93" t="e">
        <f>AND(Bills!Y308,"AAAAAHj1/uo=")</f>
        <v>#VALUE!</v>
      </c>
      <c r="IB93" t="e">
        <f>AND(Bills!Z308,"AAAAAHj1/us=")</f>
        <v>#VALUE!</v>
      </c>
      <c r="IC93" t="e">
        <f>AND(Bills!#REF!,"AAAAAHj1/uw=")</f>
        <v>#REF!</v>
      </c>
      <c r="ID93" t="e">
        <f>AND(Bills!#REF!,"AAAAAHj1/u0=")</f>
        <v>#REF!</v>
      </c>
      <c r="IE93" t="e">
        <f>AND(Bills!#REF!,"AAAAAHj1/u4=")</f>
        <v>#REF!</v>
      </c>
      <c r="IF93" t="e">
        <f>AND(Bills!#REF!,"AAAAAHj1/u8=")</f>
        <v>#REF!</v>
      </c>
      <c r="IG93" t="e">
        <f>AND(Bills!#REF!,"AAAAAHj1/vA=")</f>
        <v>#REF!</v>
      </c>
      <c r="IH93" t="e">
        <f>AND(Bills!#REF!,"AAAAAHj1/vE=")</f>
        <v>#REF!</v>
      </c>
      <c r="II93" t="e">
        <f>AND(Bills!#REF!,"AAAAAHj1/vI=")</f>
        <v>#REF!</v>
      </c>
      <c r="IJ93" t="e">
        <f>AND(Bills!#REF!,"AAAAAHj1/vM=")</f>
        <v>#REF!</v>
      </c>
      <c r="IK93" t="e">
        <f>AND(Bills!#REF!,"AAAAAHj1/vQ=")</f>
        <v>#REF!</v>
      </c>
      <c r="IL93" t="e">
        <f>AND(Bills!AA308,"AAAAAHj1/vU=")</f>
        <v>#VALUE!</v>
      </c>
      <c r="IM93" t="e">
        <f>AND(Bills!AB308,"AAAAAHj1/vY=")</f>
        <v>#VALUE!</v>
      </c>
      <c r="IN93" t="e">
        <f>AND(Bills!#REF!,"AAAAAHj1/vc=")</f>
        <v>#REF!</v>
      </c>
      <c r="IO93" t="e">
        <f>AND(Bills!#REF!,"AAAAAHj1/vg=")</f>
        <v>#REF!</v>
      </c>
      <c r="IP93" t="e">
        <f>AND(Bills!#REF!,"AAAAAHj1/vk=")</f>
        <v>#REF!</v>
      </c>
      <c r="IQ93" t="e">
        <f>AND(Bills!AC308,"AAAAAHj1/vo=")</f>
        <v>#VALUE!</v>
      </c>
      <c r="IR93" t="e">
        <f>AND(Bills!AD308,"AAAAAHj1/vs=")</f>
        <v>#VALUE!</v>
      </c>
      <c r="IS93" t="e">
        <f>AND(Bills!AE308,"AAAAAHj1/vw=")</f>
        <v>#VALUE!</v>
      </c>
      <c r="IT93">
        <f>IF(Bills!309:309,"AAAAAHj1/v0=",0)</f>
        <v>0</v>
      </c>
      <c r="IU93" t="e">
        <f>AND(Bills!B309,"AAAAAHj1/v4=")</f>
        <v>#VALUE!</v>
      </c>
      <c r="IV93" t="e">
        <f>AND(Bills!#REF!,"AAAAAHj1/v8=")</f>
        <v>#REF!</v>
      </c>
    </row>
    <row r="94" spans="1:256" x14ac:dyDescent="0.25">
      <c r="A94" t="e">
        <f>AND(Bills!C309,"AAAAAB/a3wA=")</f>
        <v>#VALUE!</v>
      </c>
      <c r="B94" t="e">
        <f>AND(Bills!D309,"AAAAAB/a3wE=")</f>
        <v>#VALUE!</v>
      </c>
      <c r="C94" t="e">
        <f>AND(Bills!E309,"AAAAAB/a3wI=")</f>
        <v>#VALUE!</v>
      </c>
      <c r="D94" t="e">
        <f>AND(Bills!#REF!,"AAAAAB/a3wM=")</f>
        <v>#REF!</v>
      </c>
      <c r="E94" t="e">
        <f>AND(Bills!#REF!,"AAAAAB/a3wQ=")</f>
        <v>#REF!</v>
      </c>
      <c r="F94" t="e">
        <f>AND(Bills!#REF!,"AAAAAB/a3wU=")</f>
        <v>#REF!</v>
      </c>
      <c r="G94" t="e">
        <f>AND(Bills!F309,"AAAAAB/a3wY=")</f>
        <v>#VALUE!</v>
      </c>
      <c r="H94" t="e">
        <f>AND(Bills!#REF!,"AAAAAB/a3wc=")</f>
        <v>#REF!</v>
      </c>
      <c r="I94" t="e">
        <f>AND(Bills!G309,"AAAAAB/a3wg=")</f>
        <v>#VALUE!</v>
      </c>
      <c r="J94" t="e">
        <f>AND(Bills!H309,"AAAAAB/a3wk=")</f>
        <v>#VALUE!</v>
      </c>
      <c r="K94" t="e">
        <f>AND(Bills!I309,"AAAAAB/a3wo=")</f>
        <v>#VALUE!</v>
      </c>
      <c r="L94" t="e">
        <f>AND(Bills!J309,"AAAAAB/a3ws=")</f>
        <v>#VALUE!</v>
      </c>
      <c r="M94" t="e">
        <f>AND(Bills!K309,"AAAAAB/a3ww=")</f>
        <v>#VALUE!</v>
      </c>
      <c r="N94" t="e">
        <f>AND(Bills!L309,"AAAAAB/a3w0=")</f>
        <v>#VALUE!</v>
      </c>
      <c r="O94" t="e">
        <f>AND(Bills!#REF!,"AAAAAB/a3w4=")</f>
        <v>#REF!</v>
      </c>
      <c r="P94" t="e">
        <f>AND(Bills!M309,"AAAAAB/a3w8=")</f>
        <v>#VALUE!</v>
      </c>
      <c r="Q94" t="e">
        <f>AND(Bills!N309,"AAAAAB/a3xA=")</f>
        <v>#VALUE!</v>
      </c>
      <c r="R94" t="e">
        <f>AND(Bills!O309,"AAAAAB/a3xE=")</f>
        <v>#VALUE!</v>
      </c>
      <c r="S94" t="e">
        <f>AND(Bills!P309,"AAAAAB/a3xI=")</f>
        <v>#VALUE!</v>
      </c>
      <c r="T94" t="e">
        <f>AND(Bills!Q309,"AAAAAB/a3xM=")</f>
        <v>#VALUE!</v>
      </c>
      <c r="U94" t="e">
        <f>AND(Bills!R309,"AAAAAB/a3xQ=")</f>
        <v>#VALUE!</v>
      </c>
      <c r="V94" t="e">
        <f>AND(Bills!S309,"AAAAAB/a3xU=")</f>
        <v>#VALUE!</v>
      </c>
      <c r="W94" t="e">
        <f>AND(Bills!T309,"AAAAAB/a3xY=")</f>
        <v>#VALUE!</v>
      </c>
      <c r="X94" t="e">
        <f>AND(Bills!#REF!,"AAAAAB/a3xc=")</f>
        <v>#REF!</v>
      </c>
      <c r="Y94" t="e">
        <f>AND(Bills!U309,"AAAAAB/a3xg=")</f>
        <v>#VALUE!</v>
      </c>
      <c r="Z94" t="e">
        <f>AND(Bills!V309,"AAAAAB/a3xk=")</f>
        <v>#VALUE!</v>
      </c>
      <c r="AA94" t="e">
        <f>AND(Bills!W309,"AAAAAB/a3xo=")</f>
        <v>#VALUE!</v>
      </c>
      <c r="AB94" t="e">
        <f>AND(Bills!#REF!,"AAAAAB/a3xs=")</f>
        <v>#REF!</v>
      </c>
      <c r="AC94" t="e">
        <f>AND(Bills!#REF!,"AAAAAB/a3xw=")</f>
        <v>#REF!</v>
      </c>
      <c r="AD94" t="e">
        <f>AND(Bills!Y309,"AAAAAB/a3x0=")</f>
        <v>#VALUE!</v>
      </c>
      <c r="AE94" t="e">
        <f>AND(Bills!Z309,"AAAAAB/a3x4=")</f>
        <v>#VALUE!</v>
      </c>
      <c r="AF94" t="e">
        <f>AND(Bills!#REF!,"AAAAAB/a3x8=")</f>
        <v>#REF!</v>
      </c>
      <c r="AG94" t="e">
        <f>AND(Bills!#REF!,"AAAAAB/a3yA=")</f>
        <v>#REF!</v>
      </c>
      <c r="AH94" t="e">
        <f>AND(Bills!#REF!,"AAAAAB/a3yE=")</f>
        <v>#REF!</v>
      </c>
      <c r="AI94" t="e">
        <f>AND(Bills!#REF!,"AAAAAB/a3yI=")</f>
        <v>#REF!</v>
      </c>
      <c r="AJ94" t="e">
        <f>AND(Bills!#REF!,"AAAAAB/a3yM=")</f>
        <v>#REF!</v>
      </c>
      <c r="AK94" t="e">
        <f>AND(Bills!#REF!,"AAAAAB/a3yQ=")</f>
        <v>#REF!</v>
      </c>
      <c r="AL94" t="e">
        <f>AND(Bills!#REF!,"AAAAAB/a3yU=")</f>
        <v>#REF!</v>
      </c>
      <c r="AM94" t="e">
        <f>AND(Bills!#REF!,"AAAAAB/a3yY=")</f>
        <v>#REF!</v>
      </c>
      <c r="AN94" t="e">
        <f>AND(Bills!#REF!,"AAAAAB/a3yc=")</f>
        <v>#REF!</v>
      </c>
      <c r="AO94" t="e">
        <f>AND(Bills!AA309,"AAAAAB/a3yg=")</f>
        <v>#VALUE!</v>
      </c>
      <c r="AP94" t="e">
        <f>AND(Bills!AB309,"AAAAAB/a3yk=")</f>
        <v>#VALUE!</v>
      </c>
      <c r="AQ94" t="e">
        <f>AND(Bills!#REF!,"AAAAAB/a3yo=")</f>
        <v>#REF!</v>
      </c>
      <c r="AR94" t="e">
        <f>AND(Bills!#REF!,"AAAAAB/a3ys=")</f>
        <v>#REF!</v>
      </c>
      <c r="AS94" t="e">
        <f>AND(Bills!#REF!,"AAAAAB/a3yw=")</f>
        <v>#REF!</v>
      </c>
      <c r="AT94" t="e">
        <f>AND(Bills!AC309,"AAAAAB/a3y0=")</f>
        <v>#VALUE!</v>
      </c>
      <c r="AU94" t="e">
        <f>AND(Bills!AD309,"AAAAAB/a3y4=")</f>
        <v>#VALUE!</v>
      </c>
      <c r="AV94" t="e">
        <f>AND(Bills!AE309,"AAAAAB/a3y8=")</f>
        <v>#VALUE!</v>
      </c>
      <c r="AW94">
        <f>IF(Bills!310:310,"AAAAAB/a3zA=",0)</f>
        <v>0</v>
      </c>
      <c r="AX94" t="e">
        <f>AND(Bills!B310,"AAAAAB/a3zE=")</f>
        <v>#VALUE!</v>
      </c>
      <c r="AY94" t="e">
        <f>AND(Bills!#REF!,"AAAAAB/a3zI=")</f>
        <v>#REF!</v>
      </c>
      <c r="AZ94" t="e">
        <f>AND(Bills!C310,"AAAAAB/a3zM=")</f>
        <v>#VALUE!</v>
      </c>
      <c r="BA94" t="e">
        <f>AND(Bills!D310,"AAAAAB/a3zQ=")</f>
        <v>#VALUE!</v>
      </c>
      <c r="BB94" t="e">
        <f>AND(Bills!E310,"AAAAAB/a3zU=")</f>
        <v>#VALUE!</v>
      </c>
      <c r="BC94" t="e">
        <f>AND(Bills!#REF!,"AAAAAB/a3zY=")</f>
        <v>#REF!</v>
      </c>
      <c r="BD94" t="e">
        <f>AND(Bills!#REF!,"AAAAAB/a3zc=")</f>
        <v>#REF!</v>
      </c>
      <c r="BE94" t="e">
        <f>AND(Bills!#REF!,"AAAAAB/a3zg=")</f>
        <v>#REF!</v>
      </c>
      <c r="BF94" t="e">
        <f>AND(Bills!F310,"AAAAAB/a3zk=")</f>
        <v>#VALUE!</v>
      </c>
      <c r="BG94" t="e">
        <f>AND(Bills!#REF!,"AAAAAB/a3zo=")</f>
        <v>#REF!</v>
      </c>
      <c r="BH94" t="e">
        <f>AND(Bills!G310,"AAAAAB/a3zs=")</f>
        <v>#VALUE!</v>
      </c>
      <c r="BI94" t="e">
        <f>AND(Bills!H310,"AAAAAB/a3zw=")</f>
        <v>#VALUE!</v>
      </c>
      <c r="BJ94" t="e">
        <f>AND(Bills!I310,"AAAAAB/a3z0=")</f>
        <v>#VALUE!</v>
      </c>
      <c r="BK94" t="e">
        <f>AND(Bills!J310,"AAAAAB/a3z4=")</f>
        <v>#VALUE!</v>
      </c>
      <c r="BL94" t="e">
        <f>AND(Bills!K310,"AAAAAB/a3z8=")</f>
        <v>#VALUE!</v>
      </c>
      <c r="BM94" t="e">
        <f>AND(Bills!L310,"AAAAAB/a30A=")</f>
        <v>#VALUE!</v>
      </c>
      <c r="BN94" t="e">
        <f>AND(Bills!#REF!,"AAAAAB/a30E=")</f>
        <v>#REF!</v>
      </c>
      <c r="BO94" t="e">
        <f>AND(Bills!M310,"AAAAAB/a30I=")</f>
        <v>#VALUE!</v>
      </c>
      <c r="BP94" t="e">
        <f>AND(Bills!N310,"AAAAAB/a30M=")</f>
        <v>#VALUE!</v>
      </c>
      <c r="BQ94" t="e">
        <f>AND(Bills!O310,"AAAAAB/a30Q=")</f>
        <v>#VALUE!</v>
      </c>
      <c r="BR94" t="e">
        <f>AND(Bills!P310,"AAAAAB/a30U=")</f>
        <v>#VALUE!</v>
      </c>
      <c r="BS94" t="e">
        <f>AND(Bills!Q310,"AAAAAB/a30Y=")</f>
        <v>#VALUE!</v>
      </c>
      <c r="BT94" t="e">
        <f>AND(Bills!R310,"AAAAAB/a30c=")</f>
        <v>#VALUE!</v>
      </c>
      <c r="BU94" t="e">
        <f>AND(Bills!S310,"AAAAAB/a30g=")</f>
        <v>#VALUE!</v>
      </c>
      <c r="BV94" t="e">
        <f>AND(Bills!T310,"AAAAAB/a30k=")</f>
        <v>#VALUE!</v>
      </c>
      <c r="BW94" t="e">
        <f>AND(Bills!#REF!,"AAAAAB/a30o=")</f>
        <v>#REF!</v>
      </c>
      <c r="BX94" t="e">
        <f>AND(Bills!U310,"AAAAAB/a30s=")</f>
        <v>#VALUE!</v>
      </c>
      <c r="BY94" t="e">
        <f>AND(Bills!V310,"AAAAAB/a30w=")</f>
        <v>#VALUE!</v>
      </c>
      <c r="BZ94" t="e">
        <f>AND(Bills!W310,"AAAAAB/a300=")</f>
        <v>#VALUE!</v>
      </c>
      <c r="CA94" t="e">
        <f>AND(Bills!#REF!,"AAAAAB/a304=")</f>
        <v>#REF!</v>
      </c>
      <c r="CB94" t="e">
        <f>AND(Bills!#REF!,"AAAAAB/a308=")</f>
        <v>#REF!</v>
      </c>
      <c r="CC94" t="e">
        <f>AND(Bills!Y310,"AAAAAB/a31A=")</f>
        <v>#VALUE!</v>
      </c>
      <c r="CD94" t="e">
        <f>AND(Bills!Z310,"AAAAAB/a31E=")</f>
        <v>#VALUE!</v>
      </c>
      <c r="CE94" t="e">
        <f>AND(Bills!#REF!,"AAAAAB/a31I=")</f>
        <v>#REF!</v>
      </c>
      <c r="CF94" t="e">
        <f>AND(Bills!#REF!,"AAAAAB/a31M=")</f>
        <v>#REF!</v>
      </c>
      <c r="CG94" t="e">
        <f>AND(Bills!#REF!,"AAAAAB/a31Q=")</f>
        <v>#REF!</v>
      </c>
      <c r="CH94" t="e">
        <f>AND(Bills!#REF!,"AAAAAB/a31U=")</f>
        <v>#REF!</v>
      </c>
      <c r="CI94" t="e">
        <f>AND(Bills!#REF!,"AAAAAB/a31Y=")</f>
        <v>#REF!</v>
      </c>
      <c r="CJ94" t="e">
        <f>AND(Bills!#REF!,"AAAAAB/a31c=")</f>
        <v>#REF!</v>
      </c>
      <c r="CK94" t="e">
        <f>AND(Bills!#REF!,"AAAAAB/a31g=")</f>
        <v>#REF!</v>
      </c>
      <c r="CL94" t="e">
        <f>AND(Bills!#REF!,"AAAAAB/a31k=")</f>
        <v>#REF!</v>
      </c>
      <c r="CM94" t="e">
        <f>AND(Bills!#REF!,"AAAAAB/a31o=")</f>
        <v>#REF!</v>
      </c>
      <c r="CN94" t="e">
        <f>AND(Bills!AA310,"AAAAAB/a31s=")</f>
        <v>#VALUE!</v>
      </c>
      <c r="CO94" t="e">
        <f>AND(Bills!AB310,"AAAAAB/a31w=")</f>
        <v>#VALUE!</v>
      </c>
      <c r="CP94" t="e">
        <f>AND(Bills!#REF!,"AAAAAB/a310=")</f>
        <v>#REF!</v>
      </c>
      <c r="CQ94" t="e">
        <f>AND(Bills!#REF!,"AAAAAB/a314=")</f>
        <v>#REF!</v>
      </c>
      <c r="CR94" t="e">
        <f>AND(Bills!#REF!,"AAAAAB/a318=")</f>
        <v>#REF!</v>
      </c>
      <c r="CS94" t="e">
        <f>AND(Bills!AC310,"AAAAAB/a32A=")</f>
        <v>#VALUE!</v>
      </c>
      <c r="CT94" t="e">
        <f>AND(Bills!AD310,"AAAAAB/a32E=")</f>
        <v>#VALUE!</v>
      </c>
      <c r="CU94" t="e">
        <f>AND(Bills!AE310,"AAAAAB/a32I=")</f>
        <v>#VALUE!</v>
      </c>
      <c r="CV94">
        <f>IF(Bills!311:311,"AAAAAB/a32M=",0)</f>
        <v>0</v>
      </c>
      <c r="CW94" t="e">
        <f>AND(Bills!B311,"AAAAAB/a32Q=")</f>
        <v>#VALUE!</v>
      </c>
      <c r="CX94" t="e">
        <f>AND(Bills!#REF!,"AAAAAB/a32U=")</f>
        <v>#REF!</v>
      </c>
      <c r="CY94" t="e">
        <f>AND(Bills!C311,"AAAAAB/a32Y=")</f>
        <v>#VALUE!</v>
      </c>
      <c r="CZ94" t="e">
        <f>AND(Bills!D311,"AAAAAB/a32c=")</f>
        <v>#VALUE!</v>
      </c>
      <c r="DA94" t="e">
        <f>AND(Bills!E311,"AAAAAB/a32g=")</f>
        <v>#VALUE!</v>
      </c>
      <c r="DB94" t="e">
        <f>AND(Bills!#REF!,"AAAAAB/a32k=")</f>
        <v>#REF!</v>
      </c>
      <c r="DC94" t="e">
        <f>AND(Bills!#REF!,"AAAAAB/a32o=")</f>
        <v>#REF!</v>
      </c>
      <c r="DD94" t="e">
        <f>AND(Bills!#REF!,"AAAAAB/a32s=")</f>
        <v>#REF!</v>
      </c>
      <c r="DE94" t="e">
        <f>AND(Bills!F311,"AAAAAB/a32w=")</f>
        <v>#VALUE!</v>
      </c>
      <c r="DF94" t="e">
        <f>AND(Bills!#REF!,"AAAAAB/a320=")</f>
        <v>#REF!</v>
      </c>
      <c r="DG94" t="e">
        <f>AND(Bills!G311,"AAAAAB/a324=")</f>
        <v>#VALUE!</v>
      </c>
      <c r="DH94" t="e">
        <f>AND(Bills!H311,"AAAAAB/a328=")</f>
        <v>#VALUE!</v>
      </c>
      <c r="DI94" t="e">
        <f>AND(Bills!I311,"AAAAAB/a33A=")</f>
        <v>#VALUE!</v>
      </c>
      <c r="DJ94" t="e">
        <f>AND(Bills!J311,"AAAAAB/a33E=")</f>
        <v>#VALUE!</v>
      </c>
      <c r="DK94" t="e">
        <f>AND(Bills!K311,"AAAAAB/a33I=")</f>
        <v>#VALUE!</v>
      </c>
      <c r="DL94" t="e">
        <f>AND(Bills!L311,"AAAAAB/a33M=")</f>
        <v>#VALUE!</v>
      </c>
      <c r="DM94" t="e">
        <f>AND(Bills!#REF!,"AAAAAB/a33Q=")</f>
        <v>#REF!</v>
      </c>
      <c r="DN94" t="e">
        <f>AND(Bills!M311,"AAAAAB/a33U=")</f>
        <v>#VALUE!</v>
      </c>
      <c r="DO94" t="e">
        <f>AND(Bills!N311,"AAAAAB/a33Y=")</f>
        <v>#VALUE!</v>
      </c>
      <c r="DP94" t="e">
        <f>AND(Bills!O311,"AAAAAB/a33c=")</f>
        <v>#VALUE!</v>
      </c>
      <c r="DQ94" t="e">
        <f>AND(Bills!P311,"AAAAAB/a33g=")</f>
        <v>#VALUE!</v>
      </c>
      <c r="DR94" t="e">
        <f>AND(Bills!Q311,"AAAAAB/a33k=")</f>
        <v>#VALUE!</v>
      </c>
      <c r="DS94" t="e">
        <f>AND(Bills!R311,"AAAAAB/a33o=")</f>
        <v>#VALUE!</v>
      </c>
      <c r="DT94" t="e">
        <f>AND(Bills!S311,"AAAAAB/a33s=")</f>
        <v>#VALUE!</v>
      </c>
      <c r="DU94" t="e">
        <f>AND(Bills!T311,"AAAAAB/a33w=")</f>
        <v>#VALUE!</v>
      </c>
      <c r="DV94" t="e">
        <f>AND(Bills!#REF!,"AAAAAB/a330=")</f>
        <v>#REF!</v>
      </c>
      <c r="DW94" t="e">
        <f>AND(Bills!U311,"AAAAAB/a334=")</f>
        <v>#VALUE!</v>
      </c>
      <c r="DX94" t="e">
        <f>AND(Bills!V311,"AAAAAB/a338=")</f>
        <v>#VALUE!</v>
      </c>
      <c r="DY94" t="e">
        <f>AND(Bills!W311,"AAAAAB/a34A=")</f>
        <v>#VALUE!</v>
      </c>
      <c r="DZ94" t="e">
        <f>AND(Bills!#REF!,"AAAAAB/a34E=")</f>
        <v>#REF!</v>
      </c>
      <c r="EA94" t="e">
        <f>AND(Bills!#REF!,"AAAAAB/a34I=")</f>
        <v>#REF!</v>
      </c>
      <c r="EB94" t="e">
        <f>AND(Bills!Y311,"AAAAAB/a34M=")</f>
        <v>#VALUE!</v>
      </c>
      <c r="EC94" t="e">
        <f>AND(Bills!Z311,"AAAAAB/a34Q=")</f>
        <v>#VALUE!</v>
      </c>
      <c r="ED94" t="e">
        <f>AND(Bills!#REF!,"AAAAAB/a34U=")</f>
        <v>#REF!</v>
      </c>
      <c r="EE94" t="e">
        <f>AND(Bills!#REF!,"AAAAAB/a34Y=")</f>
        <v>#REF!</v>
      </c>
      <c r="EF94" t="e">
        <f>AND(Bills!#REF!,"AAAAAB/a34c=")</f>
        <v>#REF!</v>
      </c>
      <c r="EG94" t="e">
        <f>AND(Bills!#REF!,"AAAAAB/a34g=")</f>
        <v>#REF!</v>
      </c>
      <c r="EH94" t="e">
        <f>AND(Bills!#REF!,"AAAAAB/a34k=")</f>
        <v>#REF!</v>
      </c>
      <c r="EI94" t="e">
        <f>AND(Bills!#REF!,"AAAAAB/a34o=")</f>
        <v>#REF!</v>
      </c>
      <c r="EJ94" t="e">
        <f>AND(Bills!#REF!,"AAAAAB/a34s=")</f>
        <v>#REF!</v>
      </c>
      <c r="EK94" t="e">
        <f>AND(Bills!#REF!,"AAAAAB/a34w=")</f>
        <v>#REF!</v>
      </c>
      <c r="EL94" t="e">
        <f>AND(Bills!#REF!,"AAAAAB/a340=")</f>
        <v>#REF!</v>
      </c>
      <c r="EM94" t="e">
        <f>AND(Bills!AA311,"AAAAAB/a344=")</f>
        <v>#VALUE!</v>
      </c>
      <c r="EN94" t="e">
        <f>AND(Bills!AB311,"AAAAAB/a348=")</f>
        <v>#VALUE!</v>
      </c>
      <c r="EO94" t="e">
        <f>AND(Bills!#REF!,"AAAAAB/a35A=")</f>
        <v>#REF!</v>
      </c>
      <c r="EP94" t="e">
        <f>AND(Bills!#REF!,"AAAAAB/a35E=")</f>
        <v>#REF!</v>
      </c>
      <c r="EQ94" t="e">
        <f>AND(Bills!#REF!,"AAAAAB/a35I=")</f>
        <v>#REF!</v>
      </c>
      <c r="ER94" t="e">
        <f>AND(Bills!AC311,"AAAAAB/a35M=")</f>
        <v>#VALUE!</v>
      </c>
      <c r="ES94" t="e">
        <f>AND(Bills!AD311,"AAAAAB/a35Q=")</f>
        <v>#VALUE!</v>
      </c>
      <c r="ET94" t="e">
        <f>AND(Bills!AE311,"AAAAAB/a35U=")</f>
        <v>#VALUE!</v>
      </c>
      <c r="EU94">
        <f>IF(Bills!312:312,"AAAAAB/a35Y=",0)</f>
        <v>0</v>
      </c>
      <c r="EV94" t="e">
        <f>AND(Bills!B312,"AAAAAB/a35c=")</f>
        <v>#VALUE!</v>
      </c>
      <c r="EW94" t="e">
        <f>AND(Bills!#REF!,"AAAAAB/a35g=")</f>
        <v>#REF!</v>
      </c>
      <c r="EX94" t="e">
        <f>AND(Bills!C312,"AAAAAB/a35k=")</f>
        <v>#VALUE!</v>
      </c>
      <c r="EY94" t="e">
        <f>AND(Bills!D312,"AAAAAB/a35o=")</f>
        <v>#VALUE!</v>
      </c>
      <c r="EZ94" t="e">
        <f>AND(Bills!E312,"AAAAAB/a35s=")</f>
        <v>#VALUE!</v>
      </c>
      <c r="FA94" t="e">
        <f>AND(Bills!#REF!,"AAAAAB/a35w=")</f>
        <v>#REF!</v>
      </c>
      <c r="FB94" t="e">
        <f>AND(Bills!#REF!,"AAAAAB/a350=")</f>
        <v>#REF!</v>
      </c>
      <c r="FC94" t="e">
        <f>AND(Bills!#REF!,"AAAAAB/a354=")</f>
        <v>#REF!</v>
      </c>
      <c r="FD94" t="e">
        <f>AND(Bills!F312,"AAAAAB/a358=")</f>
        <v>#VALUE!</v>
      </c>
      <c r="FE94" t="e">
        <f>AND(Bills!#REF!,"AAAAAB/a36A=")</f>
        <v>#REF!</v>
      </c>
      <c r="FF94" t="e">
        <f>AND(Bills!G312,"AAAAAB/a36E=")</f>
        <v>#VALUE!</v>
      </c>
      <c r="FG94" t="e">
        <f>AND(Bills!H312,"AAAAAB/a36I=")</f>
        <v>#VALUE!</v>
      </c>
      <c r="FH94" t="e">
        <f>AND(Bills!I312,"AAAAAB/a36M=")</f>
        <v>#VALUE!</v>
      </c>
      <c r="FI94" t="e">
        <f>AND(Bills!J312,"AAAAAB/a36Q=")</f>
        <v>#VALUE!</v>
      </c>
      <c r="FJ94" t="e">
        <f>AND(Bills!K312,"AAAAAB/a36U=")</f>
        <v>#VALUE!</v>
      </c>
      <c r="FK94" t="e">
        <f>AND(Bills!L312,"AAAAAB/a36Y=")</f>
        <v>#VALUE!</v>
      </c>
      <c r="FL94" t="e">
        <f>AND(Bills!#REF!,"AAAAAB/a36c=")</f>
        <v>#REF!</v>
      </c>
      <c r="FM94" t="e">
        <f>AND(Bills!M312,"AAAAAB/a36g=")</f>
        <v>#VALUE!</v>
      </c>
      <c r="FN94" t="e">
        <f>AND(Bills!N312,"AAAAAB/a36k=")</f>
        <v>#VALUE!</v>
      </c>
      <c r="FO94" t="e">
        <f>AND(Bills!O312,"AAAAAB/a36o=")</f>
        <v>#VALUE!</v>
      </c>
      <c r="FP94" t="e">
        <f>AND(Bills!P312,"AAAAAB/a36s=")</f>
        <v>#VALUE!</v>
      </c>
      <c r="FQ94" t="e">
        <f>AND(Bills!Q312,"AAAAAB/a36w=")</f>
        <v>#VALUE!</v>
      </c>
      <c r="FR94" t="e">
        <f>AND(Bills!R312,"AAAAAB/a360=")</f>
        <v>#VALUE!</v>
      </c>
      <c r="FS94" t="e">
        <f>AND(Bills!S312,"AAAAAB/a364=")</f>
        <v>#VALUE!</v>
      </c>
      <c r="FT94" t="e">
        <f>AND(Bills!T312,"AAAAAB/a368=")</f>
        <v>#VALUE!</v>
      </c>
      <c r="FU94" t="e">
        <f>AND(Bills!#REF!,"AAAAAB/a37A=")</f>
        <v>#REF!</v>
      </c>
      <c r="FV94" t="e">
        <f>AND(Bills!U312,"AAAAAB/a37E=")</f>
        <v>#VALUE!</v>
      </c>
      <c r="FW94" t="e">
        <f>AND(Bills!V312,"AAAAAB/a37I=")</f>
        <v>#VALUE!</v>
      </c>
      <c r="FX94" t="e">
        <f>AND(Bills!W312,"AAAAAB/a37M=")</f>
        <v>#VALUE!</v>
      </c>
      <c r="FY94" t="e">
        <f>AND(Bills!#REF!,"AAAAAB/a37Q=")</f>
        <v>#REF!</v>
      </c>
      <c r="FZ94" t="e">
        <f>AND(Bills!#REF!,"AAAAAB/a37U=")</f>
        <v>#REF!</v>
      </c>
      <c r="GA94" t="e">
        <f>AND(Bills!Y312,"AAAAAB/a37Y=")</f>
        <v>#VALUE!</v>
      </c>
      <c r="GB94" t="e">
        <f>AND(Bills!Z312,"AAAAAB/a37c=")</f>
        <v>#VALUE!</v>
      </c>
      <c r="GC94" t="e">
        <f>AND(Bills!#REF!,"AAAAAB/a37g=")</f>
        <v>#REF!</v>
      </c>
      <c r="GD94" t="e">
        <f>AND(Bills!#REF!,"AAAAAB/a37k=")</f>
        <v>#REF!</v>
      </c>
      <c r="GE94" t="e">
        <f>AND(Bills!#REF!,"AAAAAB/a37o=")</f>
        <v>#REF!</v>
      </c>
      <c r="GF94" t="e">
        <f>AND(Bills!#REF!,"AAAAAB/a37s=")</f>
        <v>#REF!</v>
      </c>
      <c r="GG94" t="e">
        <f>AND(Bills!#REF!,"AAAAAB/a37w=")</f>
        <v>#REF!</v>
      </c>
      <c r="GH94" t="e">
        <f>AND(Bills!#REF!,"AAAAAB/a370=")</f>
        <v>#REF!</v>
      </c>
      <c r="GI94" t="e">
        <f>AND(Bills!#REF!,"AAAAAB/a374=")</f>
        <v>#REF!</v>
      </c>
      <c r="GJ94" t="e">
        <f>AND(Bills!#REF!,"AAAAAB/a378=")</f>
        <v>#REF!</v>
      </c>
      <c r="GK94" t="e">
        <f>AND(Bills!#REF!,"AAAAAB/a38A=")</f>
        <v>#REF!</v>
      </c>
      <c r="GL94" t="e">
        <f>AND(Bills!AA312,"AAAAAB/a38E=")</f>
        <v>#VALUE!</v>
      </c>
      <c r="GM94" t="e">
        <f>AND(Bills!AB312,"AAAAAB/a38I=")</f>
        <v>#VALUE!</v>
      </c>
      <c r="GN94" t="e">
        <f>AND(Bills!#REF!,"AAAAAB/a38M=")</f>
        <v>#REF!</v>
      </c>
      <c r="GO94" t="e">
        <f>AND(Bills!#REF!,"AAAAAB/a38Q=")</f>
        <v>#REF!</v>
      </c>
      <c r="GP94" t="e">
        <f>AND(Bills!#REF!,"AAAAAB/a38U=")</f>
        <v>#REF!</v>
      </c>
      <c r="GQ94" t="e">
        <f>AND(Bills!AC312,"AAAAAB/a38Y=")</f>
        <v>#VALUE!</v>
      </c>
      <c r="GR94" t="e">
        <f>AND(Bills!AD312,"AAAAAB/a38c=")</f>
        <v>#VALUE!</v>
      </c>
      <c r="GS94" t="e">
        <f>AND(Bills!AE312,"AAAAAB/a38g=")</f>
        <v>#VALUE!</v>
      </c>
      <c r="GT94">
        <f>IF(Bills!313:313,"AAAAAB/a38k=",0)</f>
        <v>0</v>
      </c>
      <c r="GU94" t="e">
        <f>AND(Bills!B313,"AAAAAB/a38o=")</f>
        <v>#VALUE!</v>
      </c>
      <c r="GV94" t="e">
        <f>AND(Bills!#REF!,"AAAAAB/a38s=")</f>
        <v>#REF!</v>
      </c>
      <c r="GW94" t="e">
        <f>AND(Bills!C313,"AAAAAB/a38w=")</f>
        <v>#VALUE!</v>
      </c>
      <c r="GX94" t="e">
        <f>AND(Bills!D313,"AAAAAB/a380=")</f>
        <v>#VALUE!</v>
      </c>
      <c r="GY94" t="e">
        <f>AND(Bills!E313,"AAAAAB/a384=")</f>
        <v>#VALUE!</v>
      </c>
      <c r="GZ94" t="e">
        <f>AND(Bills!#REF!,"AAAAAB/a388=")</f>
        <v>#REF!</v>
      </c>
      <c r="HA94" t="e">
        <f>AND(Bills!#REF!,"AAAAAB/a39A=")</f>
        <v>#REF!</v>
      </c>
      <c r="HB94" t="e">
        <f>AND(Bills!#REF!,"AAAAAB/a39E=")</f>
        <v>#REF!</v>
      </c>
      <c r="HC94" t="e">
        <f>AND(Bills!F313,"AAAAAB/a39I=")</f>
        <v>#VALUE!</v>
      </c>
      <c r="HD94" t="e">
        <f>AND(Bills!#REF!,"AAAAAB/a39M=")</f>
        <v>#REF!</v>
      </c>
      <c r="HE94" t="e">
        <f>AND(Bills!G313,"AAAAAB/a39Q=")</f>
        <v>#VALUE!</v>
      </c>
      <c r="HF94" t="e">
        <f>AND(Bills!H313,"AAAAAB/a39U=")</f>
        <v>#VALUE!</v>
      </c>
      <c r="HG94" t="e">
        <f>AND(Bills!I313,"AAAAAB/a39Y=")</f>
        <v>#VALUE!</v>
      </c>
      <c r="HH94" t="e">
        <f>AND(Bills!J313,"AAAAAB/a39c=")</f>
        <v>#VALUE!</v>
      </c>
      <c r="HI94" t="e">
        <f>AND(Bills!K313,"AAAAAB/a39g=")</f>
        <v>#VALUE!</v>
      </c>
      <c r="HJ94" t="e">
        <f>AND(Bills!L313,"AAAAAB/a39k=")</f>
        <v>#VALUE!</v>
      </c>
      <c r="HK94" t="e">
        <f>AND(Bills!#REF!,"AAAAAB/a39o=")</f>
        <v>#REF!</v>
      </c>
      <c r="HL94" t="e">
        <f>AND(Bills!M313,"AAAAAB/a39s=")</f>
        <v>#VALUE!</v>
      </c>
      <c r="HM94" t="e">
        <f>AND(Bills!N313,"AAAAAB/a39w=")</f>
        <v>#VALUE!</v>
      </c>
      <c r="HN94" t="e">
        <f>AND(Bills!O313,"AAAAAB/a390=")</f>
        <v>#VALUE!</v>
      </c>
      <c r="HO94" t="e">
        <f>AND(Bills!P313,"AAAAAB/a394=")</f>
        <v>#VALUE!</v>
      </c>
      <c r="HP94" t="e">
        <f>AND(Bills!Q313,"AAAAAB/a398=")</f>
        <v>#VALUE!</v>
      </c>
      <c r="HQ94" t="e">
        <f>AND(Bills!R313,"AAAAAB/a3+A=")</f>
        <v>#VALUE!</v>
      </c>
      <c r="HR94" t="e">
        <f>AND(Bills!S313,"AAAAAB/a3+E=")</f>
        <v>#VALUE!</v>
      </c>
      <c r="HS94" t="e">
        <f>AND(Bills!T313,"AAAAAB/a3+I=")</f>
        <v>#VALUE!</v>
      </c>
      <c r="HT94" t="e">
        <f>AND(Bills!#REF!,"AAAAAB/a3+M=")</f>
        <v>#REF!</v>
      </c>
      <c r="HU94" t="e">
        <f>AND(Bills!U313,"AAAAAB/a3+Q=")</f>
        <v>#VALUE!</v>
      </c>
      <c r="HV94" t="e">
        <f>AND(Bills!V313,"AAAAAB/a3+U=")</f>
        <v>#VALUE!</v>
      </c>
      <c r="HW94" t="e">
        <f>AND(Bills!W313,"AAAAAB/a3+Y=")</f>
        <v>#VALUE!</v>
      </c>
      <c r="HX94" t="e">
        <f>AND(Bills!#REF!,"AAAAAB/a3+c=")</f>
        <v>#REF!</v>
      </c>
      <c r="HY94" t="e">
        <f>AND(Bills!#REF!,"AAAAAB/a3+g=")</f>
        <v>#REF!</v>
      </c>
      <c r="HZ94" t="e">
        <f>AND(Bills!Y313,"AAAAAB/a3+k=")</f>
        <v>#VALUE!</v>
      </c>
      <c r="IA94" t="e">
        <f>AND(Bills!Z313,"AAAAAB/a3+o=")</f>
        <v>#VALUE!</v>
      </c>
      <c r="IB94" t="e">
        <f>AND(Bills!#REF!,"AAAAAB/a3+s=")</f>
        <v>#REF!</v>
      </c>
      <c r="IC94" t="e">
        <f>AND(Bills!#REF!,"AAAAAB/a3+w=")</f>
        <v>#REF!</v>
      </c>
      <c r="ID94" t="e">
        <f>AND(Bills!#REF!,"AAAAAB/a3+0=")</f>
        <v>#REF!</v>
      </c>
      <c r="IE94" t="e">
        <f>AND(Bills!#REF!,"AAAAAB/a3+4=")</f>
        <v>#REF!</v>
      </c>
      <c r="IF94" t="e">
        <f>AND(Bills!#REF!,"AAAAAB/a3+8=")</f>
        <v>#REF!</v>
      </c>
      <c r="IG94" t="e">
        <f>AND(Bills!#REF!,"AAAAAB/a3/A=")</f>
        <v>#REF!</v>
      </c>
      <c r="IH94" t="e">
        <f>AND(Bills!#REF!,"AAAAAB/a3/E=")</f>
        <v>#REF!</v>
      </c>
      <c r="II94" t="e">
        <f>AND(Bills!#REF!,"AAAAAB/a3/I=")</f>
        <v>#REF!</v>
      </c>
      <c r="IJ94" t="e">
        <f>AND(Bills!#REF!,"AAAAAB/a3/M=")</f>
        <v>#REF!</v>
      </c>
      <c r="IK94" t="e">
        <f>AND(Bills!AA313,"AAAAAB/a3/Q=")</f>
        <v>#VALUE!</v>
      </c>
      <c r="IL94" t="e">
        <f>AND(Bills!AB313,"AAAAAB/a3/U=")</f>
        <v>#VALUE!</v>
      </c>
      <c r="IM94" t="e">
        <f>AND(Bills!#REF!,"AAAAAB/a3/Y=")</f>
        <v>#REF!</v>
      </c>
      <c r="IN94" t="e">
        <f>AND(Bills!#REF!,"AAAAAB/a3/c=")</f>
        <v>#REF!</v>
      </c>
      <c r="IO94" t="e">
        <f>AND(Bills!#REF!,"AAAAAB/a3/g=")</f>
        <v>#REF!</v>
      </c>
      <c r="IP94" t="e">
        <f>AND(Bills!AC313,"AAAAAB/a3/k=")</f>
        <v>#VALUE!</v>
      </c>
      <c r="IQ94" t="e">
        <f>AND(Bills!AD313,"AAAAAB/a3/o=")</f>
        <v>#VALUE!</v>
      </c>
      <c r="IR94" t="e">
        <f>AND(Bills!AE313,"AAAAAB/a3/s=")</f>
        <v>#VALUE!</v>
      </c>
      <c r="IS94">
        <f>IF(Bills!314:314,"AAAAAB/a3/w=",0)</f>
        <v>0</v>
      </c>
      <c r="IT94" t="e">
        <f>AND(Bills!B314,"AAAAAB/a3/0=")</f>
        <v>#VALUE!</v>
      </c>
      <c r="IU94" t="e">
        <f>AND(Bills!#REF!,"AAAAAB/a3/4=")</f>
        <v>#REF!</v>
      </c>
      <c r="IV94" t="e">
        <f>AND(Bills!C314,"AAAAAB/a3/8=")</f>
        <v>#VALUE!</v>
      </c>
    </row>
    <row r="95" spans="1:256" x14ac:dyDescent="0.25">
      <c r="A95" t="e">
        <f>AND(Bills!D314,"AAAAAGZ71wA=")</f>
        <v>#VALUE!</v>
      </c>
      <c r="B95" t="e">
        <f>AND(Bills!E314,"AAAAAGZ71wE=")</f>
        <v>#VALUE!</v>
      </c>
      <c r="C95" t="e">
        <f>AND(Bills!#REF!,"AAAAAGZ71wI=")</f>
        <v>#REF!</v>
      </c>
      <c r="D95" t="e">
        <f>AND(Bills!#REF!,"AAAAAGZ71wM=")</f>
        <v>#REF!</v>
      </c>
      <c r="E95" t="e">
        <f>AND(Bills!#REF!,"AAAAAGZ71wQ=")</f>
        <v>#REF!</v>
      </c>
      <c r="F95" t="e">
        <f>AND(Bills!F314,"AAAAAGZ71wU=")</f>
        <v>#VALUE!</v>
      </c>
      <c r="G95" t="e">
        <f>AND(Bills!#REF!,"AAAAAGZ71wY=")</f>
        <v>#REF!</v>
      </c>
      <c r="H95" t="e">
        <f>AND(Bills!G314,"AAAAAGZ71wc=")</f>
        <v>#VALUE!</v>
      </c>
      <c r="I95" t="e">
        <f>AND(Bills!H314,"AAAAAGZ71wg=")</f>
        <v>#VALUE!</v>
      </c>
      <c r="J95" t="e">
        <f>AND(Bills!I314,"AAAAAGZ71wk=")</f>
        <v>#VALUE!</v>
      </c>
      <c r="K95" t="e">
        <f>AND(Bills!J314,"AAAAAGZ71wo=")</f>
        <v>#VALUE!</v>
      </c>
      <c r="L95" t="e">
        <f>AND(Bills!K314,"AAAAAGZ71ws=")</f>
        <v>#VALUE!</v>
      </c>
      <c r="M95" t="e">
        <f>AND(Bills!L314,"AAAAAGZ71ww=")</f>
        <v>#VALUE!</v>
      </c>
      <c r="N95" t="e">
        <f>AND(Bills!#REF!,"AAAAAGZ71w0=")</f>
        <v>#REF!</v>
      </c>
      <c r="O95" t="e">
        <f>AND(Bills!M314,"AAAAAGZ71w4=")</f>
        <v>#VALUE!</v>
      </c>
      <c r="P95" t="e">
        <f>AND(Bills!N314,"AAAAAGZ71w8=")</f>
        <v>#VALUE!</v>
      </c>
      <c r="Q95" t="e">
        <f>AND(Bills!O314,"AAAAAGZ71xA=")</f>
        <v>#VALUE!</v>
      </c>
      <c r="R95" t="e">
        <f>AND(Bills!P314,"AAAAAGZ71xE=")</f>
        <v>#VALUE!</v>
      </c>
      <c r="S95" t="e">
        <f>AND(Bills!Q314,"AAAAAGZ71xI=")</f>
        <v>#VALUE!</v>
      </c>
      <c r="T95" t="e">
        <f>AND(Bills!R314,"AAAAAGZ71xM=")</f>
        <v>#VALUE!</v>
      </c>
      <c r="U95" t="e">
        <f>AND(Bills!S314,"AAAAAGZ71xQ=")</f>
        <v>#VALUE!</v>
      </c>
      <c r="V95" t="e">
        <f>AND(Bills!T314,"AAAAAGZ71xU=")</f>
        <v>#VALUE!</v>
      </c>
      <c r="W95" t="e">
        <f>AND(Bills!#REF!,"AAAAAGZ71xY=")</f>
        <v>#REF!</v>
      </c>
      <c r="X95" t="e">
        <f>AND(Bills!U314,"AAAAAGZ71xc=")</f>
        <v>#VALUE!</v>
      </c>
      <c r="Y95" t="e">
        <f>AND(Bills!V314,"AAAAAGZ71xg=")</f>
        <v>#VALUE!</v>
      </c>
      <c r="Z95" t="e">
        <f>AND(Bills!W314,"AAAAAGZ71xk=")</f>
        <v>#VALUE!</v>
      </c>
      <c r="AA95" t="e">
        <f>AND(Bills!#REF!,"AAAAAGZ71xo=")</f>
        <v>#REF!</v>
      </c>
      <c r="AB95" t="e">
        <f>AND(Bills!#REF!,"AAAAAGZ71xs=")</f>
        <v>#REF!</v>
      </c>
      <c r="AC95" t="e">
        <f>AND(Bills!Y314,"AAAAAGZ71xw=")</f>
        <v>#VALUE!</v>
      </c>
      <c r="AD95" t="e">
        <f>AND(Bills!Z314,"AAAAAGZ71x0=")</f>
        <v>#VALUE!</v>
      </c>
      <c r="AE95" t="e">
        <f>AND(Bills!#REF!,"AAAAAGZ71x4=")</f>
        <v>#REF!</v>
      </c>
      <c r="AF95" t="e">
        <f>AND(Bills!#REF!,"AAAAAGZ71x8=")</f>
        <v>#REF!</v>
      </c>
      <c r="AG95" t="e">
        <f>AND(Bills!#REF!,"AAAAAGZ71yA=")</f>
        <v>#REF!</v>
      </c>
      <c r="AH95" t="e">
        <f>AND(Bills!#REF!,"AAAAAGZ71yE=")</f>
        <v>#REF!</v>
      </c>
      <c r="AI95" t="e">
        <f>AND(Bills!#REF!,"AAAAAGZ71yI=")</f>
        <v>#REF!</v>
      </c>
      <c r="AJ95" t="e">
        <f>AND(Bills!#REF!,"AAAAAGZ71yM=")</f>
        <v>#REF!</v>
      </c>
      <c r="AK95" t="e">
        <f>AND(Bills!#REF!,"AAAAAGZ71yQ=")</f>
        <v>#REF!</v>
      </c>
      <c r="AL95" t="e">
        <f>AND(Bills!#REF!,"AAAAAGZ71yU=")</f>
        <v>#REF!</v>
      </c>
      <c r="AM95" t="e">
        <f>AND(Bills!#REF!,"AAAAAGZ71yY=")</f>
        <v>#REF!</v>
      </c>
      <c r="AN95" t="e">
        <f>AND(Bills!AA314,"AAAAAGZ71yc=")</f>
        <v>#VALUE!</v>
      </c>
      <c r="AO95" t="e">
        <f>AND(Bills!AB314,"AAAAAGZ71yg=")</f>
        <v>#VALUE!</v>
      </c>
      <c r="AP95" t="e">
        <f>AND(Bills!#REF!,"AAAAAGZ71yk=")</f>
        <v>#REF!</v>
      </c>
      <c r="AQ95" t="e">
        <f>AND(Bills!#REF!,"AAAAAGZ71yo=")</f>
        <v>#REF!</v>
      </c>
      <c r="AR95" t="e">
        <f>AND(Bills!#REF!,"AAAAAGZ71ys=")</f>
        <v>#REF!</v>
      </c>
      <c r="AS95" t="e">
        <f>AND(Bills!AC314,"AAAAAGZ71yw=")</f>
        <v>#VALUE!</v>
      </c>
      <c r="AT95" t="e">
        <f>AND(Bills!AD314,"AAAAAGZ71y0=")</f>
        <v>#VALUE!</v>
      </c>
      <c r="AU95" t="e">
        <f>AND(Bills!AE314,"AAAAAGZ71y4=")</f>
        <v>#VALUE!</v>
      </c>
      <c r="AV95">
        <f>IF(Bills!315:315,"AAAAAGZ71y8=",0)</f>
        <v>0</v>
      </c>
      <c r="AW95" t="e">
        <f>AND(Bills!B315,"AAAAAGZ71zA=")</f>
        <v>#VALUE!</v>
      </c>
      <c r="AX95" t="e">
        <f>AND(Bills!#REF!,"AAAAAGZ71zE=")</f>
        <v>#REF!</v>
      </c>
      <c r="AY95" t="e">
        <f>AND(Bills!C315,"AAAAAGZ71zI=")</f>
        <v>#VALUE!</v>
      </c>
      <c r="AZ95" t="e">
        <f>AND(Bills!D315,"AAAAAGZ71zM=")</f>
        <v>#VALUE!</v>
      </c>
      <c r="BA95" t="e">
        <f>AND(Bills!E315,"AAAAAGZ71zQ=")</f>
        <v>#VALUE!</v>
      </c>
      <c r="BB95" t="e">
        <f>AND(Bills!#REF!,"AAAAAGZ71zU=")</f>
        <v>#REF!</v>
      </c>
      <c r="BC95" t="e">
        <f>AND(Bills!#REF!,"AAAAAGZ71zY=")</f>
        <v>#REF!</v>
      </c>
      <c r="BD95" t="e">
        <f>AND(Bills!#REF!,"AAAAAGZ71zc=")</f>
        <v>#REF!</v>
      </c>
      <c r="BE95" t="e">
        <f>AND(Bills!F315,"AAAAAGZ71zg=")</f>
        <v>#VALUE!</v>
      </c>
      <c r="BF95" t="e">
        <f>AND(Bills!#REF!,"AAAAAGZ71zk=")</f>
        <v>#REF!</v>
      </c>
      <c r="BG95" t="e">
        <f>AND(Bills!G315,"AAAAAGZ71zo=")</f>
        <v>#VALUE!</v>
      </c>
      <c r="BH95" t="e">
        <f>AND(Bills!H315,"AAAAAGZ71zs=")</f>
        <v>#VALUE!</v>
      </c>
      <c r="BI95" t="e">
        <f>AND(Bills!I315,"AAAAAGZ71zw=")</f>
        <v>#VALUE!</v>
      </c>
      <c r="BJ95" t="e">
        <f>AND(Bills!J315,"AAAAAGZ71z0=")</f>
        <v>#VALUE!</v>
      </c>
      <c r="BK95" t="e">
        <f>AND(Bills!K315,"AAAAAGZ71z4=")</f>
        <v>#VALUE!</v>
      </c>
      <c r="BL95" t="e">
        <f>AND(Bills!L315,"AAAAAGZ71z8=")</f>
        <v>#VALUE!</v>
      </c>
      <c r="BM95" t="e">
        <f>AND(Bills!#REF!,"AAAAAGZ710A=")</f>
        <v>#REF!</v>
      </c>
      <c r="BN95" t="e">
        <f>AND(Bills!M315,"AAAAAGZ710E=")</f>
        <v>#VALUE!</v>
      </c>
      <c r="BO95" t="e">
        <f>AND(Bills!N315,"AAAAAGZ710I=")</f>
        <v>#VALUE!</v>
      </c>
      <c r="BP95" t="e">
        <f>AND(Bills!O315,"AAAAAGZ710M=")</f>
        <v>#VALUE!</v>
      </c>
      <c r="BQ95" t="e">
        <f>AND(Bills!P315,"AAAAAGZ710Q=")</f>
        <v>#VALUE!</v>
      </c>
      <c r="BR95" t="e">
        <f>AND(Bills!Q315,"AAAAAGZ710U=")</f>
        <v>#VALUE!</v>
      </c>
      <c r="BS95" t="e">
        <f>AND(Bills!R315,"AAAAAGZ710Y=")</f>
        <v>#VALUE!</v>
      </c>
      <c r="BT95" t="e">
        <f>AND(Bills!S315,"AAAAAGZ710c=")</f>
        <v>#VALUE!</v>
      </c>
      <c r="BU95" t="e">
        <f>AND(Bills!T315,"AAAAAGZ710g=")</f>
        <v>#VALUE!</v>
      </c>
      <c r="BV95" t="e">
        <f>AND(Bills!#REF!,"AAAAAGZ710k=")</f>
        <v>#REF!</v>
      </c>
      <c r="BW95" t="e">
        <f>AND(Bills!U315,"AAAAAGZ710o=")</f>
        <v>#VALUE!</v>
      </c>
      <c r="BX95" t="e">
        <f>AND(Bills!V315,"AAAAAGZ710s=")</f>
        <v>#VALUE!</v>
      </c>
      <c r="BY95" t="e">
        <f>AND(Bills!W315,"AAAAAGZ710w=")</f>
        <v>#VALUE!</v>
      </c>
      <c r="BZ95" t="e">
        <f>AND(Bills!#REF!,"AAAAAGZ7100=")</f>
        <v>#REF!</v>
      </c>
      <c r="CA95" t="e">
        <f>AND(Bills!#REF!,"AAAAAGZ7104=")</f>
        <v>#REF!</v>
      </c>
      <c r="CB95" t="e">
        <f>AND(Bills!Y315,"AAAAAGZ7108=")</f>
        <v>#VALUE!</v>
      </c>
      <c r="CC95" t="e">
        <f>AND(Bills!Z315,"AAAAAGZ711A=")</f>
        <v>#VALUE!</v>
      </c>
      <c r="CD95" t="e">
        <f>AND(Bills!#REF!,"AAAAAGZ711E=")</f>
        <v>#REF!</v>
      </c>
      <c r="CE95" t="e">
        <f>AND(Bills!#REF!,"AAAAAGZ711I=")</f>
        <v>#REF!</v>
      </c>
      <c r="CF95" t="e">
        <f>AND(Bills!#REF!,"AAAAAGZ711M=")</f>
        <v>#REF!</v>
      </c>
      <c r="CG95" t="e">
        <f>AND(Bills!#REF!,"AAAAAGZ711Q=")</f>
        <v>#REF!</v>
      </c>
      <c r="CH95" t="e">
        <f>AND(Bills!#REF!,"AAAAAGZ711U=")</f>
        <v>#REF!</v>
      </c>
      <c r="CI95" t="e">
        <f>AND(Bills!#REF!,"AAAAAGZ711Y=")</f>
        <v>#REF!</v>
      </c>
      <c r="CJ95" t="e">
        <f>AND(Bills!#REF!,"AAAAAGZ711c=")</f>
        <v>#REF!</v>
      </c>
      <c r="CK95" t="e">
        <f>AND(Bills!#REF!,"AAAAAGZ711g=")</f>
        <v>#REF!</v>
      </c>
      <c r="CL95" t="e">
        <f>AND(Bills!#REF!,"AAAAAGZ711k=")</f>
        <v>#REF!</v>
      </c>
      <c r="CM95" t="e">
        <f>AND(Bills!AA315,"AAAAAGZ711o=")</f>
        <v>#VALUE!</v>
      </c>
      <c r="CN95" t="e">
        <f>AND(Bills!AB315,"AAAAAGZ711s=")</f>
        <v>#VALUE!</v>
      </c>
      <c r="CO95" t="e">
        <f>AND(Bills!#REF!,"AAAAAGZ711w=")</f>
        <v>#REF!</v>
      </c>
      <c r="CP95" t="e">
        <f>AND(Bills!#REF!,"AAAAAGZ7110=")</f>
        <v>#REF!</v>
      </c>
      <c r="CQ95" t="e">
        <f>AND(Bills!#REF!,"AAAAAGZ7114=")</f>
        <v>#REF!</v>
      </c>
      <c r="CR95" t="e">
        <f>AND(Bills!AC315,"AAAAAGZ7118=")</f>
        <v>#VALUE!</v>
      </c>
      <c r="CS95" t="e">
        <f>AND(Bills!AD315,"AAAAAGZ712A=")</f>
        <v>#VALUE!</v>
      </c>
      <c r="CT95" t="e">
        <f>AND(Bills!AE315,"AAAAAGZ712E=")</f>
        <v>#VALUE!</v>
      </c>
      <c r="CU95">
        <f>IF(Bills!316:316,"AAAAAGZ712I=",0)</f>
        <v>0</v>
      </c>
      <c r="CV95" t="e">
        <f>AND(Bills!B316,"AAAAAGZ712M=")</f>
        <v>#VALUE!</v>
      </c>
      <c r="CW95" t="e">
        <f>AND(Bills!#REF!,"AAAAAGZ712Q=")</f>
        <v>#REF!</v>
      </c>
      <c r="CX95" t="e">
        <f>AND(Bills!C316,"AAAAAGZ712U=")</f>
        <v>#VALUE!</v>
      </c>
      <c r="CY95" t="e">
        <f>AND(Bills!D316,"AAAAAGZ712Y=")</f>
        <v>#VALUE!</v>
      </c>
      <c r="CZ95" t="e">
        <f>AND(Bills!E316,"AAAAAGZ712c=")</f>
        <v>#VALUE!</v>
      </c>
      <c r="DA95" t="e">
        <f>AND(Bills!#REF!,"AAAAAGZ712g=")</f>
        <v>#REF!</v>
      </c>
      <c r="DB95" t="e">
        <f>AND(Bills!#REF!,"AAAAAGZ712k=")</f>
        <v>#REF!</v>
      </c>
      <c r="DC95" t="e">
        <f>AND(Bills!#REF!,"AAAAAGZ712o=")</f>
        <v>#REF!</v>
      </c>
      <c r="DD95" t="e">
        <f>AND(Bills!F316,"AAAAAGZ712s=")</f>
        <v>#VALUE!</v>
      </c>
      <c r="DE95" t="e">
        <f>AND(Bills!#REF!,"AAAAAGZ712w=")</f>
        <v>#REF!</v>
      </c>
      <c r="DF95" t="e">
        <f>AND(Bills!G316,"AAAAAGZ7120=")</f>
        <v>#VALUE!</v>
      </c>
      <c r="DG95" t="e">
        <f>AND(Bills!H316,"AAAAAGZ7124=")</f>
        <v>#VALUE!</v>
      </c>
      <c r="DH95" t="e">
        <f>AND(Bills!I316,"AAAAAGZ7128=")</f>
        <v>#VALUE!</v>
      </c>
      <c r="DI95" t="e">
        <f>AND(Bills!J316,"AAAAAGZ713A=")</f>
        <v>#VALUE!</v>
      </c>
      <c r="DJ95" t="e">
        <f>AND(Bills!K316,"AAAAAGZ713E=")</f>
        <v>#VALUE!</v>
      </c>
      <c r="DK95" t="e">
        <f>AND(Bills!L316,"AAAAAGZ713I=")</f>
        <v>#VALUE!</v>
      </c>
      <c r="DL95" t="e">
        <f>AND(Bills!#REF!,"AAAAAGZ713M=")</f>
        <v>#REF!</v>
      </c>
      <c r="DM95" t="e">
        <f>AND(Bills!M316,"AAAAAGZ713Q=")</f>
        <v>#VALUE!</v>
      </c>
      <c r="DN95" t="e">
        <f>AND(Bills!N316,"AAAAAGZ713U=")</f>
        <v>#VALUE!</v>
      </c>
      <c r="DO95" t="e">
        <f>AND(Bills!O316,"AAAAAGZ713Y=")</f>
        <v>#VALUE!</v>
      </c>
      <c r="DP95" t="e">
        <f>AND(Bills!P316,"AAAAAGZ713c=")</f>
        <v>#VALUE!</v>
      </c>
      <c r="DQ95" t="e">
        <f>AND(Bills!Q316,"AAAAAGZ713g=")</f>
        <v>#VALUE!</v>
      </c>
      <c r="DR95" t="e">
        <f>AND(Bills!R316,"AAAAAGZ713k=")</f>
        <v>#VALUE!</v>
      </c>
      <c r="DS95" t="e">
        <f>AND(Bills!S316,"AAAAAGZ713o=")</f>
        <v>#VALUE!</v>
      </c>
      <c r="DT95" t="e">
        <f>AND(Bills!T316,"AAAAAGZ713s=")</f>
        <v>#VALUE!</v>
      </c>
      <c r="DU95" t="e">
        <f>AND(Bills!#REF!,"AAAAAGZ713w=")</f>
        <v>#REF!</v>
      </c>
      <c r="DV95" t="e">
        <f>AND(Bills!U316,"AAAAAGZ7130=")</f>
        <v>#VALUE!</v>
      </c>
      <c r="DW95" t="e">
        <f>AND(Bills!V316,"AAAAAGZ7134=")</f>
        <v>#VALUE!</v>
      </c>
      <c r="DX95" t="e">
        <f>AND(Bills!W316,"AAAAAGZ7138=")</f>
        <v>#VALUE!</v>
      </c>
      <c r="DY95" t="e">
        <f>AND(Bills!#REF!,"AAAAAGZ714A=")</f>
        <v>#REF!</v>
      </c>
      <c r="DZ95" t="e">
        <f>AND(Bills!#REF!,"AAAAAGZ714E=")</f>
        <v>#REF!</v>
      </c>
      <c r="EA95" t="e">
        <f>AND(Bills!Y316,"AAAAAGZ714I=")</f>
        <v>#VALUE!</v>
      </c>
      <c r="EB95" t="e">
        <f>AND(Bills!Z316,"AAAAAGZ714M=")</f>
        <v>#VALUE!</v>
      </c>
      <c r="EC95" t="e">
        <f>AND(Bills!#REF!,"AAAAAGZ714Q=")</f>
        <v>#REF!</v>
      </c>
      <c r="ED95" t="e">
        <f>AND(Bills!#REF!,"AAAAAGZ714U=")</f>
        <v>#REF!</v>
      </c>
      <c r="EE95" t="e">
        <f>AND(Bills!#REF!,"AAAAAGZ714Y=")</f>
        <v>#REF!</v>
      </c>
      <c r="EF95" t="e">
        <f>AND(Bills!#REF!,"AAAAAGZ714c=")</f>
        <v>#REF!</v>
      </c>
      <c r="EG95" t="e">
        <f>AND(Bills!#REF!,"AAAAAGZ714g=")</f>
        <v>#REF!</v>
      </c>
      <c r="EH95" t="e">
        <f>AND(Bills!#REF!,"AAAAAGZ714k=")</f>
        <v>#REF!</v>
      </c>
      <c r="EI95" t="e">
        <f>AND(Bills!#REF!,"AAAAAGZ714o=")</f>
        <v>#REF!</v>
      </c>
      <c r="EJ95" t="e">
        <f>AND(Bills!#REF!,"AAAAAGZ714s=")</f>
        <v>#REF!</v>
      </c>
      <c r="EK95" t="e">
        <f>AND(Bills!#REF!,"AAAAAGZ714w=")</f>
        <v>#REF!</v>
      </c>
      <c r="EL95" t="e">
        <f>AND(Bills!AA316,"AAAAAGZ7140=")</f>
        <v>#VALUE!</v>
      </c>
      <c r="EM95" t="e">
        <f>AND(Bills!AB316,"AAAAAGZ7144=")</f>
        <v>#VALUE!</v>
      </c>
      <c r="EN95" t="e">
        <f>AND(Bills!#REF!,"AAAAAGZ7148=")</f>
        <v>#REF!</v>
      </c>
      <c r="EO95" t="e">
        <f>AND(Bills!#REF!,"AAAAAGZ715A=")</f>
        <v>#REF!</v>
      </c>
      <c r="EP95" t="e">
        <f>AND(Bills!#REF!,"AAAAAGZ715E=")</f>
        <v>#REF!</v>
      </c>
      <c r="EQ95" t="e">
        <f>AND(Bills!AC316,"AAAAAGZ715I=")</f>
        <v>#VALUE!</v>
      </c>
      <c r="ER95" t="e">
        <f>AND(Bills!AD316,"AAAAAGZ715M=")</f>
        <v>#VALUE!</v>
      </c>
      <c r="ES95" t="e">
        <f>AND(Bills!AE316,"AAAAAGZ715Q=")</f>
        <v>#VALUE!</v>
      </c>
      <c r="ET95">
        <f>IF(Bills!317:317,"AAAAAGZ715U=",0)</f>
        <v>0</v>
      </c>
      <c r="EU95" t="e">
        <f>AND(Bills!B317,"AAAAAGZ715Y=")</f>
        <v>#VALUE!</v>
      </c>
      <c r="EV95" t="e">
        <f>AND(Bills!#REF!,"AAAAAGZ715c=")</f>
        <v>#REF!</v>
      </c>
      <c r="EW95" t="e">
        <f>AND(Bills!C317,"AAAAAGZ715g=")</f>
        <v>#VALUE!</v>
      </c>
      <c r="EX95" t="e">
        <f>AND(Bills!D317,"AAAAAGZ715k=")</f>
        <v>#VALUE!</v>
      </c>
      <c r="EY95" t="e">
        <f>AND(Bills!E317,"AAAAAGZ715o=")</f>
        <v>#VALUE!</v>
      </c>
      <c r="EZ95" t="e">
        <f>AND(Bills!#REF!,"AAAAAGZ715s=")</f>
        <v>#REF!</v>
      </c>
      <c r="FA95" t="e">
        <f>AND(Bills!#REF!,"AAAAAGZ715w=")</f>
        <v>#REF!</v>
      </c>
      <c r="FB95" t="e">
        <f>AND(Bills!#REF!,"AAAAAGZ7150=")</f>
        <v>#REF!</v>
      </c>
      <c r="FC95" t="e">
        <f>AND(Bills!F317,"AAAAAGZ7154=")</f>
        <v>#VALUE!</v>
      </c>
      <c r="FD95" t="e">
        <f>AND(Bills!#REF!,"AAAAAGZ7158=")</f>
        <v>#REF!</v>
      </c>
      <c r="FE95" t="e">
        <f>AND(Bills!G317,"AAAAAGZ716A=")</f>
        <v>#VALUE!</v>
      </c>
      <c r="FF95" t="e">
        <f>AND(Bills!H317,"AAAAAGZ716E=")</f>
        <v>#VALUE!</v>
      </c>
      <c r="FG95" t="e">
        <f>AND(Bills!I317,"AAAAAGZ716I=")</f>
        <v>#VALUE!</v>
      </c>
      <c r="FH95" t="e">
        <f>AND(Bills!J317,"AAAAAGZ716M=")</f>
        <v>#VALUE!</v>
      </c>
      <c r="FI95" t="e">
        <f>AND(Bills!K317,"AAAAAGZ716Q=")</f>
        <v>#VALUE!</v>
      </c>
      <c r="FJ95" t="e">
        <f>AND(Bills!L317,"AAAAAGZ716U=")</f>
        <v>#VALUE!</v>
      </c>
      <c r="FK95" t="e">
        <f>AND(Bills!#REF!,"AAAAAGZ716Y=")</f>
        <v>#REF!</v>
      </c>
      <c r="FL95" t="e">
        <f>AND(Bills!M317,"AAAAAGZ716c=")</f>
        <v>#VALUE!</v>
      </c>
      <c r="FM95" t="e">
        <f>AND(Bills!N317,"AAAAAGZ716g=")</f>
        <v>#VALUE!</v>
      </c>
      <c r="FN95" t="e">
        <f>AND(Bills!O317,"AAAAAGZ716k=")</f>
        <v>#VALUE!</v>
      </c>
      <c r="FO95" t="e">
        <f>AND(Bills!P317,"AAAAAGZ716o=")</f>
        <v>#VALUE!</v>
      </c>
      <c r="FP95" t="e">
        <f>AND(Bills!Q317,"AAAAAGZ716s=")</f>
        <v>#VALUE!</v>
      </c>
      <c r="FQ95" t="e">
        <f>AND(Bills!R317,"AAAAAGZ716w=")</f>
        <v>#VALUE!</v>
      </c>
      <c r="FR95" t="e">
        <f>AND(Bills!S317,"AAAAAGZ7160=")</f>
        <v>#VALUE!</v>
      </c>
      <c r="FS95" t="e">
        <f>AND(Bills!T317,"AAAAAGZ7164=")</f>
        <v>#VALUE!</v>
      </c>
      <c r="FT95" t="e">
        <f>AND(Bills!#REF!,"AAAAAGZ7168=")</f>
        <v>#REF!</v>
      </c>
      <c r="FU95" t="e">
        <f>AND(Bills!U317,"AAAAAGZ717A=")</f>
        <v>#VALUE!</v>
      </c>
      <c r="FV95" t="e">
        <f>AND(Bills!V317,"AAAAAGZ717E=")</f>
        <v>#VALUE!</v>
      </c>
      <c r="FW95" t="e">
        <f>AND(Bills!W317,"AAAAAGZ717I=")</f>
        <v>#VALUE!</v>
      </c>
      <c r="FX95" t="e">
        <f>AND(Bills!#REF!,"AAAAAGZ717M=")</f>
        <v>#REF!</v>
      </c>
      <c r="FY95" t="e">
        <f>AND(Bills!#REF!,"AAAAAGZ717Q=")</f>
        <v>#REF!</v>
      </c>
      <c r="FZ95" t="e">
        <f>AND(Bills!Y317,"AAAAAGZ717U=")</f>
        <v>#VALUE!</v>
      </c>
      <c r="GA95" t="e">
        <f>AND(Bills!Z317,"AAAAAGZ717Y=")</f>
        <v>#VALUE!</v>
      </c>
      <c r="GB95" t="e">
        <f>AND(Bills!#REF!,"AAAAAGZ717c=")</f>
        <v>#REF!</v>
      </c>
      <c r="GC95" t="e">
        <f>AND(Bills!#REF!,"AAAAAGZ717g=")</f>
        <v>#REF!</v>
      </c>
      <c r="GD95" t="e">
        <f>AND(Bills!#REF!,"AAAAAGZ717k=")</f>
        <v>#REF!</v>
      </c>
      <c r="GE95" t="e">
        <f>AND(Bills!#REF!,"AAAAAGZ717o=")</f>
        <v>#REF!</v>
      </c>
      <c r="GF95" t="e">
        <f>AND(Bills!#REF!,"AAAAAGZ717s=")</f>
        <v>#REF!</v>
      </c>
      <c r="GG95" t="e">
        <f>AND(Bills!#REF!,"AAAAAGZ717w=")</f>
        <v>#REF!</v>
      </c>
      <c r="GH95" t="e">
        <f>AND(Bills!#REF!,"AAAAAGZ7170=")</f>
        <v>#REF!</v>
      </c>
      <c r="GI95" t="e">
        <f>AND(Bills!#REF!,"AAAAAGZ7174=")</f>
        <v>#REF!</v>
      </c>
      <c r="GJ95" t="e">
        <f>AND(Bills!#REF!,"AAAAAGZ7178=")</f>
        <v>#REF!</v>
      </c>
      <c r="GK95" t="e">
        <f>AND(Bills!AA317,"AAAAAGZ718A=")</f>
        <v>#VALUE!</v>
      </c>
      <c r="GL95" t="e">
        <f>AND(Bills!AB317,"AAAAAGZ718E=")</f>
        <v>#VALUE!</v>
      </c>
      <c r="GM95" t="e">
        <f>AND(Bills!#REF!,"AAAAAGZ718I=")</f>
        <v>#REF!</v>
      </c>
      <c r="GN95" t="e">
        <f>AND(Bills!#REF!,"AAAAAGZ718M=")</f>
        <v>#REF!</v>
      </c>
      <c r="GO95" t="e">
        <f>AND(Bills!#REF!,"AAAAAGZ718Q=")</f>
        <v>#REF!</v>
      </c>
      <c r="GP95" t="e">
        <f>AND(Bills!AC317,"AAAAAGZ718U=")</f>
        <v>#VALUE!</v>
      </c>
      <c r="GQ95" t="e">
        <f>AND(Bills!AD317,"AAAAAGZ718Y=")</f>
        <v>#VALUE!</v>
      </c>
      <c r="GR95" t="e">
        <f>AND(Bills!AE317,"AAAAAGZ718c=")</f>
        <v>#VALUE!</v>
      </c>
      <c r="GS95">
        <f>IF(Bills!318:318,"AAAAAGZ718g=",0)</f>
        <v>0</v>
      </c>
      <c r="GT95" t="e">
        <f>AND(Bills!B318,"AAAAAGZ718k=")</f>
        <v>#VALUE!</v>
      </c>
      <c r="GU95" t="e">
        <f>AND(Bills!#REF!,"AAAAAGZ718o=")</f>
        <v>#REF!</v>
      </c>
      <c r="GV95" t="e">
        <f>AND(Bills!C318,"AAAAAGZ718s=")</f>
        <v>#VALUE!</v>
      </c>
      <c r="GW95" t="e">
        <f>AND(Bills!D318,"AAAAAGZ718w=")</f>
        <v>#VALUE!</v>
      </c>
      <c r="GX95" t="e">
        <f>AND(Bills!E318,"AAAAAGZ7180=")</f>
        <v>#VALUE!</v>
      </c>
      <c r="GY95" t="e">
        <f>AND(Bills!#REF!,"AAAAAGZ7184=")</f>
        <v>#REF!</v>
      </c>
      <c r="GZ95" t="e">
        <f>AND(Bills!#REF!,"AAAAAGZ7188=")</f>
        <v>#REF!</v>
      </c>
      <c r="HA95" t="e">
        <f>AND(Bills!#REF!,"AAAAAGZ719A=")</f>
        <v>#REF!</v>
      </c>
      <c r="HB95" t="e">
        <f>AND(Bills!F318,"AAAAAGZ719E=")</f>
        <v>#VALUE!</v>
      </c>
      <c r="HC95" t="e">
        <f>AND(Bills!#REF!,"AAAAAGZ719I=")</f>
        <v>#REF!</v>
      </c>
      <c r="HD95" t="e">
        <f>AND(Bills!G318,"AAAAAGZ719M=")</f>
        <v>#VALUE!</v>
      </c>
      <c r="HE95" t="e">
        <f>AND(Bills!H318,"AAAAAGZ719Q=")</f>
        <v>#VALUE!</v>
      </c>
      <c r="HF95" t="e">
        <f>AND(Bills!I318,"AAAAAGZ719U=")</f>
        <v>#VALUE!</v>
      </c>
      <c r="HG95" t="e">
        <f>AND(Bills!J318,"AAAAAGZ719Y=")</f>
        <v>#VALUE!</v>
      </c>
      <c r="HH95" t="e">
        <f>AND(Bills!K318,"AAAAAGZ719c=")</f>
        <v>#VALUE!</v>
      </c>
      <c r="HI95" t="e">
        <f>AND(Bills!L318,"AAAAAGZ719g=")</f>
        <v>#VALUE!</v>
      </c>
      <c r="HJ95" t="e">
        <f>AND(Bills!#REF!,"AAAAAGZ719k=")</f>
        <v>#REF!</v>
      </c>
      <c r="HK95" t="e">
        <f>AND(Bills!M318,"AAAAAGZ719o=")</f>
        <v>#VALUE!</v>
      </c>
      <c r="HL95" t="e">
        <f>AND(Bills!N318,"AAAAAGZ719s=")</f>
        <v>#VALUE!</v>
      </c>
      <c r="HM95" t="e">
        <f>AND(Bills!O318,"AAAAAGZ719w=")</f>
        <v>#VALUE!</v>
      </c>
      <c r="HN95" t="e">
        <f>AND(Bills!P318,"AAAAAGZ7190=")</f>
        <v>#VALUE!</v>
      </c>
      <c r="HO95" t="e">
        <f>AND(Bills!Q318,"AAAAAGZ7194=")</f>
        <v>#VALUE!</v>
      </c>
      <c r="HP95" t="e">
        <f>AND(Bills!R318,"AAAAAGZ7198=")</f>
        <v>#VALUE!</v>
      </c>
      <c r="HQ95" t="e">
        <f>AND(Bills!S318,"AAAAAGZ71+A=")</f>
        <v>#VALUE!</v>
      </c>
      <c r="HR95" t="e">
        <f>AND(Bills!T318,"AAAAAGZ71+E=")</f>
        <v>#VALUE!</v>
      </c>
      <c r="HS95" t="e">
        <f>AND(Bills!#REF!,"AAAAAGZ71+I=")</f>
        <v>#REF!</v>
      </c>
      <c r="HT95" t="e">
        <f>AND(Bills!U318,"AAAAAGZ71+M=")</f>
        <v>#VALUE!</v>
      </c>
      <c r="HU95" t="e">
        <f>AND(Bills!V318,"AAAAAGZ71+Q=")</f>
        <v>#VALUE!</v>
      </c>
      <c r="HV95" t="e">
        <f>AND(Bills!W318,"AAAAAGZ71+U=")</f>
        <v>#VALUE!</v>
      </c>
      <c r="HW95" t="e">
        <f>AND(Bills!#REF!,"AAAAAGZ71+Y=")</f>
        <v>#REF!</v>
      </c>
      <c r="HX95" t="e">
        <f>AND(Bills!#REF!,"AAAAAGZ71+c=")</f>
        <v>#REF!</v>
      </c>
      <c r="HY95" t="e">
        <f>AND(Bills!Y318,"AAAAAGZ71+g=")</f>
        <v>#VALUE!</v>
      </c>
      <c r="HZ95" t="e">
        <f>AND(Bills!Z318,"AAAAAGZ71+k=")</f>
        <v>#VALUE!</v>
      </c>
      <c r="IA95" t="e">
        <f>AND(Bills!#REF!,"AAAAAGZ71+o=")</f>
        <v>#REF!</v>
      </c>
      <c r="IB95" t="e">
        <f>AND(Bills!#REF!,"AAAAAGZ71+s=")</f>
        <v>#REF!</v>
      </c>
      <c r="IC95" t="e">
        <f>AND(Bills!#REF!,"AAAAAGZ71+w=")</f>
        <v>#REF!</v>
      </c>
      <c r="ID95" t="e">
        <f>AND(Bills!#REF!,"AAAAAGZ71+0=")</f>
        <v>#REF!</v>
      </c>
      <c r="IE95" t="e">
        <f>AND(Bills!#REF!,"AAAAAGZ71+4=")</f>
        <v>#REF!</v>
      </c>
      <c r="IF95" t="e">
        <f>AND(Bills!#REF!,"AAAAAGZ71+8=")</f>
        <v>#REF!</v>
      </c>
      <c r="IG95" t="e">
        <f>AND(Bills!#REF!,"AAAAAGZ71/A=")</f>
        <v>#REF!</v>
      </c>
      <c r="IH95" t="e">
        <f>AND(Bills!#REF!,"AAAAAGZ71/E=")</f>
        <v>#REF!</v>
      </c>
      <c r="II95" t="e">
        <f>AND(Bills!#REF!,"AAAAAGZ71/I=")</f>
        <v>#REF!</v>
      </c>
      <c r="IJ95" t="e">
        <f>AND(Bills!AA318,"AAAAAGZ71/M=")</f>
        <v>#VALUE!</v>
      </c>
      <c r="IK95" t="e">
        <f>AND(Bills!AB318,"AAAAAGZ71/Q=")</f>
        <v>#VALUE!</v>
      </c>
      <c r="IL95" t="e">
        <f>AND(Bills!#REF!,"AAAAAGZ71/U=")</f>
        <v>#REF!</v>
      </c>
      <c r="IM95" t="e">
        <f>AND(Bills!#REF!,"AAAAAGZ71/Y=")</f>
        <v>#REF!</v>
      </c>
      <c r="IN95" t="e">
        <f>AND(Bills!#REF!,"AAAAAGZ71/c=")</f>
        <v>#REF!</v>
      </c>
      <c r="IO95" t="e">
        <f>AND(Bills!AC318,"AAAAAGZ71/g=")</f>
        <v>#VALUE!</v>
      </c>
      <c r="IP95" t="e">
        <f>AND(Bills!AD318,"AAAAAGZ71/k=")</f>
        <v>#VALUE!</v>
      </c>
      <c r="IQ95" t="e">
        <f>AND(Bills!AE318,"AAAAAGZ71/o=")</f>
        <v>#VALUE!</v>
      </c>
      <c r="IR95">
        <f>IF(Bills!319:319,"AAAAAGZ71/s=",0)</f>
        <v>0</v>
      </c>
      <c r="IS95" t="e">
        <f>AND(Bills!B319,"AAAAAGZ71/w=")</f>
        <v>#VALUE!</v>
      </c>
      <c r="IT95" t="e">
        <f>AND(Bills!#REF!,"AAAAAGZ71/0=")</f>
        <v>#REF!</v>
      </c>
      <c r="IU95" t="e">
        <f>AND(Bills!C319,"AAAAAGZ71/4=")</f>
        <v>#VALUE!</v>
      </c>
      <c r="IV95" t="e">
        <f>AND(Bills!D319,"AAAAAGZ71/8=")</f>
        <v>#VALUE!</v>
      </c>
    </row>
    <row r="96" spans="1:256" x14ac:dyDescent="0.25">
      <c r="A96" t="e">
        <f>AND(Bills!E319,"AAAAAHe/jwA=")</f>
        <v>#VALUE!</v>
      </c>
      <c r="B96" t="e">
        <f>AND(Bills!#REF!,"AAAAAHe/jwE=")</f>
        <v>#REF!</v>
      </c>
      <c r="C96" t="e">
        <f>AND(Bills!#REF!,"AAAAAHe/jwI=")</f>
        <v>#REF!</v>
      </c>
      <c r="D96" t="e">
        <f>AND(Bills!#REF!,"AAAAAHe/jwM=")</f>
        <v>#REF!</v>
      </c>
      <c r="E96" t="e">
        <f>AND(Bills!F319,"AAAAAHe/jwQ=")</f>
        <v>#VALUE!</v>
      </c>
      <c r="F96" t="e">
        <f>AND(Bills!#REF!,"AAAAAHe/jwU=")</f>
        <v>#REF!</v>
      </c>
      <c r="G96" t="e">
        <f>AND(Bills!G319,"AAAAAHe/jwY=")</f>
        <v>#VALUE!</v>
      </c>
      <c r="H96" t="e">
        <f>AND(Bills!H319,"AAAAAHe/jwc=")</f>
        <v>#VALUE!</v>
      </c>
      <c r="I96" t="e">
        <f>AND(Bills!I319,"AAAAAHe/jwg=")</f>
        <v>#VALUE!</v>
      </c>
      <c r="J96" t="e">
        <f>AND(Bills!J319,"AAAAAHe/jwk=")</f>
        <v>#VALUE!</v>
      </c>
      <c r="K96" t="e">
        <f>AND(Bills!K319,"AAAAAHe/jwo=")</f>
        <v>#VALUE!</v>
      </c>
      <c r="L96" t="e">
        <f>AND(Bills!L319,"AAAAAHe/jws=")</f>
        <v>#VALUE!</v>
      </c>
      <c r="M96" t="e">
        <f>AND(Bills!#REF!,"AAAAAHe/jww=")</f>
        <v>#REF!</v>
      </c>
      <c r="N96" t="e">
        <f>AND(Bills!M319,"AAAAAHe/jw0=")</f>
        <v>#VALUE!</v>
      </c>
      <c r="O96" t="e">
        <f>AND(Bills!N319,"AAAAAHe/jw4=")</f>
        <v>#VALUE!</v>
      </c>
      <c r="P96" t="e">
        <f>AND(Bills!O319,"AAAAAHe/jw8=")</f>
        <v>#VALUE!</v>
      </c>
      <c r="Q96" t="e">
        <f>AND(Bills!P319,"AAAAAHe/jxA=")</f>
        <v>#VALUE!</v>
      </c>
      <c r="R96" t="e">
        <f>AND(Bills!Q319,"AAAAAHe/jxE=")</f>
        <v>#VALUE!</v>
      </c>
      <c r="S96" t="e">
        <f>AND(Bills!R319,"AAAAAHe/jxI=")</f>
        <v>#VALUE!</v>
      </c>
      <c r="T96" t="e">
        <f>AND(Bills!S319,"AAAAAHe/jxM=")</f>
        <v>#VALUE!</v>
      </c>
      <c r="U96" t="e">
        <f>AND(Bills!T319,"AAAAAHe/jxQ=")</f>
        <v>#VALUE!</v>
      </c>
      <c r="V96" t="e">
        <f>AND(Bills!#REF!,"AAAAAHe/jxU=")</f>
        <v>#REF!</v>
      </c>
      <c r="W96" t="e">
        <f>AND(Bills!U319,"AAAAAHe/jxY=")</f>
        <v>#VALUE!</v>
      </c>
      <c r="X96" t="e">
        <f>AND(Bills!V319,"AAAAAHe/jxc=")</f>
        <v>#VALUE!</v>
      </c>
      <c r="Y96" t="e">
        <f>AND(Bills!W319,"AAAAAHe/jxg=")</f>
        <v>#VALUE!</v>
      </c>
      <c r="Z96" t="e">
        <f>AND(Bills!#REF!,"AAAAAHe/jxk=")</f>
        <v>#REF!</v>
      </c>
      <c r="AA96" t="e">
        <f>AND(Bills!#REF!,"AAAAAHe/jxo=")</f>
        <v>#REF!</v>
      </c>
      <c r="AB96" t="e">
        <f>AND(Bills!Y319,"AAAAAHe/jxs=")</f>
        <v>#VALUE!</v>
      </c>
      <c r="AC96" t="e">
        <f>AND(Bills!Z319,"AAAAAHe/jxw=")</f>
        <v>#VALUE!</v>
      </c>
      <c r="AD96" t="e">
        <f>AND(Bills!#REF!,"AAAAAHe/jx0=")</f>
        <v>#REF!</v>
      </c>
      <c r="AE96" t="e">
        <f>AND(Bills!#REF!,"AAAAAHe/jx4=")</f>
        <v>#REF!</v>
      </c>
      <c r="AF96" t="e">
        <f>AND(Bills!#REF!,"AAAAAHe/jx8=")</f>
        <v>#REF!</v>
      </c>
      <c r="AG96" t="e">
        <f>AND(Bills!#REF!,"AAAAAHe/jyA=")</f>
        <v>#REF!</v>
      </c>
      <c r="AH96" t="e">
        <f>AND(Bills!#REF!,"AAAAAHe/jyE=")</f>
        <v>#REF!</v>
      </c>
      <c r="AI96" t="e">
        <f>AND(Bills!#REF!,"AAAAAHe/jyI=")</f>
        <v>#REF!</v>
      </c>
      <c r="AJ96" t="e">
        <f>AND(Bills!#REF!,"AAAAAHe/jyM=")</f>
        <v>#REF!</v>
      </c>
      <c r="AK96" t="e">
        <f>AND(Bills!#REF!,"AAAAAHe/jyQ=")</f>
        <v>#REF!</v>
      </c>
      <c r="AL96" t="e">
        <f>AND(Bills!#REF!,"AAAAAHe/jyU=")</f>
        <v>#REF!</v>
      </c>
      <c r="AM96" t="e">
        <f>AND(Bills!AA319,"AAAAAHe/jyY=")</f>
        <v>#VALUE!</v>
      </c>
      <c r="AN96" t="e">
        <f>AND(Bills!AB319,"AAAAAHe/jyc=")</f>
        <v>#VALUE!</v>
      </c>
      <c r="AO96" t="e">
        <f>AND(Bills!#REF!,"AAAAAHe/jyg=")</f>
        <v>#REF!</v>
      </c>
      <c r="AP96" t="e">
        <f>AND(Bills!#REF!,"AAAAAHe/jyk=")</f>
        <v>#REF!</v>
      </c>
      <c r="AQ96" t="e">
        <f>AND(Bills!#REF!,"AAAAAHe/jyo=")</f>
        <v>#REF!</v>
      </c>
      <c r="AR96" t="e">
        <f>AND(Bills!AC319,"AAAAAHe/jys=")</f>
        <v>#VALUE!</v>
      </c>
      <c r="AS96" t="e">
        <f>AND(Bills!AD319,"AAAAAHe/jyw=")</f>
        <v>#VALUE!</v>
      </c>
      <c r="AT96" t="e">
        <f>AND(Bills!AE319,"AAAAAHe/jy0=")</f>
        <v>#VALUE!</v>
      </c>
      <c r="AU96">
        <f>IF(Bills!320:320,"AAAAAHe/jy4=",0)</f>
        <v>0</v>
      </c>
      <c r="AV96" t="e">
        <f>AND(Bills!B320,"AAAAAHe/jy8=")</f>
        <v>#VALUE!</v>
      </c>
      <c r="AW96" t="e">
        <f>AND(Bills!#REF!,"AAAAAHe/jzA=")</f>
        <v>#REF!</v>
      </c>
      <c r="AX96" t="e">
        <f>AND(Bills!C320,"AAAAAHe/jzE=")</f>
        <v>#VALUE!</v>
      </c>
      <c r="AY96" t="e">
        <f>AND(Bills!D320,"AAAAAHe/jzI=")</f>
        <v>#VALUE!</v>
      </c>
      <c r="AZ96" t="e">
        <f>AND(Bills!E320,"AAAAAHe/jzM=")</f>
        <v>#VALUE!</v>
      </c>
      <c r="BA96" t="e">
        <f>AND(Bills!#REF!,"AAAAAHe/jzQ=")</f>
        <v>#REF!</v>
      </c>
      <c r="BB96" t="e">
        <f>AND(Bills!#REF!,"AAAAAHe/jzU=")</f>
        <v>#REF!</v>
      </c>
      <c r="BC96" t="e">
        <f>AND(Bills!#REF!,"AAAAAHe/jzY=")</f>
        <v>#REF!</v>
      </c>
      <c r="BD96" t="e">
        <f>AND(Bills!F320,"AAAAAHe/jzc=")</f>
        <v>#VALUE!</v>
      </c>
      <c r="BE96" t="e">
        <f>AND(Bills!#REF!,"AAAAAHe/jzg=")</f>
        <v>#REF!</v>
      </c>
      <c r="BF96" t="e">
        <f>AND(Bills!G320,"AAAAAHe/jzk=")</f>
        <v>#VALUE!</v>
      </c>
      <c r="BG96" t="e">
        <f>AND(Bills!H320,"AAAAAHe/jzo=")</f>
        <v>#VALUE!</v>
      </c>
      <c r="BH96" t="e">
        <f>AND(Bills!I320,"AAAAAHe/jzs=")</f>
        <v>#VALUE!</v>
      </c>
      <c r="BI96" t="e">
        <f>AND(Bills!J320,"AAAAAHe/jzw=")</f>
        <v>#VALUE!</v>
      </c>
      <c r="BJ96" t="e">
        <f>AND(Bills!K320,"AAAAAHe/jz0=")</f>
        <v>#VALUE!</v>
      </c>
      <c r="BK96" t="e">
        <f>AND(Bills!L320,"AAAAAHe/jz4=")</f>
        <v>#VALUE!</v>
      </c>
      <c r="BL96" t="e">
        <f>AND(Bills!#REF!,"AAAAAHe/jz8=")</f>
        <v>#REF!</v>
      </c>
      <c r="BM96" t="e">
        <f>AND(Bills!M320,"AAAAAHe/j0A=")</f>
        <v>#VALUE!</v>
      </c>
      <c r="BN96" t="e">
        <f>AND(Bills!N320,"AAAAAHe/j0E=")</f>
        <v>#VALUE!</v>
      </c>
      <c r="BO96" t="e">
        <f>AND(Bills!O320,"AAAAAHe/j0I=")</f>
        <v>#VALUE!</v>
      </c>
      <c r="BP96" t="e">
        <f>AND(Bills!P320,"AAAAAHe/j0M=")</f>
        <v>#VALUE!</v>
      </c>
      <c r="BQ96" t="e">
        <f>AND(Bills!Q320,"AAAAAHe/j0Q=")</f>
        <v>#VALUE!</v>
      </c>
      <c r="BR96" t="e">
        <f>AND(Bills!R320,"AAAAAHe/j0U=")</f>
        <v>#VALUE!</v>
      </c>
      <c r="BS96" t="e">
        <f>AND(Bills!S320,"AAAAAHe/j0Y=")</f>
        <v>#VALUE!</v>
      </c>
      <c r="BT96" t="e">
        <f>AND(Bills!T320,"AAAAAHe/j0c=")</f>
        <v>#VALUE!</v>
      </c>
      <c r="BU96" t="e">
        <f>AND(Bills!#REF!,"AAAAAHe/j0g=")</f>
        <v>#REF!</v>
      </c>
      <c r="BV96" t="e">
        <f>AND(Bills!U320,"AAAAAHe/j0k=")</f>
        <v>#VALUE!</v>
      </c>
      <c r="BW96" t="e">
        <f>AND(Bills!V320,"AAAAAHe/j0o=")</f>
        <v>#VALUE!</v>
      </c>
      <c r="BX96" t="e">
        <f>AND(Bills!W320,"AAAAAHe/j0s=")</f>
        <v>#VALUE!</v>
      </c>
      <c r="BY96" t="e">
        <f>AND(Bills!#REF!,"AAAAAHe/j0w=")</f>
        <v>#REF!</v>
      </c>
      <c r="BZ96" t="e">
        <f>AND(Bills!#REF!,"AAAAAHe/j00=")</f>
        <v>#REF!</v>
      </c>
      <c r="CA96" t="e">
        <f>AND(Bills!Y320,"AAAAAHe/j04=")</f>
        <v>#VALUE!</v>
      </c>
      <c r="CB96" t="e">
        <f>AND(Bills!Z320,"AAAAAHe/j08=")</f>
        <v>#VALUE!</v>
      </c>
      <c r="CC96" t="e">
        <f>AND(Bills!#REF!,"AAAAAHe/j1A=")</f>
        <v>#REF!</v>
      </c>
      <c r="CD96" t="e">
        <f>AND(Bills!#REF!,"AAAAAHe/j1E=")</f>
        <v>#REF!</v>
      </c>
      <c r="CE96" t="e">
        <f>AND(Bills!#REF!,"AAAAAHe/j1I=")</f>
        <v>#REF!</v>
      </c>
      <c r="CF96" t="e">
        <f>AND(Bills!#REF!,"AAAAAHe/j1M=")</f>
        <v>#REF!</v>
      </c>
      <c r="CG96" t="e">
        <f>AND(Bills!#REF!,"AAAAAHe/j1Q=")</f>
        <v>#REF!</v>
      </c>
      <c r="CH96" t="e">
        <f>AND(Bills!#REF!,"AAAAAHe/j1U=")</f>
        <v>#REF!</v>
      </c>
      <c r="CI96" t="e">
        <f>AND(Bills!#REF!,"AAAAAHe/j1Y=")</f>
        <v>#REF!</v>
      </c>
      <c r="CJ96" t="e">
        <f>AND(Bills!#REF!,"AAAAAHe/j1c=")</f>
        <v>#REF!</v>
      </c>
      <c r="CK96" t="e">
        <f>AND(Bills!#REF!,"AAAAAHe/j1g=")</f>
        <v>#REF!</v>
      </c>
      <c r="CL96" t="e">
        <f>AND(Bills!AA320,"AAAAAHe/j1k=")</f>
        <v>#VALUE!</v>
      </c>
      <c r="CM96" t="e">
        <f>AND(Bills!AB320,"AAAAAHe/j1o=")</f>
        <v>#VALUE!</v>
      </c>
      <c r="CN96" t="e">
        <f>AND(Bills!#REF!,"AAAAAHe/j1s=")</f>
        <v>#REF!</v>
      </c>
      <c r="CO96" t="e">
        <f>AND(Bills!#REF!,"AAAAAHe/j1w=")</f>
        <v>#REF!</v>
      </c>
      <c r="CP96" t="e">
        <f>AND(Bills!#REF!,"AAAAAHe/j10=")</f>
        <v>#REF!</v>
      </c>
      <c r="CQ96" t="e">
        <f>AND(Bills!AC320,"AAAAAHe/j14=")</f>
        <v>#VALUE!</v>
      </c>
      <c r="CR96" t="e">
        <f>AND(Bills!AD320,"AAAAAHe/j18=")</f>
        <v>#VALUE!</v>
      </c>
      <c r="CS96" t="e">
        <f>AND(Bills!AE320,"AAAAAHe/j2A=")</f>
        <v>#VALUE!</v>
      </c>
      <c r="CT96">
        <f>IF(Bills!321:321,"AAAAAHe/j2E=",0)</f>
        <v>0</v>
      </c>
      <c r="CU96" t="e">
        <f>AND(Bills!B321,"AAAAAHe/j2I=")</f>
        <v>#VALUE!</v>
      </c>
      <c r="CV96" t="e">
        <f>AND(Bills!#REF!,"AAAAAHe/j2M=")</f>
        <v>#REF!</v>
      </c>
      <c r="CW96" t="e">
        <f>AND(Bills!C321,"AAAAAHe/j2Q=")</f>
        <v>#VALUE!</v>
      </c>
      <c r="CX96" t="e">
        <f>AND(Bills!D321,"AAAAAHe/j2U=")</f>
        <v>#VALUE!</v>
      </c>
      <c r="CY96" t="e">
        <f>AND(Bills!E321,"AAAAAHe/j2Y=")</f>
        <v>#VALUE!</v>
      </c>
      <c r="CZ96" t="e">
        <f>AND(Bills!#REF!,"AAAAAHe/j2c=")</f>
        <v>#REF!</v>
      </c>
      <c r="DA96" t="e">
        <f>AND(Bills!#REF!,"AAAAAHe/j2g=")</f>
        <v>#REF!</v>
      </c>
      <c r="DB96" t="e">
        <f>AND(Bills!#REF!,"AAAAAHe/j2k=")</f>
        <v>#REF!</v>
      </c>
      <c r="DC96" t="e">
        <f>AND(Bills!F321,"AAAAAHe/j2o=")</f>
        <v>#VALUE!</v>
      </c>
      <c r="DD96" t="e">
        <f>AND(Bills!#REF!,"AAAAAHe/j2s=")</f>
        <v>#REF!</v>
      </c>
      <c r="DE96" t="e">
        <f>AND(Bills!G321,"AAAAAHe/j2w=")</f>
        <v>#VALUE!</v>
      </c>
      <c r="DF96" t="e">
        <f>AND(Bills!H321,"AAAAAHe/j20=")</f>
        <v>#VALUE!</v>
      </c>
      <c r="DG96" t="e">
        <f>AND(Bills!I321,"AAAAAHe/j24=")</f>
        <v>#VALUE!</v>
      </c>
      <c r="DH96" t="e">
        <f>AND(Bills!J321,"AAAAAHe/j28=")</f>
        <v>#VALUE!</v>
      </c>
      <c r="DI96" t="e">
        <f>AND(Bills!K321,"AAAAAHe/j3A=")</f>
        <v>#VALUE!</v>
      </c>
      <c r="DJ96" t="e">
        <f>AND(Bills!L321,"AAAAAHe/j3E=")</f>
        <v>#VALUE!</v>
      </c>
      <c r="DK96" t="e">
        <f>AND(Bills!#REF!,"AAAAAHe/j3I=")</f>
        <v>#REF!</v>
      </c>
      <c r="DL96" t="e">
        <f>AND(Bills!M321,"AAAAAHe/j3M=")</f>
        <v>#VALUE!</v>
      </c>
      <c r="DM96" t="e">
        <f>AND(Bills!N321,"AAAAAHe/j3Q=")</f>
        <v>#VALUE!</v>
      </c>
      <c r="DN96" t="e">
        <f>AND(Bills!O321,"AAAAAHe/j3U=")</f>
        <v>#VALUE!</v>
      </c>
      <c r="DO96" t="e">
        <f>AND(Bills!P321,"AAAAAHe/j3Y=")</f>
        <v>#VALUE!</v>
      </c>
      <c r="DP96" t="e">
        <f>AND(Bills!Q321,"AAAAAHe/j3c=")</f>
        <v>#VALUE!</v>
      </c>
      <c r="DQ96" t="e">
        <f>AND(Bills!R321,"AAAAAHe/j3g=")</f>
        <v>#VALUE!</v>
      </c>
      <c r="DR96" t="e">
        <f>AND(Bills!S321,"AAAAAHe/j3k=")</f>
        <v>#VALUE!</v>
      </c>
      <c r="DS96" t="e">
        <f>AND(Bills!T321,"AAAAAHe/j3o=")</f>
        <v>#VALUE!</v>
      </c>
      <c r="DT96" t="e">
        <f>AND(Bills!#REF!,"AAAAAHe/j3s=")</f>
        <v>#REF!</v>
      </c>
      <c r="DU96" t="e">
        <f>AND(Bills!U321,"AAAAAHe/j3w=")</f>
        <v>#VALUE!</v>
      </c>
      <c r="DV96" t="e">
        <f>AND(Bills!V321,"AAAAAHe/j30=")</f>
        <v>#VALUE!</v>
      </c>
      <c r="DW96" t="e">
        <f>AND(Bills!W321,"AAAAAHe/j34=")</f>
        <v>#VALUE!</v>
      </c>
      <c r="DX96" t="e">
        <f>AND(Bills!#REF!,"AAAAAHe/j38=")</f>
        <v>#REF!</v>
      </c>
      <c r="DY96" t="e">
        <f>AND(Bills!#REF!,"AAAAAHe/j4A=")</f>
        <v>#REF!</v>
      </c>
      <c r="DZ96" t="e">
        <f>AND(Bills!Y321,"AAAAAHe/j4E=")</f>
        <v>#VALUE!</v>
      </c>
      <c r="EA96" t="e">
        <f>AND(Bills!Z321,"AAAAAHe/j4I=")</f>
        <v>#VALUE!</v>
      </c>
      <c r="EB96" t="e">
        <f>AND(Bills!#REF!,"AAAAAHe/j4M=")</f>
        <v>#REF!</v>
      </c>
      <c r="EC96" t="e">
        <f>AND(Bills!#REF!,"AAAAAHe/j4Q=")</f>
        <v>#REF!</v>
      </c>
      <c r="ED96" t="e">
        <f>AND(Bills!#REF!,"AAAAAHe/j4U=")</f>
        <v>#REF!</v>
      </c>
      <c r="EE96" t="e">
        <f>AND(Bills!#REF!,"AAAAAHe/j4Y=")</f>
        <v>#REF!</v>
      </c>
      <c r="EF96" t="e">
        <f>AND(Bills!#REF!,"AAAAAHe/j4c=")</f>
        <v>#REF!</v>
      </c>
      <c r="EG96" t="e">
        <f>AND(Bills!#REF!,"AAAAAHe/j4g=")</f>
        <v>#REF!</v>
      </c>
      <c r="EH96" t="e">
        <f>AND(Bills!#REF!,"AAAAAHe/j4k=")</f>
        <v>#REF!</v>
      </c>
      <c r="EI96" t="e">
        <f>AND(Bills!#REF!,"AAAAAHe/j4o=")</f>
        <v>#REF!</v>
      </c>
      <c r="EJ96" t="e">
        <f>AND(Bills!#REF!,"AAAAAHe/j4s=")</f>
        <v>#REF!</v>
      </c>
      <c r="EK96" t="e">
        <f>AND(Bills!AA321,"AAAAAHe/j4w=")</f>
        <v>#VALUE!</v>
      </c>
      <c r="EL96" t="e">
        <f>AND(Bills!AB321,"AAAAAHe/j40=")</f>
        <v>#VALUE!</v>
      </c>
      <c r="EM96" t="e">
        <f>AND(Bills!#REF!,"AAAAAHe/j44=")</f>
        <v>#REF!</v>
      </c>
      <c r="EN96" t="e">
        <f>AND(Bills!#REF!,"AAAAAHe/j48=")</f>
        <v>#REF!</v>
      </c>
      <c r="EO96" t="e">
        <f>AND(Bills!#REF!,"AAAAAHe/j5A=")</f>
        <v>#REF!</v>
      </c>
      <c r="EP96" t="e">
        <f>AND(Bills!AC321,"AAAAAHe/j5E=")</f>
        <v>#VALUE!</v>
      </c>
      <c r="EQ96" t="e">
        <f>AND(Bills!AD321,"AAAAAHe/j5I=")</f>
        <v>#VALUE!</v>
      </c>
      <c r="ER96" t="e">
        <f>AND(Bills!AE321,"AAAAAHe/j5M=")</f>
        <v>#VALUE!</v>
      </c>
      <c r="ES96">
        <f>IF(Bills!322:322,"AAAAAHe/j5Q=",0)</f>
        <v>0</v>
      </c>
      <c r="ET96" t="e">
        <f>AND(Bills!B322,"AAAAAHe/j5U=")</f>
        <v>#VALUE!</v>
      </c>
      <c r="EU96" t="e">
        <f>AND(Bills!#REF!,"AAAAAHe/j5Y=")</f>
        <v>#REF!</v>
      </c>
      <c r="EV96" t="e">
        <f>AND(Bills!C322,"AAAAAHe/j5c=")</f>
        <v>#VALUE!</v>
      </c>
      <c r="EW96" t="e">
        <f>AND(Bills!D322,"AAAAAHe/j5g=")</f>
        <v>#VALUE!</v>
      </c>
      <c r="EX96" t="e">
        <f>AND(Bills!E322,"AAAAAHe/j5k=")</f>
        <v>#VALUE!</v>
      </c>
      <c r="EY96" t="e">
        <f>AND(Bills!#REF!,"AAAAAHe/j5o=")</f>
        <v>#REF!</v>
      </c>
      <c r="EZ96" t="e">
        <f>AND(Bills!#REF!,"AAAAAHe/j5s=")</f>
        <v>#REF!</v>
      </c>
      <c r="FA96" t="e">
        <f>AND(Bills!#REF!,"AAAAAHe/j5w=")</f>
        <v>#REF!</v>
      </c>
      <c r="FB96" t="e">
        <f>AND(Bills!F322,"AAAAAHe/j50=")</f>
        <v>#VALUE!</v>
      </c>
      <c r="FC96" t="e">
        <f>AND(Bills!#REF!,"AAAAAHe/j54=")</f>
        <v>#REF!</v>
      </c>
      <c r="FD96" t="e">
        <f>AND(Bills!G322,"AAAAAHe/j58=")</f>
        <v>#VALUE!</v>
      </c>
      <c r="FE96" t="e">
        <f>AND(Bills!H322,"AAAAAHe/j6A=")</f>
        <v>#VALUE!</v>
      </c>
      <c r="FF96" t="e">
        <f>AND(Bills!I322,"AAAAAHe/j6E=")</f>
        <v>#VALUE!</v>
      </c>
      <c r="FG96" t="e">
        <f>AND(Bills!J322,"AAAAAHe/j6I=")</f>
        <v>#VALUE!</v>
      </c>
      <c r="FH96" t="e">
        <f>AND(Bills!K322,"AAAAAHe/j6M=")</f>
        <v>#VALUE!</v>
      </c>
      <c r="FI96" t="e">
        <f>AND(Bills!L322,"AAAAAHe/j6Q=")</f>
        <v>#VALUE!</v>
      </c>
      <c r="FJ96" t="e">
        <f>AND(Bills!#REF!,"AAAAAHe/j6U=")</f>
        <v>#REF!</v>
      </c>
      <c r="FK96" t="e">
        <f>AND(Bills!M322,"AAAAAHe/j6Y=")</f>
        <v>#VALUE!</v>
      </c>
      <c r="FL96" t="e">
        <f>AND(Bills!N322,"AAAAAHe/j6c=")</f>
        <v>#VALUE!</v>
      </c>
      <c r="FM96" t="e">
        <f>AND(Bills!O322,"AAAAAHe/j6g=")</f>
        <v>#VALUE!</v>
      </c>
      <c r="FN96" t="e">
        <f>AND(Bills!P322,"AAAAAHe/j6k=")</f>
        <v>#VALUE!</v>
      </c>
      <c r="FO96" t="e">
        <f>AND(Bills!Q322,"AAAAAHe/j6o=")</f>
        <v>#VALUE!</v>
      </c>
      <c r="FP96" t="e">
        <f>AND(Bills!R322,"AAAAAHe/j6s=")</f>
        <v>#VALUE!</v>
      </c>
      <c r="FQ96" t="e">
        <f>AND(Bills!S322,"AAAAAHe/j6w=")</f>
        <v>#VALUE!</v>
      </c>
      <c r="FR96" t="e">
        <f>AND(Bills!T322,"AAAAAHe/j60=")</f>
        <v>#VALUE!</v>
      </c>
      <c r="FS96" t="e">
        <f>AND(Bills!#REF!,"AAAAAHe/j64=")</f>
        <v>#REF!</v>
      </c>
      <c r="FT96" t="e">
        <f>AND(Bills!U322,"AAAAAHe/j68=")</f>
        <v>#VALUE!</v>
      </c>
      <c r="FU96" t="e">
        <f>AND(Bills!V322,"AAAAAHe/j7A=")</f>
        <v>#VALUE!</v>
      </c>
      <c r="FV96" t="e">
        <f>AND(Bills!W322,"AAAAAHe/j7E=")</f>
        <v>#VALUE!</v>
      </c>
      <c r="FW96" t="e">
        <f>AND(Bills!#REF!,"AAAAAHe/j7I=")</f>
        <v>#REF!</v>
      </c>
      <c r="FX96" t="e">
        <f>AND(Bills!#REF!,"AAAAAHe/j7M=")</f>
        <v>#REF!</v>
      </c>
      <c r="FY96" t="e">
        <f>AND(Bills!Y322,"AAAAAHe/j7Q=")</f>
        <v>#VALUE!</v>
      </c>
      <c r="FZ96" t="e">
        <f>AND(Bills!Z322,"AAAAAHe/j7U=")</f>
        <v>#VALUE!</v>
      </c>
      <c r="GA96" t="e">
        <f>AND(Bills!#REF!,"AAAAAHe/j7Y=")</f>
        <v>#REF!</v>
      </c>
      <c r="GB96" t="e">
        <f>AND(Bills!#REF!,"AAAAAHe/j7c=")</f>
        <v>#REF!</v>
      </c>
      <c r="GC96" t="e">
        <f>AND(Bills!#REF!,"AAAAAHe/j7g=")</f>
        <v>#REF!</v>
      </c>
      <c r="GD96" t="e">
        <f>AND(Bills!#REF!,"AAAAAHe/j7k=")</f>
        <v>#REF!</v>
      </c>
      <c r="GE96" t="e">
        <f>AND(Bills!#REF!,"AAAAAHe/j7o=")</f>
        <v>#REF!</v>
      </c>
      <c r="GF96" t="e">
        <f>AND(Bills!#REF!,"AAAAAHe/j7s=")</f>
        <v>#REF!</v>
      </c>
      <c r="GG96" t="e">
        <f>AND(Bills!#REF!,"AAAAAHe/j7w=")</f>
        <v>#REF!</v>
      </c>
      <c r="GH96" t="e">
        <f>AND(Bills!#REF!,"AAAAAHe/j70=")</f>
        <v>#REF!</v>
      </c>
      <c r="GI96" t="e">
        <f>AND(Bills!#REF!,"AAAAAHe/j74=")</f>
        <v>#REF!</v>
      </c>
      <c r="GJ96" t="e">
        <f>AND(Bills!AA322,"AAAAAHe/j78=")</f>
        <v>#VALUE!</v>
      </c>
      <c r="GK96" t="e">
        <f>AND(Bills!AB322,"AAAAAHe/j8A=")</f>
        <v>#VALUE!</v>
      </c>
      <c r="GL96" t="e">
        <f>AND(Bills!#REF!,"AAAAAHe/j8E=")</f>
        <v>#REF!</v>
      </c>
      <c r="GM96" t="e">
        <f>AND(Bills!#REF!,"AAAAAHe/j8I=")</f>
        <v>#REF!</v>
      </c>
      <c r="GN96" t="e">
        <f>AND(Bills!#REF!,"AAAAAHe/j8M=")</f>
        <v>#REF!</v>
      </c>
      <c r="GO96" t="e">
        <f>AND(Bills!AC322,"AAAAAHe/j8Q=")</f>
        <v>#VALUE!</v>
      </c>
      <c r="GP96" t="e">
        <f>AND(Bills!AD322,"AAAAAHe/j8U=")</f>
        <v>#VALUE!</v>
      </c>
      <c r="GQ96" t="e">
        <f>AND(Bills!AE322,"AAAAAHe/j8Y=")</f>
        <v>#VALUE!</v>
      </c>
      <c r="GR96">
        <f>IF(Bills!323:323,"AAAAAHe/j8c=",0)</f>
        <v>0</v>
      </c>
      <c r="GS96" t="e">
        <f>AND(Bills!B323,"AAAAAHe/j8g=")</f>
        <v>#VALUE!</v>
      </c>
      <c r="GT96" t="e">
        <f>AND(Bills!#REF!,"AAAAAHe/j8k=")</f>
        <v>#REF!</v>
      </c>
      <c r="GU96" t="e">
        <f>AND(Bills!C323,"AAAAAHe/j8o=")</f>
        <v>#VALUE!</v>
      </c>
      <c r="GV96" t="e">
        <f>AND(Bills!D323,"AAAAAHe/j8s=")</f>
        <v>#VALUE!</v>
      </c>
      <c r="GW96" t="e">
        <f>AND(Bills!E323,"AAAAAHe/j8w=")</f>
        <v>#VALUE!</v>
      </c>
      <c r="GX96" t="e">
        <f>AND(Bills!#REF!,"AAAAAHe/j80=")</f>
        <v>#REF!</v>
      </c>
      <c r="GY96" t="e">
        <f>AND(Bills!#REF!,"AAAAAHe/j84=")</f>
        <v>#REF!</v>
      </c>
      <c r="GZ96" t="e">
        <f>AND(Bills!#REF!,"AAAAAHe/j88=")</f>
        <v>#REF!</v>
      </c>
      <c r="HA96" t="e">
        <f>AND(Bills!F323,"AAAAAHe/j9A=")</f>
        <v>#VALUE!</v>
      </c>
      <c r="HB96" t="e">
        <f>AND(Bills!#REF!,"AAAAAHe/j9E=")</f>
        <v>#REF!</v>
      </c>
      <c r="HC96" t="e">
        <f>AND(Bills!G323,"AAAAAHe/j9I=")</f>
        <v>#VALUE!</v>
      </c>
      <c r="HD96" t="e">
        <f>AND(Bills!H323,"AAAAAHe/j9M=")</f>
        <v>#VALUE!</v>
      </c>
      <c r="HE96" t="e">
        <f>AND(Bills!I323,"AAAAAHe/j9Q=")</f>
        <v>#VALUE!</v>
      </c>
      <c r="HF96" t="e">
        <f>AND(Bills!J323,"AAAAAHe/j9U=")</f>
        <v>#VALUE!</v>
      </c>
      <c r="HG96" t="e">
        <f>AND(Bills!K323,"AAAAAHe/j9Y=")</f>
        <v>#VALUE!</v>
      </c>
      <c r="HH96" t="e">
        <f>AND(Bills!L323,"AAAAAHe/j9c=")</f>
        <v>#VALUE!</v>
      </c>
      <c r="HI96" t="e">
        <f>AND(Bills!#REF!,"AAAAAHe/j9g=")</f>
        <v>#REF!</v>
      </c>
      <c r="HJ96" t="e">
        <f>AND(Bills!M323,"AAAAAHe/j9k=")</f>
        <v>#VALUE!</v>
      </c>
      <c r="HK96" t="e">
        <f>AND(Bills!N323,"AAAAAHe/j9o=")</f>
        <v>#VALUE!</v>
      </c>
      <c r="HL96" t="e">
        <f>AND(Bills!O323,"AAAAAHe/j9s=")</f>
        <v>#VALUE!</v>
      </c>
      <c r="HM96" t="e">
        <f>AND(Bills!P323,"AAAAAHe/j9w=")</f>
        <v>#VALUE!</v>
      </c>
      <c r="HN96" t="e">
        <f>AND(Bills!Q323,"AAAAAHe/j90=")</f>
        <v>#VALUE!</v>
      </c>
      <c r="HO96" t="e">
        <f>AND(Bills!R323,"AAAAAHe/j94=")</f>
        <v>#VALUE!</v>
      </c>
      <c r="HP96" t="e">
        <f>AND(Bills!S323,"AAAAAHe/j98=")</f>
        <v>#VALUE!</v>
      </c>
      <c r="HQ96" t="e">
        <f>AND(Bills!T323,"AAAAAHe/j+A=")</f>
        <v>#VALUE!</v>
      </c>
      <c r="HR96" t="e">
        <f>AND(Bills!#REF!,"AAAAAHe/j+E=")</f>
        <v>#REF!</v>
      </c>
      <c r="HS96" t="e">
        <f>AND(Bills!U323,"AAAAAHe/j+I=")</f>
        <v>#VALUE!</v>
      </c>
      <c r="HT96" t="e">
        <f>AND(Bills!V323,"AAAAAHe/j+M=")</f>
        <v>#VALUE!</v>
      </c>
      <c r="HU96" t="e">
        <f>AND(Bills!W323,"AAAAAHe/j+Q=")</f>
        <v>#VALUE!</v>
      </c>
      <c r="HV96" t="e">
        <f>AND(Bills!#REF!,"AAAAAHe/j+U=")</f>
        <v>#REF!</v>
      </c>
      <c r="HW96" t="e">
        <f>AND(Bills!#REF!,"AAAAAHe/j+Y=")</f>
        <v>#REF!</v>
      </c>
      <c r="HX96" t="e">
        <f>AND(Bills!Y323,"AAAAAHe/j+c=")</f>
        <v>#VALUE!</v>
      </c>
      <c r="HY96" t="e">
        <f>AND(Bills!Z323,"AAAAAHe/j+g=")</f>
        <v>#VALUE!</v>
      </c>
      <c r="HZ96" t="e">
        <f>AND(Bills!#REF!,"AAAAAHe/j+k=")</f>
        <v>#REF!</v>
      </c>
      <c r="IA96" t="e">
        <f>AND(Bills!#REF!,"AAAAAHe/j+o=")</f>
        <v>#REF!</v>
      </c>
      <c r="IB96" t="e">
        <f>AND(Bills!#REF!,"AAAAAHe/j+s=")</f>
        <v>#REF!</v>
      </c>
      <c r="IC96" t="e">
        <f>AND(Bills!#REF!,"AAAAAHe/j+w=")</f>
        <v>#REF!</v>
      </c>
      <c r="ID96" t="e">
        <f>AND(Bills!#REF!,"AAAAAHe/j+0=")</f>
        <v>#REF!</v>
      </c>
      <c r="IE96" t="e">
        <f>AND(Bills!#REF!,"AAAAAHe/j+4=")</f>
        <v>#REF!</v>
      </c>
      <c r="IF96" t="e">
        <f>AND(Bills!#REF!,"AAAAAHe/j+8=")</f>
        <v>#REF!</v>
      </c>
      <c r="IG96" t="e">
        <f>AND(Bills!#REF!,"AAAAAHe/j/A=")</f>
        <v>#REF!</v>
      </c>
      <c r="IH96" t="e">
        <f>AND(Bills!#REF!,"AAAAAHe/j/E=")</f>
        <v>#REF!</v>
      </c>
      <c r="II96" t="e">
        <f>AND(Bills!AA323,"AAAAAHe/j/I=")</f>
        <v>#VALUE!</v>
      </c>
      <c r="IJ96" t="e">
        <f>AND(Bills!AB323,"AAAAAHe/j/M=")</f>
        <v>#VALUE!</v>
      </c>
      <c r="IK96" t="e">
        <f>AND(Bills!#REF!,"AAAAAHe/j/Q=")</f>
        <v>#REF!</v>
      </c>
      <c r="IL96" t="e">
        <f>AND(Bills!#REF!,"AAAAAHe/j/U=")</f>
        <v>#REF!</v>
      </c>
      <c r="IM96" t="e">
        <f>AND(Bills!#REF!,"AAAAAHe/j/Y=")</f>
        <v>#REF!</v>
      </c>
      <c r="IN96" t="e">
        <f>AND(Bills!AC323,"AAAAAHe/j/c=")</f>
        <v>#VALUE!</v>
      </c>
      <c r="IO96" t="e">
        <f>AND(Bills!AD323,"AAAAAHe/j/g=")</f>
        <v>#VALUE!</v>
      </c>
      <c r="IP96" t="e">
        <f>AND(Bills!AE323,"AAAAAHe/j/k=")</f>
        <v>#VALUE!</v>
      </c>
      <c r="IQ96">
        <f>IF(Bills!324:324,"AAAAAHe/j/o=",0)</f>
        <v>0</v>
      </c>
      <c r="IR96" t="e">
        <f>AND(Bills!B324,"AAAAAHe/j/s=")</f>
        <v>#VALUE!</v>
      </c>
      <c r="IS96" t="e">
        <f>AND(Bills!#REF!,"AAAAAHe/j/w=")</f>
        <v>#REF!</v>
      </c>
      <c r="IT96" t="e">
        <f>AND(Bills!C324,"AAAAAHe/j/0=")</f>
        <v>#VALUE!</v>
      </c>
      <c r="IU96" t="e">
        <f>AND(Bills!D324,"AAAAAHe/j/4=")</f>
        <v>#VALUE!</v>
      </c>
      <c r="IV96" t="e">
        <f>AND(Bills!E324,"AAAAAHe/j/8=")</f>
        <v>#VALUE!</v>
      </c>
    </row>
    <row r="97" spans="1:256" x14ac:dyDescent="0.25">
      <c r="A97" t="e">
        <f>AND(Bills!#REF!,"AAAAADs2/wA=")</f>
        <v>#REF!</v>
      </c>
      <c r="B97" t="e">
        <f>AND(Bills!#REF!,"AAAAADs2/wE=")</f>
        <v>#REF!</v>
      </c>
      <c r="C97" t="e">
        <f>AND(Bills!#REF!,"AAAAADs2/wI=")</f>
        <v>#REF!</v>
      </c>
      <c r="D97" t="e">
        <f>AND(Bills!F324,"AAAAADs2/wM=")</f>
        <v>#VALUE!</v>
      </c>
      <c r="E97" t="e">
        <f>AND(Bills!#REF!,"AAAAADs2/wQ=")</f>
        <v>#REF!</v>
      </c>
      <c r="F97" t="e">
        <f>AND(Bills!G324,"AAAAADs2/wU=")</f>
        <v>#VALUE!</v>
      </c>
      <c r="G97" t="e">
        <f>AND(Bills!H324,"AAAAADs2/wY=")</f>
        <v>#VALUE!</v>
      </c>
      <c r="H97" t="e">
        <f>AND(Bills!I324,"AAAAADs2/wc=")</f>
        <v>#VALUE!</v>
      </c>
      <c r="I97" t="e">
        <f>AND(Bills!J324,"AAAAADs2/wg=")</f>
        <v>#VALUE!</v>
      </c>
      <c r="J97" t="e">
        <f>AND(Bills!K324,"AAAAADs2/wk=")</f>
        <v>#VALUE!</v>
      </c>
      <c r="K97" t="e">
        <f>AND(Bills!L324,"AAAAADs2/wo=")</f>
        <v>#VALUE!</v>
      </c>
      <c r="L97" t="e">
        <f>AND(Bills!#REF!,"AAAAADs2/ws=")</f>
        <v>#REF!</v>
      </c>
      <c r="M97" t="e">
        <f>AND(Bills!M324,"AAAAADs2/ww=")</f>
        <v>#VALUE!</v>
      </c>
      <c r="N97" t="e">
        <f>AND(Bills!N324,"AAAAADs2/w0=")</f>
        <v>#VALUE!</v>
      </c>
      <c r="O97" t="e">
        <f>AND(Bills!O324,"AAAAADs2/w4=")</f>
        <v>#VALUE!</v>
      </c>
      <c r="P97" t="e">
        <f>AND(Bills!P324,"AAAAADs2/w8=")</f>
        <v>#VALUE!</v>
      </c>
      <c r="Q97" t="e">
        <f>AND(Bills!Q324,"AAAAADs2/xA=")</f>
        <v>#VALUE!</v>
      </c>
      <c r="R97" t="e">
        <f>AND(Bills!R324,"AAAAADs2/xE=")</f>
        <v>#VALUE!</v>
      </c>
      <c r="S97" t="e">
        <f>AND(Bills!S324,"AAAAADs2/xI=")</f>
        <v>#VALUE!</v>
      </c>
      <c r="T97" t="e">
        <f>AND(Bills!T324,"AAAAADs2/xM=")</f>
        <v>#VALUE!</v>
      </c>
      <c r="U97" t="e">
        <f>AND(Bills!#REF!,"AAAAADs2/xQ=")</f>
        <v>#REF!</v>
      </c>
      <c r="V97" t="e">
        <f>AND(Bills!U324,"AAAAADs2/xU=")</f>
        <v>#VALUE!</v>
      </c>
      <c r="W97" t="e">
        <f>AND(Bills!V324,"AAAAADs2/xY=")</f>
        <v>#VALUE!</v>
      </c>
      <c r="X97" t="e">
        <f>AND(Bills!W324,"AAAAADs2/xc=")</f>
        <v>#VALUE!</v>
      </c>
      <c r="Y97" t="e">
        <f>AND(Bills!#REF!,"AAAAADs2/xg=")</f>
        <v>#REF!</v>
      </c>
      <c r="Z97" t="e">
        <f>AND(Bills!#REF!,"AAAAADs2/xk=")</f>
        <v>#REF!</v>
      </c>
      <c r="AA97" t="e">
        <f>AND(Bills!Y324,"AAAAADs2/xo=")</f>
        <v>#VALUE!</v>
      </c>
      <c r="AB97" t="e">
        <f>AND(Bills!Z324,"AAAAADs2/xs=")</f>
        <v>#VALUE!</v>
      </c>
      <c r="AC97" t="e">
        <f>AND(Bills!#REF!,"AAAAADs2/xw=")</f>
        <v>#REF!</v>
      </c>
      <c r="AD97" t="e">
        <f>AND(Bills!#REF!,"AAAAADs2/x0=")</f>
        <v>#REF!</v>
      </c>
      <c r="AE97" t="e">
        <f>AND(Bills!#REF!,"AAAAADs2/x4=")</f>
        <v>#REF!</v>
      </c>
      <c r="AF97" t="e">
        <f>AND(Bills!#REF!,"AAAAADs2/x8=")</f>
        <v>#REF!</v>
      </c>
      <c r="AG97" t="e">
        <f>AND(Bills!#REF!,"AAAAADs2/yA=")</f>
        <v>#REF!</v>
      </c>
      <c r="AH97" t="e">
        <f>AND(Bills!#REF!,"AAAAADs2/yE=")</f>
        <v>#REF!</v>
      </c>
      <c r="AI97" t="e">
        <f>AND(Bills!#REF!,"AAAAADs2/yI=")</f>
        <v>#REF!</v>
      </c>
      <c r="AJ97" t="e">
        <f>AND(Bills!#REF!,"AAAAADs2/yM=")</f>
        <v>#REF!</v>
      </c>
      <c r="AK97" t="e">
        <f>AND(Bills!#REF!,"AAAAADs2/yQ=")</f>
        <v>#REF!</v>
      </c>
      <c r="AL97" t="e">
        <f>AND(Bills!AA324,"AAAAADs2/yU=")</f>
        <v>#VALUE!</v>
      </c>
      <c r="AM97" t="e">
        <f>AND(Bills!AB324,"AAAAADs2/yY=")</f>
        <v>#VALUE!</v>
      </c>
      <c r="AN97" t="e">
        <f>AND(Bills!#REF!,"AAAAADs2/yc=")</f>
        <v>#REF!</v>
      </c>
      <c r="AO97" t="e">
        <f>AND(Bills!#REF!,"AAAAADs2/yg=")</f>
        <v>#REF!</v>
      </c>
      <c r="AP97" t="e">
        <f>AND(Bills!#REF!,"AAAAADs2/yk=")</f>
        <v>#REF!</v>
      </c>
      <c r="AQ97" t="e">
        <f>AND(Bills!AC324,"AAAAADs2/yo=")</f>
        <v>#VALUE!</v>
      </c>
      <c r="AR97" t="e">
        <f>AND(Bills!AD324,"AAAAADs2/ys=")</f>
        <v>#VALUE!</v>
      </c>
      <c r="AS97" t="e">
        <f>AND(Bills!AE324,"AAAAADs2/yw=")</f>
        <v>#VALUE!</v>
      </c>
      <c r="AT97">
        <f>IF(Bills!325:325,"AAAAADs2/y0=",0)</f>
        <v>0</v>
      </c>
      <c r="AU97" t="e">
        <f>AND(Bills!B325,"AAAAADs2/y4=")</f>
        <v>#VALUE!</v>
      </c>
      <c r="AV97" t="e">
        <f>AND(Bills!#REF!,"AAAAADs2/y8=")</f>
        <v>#REF!</v>
      </c>
      <c r="AW97" t="e">
        <f>AND(Bills!C325,"AAAAADs2/zA=")</f>
        <v>#VALUE!</v>
      </c>
      <c r="AX97" t="e">
        <f>AND(Bills!D325,"AAAAADs2/zE=")</f>
        <v>#VALUE!</v>
      </c>
      <c r="AY97" t="e">
        <f>AND(Bills!E325,"AAAAADs2/zI=")</f>
        <v>#VALUE!</v>
      </c>
      <c r="AZ97" t="e">
        <f>AND(Bills!#REF!,"AAAAADs2/zM=")</f>
        <v>#REF!</v>
      </c>
      <c r="BA97" t="e">
        <f>AND(Bills!#REF!,"AAAAADs2/zQ=")</f>
        <v>#REF!</v>
      </c>
      <c r="BB97" t="e">
        <f>AND(Bills!#REF!,"AAAAADs2/zU=")</f>
        <v>#REF!</v>
      </c>
      <c r="BC97" t="e">
        <f>AND(Bills!F325,"AAAAADs2/zY=")</f>
        <v>#VALUE!</v>
      </c>
      <c r="BD97" t="e">
        <f>AND(Bills!#REF!,"AAAAADs2/zc=")</f>
        <v>#REF!</v>
      </c>
      <c r="BE97" t="e">
        <f>AND(Bills!G325,"AAAAADs2/zg=")</f>
        <v>#VALUE!</v>
      </c>
      <c r="BF97" t="e">
        <f>AND(Bills!H325,"AAAAADs2/zk=")</f>
        <v>#VALUE!</v>
      </c>
      <c r="BG97" t="e">
        <f>AND(Bills!I325,"AAAAADs2/zo=")</f>
        <v>#VALUE!</v>
      </c>
      <c r="BH97" t="e">
        <f>AND(Bills!J325,"AAAAADs2/zs=")</f>
        <v>#VALUE!</v>
      </c>
      <c r="BI97" t="e">
        <f>AND(Bills!K325,"AAAAADs2/zw=")</f>
        <v>#VALUE!</v>
      </c>
      <c r="BJ97" t="e">
        <f>AND(Bills!L325,"AAAAADs2/z0=")</f>
        <v>#VALUE!</v>
      </c>
      <c r="BK97" t="e">
        <f>AND(Bills!#REF!,"AAAAADs2/z4=")</f>
        <v>#REF!</v>
      </c>
      <c r="BL97" t="e">
        <f>AND(Bills!M325,"AAAAADs2/z8=")</f>
        <v>#VALUE!</v>
      </c>
      <c r="BM97" t="e">
        <f>AND(Bills!N325,"AAAAADs2/0A=")</f>
        <v>#VALUE!</v>
      </c>
      <c r="BN97" t="e">
        <f>AND(Bills!O325,"AAAAADs2/0E=")</f>
        <v>#VALUE!</v>
      </c>
      <c r="BO97" t="e">
        <f>AND(Bills!P325,"AAAAADs2/0I=")</f>
        <v>#VALUE!</v>
      </c>
      <c r="BP97" t="e">
        <f>AND(Bills!Q325,"AAAAADs2/0M=")</f>
        <v>#VALUE!</v>
      </c>
      <c r="BQ97" t="e">
        <f>AND(Bills!R325,"AAAAADs2/0Q=")</f>
        <v>#VALUE!</v>
      </c>
      <c r="BR97" t="e">
        <f>AND(Bills!S325,"AAAAADs2/0U=")</f>
        <v>#VALUE!</v>
      </c>
      <c r="BS97" t="e">
        <f>AND(Bills!T325,"AAAAADs2/0Y=")</f>
        <v>#VALUE!</v>
      </c>
      <c r="BT97" t="e">
        <f>AND(Bills!#REF!,"AAAAADs2/0c=")</f>
        <v>#REF!</v>
      </c>
      <c r="BU97" t="e">
        <f>AND(Bills!U325,"AAAAADs2/0g=")</f>
        <v>#VALUE!</v>
      </c>
      <c r="BV97" t="e">
        <f>AND(Bills!V325,"AAAAADs2/0k=")</f>
        <v>#VALUE!</v>
      </c>
      <c r="BW97" t="e">
        <f>AND(Bills!W325,"AAAAADs2/0o=")</f>
        <v>#VALUE!</v>
      </c>
      <c r="BX97" t="e">
        <f>AND(Bills!#REF!,"AAAAADs2/0s=")</f>
        <v>#REF!</v>
      </c>
      <c r="BY97" t="e">
        <f>AND(Bills!#REF!,"AAAAADs2/0w=")</f>
        <v>#REF!</v>
      </c>
      <c r="BZ97" t="e">
        <f>AND(Bills!Y325,"AAAAADs2/00=")</f>
        <v>#VALUE!</v>
      </c>
      <c r="CA97" t="e">
        <f>AND(Bills!Z325,"AAAAADs2/04=")</f>
        <v>#VALUE!</v>
      </c>
      <c r="CB97" t="e">
        <f>AND(Bills!#REF!,"AAAAADs2/08=")</f>
        <v>#REF!</v>
      </c>
      <c r="CC97" t="e">
        <f>AND(Bills!#REF!,"AAAAADs2/1A=")</f>
        <v>#REF!</v>
      </c>
      <c r="CD97" t="e">
        <f>AND(Bills!#REF!,"AAAAADs2/1E=")</f>
        <v>#REF!</v>
      </c>
      <c r="CE97" t="e">
        <f>AND(Bills!#REF!,"AAAAADs2/1I=")</f>
        <v>#REF!</v>
      </c>
      <c r="CF97" t="e">
        <f>AND(Bills!#REF!,"AAAAADs2/1M=")</f>
        <v>#REF!</v>
      </c>
      <c r="CG97" t="e">
        <f>AND(Bills!#REF!,"AAAAADs2/1Q=")</f>
        <v>#REF!</v>
      </c>
      <c r="CH97" t="e">
        <f>AND(Bills!#REF!,"AAAAADs2/1U=")</f>
        <v>#REF!</v>
      </c>
      <c r="CI97" t="e">
        <f>AND(Bills!#REF!,"AAAAADs2/1Y=")</f>
        <v>#REF!</v>
      </c>
      <c r="CJ97" t="e">
        <f>AND(Bills!#REF!,"AAAAADs2/1c=")</f>
        <v>#REF!</v>
      </c>
      <c r="CK97" t="e">
        <f>AND(Bills!AA325,"AAAAADs2/1g=")</f>
        <v>#VALUE!</v>
      </c>
      <c r="CL97" t="e">
        <f>AND(Bills!AB325,"AAAAADs2/1k=")</f>
        <v>#VALUE!</v>
      </c>
      <c r="CM97" t="e">
        <f>AND(Bills!#REF!,"AAAAADs2/1o=")</f>
        <v>#REF!</v>
      </c>
      <c r="CN97" t="e">
        <f>AND(Bills!#REF!,"AAAAADs2/1s=")</f>
        <v>#REF!</v>
      </c>
      <c r="CO97" t="e">
        <f>AND(Bills!#REF!,"AAAAADs2/1w=")</f>
        <v>#REF!</v>
      </c>
      <c r="CP97" t="e">
        <f>AND(Bills!AC325,"AAAAADs2/10=")</f>
        <v>#VALUE!</v>
      </c>
      <c r="CQ97" t="e">
        <f>AND(Bills!AD325,"AAAAADs2/14=")</f>
        <v>#VALUE!</v>
      </c>
      <c r="CR97" t="e">
        <f>AND(Bills!AE325,"AAAAADs2/18=")</f>
        <v>#VALUE!</v>
      </c>
      <c r="CS97">
        <f>IF(Bills!326:326,"AAAAADs2/2A=",0)</f>
        <v>0</v>
      </c>
      <c r="CT97" t="e">
        <f>AND(Bills!B326,"AAAAADs2/2E=")</f>
        <v>#VALUE!</v>
      </c>
      <c r="CU97" t="e">
        <f>AND(Bills!#REF!,"AAAAADs2/2I=")</f>
        <v>#REF!</v>
      </c>
      <c r="CV97" t="e">
        <f>AND(Bills!C326,"AAAAADs2/2M=")</f>
        <v>#VALUE!</v>
      </c>
      <c r="CW97" t="e">
        <f>AND(Bills!D326,"AAAAADs2/2Q=")</f>
        <v>#VALUE!</v>
      </c>
      <c r="CX97" t="e">
        <f>AND(Bills!E326,"AAAAADs2/2U=")</f>
        <v>#VALUE!</v>
      </c>
      <c r="CY97" t="e">
        <f>AND(Bills!#REF!,"AAAAADs2/2Y=")</f>
        <v>#REF!</v>
      </c>
      <c r="CZ97" t="e">
        <f>AND(Bills!#REF!,"AAAAADs2/2c=")</f>
        <v>#REF!</v>
      </c>
      <c r="DA97" t="e">
        <f>AND(Bills!#REF!,"AAAAADs2/2g=")</f>
        <v>#REF!</v>
      </c>
      <c r="DB97" t="e">
        <f>AND(Bills!F326,"AAAAADs2/2k=")</f>
        <v>#VALUE!</v>
      </c>
      <c r="DC97" t="e">
        <f>AND(Bills!#REF!,"AAAAADs2/2o=")</f>
        <v>#REF!</v>
      </c>
      <c r="DD97" t="e">
        <f>AND(Bills!G326,"AAAAADs2/2s=")</f>
        <v>#VALUE!</v>
      </c>
      <c r="DE97" t="e">
        <f>AND(Bills!H326,"AAAAADs2/2w=")</f>
        <v>#VALUE!</v>
      </c>
      <c r="DF97" t="e">
        <f>AND(Bills!I326,"AAAAADs2/20=")</f>
        <v>#VALUE!</v>
      </c>
      <c r="DG97" t="e">
        <f>AND(Bills!J326,"AAAAADs2/24=")</f>
        <v>#VALUE!</v>
      </c>
      <c r="DH97" t="e">
        <f>AND(Bills!K326,"AAAAADs2/28=")</f>
        <v>#VALUE!</v>
      </c>
      <c r="DI97" t="e">
        <f>AND(Bills!L326,"AAAAADs2/3A=")</f>
        <v>#VALUE!</v>
      </c>
      <c r="DJ97" t="e">
        <f>AND(Bills!#REF!,"AAAAADs2/3E=")</f>
        <v>#REF!</v>
      </c>
      <c r="DK97" t="e">
        <f>AND(Bills!M326,"AAAAADs2/3I=")</f>
        <v>#VALUE!</v>
      </c>
      <c r="DL97" t="e">
        <f>AND(Bills!N326,"AAAAADs2/3M=")</f>
        <v>#VALUE!</v>
      </c>
      <c r="DM97" t="e">
        <f>AND(Bills!O326,"AAAAADs2/3Q=")</f>
        <v>#VALUE!</v>
      </c>
      <c r="DN97" t="e">
        <f>AND(Bills!P326,"AAAAADs2/3U=")</f>
        <v>#VALUE!</v>
      </c>
      <c r="DO97" t="e">
        <f>AND(Bills!Q326,"AAAAADs2/3Y=")</f>
        <v>#VALUE!</v>
      </c>
      <c r="DP97" t="e">
        <f>AND(Bills!R326,"AAAAADs2/3c=")</f>
        <v>#VALUE!</v>
      </c>
      <c r="DQ97" t="e">
        <f>AND(Bills!S326,"AAAAADs2/3g=")</f>
        <v>#VALUE!</v>
      </c>
      <c r="DR97" t="e">
        <f>AND(Bills!T326,"AAAAADs2/3k=")</f>
        <v>#VALUE!</v>
      </c>
      <c r="DS97" t="e">
        <f>AND(Bills!#REF!,"AAAAADs2/3o=")</f>
        <v>#REF!</v>
      </c>
      <c r="DT97" t="e">
        <f>AND(Bills!U326,"AAAAADs2/3s=")</f>
        <v>#VALUE!</v>
      </c>
      <c r="DU97" t="e">
        <f>AND(Bills!V326,"AAAAADs2/3w=")</f>
        <v>#VALUE!</v>
      </c>
      <c r="DV97" t="e">
        <f>AND(Bills!W326,"AAAAADs2/30=")</f>
        <v>#VALUE!</v>
      </c>
      <c r="DW97" t="e">
        <f>AND(Bills!#REF!,"AAAAADs2/34=")</f>
        <v>#REF!</v>
      </c>
      <c r="DX97" t="e">
        <f>AND(Bills!#REF!,"AAAAADs2/38=")</f>
        <v>#REF!</v>
      </c>
      <c r="DY97" t="e">
        <f>AND(Bills!Y326,"AAAAADs2/4A=")</f>
        <v>#VALUE!</v>
      </c>
      <c r="DZ97" t="e">
        <f>AND(Bills!Z326,"AAAAADs2/4E=")</f>
        <v>#VALUE!</v>
      </c>
      <c r="EA97" t="e">
        <f>AND(Bills!#REF!,"AAAAADs2/4I=")</f>
        <v>#REF!</v>
      </c>
      <c r="EB97" t="e">
        <f>AND(Bills!#REF!,"AAAAADs2/4M=")</f>
        <v>#REF!</v>
      </c>
      <c r="EC97" t="e">
        <f>AND(Bills!#REF!,"AAAAADs2/4Q=")</f>
        <v>#REF!</v>
      </c>
      <c r="ED97" t="e">
        <f>AND(Bills!#REF!,"AAAAADs2/4U=")</f>
        <v>#REF!</v>
      </c>
      <c r="EE97" t="e">
        <f>AND(Bills!#REF!,"AAAAADs2/4Y=")</f>
        <v>#REF!</v>
      </c>
      <c r="EF97" t="e">
        <f>AND(Bills!#REF!,"AAAAADs2/4c=")</f>
        <v>#REF!</v>
      </c>
      <c r="EG97" t="e">
        <f>AND(Bills!#REF!,"AAAAADs2/4g=")</f>
        <v>#REF!</v>
      </c>
      <c r="EH97" t="e">
        <f>AND(Bills!#REF!,"AAAAADs2/4k=")</f>
        <v>#REF!</v>
      </c>
      <c r="EI97" t="e">
        <f>AND(Bills!#REF!,"AAAAADs2/4o=")</f>
        <v>#REF!</v>
      </c>
      <c r="EJ97" t="e">
        <f>AND(Bills!AA326,"AAAAADs2/4s=")</f>
        <v>#VALUE!</v>
      </c>
      <c r="EK97" t="e">
        <f>AND(Bills!AB326,"AAAAADs2/4w=")</f>
        <v>#VALUE!</v>
      </c>
      <c r="EL97" t="e">
        <f>AND(Bills!#REF!,"AAAAADs2/40=")</f>
        <v>#REF!</v>
      </c>
      <c r="EM97" t="e">
        <f>AND(Bills!#REF!,"AAAAADs2/44=")</f>
        <v>#REF!</v>
      </c>
      <c r="EN97" t="e">
        <f>AND(Bills!#REF!,"AAAAADs2/48=")</f>
        <v>#REF!</v>
      </c>
      <c r="EO97" t="e">
        <f>AND(Bills!AC326,"AAAAADs2/5A=")</f>
        <v>#VALUE!</v>
      </c>
      <c r="EP97" t="e">
        <f>AND(Bills!AD326,"AAAAADs2/5E=")</f>
        <v>#VALUE!</v>
      </c>
      <c r="EQ97" t="e">
        <f>AND(Bills!AE326,"AAAAADs2/5I=")</f>
        <v>#VALUE!</v>
      </c>
      <c r="ER97">
        <f>IF(Bills!327:327,"AAAAADs2/5M=",0)</f>
        <v>0</v>
      </c>
      <c r="ES97" t="e">
        <f>AND(Bills!B327,"AAAAADs2/5Q=")</f>
        <v>#VALUE!</v>
      </c>
      <c r="ET97" t="e">
        <f>AND(Bills!#REF!,"AAAAADs2/5U=")</f>
        <v>#REF!</v>
      </c>
      <c r="EU97" t="e">
        <f>AND(Bills!C327,"AAAAADs2/5Y=")</f>
        <v>#VALUE!</v>
      </c>
      <c r="EV97" t="e">
        <f>AND(Bills!D327,"AAAAADs2/5c=")</f>
        <v>#VALUE!</v>
      </c>
      <c r="EW97" t="e">
        <f>AND(Bills!E327,"AAAAADs2/5g=")</f>
        <v>#VALUE!</v>
      </c>
      <c r="EX97" t="e">
        <f>AND(Bills!#REF!,"AAAAADs2/5k=")</f>
        <v>#REF!</v>
      </c>
      <c r="EY97" t="e">
        <f>AND(Bills!#REF!,"AAAAADs2/5o=")</f>
        <v>#REF!</v>
      </c>
      <c r="EZ97" t="e">
        <f>AND(Bills!#REF!,"AAAAADs2/5s=")</f>
        <v>#REF!</v>
      </c>
      <c r="FA97" t="e">
        <f>AND(Bills!F327,"AAAAADs2/5w=")</f>
        <v>#VALUE!</v>
      </c>
      <c r="FB97" t="e">
        <f>AND(Bills!#REF!,"AAAAADs2/50=")</f>
        <v>#REF!</v>
      </c>
      <c r="FC97" t="e">
        <f>AND(Bills!G327,"AAAAADs2/54=")</f>
        <v>#VALUE!</v>
      </c>
      <c r="FD97" t="e">
        <f>AND(Bills!H327,"AAAAADs2/58=")</f>
        <v>#VALUE!</v>
      </c>
      <c r="FE97" t="e">
        <f>AND(Bills!I327,"AAAAADs2/6A=")</f>
        <v>#VALUE!</v>
      </c>
      <c r="FF97" t="e">
        <f>AND(Bills!J327,"AAAAADs2/6E=")</f>
        <v>#VALUE!</v>
      </c>
      <c r="FG97" t="e">
        <f>AND(Bills!K327,"AAAAADs2/6I=")</f>
        <v>#VALUE!</v>
      </c>
      <c r="FH97" t="e">
        <f>AND(Bills!L327,"AAAAADs2/6M=")</f>
        <v>#VALUE!</v>
      </c>
      <c r="FI97" t="e">
        <f>AND(Bills!#REF!,"AAAAADs2/6Q=")</f>
        <v>#REF!</v>
      </c>
      <c r="FJ97" t="e">
        <f>AND(Bills!M327,"AAAAADs2/6U=")</f>
        <v>#VALUE!</v>
      </c>
      <c r="FK97" t="e">
        <f>AND(Bills!N327,"AAAAADs2/6Y=")</f>
        <v>#VALUE!</v>
      </c>
      <c r="FL97" t="e">
        <f>AND(Bills!O327,"AAAAADs2/6c=")</f>
        <v>#VALUE!</v>
      </c>
      <c r="FM97" t="e">
        <f>AND(Bills!P327,"AAAAADs2/6g=")</f>
        <v>#VALUE!</v>
      </c>
      <c r="FN97" t="e">
        <f>AND(Bills!Q327,"AAAAADs2/6k=")</f>
        <v>#VALUE!</v>
      </c>
      <c r="FO97" t="e">
        <f>AND(Bills!R327,"AAAAADs2/6o=")</f>
        <v>#VALUE!</v>
      </c>
      <c r="FP97" t="e">
        <f>AND(Bills!S327,"AAAAADs2/6s=")</f>
        <v>#VALUE!</v>
      </c>
      <c r="FQ97" t="e">
        <f>AND(Bills!T327,"AAAAADs2/6w=")</f>
        <v>#VALUE!</v>
      </c>
      <c r="FR97" t="e">
        <f>AND(Bills!#REF!,"AAAAADs2/60=")</f>
        <v>#REF!</v>
      </c>
      <c r="FS97" t="e">
        <f>AND(Bills!U327,"AAAAADs2/64=")</f>
        <v>#VALUE!</v>
      </c>
      <c r="FT97" t="e">
        <f>AND(Bills!V327,"AAAAADs2/68=")</f>
        <v>#VALUE!</v>
      </c>
      <c r="FU97" t="e">
        <f>AND(Bills!W327,"AAAAADs2/7A=")</f>
        <v>#VALUE!</v>
      </c>
      <c r="FV97" t="e">
        <f>AND(Bills!#REF!,"AAAAADs2/7E=")</f>
        <v>#REF!</v>
      </c>
      <c r="FW97" t="e">
        <f>AND(Bills!#REF!,"AAAAADs2/7I=")</f>
        <v>#REF!</v>
      </c>
      <c r="FX97" t="e">
        <f>AND(Bills!Y327,"AAAAADs2/7M=")</f>
        <v>#VALUE!</v>
      </c>
      <c r="FY97" t="e">
        <f>AND(Bills!Z327,"AAAAADs2/7Q=")</f>
        <v>#VALUE!</v>
      </c>
      <c r="FZ97" t="e">
        <f>AND(Bills!#REF!,"AAAAADs2/7U=")</f>
        <v>#REF!</v>
      </c>
      <c r="GA97" t="e">
        <f>AND(Bills!#REF!,"AAAAADs2/7Y=")</f>
        <v>#REF!</v>
      </c>
      <c r="GB97" t="e">
        <f>AND(Bills!#REF!,"AAAAADs2/7c=")</f>
        <v>#REF!</v>
      </c>
      <c r="GC97" t="e">
        <f>AND(Bills!#REF!,"AAAAADs2/7g=")</f>
        <v>#REF!</v>
      </c>
      <c r="GD97" t="e">
        <f>AND(Bills!#REF!,"AAAAADs2/7k=")</f>
        <v>#REF!</v>
      </c>
      <c r="GE97" t="e">
        <f>AND(Bills!#REF!,"AAAAADs2/7o=")</f>
        <v>#REF!</v>
      </c>
      <c r="GF97" t="e">
        <f>AND(Bills!#REF!,"AAAAADs2/7s=")</f>
        <v>#REF!</v>
      </c>
      <c r="GG97" t="e">
        <f>AND(Bills!#REF!,"AAAAADs2/7w=")</f>
        <v>#REF!</v>
      </c>
      <c r="GH97" t="e">
        <f>AND(Bills!#REF!,"AAAAADs2/70=")</f>
        <v>#REF!</v>
      </c>
      <c r="GI97" t="e">
        <f>AND(Bills!AA327,"AAAAADs2/74=")</f>
        <v>#VALUE!</v>
      </c>
      <c r="GJ97" t="e">
        <f>AND(Bills!AB327,"AAAAADs2/78=")</f>
        <v>#VALUE!</v>
      </c>
      <c r="GK97" t="e">
        <f>AND(Bills!#REF!,"AAAAADs2/8A=")</f>
        <v>#REF!</v>
      </c>
      <c r="GL97" t="e">
        <f>AND(Bills!#REF!,"AAAAADs2/8E=")</f>
        <v>#REF!</v>
      </c>
      <c r="GM97" t="e">
        <f>AND(Bills!#REF!,"AAAAADs2/8I=")</f>
        <v>#REF!</v>
      </c>
      <c r="GN97" t="e">
        <f>AND(Bills!AC327,"AAAAADs2/8M=")</f>
        <v>#VALUE!</v>
      </c>
      <c r="GO97" t="e">
        <f>AND(Bills!AD327,"AAAAADs2/8Q=")</f>
        <v>#VALUE!</v>
      </c>
      <c r="GP97" t="e">
        <f>AND(Bills!AE327,"AAAAADs2/8U=")</f>
        <v>#VALUE!</v>
      </c>
      <c r="GQ97">
        <f>IF(Bills!328:328,"AAAAADs2/8Y=",0)</f>
        <v>0</v>
      </c>
      <c r="GR97" t="e">
        <f>AND(Bills!B328,"AAAAADs2/8c=")</f>
        <v>#VALUE!</v>
      </c>
      <c r="GS97" t="e">
        <f>AND(Bills!#REF!,"AAAAADs2/8g=")</f>
        <v>#REF!</v>
      </c>
      <c r="GT97" t="e">
        <f>AND(Bills!C328,"AAAAADs2/8k=")</f>
        <v>#VALUE!</v>
      </c>
      <c r="GU97" t="e">
        <f>AND(Bills!D328,"AAAAADs2/8o=")</f>
        <v>#VALUE!</v>
      </c>
      <c r="GV97" t="e">
        <f>AND(Bills!E328,"AAAAADs2/8s=")</f>
        <v>#VALUE!</v>
      </c>
      <c r="GW97" t="e">
        <f>AND(Bills!#REF!,"AAAAADs2/8w=")</f>
        <v>#REF!</v>
      </c>
      <c r="GX97" t="e">
        <f>AND(Bills!#REF!,"AAAAADs2/80=")</f>
        <v>#REF!</v>
      </c>
      <c r="GY97" t="e">
        <f>AND(Bills!#REF!,"AAAAADs2/84=")</f>
        <v>#REF!</v>
      </c>
      <c r="GZ97" t="e">
        <f>AND(Bills!F328,"AAAAADs2/88=")</f>
        <v>#VALUE!</v>
      </c>
      <c r="HA97" t="e">
        <f>AND(Bills!#REF!,"AAAAADs2/9A=")</f>
        <v>#REF!</v>
      </c>
      <c r="HB97" t="e">
        <f>AND(Bills!G328,"AAAAADs2/9E=")</f>
        <v>#VALUE!</v>
      </c>
      <c r="HC97" t="e">
        <f>AND(Bills!H328,"AAAAADs2/9I=")</f>
        <v>#VALUE!</v>
      </c>
      <c r="HD97" t="e">
        <f>AND(Bills!I328,"AAAAADs2/9M=")</f>
        <v>#VALUE!</v>
      </c>
      <c r="HE97" t="e">
        <f>AND(Bills!J328,"AAAAADs2/9Q=")</f>
        <v>#VALUE!</v>
      </c>
      <c r="HF97" t="e">
        <f>AND(Bills!K328,"AAAAADs2/9U=")</f>
        <v>#VALUE!</v>
      </c>
      <c r="HG97" t="e">
        <f>AND(Bills!L328,"AAAAADs2/9Y=")</f>
        <v>#VALUE!</v>
      </c>
      <c r="HH97" t="e">
        <f>AND(Bills!#REF!,"AAAAADs2/9c=")</f>
        <v>#REF!</v>
      </c>
      <c r="HI97" t="e">
        <f>AND(Bills!M328,"AAAAADs2/9g=")</f>
        <v>#VALUE!</v>
      </c>
      <c r="HJ97" t="e">
        <f>AND(Bills!N328,"AAAAADs2/9k=")</f>
        <v>#VALUE!</v>
      </c>
      <c r="HK97" t="e">
        <f>AND(Bills!O328,"AAAAADs2/9o=")</f>
        <v>#VALUE!</v>
      </c>
      <c r="HL97" t="e">
        <f>AND(Bills!P328,"AAAAADs2/9s=")</f>
        <v>#VALUE!</v>
      </c>
      <c r="HM97" t="e">
        <f>AND(Bills!Q328,"AAAAADs2/9w=")</f>
        <v>#VALUE!</v>
      </c>
      <c r="HN97" t="e">
        <f>AND(Bills!R328,"AAAAADs2/90=")</f>
        <v>#VALUE!</v>
      </c>
      <c r="HO97" t="e">
        <f>AND(Bills!S328,"AAAAADs2/94=")</f>
        <v>#VALUE!</v>
      </c>
      <c r="HP97" t="e">
        <f>AND(Bills!T328,"AAAAADs2/98=")</f>
        <v>#VALUE!</v>
      </c>
      <c r="HQ97" t="e">
        <f>AND(Bills!#REF!,"AAAAADs2/+A=")</f>
        <v>#REF!</v>
      </c>
      <c r="HR97" t="e">
        <f>AND(Bills!U328,"AAAAADs2/+E=")</f>
        <v>#VALUE!</v>
      </c>
      <c r="HS97" t="e">
        <f>AND(Bills!V328,"AAAAADs2/+I=")</f>
        <v>#VALUE!</v>
      </c>
      <c r="HT97" t="e">
        <f>AND(Bills!W328,"AAAAADs2/+M=")</f>
        <v>#VALUE!</v>
      </c>
      <c r="HU97" t="e">
        <f>AND(Bills!#REF!,"AAAAADs2/+Q=")</f>
        <v>#REF!</v>
      </c>
      <c r="HV97" t="e">
        <f>AND(Bills!#REF!,"AAAAADs2/+U=")</f>
        <v>#REF!</v>
      </c>
      <c r="HW97" t="e">
        <f>AND(Bills!Y328,"AAAAADs2/+Y=")</f>
        <v>#VALUE!</v>
      </c>
      <c r="HX97" t="e">
        <f>AND(Bills!Z328,"AAAAADs2/+c=")</f>
        <v>#VALUE!</v>
      </c>
      <c r="HY97" t="e">
        <f>AND(Bills!#REF!,"AAAAADs2/+g=")</f>
        <v>#REF!</v>
      </c>
      <c r="HZ97" t="e">
        <f>AND(Bills!#REF!,"AAAAADs2/+k=")</f>
        <v>#REF!</v>
      </c>
      <c r="IA97" t="e">
        <f>AND(Bills!#REF!,"AAAAADs2/+o=")</f>
        <v>#REF!</v>
      </c>
      <c r="IB97" t="e">
        <f>AND(Bills!#REF!,"AAAAADs2/+s=")</f>
        <v>#REF!</v>
      </c>
      <c r="IC97" t="e">
        <f>AND(Bills!#REF!,"AAAAADs2/+w=")</f>
        <v>#REF!</v>
      </c>
      <c r="ID97" t="e">
        <f>AND(Bills!#REF!,"AAAAADs2/+0=")</f>
        <v>#REF!</v>
      </c>
      <c r="IE97" t="e">
        <f>AND(Bills!#REF!,"AAAAADs2/+4=")</f>
        <v>#REF!</v>
      </c>
      <c r="IF97" t="e">
        <f>AND(Bills!#REF!,"AAAAADs2/+8=")</f>
        <v>#REF!</v>
      </c>
      <c r="IG97" t="e">
        <f>AND(Bills!#REF!,"AAAAADs2//A=")</f>
        <v>#REF!</v>
      </c>
      <c r="IH97" t="e">
        <f>AND(Bills!AA328,"AAAAADs2//E=")</f>
        <v>#VALUE!</v>
      </c>
      <c r="II97" t="e">
        <f>AND(Bills!AB328,"AAAAADs2//I=")</f>
        <v>#VALUE!</v>
      </c>
      <c r="IJ97" t="e">
        <f>AND(Bills!#REF!,"AAAAADs2//M=")</f>
        <v>#REF!</v>
      </c>
      <c r="IK97" t="e">
        <f>AND(Bills!#REF!,"AAAAADs2//Q=")</f>
        <v>#REF!</v>
      </c>
      <c r="IL97" t="e">
        <f>AND(Bills!#REF!,"AAAAADs2//U=")</f>
        <v>#REF!</v>
      </c>
      <c r="IM97" t="e">
        <f>AND(Bills!AC328,"AAAAADs2//Y=")</f>
        <v>#VALUE!</v>
      </c>
      <c r="IN97" t="e">
        <f>AND(Bills!AD328,"AAAAADs2//c=")</f>
        <v>#VALUE!</v>
      </c>
      <c r="IO97" t="e">
        <f>AND(Bills!AE328,"AAAAADs2//g=")</f>
        <v>#VALUE!</v>
      </c>
      <c r="IP97">
        <f>IF(Bills!329:329,"AAAAADs2//k=",0)</f>
        <v>0</v>
      </c>
      <c r="IQ97" t="e">
        <f>AND(Bills!B329,"AAAAADs2//o=")</f>
        <v>#VALUE!</v>
      </c>
      <c r="IR97" t="e">
        <f>AND(Bills!#REF!,"AAAAADs2//s=")</f>
        <v>#REF!</v>
      </c>
      <c r="IS97" t="e">
        <f>AND(Bills!C329,"AAAAADs2//w=")</f>
        <v>#VALUE!</v>
      </c>
      <c r="IT97" t="e">
        <f>AND(Bills!D329,"AAAAADs2//0=")</f>
        <v>#VALUE!</v>
      </c>
      <c r="IU97" t="e">
        <f>AND(Bills!E329,"AAAAADs2//4=")</f>
        <v>#VALUE!</v>
      </c>
      <c r="IV97" t="e">
        <f>AND(Bills!#REF!,"AAAAADs2//8=")</f>
        <v>#REF!</v>
      </c>
    </row>
    <row r="98" spans="1:256" x14ac:dyDescent="0.25">
      <c r="A98" t="e">
        <f>AND(Bills!#REF!,"AAAAAC61vgA=")</f>
        <v>#REF!</v>
      </c>
      <c r="B98" t="e">
        <f>AND(Bills!#REF!,"AAAAAC61vgE=")</f>
        <v>#REF!</v>
      </c>
      <c r="C98" t="e">
        <f>AND(Bills!F329,"AAAAAC61vgI=")</f>
        <v>#VALUE!</v>
      </c>
      <c r="D98" t="e">
        <f>AND(Bills!#REF!,"AAAAAC61vgM=")</f>
        <v>#REF!</v>
      </c>
      <c r="E98" t="e">
        <f>AND(Bills!G329,"AAAAAC61vgQ=")</f>
        <v>#VALUE!</v>
      </c>
      <c r="F98" t="e">
        <f>AND(Bills!H329,"AAAAAC61vgU=")</f>
        <v>#VALUE!</v>
      </c>
      <c r="G98" t="e">
        <f>AND(Bills!I329,"AAAAAC61vgY=")</f>
        <v>#VALUE!</v>
      </c>
      <c r="H98" t="e">
        <f>AND(Bills!J329,"AAAAAC61vgc=")</f>
        <v>#VALUE!</v>
      </c>
      <c r="I98" t="e">
        <f>AND(Bills!K329,"AAAAAC61vgg=")</f>
        <v>#VALUE!</v>
      </c>
      <c r="J98" t="e">
        <f>AND(Bills!L329,"AAAAAC61vgk=")</f>
        <v>#VALUE!</v>
      </c>
      <c r="K98" t="e">
        <f>AND(Bills!#REF!,"AAAAAC61vgo=")</f>
        <v>#REF!</v>
      </c>
      <c r="L98" t="e">
        <f>AND(Bills!M329,"AAAAAC61vgs=")</f>
        <v>#VALUE!</v>
      </c>
      <c r="M98" t="e">
        <f>AND(Bills!N329,"AAAAAC61vgw=")</f>
        <v>#VALUE!</v>
      </c>
      <c r="N98" t="e">
        <f>AND(Bills!O329,"AAAAAC61vg0=")</f>
        <v>#VALUE!</v>
      </c>
      <c r="O98" t="e">
        <f>AND(Bills!P329,"AAAAAC61vg4=")</f>
        <v>#VALUE!</v>
      </c>
      <c r="P98" t="e">
        <f>AND(Bills!Q329,"AAAAAC61vg8=")</f>
        <v>#VALUE!</v>
      </c>
      <c r="Q98" t="e">
        <f>AND(Bills!R329,"AAAAAC61vhA=")</f>
        <v>#VALUE!</v>
      </c>
      <c r="R98" t="e">
        <f>AND(Bills!S329,"AAAAAC61vhE=")</f>
        <v>#VALUE!</v>
      </c>
      <c r="S98" t="e">
        <f>AND(Bills!T329,"AAAAAC61vhI=")</f>
        <v>#VALUE!</v>
      </c>
      <c r="T98" t="e">
        <f>AND(Bills!#REF!,"AAAAAC61vhM=")</f>
        <v>#REF!</v>
      </c>
      <c r="U98" t="e">
        <f>AND(Bills!U329,"AAAAAC61vhQ=")</f>
        <v>#VALUE!</v>
      </c>
      <c r="V98" t="e">
        <f>AND(Bills!V329,"AAAAAC61vhU=")</f>
        <v>#VALUE!</v>
      </c>
      <c r="W98" t="e">
        <f>AND(Bills!W329,"AAAAAC61vhY=")</f>
        <v>#VALUE!</v>
      </c>
      <c r="X98" t="e">
        <f>AND(Bills!#REF!,"AAAAAC61vhc=")</f>
        <v>#REF!</v>
      </c>
      <c r="Y98" t="e">
        <f>AND(Bills!#REF!,"AAAAAC61vhg=")</f>
        <v>#REF!</v>
      </c>
      <c r="Z98" t="e">
        <f>AND(Bills!Y329,"AAAAAC61vhk=")</f>
        <v>#VALUE!</v>
      </c>
      <c r="AA98" t="e">
        <f>AND(Bills!Z329,"AAAAAC61vho=")</f>
        <v>#VALUE!</v>
      </c>
      <c r="AB98" t="e">
        <f>AND(Bills!#REF!,"AAAAAC61vhs=")</f>
        <v>#REF!</v>
      </c>
      <c r="AC98" t="e">
        <f>AND(Bills!#REF!,"AAAAAC61vhw=")</f>
        <v>#REF!</v>
      </c>
      <c r="AD98" t="e">
        <f>AND(Bills!#REF!,"AAAAAC61vh0=")</f>
        <v>#REF!</v>
      </c>
      <c r="AE98" t="e">
        <f>AND(Bills!#REF!,"AAAAAC61vh4=")</f>
        <v>#REF!</v>
      </c>
      <c r="AF98" t="e">
        <f>AND(Bills!#REF!,"AAAAAC61vh8=")</f>
        <v>#REF!</v>
      </c>
      <c r="AG98" t="e">
        <f>AND(Bills!#REF!,"AAAAAC61viA=")</f>
        <v>#REF!</v>
      </c>
      <c r="AH98" t="e">
        <f>AND(Bills!#REF!,"AAAAAC61viE=")</f>
        <v>#REF!</v>
      </c>
      <c r="AI98" t="e">
        <f>AND(Bills!#REF!,"AAAAAC61viI=")</f>
        <v>#REF!</v>
      </c>
      <c r="AJ98" t="e">
        <f>AND(Bills!#REF!,"AAAAAC61viM=")</f>
        <v>#REF!</v>
      </c>
      <c r="AK98" t="e">
        <f>AND(Bills!AA329,"AAAAAC61viQ=")</f>
        <v>#VALUE!</v>
      </c>
      <c r="AL98" t="e">
        <f>AND(Bills!AB329,"AAAAAC61viU=")</f>
        <v>#VALUE!</v>
      </c>
      <c r="AM98" t="e">
        <f>AND(Bills!#REF!,"AAAAAC61viY=")</f>
        <v>#REF!</v>
      </c>
      <c r="AN98" t="e">
        <f>AND(Bills!#REF!,"AAAAAC61vic=")</f>
        <v>#REF!</v>
      </c>
      <c r="AO98" t="e">
        <f>AND(Bills!#REF!,"AAAAAC61vig=")</f>
        <v>#REF!</v>
      </c>
      <c r="AP98" t="e">
        <f>AND(Bills!AC329,"AAAAAC61vik=")</f>
        <v>#VALUE!</v>
      </c>
      <c r="AQ98" t="e">
        <f>AND(Bills!AD329,"AAAAAC61vio=")</f>
        <v>#VALUE!</v>
      </c>
      <c r="AR98" t="e">
        <f>AND(Bills!AE329,"AAAAAC61vis=")</f>
        <v>#VALUE!</v>
      </c>
      <c r="AS98">
        <f>IF(Bills!330:330,"AAAAAC61viw=",0)</f>
        <v>0</v>
      </c>
      <c r="AT98" t="e">
        <f>AND(Bills!B330,"AAAAAC61vi0=")</f>
        <v>#VALUE!</v>
      </c>
      <c r="AU98" t="e">
        <f>AND(Bills!#REF!,"AAAAAC61vi4=")</f>
        <v>#REF!</v>
      </c>
      <c r="AV98" t="e">
        <f>AND(Bills!C330,"AAAAAC61vi8=")</f>
        <v>#VALUE!</v>
      </c>
      <c r="AW98" t="e">
        <f>AND(Bills!D330,"AAAAAC61vjA=")</f>
        <v>#VALUE!</v>
      </c>
      <c r="AX98" t="e">
        <f>AND(Bills!E330,"AAAAAC61vjE=")</f>
        <v>#VALUE!</v>
      </c>
      <c r="AY98" t="e">
        <f>AND(Bills!#REF!,"AAAAAC61vjI=")</f>
        <v>#REF!</v>
      </c>
      <c r="AZ98" t="e">
        <f>AND(Bills!#REF!,"AAAAAC61vjM=")</f>
        <v>#REF!</v>
      </c>
      <c r="BA98" t="e">
        <f>AND(Bills!#REF!,"AAAAAC61vjQ=")</f>
        <v>#REF!</v>
      </c>
      <c r="BB98" t="e">
        <f>AND(Bills!F330,"AAAAAC61vjU=")</f>
        <v>#VALUE!</v>
      </c>
      <c r="BC98" t="e">
        <f>AND(Bills!#REF!,"AAAAAC61vjY=")</f>
        <v>#REF!</v>
      </c>
      <c r="BD98" t="e">
        <f>AND(Bills!G330,"AAAAAC61vjc=")</f>
        <v>#VALUE!</v>
      </c>
      <c r="BE98" t="e">
        <f>AND(Bills!H330,"AAAAAC61vjg=")</f>
        <v>#VALUE!</v>
      </c>
      <c r="BF98" t="e">
        <f>AND(Bills!I330,"AAAAAC61vjk=")</f>
        <v>#VALUE!</v>
      </c>
      <c r="BG98" t="e">
        <f>AND(Bills!J330,"AAAAAC61vjo=")</f>
        <v>#VALUE!</v>
      </c>
      <c r="BH98" t="e">
        <f>AND(Bills!K330,"AAAAAC61vjs=")</f>
        <v>#VALUE!</v>
      </c>
      <c r="BI98" t="e">
        <f>AND(Bills!L330,"AAAAAC61vjw=")</f>
        <v>#VALUE!</v>
      </c>
      <c r="BJ98" t="e">
        <f>AND(Bills!#REF!,"AAAAAC61vj0=")</f>
        <v>#REF!</v>
      </c>
      <c r="BK98" t="e">
        <f>AND(Bills!M330,"AAAAAC61vj4=")</f>
        <v>#VALUE!</v>
      </c>
      <c r="BL98" t="e">
        <f>AND(Bills!N330,"AAAAAC61vj8=")</f>
        <v>#VALUE!</v>
      </c>
      <c r="BM98" t="e">
        <f>AND(Bills!O330,"AAAAAC61vkA=")</f>
        <v>#VALUE!</v>
      </c>
      <c r="BN98" t="e">
        <f>AND(Bills!P330,"AAAAAC61vkE=")</f>
        <v>#VALUE!</v>
      </c>
      <c r="BO98" t="e">
        <f>AND(Bills!Q330,"AAAAAC61vkI=")</f>
        <v>#VALUE!</v>
      </c>
      <c r="BP98" t="e">
        <f>AND(Bills!R330,"AAAAAC61vkM=")</f>
        <v>#VALUE!</v>
      </c>
      <c r="BQ98" t="e">
        <f>AND(Bills!S330,"AAAAAC61vkQ=")</f>
        <v>#VALUE!</v>
      </c>
      <c r="BR98" t="e">
        <f>AND(Bills!T330,"AAAAAC61vkU=")</f>
        <v>#VALUE!</v>
      </c>
      <c r="BS98" t="e">
        <f>AND(Bills!#REF!,"AAAAAC61vkY=")</f>
        <v>#REF!</v>
      </c>
      <c r="BT98" t="e">
        <f>AND(Bills!U330,"AAAAAC61vkc=")</f>
        <v>#VALUE!</v>
      </c>
      <c r="BU98" t="e">
        <f>AND(Bills!V330,"AAAAAC61vkg=")</f>
        <v>#VALUE!</v>
      </c>
      <c r="BV98" t="e">
        <f>AND(Bills!W330,"AAAAAC61vkk=")</f>
        <v>#VALUE!</v>
      </c>
      <c r="BW98" t="e">
        <f>AND(Bills!#REF!,"AAAAAC61vko=")</f>
        <v>#REF!</v>
      </c>
      <c r="BX98" t="e">
        <f>AND(Bills!#REF!,"AAAAAC61vks=")</f>
        <v>#REF!</v>
      </c>
      <c r="BY98" t="e">
        <f>AND(Bills!Y330,"AAAAAC61vkw=")</f>
        <v>#VALUE!</v>
      </c>
      <c r="BZ98" t="e">
        <f>AND(Bills!Z330,"AAAAAC61vk0=")</f>
        <v>#VALUE!</v>
      </c>
      <c r="CA98" t="e">
        <f>AND(Bills!#REF!,"AAAAAC61vk4=")</f>
        <v>#REF!</v>
      </c>
      <c r="CB98" t="e">
        <f>AND(Bills!#REF!,"AAAAAC61vk8=")</f>
        <v>#REF!</v>
      </c>
      <c r="CC98" t="e">
        <f>AND(Bills!#REF!,"AAAAAC61vlA=")</f>
        <v>#REF!</v>
      </c>
      <c r="CD98" t="e">
        <f>AND(Bills!#REF!,"AAAAAC61vlE=")</f>
        <v>#REF!</v>
      </c>
      <c r="CE98" t="e">
        <f>AND(Bills!#REF!,"AAAAAC61vlI=")</f>
        <v>#REF!</v>
      </c>
      <c r="CF98" t="e">
        <f>AND(Bills!#REF!,"AAAAAC61vlM=")</f>
        <v>#REF!</v>
      </c>
      <c r="CG98" t="e">
        <f>AND(Bills!#REF!,"AAAAAC61vlQ=")</f>
        <v>#REF!</v>
      </c>
      <c r="CH98" t="e">
        <f>AND(Bills!#REF!,"AAAAAC61vlU=")</f>
        <v>#REF!</v>
      </c>
      <c r="CI98" t="e">
        <f>AND(Bills!#REF!,"AAAAAC61vlY=")</f>
        <v>#REF!</v>
      </c>
      <c r="CJ98" t="e">
        <f>AND(Bills!AA330,"AAAAAC61vlc=")</f>
        <v>#VALUE!</v>
      </c>
      <c r="CK98" t="e">
        <f>AND(Bills!AB330,"AAAAAC61vlg=")</f>
        <v>#VALUE!</v>
      </c>
      <c r="CL98" t="e">
        <f>AND(Bills!#REF!,"AAAAAC61vlk=")</f>
        <v>#REF!</v>
      </c>
      <c r="CM98" t="e">
        <f>AND(Bills!#REF!,"AAAAAC61vlo=")</f>
        <v>#REF!</v>
      </c>
      <c r="CN98" t="e">
        <f>AND(Bills!#REF!,"AAAAAC61vls=")</f>
        <v>#REF!</v>
      </c>
      <c r="CO98" t="e">
        <f>AND(Bills!AC330,"AAAAAC61vlw=")</f>
        <v>#VALUE!</v>
      </c>
      <c r="CP98" t="e">
        <f>AND(Bills!AD330,"AAAAAC61vl0=")</f>
        <v>#VALUE!</v>
      </c>
      <c r="CQ98" t="e">
        <f>AND(Bills!AE330,"AAAAAC61vl4=")</f>
        <v>#VALUE!</v>
      </c>
      <c r="CR98">
        <f>IF(Bills!331:331,"AAAAAC61vl8=",0)</f>
        <v>0</v>
      </c>
      <c r="CS98" t="e">
        <f>AND(Bills!B331,"AAAAAC61vmA=")</f>
        <v>#VALUE!</v>
      </c>
      <c r="CT98" t="e">
        <f>AND(Bills!#REF!,"AAAAAC61vmE=")</f>
        <v>#REF!</v>
      </c>
      <c r="CU98" t="e">
        <f>AND(Bills!C331,"AAAAAC61vmI=")</f>
        <v>#VALUE!</v>
      </c>
      <c r="CV98" t="e">
        <f>AND(Bills!D331,"AAAAAC61vmM=")</f>
        <v>#VALUE!</v>
      </c>
      <c r="CW98" t="e">
        <f>AND(Bills!E331,"AAAAAC61vmQ=")</f>
        <v>#VALUE!</v>
      </c>
      <c r="CX98" t="e">
        <f>AND(Bills!#REF!,"AAAAAC61vmU=")</f>
        <v>#REF!</v>
      </c>
      <c r="CY98" t="e">
        <f>AND(Bills!#REF!,"AAAAAC61vmY=")</f>
        <v>#REF!</v>
      </c>
      <c r="CZ98" t="e">
        <f>AND(Bills!#REF!,"AAAAAC61vmc=")</f>
        <v>#REF!</v>
      </c>
      <c r="DA98" t="e">
        <f>AND(Bills!F331,"AAAAAC61vmg=")</f>
        <v>#VALUE!</v>
      </c>
      <c r="DB98" t="e">
        <f>AND(Bills!#REF!,"AAAAAC61vmk=")</f>
        <v>#REF!</v>
      </c>
      <c r="DC98" t="e">
        <f>AND(Bills!G331,"AAAAAC61vmo=")</f>
        <v>#VALUE!</v>
      </c>
      <c r="DD98" t="e">
        <f>AND(Bills!H331,"AAAAAC61vms=")</f>
        <v>#VALUE!</v>
      </c>
      <c r="DE98" t="e">
        <f>AND(Bills!I331,"AAAAAC61vmw=")</f>
        <v>#VALUE!</v>
      </c>
      <c r="DF98" t="e">
        <f>AND(Bills!J331,"AAAAAC61vm0=")</f>
        <v>#VALUE!</v>
      </c>
      <c r="DG98" t="e">
        <f>AND(Bills!K331,"AAAAAC61vm4=")</f>
        <v>#VALUE!</v>
      </c>
      <c r="DH98" t="e">
        <f>AND(Bills!L331,"AAAAAC61vm8=")</f>
        <v>#VALUE!</v>
      </c>
      <c r="DI98" t="e">
        <f>AND(Bills!#REF!,"AAAAAC61vnA=")</f>
        <v>#REF!</v>
      </c>
      <c r="DJ98" t="e">
        <f>AND(Bills!M331,"AAAAAC61vnE=")</f>
        <v>#VALUE!</v>
      </c>
      <c r="DK98" t="e">
        <f>AND(Bills!N331,"AAAAAC61vnI=")</f>
        <v>#VALUE!</v>
      </c>
      <c r="DL98" t="e">
        <f>AND(Bills!O331,"AAAAAC61vnM=")</f>
        <v>#VALUE!</v>
      </c>
      <c r="DM98" t="e">
        <f>AND(Bills!P331,"AAAAAC61vnQ=")</f>
        <v>#VALUE!</v>
      </c>
      <c r="DN98" t="e">
        <f>AND(Bills!Q331,"AAAAAC61vnU=")</f>
        <v>#VALUE!</v>
      </c>
      <c r="DO98" t="e">
        <f>AND(Bills!R331,"AAAAAC61vnY=")</f>
        <v>#VALUE!</v>
      </c>
      <c r="DP98" t="e">
        <f>AND(Bills!S331,"AAAAAC61vnc=")</f>
        <v>#VALUE!</v>
      </c>
      <c r="DQ98" t="e">
        <f>AND(Bills!T331,"AAAAAC61vng=")</f>
        <v>#VALUE!</v>
      </c>
      <c r="DR98" t="e">
        <f>AND(Bills!#REF!,"AAAAAC61vnk=")</f>
        <v>#REF!</v>
      </c>
      <c r="DS98" t="e">
        <f>AND(Bills!U331,"AAAAAC61vno=")</f>
        <v>#VALUE!</v>
      </c>
      <c r="DT98" t="e">
        <f>AND(Bills!V331,"AAAAAC61vns=")</f>
        <v>#VALUE!</v>
      </c>
      <c r="DU98" t="e">
        <f>AND(Bills!W331,"AAAAAC61vnw=")</f>
        <v>#VALUE!</v>
      </c>
      <c r="DV98" t="e">
        <f>AND(Bills!#REF!,"AAAAAC61vn0=")</f>
        <v>#REF!</v>
      </c>
      <c r="DW98" t="e">
        <f>AND(Bills!#REF!,"AAAAAC61vn4=")</f>
        <v>#REF!</v>
      </c>
      <c r="DX98" t="e">
        <f>AND(Bills!Y331,"AAAAAC61vn8=")</f>
        <v>#VALUE!</v>
      </c>
      <c r="DY98" t="e">
        <f>AND(Bills!Z331,"AAAAAC61voA=")</f>
        <v>#VALUE!</v>
      </c>
      <c r="DZ98" t="e">
        <f>AND(Bills!#REF!,"AAAAAC61voE=")</f>
        <v>#REF!</v>
      </c>
      <c r="EA98" t="e">
        <f>AND(Bills!#REF!,"AAAAAC61voI=")</f>
        <v>#REF!</v>
      </c>
      <c r="EB98" t="e">
        <f>AND(Bills!#REF!,"AAAAAC61voM=")</f>
        <v>#REF!</v>
      </c>
      <c r="EC98" t="e">
        <f>AND(Bills!#REF!,"AAAAAC61voQ=")</f>
        <v>#REF!</v>
      </c>
      <c r="ED98" t="e">
        <f>AND(Bills!#REF!,"AAAAAC61voU=")</f>
        <v>#REF!</v>
      </c>
      <c r="EE98" t="e">
        <f>AND(Bills!#REF!,"AAAAAC61voY=")</f>
        <v>#REF!</v>
      </c>
      <c r="EF98" t="e">
        <f>AND(Bills!#REF!,"AAAAAC61voc=")</f>
        <v>#REF!</v>
      </c>
      <c r="EG98" t="e">
        <f>AND(Bills!#REF!,"AAAAAC61vog=")</f>
        <v>#REF!</v>
      </c>
      <c r="EH98" t="e">
        <f>AND(Bills!#REF!,"AAAAAC61vok=")</f>
        <v>#REF!</v>
      </c>
      <c r="EI98" t="e">
        <f>AND(Bills!AA331,"AAAAAC61voo=")</f>
        <v>#VALUE!</v>
      </c>
      <c r="EJ98" t="e">
        <f>AND(Bills!AB331,"AAAAAC61vos=")</f>
        <v>#VALUE!</v>
      </c>
      <c r="EK98" t="e">
        <f>AND(Bills!#REF!,"AAAAAC61vow=")</f>
        <v>#REF!</v>
      </c>
      <c r="EL98" t="e">
        <f>AND(Bills!#REF!,"AAAAAC61vo0=")</f>
        <v>#REF!</v>
      </c>
      <c r="EM98" t="e">
        <f>AND(Bills!#REF!,"AAAAAC61vo4=")</f>
        <v>#REF!</v>
      </c>
      <c r="EN98" t="e">
        <f>AND(Bills!AC331,"AAAAAC61vo8=")</f>
        <v>#VALUE!</v>
      </c>
      <c r="EO98" t="e">
        <f>AND(Bills!AD331,"AAAAAC61vpA=")</f>
        <v>#VALUE!</v>
      </c>
      <c r="EP98" t="e">
        <f>AND(Bills!AE331,"AAAAAC61vpE=")</f>
        <v>#VALUE!</v>
      </c>
      <c r="EQ98">
        <f>IF(Bills!332:332,"AAAAAC61vpI=",0)</f>
        <v>0</v>
      </c>
      <c r="ER98" t="e">
        <f>AND(Bills!B332,"AAAAAC61vpM=")</f>
        <v>#VALUE!</v>
      </c>
      <c r="ES98" t="e">
        <f>AND(Bills!#REF!,"AAAAAC61vpQ=")</f>
        <v>#REF!</v>
      </c>
      <c r="ET98" t="e">
        <f>AND(Bills!C332,"AAAAAC61vpU=")</f>
        <v>#VALUE!</v>
      </c>
      <c r="EU98" t="e">
        <f>AND(Bills!D332,"AAAAAC61vpY=")</f>
        <v>#VALUE!</v>
      </c>
      <c r="EV98" t="e">
        <f>AND(Bills!E332,"AAAAAC61vpc=")</f>
        <v>#VALUE!</v>
      </c>
      <c r="EW98" t="e">
        <f>AND(Bills!#REF!,"AAAAAC61vpg=")</f>
        <v>#REF!</v>
      </c>
      <c r="EX98" t="e">
        <f>AND(Bills!#REF!,"AAAAAC61vpk=")</f>
        <v>#REF!</v>
      </c>
      <c r="EY98" t="e">
        <f>AND(Bills!#REF!,"AAAAAC61vpo=")</f>
        <v>#REF!</v>
      </c>
      <c r="EZ98" t="e">
        <f>AND(Bills!F332,"AAAAAC61vps=")</f>
        <v>#VALUE!</v>
      </c>
      <c r="FA98" t="e">
        <f>AND(Bills!#REF!,"AAAAAC61vpw=")</f>
        <v>#REF!</v>
      </c>
      <c r="FB98" t="e">
        <f>AND(Bills!G332,"AAAAAC61vp0=")</f>
        <v>#VALUE!</v>
      </c>
      <c r="FC98" t="e">
        <f>AND(Bills!H332,"AAAAAC61vp4=")</f>
        <v>#VALUE!</v>
      </c>
      <c r="FD98" t="e">
        <f>AND(Bills!I332,"AAAAAC61vp8=")</f>
        <v>#VALUE!</v>
      </c>
      <c r="FE98" t="e">
        <f>AND(Bills!J332,"AAAAAC61vqA=")</f>
        <v>#VALUE!</v>
      </c>
      <c r="FF98" t="e">
        <f>AND(Bills!K332,"AAAAAC61vqE=")</f>
        <v>#VALUE!</v>
      </c>
      <c r="FG98" t="e">
        <f>AND(Bills!L332,"AAAAAC61vqI=")</f>
        <v>#VALUE!</v>
      </c>
      <c r="FH98" t="e">
        <f>AND(Bills!#REF!,"AAAAAC61vqM=")</f>
        <v>#REF!</v>
      </c>
      <c r="FI98" t="e">
        <f>AND(Bills!M332,"AAAAAC61vqQ=")</f>
        <v>#VALUE!</v>
      </c>
      <c r="FJ98" t="e">
        <f>AND(Bills!N332,"AAAAAC61vqU=")</f>
        <v>#VALUE!</v>
      </c>
      <c r="FK98" t="e">
        <f>AND(Bills!O332,"AAAAAC61vqY=")</f>
        <v>#VALUE!</v>
      </c>
      <c r="FL98" t="e">
        <f>AND(Bills!P332,"AAAAAC61vqc=")</f>
        <v>#VALUE!</v>
      </c>
      <c r="FM98" t="e">
        <f>AND(Bills!Q332,"AAAAAC61vqg=")</f>
        <v>#VALUE!</v>
      </c>
      <c r="FN98" t="e">
        <f>AND(Bills!R332,"AAAAAC61vqk=")</f>
        <v>#VALUE!</v>
      </c>
      <c r="FO98" t="e">
        <f>AND(Bills!S332,"AAAAAC61vqo=")</f>
        <v>#VALUE!</v>
      </c>
      <c r="FP98" t="e">
        <f>AND(Bills!T332,"AAAAAC61vqs=")</f>
        <v>#VALUE!</v>
      </c>
      <c r="FQ98" t="e">
        <f>AND(Bills!#REF!,"AAAAAC61vqw=")</f>
        <v>#REF!</v>
      </c>
      <c r="FR98" t="e">
        <f>AND(Bills!U332,"AAAAAC61vq0=")</f>
        <v>#VALUE!</v>
      </c>
      <c r="FS98" t="e">
        <f>AND(Bills!V332,"AAAAAC61vq4=")</f>
        <v>#VALUE!</v>
      </c>
      <c r="FT98" t="e">
        <f>AND(Bills!W332,"AAAAAC61vq8=")</f>
        <v>#VALUE!</v>
      </c>
      <c r="FU98" t="e">
        <f>AND(Bills!#REF!,"AAAAAC61vrA=")</f>
        <v>#REF!</v>
      </c>
      <c r="FV98" t="e">
        <f>AND(Bills!#REF!,"AAAAAC61vrE=")</f>
        <v>#REF!</v>
      </c>
      <c r="FW98" t="e">
        <f>AND(Bills!Y332,"AAAAAC61vrI=")</f>
        <v>#VALUE!</v>
      </c>
      <c r="FX98" t="e">
        <f>AND(Bills!Z332,"AAAAAC61vrM=")</f>
        <v>#VALUE!</v>
      </c>
      <c r="FY98" t="e">
        <f>AND(Bills!#REF!,"AAAAAC61vrQ=")</f>
        <v>#REF!</v>
      </c>
      <c r="FZ98" t="e">
        <f>AND(Bills!#REF!,"AAAAAC61vrU=")</f>
        <v>#REF!</v>
      </c>
      <c r="GA98" t="e">
        <f>AND(Bills!#REF!,"AAAAAC61vrY=")</f>
        <v>#REF!</v>
      </c>
      <c r="GB98" t="e">
        <f>AND(Bills!#REF!,"AAAAAC61vrc=")</f>
        <v>#REF!</v>
      </c>
      <c r="GC98" t="e">
        <f>AND(Bills!#REF!,"AAAAAC61vrg=")</f>
        <v>#REF!</v>
      </c>
      <c r="GD98" t="e">
        <f>AND(Bills!#REF!,"AAAAAC61vrk=")</f>
        <v>#REF!</v>
      </c>
      <c r="GE98" t="e">
        <f>AND(Bills!#REF!,"AAAAAC61vro=")</f>
        <v>#REF!</v>
      </c>
      <c r="GF98" t="e">
        <f>AND(Bills!#REF!,"AAAAAC61vrs=")</f>
        <v>#REF!</v>
      </c>
      <c r="GG98" t="e">
        <f>AND(Bills!#REF!,"AAAAAC61vrw=")</f>
        <v>#REF!</v>
      </c>
      <c r="GH98" t="e">
        <f>AND(Bills!AA332,"AAAAAC61vr0=")</f>
        <v>#VALUE!</v>
      </c>
      <c r="GI98" t="e">
        <f>AND(Bills!AB332,"AAAAAC61vr4=")</f>
        <v>#VALUE!</v>
      </c>
      <c r="GJ98" t="e">
        <f>AND(Bills!#REF!,"AAAAAC61vr8=")</f>
        <v>#REF!</v>
      </c>
      <c r="GK98" t="e">
        <f>AND(Bills!#REF!,"AAAAAC61vsA=")</f>
        <v>#REF!</v>
      </c>
      <c r="GL98" t="e">
        <f>AND(Bills!#REF!,"AAAAAC61vsE=")</f>
        <v>#REF!</v>
      </c>
      <c r="GM98" t="e">
        <f>AND(Bills!AC332,"AAAAAC61vsI=")</f>
        <v>#VALUE!</v>
      </c>
      <c r="GN98" t="e">
        <f>AND(Bills!AD332,"AAAAAC61vsM=")</f>
        <v>#VALUE!</v>
      </c>
      <c r="GO98" t="e">
        <f>AND(Bills!AE332,"AAAAAC61vsQ=")</f>
        <v>#VALUE!</v>
      </c>
      <c r="GP98">
        <f>IF(Bills!333:333,"AAAAAC61vsU=",0)</f>
        <v>0</v>
      </c>
      <c r="GQ98" t="e">
        <f>AND(Bills!B333,"AAAAAC61vsY=")</f>
        <v>#VALUE!</v>
      </c>
      <c r="GR98" t="e">
        <f>AND(Bills!#REF!,"AAAAAC61vsc=")</f>
        <v>#REF!</v>
      </c>
      <c r="GS98" t="e">
        <f>AND(Bills!C333,"AAAAAC61vsg=")</f>
        <v>#VALUE!</v>
      </c>
      <c r="GT98" t="e">
        <f>AND(Bills!D333,"AAAAAC61vsk=")</f>
        <v>#VALUE!</v>
      </c>
      <c r="GU98" t="e">
        <f>AND(Bills!E333,"AAAAAC61vso=")</f>
        <v>#VALUE!</v>
      </c>
      <c r="GV98" t="e">
        <f>AND(Bills!#REF!,"AAAAAC61vss=")</f>
        <v>#REF!</v>
      </c>
      <c r="GW98" t="e">
        <f>AND(Bills!#REF!,"AAAAAC61vsw=")</f>
        <v>#REF!</v>
      </c>
      <c r="GX98" t="e">
        <f>AND(Bills!#REF!,"AAAAAC61vs0=")</f>
        <v>#REF!</v>
      </c>
      <c r="GY98" t="e">
        <f>AND(Bills!F333,"AAAAAC61vs4=")</f>
        <v>#VALUE!</v>
      </c>
      <c r="GZ98" t="e">
        <f>AND(Bills!#REF!,"AAAAAC61vs8=")</f>
        <v>#REF!</v>
      </c>
      <c r="HA98" t="e">
        <f>AND(Bills!G333,"AAAAAC61vtA=")</f>
        <v>#VALUE!</v>
      </c>
      <c r="HB98" t="e">
        <f>AND(Bills!H333,"AAAAAC61vtE=")</f>
        <v>#VALUE!</v>
      </c>
      <c r="HC98" t="e">
        <f>AND(Bills!I333,"AAAAAC61vtI=")</f>
        <v>#VALUE!</v>
      </c>
      <c r="HD98" t="e">
        <f>AND(Bills!J333,"AAAAAC61vtM=")</f>
        <v>#VALUE!</v>
      </c>
      <c r="HE98" t="e">
        <f>AND(Bills!K333,"AAAAAC61vtQ=")</f>
        <v>#VALUE!</v>
      </c>
      <c r="HF98" t="e">
        <f>AND(Bills!L333,"AAAAAC61vtU=")</f>
        <v>#VALUE!</v>
      </c>
      <c r="HG98" t="e">
        <f>AND(Bills!#REF!,"AAAAAC61vtY=")</f>
        <v>#REF!</v>
      </c>
      <c r="HH98" t="e">
        <f>AND(Bills!M333,"AAAAAC61vtc=")</f>
        <v>#VALUE!</v>
      </c>
      <c r="HI98" t="e">
        <f>AND(Bills!N333,"AAAAAC61vtg=")</f>
        <v>#VALUE!</v>
      </c>
      <c r="HJ98" t="e">
        <f>AND(Bills!O333,"AAAAAC61vtk=")</f>
        <v>#VALUE!</v>
      </c>
      <c r="HK98" t="e">
        <f>AND(Bills!P333,"AAAAAC61vto=")</f>
        <v>#VALUE!</v>
      </c>
      <c r="HL98" t="e">
        <f>AND(Bills!Q333,"AAAAAC61vts=")</f>
        <v>#VALUE!</v>
      </c>
      <c r="HM98" t="e">
        <f>AND(Bills!R333,"AAAAAC61vtw=")</f>
        <v>#VALUE!</v>
      </c>
      <c r="HN98" t="e">
        <f>AND(Bills!S333,"AAAAAC61vt0=")</f>
        <v>#VALUE!</v>
      </c>
      <c r="HO98" t="e">
        <f>AND(Bills!T333,"AAAAAC61vt4=")</f>
        <v>#VALUE!</v>
      </c>
      <c r="HP98" t="e">
        <f>AND(Bills!#REF!,"AAAAAC61vt8=")</f>
        <v>#REF!</v>
      </c>
      <c r="HQ98" t="e">
        <f>AND(Bills!U333,"AAAAAC61vuA=")</f>
        <v>#VALUE!</v>
      </c>
      <c r="HR98" t="e">
        <f>AND(Bills!V333,"AAAAAC61vuE=")</f>
        <v>#VALUE!</v>
      </c>
      <c r="HS98" t="e">
        <f>AND(Bills!W333,"AAAAAC61vuI=")</f>
        <v>#VALUE!</v>
      </c>
      <c r="HT98" t="e">
        <f>AND(Bills!#REF!,"AAAAAC61vuM=")</f>
        <v>#REF!</v>
      </c>
      <c r="HU98" t="e">
        <f>AND(Bills!#REF!,"AAAAAC61vuQ=")</f>
        <v>#REF!</v>
      </c>
      <c r="HV98" t="e">
        <f>AND(Bills!Y333,"AAAAAC61vuU=")</f>
        <v>#VALUE!</v>
      </c>
      <c r="HW98" t="e">
        <f>AND(Bills!Z333,"AAAAAC61vuY=")</f>
        <v>#VALUE!</v>
      </c>
      <c r="HX98" t="e">
        <f>AND(Bills!#REF!,"AAAAAC61vuc=")</f>
        <v>#REF!</v>
      </c>
      <c r="HY98" t="e">
        <f>AND(Bills!#REF!,"AAAAAC61vug=")</f>
        <v>#REF!</v>
      </c>
      <c r="HZ98" t="e">
        <f>AND(Bills!#REF!,"AAAAAC61vuk=")</f>
        <v>#REF!</v>
      </c>
      <c r="IA98" t="e">
        <f>AND(Bills!#REF!,"AAAAAC61vuo=")</f>
        <v>#REF!</v>
      </c>
      <c r="IB98" t="e">
        <f>AND(Bills!#REF!,"AAAAAC61vus=")</f>
        <v>#REF!</v>
      </c>
      <c r="IC98" t="e">
        <f>AND(Bills!#REF!,"AAAAAC61vuw=")</f>
        <v>#REF!</v>
      </c>
      <c r="ID98" t="e">
        <f>AND(Bills!#REF!,"AAAAAC61vu0=")</f>
        <v>#REF!</v>
      </c>
      <c r="IE98" t="e">
        <f>AND(Bills!#REF!,"AAAAAC61vu4=")</f>
        <v>#REF!</v>
      </c>
      <c r="IF98" t="e">
        <f>AND(Bills!#REF!,"AAAAAC61vu8=")</f>
        <v>#REF!</v>
      </c>
      <c r="IG98" t="e">
        <f>AND(Bills!AA333,"AAAAAC61vvA=")</f>
        <v>#VALUE!</v>
      </c>
      <c r="IH98" t="e">
        <f>AND(Bills!AB333,"AAAAAC61vvE=")</f>
        <v>#VALUE!</v>
      </c>
      <c r="II98" t="e">
        <f>AND(Bills!#REF!,"AAAAAC61vvI=")</f>
        <v>#REF!</v>
      </c>
      <c r="IJ98" t="e">
        <f>AND(Bills!#REF!,"AAAAAC61vvM=")</f>
        <v>#REF!</v>
      </c>
      <c r="IK98" t="e">
        <f>AND(Bills!#REF!,"AAAAAC61vvQ=")</f>
        <v>#REF!</v>
      </c>
      <c r="IL98" t="e">
        <f>AND(Bills!AC333,"AAAAAC61vvU=")</f>
        <v>#VALUE!</v>
      </c>
      <c r="IM98" t="e">
        <f>AND(Bills!AD333,"AAAAAC61vvY=")</f>
        <v>#VALUE!</v>
      </c>
      <c r="IN98" t="e">
        <f>AND(Bills!AE333,"AAAAAC61vvc=")</f>
        <v>#VALUE!</v>
      </c>
      <c r="IO98">
        <f>IF(Bills!334:334,"AAAAAC61vvg=",0)</f>
        <v>0</v>
      </c>
      <c r="IP98" t="e">
        <f>AND(Bills!B334,"AAAAAC61vvk=")</f>
        <v>#VALUE!</v>
      </c>
      <c r="IQ98" t="e">
        <f>AND(Bills!#REF!,"AAAAAC61vvo=")</f>
        <v>#REF!</v>
      </c>
      <c r="IR98" t="e">
        <f>AND(Bills!C334,"AAAAAC61vvs=")</f>
        <v>#VALUE!</v>
      </c>
      <c r="IS98" t="e">
        <f>AND(Bills!D334,"AAAAAC61vvw=")</f>
        <v>#VALUE!</v>
      </c>
      <c r="IT98" t="e">
        <f>AND(Bills!E334,"AAAAAC61vv0=")</f>
        <v>#VALUE!</v>
      </c>
      <c r="IU98" t="e">
        <f>AND(Bills!#REF!,"AAAAAC61vv4=")</f>
        <v>#REF!</v>
      </c>
      <c r="IV98" t="e">
        <f>AND(Bills!#REF!,"AAAAAC61vv8=")</f>
        <v>#REF!</v>
      </c>
    </row>
    <row r="99" spans="1:256" x14ac:dyDescent="0.25">
      <c r="A99" t="e">
        <f>AND(Bills!#REF!,"AAAAAGK/7AA=")</f>
        <v>#REF!</v>
      </c>
      <c r="B99" t="e">
        <f>AND(Bills!F334,"AAAAAGK/7AE=")</f>
        <v>#VALUE!</v>
      </c>
      <c r="C99" t="e">
        <f>AND(Bills!#REF!,"AAAAAGK/7AI=")</f>
        <v>#REF!</v>
      </c>
      <c r="D99" t="e">
        <f>AND(Bills!G334,"AAAAAGK/7AM=")</f>
        <v>#VALUE!</v>
      </c>
      <c r="E99" t="e">
        <f>AND(Bills!H334,"AAAAAGK/7AQ=")</f>
        <v>#VALUE!</v>
      </c>
      <c r="F99" t="e">
        <f>AND(Bills!I334,"AAAAAGK/7AU=")</f>
        <v>#VALUE!</v>
      </c>
      <c r="G99" t="e">
        <f>AND(Bills!J334,"AAAAAGK/7AY=")</f>
        <v>#VALUE!</v>
      </c>
      <c r="H99" t="e">
        <f>AND(Bills!K334,"AAAAAGK/7Ac=")</f>
        <v>#VALUE!</v>
      </c>
      <c r="I99" t="e">
        <f>AND(Bills!L334,"AAAAAGK/7Ag=")</f>
        <v>#VALUE!</v>
      </c>
      <c r="J99" t="e">
        <f>AND(Bills!#REF!,"AAAAAGK/7Ak=")</f>
        <v>#REF!</v>
      </c>
      <c r="K99" t="e">
        <f>AND(Bills!M334,"AAAAAGK/7Ao=")</f>
        <v>#VALUE!</v>
      </c>
      <c r="L99" t="e">
        <f>AND(Bills!N334,"AAAAAGK/7As=")</f>
        <v>#VALUE!</v>
      </c>
      <c r="M99" t="e">
        <f>AND(Bills!O334,"AAAAAGK/7Aw=")</f>
        <v>#VALUE!</v>
      </c>
      <c r="N99" t="e">
        <f>AND(Bills!P334,"AAAAAGK/7A0=")</f>
        <v>#VALUE!</v>
      </c>
      <c r="O99" t="e">
        <f>AND(Bills!Q334,"AAAAAGK/7A4=")</f>
        <v>#VALUE!</v>
      </c>
      <c r="P99" t="e">
        <f>AND(Bills!R334,"AAAAAGK/7A8=")</f>
        <v>#VALUE!</v>
      </c>
      <c r="Q99" t="e">
        <f>AND(Bills!S334,"AAAAAGK/7BA=")</f>
        <v>#VALUE!</v>
      </c>
      <c r="R99" t="e">
        <f>AND(Bills!T334,"AAAAAGK/7BE=")</f>
        <v>#VALUE!</v>
      </c>
      <c r="S99" t="e">
        <f>AND(Bills!#REF!,"AAAAAGK/7BI=")</f>
        <v>#REF!</v>
      </c>
      <c r="T99" t="e">
        <f>AND(Bills!U334,"AAAAAGK/7BM=")</f>
        <v>#VALUE!</v>
      </c>
      <c r="U99" t="e">
        <f>AND(Bills!V334,"AAAAAGK/7BQ=")</f>
        <v>#VALUE!</v>
      </c>
      <c r="V99" t="e">
        <f>AND(Bills!W334,"AAAAAGK/7BU=")</f>
        <v>#VALUE!</v>
      </c>
      <c r="W99" t="e">
        <f>AND(Bills!#REF!,"AAAAAGK/7BY=")</f>
        <v>#REF!</v>
      </c>
      <c r="X99" t="e">
        <f>AND(Bills!#REF!,"AAAAAGK/7Bc=")</f>
        <v>#REF!</v>
      </c>
      <c r="Y99" t="e">
        <f>AND(Bills!Y334,"AAAAAGK/7Bg=")</f>
        <v>#VALUE!</v>
      </c>
      <c r="Z99" t="e">
        <f>AND(Bills!Z334,"AAAAAGK/7Bk=")</f>
        <v>#VALUE!</v>
      </c>
      <c r="AA99" t="e">
        <f>AND(Bills!#REF!,"AAAAAGK/7Bo=")</f>
        <v>#REF!</v>
      </c>
      <c r="AB99" t="e">
        <f>AND(Bills!#REF!,"AAAAAGK/7Bs=")</f>
        <v>#REF!</v>
      </c>
      <c r="AC99" t="e">
        <f>AND(Bills!#REF!,"AAAAAGK/7Bw=")</f>
        <v>#REF!</v>
      </c>
      <c r="AD99" t="e">
        <f>AND(Bills!#REF!,"AAAAAGK/7B0=")</f>
        <v>#REF!</v>
      </c>
      <c r="AE99" t="e">
        <f>AND(Bills!#REF!,"AAAAAGK/7B4=")</f>
        <v>#REF!</v>
      </c>
      <c r="AF99" t="e">
        <f>AND(Bills!#REF!,"AAAAAGK/7B8=")</f>
        <v>#REF!</v>
      </c>
      <c r="AG99" t="e">
        <f>AND(Bills!#REF!,"AAAAAGK/7CA=")</f>
        <v>#REF!</v>
      </c>
      <c r="AH99" t="e">
        <f>AND(Bills!#REF!,"AAAAAGK/7CE=")</f>
        <v>#REF!</v>
      </c>
      <c r="AI99" t="e">
        <f>AND(Bills!#REF!,"AAAAAGK/7CI=")</f>
        <v>#REF!</v>
      </c>
      <c r="AJ99" t="e">
        <f>AND(Bills!AA334,"AAAAAGK/7CM=")</f>
        <v>#VALUE!</v>
      </c>
      <c r="AK99" t="e">
        <f>AND(Bills!AB334,"AAAAAGK/7CQ=")</f>
        <v>#VALUE!</v>
      </c>
      <c r="AL99" t="e">
        <f>AND(Bills!#REF!,"AAAAAGK/7CU=")</f>
        <v>#REF!</v>
      </c>
      <c r="AM99" t="e">
        <f>AND(Bills!#REF!,"AAAAAGK/7CY=")</f>
        <v>#REF!</v>
      </c>
      <c r="AN99" t="e">
        <f>AND(Bills!#REF!,"AAAAAGK/7Cc=")</f>
        <v>#REF!</v>
      </c>
      <c r="AO99" t="e">
        <f>AND(Bills!AC334,"AAAAAGK/7Cg=")</f>
        <v>#VALUE!</v>
      </c>
      <c r="AP99" t="e">
        <f>AND(Bills!AD334,"AAAAAGK/7Ck=")</f>
        <v>#VALUE!</v>
      </c>
      <c r="AQ99" t="e">
        <f>AND(Bills!AE334,"AAAAAGK/7Co=")</f>
        <v>#VALUE!</v>
      </c>
      <c r="AR99">
        <f>IF(Bills!335:335,"AAAAAGK/7Cs=",0)</f>
        <v>0</v>
      </c>
      <c r="AS99" t="e">
        <f>AND(Bills!B335,"AAAAAGK/7Cw=")</f>
        <v>#VALUE!</v>
      </c>
      <c r="AT99" t="e">
        <f>AND(Bills!#REF!,"AAAAAGK/7C0=")</f>
        <v>#REF!</v>
      </c>
      <c r="AU99" t="e">
        <f>AND(Bills!C335,"AAAAAGK/7C4=")</f>
        <v>#VALUE!</v>
      </c>
      <c r="AV99" t="e">
        <f>AND(Bills!D335,"AAAAAGK/7C8=")</f>
        <v>#VALUE!</v>
      </c>
      <c r="AW99" t="e">
        <f>AND(Bills!E335,"AAAAAGK/7DA=")</f>
        <v>#VALUE!</v>
      </c>
      <c r="AX99" t="e">
        <f>AND(Bills!#REF!,"AAAAAGK/7DE=")</f>
        <v>#REF!</v>
      </c>
      <c r="AY99" t="e">
        <f>AND(Bills!#REF!,"AAAAAGK/7DI=")</f>
        <v>#REF!</v>
      </c>
      <c r="AZ99" t="e">
        <f>AND(Bills!#REF!,"AAAAAGK/7DM=")</f>
        <v>#REF!</v>
      </c>
      <c r="BA99" t="e">
        <f>AND(Bills!F335,"AAAAAGK/7DQ=")</f>
        <v>#VALUE!</v>
      </c>
      <c r="BB99" t="e">
        <f>AND(Bills!#REF!,"AAAAAGK/7DU=")</f>
        <v>#REF!</v>
      </c>
      <c r="BC99" t="e">
        <f>AND(Bills!G335,"AAAAAGK/7DY=")</f>
        <v>#VALUE!</v>
      </c>
      <c r="BD99" t="e">
        <f>AND(Bills!H335,"AAAAAGK/7Dc=")</f>
        <v>#VALUE!</v>
      </c>
      <c r="BE99" t="e">
        <f>AND(Bills!I335,"AAAAAGK/7Dg=")</f>
        <v>#VALUE!</v>
      </c>
      <c r="BF99" t="e">
        <f>AND(Bills!J335,"AAAAAGK/7Dk=")</f>
        <v>#VALUE!</v>
      </c>
      <c r="BG99" t="e">
        <f>AND(Bills!K335,"AAAAAGK/7Do=")</f>
        <v>#VALUE!</v>
      </c>
      <c r="BH99" t="e">
        <f>AND(Bills!L335,"AAAAAGK/7Ds=")</f>
        <v>#VALUE!</v>
      </c>
      <c r="BI99" t="e">
        <f>AND(Bills!#REF!,"AAAAAGK/7Dw=")</f>
        <v>#REF!</v>
      </c>
      <c r="BJ99" t="e">
        <f>AND(Bills!M335,"AAAAAGK/7D0=")</f>
        <v>#VALUE!</v>
      </c>
      <c r="BK99" t="e">
        <f>AND(Bills!N335,"AAAAAGK/7D4=")</f>
        <v>#VALUE!</v>
      </c>
      <c r="BL99" t="e">
        <f>AND(Bills!O335,"AAAAAGK/7D8=")</f>
        <v>#VALUE!</v>
      </c>
      <c r="BM99" t="e">
        <f>AND(Bills!P335,"AAAAAGK/7EA=")</f>
        <v>#VALUE!</v>
      </c>
      <c r="BN99" t="e">
        <f>AND(Bills!Q335,"AAAAAGK/7EE=")</f>
        <v>#VALUE!</v>
      </c>
      <c r="BO99" t="e">
        <f>AND(Bills!R335,"AAAAAGK/7EI=")</f>
        <v>#VALUE!</v>
      </c>
      <c r="BP99" t="e">
        <f>AND(Bills!S335,"AAAAAGK/7EM=")</f>
        <v>#VALUE!</v>
      </c>
      <c r="BQ99" t="e">
        <f>AND(Bills!T335,"AAAAAGK/7EQ=")</f>
        <v>#VALUE!</v>
      </c>
      <c r="BR99" t="e">
        <f>AND(Bills!#REF!,"AAAAAGK/7EU=")</f>
        <v>#REF!</v>
      </c>
      <c r="BS99" t="e">
        <f>AND(Bills!U335,"AAAAAGK/7EY=")</f>
        <v>#VALUE!</v>
      </c>
      <c r="BT99" t="e">
        <f>AND(Bills!V335,"AAAAAGK/7Ec=")</f>
        <v>#VALUE!</v>
      </c>
      <c r="BU99" t="e">
        <f>AND(Bills!W335,"AAAAAGK/7Eg=")</f>
        <v>#VALUE!</v>
      </c>
      <c r="BV99" t="e">
        <f>AND(Bills!#REF!,"AAAAAGK/7Ek=")</f>
        <v>#REF!</v>
      </c>
      <c r="BW99" t="e">
        <f>AND(Bills!#REF!,"AAAAAGK/7Eo=")</f>
        <v>#REF!</v>
      </c>
      <c r="BX99" t="e">
        <f>AND(Bills!Y335,"AAAAAGK/7Es=")</f>
        <v>#VALUE!</v>
      </c>
      <c r="BY99" t="e">
        <f>AND(Bills!Z335,"AAAAAGK/7Ew=")</f>
        <v>#VALUE!</v>
      </c>
      <c r="BZ99" t="e">
        <f>AND(Bills!#REF!,"AAAAAGK/7E0=")</f>
        <v>#REF!</v>
      </c>
      <c r="CA99" t="e">
        <f>AND(Bills!#REF!,"AAAAAGK/7E4=")</f>
        <v>#REF!</v>
      </c>
      <c r="CB99" t="e">
        <f>AND(Bills!#REF!,"AAAAAGK/7E8=")</f>
        <v>#REF!</v>
      </c>
      <c r="CC99" t="e">
        <f>AND(Bills!#REF!,"AAAAAGK/7FA=")</f>
        <v>#REF!</v>
      </c>
      <c r="CD99" t="e">
        <f>AND(Bills!#REF!,"AAAAAGK/7FE=")</f>
        <v>#REF!</v>
      </c>
      <c r="CE99" t="e">
        <f>AND(Bills!#REF!,"AAAAAGK/7FI=")</f>
        <v>#REF!</v>
      </c>
      <c r="CF99" t="e">
        <f>AND(Bills!#REF!,"AAAAAGK/7FM=")</f>
        <v>#REF!</v>
      </c>
      <c r="CG99" t="e">
        <f>AND(Bills!#REF!,"AAAAAGK/7FQ=")</f>
        <v>#REF!</v>
      </c>
      <c r="CH99" t="e">
        <f>AND(Bills!#REF!,"AAAAAGK/7FU=")</f>
        <v>#REF!</v>
      </c>
      <c r="CI99" t="e">
        <f>AND(Bills!AA335,"AAAAAGK/7FY=")</f>
        <v>#VALUE!</v>
      </c>
      <c r="CJ99" t="e">
        <f>AND(Bills!AB335,"AAAAAGK/7Fc=")</f>
        <v>#VALUE!</v>
      </c>
      <c r="CK99" t="e">
        <f>AND(Bills!#REF!,"AAAAAGK/7Fg=")</f>
        <v>#REF!</v>
      </c>
      <c r="CL99" t="e">
        <f>AND(Bills!#REF!,"AAAAAGK/7Fk=")</f>
        <v>#REF!</v>
      </c>
      <c r="CM99" t="e">
        <f>AND(Bills!#REF!,"AAAAAGK/7Fo=")</f>
        <v>#REF!</v>
      </c>
      <c r="CN99" t="e">
        <f>AND(Bills!AC335,"AAAAAGK/7Fs=")</f>
        <v>#VALUE!</v>
      </c>
      <c r="CO99" t="e">
        <f>AND(Bills!AD335,"AAAAAGK/7Fw=")</f>
        <v>#VALUE!</v>
      </c>
      <c r="CP99" t="e">
        <f>AND(Bills!AE335,"AAAAAGK/7F0=")</f>
        <v>#VALUE!</v>
      </c>
      <c r="CQ99">
        <f>IF(Bills!336:336,"AAAAAGK/7F4=",0)</f>
        <v>0</v>
      </c>
      <c r="CR99" t="e">
        <f>AND(Bills!B336,"AAAAAGK/7F8=")</f>
        <v>#VALUE!</v>
      </c>
      <c r="CS99" t="e">
        <f>AND(Bills!#REF!,"AAAAAGK/7GA=")</f>
        <v>#REF!</v>
      </c>
      <c r="CT99" t="e">
        <f>AND(Bills!C336,"AAAAAGK/7GE=")</f>
        <v>#VALUE!</v>
      </c>
      <c r="CU99" t="e">
        <f>AND(Bills!D336,"AAAAAGK/7GI=")</f>
        <v>#VALUE!</v>
      </c>
      <c r="CV99" t="e">
        <f>AND(Bills!E336,"AAAAAGK/7GM=")</f>
        <v>#VALUE!</v>
      </c>
      <c r="CW99" t="e">
        <f>AND(Bills!#REF!,"AAAAAGK/7GQ=")</f>
        <v>#REF!</v>
      </c>
      <c r="CX99" t="e">
        <f>AND(Bills!#REF!,"AAAAAGK/7GU=")</f>
        <v>#REF!</v>
      </c>
      <c r="CY99" t="e">
        <f>AND(Bills!#REF!,"AAAAAGK/7GY=")</f>
        <v>#REF!</v>
      </c>
      <c r="CZ99" t="e">
        <f>AND(Bills!F336,"AAAAAGK/7Gc=")</f>
        <v>#VALUE!</v>
      </c>
      <c r="DA99" t="e">
        <f>AND(Bills!#REF!,"AAAAAGK/7Gg=")</f>
        <v>#REF!</v>
      </c>
      <c r="DB99" t="e">
        <f>AND(Bills!G336,"AAAAAGK/7Gk=")</f>
        <v>#VALUE!</v>
      </c>
      <c r="DC99" t="e">
        <f>AND(Bills!H336,"AAAAAGK/7Go=")</f>
        <v>#VALUE!</v>
      </c>
      <c r="DD99" t="e">
        <f>AND(Bills!I336,"AAAAAGK/7Gs=")</f>
        <v>#VALUE!</v>
      </c>
      <c r="DE99" t="e">
        <f>AND(Bills!J336,"AAAAAGK/7Gw=")</f>
        <v>#VALUE!</v>
      </c>
      <c r="DF99" t="e">
        <f>AND(Bills!K336,"AAAAAGK/7G0=")</f>
        <v>#VALUE!</v>
      </c>
      <c r="DG99" t="e">
        <f>AND(Bills!L336,"AAAAAGK/7G4=")</f>
        <v>#VALUE!</v>
      </c>
      <c r="DH99" t="e">
        <f>AND(Bills!#REF!,"AAAAAGK/7G8=")</f>
        <v>#REF!</v>
      </c>
      <c r="DI99" t="e">
        <f>AND(Bills!M336,"AAAAAGK/7HA=")</f>
        <v>#VALUE!</v>
      </c>
      <c r="DJ99" t="e">
        <f>AND(Bills!N336,"AAAAAGK/7HE=")</f>
        <v>#VALUE!</v>
      </c>
      <c r="DK99" t="e">
        <f>AND(Bills!O336,"AAAAAGK/7HI=")</f>
        <v>#VALUE!</v>
      </c>
      <c r="DL99" t="e">
        <f>AND(Bills!P336,"AAAAAGK/7HM=")</f>
        <v>#VALUE!</v>
      </c>
      <c r="DM99" t="e">
        <f>AND(Bills!Q336,"AAAAAGK/7HQ=")</f>
        <v>#VALUE!</v>
      </c>
      <c r="DN99" t="e">
        <f>AND(Bills!R336,"AAAAAGK/7HU=")</f>
        <v>#VALUE!</v>
      </c>
      <c r="DO99" t="e">
        <f>AND(Bills!S336,"AAAAAGK/7HY=")</f>
        <v>#VALUE!</v>
      </c>
      <c r="DP99" t="e">
        <f>AND(Bills!T336,"AAAAAGK/7Hc=")</f>
        <v>#VALUE!</v>
      </c>
      <c r="DQ99" t="e">
        <f>AND(Bills!#REF!,"AAAAAGK/7Hg=")</f>
        <v>#REF!</v>
      </c>
      <c r="DR99" t="e">
        <f>AND(Bills!U336,"AAAAAGK/7Hk=")</f>
        <v>#VALUE!</v>
      </c>
      <c r="DS99" t="e">
        <f>AND(Bills!V336,"AAAAAGK/7Ho=")</f>
        <v>#VALUE!</v>
      </c>
      <c r="DT99" t="e">
        <f>AND(Bills!W336,"AAAAAGK/7Hs=")</f>
        <v>#VALUE!</v>
      </c>
      <c r="DU99" t="e">
        <f>AND(Bills!#REF!,"AAAAAGK/7Hw=")</f>
        <v>#REF!</v>
      </c>
      <c r="DV99" t="e">
        <f>AND(Bills!#REF!,"AAAAAGK/7H0=")</f>
        <v>#REF!</v>
      </c>
      <c r="DW99" t="e">
        <f>AND(Bills!Y336,"AAAAAGK/7H4=")</f>
        <v>#VALUE!</v>
      </c>
      <c r="DX99" t="e">
        <f>AND(Bills!Z336,"AAAAAGK/7H8=")</f>
        <v>#VALUE!</v>
      </c>
      <c r="DY99" t="e">
        <f>AND(Bills!#REF!,"AAAAAGK/7IA=")</f>
        <v>#REF!</v>
      </c>
      <c r="DZ99" t="e">
        <f>AND(Bills!#REF!,"AAAAAGK/7IE=")</f>
        <v>#REF!</v>
      </c>
      <c r="EA99" t="e">
        <f>AND(Bills!#REF!,"AAAAAGK/7II=")</f>
        <v>#REF!</v>
      </c>
      <c r="EB99" t="e">
        <f>AND(Bills!#REF!,"AAAAAGK/7IM=")</f>
        <v>#REF!</v>
      </c>
      <c r="EC99" t="e">
        <f>AND(Bills!#REF!,"AAAAAGK/7IQ=")</f>
        <v>#REF!</v>
      </c>
      <c r="ED99" t="e">
        <f>AND(Bills!#REF!,"AAAAAGK/7IU=")</f>
        <v>#REF!</v>
      </c>
      <c r="EE99" t="e">
        <f>AND(Bills!#REF!,"AAAAAGK/7IY=")</f>
        <v>#REF!</v>
      </c>
      <c r="EF99" t="e">
        <f>AND(Bills!#REF!,"AAAAAGK/7Ic=")</f>
        <v>#REF!</v>
      </c>
      <c r="EG99" t="e">
        <f>AND(Bills!#REF!,"AAAAAGK/7Ig=")</f>
        <v>#REF!</v>
      </c>
      <c r="EH99" t="e">
        <f>AND(Bills!AA336,"AAAAAGK/7Ik=")</f>
        <v>#VALUE!</v>
      </c>
      <c r="EI99" t="e">
        <f>AND(Bills!AB336,"AAAAAGK/7Io=")</f>
        <v>#VALUE!</v>
      </c>
      <c r="EJ99" t="e">
        <f>AND(Bills!#REF!,"AAAAAGK/7Is=")</f>
        <v>#REF!</v>
      </c>
      <c r="EK99" t="e">
        <f>AND(Bills!#REF!,"AAAAAGK/7Iw=")</f>
        <v>#REF!</v>
      </c>
      <c r="EL99" t="e">
        <f>AND(Bills!#REF!,"AAAAAGK/7I0=")</f>
        <v>#REF!</v>
      </c>
      <c r="EM99" t="e">
        <f>AND(Bills!AC336,"AAAAAGK/7I4=")</f>
        <v>#VALUE!</v>
      </c>
      <c r="EN99" t="e">
        <f>AND(Bills!AD336,"AAAAAGK/7I8=")</f>
        <v>#VALUE!</v>
      </c>
      <c r="EO99" t="e">
        <f>AND(Bills!AE336,"AAAAAGK/7JA=")</f>
        <v>#VALUE!</v>
      </c>
      <c r="EP99">
        <f>IF(Bills!337:337,"AAAAAGK/7JE=",0)</f>
        <v>0</v>
      </c>
      <c r="EQ99" t="e">
        <f>AND(Bills!B337,"AAAAAGK/7JI=")</f>
        <v>#VALUE!</v>
      </c>
      <c r="ER99" t="e">
        <f>AND(Bills!#REF!,"AAAAAGK/7JM=")</f>
        <v>#REF!</v>
      </c>
      <c r="ES99" t="e">
        <f>AND(Bills!C337,"AAAAAGK/7JQ=")</f>
        <v>#VALUE!</v>
      </c>
      <c r="ET99" t="e">
        <f>AND(Bills!D337,"AAAAAGK/7JU=")</f>
        <v>#VALUE!</v>
      </c>
      <c r="EU99" t="e">
        <f>AND(Bills!E337,"AAAAAGK/7JY=")</f>
        <v>#VALUE!</v>
      </c>
      <c r="EV99" t="e">
        <f>AND(Bills!#REF!,"AAAAAGK/7Jc=")</f>
        <v>#REF!</v>
      </c>
      <c r="EW99" t="e">
        <f>AND(Bills!#REF!,"AAAAAGK/7Jg=")</f>
        <v>#REF!</v>
      </c>
      <c r="EX99" t="e">
        <f>AND(Bills!#REF!,"AAAAAGK/7Jk=")</f>
        <v>#REF!</v>
      </c>
      <c r="EY99" t="e">
        <f>AND(Bills!F337,"AAAAAGK/7Jo=")</f>
        <v>#VALUE!</v>
      </c>
      <c r="EZ99" t="e">
        <f>AND(Bills!#REF!,"AAAAAGK/7Js=")</f>
        <v>#REF!</v>
      </c>
      <c r="FA99" t="e">
        <f>AND(Bills!G337,"AAAAAGK/7Jw=")</f>
        <v>#VALUE!</v>
      </c>
      <c r="FB99" t="e">
        <f>AND(Bills!H337,"AAAAAGK/7J0=")</f>
        <v>#VALUE!</v>
      </c>
      <c r="FC99" t="e">
        <f>AND(Bills!I337,"AAAAAGK/7J4=")</f>
        <v>#VALUE!</v>
      </c>
      <c r="FD99" t="e">
        <f>AND(Bills!J337,"AAAAAGK/7J8=")</f>
        <v>#VALUE!</v>
      </c>
      <c r="FE99" t="e">
        <f>AND(Bills!K337,"AAAAAGK/7KA=")</f>
        <v>#VALUE!</v>
      </c>
      <c r="FF99" t="e">
        <f>AND(Bills!L337,"AAAAAGK/7KE=")</f>
        <v>#VALUE!</v>
      </c>
      <c r="FG99" t="e">
        <f>AND(Bills!#REF!,"AAAAAGK/7KI=")</f>
        <v>#REF!</v>
      </c>
      <c r="FH99" t="e">
        <f>AND(Bills!M337,"AAAAAGK/7KM=")</f>
        <v>#VALUE!</v>
      </c>
      <c r="FI99" t="e">
        <f>AND(Bills!N337,"AAAAAGK/7KQ=")</f>
        <v>#VALUE!</v>
      </c>
      <c r="FJ99" t="e">
        <f>AND(Bills!O337,"AAAAAGK/7KU=")</f>
        <v>#VALUE!</v>
      </c>
      <c r="FK99" t="e">
        <f>AND(Bills!P337,"AAAAAGK/7KY=")</f>
        <v>#VALUE!</v>
      </c>
      <c r="FL99" t="e">
        <f>AND(Bills!Q337,"AAAAAGK/7Kc=")</f>
        <v>#VALUE!</v>
      </c>
      <c r="FM99" t="e">
        <f>AND(Bills!R337,"AAAAAGK/7Kg=")</f>
        <v>#VALUE!</v>
      </c>
      <c r="FN99" t="e">
        <f>AND(Bills!S337,"AAAAAGK/7Kk=")</f>
        <v>#VALUE!</v>
      </c>
      <c r="FO99" t="e">
        <f>AND(Bills!T337,"AAAAAGK/7Ko=")</f>
        <v>#VALUE!</v>
      </c>
      <c r="FP99" t="e">
        <f>AND(Bills!#REF!,"AAAAAGK/7Ks=")</f>
        <v>#REF!</v>
      </c>
      <c r="FQ99" t="e">
        <f>AND(Bills!U337,"AAAAAGK/7Kw=")</f>
        <v>#VALUE!</v>
      </c>
      <c r="FR99" t="e">
        <f>AND(Bills!V337,"AAAAAGK/7K0=")</f>
        <v>#VALUE!</v>
      </c>
      <c r="FS99" t="e">
        <f>AND(Bills!W337,"AAAAAGK/7K4=")</f>
        <v>#VALUE!</v>
      </c>
      <c r="FT99" t="e">
        <f>AND(Bills!#REF!,"AAAAAGK/7K8=")</f>
        <v>#REF!</v>
      </c>
      <c r="FU99" t="e">
        <f>AND(Bills!#REF!,"AAAAAGK/7LA=")</f>
        <v>#REF!</v>
      </c>
      <c r="FV99" t="e">
        <f>AND(Bills!Y337,"AAAAAGK/7LE=")</f>
        <v>#VALUE!</v>
      </c>
      <c r="FW99" t="e">
        <f>AND(Bills!Z337,"AAAAAGK/7LI=")</f>
        <v>#VALUE!</v>
      </c>
      <c r="FX99" t="e">
        <f>AND(Bills!#REF!,"AAAAAGK/7LM=")</f>
        <v>#REF!</v>
      </c>
      <c r="FY99" t="e">
        <f>AND(Bills!#REF!,"AAAAAGK/7LQ=")</f>
        <v>#REF!</v>
      </c>
      <c r="FZ99" t="e">
        <f>AND(Bills!#REF!,"AAAAAGK/7LU=")</f>
        <v>#REF!</v>
      </c>
      <c r="GA99" t="e">
        <f>AND(Bills!#REF!,"AAAAAGK/7LY=")</f>
        <v>#REF!</v>
      </c>
      <c r="GB99" t="e">
        <f>AND(Bills!#REF!,"AAAAAGK/7Lc=")</f>
        <v>#REF!</v>
      </c>
      <c r="GC99" t="e">
        <f>AND(Bills!#REF!,"AAAAAGK/7Lg=")</f>
        <v>#REF!</v>
      </c>
      <c r="GD99" t="e">
        <f>AND(Bills!#REF!,"AAAAAGK/7Lk=")</f>
        <v>#REF!</v>
      </c>
      <c r="GE99" t="e">
        <f>AND(Bills!#REF!,"AAAAAGK/7Lo=")</f>
        <v>#REF!</v>
      </c>
      <c r="GF99" t="e">
        <f>AND(Bills!#REF!,"AAAAAGK/7Ls=")</f>
        <v>#REF!</v>
      </c>
      <c r="GG99" t="e">
        <f>AND(Bills!AA337,"AAAAAGK/7Lw=")</f>
        <v>#VALUE!</v>
      </c>
      <c r="GH99" t="e">
        <f>AND(Bills!AB337,"AAAAAGK/7L0=")</f>
        <v>#VALUE!</v>
      </c>
      <c r="GI99" t="e">
        <f>AND(Bills!#REF!,"AAAAAGK/7L4=")</f>
        <v>#REF!</v>
      </c>
      <c r="GJ99" t="e">
        <f>AND(Bills!#REF!,"AAAAAGK/7L8=")</f>
        <v>#REF!</v>
      </c>
      <c r="GK99" t="e">
        <f>AND(Bills!#REF!,"AAAAAGK/7MA=")</f>
        <v>#REF!</v>
      </c>
      <c r="GL99" t="e">
        <f>AND(Bills!AC337,"AAAAAGK/7ME=")</f>
        <v>#VALUE!</v>
      </c>
      <c r="GM99" t="e">
        <f>AND(Bills!AD337,"AAAAAGK/7MI=")</f>
        <v>#VALUE!</v>
      </c>
      <c r="GN99" t="e">
        <f>AND(Bills!AE337,"AAAAAGK/7MM=")</f>
        <v>#VALUE!</v>
      </c>
      <c r="GO99">
        <f>IF(Bills!338:338,"AAAAAGK/7MQ=",0)</f>
        <v>0</v>
      </c>
      <c r="GP99" t="e">
        <f>AND(Bills!B338,"AAAAAGK/7MU=")</f>
        <v>#VALUE!</v>
      </c>
      <c r="GQ99" t="e">
        <f>AND(Bills!#REF!,"AAAAAGK/7MY=")</f>
        <v>#REF!</v>
      </c>
      <c r="GR99" t="e">
        <f>AND(Bills!C338,"AAAAAGK/7Mc=")</f>
        <v>#VALUE!</v>
      </c>
      <c r="GS99" t="e">
        <f>AND(Bills!D338,"AAAAAGK/7Mg=")</f>
        <v>#VALUE!</v>
      </c>
      <c r="GT99" t="e">
        <f>AND(Bills!E338,"AAAAAGK/7Mk=")</f>
        <v>#VALUE!</v>
      </c>
      <c r="GU99" t="e">
        <f>AND(Bills!#REF!,"AAAAAGK/7Mo=")</f>
        <v>#REF!</v>
      </c>
      <c r="GV99" t="e">
        <f>AND(Bills!#REF!,"AAAAAGK/7Ms=")</f>
        <v>#REF!</v>
      </c>
      <c r="GW99" t="e">
        <f>AND(Bills!#REF!,"AAAAAGK/7Mw=")</f>
        <v>#REF!</v>
      </c>
      <c r="GX99" t="e">
        <f>AND(Bills!F338,"AAAAAGK/7M0=")</f>
        <v>#VALUE!</v>
      </c>
      <c r="GY99" t="e">
        <f>AND(Bills!#REF!,"AAAAAGK/7M4=")</f>
        <v>#REF!</v>
      </c>
      <c r="GZ99" t="e">
        <f>AND(Bills!G338,"AAAAAGK/7M8=")</f>
        <v>#VALUE!</v>
      </c>
      <c r="HA99" t="e">
        <f>AND(Bills!H338,"AAAAAGK/7NA=")</f>
        <v>#VALUE!</v>
      </c>
      <c r="HB99" t="e">
        <f>AND(Bills!I338,"AAAAAGK/7NE=")</f>
        <v>#VALUE!</v>
      </c>
      <c r="HC99" t="e">
        <f>AND(Bills!J338,"AAAAAGK/7NI=")</f>
        <v>#VALUE!</v>
      </c>
      <c r="HD99" t="e">
        <f>AND(Bills!K338,"AAAAAGK/7NM=")</f>
        <v>#VALUE!</v>
      </c>
      <c r="HE99" t="e">
        <f>AND(Bills!L338,"AAAAAGK/7NQ=")</f>
        <v>#VALUE!</v>
      </c>
      <c r="HF99" t="e">
        <f>AND(Bills!#REF!,"AAAAAGK/7NU=")</f>
        <v>#REF!</v>
      </c>
      <c r="HG99" t="e">
        <f>AND(Bills!M338,"AAAAAGK/7NY=")</f>
        <v>#VALUE!</v>
      </c>
      <c r="HH99" t="e">
        <f>AND(Bills!N338,"AAAAAGK/7Nc=")</f>
        <v>#VALUE!</v>
      </c>
      <c r="HI99" t="e">
        <f>AND(Bills!O338,"AAAAAGK/7Ng=")</f>
        <v>#VALUE!</v>
      </c>
      <c r="HJ99" t="e">
        <f>AND(Bills!P338,"AAAAAGK/7Nk=")</f>
        <v>#VALUE!</v>
      </c>
      <c r="HK99" t="e">
        <f>AND(Bills!Q338,"AAAAAGK/7No=")</f>
        <v>#VALUE!</v>
      </c>
      <c r="HL99" t="e">
        <f>AND(Bills!R338,"AAAAAGK/7Ns=")</f>
        <v>#VALUE!</v>
      </c>
      <c r="HM99" t="e">
        <f>AND(Bills!S338,"AAAAAGK/7Nw=")</f>
        <v>#VALUE!</v>
      </c>
      <c r="HN99" t="e">
        <f>AND(Bills!T338,"AAAAAGK/7N0=")</f>
        <v>#VALUE!</v>
      </c>
      <c r="HO99" t="e">
        <f>AND(Bills!#REF!,"AAAAAGK/7N4=")</f>
        <v>#REF!</v>
      </c>
      <c r="HP99" t="e">
        <f>AND(Bills!U338,"AAAAAGK/7N8=")</f>
        <v>#VALUE!</v>
      </c>
      <c r="HQ99" t="e">
        <f>AND(Bills!V338,"AAAAAGK/7OA=")</f>
        <v>#VALUE!</v>
      </c>
      <c r="HR99" t="e">
        <f>AND(Bills!W338,"AAAAAGK/7OE=")</f>
        <v>#VALUE!</v>
      </c>
      <c r="HS99" t="e">
        <f>AND(Bills!#REF!,"AAAAAGK/7OI=")</f>
        <v>#REF!</v>
      </c>
      <c r="HT99" t="e">
        <f>AND(Bills!#REF!,"AAAAAGK/7OM=")</f>
        <v>#REF!</v>
      </c>
      <c r="HU99" t="e">
        <f>AND(Bills!Y338,"AAAAAGK/7OQ=")</f>
        <v>#VALUE!</v>
      </c>
      <c r="HV99" t="e">
        <f>AND(Bills!Z338,"AAAAAGK/7OU=")</f>
        <v>#VALUE!</v>
      </c>
      <c r="HW99" t="e">
        <f>AND(Bills!#REF!,"AAAAAGK/7OY=")</f>
        <v>#REF!</v>
      </c>
      <c r="HX99" t="e">
        <f>AND(Bills!#REF!,"AAAAAGK/7Oc=")</f>
        <v>#REF!</v>
      </c>
      <c r="HY99" t="e">
        <f>AND(Bills!#REF!,"AAAAAGK/7Og=")</f>
        <v>#REF!</v>
      </c>
      <c r="HZ99" t="e">
        <f>AND(Bills!#REF!,"AAAAAGK/7Ok=")</f>
        <v>#REF!</v>
      </c>
      <c r="IA99" t="e">
        <f>AND(Bills!#REF!,"AAAAAGK/7Oo=")</f>
        <v>#REF!</v>
      </c>
      <c r="IB99" t="e">
        <f>AND(Bills!#REF!,"AAAAAGK/7Os=")</f>
        <v>#REF!</v>
      </c>
      <c r="IC99" t="e">
        <f>AND(Bills!#REF!,"AAAAAGK/7Ow=")</f>
        <v>#REF!</v>
      </c>
      <c r="ID99" t="e">
        <f>AND(Bills!#REF!,"AAAAAGK/7O0=")</f>
        <v>#REF!</v>
      </c>
      <c r="IE99" t="e">
        <f>AND(Bills!#REF!,"AAAAAGK/7O4=")</f>
        <v>#REF!</v>
      </c>
      <c r="IF99" t="e">
        <f>AND(Bills!AA338,"AAAAAGK/7O8=")</f>
        <v>#VALUE!</v>
      </c>
      <c r="IG99" t="e">
        <f>AND(Bills!AB338,"AAAAAGK/7PA=")</f>
        <v>#VALUE!</v>
      </c>
      <c r="IH99" t="e">
        <f>AND(Bills!#REF!,"AAAAAGK/7PE=")</f>
        <v>#REF!</v>
      </c>
      <c r="II99" t="e">
        <f>AND(Bills!#REF!,"AAAAAGK/7PI=")</f>
        <v>#REF!</v>
      </c>
      <c r="IJ99" t="e">
        <f>AND(Bills!#REF!,"AAAAAGK/7PM=")</f>
        <v>#REF!</v>
      </c>
      <c r="IK99" t="e">
        <f>AND(Bills!AC338,"AAAAAGK/7PQ=")</f>
        <v>#VALUE!</v>
      </c>
      <c r="IL99" t="e">
        <f>AND(Bills!AD338,"AAAAAGK/7PU=")</f>
        <v>#VALUE!</v>
      </c>
      <c r="IM99" t="e">
        <f>AND(Bills!AE338,"AAAAAGK/7PY=")</f>
        <v>#VALUE!</v>
      </c>
      <c r="IN99">
        <f>IF(Bills!339:339,"AAAAAGK/7Pc=",0)</f>
        <v>0</v>
      </c>
      <c r="IO99" t="e">
        <f>AND(Bills!B339,"AAAAAGK/7Pg=")</f>
        <v>#VALUE!</v>
      </c>
      <c r="IP99" t="e">
        <f>AND(Bills!#REF!,"AAAAAGK/7Pk=")</f>
        <v>#REF!</v>
      </c>
      <c r="IQ99" t="e">
        <f>AND(Bills!C339,"AAAAAGK/7Po=")</f>
        <v>#VALUE!</v>
      </c>
      <c r="IR99" t="e">
        <f>AND(Bills!D339,"AAAAAGK/7Ps=")</f>
        <v>#VALUE!</v>
      </c>
      <c r="IS99" t="e">
        <f>AND(Bills!E339,"AAAAAGK/7Pw=")</f>
        <v>#VALUE!</v>
      </c>
      <c r="IT99" t="e">
        <f>AND(Bills!#REF!,"AAAAAGK/7P0=")</f>
        <v>#REF!</v>
      </c>
      <c r="IU99" t="e">
        <f>AND(Bills!#REF!,"AAAAAGK/7P4=")</f>
        <v>#REF!</v>
      </c>
      <c r="IV99" t="e">
        <f>AND(Bills!#REF!,"AAAAAGK/7P8=")</f>
        <v>#REF!</v>
      </c>
    </row>
    <row r="100" spans="1:256" x14ac:dyDescent="0.25">
      <c r="A100" t="e">
        <f>AND(Bills!F339,"AAAAAD/06wA=")</f>
        <v>#VALUE!</v>
      </c>
      <c r="B100" t="e">
        <f>AND(Bills!#REF!,"AAAAAD/06wE=")</f>
        <v>#REF!</v>
      </c>
      <c r="C100" t="e">
        <f>AND(Bills!G339,"AAAAAD/06wI=")</f>
        <v>#VALUE!</v>
      </c>
      <c r="D100" t="e">
        <f>AND(Bills!H339,"AAAAAD/06wM=")</f>
        <v>#VALUE!</v>
      </c>
      <c r="E100" t="e">
        <f>AND(Bills!I339,"AAAAAD/06wQ=")</f>
        <v>#VALUE!</v>
      </c>
      <c r="F100" t="e">
        <f>AND(Bills!J339,"AAAAAD/06wU=")</f>
        <v>#VALUE!</v>
      </c>
      <c r="G100" t="e">
        <f>AND(Bills!K339,"AAAAAD/06wY=")</f>
        <v>#VALUE!</v>
      </c>
      <c r="H100" t="e">
        <f>AND(Bills!L339,"AAAAAD/06wc=")</f>
        <v>#VALUE!</v>
      </c>
      <c r="I100" t="e">
        <f>AND(Bills!#REF!,"AAAAAD/06wg=")</f>
        <v>#REF!</v>
      </c>
      <c r="J100" t="e">
        <f>AND(Bills!M339,"AAAAAD/06wk=")</f>
        <v>#VALUE!</v>
      </c>
      <c r="K100" t="e">
        <f>AND(Bills!N339,"AAAAAD/06wo=")</f>
        <v>#VALUE!</v>
      </c>
      <c r="L100" t="e">
        <f>AND(Bills!O339,"AAAAAD/06ws=")</f>
        <v>#VALUE!</v>
      </c>
      <c r="M100" t="e">
        <f>AND(Bills!P339,"AAAAAD/06ww=")</f>
        <v>#VALUE!</v>
      </c>
      <c r="N100" t="e">
        <f>AND(Bills!Q339,"AAAAAD/06w0=")</f>
        <v>#VALUE!</v>
      </c>
      <c r="O100" t="e">
        <f>AND(Bills!R339,"AAAAAD/06w4=")</f>
        <v>#VALUE!</v>
      </c>
      <c r="P100" t="e">
        <f>AND(Bills!S339,"AAAAAD/06w8=")</f>
        <v>#VALUE!</v>
      </c>
      <c r="Q100" t="e">
        <f>AND(Bills!T339,"AAAAAD/06xA=")</f>
        <v>#VALUE!</v>
      </c>
      <c r="R100" t="e">
        <f>AND(Bills!#REF!,"AAAAAD/06xE=")</f>
        <v>#REF!</v>
      </c>
      <c r="S100" t="e">
        <f>AND(Bills!U339,"AAAAAD/06xI=")</f>
        <v>#VALUE!</v>
      </c>
      <c r="T100" t="e">
        <f>AND(Bills!V339,"AAAAAD/06xM=")</f>
        <v>#VALUE!</v>
      </c>
      <c r="U100" t="e">
        <f>AND(Bills!W339,"AAAAAD/06xQ=")</f>
        <v>#VALUE!</v>
      </c>
      <c r="V100" t="e">
        <f>AND(Bills!#REF!,"AAAAAD/06xU=")</f>
        <v>#REF!</v>
      </c>
      <c r="W100" t="e">
        <f>AND(Bills!#REF!,"AAAAAD/06xY=")</f>
        <v>#REF!</v>
      </c>
      <c r="X100" t="e">
        <f>AND(Bills!Y339,"AAAAAD/06xc=")</f>
        <v>#VALUE!</v>
      </c>
      <c r="Y100" t="e">
        <f>AND(Bills!Z339,"AAAAAD/06xg=")</f>
        <v>#VALUE!</v>
      </c>
      <c r="Z100" t="e">
        <f>AND(Bills!#REF!,"AAAAAD/06xk=")</f>
        <v>#REF!</v>
      </c>
      <c r="AA100" t="e">
        <f>AND(Bills!#REF!,"AAAAAD/06xo=")</f>
        <v>#REF!</v>
      </c>
      <c r="AB100" t="e">
        <f>AND(Bills!#REF!,"AAAAAD/06xs=")</f>
        <v>#REF!</v>
      </c>
      <c r="AC100" t="e">
        <f>AND(Bills!#REF!,"AAAAAD/06xw=")</f>
        <v>#REF!</v>
      </c>
      <c r="AD100" t="e">
        <f>AND(Bills!#REF!,"AAAAAD/06x0=")</f>
        <v>#REF!</v>
      </c>
      <c r="AE100" t="e">
        <f>AND(Bills!#REF!,"AAAAAD/06x4=")</f>
        <v>#REF!</v>
      </c>
      <c r="AF100" t="e">
        <f>AND(Bills!#REF!,"AAAAAD/06x8=")</f>
        <v>#REF!</v>
      </c>
      <c r="AG100" t="e">
        <f>AND(Bills!#REF!,"AAAAAD/06yA=")</f>
        <v>#REF!</v>
      </c>
      <c r="AH100" t="e">
        <f>AND(Bills!#REF!,"AAAAAD/06yE=")</f>
        <v>#REF!</v>
      </c>
      <c r="AI100" t="e">
        <f>AND(Bills!AA339,"AAAAAD/06yI=")</f>
        <v>#VALUE!</v>
      </c>
      <c r="AJ100" t="e">
        <f>AND(Bills!AB339,"AAAAAD/06yM=")</f>
        <v>#VALUE!</v>
      </c>
      <c r="AK100" t="e">
        <f>AND(Bills!#REF!,"AAAAAD/06yQ=")</f>
        <v>#REF!</v>
      </c>
      <c r="AL100" t="e">
        <f>AND(Bills!#REF!,"AAAAAD/06yU=")</f>
        <v>#REF!</v>
      </c>
      <c r="AM100" t="e">
        <f>AND(Bills!#REF!,"AAAAAD/06yY=")</f>
        <v>#REF!</v>
      </c>
      <c r="AN100" t="e">
        <f>AND(Bills!AC339,"AAAAAD/06yc=")</f>
        <v>#VALUE!</v>
      </c>
      <c r="AO100" t="e">
        <f>AND(Bills!AD339,"AAAAAD/06yg=")</f>
        <v>#VALUE!</v>
      </c>
      <c r="AP100" t="e">
        <f>AND(Bills!AE339,"AAAAAD/06yk=")</f>
        <v>#VALUE!</v>
      </c>
      <c r="AQ100">
        <f>IF(Bills!340:340,"AAAAAD/06yo=",0)</f>
        <v>0</v>
      </c>
      <c r="AR100" t="e">
        <f>AND(Bills!B340,"AAAAAD/06ys=")</f>
        <v>#VALUE!</v>
      </c>
      <c r="AS100" t="e">
        <f>AND(Bills!#REF!,"AAAAAD/06yw=")</f>
        <v>#REF!</v>
      </c>
      <c r="AT100" t="e">
        <f>AND(Bills!C340,"AAAAAD/06y0=")</f>
        <v>#VALUE!</v>
      </c>
      <c r="AU100" t="e">
        <f>AND(Bills!D340,"AAAAAD/06y4=")</f>
        <v>#VALUE!</v>
      </c>
      <c r="AV100" t="e">
        <f>AND(Bills!E340,"AAAAAD/06y8=")</f>
        <v>#VALUE!</v>
      </c>
      <c r="AW100" t="e">
        <f>AND(Bills!#REF!,"AAAAAD/06zA=")</f>
        <v>#REF!</v>
      </c>
      <c r="AX100" t="e">
        <f>AND(Bills!#REF!,"AAAAAD/06zE=")</f>
        <v>#REF!</v>
      </c>
      <c r="AY100" t="e">
        <f>AND(Bills!#REF!,"AAAAAD/06zI=")</f>
        <v>#REF!</v>
      </c>
      <c r="AZ100" t="e">
        <f>AND(Bills!F340,"AAAAAD/06zM=")</f>
        <v>#VALUE!</v>
      </c>
      <c r="BA100" t="e">
        <f>AND(Bills!#REF!,"AAAAAD/06zQ=")</f>
        <v>#REF!</v>
      </c>
      <c r="BB100" t="e">
        <f>AND(Bills!G340,"AAAAAD/06zU=")</f>
        <v>#VALUE!</v>
      </c>
      <c r="BC100" t="e">
        <f>AND(Bills!H340,"AAAAAD/06zY=")</f>
        <v>#VALUE!</v>
      </c>
      <c r="BD100" t="e">
        <f>AND(Bills!I340,"AAAAAD/06zc=")</f>
        <v>#VALUE!</v>
      </c>
      <c r="BE100" t="e">
        <f>AND(Bills!J340,"AAAAAD/06zg=")</f>
        <v>#VALUE!</v>
      </c>
      <c r="BF100" t="e">
        <f>AND(Bills!K340,"AAAAAD/06zk=")</f>
        <v>#VALUE!</v>
      </c>
      <c r="BG100" t="e">
        <f>AND(Bills!L340,"AAAAAD/06zo=")</f>
        <v>#VALUE!</v>
      </c>
      <c r="BH100" t="e">
        <f>AND(Bills!#REF!,"AAAAAD/06zs=")</f>
        <v>#REF!</v>
      </c>
      <c r="BI100" t="e">
        <f>AND(Bills!M340,"AAAAAD/06zw=")</f>
        <v>#VALUE!</v>
      </c>
      <c r="BJ100" t="e">
        <f>AND(Bills!N340,"AAAAAD/06z0=")</f>
        <v>#VALUE!</v>
      </c>
      <c r="BK100" t="e">
        <f>AND(Bills!O340,"AAAAAD/06z4=")</f>
        <v>#VALUE!</v>
      </c>
      <c r="BL100" t="e">
        <f>AND(Bills!P340,"AAAAAD/06z8=")</f>
        <v>#VALUE!</v>
      </c>
      <c r="BM100" t="e">
        <f>AND(Bills!Q340,"AAAAAD/060A=")</f>
        <v>#VALUE!</v>
      </c>
      <c r="BN100" t="e">
        <f>AND(Bills!R340,"AAAAAD/060E=")</f>
        <v>#VALUE!</v>
      </c>
      <c r="BO100" t="e">
        <f>AND(Bills!S340,"AAAAAD/060I=")</f>
        <v>#VALUE!</v>
      </c>
      <c r="BP100" t="e">
        <f>AND(Bills!T340,"AAAAAD/060M=")</f>
        <v>#VALUE!</v>
      </c>
      <c r="BQ100" t="e">
        <f>AND(Bills!#REF!,"AAAAAD/060Q=")</f>
        <v>#REF!</v>
      </c>
      <c r="BR100" t="e">
        <f>AND(Bills!U340,"AAAAAD/060U=")</f>
        <v>#VALUE!</v>
      </c>
      <c r="BS100" t="e">
        <f>AND(Bills!V340,"AAAAAD/060Y=")</f>
        <v>#VALUE!</v>
      </c>
      <c r="BT100" t="e">
        <f>AND(Bills!W340,"AAAAAD/060c=")</f>
        <v>#VALUE!</v>
      </c>
      <c r="BU100" t="e">
        <f>AND(Bills!#REF!,"AAAAAD/060g=")</f>
        <v>#REF!</v>
      </c>
      <c r="BV100" t="e">
        <f>AND(Bills!#REF!,"AAAAAD/060k=")</f>
        <v>#REF!</v>
      </c>
      <c r="BW100" t="e">
        <f>AND(Bills!Y340,"AAAAAD/060o=")</f>
        <v>#VALUE!</v>
      </c>
      <c r="BX100" t="e">
        <f>AND(Bills!Z340,"AAAAAD/060s=")</f>
        <v>#VALUE!</v>
      </c>
      <c r="BY100" t="e">
        <f>AND(Bills!#REF!,"AAAAAD/060w=")</f>
        <v>#REF!</v>
      </c>
      <c r="BZ100" t="e">
        <f>AND(Bills!#REF!,"AAAAAD/0600=")</f>
        <v>#REF!</v>
      </c>
      <c r="CA100" t="e">
        <f>AND(Bills!#REF!,"AAAAAD/0604=")</f>
        <v>#REF!</v>
      </c>
      <c r="CB100" t="e">
        <f>AND(Bills!#REF!,"AAAAAD/0608=")</f>
        <v>#REF!</v>
      </c>
      <c r="CC100" t="e">
        <f>AND(Bills!#REF!,"AAAAAD/061A=")</f>
        <v>#REF!</v>
      </c>
      <c r="CD100" t="e">
        <f>AND(Bills!#REF!,"AAAAAD/061E=")</f>
        <v>#REF!</v>
      </c>
      <c r="CE100" t="e">
        <f>AND(Bills!#REF!,"AAAAAD/061I=")</f>
        <v>#REF!</v>
      </c>
      <c r="CF100" t="e">
        <f>AND(Bills!#REF!,"AAAAAD/061M=")</f>
        <v>#REF!</v>
      </c>
      <c r="CG100" t="e">
        <f>AND(Bills!#REF!,"AAAAAD/061Q=")</f>
        <v>#REF!</v>
      </c>
      <c r="CH100" t="e">
        <f>AND(Bills!AA340,"AAAAAD/061U=")</f>
        <v>#VALUE!</v>
      </c>
      <c r="CI100" t="e">
        <f>AND(Bills!AB340,"AAAAAD/061Y=")</f>
        <v>#VALUE!</v>
      </c>
      <c r="CJ100" t="e">
        <f>AND(Bills!#REF!,"AAAAAD/061c=")</f>
        <v>#REF!</v>
      </c>
      <c r="CK100" t="e">
        <f>AND(Bills!#REF!,"AAAAAD/061g=")</f>
        <v>#REF!</v>
      </c>
      <c r="CL100" t="e">
        <f>AND(Bills!#REF!,"AAAAAD/061k=")</f>
        <v>#REF!</v>
      </c>
      <c r="CM100" t="e">
        <f>AND(Bills!AC340,"AAAAAD/061o=")</f>
        <v>#VALUE!</v>
      </c>
      <c r="CN100" t="e">
        <f>AND(Bills!AD340,"AAAAAD/061s=")</f>
        <v>#VALUE!</v>
      </c>
      <c r="CO100" t="e">
        <f>AND(Bills!AE340,"AAAAAD/061w=")</f>
        <v>#VALUE!</v>
      </c>
      <c r="CP100">
        <f>IF(Bills!341:341,"AAAAAD/0610=",0)</f>
        <v>0</v>
      </c>
      <c r="CQ100" t="e">
        <f>AND(Bills!B341,"AAAAAD/0614=")</f>
        <v>#VALUE!</v>
      </c>
      <c r="CR100" t="e">
        <f>AND(Bills!#REF!,"AAAAAD/0618=")</f>
        <v>#REF!</v>
      </c>
      <c r="CS100" t="e">
        <f>AND(Bills!C341,"AAAAAD/062A=")</f>
        <v>#VALUE!</v>
      </c>
      <c r="CT100" t="e">
        <f>AND(Bills!D341,"AAAAAD/062E=")</f>
        <v>#VALUE!</v>
      </c>
      <c r="CU100" t="e">
        <f>AND(Bills!E341,"AAAAAD/062I=")</f>
        <v>#VALUE!</v>
      </c>
      <c r="CV100" t="e">
        <f>AND(Bills!#REF!,"AAAAAD/062M=")</f>
        <v>#REF!</v>
      </c>
      <c r="CW100" t="e">
        <f>AND(Bills!#REF!,"AAAAAD/062Q=")</f>
        <v>#REF!</v>
      </c>
      <c r="CX100" t="e">
        <f>AND(Bills!#REF!,"AAAAAD/062U=")</f>
        <v>#REF!</v>
      </c>
      <c r="CY100" t="e">
        <f>AND(Bills!F341,"AAAAAD/062Y=")</f>
        <v>#VALUE!</v>
      </c>
      <c r="CZ100" t="e">
        <f>AND(Bills!#REF!,"AAAAAD/062c=")</f>
        <v>#REF!</v>
      </c>
      <c r="DA100" t="e">
        <f>AND(Bills!G341,"AAAAAD/062g=")</f>
        <v>#VALUE!</v>
      </c>
      <c r="DB100" t="e">
        <f>AND(Bills!H341,"AAAAAD/062k=")</f>
        <v>#VALUE!</v>
      </c>
      <c r="DC100" t="e">
        <f>AND(Bills!I341,"AAAAAD/062o=")</f>
        <v>#VALUE!</v>
      </c>
      <c r="DD100" t="e">
        <f>AND(Bills!J341,"AAAAAD/062s=")</f>
        <v>#VALUE!</v>
      </c>
      <c r="DE100" t="e">
        <f>AND(Bills!K341,"AAAAAD/062w=")</f>
        <v>#VALUE!</v>
      </c>
      <c r="DF100" t="e">
        <f>AND(Bills!L341,"AAAAAD/0620=")</f>
        <v>#VALUE!</v>
      </c>
      <c r="DG100" t="e">
        <f>AND(Bills!#REF!,"AAAAAD/0624=")</f>
        <v>#REF!</v>
      </c>
      <c r="DH100" t="e">
        <f>AND(Bills!M341,"AAAAAD/0628=")</f>
        <v>#VALUE!</v>
      </c>
      <c r="DI100" t="e">
        <f>AND(Bills!N341,"AAAAAD/063A=")</f>
        <v>#VALUE!</v>
      </c>
      <c r="DJ100" t="e">
        <f>AND(Bills!O341,"AAAAAD/063E=")</f>
        <v>#VALUE!</v>
      </c>
      <c r="DK100" t="e">
        <f>AND(Bills!P341,"AAAAAD/063I=")</f>
        <v>#VALUE!</v>
      </c>
      <c r="DL100" t="e">
        <f>AND(Bills!Q341,"AAAAAD/063M=")</f>
        <v>#VALUE!</v>
      </c>
      <c r="DM100" t="e">
        <f>AND(Bills!R341,"AAAAAD/063Q=")</f>
        <v>#VALUE!</v>
      </c>
      <c r="DN100" t="e">
        <f>AND(Bills!S341,"AAAAAD/063U=")</f>
        <v>#VALUE!</v>
      </c>
      <c r="DO100" t="e">
        <f>AND(Bills!T341,"AAAAAD/063Y=")</f>
        <v>#VALUE!</v>
      </c>
      <c r="DP100" t="e">
        <f>AND(Bills!#REF!,"AAAAAD/063c=")</f>
        <v>#REF!</v>
      </c>
      <c r="DQ100" t="e">
        <f>AND(Bills!U341,"AAAAAD/063g=")</f>
        <v>#VALUE!</v>
      </c>
      <c r="DR100" t="e">
        <f>AND(Bills!V341,"AAAAAD/063k=")</f>
        <v>#VALUE!</v>
      </c>
      <c r="DS100" t="e">
        <f>AND(Bills!W341,"AAAAAD/063o=")</f>
        <v>#VALUE!</v>
      </c>
      <c r="DT100" t="e">
        <f>AND(Bills!#REF!,"AAAAAD/063s=")</f>
        <v>#REF!</v>
      </c>
      <c r="DU100" t="e">
        <f>AND(Bills!#REF!,"AAAAAD/063w=")</f>
        <v>#REF!</v>
      </c>
      <c r="DV100" t="e">
        <f>AND(Bills!Y341,"AAAAAD/0630=")</f>
        <v>#VALUE!</v>
      </c>
      <c r="DW100" t="e">
        <f>AND(Bills!Z341,"AAAAAD/0634=")</f>
        <v>#VALUE!</v>
      </c>
      <c r="DX100" t="e">
        <f>AND(Bills!#REF!,"AAAAAD/0638=")</f>
        <v>#REF!</v>
      </c>
      <c r="DY100" t="e">
        <f>AND(Bills!#REF!,"AAAAAD/064A=")</f>
        <v>#REF!</v>
      </c>
      <c r="DZ100" t="e">
        <f>AND(Bills!#REF!,"AAAAAD/064E=")</f>
        <v>#REF!</v>
      </c>
      <c r="EA100" t="e">
        <f>AND(Bills!#REF!,"AAAAAD/064I=")</f>
        <v>#REF!</v>
      </c>
      <c r="EB100" t="e">
        <f>AND(Bills!#REF!,"AAAAAD/064M=")</f>
        <v>#REF!</v>
      </c>
      <c r="EC100" t="e">
        <f>AND(Bills!#REF!,"AAAAAD/064Q=")</f>
        <v>#REF!</v>
      </c>
      <c r="ED100" t="e">
        <f>AND(Bills!#REF!,"AAAAAD/064U=")</f>
        <v>#REF!</v>
      </c>
      <c r="EE100" t="e">
        <f>AND(Bills!#REF!,"AAAAAD/064Y=")</f>
        <v>#REF!</v>
      </c>
      <c r="EF100" t="e">
        <f>AND(Bills!#REF!,"AAAAAD/064c=")</f>
        <v>#REF!</v>
      </c>
      <c r="EG100" t="e">
        <f>AND(Bills!AA341,"AAAAAD/064g=")</f>
        <v>#VALUE!</v>
      </c>
      <c r="EH100" t="e">
        <f>AND(Bills!AB341,"AAAAAD/064k=")</f>
        <v>#VALUE!</v>
      </c>
      <c r="EI100" t="e">
        <f>AND(Bills!#REF!,"AAAAAD/064o=")</f>
        <v>#REF!</v>
      </c>
      <c r="EJ100" t="e">
        <f>AND(Bills!#REF!,"AAAAAD/064s=")</f>
        <v>#REF!</v>
      </c>
      <c r="EK100" t="e">
        <f>AND(Bills!#REF!,"AAAAAD/064w=")</f>
        <v>#REF!</v>
      </c>
      <c r="EL100" t="e">
        <f>AND(Bills!AC341,"AAAAAD/0640=")</f>
        <v>#VALUE!</v>
      </c>
      <c r="EM100" t="e">
        <f>AND(Bills!AD341,"AAAAAD/0644=")</f>
        <v>#VALUE!</v>
      </c>
      <c r="EN100" t="e">
        <f>AND(Bills!AE341,"AAAAAD/0648=")</f>
        <v>#VALUE!</v>
      </c>
      <c r="EO100">
        <f>IF(Bills!342:342,"AAAAAD/065A=",0)</f>
        <v>0</v>
      </c>
      <c r="EP100" t="e">
        <f>AND(Bills!B342,"AAAAAD/065E=")</f>
        <v>#VALUE!</v>
      </c>
      <c r="EQ100" t="e">
        <f>AND(Bills!#REF!,"AAAAAD/065I=")</f>
        <v>#REF!</v>
      </c>
      <c r="ER100" t="e">
        <f>AND(Bills!C342,"AAAAAD/065M=")</f>
        <v>#VALUE!</v>
      </c>
      <c r="ES100" t="e">
        <f>AND(Bills!D342,"AAAAAD/065Q=")</f>
        <v>#VALUE!</v>
      </c>
      <c r="ET100" t="e">
        <f>AND(Bills!E342,"AAAAAD/065U=")</f>
        <v>#VALUE!</v>
      </c>
      <c r="EU100" t="e">
        <f>AND(Bills!#REF!,"AAAAAD/065Y=")</f>
        <v>#REF!</v>
      </c>
      <c r="EV100" t="e">
        <f>AND(Bills!#REF!,"AAAAAD/065c=")</f>
        <v>#REF!</v>
      </c>
      <c r="EW100" t="e">
        <f>AND(Bills!#REF!,"AAAAAD/065g=")</f>
        <v>#REF!</v>
      </c>
      <c r="EX100" t="e">
        <f>AND(Bills!F342,"AAAAAD/065k=")</f>
        <v>#VALUE!</v>
      </c>
      <c r="EY100" t="e">
        <f>AND(Bills!#REF!,"AAAAAD/065o=")</f>
        <v>#REF!</v>
      </c>
      <c r="EZ100" t="e">
        <f>AND(Bills!G342,"AAAAAD/065s=")</f>
        <v>#VALUE!</v>
      </c>
      <c r="FA100" t="e">
        <f>AND(Bills!H342,"AAAAAD/065w=")</f>
        <v>#VALUE!</v>
      </c>
      <c r="FB100" t="e">
        <f>AND(Bills!I342,"AAAAAD/0650=")</f>
        <v>#VALUE!</v>
      </c>
      <c r="FC100" t="e">
        <f>AND(Bills!J342,"AAAAAD/0654=")</f>
        <v>#VALUE!</v>
      </c>
      <c r="FD100" t="e">
        <f>AND(Bills!K342,"AAAAAD/0658=")</f>
        <v>#VALUE!</v>
      </c>
      <c r="FE100" t="e">
        <f>AND(Bills!L342,"AAAAAD/066A=")</f>
        <v>#VALUE!</v>
      </c>
      <c r="FF100" t="e">
        <f>AND(Bills!#REF!,"AAAAAD/066E=")</f>
        <v>#REF!</v>
      </c>
      <c r="FG100" t="e">
        <f>AND(Bills!M342,"AAAAAD/066I=")</f>
        <v>#VALUE!</v>
      </c>
      <c r="FH100" t="e">
        <f>AND(Bills!N342,"AAAAAD/066M=")</f>
        <v>#VALUE!</v>
      </c>
      <c r="FI100" t="e">
        <f>AND(Bills!O342,"AAAAAD/066Q=")</f>
        <v>#VALUE!</v>
      </c>
      <c r="FJ100" t="e">
        <f>AND(Bills!P342,"AAAAAD/066U=")</f>
        <v>#VALUE!</v>
      </c>
      <c r="FK100" t="e">
        <f>AND(Bills!Q342,"AAAAAD/066Y=")</f>
        <v>#VALUE!</v>
      </c>
      <c r="FL100" t="e">
        <f>AND(Bills!R342,"AAAAAD/066c=")</f>
        <v>#VALUE!</v>
      </c>
      <c r="FM100" t="e">
        <f>AND(Bills!S342,"AAAAAD/066g=")</f>
        <v>#VALUE!</v>
      </c>
      <c r="FN100" t="e">
        <f>AND(Bills!T342,"AAAAAD/066k=")</f>
        <v>#VALUE!</v>
      </c>
      <c r="FO100" t="e">
        <f>AND(Bills!#REF!,"AAAAAD/066o=")</f>
        <v>#REF!</v>
      </c>
      <c r="FP100" t="e">
        <f>AND(Bills!U342,"AAAAAD/066s=")</f>
        <v>#VALUE!</v>
      </c>
      <c r="FQ100" t="e">
        <f>AND(Bills!V342,"AAAAAD/066w=")</f>
        <v>#VALUE!</v>
      </c>
      <c r="FR100" t="e">
        <f>AND(Bills!W342,"AAAAAD/0660=")</f>
        <v>#VALUE!</v>
      </c>
      <c r="FS100" t="e">
        <f>AND(Bills!#REF!,"AAAAAD/0664=")</f>
        <v>#REF!</v>
      </c>
      <c r="FT100" t="e">
        <f>AND(Bills!#REF!,"AAAAAD/0668=")</f>
        <v>#REF!</v>
      </c>
      <c r="FU100" t="e">
        <f>AND(Bills!Y342,"AAAAAD/067A=")</f>
        <v>#VALUE!</v>
      </c>
      <c r="FV100" t="e">
        <f>AND(Bills!Z342,"AAAAAD/067E=")</f>
        <v>#VALUE!</v>
      </c>
      <c r="FW100" t="e">
        <f>AND(Bills!#REF!,"AAAAAD/067I=")</f>
        <v>#REF!</v>
      </c>
      <c r="FX100" t="e">
        <f>AND(Bills!#REF!,"AAAAAD/067M=")</f>
        <v>#REF!</v>
      </c>
      <c r="FY100" t="e">
        <f>AND(Bills!#REF!,"AAAAAD/067Q=")</f>
        <v>#REF!</v>
      </c>
      <c r="FZ100" t="e">
        <f>AND(Bills!#REF!,"AAAAAD/067U=")</f>
        <v>#REF!</v>
      </c>
      <c r="GA100" t="e">
        <f>AND(Bills!#REF!,"AAAAAD/067Y=")</f>
        <v>#REF!</v>
      </c>
      <c r="GB100" t="e">
        <f>AND(Bills!#REF!,"AAAAAD/067c=")</f>
        <v>#REF!</v>
      </c>
      <c r="GC100" t="e">
        <f>AND(Bills!#REF!,"AAAAAD/067g=")</f>
        <v>#REF!</v>
      </c>
      <c r="GD100" t="e">
        <f>AND(Bills!#REF!,"AAAAAD/067k=")</f>
        <v>#REF!</v>
      </c>
      <c r="GE100" t="e">
        <f>AND(Bills!#REF!,"AAAAAD/067o=")</f>
        <v>#REF!</v>
      </c>
      <c r="GF100" t="e">
        <f>AND(Bills!AA342,"AAAAAD/067s=")</f>
        <v>#VALUE!</v>
      </c>
      <c r="GG100" t="e">
        <f>AND(Bills!AB342,"AAAAAD/067w=")</f>
        <v>#VALUE!</v>
      </c>
      <c r="GH100" t="e">
        <f>AND(Bills!#REF!,"AAAAAD/0670=")</f>
        <v>#REF!</v>
      </c>
      <c r="GI100" t="e">
        <f>AND(Bills!#REF!,"AAAAAD/0674=")</f>
        <v>#REF!</v>
      </c>
      <c r="GJ100" t="e">
        <f>AND(Bills!#REF!,"AAAAAD/0678=")</f>
        <v>#REF!</v>
      </c>
      <c r="GK100" t="e">
        <f>AND(Bills!AC342,"AAAAAD/068A=")</f>
        <v>#VALUE!</v>
      </c>
      <c r="GL100" t="e">
        <f>AND(Bills!AD342,"AAAAAD/068E=")</f>
        <v>#VALUE!</v>
      </c>
      <c r="GM100" t="e">
        <f>AND(Bills!AE342,"AAAAAD/068I=")</f>
        <v>#VALUE!</v>
      </c>
      <c r="GN100">
        <f>IF(Bills!343:343,"AAAAAD/068M=",0)</f>
        <v>0</v>
      </c>
      <c r="GO100" t="e">
        <f>AND(Bills!B343,"AAAAAD/068Q=")</f>
        <v>#VALUE!</v>
      </c>
      <c r="GP100" t="e">
        <f>AND(Bills!#REF!,"AAAAAD/068U=")</f>
        <v>#REF!</v>
      </c>
      <c r="GQ100" t="e">
        <f>AND(Bills!C343,"AAAAAD/068Y=")</f>
        <v>#VALUE!</v>
      </c>
      <c r="GR100" t="e">
        <f>AND(Bills!D343,"AAAAAD/068c=")</f>
        <v>#VALUE!</v>
      </c>
      <c r="GS100" t="e">
        <f>AND(Bills!E343,"AAAAAD/068g=")</f>
        <v>#VALUE!</v>
      </c>
      <c r="GT100" t="e">
        <f>AND(Bills!#REF!,"AAAAAD/068k=")</f>
        <v>#REF!</v>
      </c>
      <c r="GU100" t="e">
        <f>AND(Bills!#REF!,"AAAAAD/068o=")</f>
        <v>#REF!</v>
      </c>
      <c r="GV100" t="e">
        <f>AND(Bills!#REF!,"AAAAAD/068s=")</f>
        <v>#REF!</v>
      </c>
      <c r="GW100" t="e">
        <f>AND(Bills!F343,"AAAAAD/068w=")</f>
        <v>#VALUE!</v>
      </c>
      <c r="GX100" t="e">
        <f>AND(Bills!#REF!,"AAAAAD/0680=")</f>
        <v>#REF!</v>
      </c>
      <c r="GY100" t="e">
        <f>AND(Bills!G343,"AAAAAD/0684=")</f>
        <v>#VALUE!</v>
      </c>
      <c r="GZ100" t="e">
        <f>AND(Bills!H343,"AAAAAD/0688=")</f>
        <v>#VALUE!</v>
      </c>
      <c r="HA100" t="e">
        <f>AND(Bills!I343,"AAAAAD/069A=")</f>
        <v>#VALUE!</v>
      </c>
      <c r="HB100" t="e">
        <f>AND(Bills!J343,"AAAAAD/069E=")</f>
        <v>#VALUE!</v>
      </c>
      <c r="HC100" t="e">
        <f>AND(Bills!K343,"AAAAAD/069I=")</f>
        <v>#VALUE!</v>
      </c>
      <c r="HD100" t="e">
        <f>AND(Bills!L343,"AAAAAD/069M=")</f>
        <v>#VALUE!</v>
      </c>
      <c r="HE100" t="e">
        <f>AND(Bills!#REF!,"AAAAAD/069Q=")</f>
        <v>#REF!</v>
      </c>
      <c r="HF100" t="e">
        <f>AND(Bills!M343,"AAAAAD/069U=")</f>
        <v>#VALUE!</v>
      </c>
      <c r="HG100" t="e">
        <f>AND(Bills!N343,"AAAAAD/069Y=")</f>
        <v>#VALUE!</v>
      </c>
      <c r="HH100" t="e">
        <f>AND(Bills!O343,"AAAAAD/069c=")</f>
        <v>#VALUE!</v>
      </c>
      <c r="HI100" t="e">
        <f>AND(Bills!P343,"AAAAAD/069g=")</f>
        <v>#VALUE!</v>
      </c>
      <c r="HJ100" t="e">
        <f>AND(Bills!Q343,"AAAAAD/069k=")</f>
        <v>#VALUE!</v>
      </c>
      <c r="HK100" t="e">
        <f>AND(Bills!R343,"AAAAAD/069o=")</f>
        <v>#VALUE!</v>
      </c>
      <c r="HL100" t="e">
        <f>AND(Bills!S343,"AAAAAD/069s=")</f>
        <v>#VALUE!</v>
      </c>
      <c r="HM100" t="e">
        <f>AND(Bills!T343,"AAAAAD/069w=")</f>
        <v>#VALUE!</v>
      </c>
      <c r="HN100" t="e">
        <f>AND(Bills!#REF!,"AAAAAD/0690=")</f>
        <v>#REF!</v>
      </c>
      <c r="HO100" t="e">
        <f>AND(Bills!U343,"AAAAAD/0694=")</f>
        <v>#VALUE!</v>
      </c>
      <c r="HP100" t="e">
        <f>AND(Bills!V343,"AAAAAD/0698=")</f>
        <v>#VALUE!</v>
      </c>
      <c r="HQ100" t="e">
        <f>AND(Bills!W343,"AAAAAD/06+A=")</f>
        <v>#VALUE!</v>
      </c>
      <c r="HR100" t="e">
        <f>AND(Bills!#REF!,"AAAAAD/06+E=")</f>
        <v>#REF!</v>
      </c>
      <c r="HS100" t="e">
        <f>AND(Bills!#REF!,"AAAAAD/06+I=")</f>
        <v>#REF!</v>
      </c>
      <c r="HT100" t="e">
        <f>AND(Bills!Y343,"AAAAAD/06+M=")</f>
        <v>#VALUE!</v>
      </c>
      <c r="HU100" t="e">
        <f>AND(Bills!Z343,"AAAAAD/06+Q=")</f>
        <v>#VALUE!</v>
      </c>
      <c r="HV100" t="e">
        <f>AND(Bills!#REF!,"AAAAAD/06+U=")</f>
        <v>#REF!</v>
      </c>
      <c r="HW100" t="e">
        <f>AND(Bills!#REF!,"AAAAAD/06+Y=")</f>
        <v>#REF!</v>
      </c>
      <c r="HX100" t="e">
        <f>AND(Bills!#REF!,"AAAAAD/06+c=")</f>
        <v>#REF!</v>
      </c>
      <c r="HY100" t="e">
        <f>AND(Bills!#REF!,"AAAAAD/06+g=")</f>
        <v>#REF!</v>
      </c>
      <c r="HZ100" t="e">
        <f>AND(Bills!#REF!,"AAAAAD/06+k=")</f>
        <v>#REF!</v>
      </c>
      <c r="IA100" t="e">
        <f>AND(Bills!#REF!,"AAAAAD/06+o=")</f>
        <v>#REF!</v>
      </c>
      <c r="IB100" t="e">
        <f>AND(Bills!#REF!,"AAAAAD/06+s=")</f>
        <v>#REF!</v>
      </c>
      <c r="IC100" t="e">
        <f>AND(Bills!#REF!,"AAAAAD/06+w=")</f>
        <v>#REF!</v>
      </c>
      <c r="ID100" t="e">
        <f>AND(Bills!#REF!,"AAAAAD/06+0=")</f>
        <v>#REF!</v>
      </c>
      <c r="IE100" t="e">
        <f>AND(Bills!AA343,"AAAAAD/06+4=")</f>
        <v>#VALUE!</v>
      </c>
      <c r="IF100" t="e">
        <f>AND(Bills!AB343,"AAAAAD/06+8=")</f>
        <v>#VALUE!</v>
      </c>
      <c r="IG100" t="e">
        <f>AND(Bills!#REF!,"AAAAAD/06/A=")</f>
        <v>#REF!</v>
      </c>
      <c r="IH100" t="e">
        <f>AND(Bills!#REF!,"AAAAAD/06/E=")</f>
        <v>#REF!</v>
      </c>
      <c r="II100" t="e">
        <f>AND(Bills!#REF!,"AAAAAD/06/I=")</f>
        <v>#REF!</v>
      </c>
      <c r="IJ100" t="e">
        <f>AND(Bills!AC343,"AAAAAD/06/M=")</f>
        <v>#VALUE!</v>
      </c>
      <c r="IK100" t="e">
        <f>AND(Bills!AD343,"AAAAAD/06/Q=")</f>
        <v>#VALUE!</v>
      </c>
      <c r="IL100" t="e">
        <f>AND(Bills!AE343,"AAAAAD/06/U=")</f>
        <v>#VALUE!</v>
      </c>
      <c r="IM100">
        <f>IF(Bills!344:344,"AAAAAD/06/Y=",0)</f>
        <v>0</v>
      </c>
      <c r="IN100" t="e">
        <f>AND(Bills!B344,"AAAAAD/06/c=")</f>
        <v>#VALUE!</v>
      </c>
      <c r="IO100" t="e">
        <f>AND(Bills!#REF!,"AAAAAD/06/g=")</f>
        <v>#REF!</v>
      </c>
      <c r="IP100" t="e">
        <f>AND(Bills!C344,"AAAAAD/06/k=")</f>
        <v>#VALUE!</v>
      </c>
      <c r="IQ100" t="e">
        <f>AND(Bills!D344,"AAAAAD/06/o=")</f>
        <v>#VALUE!</v>
      </c>
      <c r="IR100" t="e">
        <f>AND(Bills!E344,"AAAAAD/06/s=")</f>
        <v>#VALUE!</v>
      </c>
      <c r="IS100" t="e">
        <f>AND(Bills!#REF!,"AAAAAD/06/w=")</f>
        <v>#REF!</v>
      </c>
      <c r="IT100" t="e">
        <f>AND(Bills!#REF!,"AAAAAD/06/0=")</f>
        <v>#REF!</v>
      </c>
      <c r="IU100" t="e">
        <f>AND(Bills!#REF!,"AAAAAD/06/4=")</f>
        <v>#REF!</v>
      </c>
      <c r="IV100" t="e">
        <f>AND(Bills!F344,"AAAAAD/06/8=")</f>
        <v>#VALUE!</v>
      </c>
    </row>
    <row r="101" spans="1:256" x14ac:dyDescent="0.25">
      <c r="A101" t="e">
        <f>AND(Bills!#REF!,"AAAAAHbv/AA=")</f>
        <v>#REF!</v>
      </c>
      <c r="B101" t="e">
        <f>AND(Bills!G344,"AAAAAHbv/AE=")</f>
        <v>#VALUE!</v>
      </c>
      <c r="C101" t="e">
        <f>AND(Bills!H344,"AAAAAHbv/AI=")</f>
        <v>#VALUE!</v>
      </c>
      <c r="D101" t="e">
        <f>AND(Bills!I344,"AAAAAHbv/AM=")</f>
        <v>#VALUE!</v>
      </c>
      <c r="E101" t="e">
        <f>AND(Bills!J344,"AAAAAHbv/AQ=")</f>
        <v>#VALUE!</v>
      </c>
      <c r="F101" t="e">
        <f>AND(Bills!K344,"AAAAAHbv/AU=")</f>
        <v>#VALUE!</v>
      </c>
      <c r="G101" t="e">
        <f>AND(Bills!L344,"AAAAAHbv/AY=")</f>
        <v>#VALUE!</v>
      </c>
      <c r="H101" t="e">
        <f>AND(Bills!#REF!,"AAAAAHbv/Ac=")</f>
        <v>#REF!</v>
      </c>
      <c r="I101" t="e">
        <f>AND(Bills!M344,"AAAAAHbv/Ag=")</f>
        <v>#VALUE!</v>
      </c>
      <c r="J101" t="e">
        <f>AND(Bills!N344,"AAAAAHbv/Ak=")</f>
        <v>#VALUE!</v>
      </c>
      <c r="K101" t="e">
        <f>AND(Bills!O344,"AAAAAHbv/Ao=")</f>
        <v>#VALUE!</v>
      </c>
      <c r="L101" t="e">
        <f>AND(Bills!P344,"AAAAAHbv/As=")</f>
        <v>#VALUE!</v>
      </c>
      <c r="M101" t="e">
        <f>AND(Bills!Q344,"AAAAAHbv/Aw=")</f>
        <v>#VALUE!</v>
      </c>
      <c r="N101" t="e">
        <f>AND(Bills!R344,"AAAAAHbv/A0=")</f>
        <v>#VALUE!</v>
      </c>
      <c r="O101" t="e">
        <f>AND(Bills!S344,"AAAAAHbv/A4=")</f>
        <v>#VALUE!</v>
      </c>
      <c r="P101" t="e">
        <f>AND(Bills!T344,"AAAAAHbv/A8=")</f>
        <v>#VALUE!</v>
      </c>
      <c r="Q101" t="e">
        <f>AND(Bills!#REF!,"AAAAAHbv/BA=")</f>
        <v>#REF!</v>
      </c>
      <c r="R101" t="e">
        <f>AND(Bills!U344,"AAAAAHbv/BE=")</f>
        <v>#VALUE!</v>
      </c>
      <c r="S101" t="e">
        <f>AND(Bills!V344,"AAAAAHbv/BI=")</f>
        <v>#VALUE!</v>
      </c>
      <c r="T101" t="e">
        <f>AND(Bills!W344,"AAAAAHbv/BM=")</f>
        <v>#VALUE!</v>
      </c>
      <c r="U101" t="e">
        <f>AND(Bills!#REF!,"AAAAAHbv/BQ=")</f>
        <v>#REF!</v>
      </c>
      <c r="V101" t="e">
        <f>AND(Bills!#REF!,"AAAAAHbv/BU=")</f>
        <v>#REF!</v>
      </c>
      <c r="W101" t="e">
        <f>AND(Bills!Y344,"AAAAAHbv/BY=")</f>
        <v>#VALUE!</v>
      </c>
      <c r="X101" t="e">
        <f>AND(Bills!Z344,"AAAAAHbv/Bc=")</f>
        <v>#VALUE!</v>
      </c>
      <c r="Y101" t="e">
        <f>AND(Bills!#REF!,"AAAAAHbv/Bg=")</f>
        <v>#REF!</v>
      </c>
      <c r="Z101" t="e">
        <f>AND(Bills!#REF!,"AAAAAHbv/Bk=")</f>
        <v>#REF!</v>
      </c>
      <c r="AA101" t="e">
        <f>AND(Bills!#REF!,"AAAAAHbv/Bo=")</f>
        <v>#REF!</v>
      </c>
      <c r="AB101" t="e">
        <f>AND(Bills!#REF!,"AAAAAHbv/Bs=")</f>
        <v>#REF!</v>
      </c>
      <c r="AC101" t="e">
        <f>AND(Bills!#REF!,"AAAAAHbv/Bw=")</f>
        <v>#REF!</v>
      </c>
      <c r="AD101" t="e">
        <f>AND(Bills!#REF!,"AAAAAHbv/B0=")</f>
        <v>#REF!</v>
      </c>
      <c r="AE101" t="e">
        <f>AND(Bills!#REF!,"AAAAAHbv/B4=")</f>
        <v>#REF!</v>
      </c>
      <c r="AF101" t="e">
        <f>AND(Bills!#REF!,"AAAAAHbv/B8=")</f>
        <v>#REF!</v>
      </c>
      <c r="AG101" t="e">
        <f>AND(Bills!#REF!,"AAAAAHbv/CA=")</f>
        <v>#REF!</v>
      </c>
      <c r="AH101" t="e">
        <f>AND(Bills!AA344,"AAAAAHbv/CE=")</f>
        <v>#VALUE!</v>
      </c>
      <c r="AI101" t="e">
        <f>AND(Bills!AB344,"AAAAAHbv/CI=")</f>
        <v>#VALUE!</v>
      </c>
      <c r="AJ101" t="e">
        <f>AND(Bills!#REF!,"AAAAAHbv/CM=")</f>
        <v>#REF!</v>
      </c>
      <c r="AK101" t="e">
        <f>AND(Bills!#REF!,"AAAAAHbv/CQ=")</f>
        <v>#REF!</v>
      </c>
      <c r="AL101" t="e">
        <f>AND(Bills!#REF!,"AAAAAHbv/CU=")</f>
        <v>#REF!</v>
      </c>
      <c r="AM101" t="e">
        <f>AND(Bills!AC344,"AAAAAHbv/CY=")</f>
        <v>#VALUE!</v>
      </c>
      <c r="AN101" t="e">
        <f>AND(Bills!AD344,"AAAAAHbv/Cc=")</f>
        <v>#VALUE!</v>
      </c>
      <c r="AO101" t="e">
        <f>AND(Bills!AE344,"AAAAAHbv/Cg=")</f>
        <v>#VALUE!</v>
      </c>
      <c r="AP101">
        <f>IF(Bills!345:345,"AAAAAHbv/Ck=",0)</f>
        <v>0</v>
      </c>
      <c r="AQ101" t="e">
        <f>AND(Bills!B345,"AAAAAHbv/Co=")</f>
        <v>#VALUE!</v>
      </c>
      <c r="AR101" t="e">
        <f>AND(Bills!#REF!,"AAAAAHbv/Cs=")</f>
        <v>#REF!</v>
      </c>
      <c r="AS101" t="e">
        <f>AND(Bills!C345,"AAAAAHbv/Cw=")</f>
        <v>#VALUE!</v>
      </c>
      <c r="AT101" t="e">
        <f>AND(Bills!D345,"AAAAAHbv/C0=")</f>
        <v>#VALUE!</v>
      </c>
      <c r="AU101" t="e">
        <f>AND(Bills!E345,"AAAAAHbv/C4=")</f>
        <v>#VALUE!</v>
      </c>
      <c r="AV101" t="e">
        <f>AND(Bills!#REF!,"AAAAAHbv/C8=")</f>
        <v>#REF!</v>
      </c>
      <c r="AW101" t="e">
        <f>AND(Bills!#REF!,"AAAAAHbv/DA=")</f>
        <v>#REF!</v>
      </c>
      <c r="AX101" t="e">
        <f>AND(Bills!#REF!,"AAAAAHbv/DE=")</f>
        <v>#REF!</v>
      </c>
      <c r="AY101" t="e">
        <f>AND(Bills!F345,"AAAAAHbv/DI=")</f>
        <v>#VALUE!</v>
      </c>
      <c r="AZ101" t="e">
        <f>AND(Bills!#REF!,"AAAAAHbv/DM=")</f>
        <v>#REF!</v>
      </c>
      <c r="BA101" t="e">
        <f>AND(Bills!G345,"AAAAAHbv/DQ=")</f>
        <v>#VALUE!</v>
      </c>
      <c r="BB101" t="e">
        <f>AND(Bills!H345,"AAAAAHbv/DU=")</f>
        <v>#VALUE!</v>
      </c>
      <c r="BC101" t="e">
        <f>AND(Bills!I345,"AAAAAHbv/DY=")</f>
        <v>#VALUE!</v>
      </c>
      <c r="BD101" t="e">
        <f>AND(Bills!J345,"AAAAAHbv/Dc=")</f>
        <v>#VALUE!</v>
      </c>
      <c r="BE101" t="e">
        <f>AND(Bills!K345,"AAAAAHbv/Dg=")</f>
        <v>#VALUE!</v>
      </c>
      <c r="BF101" t="e">
        <f>AND(Bills!L345,"AAAAAHbv/Dk=")</f>
        <v>#VALUE!</v>
      </c>
      <c r="BG101" t="e">
        <f>AND(Bills!#REF!,"AAAAAHbv/Do=")</f>
        <v>#REF!</v>
      </c>
      <c r="BH101" t="e">
        <f>AND(Bills!M345,"AAAAAHbv/Ds=")</f>
        <v>#VALUE!</v>
      </c>
      <c r="BI101" t="e">
        <f>AND(Bills!N345,"AAAAAHbv/Dw=")</f>
        <v>#VALUE!</v>
      </c>
      <c r="BJ101" t="e">
        <f>AND(Bills!O345,"AAAAAHbv/D0=")</f>
        <v>#VALUE!</v>
      </c>
      <c r="BK101" t="e">
        <f>AND(Bills!P345,"AAAAAHbv/D4=")</f>
        <v>#VALUE!</v>
      </c>
      <c r="BL101" t="e">
        <f>AND(Bills!Q345,"AAAAAHbv/D8=")</f>
        <v>#VALUE!</v>
      </c>
      <c r="BM101" t="e">
        <f>AND(Bills!R345,"AAAAAHbv/EA=")</f>
        <v>#VALUE!</v>
      </c>
      <c r="BN101" t="e">
        <f>AND(Bills!S345,"AAAAAHbv/EE=")</f>
        <v>#VALUE!</v>
      </c>
      <c r="BO101" t="e">
        <f>AND(Bills!T345,"AAAAAHbv/EI=")</f>
        <v>#VALUE!</v>
      </c>
      <c r="BP101" t="e">
        <f>AND(Bills!#REF!,"AAAAAHbv/EM=")</f>
        <v>#REF!</v>
      </c>
      <c r="BQ101" t="e">
        <f>AND(Bills!U345,"AAAAAHbv/EQ=")</f>
        <v>#VALUE!</v>
      </c>
      <c r="BR101" t="e">
        <f>AND(Bills!V345,"AAAAAHbv/EU=")</f>
        <v>#VALUE!</v>
      </c>
      <c r="BS101" t="e">
        <f>AND(Bills!W345,"AAAAAHbv/EY=")</f>
        <v>#VALUE!</v>
      </c>
      <c r="BT101" t="e">
        <f>AND(Bills!#REF!,"AAAAAHbv/Ec=")</f>
        <v>#REF!</v>
      </c>
      <c r="BU101" t="e">
        <f>AND(Bills!#REF!,"AAAAAHbv/Eg=")</f>
        <v>#REF!</v>
      </c>
      <c r="BV101" t="e">
        <f>AND(Bills!Y345,"AAAAAHbv/Ek=")</f>
        <v>#VALUE!</v>
      </c>
      <c r="BW101" t="e">
        <f>AND(Bills!Z345,"AAAAAHbv/Eo=")</f>
        <v>#VALUE!</v>
      </c>
      <c r="BX101" t="e">
        <f>AND(Bills!#REF!,"AAAAAHbv/Es=")</f>
        <v>#REF!</v>
      </c>
      <c r="BY101" t="e">
        <f>AND(Bills!#REF!,"AAAAAHbv/Ew=")</f>
        <v>#REF!</v>
      </c>
      <c r="BZ101" t="e">
        <f>AND(Bills!#REF!,"AAAAAHbv/E0=")</f>
        <v>#REF!</v>
      </c>
      <c r="CA101" t="e">
        <f>AND(Bills!#REF!,"AAAAAHbv/E4=")</f>
        <v>#REF!</v>
      </c>
      <c r="CB101" t="e">
        <f>AND(Bills!#REF!,"AAAAAHbv/E8=")</f>
        <v>#REF!</v>
      </c>
      <c r="CC101" t="e">
        <f>AND(Bills!#REF!,"AAAAAHbv/FA=")</f>
        <v>#REF!</v>
      </c>
      <c r="CD101" t="e">
        <f>AND(Bills!#REF!,"AAAAAHbv/FE=")</f>
        <v>#REF!</v>
      </c>
      <c r="CE101" t="e">
        <f>AND(Bills!#REF!,"AAAAAHbv/FI=")</f>
        <v>#REF!</v>
      </c>
      <c r="CF101" t="e">
        <f>AND(Bills!#REF!,"AAAAAHbv/FM=")</f>
        <v>#REF!</v>
      </c>
      <c r="CG101" t="e">
        <f>AND(Bills!AA345,"AAAAAHbv/FQ=")</f>
        <v>#VALUE!</v>
      </c>
      <c r="CH101" t="e">
        <f>AND(Bills!AB345,"AAAAAHbv/FU=")</f>
        <v>#VALUE!</v>
      </c>
      <c r="CI101" t="e">
        <f>AND(Bills!#REF!,"AAAAAHbv/FY=")</f>
        <v>#REF!</v>
      </c>
      <c r="CJ101" t="e">
        <f>AND(Bills!#REF!,"AAAAAHbv/Fc=")</f>
        <v>#REF!</v>
      </c>
      <c r="CK101" t="e">
        <f>AND(Bills!#REF!,"AAAAAHbv/Fg=")</f>
        <v>#REF!</v>
      </c>
      <c r="CL101" t="e">
        <f>AND(Bills!AC345,"AAAAAHbv/Fk=")</f>
        <v>#VALUE!</v>
      </c>
      <c r="CM101" t="e">
        <f>AND(Bills!AD345,"AAAAAHbv/Fo=")</f>
        <v>#VALUE!</v>
      </c>
      <c r="CN101" t="e">
        <f>AND(Bills!AE345,"AAAAAHbv/Fs=")</f>
        <v>#VALUE!</v>
      </c>
      <c r="CO101">
        <f>IF(Bills!346:346,"AAAAAHbv/Fw=",0)</f>
        <v>0</v>
      </c>
      <c r="CP101" t="e">
        <f>AND(Bills!B346,"AAAAAHbv/F0=")</f>
        <v>#VALUE!</v>
      </c>
      <c r="CQ101" t="e">
        <f>AND(Bills!#REF!,"AAAAAHbv/F4=")</f>
        <v>#REF!</v>
      </c>
      <c r="CR101" t="e">
        <f>AND(Bills!C346,"AAAAAHbv/F8=")</f>
        <v>#VALUE!</v>
      </c>
      <c r="CS101" t="e">
        <f>AND(Bills!D346,"AAAAAHbv/GA=")</f>
        <v>#VALUE!</v>
      </c>
      <c r="CT101" t="e">
        <f>AND(Bills!E346,"AAAAAHbv/GE=")</f>
        <v>#VALUE!</v>
      </c>
      <c r="CU101" t="e">
        <f>AND(Bills!#REF!,"AAAAAHbv/GI=")</f>
        <v>#REF!</v>
      </c>
      <c r="CV101" t="e">
        <f>AND(Bills!#REF!,"AAAAAHbv/GM=")</f>
        <v>#REF!</v>
      </c>
      <c r="CW101" t="e">
        <f>AND(Bills!#REF!,"AAAAAHbv/GQ=")</f>
        <v>#REF!</v>
      </c>
      <c r="CX101" t="e">
        <f>AND(Bills!F346,"AAAAAHbv/GU=")</f>
        <v>#VALUE!</v>
      </c>
      <c r="CY101" t="e">
        <f>AND(Bills!#REF!,"AAAAAHbv/GY=")</f>
        <v>#REF!</v>
      </c>
      <c r="CZ101" t="e">
        <f>AND(Bills!G346,"AAAAAHbv/Gc=")</f>
        <v>#VALUE!</v>
      </c>
      <c r="DA101" t="e">
        <f>AND(Bills!H346,"AAAAAHbv/Gg=")</f>
        <v>#VALUE!</v>
      </c>
      <c r="DB101" t="e">
        <f>AND(Bills!I346,"AAAAAHbv/Gk=")</f>
        <v>#VALUE!</v>
      </c>
      <c r="DC101" t="e">
        <f>AND(Bills!J346,"AAAAAHbv/Go=")</f>
        <v>#VALUE!</v>
      </c>
      <c r="DD101" t="e">
        <f>AND(Bills!K346,"AAAAAHbv/Gs=")</f>
        <v>#VALUE!</v>
      </c>
      <c r="DE101" t="e">
        <f>AND(Bills!L346,"AAAAAHbv/Gw=")</f>
        <v>#VALUE!</v>
      </c>
      <c r="DF101" t="e">
        <f>AND(Bills!#REF!,"AAAAAHbv/G0=")</f>
        <v>#REF!</v>
      </c>
      <c r="DG101" t="e">
        <f>AND(Bills!M346,"AAAAAHbv/G4=")</f>
        <v>#VALUE!</v>
      </c>
      <c r="DH101" t="e">
        <f>AND(Bills!N346,"AAAAAHbv/G8=")</f>
        <v>#VALUE!</v>
      </c>
      <c r="DI101" t="e">
        <f>AND(Bills!O346,"AAAAAHbv/HA=")</f>
        <v>#VALUE!</v>
      </c>
      <c r="DJ101" t="e">
        <f>AND(Bills!P346,"AAAAAHbv/HE=")</f>
        <v>#VALUE!</v>
      </c>
      <c r="DK101" t="e">
        <f>AND(Bills!Q346,"AAAAAHbv/HI=")</f>
        <v>#VALUE!</v>
      </c>
      <c r="DL101" t="e">
        <f>AND(Bills!R346,"AAAAAHbv/HM=")</f>
        <v>#VALUE!</v>
      </c>
      <c r="DM101" t="e">
        <f>AND(Bills!S346,"AAAAAHbv/HQ=")</f>
        <v>#VALUE!</v>
      </c>
      <c r="DN101" t="e">
        <f>AND(Bills!T346,"AAAAAHbv/HU=")</f>
        <v>#VALUE!</v>
      </c>
      <c r="DO101" t="e">
        <f>AND(Bills!#REF!,"AAAAAHbv/HY=")</f>
        <v>#REF!</v>
      </c>
      <c r="DP101" t="e">
        <f>AND(Bills!U346,"AAAAAHbv/Hc=")</f>
        <v>#VALUE!</v>
      </c>
      <c r="DQ101" t="e">
        <f>AND(Bills!V346,"AAAAAHbv/Hg=")</f>
        <v>#VALUE!</v>
      </c>
      <c r="DR101" t="e">
        <f>AND(Bills!W346,"AAAAAHbv/Hk=")</f>
        <v>#VALUE!</v>
      </c>
      <c r="DS101" t="e">
        <f>AND(Bills!#REF!,"AAAAAHbv/Ho=")</f>
        <v>#REF!</v>
      </c>
      <c r="DT101" t="e">
        <f>AND(Bills!#REF!,"AAAAAHbv/Hs=")</f>
        <v>#REF!</v>
      </c>
      <c r="DU101" t="e">
        <f>AND(Bills!Y346,"AAAAAHbv/Hw=")</f>
        <v>#VALUE!</v>
      </c>
      <c r="DV101" t="e">
        <f>AND(Bills!Z346,"AAAAAHbv/H0=")</f>
        <v>#VALUE!</v>
      </c>
      <c r="DW101" t="e">
        <f>AND(Bills!#REF!,"AAAAAHbv/H4=")</f>
        <v>#REF!</v>
      </c>
      <c r="DX101" t="e">
        <f>AND(Bills!#REF!,"AAAAAHbv/H8=")</f>
        <v>#REF!</v>
      </c>
      <c r="DY101" t="e">
        <f>AND(Bills!#REF!,"AAAAAHbv/IA=")</f>
        <v>#REF!</v>
      </c>
      <c r="DZ101" t="e">
        <f>AND(Bills!#REF!,"AAAAAHbv/IE=")</f>
        <v>#REF!</v>
      </c>
      <c r="EA101" t="e">
        <f>AND(Bills!#REF!,"AAAAAHbv/II=")</f>
        <v>#REF!</v>
      </c>
      <c r="EB101" t="e">
        <f>AND(Bills!#REF!,"AAAAAHbv/IM=")</f>
        <v>#REF!</v>
      </c>
      <c r="EC101" t="e">
        <f>AND(Bills!#REF!,"AAAAAHbv/IQ=")</f>
        <v>#REF!</v>
      </c>
      <c r="ED101" t="e">
        <f>AND(Bills!#REF!,"AAAAAHbv/IU=")</f>
        <v>#REF!</v>
      </c>
      <c r="EE101" t="e">
        <f>AND(Bills!#REF!,"AAAAAHbv/IY=")</f>
        <v>#REF!</v>
      </c>
      <c r="EF101" t="e">
        <f>AND(Bills!AA346,"AAAAAHbv/Ic=")</f>
        <v>#VALUE!</v>
      </c>
      <c r="EG101" t="e">
        <f>AND(Bills!AB346,"AAAAAHbv/Ig=")</f>
        <v>#VALUE!</v>
      </c>
      <c r="EH101" t="e">
        <f>AND(Bills!#REF!,"AAAAAHbv/Ik=")</f>
        <v>#REF!</v>
      </c>
      <c r="EI101" t="e">
        <f>AND(Bills!#REF!,"AAAAAHbv/Io=")</f>
        <v>#REF!</v>
      </c>
      <c r="EJ101" t="e">
        <f>AND(Bills!#REF!,"AAAAAHbv/Is=")</f>
        <v>#REF!</v>
      </c>
      <c r="EK101" t="e">
        <f>AND(Bills!AC346,"AAAAAHbv/Iw=")</f>
        <v>#VALUE!</v>
      </c>
      <c r="EL101" t="e">
        <f>AND(Bills!AD346,"AAAAAHbv/I0=")</f>
        <v>#VALUE!</v>
      </c>
      <c r="EM101" t="e">
        <f>AND(Bills!AE346,"AAAAAHbv/I4=")</f>
        <v>#VALUE!</v>
      </c>
      <c r="EN101">
        <f>IF(Bills!347:347,"AAAAAHbv/I8=",0)</f>
        <v>0</v>
      </c>
      <c r="EO101" t="e">
        <f>AND(Bills!B347,"AAAAAHbv/JA=")</f>
        <v>#VALUE!</v>
      </c>
      <c r="EP101" t="e">
        <f>AND(Bills!#REF!,"AAAAAHbv/JE=")</f>
        <v>#REF!</v>
      </c>
      <c r="EQ101" t="e">
        <f>AND(Bills!C347,"AAAAAHbv/JI=")</f>
        <v>#VALUE!</v>
      </c>
      <c r="ER101" t="e">
        <f>AND(Bills!D347,"AAAAAHbv/JM=")</f>
        <v>#VALUE!</v>
      </c>
      <c r="ES101" t="e">
        <f>AND(Bills!E347,"AAAAAHbv/JQ=")</f>
        <v>#VALUE!</v>
      </c>
      <c r="ET101" t="e">
        <f>AND(Bills!#REF!,"AAAAAHbv/JU=")</f>
        <v>#REF!</v>
      </c>
      <c r="EU101" t="e">
        <f>AND(Bills!#REF!,"AAAAAHbv/JY=")</f>
        <v>#REF!</v>
      </c>
      <c r="EV101" t="e">
        <f>AND(Bills!#REF!,"AAAAAHbv/Jc=")</f>
        <v>#REF!</v>
      </c>
      <c r="EW101" t="e">
        <f>AND(Bills!F347,"AAAAAHbv/Jg=")</f>
        <v>#VALUE!</v>
      </c>
      <c r="EX101" t="e">
        <f>AND(Bills!#REF!,"AAAAAHbv/Jk=")</f>
        <v>#REF!</v>
      </c>
      <c r="EY101" t="e">
        <f>AND(Bills!G347,"AAAAAHbv/Jo=")</f>
        <v>#VALUE!</v>
      </c>
      <c r="EZ101" t="e">
        <f>AND(Bills!H347,"AAAAAHbv/Js=")</f>
        <v>#VALUE!</v>
      </c>
      <c r="FA101" t="e">
        <f>AND(Bills!I347,"AAAAAHbv/Jw=")</f>
        <v>#VALUE!</v>
      </c>
      <c r="FB101" t="e">
        <f>AND(Bills!J347,"AAAAAHbv/J0=")</f>
        <v>#VALUE!</v>
      </c>
      <c r="FC101" t="e">
        <f>AND(Bills!K347,"AAAAAHbv/J4=")</f>
        <v>#VALUE!</v>
      </c>
      <c r="FD101" t="e">
        <f>AND(Bills!L347,"AAAAAHbv/J8=")</f>
        <v>#VALUE!</v>
      </c>
      <c r="FE101" t="e">
        <f>AND(Bills!#REF!,"AAAAAHbv/KA=")</f>
        <v>#REF!</v>
      </c>
      <c r="FF101" t="e">
        <f>AND(Bills!M347,"AAAAAHbv/KE=")</f>
        <v>#VALUE!</v>
      </c>
      <c r="FG101" t="e">
        <f>AND(Bills!N347,"AAAAAHbv/KI=")</f>
        <v>#VALUE!</v>
      </c>
      <c r="FH101" t="e">
        <f>AND(Bills!O347,"AAAAAHbv/KM=")</f>
        <v>#VALUE!</v>
      </c>
      <c r="FI101" t="e">
        <f>AND(Bills!P347,"AAAAAHbv/KQ=")</f>
        <v>#VALUE!</v>
      </c>
      <c r="FJ101" t="e">
        <f>AND(Bills!Q347,"AAAAAHbv/KU=")</f>
        <v>#VALUE!</v>
      </c>
      <c r="FK101" t="e">
        <f>AND(Bills!R347,"AAAAAHbv/KY=")</f>
        <v>#VALUE!</v>
      </c>
      <c r="FL101" t="e">
        <f>AND(Bills!S347,"AAAAAHbv/Kc=")</f>
        <v>#VALUE!</v>
      </c>
      <c r="FM101" t="e">
        <f>AND(Bills!T347,"AAAAAHbv/Kg=")</f>
        <v>#VALUE!</v>
      </c>
      <c r="FN101" t="e">
        <f>AND(Bills!#REF!,"AAAAAHbv/Kk=")</f>
        <v>#REF!</v>
      </c>
      <c r="FO101" t="e">
        <f>AND(Bills!U347,"AAAAAHbv/Ko=")</f>
        <v>#VALUE!</v>
      </c>
      <c r="FP101" t="e">
        <f>AND(Bills!V347,"AAAAAHbv/Ks=")</f>
        <v>#VALUE!</v>
      </c>
      <c r="FQ101" t="e">
        <f>AND(Bills!W347,"AAAAAHbv/Kw=")</f>
        <v>#VALUE!</v>
      </c>
      <c r="FR101" t="e">
        <f>AND(Bills!#REF!,"AAAAAHbv/K0=")</f>
        <v>#REF!</v>
      </c>
      <c r="FS101" t="e">
        <f>AND(Bills!#REF!,"AAAAAHbv/K4=")</f>
        <v>#REF!</v>
      </c>
      <c r="FT101" t="e">
        <f>AND(Bills!Y347,"AAAAAHbv/K8=")</f>
        <v>#VALUE!</v>
      </c>
      <c r="FU101" t="e">
        <f>AND(Bills!Z347,"AAAAAHbv/LA=")</f>
        <v>#VALUE!</v>
      </c>
      <c r="FV101" t="e">
        <f>AND(Bills!#REF!,"AAAAAHbv/LE=")</f>
        <v>#REF!</v>
      </c>
      <c r="FW101" t="e">
        <f>AND(Bills!#REF!,"AAAAAHbv/LI=")</f>
        <v>#REF!</v>
      </c>
      <c r="FX101" t="e">
        <f>AND(Bills!#REF!,"AAAAAHbv/LM=")</f>
        <v>#REF!</v>
      </c>
      <c r="FY101" t="e">
        <f>AND(Bills!#REF!,"AAAAAHbv/LQ=")</f>
        <v>#REF!</v>
      </c>
      <c r="FZ101" t="e">
        <f>AND(Bills!#REF!,"AAAAAHbv/LU=")</f>
        <v>#REF!</v>
      </c>
      <c r="GA101" t="e">
        <f>AND(Bills!#REF!,"AAAAAHbv/LY=")</f>
        <v>#REF!</v>
      </c>
      <c r="GB101" t="e">
        <f>AND(Bills!#REF!,"AAAAAHbv/Lc=")</f>
        <v>#REF!</v>
      </c>
      <c r="GC101" t="e">
        <f>AND(Bills!#REF!,"AAAAAHbv/Lg=")</f>
        <v>#REF!</v>
      </c>
      <c r="GD101" t="e">
        <f>AND(Bills!#REF!,"AAAAAHbv/Lk=")</f>
        <v>#REF!</v>
      </c>
      <c r="GE101" t="e">
        <f>AND(Bills!AA347,"AAAAAHbv/Lo=")</f>
        <v>#VALUE!</v>
      </c>
      <c r="GF101" t="e">
        <f>AND(Bills!AB347,"AAAAAHbv/Ls=")</f>
        <v>#VALUE!</v>
      </c>
      <c r="GG101" t="e">
        <f>AND(Bills!#REF!,"AAAAAHbv/Lw=")</f>
        <v>#REF!</v>
      </c>
      <c r="GH101" t="e">
        <f>AND(Bills!#REF!,"AAAAAHbv/L0=")</f>
        <v>#REF!</v>
      </c>
      <c r="GI101" t="e">
        <f>AND(Bills!#REF!,"AAAAAHbv/L4=")</f>
        <v>#REF!</v>
      </c>
      <c r="GJ101" t="e">
        <f>AND(Bills!AC347,"AAAAAHbv/L8=")</f>
        <v>#VALUE!</v>
      </c>
      <c r="GK101" t="e">
        <f>AND(Bills!AD347,"AAAAAHbv/MA=")</f>
        <v>#VALUE!</v>
      </c>
      <c r="GL101" t="e">
        <f>AND(Bills!AE347,"AAAAAHbv/ME=")</f>
        <v>#VALUE!</v>
      </c>
      <c r="GM101">
        <f>IF(Bills!348:348,"AAAAAHbv/MI=",0)</f>
        <v>0</v>
      </c>
      <c r="GN101" t="e">
        <f>AND(Bills!B348,"AAAAAHbv/MM=")</f>
        <v>#VALUE!</v>
      </c>
      <c r="GO101" t="e">
        <f>AND(Bills!#REF!,"AAAAAHbv/MQ=")</f>
        <v>#REF!</v>
      </c>
      <c r="GP101" t="e">
        <f>AND(Bills!C348,"AAAAAHbv/MU=")</f>
        <v>#VALUE!</v>
      </c>
      <c r="GQ101" t="e">
        <f>AND(Bills!D348,"AAAAAHbv/MY=")</f>
        <v>#VALUE!</v>
      </c>
      <c r="GR101" t="e">
        <f>AND(Bills!E348,"AAAAAHbv/Mc=")</f>
        <v>#VALUE!</v>
      </c>
      <c r="GS101" t="e">
        <f>AND(Bills!#REF!,"AAAAAHbv/Mg=")</f>
        <v>#REF!</v>
      </c>
      <c r="GT101" t="e">
        <f>AND(Bills!#REF!,"AAAAAHbv/Mk=")</f>
        <v>#REF!</v>
      </c>
      <c r="GU101" t="e">
        <f>AND(Bills!#REF!,"AAAAAHbv/Mo=")</f>
        <v>#REF!</v>
      </c>
      <c r="GV101" t="e">
        <f>AND(Bills!F348,"AAAAAHbv/Ms=")</f>
        <v>#VALUE!</v>
      </c>
      <c r="GW101" t="e">
        <f>AND(Bills!#REF!,"AAAAAHbv/Mw=")</f>
        <v>#REF!</v>
      </c>
      <c r="GX101" t="e">
        <f>AND(Bills!G348,"AAAAAHbv/M0=")</f>
        <v>#VALUE!</v>
      </c>
      <c r="GY101" t="e">
        <f>AND(Bills!H348,"AAAAAHbv/M4=")</f>
        <v>#VALUE!</v>
      </c>
      <c r="GZ101" t="e">
        <f>AND(Bills!I348,"AAAAAHbv/M8=")</f>
        <v>#VALUE!</v>
      </c>
      <c r="HA101" t="e">
        <f>AND(Bills!J348,"AAAAAHbv/NA=")</f>
        <v>#VALUE!</v>
      </c>
      <c r="HB101" t="e">
        <f>AND(Bills!K348,"AAAAAHbv/NE=")</f>
        <v>#VALUE!</v>
      </c>
      <c r="HC101" t="e">
        <f>AND(Bills!L348,"AAAAAHbv/NI=")</f>
        <v>#VALUE!</v>
      </c>
      <c r="HD101" t="e">
        <f>AND(Bills!#REF!,"AAAAAHbv/NM=")</f>
        <v>#REF!</v>
      </c>
      <c r="HE101" t="e">
        <f>AND(Bills!M348,"AAAAAHbv/NQ=")</f>
        <v>#VALUE!</v>
      </c>
      <c r="HF101" t="e">
        <f>AND(Bills!N348,"AAAAAHbv/NU=")</f>
        <v>#VALUE!</v>
      </c>
      <c r="HG101" t="e">
        <f>AND(Bills!O348,"AAAAAHbv/NY=")</f>
        <v>#VALUE!</v>
      </c>
      <c r="HH101" t="e">
        <f>AND(Bills!P348,"AAAAAHbv/Nc=")</f>
        <v>#VALUE!</v>
      </c>
      <c r="HI101" t="e">
        <f>AND(Bills!Q348,"AAAAAHbv/Ng=")</f>
        <v>#VALUE!</v>
      </c>
      <c r="HJ101" t="e">
        <f>AND(Bills!R348,"AAAAAHbv/Nk=")</f>
        <v>#VALUE!</v>
      </c>
      <c r="HK101" t="e">
        <f>AND(Bills!S348,"AAAAAHbv/No=")</f>
        <v>#VALUE!</v>
      </c>
      <c r="HL101" t="e">
        <f>AND(Bills!T348,"AAAAAHbv/Ns=")</f>
        <v>#VALUE!</v>
      </c>
      <c r="HM101" t="e">
        <f>AND(Bills!#REF!,"AAAAAHbv/Nw=")</f>
        <v>#REF!</v>
      </c>
      <c r="HN101" t="e">
        <f>AND(Bills!U348,"AAAAAHbv/N0=")</f>
        <v>#VALUE!</v>
      </c>
      <c r="HO101" t="e">
        <f>AND(Bills!V348,"AAAAAHbv/N4=")</f>
        <v>#VALUE!</v>
      </c>
      <c r="HP101" t="e">
        <f>AND(Bills!W348,"AAAAAHbv/N8=")</f>
        <v>#VALUE!</v>
      </c>
      <c r="HQ101" t="e">
        <f>AND(Bills!#REF!,"AAAAAHbv/OA=")</f>
        <v>#REF!</v>
      </c>
      <c r="HR101" t="e">
        <f>AND(Bills!#REF!,"AAAAAHbv/OE=")</f>
        <v>#REF!</v>
      </c>
      <c r="HS101" t="e">
        <f>AND(Bills!Y348,"AAAAAHbv/OI=")</f>
        <v>#VALUE!</v>
      </c>
      <c r="HT101" t="e">
        <f>AND(Bills!Z348,"AAAAAHbv/OM=")</f>
        <v>#VALUE!</v>
      </c>
      <c r="HU101" t="e">
        <f>AND(Bills!#REF!,"AAAAAHbv/OQ=")</f>
        <v>#REF!</v>
      </c>
      <c r="HV101" t="e">
        <f>AND(Bills!#REF!,"AAAAAHbv/OU=")</f>
        <v>#REF!</v>
      </c>
      <c r="HW101" t="e">
        <f>AND(Bills!#REF!,"AAAAAHbv/OY=")</f>
        <v>#REF!</v>
      </c>
      <c r="HX101" t="e">
        <f>AND(Bills!#REF!,"AAAAAHbv/Oc=")</f>
        <v>#REF!</v>
      </c>
      <c r="HY101" t="e">
        <f>AND(Bills!#REF!,"AAAAAHbv/Og=")</f>
        <v>#REF!</v>
      </c>
      <c r="HZ101" t="e">
        <f>AND(Bills!#REF!,"AAAAAHbv/Ok=")</f>
        <v>#REF!</v>
      </c>
      <c r="IA101" t="e">
        <f>AND(Bills!#REF!,"AAAAAHbv/Oo=")</f>
        <v>#REF!</v>
      </c>
      <c r="IB101" t="e">
        <f>AND(Bills!#REF!,"AAAAAHbv/Os=")</f>
        <v>#REF!</v>
      </c>
      <c r="IC101" t="e">
        <f>AND(Bills!#REF!,"AAAAAHbv/Ow=")</f>
        <v>#REF!</v>
      </c>
      <c r="ID101" t="e">
        <f>AND(Bills!AA348,"AAAAAHbv/O0=")</f>
        <v>#VALUE!</v>
      </c>
      <c r="IE101" t="e">
        <f>AND(Bills!AB348,"AAAAAHbv/O4=")</f>
        <v>#VALUE!</v>
      </c>
      <c r="IF101" t="e">
        <f>AND(Bills!#REF!,"AAAAAHbv/O8=")</f>
        <v>#REF!</v>
      </c>
      <c r="IG101" t="e">
        <f>AND(Bills!#REF!,"AAAAAHbv/PA=")</f>
        <v>#REF!</v>
      </c>
      <c r="IH101" t="e">
        <f>AND(Bills!#REF!,"AAAAAHbv/PE=")</f>
        <v>#REF!</v>
      </c>
      <c r="II101" t="e">
        <f>AND(Bills!AC348,"AAAAAHbv/PI=")</f>
        <v>#VALUE!</v>
      </c>
      <c r="IJ101" t="e">
        <f>AND(Bills!AD348,"AAAAAHbv/PM=")</f>
        <v>#VALUE!</v>
      </c>
      <c r="IK101" t="e">
        <f>AND(Bills!AE348,"AAAAAHbv/PQ=")</f>
        <v>#VALUE!</v>
      </c>
      <c r="IL101">
        <f>IF(Bills!349:349,"AAAAAHbv/PU=",0)</f>
        <v>0</v>
      </c>
      <c r="IM101" t="e">
        <f>AND(Bills!B349,"AAAAAHbv/PY=")</f>
        <v>#VALUE!</v>
      </c>
      <c r="IN101" t="e">
        <f>AND(Bills!#REF!,"AAAAAHbv/Pc=")</f>
        <v>#REF!</v>
      </c>
      <c r="IO101" t="e">
        <f>AND(Bills!C349,"AAAAAHbv/Pg=")</f>
        <v>#VALUE!</v>
      </c>
      <c r="IP101" t="e">
        <f>AND(Bills!D349,"AAAAAHbv/Pk=")</f>
        <v>#VALUE!</v>
      </c>
      <c r="IQ101" t="e">
        <f>AND(Bills!E349,"AAAAAHbv/Po=")</f>
        <v>#VALUE!</v>
      </c>
      <c r="IR101" t="e">
        <f>AND(Bills!#REF!,"AAAAAHbv/Ps=")</f>
        <v>#REF!</v>
      </c>
      <c r="IS101" t="e">
        <f>AND(Bills!#REF!,"AAAAAHbv/Pw=")</f>
        <v>#REF!</v>
      </c>
      <c r="IT101" t="e">
        <f>AND(Bills!#REF!,"AAAAAHbv/P0=")</f>
        <v>#REF!</v>
      </c>
      <c r="IU101" t="e">
        <f>AND(Bills!F349,"AAAAAHbv/P4=")</f>
        <v>#VALUE!</v>
      </c>
      <c r="IV101" t="e">
        <f>AND(Bills!#REF!,"AAAAAHbv/P8=")</f>
        <v>#REF!</v>
      </c>
    </row>
    <row r="102" spans="1:256" x14ac:dyDescent="0.25">
      <c r="A102" t="e">
        <f>AND(Bills!G349,"AAAAAH9vjQA=")</f>
        <v>#VALUE!</v>
      </c>
      <c r="B102" t="e">
        <f>AND(Bills!H349,"AAAAAH9vjQE=")</f>
        <v>#VALUE!</v>
      </c>
      <c r="C102" t="e">
        <f>AND(Bills!I349,"AAAAAH9vjQI=")</f>
        <v>#VALUE!</v>
      </c>
      <c r="D102" t="e">
        <f>AND(Bills!J349,"AAAAAH9vjQM=")</f>
        <v>#VALUE!</v>
      </c>
      <c r="E102" t="e">
        <f>AND(Bills!K349,"AAAAAH9vjQQ=")</f>
        <v>#VALUE!</v>
      </c>
      <c r="F102" t="e">
        <f>AND(Bills!L349,"AAAAAH9vjQU=")</f>
        <v>#VALUE!</v>
      </c>
      <c r="G102" t="e">
        <f>AND(Bills!#REF!,"AAAAAH9vjQY=")</f>
        <v>#REF!</v>
      </c>
      <c r="H102" t="e">
        <f>AND(Bills!M349,"AAAAAH9vjQc=")</f>
        <v>#VALUE!</v>
      </c>
      <c r="I102" t="e">
        <f>AND(Bills!N349,"AAAAAH9vjQg=")</f>
        <v>#VALUE!</v>
      </c>
      <c r="J102" t="e">
        <f>AND(Bills!O349,"AAAAAH9vjQk=")</f>
        <v>#VALUE!</v>
      </c>
      <c r="K102" t="e">
        <f>AND(Bills!P349,"AAAAAH9vjQo=")</f>
        <v>#VALUE!</v>
      </c>
      <c r="L102" t="e">
        <f>AND(Bills!Q349,"AAAAAH9vjQs=")</f>
        <v>#VALUE!</v>
      </c>
      <c r="M102" t="e">
        <f>AND(Bills!R349,"AAAAAH9vjQw=")</f>
        <v>#VALUE!</v>
      </c>
      <c r="N102" t="e">
        <f>AND(Bills!S349,"AAAAAH9vjQ0=")</f>
        <v>#VALUE!</v>
      </c>
      <c r="O102" t="e">
        <f>AND(Bills!T349,"AAAAAH9vjQ4=")</f>
        <v>#VALUE!</v>
      </c>
      <c r="P102" t="e">
        <f>AND(Bills!#REF!,"AAAAAH9vjQ8=")</f>
        <v>#REF!</v>
      </c>
      <c r="Q102" t="e">
        <f>AND(Bills!U349,"AAAAAH9vjRA=")</f>
        <v>#VALUE!</v>
      </c>
      <c r="R102" t="e">
        <f>AND(Bills!V349,"AAAAAH9vjRE=")</f>
        <v>#VALUE!</v>
      </c>
      <c r="S102" t="e">
        <f>AND(Bills!W349,"AAAAAH9vjRI=")</f>
        <v>#VALUE!</v>
      </c>
      <c r="T102" t="e">
        <f>AND(Bills!#REF!,"AAAAAH9vjRM=")</f>
        <v>#REF!</v>
      </c>
      <c r="U102" t="e">
        <f>AND(Bills!#REF!,"AAAAAH9vjRQ=")</f>
        <v>#REF!</v>
      </c>
      <c r="V102" t="e">
        <f>AND(Bills!Y349,"AAAAAH9vjRU=")</f>
        <v>#VALUE!</v>
      </c>
      <c r="W102" t="e">
        <f>AND(Bills!Z349,"AAAAAH9vjRY=")</f>
        <v>#VALUE!</v>
      </c>
      <c r="X102" t="e">
        <f>AND(Bills!#REF!,"AAAAAH9vjRc=")</f>
        <v>#REF!</v>
      </c>
      <c r="Y102" t="e">
        <f>AND(Bills!#REF!,"AAAAAH9vjRg=")</f>
        <v>#REF!</v>
      </c>
      <c r="Z102" t="e">
        <f>AND(Bills!#REF!,"AAAAAH9vjRk=")</f>
        <v>#REF!</v>
      </c>
      <c r="AA102" t="e">
        <f>AND(Bills!#REF!,"AAAAAH9vjRo=")</f>
        <v>#REF!</v>
      </c>
      <c r="AB102" t="e">
        <f>AND(Bills!#REF!,"AAAAAH9vjRs=")</f>
        <v>#REF!</v>
      </c>
      <c r="AC102" t="e">
        <f>AND(Bills!#REF!,"AAAAAH9vjRw=")</f>
        <v>#REF!</v>
      </c>
      <c r="AD102" t="e">
        <f>AND(Bills!#REF!,"AAAAAH9vjR0=")</f>
        <v>#REF!</v>
      </c>
      <c r="AE102" t="e">
        <f>AND(Bills!#REF!,"AAAAAH9vjR4=")</f>
        <v>#REF!</v>
      </c>
      <c r="AF102" t="e">
        <f>AND(Bills!#REF!,"AAAAAH9vjR8=")</f>
        <v>#REF!</v>
      </c>
      <c r="AG102" t="e">
        <f>AND(Bills!AA349,"AAAAAH9vjSA=")</f>
        <v>#VALUE!</v>
      </c>
      <c r="AH102" t="e">
        <f>AND(Bills!AB349,"AAAAAH9vjSE=")</f>
        <v>#VALUE!</v>
      </c>
      <c r="AI102" t="e">
        <f>AND(Bills!#REF!,"AAAAAH9vjSI=")</f>
        <v>#REF!</v>
      </c>
      <c r="AJ102" t="e">
        <f>AND(Bills!#REF!,"AAAAAH9vjSM=")</f>
        <v>#REF!</v>
      </c>
      <c r="AK102" t="e">
        <f>AND(Bills!#REF!,"AAAAAH9vjSQ=")</f>
        <v>#REF!</v>
      </c>
      <c r="AL102" t="e">
        <f>AND(Bills!AC349,"AAAAAH9vjSU=")</f>
        <v>#VALUE!</v>
      </c>
      <c r="AM102" t="e">
        <f>AND(Bills!AD349,"AAAAAH9vjSY=")</f>
        <v>#VALUE!</v>
      </c>
      <c r="AN102" t="e">
        <f>AND(Bills!AE349,"AAAAAH9vjSc=")</f>
        <v>#VALUE!</v>
      </c>
      <c r="AO102">
        <f>IF(Bills!350:350,"AAAAAH9vjSg=",0)</f>
        <v>0</v>
      </c>
      <c r="AP102" t="e">
        <f>AND(Bills!B350,"AAAAAH9vjSk=")</f>
        <v>#VALUE!</v>
      </c>
      <c r="AQ102" t="e">
        <f>AND(Bills!#REF!,"AAAAAH9vjSo=")</f>
        <v>#REF!</v>
      </c>
      <c r="AR102" t="e">
        <f>AND(Bills!C350,"AAAAAH9vjSs=")</f>
        <v>#VALUE!</v>
      </c>
      <c r="AS102" t="e">
        <f>AND(Bills!D350,"AAAAAH9vjSw=")</f>
        <v>#VALUE!</v>
      </c>
      <c r="AT102" t="e">
        <f>AND(Bills!E350,"AAAAAH9vjS0=")</f>
        <v>#VALUE!</v>
      </c>
      <c r="AU102" t="e">
        <f>AND(Bills!#REF!,"AAAAAH9vjS4=")</f>
        <v>#REF!</v>
      </c>
      <c r="AV102" t="e">
        <f>AND(Bills!#REF!,"AAAAAH9vjS8=")</f>
        <v>#REF!</v>
      </c>
      <c r="AW102" t="e">
        <f>AND(Bills!#REF!,"AAAAAH9vjTA=")</f>
        <v>#REF!</v>
      </c>
      <c r="AX102" t="e">
        <f>AND(Bills!F350,"AAAAAH9vjTE=")</f>
        <v>#VALUE!</v>
      </c>
      <c r="AY102" t="e">
        <f>AND(Bills!#REF!,"AAAAAH9vjTI=")</f>
        <v>#REF!</v>
      </c>
      <c r="AZ102" t="e">
        <f>AND(Bills!G350,"AAAAAH9vjTM=")</f>
        <v>#VALUE!</v>
      </c>
      <c r="BA102" t="e">
        <f>AND(Bills!H350,"AAAAAH9vjTQ=")</f>
        <v>#VALUE!</v>
      </c>
      <c r="BB102" t="e">
        <f>AND(Bills!I350,"AAAAAH9vjTU=")</f>
        <v>#VALUE!</v>
      </c>
      <c r="BC102" t="e">
        <f>AND(Bills!J350,"AAAAAH9vjTY=")</f>
        <v>#VALUE!</v>
      </c>
      <c r="BD102" t="e">
        <f>AND(Bills!K350,"AAAAAH9vjTc=")</f>
        <v>#VALUE!</v>
      </c>
      <c r="BE102" t="e">
        <f>AND(Bills!L350,"AAAAAH9vjTg=")</f>
        <v>#VALUE!</v>
      </c>
      <c r="BF102" t="e">
        <f>AND(Bills!#REF!,"AAAAAH9vjTk=")</f>
        <v>#REF!</v>
      </c>
      <c r="BG102" t="e">
        <f>AND(Bills!M350,"AAAAAH9vjTo=")</f>
        <v>#VALUE!</v>
      </c>
      <c r="BH102" t="e">
        <f>AND(Bills!N350,"AAAAAH9vjTs=")</f>
        <v>#VALUE!</v>
      </c>
      <c r="BI102" t="e">
        <f>AND(Bills!O350,"AAAAAH9vjTw=")</f>
        <v>#VALUE!</v>
      </c>
      <c r="BJ102" t="e">
        <f>AND(Bills!P350,"AAAAAH9vjT0=")</f>
        <v>#VALUE!</v>
      </c>
      <c r="BK102" t="e">
        <f>AND(Bills!Q350,"AAAAAH9vjT4=")</f>
        <v>#VALUE!</v>
      </c>
      <c r="BL102" t="e">
        <f>AND(Bills!R350,"AAAAAH9vjT8=")</f>
        <v>#VALUE!</v>
      </c>
      <c r="BM102" t="e">
        <f>AND(Bills!S350,"AAAAAH9vjUA=")</f>
        <v>#VALUE!</v>
      </c>
      <c r="BN102" t="e">
        <f>AND(Bills!T350,"AAAAAH9vjUE=")</f>
        <v>#VALUE!</v>
      </c>
      <c r="BO102" t="e">
        <f>AND(Bills!#REF!,"AAAAAH9vjUI=")</f>
        <v>#REF!</v>
      </c>
      <c r="BP102" t="e">
        <f>AND(Bills!U350,"AAAAAH9vjUM=")</f>
        <v>#VALUE!</v>
      </c>
      <c r="BQ102" t="e">
        <f>AND(Bills!V350,"AAAAAH9vjUQ=")</f>
        <v>#VALUE!</v>
      </c>
      <c r="BR102" t="e">
        <f>AND(Bills!W350,"AAAAAH9vjUU=")</f>
        <v>#VALUE!</v>
      </c>
      <c r="BS102" t="e">
        <f>AND(Bills!#REF!,"AAAAAH9vjUY=")</f>
        <v>#REF!</v>
      </c>
      <c r="BT102" t="e">
        <f>AND(Bills!#REF!,"AAAAAH9vjUc=")</f>
        <v>#REF!</v>
      </c>
      <c r="BU102" t="e">
        <f>AND(Bills!Y350,"AAAAAH9vjUg=")</f>
        <v>#VALUE!</v>
      </c>
      <c r="BV102" t="e">
        <f>AND(Bills!Z350,"AAAAAH9vjUk=")</f>
        <v>#VALUE!</v>
      </c>
      <c r="BW102" t="e">
        <f>AND(Bills!#REF!,"AAAAAH9vjUo=")</f>
        <v>#REF!</v>
      </c>
      <c r="BX102" t="e">
        <f>AND(Bills!#REF!,"AAAAAH9vjUs=")</f>
        <v>#REF!</v>
      </c>
      <c r="BY102" t="e">
        <f>AND(Bills!#REF!,"AAAAAH9vjUw=")</f>
        <v>#REF!</v>
      </c>
      <c r="BZ102" t="e">
        <f>AND(Bills!#REF!,"AAAAAH9vjU0=")</f>
        <v>#REF!</v>
      </c>
      <c r="CA102" t="e">
        <f>AND(Bills!#REF!,"AAAAAH9vjU4=")</f>
        <v>#REF!</v>
      </c>
      <c r="CB102" t="e">
        <f>AND(Bills!#REF!,"AAAAAH9vjU8=")</f>
        <v>#REF!</v>
      </c>
      <c r="CC102" t="e">
        <f>AND(Bills!#REF!,"AAAAAH9vjVA=")</f>
        <v>#REF!</v>
      </c>
      <c r="CD102" t="e">
        <f>AND(Bills!#REF!,"AAAAAH9vjVE=")</f>
        <v>#REF!</v>
      </c>
      <c r="CE102" t="e">
        <f>AND(Bills!#REF!,"AAAAAH9vjVI=")</f>
        <v>#REF!</v>
      </c>
      <c r="CF102" t="e">
        <f>AND(Bills!AA350,"AAAAAH9vjVM=")</f>
        <v>#VALUE!</v>
      </c>
      <c r="CG102" t="e">
        <f>AND(Bills!AB350,"AAAAAH9vjVQ=")</f>
        <v>#VALUE!</v>
      </c>
      <c r="CH102" t="e">
        <f>AND(Bills!#REF!,"AAAAAH9vjVU=")</f>
        <v>#REF!</v>
      </c>
      <c r="CI102" t="e">
        <f>AND(Bills!#REF!,"AAAAAH9vjVY=")</f>
        <v>#REF!</v>
      </c>
      <c r="CJ102" t="e">
        <f>AND(Bills!#REF!,"AAAAAH9vjVc=")</f>
        <v>#REF!</v>
      </c>
      <c r="CK102" t="e">
        <f>AND(Bills!AC350,"AAAAAH9vjVg=")</f>
        <v>#VALUE!</v>
      </c>
      <c r="CL102" t="e">
        <f>AND(Bills!AD350,"AAAAAH9vjVk=")</f>
        <v>#VALUE!</v>
      </c>
      <c r="CM102" t="e">
        <f>AND(Bills!AE350,"AAAAAH9vjVo=")</f>
        <v>#VALUE!</v>
      </c>
      <c r="CN102">
        <f>IF(Bills!351:351,"AAAAAH9vjVs=",0)</f>
        <v>0</v>
      </c>
      <c r="CO102" t="e">
        <f>AND(Bills!B351,"AAAAAH9vjVw=")</f>
        <v>#VALUE!</v>
      </c>
      <c r="CP102" t="e">
        <f>AND(Bills!#REF!,"AAAAAH9vjV0=")</f>
        <v>#REF!</v>
      </c>
      <c r="CQ102" t="e">
        <f>AND(Bills!C351,"AAAAAH9vjV4=")</f>
        <v>#VALUE!</v>
      </c>
      <c r="CR102" t="e">
        <f>AND(Bills!D351,"AAAAAH9vjV8=")</f>
        <v>#VALUE!</v>
      </c>
      <c r="CS102" t="e">
        <f>AND(Bills!E351,"AAAAAH9vjWA=")</f>
        <v>#VALUE!</v>
      </c>
      <c r="CT102" t="e">
        <f>AND(Bills!#REF!,"AAAAAH9vjWE=")</f>
        <v>#REF!</v>
      </c>
      <c r="CU102" t="e">
        <f>AND(Bills!#REF!,"AAAAAH9vjWI=")</f>
        <v>#REF!</v>
      </c>
      <c r="CV102" t="e">
        <f>AND(Bills!#REF!,"AAAAAH9vjWM=")</f>
        <v>#REF!</v>
      </c>
      <c r="CW102" t="e">
        <f>AND(Bills!F351,"AAAAAH9vjWQ=")</f>
        <v>#VALUE!</v>
      </c>
      <c r="CX102" t="e">
        <f>AND(Bills!#REF!,"AAAAAH9vjWU=")</f>
        <v>#REF!</v>
      </c>
      <c r="CY102" t="e">
        <f>AND(Bills!G351,"AAAAAH9vjWY=")</f>
        <v>#VALUE!</v>
      </c>
      <c r="CZ102" t="e">
        <f>AND(Bills!H351,"AAAAAH9vjWc=")</f>
        <v>#VALUE!</v>
      </c>
      <c r="DA102" t="e">
        <f>AND(Bills!I351,"AAAAAH9vjWg=")</f>
        <v>#VALUE!</v>
      </c>
      <c r="DB102" t="e">
        <f>AND(Bills!J351,"AAAAAH9vjWk=")</f>
        <v>#VALUE!</v>
      </c>
      <c r="DC102" t="e">
        <f>AND(Bills!K351,"AAAAAH9vjWo=")</f>
        <v>#VALUE!</v>
      </c>
      <c r="DD102" t="e">
        <f>AND(Bills!L351,"AAAAAH9vjWs=")</f>
        <v>#VALUE!</v>
      </c>
      <c r="DE102" t="e">
        <f>AND(Bills!#REF!,"AAAAAH9vjWw=")</f>
        <v>#REF!</v>
      </c>
      <c r="DF102" t="e">
        <f>AND(Bills!M351,"AAAAAH9vjW0=")</f>
        <v>#VALUE!</v>
      </c>
      <c r="DG102" t="e">
        <f>AND(Bills!N351,"AAAAAH9vjW4=")</f>
        <v>#VALUE!</v>
      </c>
      <c r="DH102" t="e">
        <f>AND(Bills!O351,"AAAAAH9vjW8=")</f>
        <v>#VALUE!</v>
      </c>
      <c r="DI102" t="e">
        <f>AND(Bills!P351,"AAAAAH9vjXA=")</f>
        <v>#VALUE!</v>
      </c>
      <c r="DJ102" t="e">
        <f>AND(Bills!Q351,"AAAAAH9vjXE=")</f>
        <v>#VALUE!</v>
      </c>
      <c r="DK102" t="e">
        <f>AND(Bills!R351,"AAAAAH9vjXI=")</f>
        <v>#VALUE!</v>
      </c>
      <c r="DL102" t="e">
        <f>AND(Bills!S351,"AAAAAH9vjXM=")</f>
        <v>#VALUE!</v>
      </c>
      <c r="DM102" t="e">
        <f>AND(Bills!T351,"AAAAAH9vjXQ=")</f>
        <v>#VALUE!</v>
      </c>
      <c r="DN102" t="e">
        <f>AND(Bills!#REF!,"AAAAAH9vjXU=")</f>
        <v>#REF!</v>
      </c>
      <c r="DO102" t="e">
        <f>AND(Bills!U351,"AAAAAH9vjXY=")</f>
        <v>#VALUE!</v>
      </c>
      <c r="DP102" t="e">
        <f>AND(Bills!V351,"AAAAAH9vjXc=")</f>
        <v>#VALUE!</v>
      </c>
      <c r="DQ102" t="e">
        <f>AND(Bills!W351,"AAAAAH9vjXg=")</f>
        <v>#VALUE!</v>
      </c>
      <c r="DR102" t="e">
        <f>AND(Bills!#REF!,"AAAAAH9vjXk=")</f>
        <v>#REF!</v>
      </c>
      <c r="DS102" t="e">
        <f>AND(Bills!#REF!,"AAAAAH9vjXo=")</f>
        <v>#REF!</v>
      </c>
      <c r="DT102" t="e">
        <f>AND(Bills!Y351,"AAAAAH9vjXs=")</f>
        <v>#VALUE!</v>
      </c>
      <c r="DU102" t="e">
        <f>AND(Bills!Z351,"AAAAAH9vjXw=")</f>
        <v>#VALUE!</v>
      </c>
      <c r="DV102" t="e">
        <f>AND(Bills!#REF!,"AAAAAH9vjX0=")</f>
        <v>#REF!</v>
      </c>
      <c r="DW102" t="e">
        <f>AND(Bills!#REF!,"AAAAAH9vjX4=")</f>
        <v>#REF!</v>
      </c>
      <c r="DX102" t="e">
        <f>AND(Bills!#REF!,"AAAAAH9vjX8=")</f>
        <v>#REF!</v>
      </c>
      <c r="DY102" t="e">
        <f>AND(Bills!#REF!,"AAAAAH9vjYA=")</f>
        <v>#REF!</v>
      </c>
      <c r="DZ102" t="e">
        <f>AND(Bills!#REF!,"AAAAAH9vjYE=")</f>
        <v>#REF!</v>
      </c>
      <c r="EA102" t="e">
        <f>AND(Bills!#REF!,"AAAAAH9vjYI=")</f>
        <v>#REF!</v>
      </c>
      <c r="EB102" t="e">
        <f>AND(Bills!#REF!,"AAAAAH9vjYM=")</f>
        <v>#REF!</v>
      </c>
      <c r="EC102" t="e">
        <f>AND(Bills!#REF!,"AAAAAH9vjYQ=")</f>
        <v>#REF!</v>
      </c>
      <c r="ED102" t="e">
        <f>AND(Bills!#REF!,"AAAAAH9vjYU=")</f>
        <v>#REF!</v>
      </c>
      <c r="EE102" t="e">
        <f>AND(Bills!AA351,"AAAAAH9vjYY=")</f>
        <v>#VALUE!</v>
      </c>
      <c r="EF102" t="e">
        <f>AND(Bills!AB351,"AAAAAH9vjYc=")</f>
        <v>#VALUE!</v>
      </c>
      <c r="EG102" t="e">
        <f>AND(Bills!#REF!,"AAAAAH9vjYg=")</f>
        <v>#REF!</v>
      </c>
      <c r="EH102" t="e">
        <f>AND(Bills!#REF!,"AAAAAH9vjYk=")</f>
        <v>#REF!</v>
      </c>
      <c r="EI102" t="e">
        <f>AND(Bills!#REF!,"AAAAAH9vjYo=")</f>
        <v>#REF!</v>
      </c>
      <c r="EJ102" t="e">
        <f>AND(Bills!AC351,"AAAAAH9vjYs=")</f>
        <v>#VALUE!</v>
      </c>
      <c r="EK102" t="e">
        <f>AND(Bills!AD351,"AAAAAH9vjYw=")</f>
        <v>#VALUE!</v>
      </c>
      <c r="EL102" t="e">
        <f>AND(Bills!AE351,"AAAAAH9vjY0=")</f>
        <v>#VALUE!</v>
      </c>
      <c r="EM102">
        <f>IF(Bills!352:352,"AAAAAH9vjY4=",0)</f>
        <v>0</v>
      </c>
      <c r="EN102" t="e">
        <f>AND(Bills!B352,"AAAAAH9vjY8=")</f>
        <v>#VALUE!</v>
      </c>
      <c r="EO102" t="e">
        <f>AND(Bills!#REF!,"AAAAAH9vjZA=")</f>
        <v>#REF!</v>
      </c>
      <c r="EP102" t="e">
        <f>AND(Bills!C352,"AAAAAH9vjZE=")</f>
        <v>#VALUE!</v>
      </c>
      <c r="EQ102" t="e">
        <f>AND(Bills!D352,"AAAAAH9vjZI=")</f>
        <v>#VALUE!</v>
      </c>
      <c r="ER102" t="e">
        <f>AND(Bills!E352,"AAAAAH9vjZM=")</f>
        <v>#VALUE!</v>
      </c>
      <c r="ES102" t="e">
        <f>AND(Bills!#REF!,"AAAAAH9vjZQ=")</f>
        <v>#REF!</v>
      </c>
      <c r="ET102" t="e">
        <f>AND(Bills!#REF!,"AAAAAH9vjZU=")</f>
        <v>#REF!</v>
      </c>
      <c r="EU102" t="e">
        <f>AND(Bills!#REF!,"AAAAAH9vjZY=")</f>
        <v>#REF!</v>
      </c>
      <c r="EV102" t="e">
        <f>AND(Bills!F352,"AAAAAH9vjZc=")</f>
        <v>#VALUE!</v>
      </c>
      <c r="EW102" t="e">
        <f>AND(Bills!#REF!,"AAAAAH9vjZg=")</f>
        <v>#REF!</v>
      </c>
      <c r="EX102" t="e">
        <f>AND(Bills!G352,"AAAAAH9vjZk=")</f>
        <v>#VALUE!</v>
      </c>
      <c r="EY102" t="e">
        <f>AND(Bills!H352,"AAAAAH9vjZo=")</f>
        <v>#VALUE!</v>
      </c>
      <c r="EZ102" t="e">
        <f>AND(Bills!I352,"AAAAAH9vjZs=")</f>
        <v>#VALUE!</v>
      </c>
      <c r="FA102" t="e">
        <f>AND(Bills!J352,"AAAAAH9vjZw=")</f>
        <v>#VALUE!</v>
      </c>
      <c r="FB102" t="e">
        <f>AND(Bills!K352,"AAAAAH9vjZ0=")</f>
        <v>#VALUE!</v>
      </c>
      <c r="FC102" t="e">
        <f>AND(Bills!L352,"AAAAAH9vjZ4=")</f>
        <v>#VALUE!</v>
      </c>
      <c r="FD102" t="e">
        <f>AND(Bills!#REF!,"AAAAAH9vjZ8=")</f>
        <v>#REF!</v>
      </c>
      <c r="FE102" t="e">
        <f>AND(Bills!M352,"AAAAAH9vjaA=")</f>
        <v>#VALUE!</v>
      </c>
      <c r="FF102" t="e">
        <f>AND(Bills!N352,"AAAAAH9vjaE=")</f>
        <v>#VALUE!</v>
      </c>
      <c r="FG102" t="e">
        <f>AND(Bills!O352,"AAAAAH9vjaI=")</f>
        <v>#VALUE!</v>
      </c>
      <c r="FH102" t="e">
        <f>AND(Bills!P352,"AAAAAH9vjaM=")</f>
        <v>#VALUE!</v>
      </c>
      <c r="FI102" t="e">
        <f>AND(Bills!Q352,"AAAAAH9vjaQ=")</f>
        <v>#VALUE!</v>
      </c>
      <c r="FJ102" t="e">
        <f>AND(Bills!R352,"AAAAAH9vjaU=")</f>
        <v>#VALUE!</v>
      </c>
      <c r="FK102" t="e">
        <f>AND(Bills!S352,"AAAAAH9vjaY=")</f>
        <v>#VALUE!</v>
      </c>
      <c r="FL102" t="e">
        <f>AND(Bills!T352,"AAAAAH9vjac=")</f>
        <v>#VALUE!</v>
      </c>
      <c r="FM102" t="e">
        <f>AND(Bills!#REF!,"AAAAAH9vjag=")</f>
        <v>#REF!</v>
      </c>
      <c r="FN102" t="e">
        <f>AND(Bills!U352,"AAAAAH9vjak=")</f>
        <v>#VALUE!</v>
      </c>
      <c r="FO102" t="e">
        <f>AND(Bills!V352,"AAAAAH9vjao=")</f>
        <v>#VALUE!</v>
      </c>
      <c r="FP102" t="e">
        <f>AND(Bills!W352,"AAAAAH9vjas=")</f>
        <v>#VALUE!</v>
      </c>
      <c r="FQ102" t="e">
        <f>AND(Bills!#REF!,"AAAAAH9vjaw=")</f>
        <v>#REF!</v>
      </c>
      <c r="FR102" t="e">
        <f>AND(Bills!#REF!,"AAAAAH9vja0=")</f>
        <v>#REF!</v>
      </c>
      <c r="FS102" t="e">
        <f>AND(Bills!Y352,"AAAAAH9vja4=")</f>
        <v>#VALUE!</v>
      </c>
      <c r="FT102" t="e">
        <f>AND(Bills!Z352,"AAAAAH9vja8=")</f>
        <v>#VALUE!</v>
      </c>
      <c r="FU102" t="e">
        <f>AND(Bills!#REF!,"AAAAAH9vjbA=")</f>
        <v>#REF!</v>
      </c>
      <c r="FV102" t="e">
        <f>AND(Bills!#REF!,"AAAAAH9vjbE=")</f>
        <v>#REF!</v>
      </c>
      <c r="FW102" t="e">
        <f>AND(Bills!#REF!,"AAAAAH9vjbI=")</f>
        <v>#REF!</v>
      </c>
      <c r="FX102" t="e">
        <f>AND(Bills!#REF!,"AAAAAH9vjbM=")</f>
        <v>#REF!</v>
      </c>
      <c r="FY102" t="e">
        <f>AND(Bills!#REF!,"AAAAAH9vjbQ=")</f>
        <v>#REF!</v>
      </c>
      <c r="FZ102" t="e">
        <f>AND(Bills!#REF!,"AAAAAH9vjbU=")</f>
        <v>#REF!</v>
      </c>
      <c r="GA102" t="e">
        <f>AND(Bills!#REF!,"AAAAAH9vjbY=")</f>
        <v>#REF!</v>
      </c>
      <c r="GB102" t="e">
        <f>AND(Bills!#REF!,"AAAAAH9vjbc=")</f>
        <v>#REF!</v>
      </c>
      <c r="GC102" t="e">
        <f>AND(Bills!#REF!,"AAAAAH9vjbg=")</f>
        <v>#REF!</v>
      </c>
      <c r="GD102" t="e">
        <f>AND(Bills!AA352,"AAAAAH9vjbk=")</f>
        <v>#VALUE!</v>
      </c>
      <c r="GE102" t="e">
        <f>AND(Bills!AB352,"AAAAAH9vjbo=")</f>
        <v>#VALUE!</v>
      </c>
      <c r="GF102" t="e">
        <f>AND(Bills!#REF!,"AAAAAH9vjbs=")</f>
        <v>#REF!</v>
      </c>
      <c r="GG102" t="e">
        <f>AND(Bills!#REF!,"AAAAAH9vjbw=")</f>
        <v>#REF!</v>
      </c>
      <c r="GH102" t="e">
        <f>AND(Bills!#REF!,"AAAAAH9vjb0=")</f>
        <v>#REF!</v>
      </c>
      <c r="GI102" t="e">
        <f>AND(Bills!AC352,"AAAAAH9vjb4=")</f>
        <v>#VALUE!</v>
      </c>
      <c r="GJ102" t="e">
        <f>AND(Bills!AD352,"AAAAAH9vjb8=")</f>
        <v>#VALUE!</v>
      </c>
      <c r="GK102" t="e">
        <f>AND(Bills!AE352,"AAAAAH9vjcA=")</f>
        <v>#VALUE!</v>
      </c>
      <c r="GL102">
        <f>IF(Bills!353:353,"AAAAAH9vjcE=",0)</f>
        <v>0</v>
      </c>
      <c r="GM102" t="e">
        <f>AND(Bills!B353,"AAAAAH9vjcI=")</f>
        <v>#VALUE!</v>
      </c>
      <c r="GN102" t="e">
        <f>AND(Bills!#REF!,"AAAAAH9vjcM=")</f>
        <v>#REF!</v>
      </c>
      <c r="GO102" t="e">
        <f>AND(Bills!C353,"AAAAAH9vjcQ=")</f>
        <v>#VALUE!</v>
      </c>
      <c r="GP102" t="e">
        <f>AND(Bills!D353,"AAAAAH9vjcU=")</f>
        <v>#VALUE!</v>
      </c>
      <c r="GQ102" t="e">
        <f>AND(Bills!E353,"AAAAAH9vjcY=")</f>
        <v>#VALUE!</v>
      </c>
      <c r="GR102" t="e">
        <f>AND(Bills!#REF!,"AAAAAH9vjcc=")</f>
        <v>#REF!</v>
      </c>
      <c r="GS102" t="e">
        <f>AND(Bills!#REF!,"AAAAAH9vjcg=")</f>
        <v>#REF!</v>
      </c>
      <c r="GT102" t="e">
        <f>AND(Bills!#REF!,"AAAAAH9vjck=")</f>
        <v>#REF!</v>
      </c>
      <c r="GU102" t="e">
        <f>AND(Bills!F353,"AAAAAH9vjco=")</f>
        <v>#VALUE!</v>
      </c>
      <c r="GV102" t="e">
        <f>AND(Bills!#REF!,"AAAAAH9vjcs=")</f>
        <v>#REF!</v>
      </c>
      <c r="GW102" t="e">
        <f>AND(Bills!G353,"AAAAAH9vjcw=")</f>
        <v>#VALUE!</v>
      </c>
      <c r="GX102" t="e">
        <f>AND(Bills!H353,"AAAAAH9vjc0=")</f>
        <v>#VALUE!</v>
      </c>
      <c r="GY102" t="e">
        <f>AND(Bills!I353,"AAAAAH9vjc4=")</f>
        <v>#VALUE!</v>
      </c>
      <c r="GZ102" t="e">
        <f>AND(Bills!J353,"AAAAAH9vjc8=")</f>
        <v>#VALUE!</v>
      </c>
      <c r="HA102" t="e">
        <f>AND(Bills!K353,"AAAAAH9vjdA=")</f>
        <v>#VALUE!</v>
      </c>
      <c r="HB102" t="e">
        <f>AND(Bills!L353,"AAAAAH9vjdE=")</f>
        <v>#VALUE!</v>
      </c>
      <c r="HC102" t="e">
        <f>AND(Bills!#REF!,"AAAAAH9vjdI=")</f>
        <v>#REF!</v>
      </c>
      <c r="HD102" t="e">
        <f>AND(Bills!M353,"AAAAAH9vjdM=")</f>
        <v>#VALUE!</v>
      </c>
      <c r="HE102" t="e">
        <f>AND(Bills!N353,"AAAAAH9vjdQ=")</f>
        <v>#VALUE!</v>
      </c>
      <c r="HF102" t="e">
        <f>AND(Bills!O353,"AAAAAH9vjdU=")</f>
        <v>#VALUE!</v>
      </c>
      <c r="HG102" t="e">
        <f>AND(Bills!P353,"AAAAAH9vjdY=")</f>
        <v>#VALUE!</v>
      </c>
      <c r="HH102" t="e">
        <f>AND(Bills!Q353,"AAAAAH9vjdc=")</f>
        <v>#VALUE!</v>
      </c>
      <c r="HI102" t="e">
        <f>AND(Bills!R353,"AAAAAH9vjdg=")</f>
        <v>#VALUE!</v>
      </c>
      <c r="HJ102" t="e">
        <f>AND(Bills!S353,"AAAAAH9vjdk=")</f>
        <v>#VALUE!</v>
      </c>
      <c r="HK102" t="e">
        <f>AND(Bills!T353,"AAAAAH9vjdo=")</f>
        <v>#VALUE!</v>
      </c>
      <c r="HL102" t="e">
        <f>AND(Bills!#REF!,"AAAAAH9vjds=")</f>
        <v>#REF!</v>
      </c>
      <c r="HM102" t="e">
        <f>AND(Bills!U353,"AAAAAH9vjdw=")</f>
        <v>#VALUE!</v>
      </c>
      <c r="HN102" t="e">
        <f>AND(Bills!V353,"AAAAAH9vjd0=")</f>
        <v>#VALUE!</v>
      </c>
      <c r="HO102" t="e">
        <f>AND(Bills!W353,"AAAAAH9vjd4=")</f>
        <v>#VALUE!</v>
      </c>
      <c r="HP102" t="e">
        <f>AND(Bills!#REF!,"AAAAAH9vjd8=")</f>
        <v>#REF!</v>
      </c>
      <c r="HQ102" t="e">
        <f>AND(Bills!#REF!,"AAAAAH9vjeA=")</f>
        <v>#REF!</v>
      </c>
      <c r="HR102" t="e">
        <f>AND(Bills!Y353,"AAAAAH9vjeE=")</f>
        <v>#VALUE!</v>
      </c>
      <c r="HS102" t="e">
        <f>AND(Bills!Z353,"AAAAAH9vjeI=")</f>
        <v>#VALUE!</v>
      </c>
      <c r="HT102" t="e">
        <f>AND(Bills!#REF!,"AAAAAH9vjeM=")</f>
        <v>#REF!</v>
      </c>
      <c r="HU102" t="e">
        <f>AND(Bills!#REF!,"AAAAAH9vjeQ=")</f>
        <v>#REF!</v>
      </c>
      <c r="HV102" t="e">
        <f>AND(Bills!#REF!,"AAAAAH9vjeU=")</f>
        <v>#REF!</v>
      </c>
      <c r="HW102" t="e">
        <f>AND(Bills!#REF!,"AAAAAH9vjeY=")</f>
        <v>#REF!</v>
      </c>
      <c r="HX102" t="e">
        <f>AND(Bills!#REF!,"AAAAAH9vjec=")</f>
        <v>#REF!</v>
      </c>
      <c r="HY102" t="e">
        <f>AND(Bills!#REF!,"AAAAAH9vjeg=")</f>
        <v>#REF!</v>
      </c>
      <c r="HZ102" t="e">
        <f>AND(Bills!#REF!,"AAAAAH9vjek=")</f>
        <v>#REF!</v>
      </c>
      <c r="IA102" t="e">
        <f>AND(Bills!#REF!,"AAAAAH9vjeo=")</f>
        <v>#REF!</v>
      </c>
      <c r="IB102" t="e">
        <f>AND(Bills!#REF!,"AAAAAH9vjes=")</f>
        <v>#REF!</v>
      </c>
      <c r="IC102" t="e">
        <f>AND(Bills!AA353,"AAAAAH9vjew=")</f>
        <v>#VALUE!</v>
      </c>
      <c r="ID102" t="e">
        <f>AND(Bills!AB353,"AAAAAH9vje0=")</f>
        <v>#VALUE!</v>
      </c>
      <c r="IE102" t="e">
        <f>AND(Bills!#REF!,"AAAAAH9vje4=")</f>
        <v>#REF!</v>
      </c>
      <c r="IF102" t="e">
        <f>AND(Bills!#REF!,"AAAAAH9vje8=")</f>
        <v>#REF!</v>
      </c>
      <c r="IG102" t="e">
        <f>AND(Bills!#REF!,"AAAAAH9vjfA=")</f>
        <v>#REF!</v>
      </c>
      <c r="IH102" t="e">
        <f>AND(Bills!AC353,"AAAAAH9vjfE=")</f>
        <v>#VALUE!</v>
      </c>
      <c r="II102" t="e">
        <f>AND(Bills!AD353,"AAAAAH9vjfI=")</f>
        <v>#VALUE!</v>
      </c>
      <c r="IJ102" t="e">
        <f>AND(Bills!AE353,"AAAAAH9vjfM=")</f>
        <v>#VALUE!</v>
      </c>
      <c r="IK102">
        <f>IF(Bills!354:354,"AAAAAH9vjfQ=",0)</f>
        <v>0</v>
      </c>
      <c r="IL102" t="e">
        <f>AND(Bills!B354,"AAAAAH9vjfU=")</f>
        <v>#VALUE!</v>
      </c>
      <c r="IM102" t="e">
        <f>AND(Bills!#REF!,"AAAAAH9vjfY=")</f>
        <v>#REF!</v>
      </c>
      <c r="IN102" t="e">
        <f>AND(Bills!C354,"AAAAAH9vjfc=")</f>
        <v>#VALUE!</v>
      </c>
      <c r="IO102" t="e">
        <f>AND(Bills!D354,"AAAAAH9vjfg=")</f>
        <v>#VALUE!</v>
      </c>
      <c r="IP102" t="e">
        <f>AND(Bills!E354,"AAAAAH9vjfk=")</f>
        <v>#VALUE!</v>
      </c>
      <c r="IQ102" t="e">
        <f>AND(Bills!#REF!,"AAAAAH9vjfo=")</f>
        <v>#REF!</v>
      </c>
      <c r="IR102" t="e">
        <f>AND(Bills!#REF!,"AAAAAH9vjfs=")</f>
        <v>#REF!</v>
      </c>
      <c r="IS102" t="e">
        <f>AND(Bills!#REF!,"AAAAAH9vjfw=")</f>
        <v>#REF!</v>
      </c>
      <c r="IT102" t="e">
        <f>AND(Bills!F354,"AAAAAH9vjf0=")</f>
        <v>#VALUE!</v>
      </c>
      <c r="IU102" t="e">
        <f>AND(Bills!#REF!,"AAAAAH9vjf4=")</f>
        <v>#REF!</v>
      </c>
      <c r="IV102" t="e">
        <f>AND(Bills!G354,"AAAAAH9vjf8=")</f>
        <v>#VALUE!</v>
      </c>
    </row>
    <row r="103" spans="1:256" x14ac:dyDescent="0.25">
      <c r="A103" t="e">
        <f>AND(Bills!H354,"AAAAAD/+7wA=")</f>
        <v>#VALUE!</v>
      </c>
      <c r="B103" t="e">
        <f>AND(Bills!I354,"AAAAAD/+7wE=")</f>
        <v>#VALUE!</v>
      </c>
      <c r="C103" t="e">
        <f>AND(Bills!J354,"AAAAAD/+7wI=")</f>
        <v>#VALUE!</v>
      </c>
      <c r="D103" t="e">
        <f>AND(Bills!K354,"AAAAAD/+7wM=")</f>
        <v>#VALUE!</v>
      </c>
      <c r="E103" t="e">
        <f>AND(Bills!L354,"AAAAAD/+7wQ=")</f>
        <v>#VALUE!</v>
      </c>
      <c r="F103" t="e">
        <f>AND(Bills!#REF!,"AAAAAD/+7wU=")</f>
        <v>#REF!</v>
      </c>
      <c r="G103" t="e">
        <f>AND(Bills!M354,"AAAAAD/+7wY=")</f>
        <v>#VALUE!</v>
      </c>
      <c r="H103" t="e">
        <f>AND(Bills!N354,"AAAAAD/+7wc=")</f>
        <v>#VALUE!</v>
      </c>
      <c r="I103" t="e">
        <f>AND(Bills!O354,"AAAAAD/+7wg=")</f>
        <v>#VALUE!</v>
      </c>
      <c r="J103" t="e">
        <f>AND(Bills!P354,"AAAAAD/+7wk=")</f>
        <v>#VALUE!</v>
      </c>
      <c r="K103" t="e">
        <f>AND(Bills!Q354,"AAAAAD/+7wo=")</f>
        <v>#VALUE!</v>
      </c>
      <c r="L103" t="e">
        <f>AND(Bills!R354,"AAAAAD/+7ws=")</f>
        <v>#VALUE!</v>
      </c>
      <c r="M103" t="e">
        <f>AND(Bills!S354,"AAAAAD/+7ww=")</f>
        <v>#VALUE!</v>
      </c>
      <c r="N103" t="e">
        <f>AND(Bills!T354,"AAAAAD/+7w0=")</f>
        <v>#VALUE!</v>
      </c>
      <c r="O103" t="e">
        <f>AND(Bills!#REF!,"AAAAAD/+7w4=")</f>
        <v>#REF!</v>
      </c>
      <c r="P103" t="e">
        <f>AND(Bills!U354,"AAAAAD/+7w8=")</f>
        <v>#VALUE!</v>
      </c>
      <c r="Q103" t="e">
        <f>AND(Bills!V354,"AAAAAD/+7xA=")</f>
        <v>#VALUE!</v>
      </c>
      <c r="R103" t="e">
        <f>AND(Bills!W354,"AAAAAD/+7xE=")</f>
        <v>#VALUE!</v>
      </c>
      <c r="S103" t="e">
        <f>AND(Bills!#REF!,"AAAAAD/+7xI=")</f>
        <v>#REF!</v>
      </c>
      <c r="T103" t="e">
        <f>AND(Bills!#REF!,"AAAAAD/+7xM=")</f>
        <v>#REF!</v>
      </c>
      <c r="U103" t="e">
        <f>AND(Bills!Y354,"AAAAAD/+7xQ=")</f>
        <v>#VALUE!</v>
      </c>
      <c r="V103" t="e">
        <f>AND(Bills!Z354,"AAAAAD/+7xU=")</f>
        <v>#VALUE!</v>
      </c>
      <c r="W103" t="e">
        <f>AND(Bills!#REF!,"AAAAAD/+7xY=")</f>
        <v>#REF!</v>
      </c>
      <c r="X103" t="e">
        <f>AND(Bills!#REF!,"AAAAAD/+7xc=")</f>
        <v>#REF!</v>
      </c>
      <c r="Y103" t="e">
        <f>AND(Bills!#REF!,"AAAAAD/+7xg=")</f>
        <v>#REF!</v>
      </c>
      <c r="Z103" t="e">
        <f>AND(Bills!#REF!,"AAAAAD/+7xk=")</f>
        <v>#REF!</v>
      </c>
      <c r="AA103" t="e">
        <f>AND(Bills!#REF!,"AAAAAD/+7xo=")</f>
        <v>#REF!</v>
      </c>
      <c r="AB103" t="e">
        <f>AND(Bills!#REF!,"AAAAAD/+7xs=")</f>
        <v>#REF!</v>
      </c>
      <c r="AC103" t="e">
        <f>AND(Bills!#REF!,"AAAAAD/+7xw=")</f>
        <v>#REF!</v>
      </c>
      <c r="AD103" t="e">
        <f>AND(Bills!#REF!,"AAAAAD/+7x0=")</f>
        <v>#REF!</v>
      </c>
      <c r="AE103" t="e">
        <f>AND(Bills!#REF!,"AAAAAD/+7x4=")</f>
        <v>#REF!</v>
      </c>
      <c r="AF103" t="e">
        <f>AND(Bills!AA354,"AAAAAD/+7x8=")</f>
        <v>#VALUE!</v>
      </c>
      <c r="AG103" t="e">
        <f>AND(Bills!AB354,"AAAAAD/+7yA=")</f>
        <v>#VALUE!</v>
      </c>
      <c r="AH103" t="e">
        <f>AND(Bills!#REF!,"AAAAAD/+7yE=")</f>
        <v>#REF!</v>
      </c>
      <c r="AI103" t="e">
        <f>AND(Bills!#REF!,"AAAAAD/+7yI=")</f>
        <v>#REF!</v>
      </c>
      <c r="AJ103" t="e">
        <f>AND(Bills!#REF!,"AAAAAD/+7yM=")</f>
        <v>#REF!</v>
      </c>
      <c r="AK103" t="e">
        <f>AND(Bills!AC354,"AAAAAD/+7yQ=")</f>
        <v>#VALUE!</v>
      </c>
      <c r="AL103" t="e">
        <f>AND(Bills!AD354,"AAAAAD/+7yU=")</f>
        <v>#VALUE!</v>
      </c>
      <c r="AM103" t="e">
        <f>AND(Bills!AE354,"AAAAAD/+7yY=")</f>
        <v>#VALUE!</v>
      </c>
      <c r="AN103">
        <f>IF(Bills!355:355,"AAAAAD/+7yc=",0)</f>
        <v>0</v>
      </c>
      <c r="AO103" t="e">
        <f>AND(Bills!B355,"AAAAAD/+7yg=")</f>
        <v>#VALUE!</v>
      </c>
      <c r="AP103" t="e">
        <f>AND(Bills!#REF!,"AAAAAD/+7yk=")</f>
        <v>#REF!</v>
      </c>
      <c r="AQ103" t="e">
        <f>AND(Bills!C355,"AAAAAD/+7yo=")</f>
        <v>#VALUE!</v>
      </c>
      <c r="AR103" t="e">
        <f>AND(Bills!D355,"AAAAAD/+7ys=")</f>
        <v>#VALUE!</v>
      </c>
      <c r="AS103" t="e">
        <f>AND(Bills!E355,"AAAAAD/+7yw=")</f>
        <v>#VALUE!</v>
      </c>
      <c r="AT103" t="e">
        <f>AND(Bills!#REF!,"AAAAAD/+7y0=")</f>
        <v>#REF!</v>
      </c>
      <c r="AU103" t="e">
        <f>AND(Bills!#REF!,"AAAAAD/+7y4=")</f>
        <v>#REF!</v>
      </c>
      <c r="AV103" t="e">
        <f>AND(Bills!#REF!,"AAAAAD/+7y8=")</f>
        <v>#REF!</v>
      </c>
      <c r="AW103" t="e">
        <f>AND(Bills!F355,"AAAAAD/+7zA=")</f>
        <v>#VALUE!</v>
      </c>
      <c r="AX103" t="e">
        <f>AND(Bills!#REF!,"AAAAAD/+7zE=")</f>
        <v>#REF!</v>
      </c>
      <c r="AY103" t="e">
        <f>AND(Bills!G355,"AAAAAD/+7zI=")</f>
        <v>#VALUE!</v>
      </c>
      <c r="AZ103" t="e">
        <f>AND(Bills!H355,"AAAAAD/+7zM=")</f>
        <v>#VALUE!</v>
      </c>
      <c r="BA103" t="e">
        <f>AND(Bills!I355,"AAAAAD/+7zQ=")</f>
        <v>#VALUE!</v>
      </c>
      <c r="BB103" t="e">
        <f>AND(Bills!J355,"AAAAAD/+7zU=")</f>
        <v>#VALUE!</v>
      </c>
      <c r="BC103" t="e">
        <f>AND(Bills!K355,"AAAAAD/+7zY=")</f>
        <v>#VALUE!</v>
      </c>
      <c r="BD103" t="e">
        <f>AND(Bills!L355,"AAAAAD/+7zc=")</f>
        <v>#VALUE!</v>
      </c>
      <c r="BE103" t="e">
        <f>AND(Bills!#REF!,"AAAAAD/+7zg=")</f>
        <v>#REF!</v>
      </c>
      <c r="BF103" t="e">
        <f>AND(Bills!M355,"AAAAAD/+7zk=")</f>
        <v>#VALUE!</v>
      </c>
      <c r="BG103" t="e">
        <f>AND(Bills!N355,"AAAAAD/+7zo=")</f>
        <v>#VALUE!</v>
      </c>
      <c r="BH103" t="e">
        <f>AND(Bills!O355,"AAAAAD/+7zs=")</f>
        <v>#VALUE!</v>
      </c>
      <c r="BI103" t="e">
        <f>AND(Bills!P355,"AAAAAD/+7zw=")</f>
        <v>#VALUE!</v>
      </c>
      <c r="BJ103" t="e">
        <f>AND(Bills!Q355,"AAAAAD/+7z0=")</f>
        <v>#VALUE!</v>
      </c>
      <c r="BK103" t="e">
        <f>AND(Bills!R355,"AAAAAD/+7z4=")</f>
        <v>#VALUE!</v>
      </c>
      <c r="BL103" t="e">
        <f>AND(Bills!S355,"AAAAAD/+7z8=")</f>
        <v>#VALUE!</v>
      </c>
      <c r="BM103" t="e">
        <f>AND(Bills!T355,"AAAAAD/+70A=")</f>
        <v>#VALUE!</v>
      </c>
      <c r="BN103" t="e">
        <f>AND(Bills!#REF!,"AAAAAD/+70E=")</f>
        <v>#REF!</v>
      </c>
      <c r="BO103" t="e">
        <f>AND(Bills!U355,"AAAAAD/+70I=")</f>
        <v>#VALUE!</v>
      </c>
      <c r="BP103" t="e">
        <f>AND(Bills!V355,"AAAAAD/+70M=")</f>
        <v>#VALUE!</v>
      </c>
      <c r="BQ103" t="e">
        <f>AND(Bills!W355,"AAAAAD/+70Q=")</f>
        <v>#VALUE!</v>
      </c>
      <c r="BR103" t="e">
        <f>AND(Bills!#REF!,"AAAAAD/+70U=")</f>
        <v>#REF!</v>
      </c>
      <c r="BS103" t="e">
        <f>AND(Bills!#REF!,"AAAAAD/+70Y=")</f>
        <v>#REF!</v>
      </c>
      <c r="BT103" t="e">
        <f>AND(Bills!Y355,"AAAAAD/+70c=")</f>
        <v>#VALUE!</v>
      </c>
      <c r="BU103" t="e">
        <f>AND(Bills!Z355,"AAAAAD/+70g=")</f>
        <v>#VALUE!</v>
      </c>
      <c r="BV103" t="e">
        <f>AND(Bills!#REF!,"AAAAAD/+70k=")</f>
        <v>#REF!</v>
      </c>
      <c r="BW103" t="e">
        <f>AND(Bills!#REF!,"AAAAAD/+70o=")</f>
        <v>#REF!</v>
      </c>
      <c r="BX103" t="e">
        <f>AND(Bills!#REF!,"AAAAAD/+70s=")</f>
        <v>#REF!</v>
      </c>
      <c r="BY103" t="e">
        <f>AND(Bills!#REF!,"AAAAAD/+70w=")</f>
        <v>#REF!</v>
      </c>
      <c r="BZ103" t="e">
        <f>AND(Bills!#REF!,"AAAAAD/+700=")</f>
        <v>#REF!</v>
      </c>
      <c r="CA103" t="e">
        <f>AND(Bills!#REF!,"AAAAAD/+704=")</f>
        <v>#REF!</v>
      </c>
      <c r="CB103" t="e">
        <f>AND(Bills!#REF!,"AAAAAD/+708=")</f>
        <v>#REF!</v>
      </c>
      <c r="CC103" t="e">
        <f>AND(Bills!#REF!,"AAAAAD/+71A=")</f>
        <v>#REF!</v>
      </c>
      <c r="CD103" t="e">
        <f>AND(Bills!#REF!,"AAAAAD/+71E=")</f>
        <v>#REF!</v>
      </c>
      <c r="CE103" t="e">
        <f>AND(Bills!AA355,"AAAAAD/+71I=")</f>
        <v>#VALUE!</v>
      </c>
      <c r="CF103" t="e">
        <f>AND(Bills!AB355,"AAAAAD/+71M=")</f>
        <v>#VALUE!</v>
      </c>
      <c r="CG103" t="e">
        <f>AND(Bills!#REF!,"AAAAAD/+71Q=")</f>
        <v>#REF!</v>
      </c>
      <c r="CH103" t="e">
        <f>AND(Bills!#REF!,"AAAAAD/+71U=")</f>
        <v>#REF!</v>
      </c>
      <c r="CI103" t="e">
        <f>AND(Bills!#REF!,"AAAAAD/+71Y=")</f>
        <v>#REF!</v>
      </c>
      <c r="CJ103" t="e">
        <f>AND(Bills!AC355,"AAAAAD/+71c=")</f>
        <v>#VALUE!</v>
      </c>
      <c r="CK103" t="e">
        <f>AND(Bills!AD355,"AAAAAD/+71g=")</f>
        <v>#VALUE!</v>
      </c>
      <c r="CL103" t="e">
        <f>AND(Bills!AE355,"AAAAAD/+71k=")</f>
        <v>#VALUE!</v>
      </c>
      <c r="CM103">
        <f>IF(Bills!356:356,"AAAAAD/+71o=",0)</f>
        <v>0</v>
      </c>
      <c r="CN103" t="e">
        <f>AND(Bills!B356,"AAAAAD/+71s=")</f>
        <v>#VALUE!</v>
      </c>
      <c r="CO103" t="e">
        <f>AND(Bills!#REF!,"AAAAAD/+71w=")</f>
        <v>#REF!</v>
      </c>
      <c r="CP103" t="e">
        <f>AND(Bills!C356,"AAAAAD/+710=")</f>
        <v>#VALUE!</v>
      </c>
      <c r="CQ103" t="e">
        <f>AND(Bills!D356,"AAAAAD/+714=")</f>
        <v>#VALUE!</v>
      </c>
      <c r="CR103" t="e">
        <f>AND(Bills!E356,"AAAAAD/+718=")</f>
        <v>#VALUE!</v>
      </c>
      <c r="CS103" t="e">
        <f>AND(Bills!#REF!,"AAAAAD/+72A=")</f>
        <v>#REF!</v>
      </c>
      <c r="CT103" t="e">
        <f>AND(Bills!#REF!,"AAAAAD/+72E=")</f>
        <v>#REF!</v>
      </c>
      <c r="CU103" t="e">
        <f>AND(Bills!#REF!,"AAAAAD/+72I=")</f>
        <v>#REF!</v>
      </c>
      <c r="CV103" t="e">
        <f>AND(Bills!F356,"AAAAAD/+72M=")</f>
        <v>#VALUE!</v>
      </c>
      <c r="CW103" t="e">
        <f>AND(Bills!#REF!,"AAAAAD/+72Q=")</f>
        <v>#REF!</v>
      </c>
      <c r="CX103" t="e">
        <f>AND(Bills!G356,"AAAAAD/+72U=")</f>
        <v>#VALUE!</v>
      </c>
      <c r="CY103" t="e">
        <f>AND(Bills!H356,"AAAAAD/+72Y=")</f>
        <v>#VALUE!</v>
      </c>
      <c r="CZ103" t="e">
        <f>AND(Bills!I356,"AAAAAD/+72c=")</f>
        <v>#VALUE!</v>
      </c>
      <c r="DA103" t="e">
        <f>AND(Bills!J356,"AAAAAD/+72g=")</f>
        <v>#VALUE!</v>
      </c>
      <c r="DB103" t="e">
        <f>AND(Bills!K356,"AAAAAD/+72k=")</f>
        <v>#VALUE!</v>
      </c>
      <c r="DC103" t="e">
        <f>AND(Bills!L356,"AAAAAD/+72o=")</f>
        <v>#VALUE!</v>
      </c>
      <c r="DD103" t="e">
        <f>AND(Bills!#REF!,"AAAAAD/+72s=")</f>
        <v>#REF!</v>
      </c>
      <c r="DE103" t="e">
        <f>AND(Bills!M356,"AAAAAD/+72w=")</f>
        <v>#VALUE!</v>
      </c>
      <c r="DF103" t="e">
        <f>AND(Bills!N356,"AAAAAD/+720=")</f>
        <v>#VALUE!</v>
      </c>
      <c r="DG103" t="e">
        <f>AND(Bills!O356,"AAAAAD/+724=")</f>
        <v>#VALUE!</v>
      </c>
      <c r="DH103" t="e">
        <f>AND(Bills!P356,"AAAAAD/+728=")</f>
        <v>#VALUE!</v>
      </c>
      <c r="DI103" t="e">
        <f>AND(Bills!Q356,"AAAAAD/+73A=")</f>
        <v>#VALUE!</v>
      </c>
      <c r="DJ103" t="e">
        <f>AND(Bills!R356,"AAAAAD/+73E=")</f>
        <v>#VALUE!</v>
      </c>
      <c r="DK103" t="e">
        <f>AND(Bills!S356,"AAAAAD/+73I=")</f>
        <v>#VALUE!</v>
      </c>
      <c r="DL103" t="e">
        <f>AND(Bills!T356,"AAAAAD/+73M=")</f>
        <v>#VALUE!</v>
      </c>
      <c r="DM103" t="e">
        <f>AND(Bills!#REF!,"AAAAAD/+73Q=")</f>
        <v>#REF!</v>
      </c>
      <c r="DN103" t="e">
        <f>AND(Bills!U356,"AAAAAD/+73U=")</f>
        <v>#VALUE!</v>
      </c>
      <c r="DO103" t="e">
        <f>AND(Bills!V356,"AAAAAD/+73Y=")</f>
        <v>#VALUE!</v>
      </c>
      <c r="DP103" t="e">
        <f>AND(Bills!W356,"AAAAAD/+73c=")</f>
        <v>#VALUE!</v>
      </c>
      <c r="DQ103" t="e">
        <f>AND(Bills!#REF!,"AAAAAD/+73g=")</f>
        <v>#REF!</v>
      </c>
      <c r="DR103" t="e">
        <f>AND(Bills!#REF!,"AAAAAD/+73k=")</f>
        <v>#REF!</v>
      </c>
      <c r="DS103" t="e">
        <f>AND(Bills!Y356,"AAAAAD/+73o=")</f>
        <v>#VALUE!</v>
      </c>
      <c r="DT103" t="e">
        <f>AND(Bills!Z356,"AAAAAD/+73s=")</f>
        <v>#VALUE!</v>
      </c>
      <c r="DU103" t="e">
        <f>AND(Bills!#REF!,"AAAAAD/+73w=")</f>
        <v>#REF!</v>
      </c>
      <c r="DV103" t="e">
        <f>AND(Bills!#REF!,"AAAAAD/+730=")</f>
        <v>#REF!</v>
      </c>
      <c r="DW103" t="e">
        <f>AND(Bills!#REF!,"AAAAAD/+734=")</f>
        <v>#REF!</v>
      </c>
      <c r="DX103" t="e">
        <f>AND(Bills!#REF!,"AAAAAD/+738=")</f>
        <v>#REF!</v>
      </c>
      <c r="DY103" t="e">
        <f>AND(Bills!#REF!,"AAAAAD/+74A=")</f>
        <v>#REF!</v>
      </c>
      <c r="DZ103" t="e">
        <f>AND(Bills!#REF!,"AAAAAD/+74E=")</f>
        <v>#REF!</v>
      </c>
      <c r="EA103" t="e">
        <f>AND(Bills!#REF!,"AAAAAD/+74I=")</f>
        <v>#REF!</v>
      </c>
      <c r="EB103" t="e">
        <f>AND(Bills!#REF!,"AAAAAD/+74M=")</f>
        <v>#REF!</v>
      </c>
      <c r="EC103" t="e">
        <f>AND(Bills!#REF!,"AAAAAD/+74Q=")</f>
        <v>#REF!</v>
      </c>
      <c r="ED103" t="e">
        <f>AND(Bills!AA356,"AAAAAD/+74U=")</f>
        <v>#VALUE!</v>
      </c>
      <c r="EE103" t="e">
        <f>AND(Bills!AB356,"AAAAAD/+74Y=")</f>
        <v>#VALUE!</v>
      </c>
      <c r="EF103" t="e">
        <f>AND(Bills!#REF!,"AAAAAD/+74c=")</f>
        <v>#REF!</v>
      </c>
      <c r="EG103" t="e">
        <f>AND(Bills!#REF!,"AAAAAD/+74g=")</f>
        <v>#REF!</v>
      </c>
      <c r="EH103" t="e">
        <f>AND(Bills!#REF!,"AAAAAD/+74k=")</f>
        <v>#REF!</v>
      </c>
      <c r="EI103" t="e">
        <f>AND(Bills!AC356,"AAAAAD/+74o=")</f>
        <v>#VALUE!</v>
      </c>
      <c r="EJ103" t="e">
        <f>AND(Bills!AD356,"AAAAAD/+74s=")</f>
        <v>#VALUE!</v>
      </c>
      <c r="EK103" t="e">
        <f>AND(Bills!AE356,"AAAAAD/+74w=")</f>
        <v>#VALUE!</v>
      </c>
      <c r="EL103">
        <f>IF(Bills!357:357,"AAAAAD/+740=",0)</f>
        <v>0</v>
      </c>
      <c r="EM103" t="e">
        <f>AND(Bills!B357,"AAAAAD/+744=")</f>
        <v>#VALUE!</v>
      </c>
      <c r="EN103" t="e">
        <f>AND(Bills!#REF!,"AAAAAD/+748=")</f>
        <v>#REF!</v>
      </c>
      <c r="EO103" t="e">
        <f>AND(Bills!C357,"AAAAAD/+75A=")</f>
        <v>#VALUE!</v>
      </c>
      <c r="EP103" t="e">
        <f>AND(Bills!D357,"AAAAAD/+75E=")</f>
        <v>#VALUE!</v>
      </c>
      <c r="EQ103" t="e">
        <f>AND(Bills!E357,"AAAAAD/+75I=")</f>
        <v>#VALUE!</v>
      </c>
      <c r="ER103" t="e">
        <f>AND(Bills!#REF!,"AAAAAD/+75M=")</f>
        <v>#REF!</v>
      </c>
      <c r="ES103" t="e">
        <f>AND(Bills!#REF!,"AAAAAD/+75Q=")</f>
        <v>#REF!</v>
      </c>
      <c r="ET103" t="e">
        <f>AND(Bills!#REF!,"AAAAAD/+75U=")</f>
        <v>#REF!</v>
      </c>
      <c r="EU103" t="e">
        <f>AND(Bills!F357,"AAAAAD/+75Y=")</f>
        <v>#VALUE!</v>
      </c>
      <c r="EV103" t="e">
        <f>AND(Bills!#REF!,"AAAAAD/+75c=")</f>
        <v>#REF!</v>
      </c>
      <c r="EW103" t="e">
        <f>AND(Bills!G357,"AAAAAD/+75g=")</f>
        <v>#VALUE!</v>
      </c>
      <c r="EX103" t="e">
        <f>AND(Bills!H357,"AAAAAD/+75k=")</f>
        <v>#VALUE!</v>
      </c>
      <c r="EY103" t="e">
        <f>AND(Bills!I357,"AAAAAD/+75o=")</f>
        <v>#VALUE!</v>
      </c>
      <c r="EZ103" t="e">
        <f>AND(Bills!J357,"AAAAAD/+75s=")</f>
        <v>#VALUE!</v>
      </c>
      <c r="FA103" t="e">
        <f>AND(Bills!K357,"AAAAAD/+75w=")</f>
        <v>#VALUE!</v>
      </c>
      <c r="FB103" t="e">
        <f>AND(Bills!L357,"AAAAAD/+750=")</f>
        <v>#VALUE!</v>
      </c>
      <c r="FC103" t="e">
        <f>AND(Bills!#REF!,"AAAAAD/+754=")</f>
        <v>#REF!</v>
      </c>
      <c r="FD103" t="e">
        <f>AND(Bills!M357,"AAAAAD/+758=")</f>
        <v>#VALUE!</v>
      </c>
      <c r="FE103" t="e">
        <f>AND(Bills!N357,"AAAAAD/+76A=")</f>
        <v>#VALUE!</v>
      </c>
      <c r="FF103" t="e">
        <f>AND(Bills!O357,"AAAAAD/+76E=")</f>
        <v>#VALUE!</v>
      </c>
      <c r="FG103" t="e">
        <f>AND(Bills!P357,"AAAAAD/+76I=")</f>
        <v>#VALUE!</v>
      </c>
      <c r="FH103" t="e">
        <f>AND(Bills!Q357,"AAAAAD/+76M=")</f>
        <v>#VALUE!</v>
      </c>
      <c r="FI103" t="e">
        <f>AND(Bills!R357,"AAAAAD/+76Q=")</f>
        <v>#VALUE!</v>
      </c>
      <c r="FJ103" t="e">
        <f>AND(Bills!S357,"AAAAAD/+76U=")</f>
        <v>#VALUE!</v>
      </c>
      <c r="FK103" t="e">
        <f>AND(Bills!T357,"AAAAAD/+76Y=")</f>
        <v>#VALUE!</v>
      </c>
      <c r="FL103" t="e">
        <f>AND(Bills!#REF!,"AAAAAD/+76c=")</f>
        <v>#REF!</v>
      </c>
      <c r="FM103" t="e">
        <f>AND(Bills!U357,"AAAAAD/+76g=")</f>
        <v>#VALUE!</v>
      </c>
      <c r="FN103" t="e">
        <f>AND(Bills!V357,"AAAAAD/+76k=")</f>
        <v>#VALUE!</v>
      </c>
      <c r="FO103" t="e">
        <f>AND(Bills!W357,"AAAAAD/+76o=")</f>
        <v>#VALUE!</v>
      </c>
      <c r="FP103" t="e">
        <f>AND(Bills!#REF!,"AAAAAD/+76s=")</f>
        <v>#REF!</v>
      </c>
      <c r="FQ103" t="e">
        <f>AND(Bills!#REF!,"AAAAAD/+76w=")</f>
        <v>#REF!</v>
      </c>
      <c r="FR103" t="e">
        <f>AND(Bills!Y357,"AAAAAD/+760=")</f>
        <v>#VALUE!</v>
      </c>
      <c r="FS103" t="e">
        <f>AND(Bills!Z357,"AAAAAD/+764=")</f>
        <v>#VALUE!</v>
      </c>
      <c r="FT103" t="e">
        <f>AND(Bills!#REF!,"AAAAAD/+768=")</f>
        <v>#REF!</v>
      </c>
      <c r="FU103" t="e">
        <f>AND(Bills!#REF!,"AAAAAD/+77A=")</f>
        <v>#REF!</v>
      </c>
      <c r="FV103" t="e">
        <f>AND(Bills!#REF!,"AAAAAD/+77E=")</f>
        <v>#REF!</v>
      </c>
      <c r="FW103" t="e">
        <f>AND(Bills!#REF!,"AAAAAD/+77I=")</f>
        <v>#REF!</v>
      </c>
      <c r="FX103" t="e">
        <f>AND(Bills!#REF!,"AAAAAD/+77M=")</f>
        <v>#REF!</v>
      </c>
      <c r="FY103" t="e">
        <f>AND(Bills!#REF!,"AAAAAD/+77Q=")</f>
        <v>#REF!</v>
      </c>
      <c r="FZ103" t="e">
        <f>AND(Bills!#REF!,"AAAAAD/+77U=")</f>
        <v>#REF!</v>
      </c>
      <c r="GA103" t="e">
        <f>AND(Bills!#REF!,"AAAAAD/+77Y=")</f>
        <v>#REF!</v>
      </c>
      <c r="GB103" t="e">
        <f>AND(Bills!#REF!,"AAAAAD/+77c=")</f>
        <v>#REF!</v>
      </c>
      <c r="GC103" t="e">
        <f>AND(Bills!AA357,"AAAAAD/+77g=")</f>
        <v>#VALUE!</v>
      </c>
      <c r="GD103" t="e">
        <f>AND(Bills!AB357,"AAAAAD/+77k=")</f>
        <v>#VALUE!</v>
      </c>
      <c r="GE103" t="e">
        <f>AND(Bills!#REF!,"AAAAAD/+77o=")</f>
        <v>#REF!</v>
      </c>
      <c r="GF103" t="e">
        <f>AND(Bills!#REF!,"AAAAAD/+77s=")</f>
        <v>#REF!</v>
      </c>
      <c r="GG103" t="e">
        <f>AND(Bills!#REF!,"AAAAAD/+77w=")</f>
        <v>#REF!</v>
      </c>
      <c r="GH103" t="e">
        <f>AND(Bills!AC357,"AAAAAD/+770=")</f>
        <v>#VALUE!</v>
      </c>
      <c r="GI103" t="e">
        <f>AND(Bills!AD357,"AAAAAD/+774=")</f>
        <v>#VALUE!</v>
      </c>
      <c r="GJ103" t="e">
        <f>AND(Bills!AE357,"AAAAAD/+778=")</f>
        <v>#VALUE!</v>
      </c>
      <c r="GK103">
        <f>IF(Bills!358:358,"AAAAAD/+78A=",0)</f>
        <v>0</v>
      </c>
      <c r="GL103" t="e">
        <f>AND(Bills!B358,"AAAAAD/+78E=")</f>
        <v>#VALUE!</v>
      </c>
      <c r="GM103" t="e">
        <f>AND(Bills!#REF!,"AAAAAD/+78I=")</f>
        <v>#REF!</v>
      </c>
      <c r="GN103" t="e">
        <f>AND(Bills!C358,"AAAAAD/+78M=")</f>
        <v>#VALUE!</v>
      </c>
      <c r="GO103" t="e">
        <f>AND(Bills!D358,"AAAAAD/+78Q=")</f>
        <v>#VALUE!</v>
      </c>
      <c r="GP103" t="e">
        <f>AND(Bills!E358,"AAAAAD/+78U=")</f>
        <v>#VALUE!</v>
      </c>
      <c r="GQ103" t="e">
        <f>AND(Bills!#REF!,"AAAAAD/+78Y=")</f>
        <v>#REF!</v>
      </c>
      <c r="GR103" t="e">
        <f>AND(Bills!#REF!,"AAAAAD/+78c=")</f>
        <v>#REF!</v>
      </c>
      <c r="GS103" t="e">
        <f>AND(Bills!#REF!,"AAAAAD/+78g=")</f>
        <v>#REF!</v>
      </c>
      <c r="GT103" t="e">
        <f>AND(Bills!F358,"AAAAAD/+78k=")</f>
        <v>#VALUE!</v>
      </c>
      <c r="GU103" t="e">
        <f>AND(Bills!#REF!,"AAAAAD/+78o=")</f>
        <v>#REF!</v>
      </c>
      <c r="GV103" t="e">
        <f>AND(Bills!G358,"AAAAAD/+78s=")</f>
        <v>#VALUE!</v>
      </c>
      <c r="GW103" t="e">
        <f>AND(Bills!H358,"AAAAAD/+78w=")</f>
        <v>#VALUE!</v>
      </c>
      <c r="GX103" t="e">
        <f>AND(Bills!I358,"AAAAAD/+780=")</f>
        <v>#VALUE!</v>
      </c>
      <c r="GY103" t="e">
        <f>AND(Bills!J358,"AAAAAD/+784=")</f>
        <v>#VALUE!</v>
      </c>
      <c r="GZ103" t="e">
        <f>AND(Bills!K358,"AAAAAD/+788=")</f>
        <v>#VALUE!</v>
      </c>
      <c r="HA103" t="e">
        <f>AND(Bills!L358,"AAAAAD/+79A=")</f>
        <v>#VALUE!</v>
      </c>
      <c r="HB103" t="e">
        <f>AND(Bills!#REF!,"AAAAAD/+79E=")</f>
        <v>#REF!</v>
      </c>
      <c r="HC103" t="e">
        <f>AND(Bills!M358,"AAAAAD/+79I=")</f>
        <v>#VALUE!</v>
      </c>
      <c r="HD103" t="e">
        <f>AND(Bills!N358,"AAAAAD/+79M=")</f>
        <v>#VALUE!</v>
      </c>
      <c r="HE103" t="e">
        <f>AND(Bills!O358,"AAAAAD/+79Q=")</f>
        <v>#VALUE!</v>
      </c>
      <c r="HF103" t="e">
        <f>AND(Bills!P358,"AAAAAD/+79U=")</f>
        <v>#VALUE!</v>
      </c>
      <c r="HG103" t="e">
        <f>AND(Bills!Q358,"AAAAAD/+79Y=")</f>
        <v>#VALUE!</v>
      </c>
      <c r="HH103" t="e">
        <f>AND(Bills!R358,"AAAAAD/+79c=")</f>
        <v>#VALUE!</v>
      </c>
      <c r="HI103" t="e">
        <f>AND(Bills!S358,"AAAAAD/+79g=")</f>
        <v>#VALUE!</v>
      </c>
      <c r="HJ103" t="e">
        <f>AND(Bills!T358,"AAAAAD/+79k=")</f>
        <v>#VALUE!</v>
      </c>
      <c r="HK103" t="e">
        <f>AND(Bills!#REF!,"AAAAAD/+79o=")</f>
        <v>#REF!</v>
      </c>
      <c r="HL103" t="e">
        <f>AND(Bills!U358,"AAAAAD/+79s=")</f>
        <v>#VALUE!</v>
      </c>
      <c r="HM103" t="e">
        <f>AND(Bills!V358,"AAAAAD/+79w=")</f>
        <v>#VALUE!</v>
      </c>
      <c r="HN103" t="e">
        <f>AND(Bills!W358,"AAAAAD/+790=")</f>
        <v>#VALUE!</v>
      </c>
      <c r="HO103" t="e">
        <f>AND(Bills!#REF!,"AAAAAD/+794=")</f>
        <v>#REF!</v>
      </c>
      <c r="HP103" t="e">
        <f>AND(Bills!#REF!,"AAAAAD/+798=")</f>
        <v>#REF!</v>
      </c>
      <c r="HQ103" t="e">
        <f>AND(Bills!Y358,"AAAAAD/+7+A=")</f>
        <v>#VALUE!</v>
      </c>
      <c r="HR103" t="e">
        <f>AND(Bills!Z358,"AAAAAD/+7+E=")</f>
        <v>#VALUE!</v>
      </c>
      <c r="HS103" t="e">
        <f>AND(Bills!#REF!,"AAAAAD/+7+I=")</f>
        <v>#REF!</v>
      </c>
      <c r="HT103" t="e">
        <f>AND(Bills!#REF!,"AAAAAD/+7+M=")</f>
        <v>#REF!</v>
      </c>
      <c r="HU103" t="e">
        <f>AND(Bills!#REF!,"AAAAAD/+7+Q=")</f>
        <v>#REF!</v>
      </c>
      <c r="HV103" t="e">
        <f>AND(Bills!#REF!,"AAAAAD/+7+U=")</f>
        <v>#REF!</v>
      </c>
      <c r="HW103" t="e">
        <f>AND(Bills!#REF!,"AAAAAD/+7+Y=")</f>
        <v>#REF!</v>
      </c>
      <c r="HX103" t="e">
        <f>AND(Bills!#REF!,"AAAAAD/+7+c=")</f>
        <v>#REF!</v>
      </c>
      <c r="HY103" t="e">
        <f>AND(Bills!#REF!,"AAAAAD/+7+g=")</f>
        <v>#REF!</v>
      </c>
      <c r="HZ103" t="e">
        <f>AND(Bills!#REF!,"AAAAAD/+7+k=")</f>
        <v>#REF!</v>
      </c>
      <c r="IA103" t="e">
        <f>AND(Bills!#REF!,"AAAAAD/+7+o=")</f>
        <v>#REF!</v>
      </c>
      <c r="IB103" t="e">
        <f>AND(Bills!AA358,"AAAAAD/+7+s=")</f>
        <v>#VALUE!</v>
      </c>
      <c r="IC103" t="e">
        <f>AND(Bills!AB358,"AAAAAD/+7+w=")</f>
        <v>#VALUE!</v>
      </c>
      <c r="ID103" t="e">
        <f>AND(Bills!#REF!,"AAAAAD/+7+0=")</f>
        <v>#REF!</v>
      </c>
      <c r="IE103" t="e">
        <f>AND(Bills!#REF!,"AAAAAD/+7+4=")</f>
        <v>#REF!</v>
      </c>
      <c r="IF103" t="e">
        <f>AND(Bills!#REF!,"AAAAAD/+7+8=")</f>
        <v>#REF!</v>
      </c>
      <c r="IG103" t="e">
        <f>AND(Bills!AC358,"AAAAAD/+7/A=")</f>
        <v>#VALUE!</v>
      </c>
      <c r="IH103" t="e">
        <f>AND(Bills!AD358,"AAAAAD/+7/E=")</f>
        <v>#VALUE!</v>
      </c>
      <c r="II103" t="e">
        <f>AND(Bills!AE358,"AAAAAD/+7/I=")</f>
        <v>#VALUE!</v>
      </c>
      <c r="IJ103">
        <f>IF(Bills!359:359,"AAAAAD/+7/M=",0)</f>
        <v>0</v>
      </c>
      <c r="IK103" t="e">
        <f>AND(Bills!B359,"AAAAAD/+7/Q=")</f>
        <v>#VALUE!</v>
      </c>
      <c r="IL103" t="e">
        <f>AND(Bills!#REF!,"AAAAAD/+7/U=")</f>
        <v>#REF!</v>
      </c>
      <c r="IM103" t="e">
        <f>AND(Bills!C359,"AAAAAD/+7/Y=")</f>
        <v>#VALUE!</v>
      </c>
      <c r="IN103" t="e">
        <f>AND(Bills!D359,"AAAAAD/+7/c=")</f>
        <v>#VALUE!</v>
      </c>
      <c r="IO103" t="e">
        <f>AND(Bills!E359,"AAAAAD/+7/g=")</f>
        <v>#VALUE!</v>
      </c>
      <c r="IP103" t="e">
        <f>AND(Bills!#REF!,"AAAAAD/+7/k=")</f>
        <v>#REF!</v>
      </c>
      <c r="IQ103" t="e">
        <f>AND(Bills!#REF!,"AAAAAD/+7/o=")</f>
        <v>#REF!</v>
      </c>
      <c r="IR103" t="e">
        <f>AND(Bills!#REF!,"AAAAAD/+7/s=")</f>
        <v>#REF!</v>
      </c>
      <c r="IS103" t="e">
        <f>AND(Bills!F359,"AAAAAD/+7/w=")</f>
        <v>#VALUE!</v>
      </c>
      <c r="IT103" t="e">
        <f>AND(Bills!#REF!,"AAAAAD/+7/0=")</f>
        <v>#REF!</v>
      </c>
      <c r="IU103" t="e">
        <f>AND(Bills!G359,"AAAAAD/+7/4=")</f>
        <v>#VALUE!</v>
      </c>
      <c r="IV103" t="e">
        <f>AND(Bills!H359,"AAAAAD/+7/8=")</f>
        <v>#VALUE!</v>
      </c>
    </row>
    <row r="104" spans="1:256" x14ac:dyDescent="0.25">
      <c r="A104" t="e">
        <f>AND(Bills!I359,"AAAAAD++vwA=")</f>
        <v>#VALUE!</v>
      </c>
      <c r="B104" t="e">
        <f>AND(Bills!J359,"AAAAAD++vwE=")</f>
        <v>#VALUE!</v>
      </c>
      <c r="C104" t="e">
        <f>AND(Bills!K359,"AAAAAD++vwI=")</f>
        <v>#VALUE!</v>
      </c>
      <c r="D104" t="e">
        <f>AND(Bills!L359,"AAAAAD++vwM=")</f>
        <v>#VALUE!</v>
      </c>
      <c r="E104" t="e">
        <f>AND(Bills!#REF!,"AAAAAD++vwQ=")</f>
        <v>#REF!</v>
      </c>
      <c r="F104" t="e">
        <f>AND(Bills!M359,"AAAAAD++vwU=")</f>
        <v>#VALUE!</v>
      </c>
      <c r="G104" t="e">
        <f>AND(Bills!N359,"AAAAAD++vwY=")</f>
        <v>#VALUE!</v>
      </c>
      <c r="H104" t="e">
        <f>AND(Bills!O359,"AAAAAD++vwc=")</f>
        <v>#VALUE!</v>
      </c>
      <c r="I104" t="e">
        <f>AND(Bills!P359,"AAAAAD++vwg=")</f>
        <v>#VALUE!</v>
      </c>
      <c r="J104" t="e">
        <f>AND(Bills!Q359,"AAAAAD++vwk=")</f>
        <v>#VALUE!</v>
      </c>
      <c r="K104" t="e">
        <f>AND(Bills!R359,"AAAAAD++vwo=")</f>
        <v>#VALUE!</v>
      </c>
      <c r="L104" t="e">
        <f>AND(Bills!S359,"AAAAAD++vws=")</f>
        <v>#VALUE!</v>
      </c>
      <c r="M104" t="e">
        <f>AND(Bills!T359,"AAAAAD++vww=")</f>
        <v>#VALUE!</v>
      </c>
      <c r="N104" t="e">
        <f>AND(Bills!#REF!,"AAAAAD++vw0=")</f>
        <v>#REF!</v>
      </c>
      <c r="O104" t="e">
        <f>AND(Bills!U359,"AAAAAD++vw4=")</f>
        <v>#VALUE!</v>
      </c>
      <c r="P104" t="e">
        <f>AND(Bills!V359,"AAAAAD++vw8=")</f>
        <v>#VALUE!</v>
      </c>
      <c r="Q104" t="e">
        <f>AND(Bills!W359,"AAAAAD++vxA=")</f>
        <v>#VALUE!</v>
      </c>
      <c r="R104" t="e">
        <f>AND(Bills!#REF!,"AAAAAD++vxE=")</f>
        <v>#REF!</v>
      </c>
      <c r="S104" t="e">
        <f>AND(Bills!#REF!,"AAAAAD++vxI=")</f>
        <v>#REF!</v>
      </c>
      <c r="T104" t="e">
        <f>AND(Bills!Y359,"AAAAAD++vxM=")</f>
        <v>#VALUE!</v>
      </c>
      <c r="U104" t="e">
        <f>AND(Bills!Z359,"AAAAAD++vxQ=")</f>
        <v>#VALUE!</v>
      </c>
      <c r="V104" t="e">
        <f>AND(Bills!#REF!,"AAAAAD++vxU=")</f>
        <v>#REF!</v>
      </c>
      <c r="W104" t="e">
        <f>AND(Bills!#REF!,"AAAAAD++vxY=")</f>
        <v>#REF!</v>
      </c>
      <c r="X104" t="e">
        <f>AND(Bills!#REF!,"AAAAAD++vxc=")</f>
        <v>#REF!</v>
      </c>
      <c r="Y104" t="e">
        <f>AND(Bills!#REF!,"AAAAAD++vxg=")</f>
        <v>#REF!</v>
      </c>
      <c r="Z104" t="e">
        <f>AND(Bills!#REF!,"AAAAAD++vxk=")</f>
        <v>#REF!</v>
      </c>
      <c r="AA104" t="e">
        <f>AND(Bills!#REF!,"AAAAAD++vxo=")</f>
        <v>#REF!</v>
      </c>
      <c r="AB104" t="e">
        <f>AND(Bills!#REF!,"AAAAAD++vxs=")</f>
        <v>#REF!</v>
      </c>
      <c r="AC104" t="e">
        <f>AND(Bills!#REF!,"AAAAAD++vxw=")</f>
        <v>#REF!</v>
      </c>
      <c r="AD104" t="e">
        <f>AND(Bills!#REF!,"AAAAAD++vx0=")</f>
        <v>#REF!</v>
      </c>
      <c r="AE104" t="e">
        <f>AND(Bills!AA359,"AAAAAD++vx4=")</f>
        <v>#VALUE!</v>
      </c>
      <c r="AF104" t="e">
        <f>AND(Bills!AB359,"AAAAAD++vx8=")</f>
        <v>#VALUE!</v>
      </c>
      <c r="AG104" t="e">
        <f>AND(Bills!#REF!,"AAAAAD++vyA=")</f>
        <v>#REF!</v>
      </c>
      <c r="AH104" t="e">
        <f>AND(Bills!#REF!,"AAAAAD++vyE=")</f>
        <v>#REF!</v>
      </c>
      <c r="AI104" t="e">
        <f>AND(Bills!#REF!,"AAAAAD++vyI=")</f>
        <v>#REF!</v>
      </c>
      <c r="AJ104" t="e">
        <f>AND(Bills!AC359,"AAAAAD++vyM=")</f>
        <v>#VALUE!</v>
      </c>
      <c r="AK104" t="e">
        <f>AND(Bills!AD359,"AAAAAD++vyQ=")</f>
        <v>#VALUE!</v>
      </c>
      <c r="AL104" t="e">
        <f>AND(Bills!AE359,"AAAAAD++vyU=")</f>
        <v>#VALUE!</v>
      </c>
      <c r="AM104">
        <f>IF(Bills!360:360,"AAAAAD++vyY=",0)</f>
        <v>0</v>
      </c>
      <c r="AN104" t="e">
        <f>AND(Bills!B360,"AAAAAD++vyc=")</f>
        <v>#VALUE!</v>
      </c>
      <c r="AO104" t="e">
        <f>AND(Bills!#REF!,"AAAAAD++vyg=")</f>
        <v>#REF!</v>
      </c>
      <c r="AP104" t="e">
        <f>AND(Bills!C360,"AAAAAD++vyk=")</f>
        <v>#VALUE!</v>
      </c>
      <c r="AQ104" t="e">
        <f>AND(Bills!D360,"AAAAAD++vyo=")</f>
        <v>#VALUE!</v>
      </c>
      <c r="AR104" t="e">
        <f>AND(Bills!E360,"AAAAAD++vys=")</f>
        <v>#VALUE!</v>
      </c>
      <c r="AS104" t="e">
        <f>AND(Bills!#REF!,"AAAAAD++vyw=")</f>
        <v>#REF!</v>
      </c>
      <c r="AT104" t="e">
        <f>AND(Bills!#REF!,"AAAAAD++vy0=")</f>
        <v>#REF!</v>
      </c>
      <c r="AU104" t="e">
        <f>AND(Bills!#REF!,"AAAAAD++vy4=")</f>
        <v>#REF!</v>
      </c>
      <c r="AV104" t="e">
        <f>AND(Bills!F360,"AAAAAD++vy8=")</f>
        <v>#VALUE!</v>
      </c>
      <c r="AW104" t="e">
        <f>AND(Bills!#REF!,"AAAAAD++vzA=")</f>
        <v>#REF!</v>
      </c>
      <c r="AX104" t="e">
        <f>AND(Bills!G360,"AAAAAD++vzE=")</f>
        <v>#VALUE!</v>
      </c>
      <c r="AY104" t="e">
        <f>AND(Bills!H360,"AAAAAD++vzI=")</f>
        <v>#VALUE!</v>
      </c>
      <c r="AZ104" t="e">
        <f>AND(Bills!I360,"AAAAAD++vzM=")</f>
        <v>#VALUE!</v>
      </c>
      <c r="BA104" t="e">
        <f>AND(Bills!J360,"AAAAAD++vzQ=")</f>
        <v>#VALUE!</v>
      </c>
      <c r="BB104" t="e">
        <f>AND(Bills!K360,"AAAAAD++vzU=")</f>
        <v>#VALUE!</v>
      </c>
      <c r="BC104" t="e">
        <f>AND(Bills!L360,"AAAAAD++vzY=")</f>
        <v>#VALUE!</v>
      </c>
      <c r="BD104" t="e">
        <f>AND(Bills!#REF!,"AAAAAD++vzc=")</f>
        <v>#REF!</v>
      </c>
      <c r="BE104" t="e">
        <f>AND(Bills!M360,"AAAAAD++vzg=")</f>
        <v>#VALUE!</v>
      </c>
      <c r="BF104" t="e">
        <f>AND(Bills!N360,"AAAAAD++vzk=")</f>
        <v>#VALUE!</v>
      </c>
      <c r="BG104" t="e">
        <f>AND(Bills!O360,"AAAAAD++vzo=")</f>
        <v>#VALUE!</v>
      </c>
      <c r="BH104" t="e">
        <f>AND(Bills!P360,"AAAAAD++vzs=")</f>
        <v>#VALUE!</v>
      </c>
      <c r="BI104" t="e">
        <f>AND(Bills!Q360,"AAAAAD++vzw=")</f>
        <v>#VALUE!</v>
      </c>
      <c r="BJ104" t="e">
        <f>AND(Bills!R360,"AAAAAD++vz0=")</f>
        <v>#VALUE!</v>
      </c>
      <c r="BK104" t="e">
        <f>AND(Bills!S360,"AAAAAD++vz4=")</f>
        <v>#VALUE!</v>
      </c>
      <c r="BL104" t="e">
        <f>AND(Bills!T360,"AAAAAD++vz8=")</f>
        <v>#VALUE!</v>
      </c>
      <c r="BM104" t="e">
        <f>AND(Bills!#REF!,"AAAAAD++v0A=")</f>
        <v>#REF!</v>
      </c>
      <c r="BN104" t="e">
        <f>AND(Bills!U360,"AAAAAD++v0E=")</f>
        <v>#VALUE!</v>
      </c>
      <c r="BO104" t="e">
        <f>AND(Bills!V360,"AAAAAD++v0I=")</f>
        <v>#VALUE!</v>
      </c>
      <c r="BP104" t="e">
        <f>AND(Bills!W360,"AAAAAD++v0M=")</f>
        <v>#VALUE!</v>
      </c>
      <c r="BQ104" t="e">
        <f>AND(Bills!#REF!,"AAAAAD++v0Q=")</f>
        <v>#REF!</v>
      </c>
      <c r="BR104" t="e">
        <f>AND(Bills!#REF!,"AAAAAD++v0U=")</f>
        <v>#REF!</v>
      </c>
      <c r="BS104" t="e">
        <f>AND(Bills!Y360,"AAAAAD++v0Y=")</f>
        <v>#VALUE!</v>
      </c>
      <c r="BT104" t="e">
        <f>AND(Bills!Z360,"AAAAAD++v0c=")</f>
        <v>#VALUE!</v>
      </c>
      <c r="BU104" t="e">
        <f>AND(Bills!#REF!,"AAAAAD++v0g=")</f>
        <v>#REF!</v>
      </c>
      <c r="BV104" t="e">
        <f>AND(Bills!#REF!,"AAAAAD++v0k=")</f>
        <v>#REF!</v>
      </c>
      <c r="BW104" t="e">
        <f>AND(Bills!#REF!,"AAAAAD++v0o=")</f>
        <v>#REF!</v>
      </c>
      <c r="BX104" t="e">
        <f>AND(Bills!#REF!,"AAAAAD++v0s=")</f>
        <v>#REF!</v>
      </c>
      <c r="BY104" t="e">
        <f>AND(Bills!#REF!,"AAAAAD++v0w=")</f>
        <v>#REF!</v>
      </c>
      <c r="BZ104" t="e">
        <f>AND(Bills!#REF!,"AAAAAD++v00=")</f>
        <v>#REF!</v>
      </c>
      <c r="CA104" t="e">
        <f>AND(Bills!#REF!,"AAAAAD++v04=")</f>
        <v>#REF!</v>
      </c>
      <c r="CB104" t="e">
        <f>AND(Bills!#REF!,"AAAAAD++v08=")</f>
        <v>#REF!</v>
      </c>
      <c r="CC104" t="e">
        <f>AND(Bills!#REF!,"AAAAAD++v1A=")</f>
        <v>#REF!</v>
      </c>
      <c r="CD104" t="e">
        <f>AND(Bills!AA360,"AAAAAD++v1E=")</f>
        <v>#VALUE!</v>
      </c>
      <c r="CE104" t="e">
        <f>AND(Bills!AB360,"AAAAAD++v1I=")</f>
        <v>#VALUE!</v>
      </c>
      <c r="CF104" t="e">
        <f>AND(Bills!#REF!,"AAAAAD++v1M=")</f>
        <v>#REF!</v>
      </c>
      <c r="CG104" t="e">
        <f>AND(Bills!#REF!,"AAAAAD++v1Q=")</f>
        <v>#REF!</v>
      </c>
      <c r="CH104" t="e">
        <f>AND(Bills!#REF!,"AAAAAD++v1U=")</f>
        <v>#REF!</v>
      </c>
      <c r="CI104" t="e">
        <f>AND(Bills!AC360,"AAAAAD++v1Y=")</f>
        <v>#VALUE!</v>
      </c>
      <c r="CJ104" t="e">
        <f>AND(Bills!AD360,"AAAAAD++v1c=")</f>
        <v>#VALUE!</v>
      </c>
      <c r="CK104" t="e">
        <f>AND(Bills!AE360,"AAAAAD++v1g=")</f>
        <v>#VALUE!</v>
      </c>
      <c r="CL104">
        <f>IF(Bills!361:361,"AAAAAD++v1k=",0)</f>
        <v>0</v>
      </c>
      <c r="CM104" t="e">
        <f>AND(Bills!B361,"AAAAAD++v1o=")</f>
        <v>#VALUE!</v>
      </c>
      <c r="CN104" t="e">
        <f>AND(Bills!#REF!,"AAAAAD++v1s=")</f>
        <v>#REF!</v>
      </c>
      <c r="CO104" t="e">
        <f>AND(Bills!C361,"AAAAAD++v1w=")</f>
        <v>#VALUE!</v>
      </c>
      <c r="CP104" t="e">
        <f>AND(Bills!D361,"AAAAAD++v10=")</f>
        <v>#VALUE!</v>
      </c>
      <c r="CQ104" t="e">
        <f>AND(Bills!E361,"AAAAAD++v14=")</f>
        <v>#VALUE!</v>
      </c>
      <c r="CR104" t="e">
        <f>AND(Bills!#REF!,"AAAAAD++v18=")</f>
        <v>#REF!</v>
      </c>
      <c r="CS104" t="e">
        <f>AND(Bills!#REF!,"AAAAAD++v2A=")</f>
        <v>#REF!</v>
      </c>
      <c r="CT104" t="e">
        <f>AND(Bills!#REF!,"AAAAAD++v2E=")</f>
        <v>#REF!</v>
      </c>
      <c r="CU104" t="e">
        <f>AND(Bills!F361,"AAAAAD++v2I=")</f>
        <v>#VALUE!</v>
      </c>
      <c r="CV104" t="e">
        <f>AND(Bills!#REF!,"AAAAAD++v2M=")</f>
        <v>#REF!</v>
      </c>
      <c r="CW104" t="e">
        <f>AND(Bills!G361,"AAAAAD++v2Q=")</f>
        <v>#VALUE!</v>
      </c>
      <c r="CX104" t="e">
        <f>AND(Bills!H361,"AAAAAD++v2U=")</f>
        <v>#VALUE!</v>
      </c>
      <c r="CY104" t="e">
        <f>AND(Bills!I361,"AAAAAD++v2Y=")</f>
        <v>#VALUE!</v>
      </c>
      <c r="CZ104" t="e">
        <f>AND(Bills!J361,"AAAAAD++v2c=")</f>
        <v>#VALUE!</v>
      </c>
      <c r="DA104" t="e">
        <f>AND(Bills!K361,"AAAAAD++v2g=")</f>
        <v>#VALUE!</v>
      </c>
      <c r="DB104" t="e">
        <f>AND(Bills!L361,"AAAAAD++v2k=")</f>
        <v>#VALUE!</v>
      </c>
      <c r="DC104" t="e">
        <f>AND(Bills!#REF!,"AAAAAD++v2o=")</f>
        <v>#REF!</v>
      </c>
      <c r="DD104" t="e">
        <f>AND(Bills!M361,"AAAAAD++v2s=")</f>
        <v>#VALUE!</v>
      </c>
      <c r="DE104" t="e">
        <f>AND(Bills!N361,"AAAAAD++v2w=")</f>
        <v>#VALUE!</v>
      </c>
      <c r="DF104" t="e">
        <f>AND(Bills!O361,"AAAAAD++v20=")</f>
        <v>#VALUE!</v>
      </c>
      <c r="DG104" t="e">
        <f>AND(Bills!P361,"AAAAAD++v24=")</f>
        <v>#VALUE!</v>
      </c>
      <c r="DH104" t="e">
        <f>AND(Bills!Q361,"AAAAAD++v28=")</f>
        <v>#VALUE!</v>
      </c>
      <c r="DI104" t="e">
        <f>AND(Bills!R361,"AAAAAD++v3A=")</f>
        <v>#VALUE!</v>
      </c>
      <c r="DJ104" t="e">
        <f>AND(Bills!S361,"AAAAAD++v3E=")</f>
        <v>#VALUE!</v>
      </c>
      <c r="DK104" t="e">
        <f>AND(Bills!T361,"AAAAAD++v3I=")</f>
        <v>#VALUE!</v>
      </c>
      <c r="DL104" t="e">
        <f>AND(Bills!#REF!,"AAAAAD++v3M=")</f>
        <v>#REF!</v>
      </c>
      <c r="DM104" t="e">
        <f>AND(Bills!U361,"AAAAAD++v3Q=")</f>
        <v>#VALUE!</v>
      </c>
      <c r="DN104" t="e">
        <f>AND(Bills!V361,"AAAAAD++v3U=")</f>
        <v>#VALUE!</v>
      </c>
      <c r="DO104" t="e">
        <f>AND(Bills!W361,"AAAAAD++v3Y=")</f>
        <v>#VALUE!</v>
      </c>
      <c r="DP104" t="e">
        <f>AND(Bills!#REF!,"AAAAAD++v3c=")</f>
        <v>#REF!</v>
      </c>
      <c r="DQ104" t="e">
        <f>AND(Bills!#REF!,"AAAAAD++v3g=")</f>
        <v>#REF!</v>
      </c>
      <c r="DR104" t="e">
        <f>AND(Bills!Y361,"AAAAAD++v3k=")</f>
        <v>#VALUE!</v>
      </c>
      <c r="DS104" t="e">
        <f>AND(Bills!Z361,"AAAAAD++v3o=")</f>
        <v>#VALUE!</v>
      </c>
      <c r="DT104" t="e">
        <f>AND(Bills!#REF!,"AAAAAD++v3s=")</f>
        <v>#REF!</v>
      </c>
      <c r="DU104" t="e">
        <f>AND(Bills!#REF!,"AAAAAD++v3w=")</f>
        <v>#REF!</v>
      </c>
      <c r="DV104" t="e">
        <f>AND(Bills!#REF!,"AAAAAD++v30=")</f>
        <v>#REF!</v>
      </c>
      <c r="DW104" t="e">
        <f>AND(Bills!#REF!,"AAAAAD++v34=")</f>
        <v>#REF!</v>
      </c>
      <c r="DX104" t="e">
        <f>AND(Bills!#REF!,"AAAAAD++v38=")</f>
        <v>#REF!</v>
      </c>
      <c r="DY104" t="e">
        <f>AND(Bills!#REF!,"AAAAAD++v4A=")</f>
        <v>#REF!</v>
      </c>
      <c r="DZ104" t="e">
        <f>AND(Bills!#REF!,"AAAAAD++v4E=")</f>
        <v>#REF!</v>
      </c>
      <c r="EA104" t="e">
        <f>AND(Bills!#REF!,"AAAAAD++v4I=")</f>
        <v>#REF!</v>
      </c>
      <c r="EB104" t="e">
        <f>AND(Bills!#REF!,"AAAAAD++v4M=")</f>
        <v>#REF!</v>
      </c>
      <c r="EC104" t="e">
        <f>AND(Bills!AA361,"AAAAAD++v4Q=")</f>
        <v>#VALUE!</v>
      </c>
      <c r="ED104" t="e">
        <f>AND(Bills!AB361,"AAAAAD++v4U=")</f>
        <v>#VALUE!</v>
      </c>
      <c r="EE104" t="e">
        <f>AND(Bills!#REF!,"AAAAAD++v4Y=")</f>
        <v>#REF!</v>
      </c>
      <c r="EF104" t="e">
        <f>AND(Bills!#REF!,"AAAAAD++v4c=")</f>
        <v>#REF!</v>
      </c>
      <c r="EG104" t="e">
        <f>AND(Bills!#REF!,"AAAAAD++v4g=")</f>
        <v>#REF!</v>
      </c>
      <c r="EH104" t="e">
        <f>AND(Bills!AC361,"AAAAAD++v4k=")</f>
        <v>#VALUE!</v>
      </c>
      <c r="EI104" t="e">
        <f>AND(Bills!AD361,"AAAAAD++v4o=")</f>
        <v>#VALUE!</v>
      </c>
      <c r="EJ104" t="e">
        <f>AND(Bills!AE361,"AAAAAD++v4s=")</f>
        <v>#VALUE!</v>
      </c>
      <c r="EK104">
        <f>IF(Bills!362:362,"AAAAAD++v4w=",0)</f>
        <v>0</v>
      </c>
      <c r="EL104" t="e">
        <f>AND(Bills!B362,"AAAAAD++v40=")</f>
        <v>#VALUE!</v>
      </c>
      <c r="EM104" t="e">
        <f>AND(Bills!#REF!,"AAAAAD++v44=")</f>
        <v>#REF!</v>
      </c>
      <c r="EN104" t="e">
        <f>AND(Bills!C362,"AAAAAD++v48=")</f>
        <v>#VALUE!</v>
      </c>
      <c r="EO104" t="e">
        <f>AND(Bills!D362,"AAAAAD++v5A=")</f>
        <v>#VALUE!</v>
      </c>
      <c r="EP104" t="e">
        <f>AND(Bills!E362,"AAAAAD++v5E=")</f>
        <v>#VALUE!</v>
      </c>
      <c r="EQ104" t="e">
        <f>AND(Bills!#REF!,"AAAAAD++v5I=")</f>
        <v>#REF!</v>
      </c>
      <c r="ER104" t="e">
        <f>AND(Bills!#REF!,"AAAAAD++v5M=")</f>
        <v>#REF!</v>
      </c>
      <c r="ES104" t="e">
        <f>AND(Bills!#REF!,"AAAAAD++v5Q=")</f>
        <v>#REF!</v>
      </c>
      <c r="ET104" t="e">
        <f>AND(Bills!F362,"AAAAAD++v5U=")</f>
        <v>#VALUE!</v>
      </c>
      <c r="EU104" t="e">
        <f>AND(Bills!#REF!,"AAAAAD++v5Y=")</f>
        <v>#REF!</v>
      </c>
      <c r="EV104" t="e">
        <f>AND(Bills!G362,"AAAAAD++v5c=")</f>
        <v>#VALUE!</v>
      </c>
      <c r="EW104" t="e">
        <f>AND(Bills!H362,"AAAAAD++v5g=")</f>
        <v>#VALUE!</v>
      </c>
      <c r="EX104" t="e">
        <f>AND(Bills!I362,"AAAAAD++v5k=")</f>
        <v>#VALUE!</v>
      </c>
      <c r="EY104" t="e">
        <f>AND(Bills!J362,"AAAAAD++v5o=")</f>
        <v>#VALUE!</v>
      </c>
      <c r="EZ104" t="e">
        <f>AND(Bills!K362,"AAAAAD++v5s=")</f>
        <v>#VALUE!</v>
      </c>
      <c r="FA104" t="e">
        <f>AND(Bills!L362,"AAAAAD++v5w=")</f>
        <v>#VALUE!</v>
      </c>
      <c r="FB104" t="e">
        <f>AND(Bills!#REF!,"AAAAAD++v50=")</f>
        <v>#REF!</v>
      </c>
      <c r="FC104" t="e">
        <f>AND(Bills!M362,"AAAAAD++v54=")</f>
        <v>#VALUE!</v>
      </c>
      <c r="FD104" t="e">
        <f>AND(Bills!N362,"AAAAAD++v58=")</f>
        <v>#VALUE!</v>
      </c>
      <c r="FE104" t="e">
        <f>AND(Bills!O362,"AAAAAD++v6A=")</f>
        <v>#VALUE!</v>
      </c>
      <c r="FF104" t="e">
        <f>AND(Bills!P362,"AAAAAD++v6E=")</f>
        <v>#VALUE!</v>
      </c>
      <c r="FG104" t="e">
        <f>AND(Bills!Q362,"AAAAAD++v6I=")</f>
        <v>#VALUE!</v>
      </c>
      <c r="FH104" t="e">
        <f>AND(Bills!R362,"AAAAAD++v6M=")</f>
        <v>#VALUE!</v>
      </c>
      <c r="FI104" t="e">
        <f>AND(Bills!S362,"AAAAAD++v6Q=")</f>
        <v>#VALUE!</v>
      </c>
      <c r="FJ104" t="e">
        <f>AND(Bills!T362,"AAAAAD++v6U=")</f>
        <v>#VALUE!</v>
      </c>
      <c r="FK104" t="e">
        <f>AND(Bills!#REF!,"AAAAAD++v6Y=")</f>
        <v>#REF!</v>
      </c>
      <c r="FL104" t="e">
        <f>AND(Bills!U362,"AAAAAD++v6c=")</f>
        <v>#VALUE!</v>
      </c>
      <c r="FM104" t="e">
        <f>AND(Bills!V362,"AAAAAD++v6g=")</f>
        <v>#VALUE!</v>
      </c>
      <c r="FN104" t="e">
        <f>AND(Bills!W362,"AAAAAD++v6k=")</f>
        <v>#VALUE!</v>
      </c>
      <c r="FO104" t="e">
        <f>AND(Bills!#REF!,"AAAAAD++v6o=")</f>
        <v>#REF!</v>
      </c>
      <c r="FP104" t="e">
        <f>AND(Bills!#REF!,"AAAAAD++v6s=")</f>
        <v>#REF!</v>
      </c>
      <c r="FQ104" t="e">
        <f>AND(Bills!Y362,"AAAAAD++v6w=")</f>
        <v>#VALUE!</v>
      </c>
      <c r="FR104" t="e">
        <f>AND(Bills!Z362,"AAAAAD++v60=")</f>
        <v>#VALUE!</v>
      </c>
      <c r="FS104" t="e">
        <f>AND(Bills!#REF!,"AAAAAD++v64=")</f>
        <v>#REF!</v>
      </c>
      <c r="FT104" t="e">
        <f>AND(Bills!#REF!,"AAAAAD++v68=")</f>
        <v>#REF!</v>
      </c>
      <c r="FU104" t="e">
        <f>AND(Bills!#REF!,"AAAAAD++v7A=")</f>
        <v>#REF!</v>
      </c>
      <c r="FV104" t="e">
        <f>AND(Bills!#REF!,"AAAAAD++v7E=")</f>
        <v>#REF!</v>
      </c>
      <c r="FW104" t="e">
        <f>AND(Bills!#REF!,"AAAAAD++v7I=")</f>
        <v>#REF!</v>
      </c>
      <c r="FX104" t="e">
        <f>AND(Bills!#REF!,"AAAAAD++v7M=")</f>
        <v>#REF!</v>
      </c>
      <c r="FY104" t="e">
        <f>AND(Bills!#REF!,"AAAAAD++v7Q=")</f>
        <v>#REF!</v>
      </c>
      <c r="FZ104" t="e">
        <f>AND(Bills!#REF!,"AAAAAD++v7U=")</f>
        <v>#REF!</v>
      </c>
      <c r="GA104" t="e">
        <f>AND(Bills!#REF!,"AAAAAD++v7Y=")</f>
        <v>#REF!</v>
      </c>
      <c r="GB104" t="e">
        <f>AND(Bills!AA362,"AAAAAD++v7c=")</f>
        <v>#VALUE!</v>
      </c>
      <c r="GC104" t="e">
        <f>AND(Bills!AB362,"AAAAAD++v7g=")</f>
        <v>#VALUE!</v>
      </c>
      <c r="GD104" t="e">
        <f>AND(Bills!#REF!,"AAAAAD++v7k=")</f>
        <v>#REF!</v>
      </c>
      <c r="GE104" t="e">
        <f>AND(Bills!#REF!,"AAAAAD++v7o=")</f>
        <v>#REF!</v>
      </c>
      <c r="GF104" t="e">
        <f>AND(Bills!#REF!,"AAAAAD++v7s=")</f>
        <v>#REF!</v>
      </c>
      <c r="GG104" t="e">
        <f>AND(Bills!AC362,"AAAAAD++v7w=")</f>
        <v>#VALUE!</v>
      </c>
      <c r="GH104" t="e">
        <f>AND(Bills!AD362,"AAAAAD++v70=")</f>
        <v>#VALUE!</v>
      </c>
      <c r="GI104" t="e">
        <f>AND(Bills!AE362,"AAAAAD++v74=")</f>
        <v>#VALUE!</v>
      </c>
      <c r="GJ104">
        <f>IF(Bills!363:363,"AAAAAD++v78=",0)</f>
        <v>0</v>
      </c>
      <c r="GK104" t="e">
        <f>AND(Bills!B363,"AAAAAD++v8A=")</f>
        <v>#VALUE!</v>
      </c>
      <c r="GL104" t="e">
        <f>AND(Bills!#REF!,"AAAAAD++v8E=")</f>
        <v>#REF!</v>
      </c>
      <c r="GM104" t="e">
        <f>AND(Bills!C363,"AAAAAD++v8I=")</f>
        <v>#VALUE!</v>
      </c>
      <c r="GN104" t="e">
        <f>AND(Bills!D363,"AAAAAD++v8M=")</f>
        <v>#VALUE!</v>
      </c>
      <c r="GO104" t="e">
        <f>AND(Bills!E363,"AAAAAD++v8Q=")</f>
        <v>#VALUE!</v>
      </c>
      <c r="GP104" t="e">
        <f>AND(Bills!#REF!,"AAAAAD++v8U=")</f>
        <v>#REF!</v>
      </c>
      <c r="GQ104" t="e">
        <f>AND(Bills!#REF!,"AAAAAD++v8Y=")</f>
        <v>#REF!</v>
      </c>
      <c r="GR104" t="e">
        <f>AND(Bills!#REF!,"AAAAAD++v8c=")</f>
        <v>#REF!</v>
      </c>
      <c r="GS104" t="e">
        <f>AND(Bills!F363,"AAAAAD++v8g=")</f>
        <v>#VALUE!</v>
      </c>
      <c r="GT104" t="e">
        <f>AND(Bills!#REF!,"AAAAAD++v8k=")</f>
        <v>#REF!</v>
      </c>
      <c r="GU104" t="e">
        <f>AND(Bills!G363,"AAAAAD++v8o=")</f>
        <v>#VALUE!</v>
      </c>
      <c r="GV104" t="e">
        <f>AND(Bills!H363,"AAAAAD++v8s=")</f>
        <v>#VALUE!</v>
      </c>
      <c r="GW104" t="e">
        <f>AND(Bills!I363,"AAAAAD++v8w=")</f>
        <v>#VALUE!</v>
      </c>
      <c r="GX104" t="e">
        <f>AND(Bills!J363,"AAAAAD++v80=")</f>
        <v>#VALUE!</v>
      </c>
      <c r="GY104" t="e">
        <f>AND(Bills!K363,"AAAAAD++v84=")</f>
        <v>#VALUE!</v>
      </c>
      <c r="GZ104" t="e">
        <f>AND(Bills!L363,"AAAAAD++v88=")</f>
        <v>#VALUE!</v>
      </c>
      <c r="HA104" t="e">
        <f>AND(Bills!#REF!,"AAAAAD++v9A=")</f>
        <v>#REF!</v>
      </c>
      <c r="HB104" t="e">
        <f>AND(Bills!M363,"AAAAAD++v9E=")</f>
        <v>#VALUE!</v>
      </c>
      <c r="HC104" t="e">
        <f>AND(Bills!N363,"AAAAAD++v9I=")</f>
        <v>#VALUE!</v>
      </c>
      <c r="HD104" t="e">
        <f>AND(Bills!O363,"AAAAAD++v9M=")</f>
        <v>#VALUE!</v>
      </c>
      <c r="HE104" t="e">
        <f>AND(Bills!P363,"AAAAAD++v9Q=")</f>
        <v>#VALUE!</v>
      </c>
      <c r="HF104" t="e">
        <f>AND(Bills!Q363,"AAAAAD++v9U=")</f>
        <v>#VALUE!</v>
      </c>
      <c r="HG104" t="e">
        <f>AND(Bills!R363,"AAAAAD++v9Y=")</f>
        <v>#VALUE!</v>
      </c>
      <c r="HH104" t="e">
        <f>AND(Bills!S363,"AAAAAD++v9c=")</f>
        <v>#VALUE!</v>
      </c>
      <c r="HI104" t="e">
        <f>AND(Bills!T363,"AAAAAD++v9g=")</f>
        <v>#VALUE!</v>
      </c>
      <c r="HJ104" t="e">
        <f>AND(Bills!#REF!,"AAAAAD++v9k=")</f>
        <v>#REF!</v>
      </c>
      <c r="HK104" t="e">
        <f>AND(Bills!U363,"AAAAAD++v9o=")</f>
        <v>#VALUE!</v>
      </c>
      <c r="HL104" t="e">
        <f>AND(Bills!V363,"AAAAAD++v9s=")</f>
        <v>#VALUE!</v>
      </c>
      <c r="HM104" t="e">
        <f>AND(Bills!W363,"AAAAAD++v9w=")</f>
        <v>#VALUE!</v>
      </c>
      <c r="HN104" t="e">
        <f>AND(Bills!#REF!,"AAAAAD++v90=")</f>
        <v>#REF!</v>
      </c>
      <c r="HO104" t="e">
        <f>AND(Bills!#REF!,"AAAAAD++v94=")</f>
        <v>#REF!</v>
      </c>
      <c r="HP104" t="e">
        <f>AND(Bills!Y363,"AAAAAD++v98=")</f>
        <v>#VALUE!</v>
      </c>
      <c r="HQ104" t="e">
        <f>AND(Bills!Z363,"AAAAAD++v+A=")</f>
        <v>#VALUE!</v>
      </c>
      <c r="HR104" t="e">
        <f>AND(Bills!#REF!,"AAAAAD++v+E=")</f>
        <v>#REF!</v>
      </c>
      <c r="HS104" t="e">
        <f>AND(Bills!#REF!,"AAAAAD++v+I=")</f>
        <v>#REF!</v>
      </c>
      <c r="HT104" t="e">
        <f>AND(Bills!#REF!,"AAAAAD++v+M=")</f>
        <v>#REF!</v>
      </c>
      <c r="HU104" t="e">
        <f>AND(Bills!#REF!,"AAAAAD++v+Q=")</f>
        <v>#REF!</v>
      </c>
      <c r="HV104" t="e">
        <f>AND(Bills!#REF!,"AAAAAD++v+U=")</f>
        <v>#REF!</v>
      </c>
      <c r="HW104" t="e">
        <f>AND(Bills!#REF!,"AAAAAD++v+Y=")</f>
        <v>#REF!</v>
      </c>
      <c r="HX104" t="e">
        <f>AND(Bills!#REF!,"AAAAAD++v+c=")</f>
        <v>#REF!</v>
      </c>
      <c r="HY104" t="e">
        <f>AND(Bills!#REF!,"AAAAAD++v+g=")</f>
        <v>#REF!</v>
      </c>
      <c r="HZ104" t="e">
        <f>AND(Bills!#REF!,"AAAAAD++v+k=")</f>
        <v>#REF!</v>
      </c>
      <c r="IA104" t="e">
        <f>AND(Bills!AA363,"AAAAAD++v+o=")</f>
        <v>#VALUE!</v>
      </c>
      <c r="IB104" t="e">
        <f>AND(Bills!AB363,"AAAAAD++v+s=")</f>
        <v>#VALUE!</v>
      </c>
      <c r="IC104" t="e">
        <f>AND(Bills!#REF!,"AAAAAD++v+w=")</f>
        <v>#REF!</v>
      </c>
      <c r="ID104" t="e">
        <f>AND(Bills!#REF!,"AAAAAD++v+0=")</f>
        <v>#REF!</v>
      </c>
      <c r="IE104" t="e">
        <f>AND(Bills!#REF!,"AAAAAD++v+4=")</f>
        <v>#REF!</v>
      </c>
      <c r="IF104" t="e">
        <f>AND(Bills!AC363,"AAAAAD++v+8=")</f>
        <v>#VALUE!</v>
      </c>
      <c r="IG104" t="e">
        <f>AND(Bills!AD363,"AAAAAD++v/A=")</f>
        <v>#VALUE!</v>
      </c>
      <c r="IH104" t="e">
        <f>AND(Bills!AE363,"AAAAAD++v/E=")</f>
        <v>#VALUE!</v>
      </c>
      <c r="II104">
        <f>IF(Bills!364:364,"AAAAAD++v/I=",0)</f>
        <v>0</v>
      </c>
      <c r="IJ104" t="e">
        <f>AND(Bills!B364,"AAAAAD++v/M=")</f>
        <v>#VALUE!</v>
      </c>
      <c r="IK104" t="e">
        <f>AND(Bills!#REF!,"AAAAAD++v/Q=")</f>
        <v>#REF!</v>
      </c>
      <c r="IL104" t="e">
        <f>AND(Bills!C364,"AAAAAD++v/U=")</f>
        <v>#VALUE!</v>
      </c>
      <c r="IM104" t="e">
        <f>AND(Bills!D364,"AAAAAD++v/Y=")</f>
        <v>#VALUE!</v>
      </c>
      <c r="IN104" t="e">
        <f>AND(Bills!E364,"AAAAAD++v/c=")</f>
        <v>#VALUE!</v>
      </c>
      <c r="IO104" t="e">
        <f>AND(Bills!#REF!,"AAAAAD++v/g=")</f>
        <v>#REF!</v>
      </c>
      <c r="IP104" t="e">
        <f>AND(Bills!#REF!,"AAAAAD++v/k=")</f>
        <v>#REF!</v>
      </c>
      <c r="IQ104" t="e">
        <f>AND(Bills!#REF!,"AAAAAD++v/o=")</f>
        <v>#REF!</v>
      </c>
      <c r="IR104" t="e">
        <f>AND(Bills!F364,"AAAAAD++v/s=")</f>
        <v>#VALUE!</v>
      </c>
      <c r="IS104" t="e">
        <f>AND(Bills!#REF!,"AAAAAD++v/w=")</f>
        <v>#REF!</v>
      </c>
      <c r="IT104" t="e">
        <f>AND(Bills!G364,"AAAAAD++v/0=")</f>
        <v>#VALUE!</v>
      </c>
      <c r="IU104" t="e">
        <f>AND(Bills!H364,"AAAAAD++v/4=")</f>
        <v>#VALUE!</v>
      </c>
      <c r="IV104" t="e">
        <f>AND(Bills!I364,"AAAAAD++v/8=")</f>
        <v>#VALUE!</v>
      </c>
    </row>
    <row r="105" spans="1:256" x14ac:dyDescent="0.25">
      <c r="A105" t="e">
        <f>AND(Bills!J364,"AAAAAHv/+QA=")</f>
        <v>#VALUE!</v>
      </c>
      <c r="B105" t="e">
        <f>AND(Bills!K364,"AAAAAHv/+QE=")</f>
        <v>#VALUE!</v>
      </c>
      <c r="C105" t="e">
        <f>AND(Bills!L364,"AAAAAHv/+QI=")</f>
        <v>#VALUE!</v>
      </c>
      <c r="D105" t="e">
        <f>AND(Bills!#REF!,"AAAAAHv/+QM=")</f>
        <v>#REF!</v>
      </c>
      <c r="E105" t="e">
        <f>AND(Bills!M364,"AAAAAHv/+QQ=")</f>
        <v>#VALUE!</v>
      </c>
      <c r="F105" t="e">
        <f>AND(Bills!N364,"AAAAAHv/+QU=")</f>
        <v>#VALUE!</v>
      </c>
      <c r="G105" t="e">
        <f>AND(Bills!O364,"AAAAAHv/+QY=")</f>
        <v>#VALUE!</v>
      </c>
      <c r="H105" t="e">
        <f>AND(Bills!P364,"AAAAAHv/+Qc=")</f>
        <v>#VALUE!</v>
      </c>
      <c r="I105" t="e">
        <f>AND(Bills!Q364,"AAAAAHv/+Qg=")</f>
        <v>#VALUE!</v>
      </c>
      <c r="J105" t="e">
        <f>AND(Bills!R364,"AAAAAHv/+Qk=")</f>
        <v>#VALUE!</v>
      </c>
      <c r="K105" t="e">
        <f>AND(Bills!S364,"AAAAAHv/+Qo=")</f>
        <v>#VALUE!</v>
      </c>
      <c r="L105" t="e">
        <f>AND(Bills!T364,"AAAAAHv/+Qs=")</f>
        <v>#VALUE!</v>
      </c>
      <c r="M105" t="e">
        <f>AND(Bills!#REF!,"AAAAAHv/+Qw=")</f>
        <v>#REF!</v>
      </c>
      <c r="N105" t="e">
        <f>AND(Bills!U364,"AAAAAHv/+Q0=")</f>
        <v>#VALUE!</v>
      </c>
      <c r="O105" t="e">
        <f>AND(Bills!V364,"AAAAAHv/+Q4=")</f>
        <v>#VALUE!</v>
      </c>
      <c r="P105" t="e">
        <f>AND(Bills!W364,"AAAAAHv/+Q8=")</f>
        <v>#VALUE!</v>
      </c>
      <c r="Q105" t="e">
        <f>AND(Bills!#REF!,"AAAAAHv/+RA=")</f>
        <v>#REF!</v>
      </c>
      <c r="R105" t="e">
        <f>AND(Bills!#REF!,"AAAAAHv/+RE=")</f>
        <v>#REF!</v>
      </c>
      <c r="S105" t="e">
        <f>AND(Bills!Y364,"AAAAAHv/+RI=")</f>
        <v>#VALUE!</v>
      </c>
      <c r="T105" t="e">
        <f>AND(Bills!Z364,"AAAAAHv/+RM=")</f>
        <v>#VALUE!</v>
      </c>
      <c r="U105" t="e">
        <f>AND(Bills!#REF!,"AAAAAHv/+RQ=")</f>
        <v>#REF!</v>
      </c>
      <c r="V105" t="e">
        <f>AND(Bills!#REF!,"AAAAAHv/+RU=")</f>
        <v>#REF!</v>
      </c>
      <c r="W105" t="e">
        <f>AND(Bills!#REF!,"AAAAAHv/+RY=")</f>
        <v>#REF!</v>
      </c>
      <c r="X105" t="e">
        <f>AND(Bills!#REF!,"AAAAAHv/+Rc=")</f>
        <v>#REF!</v>
      </c>
      <c r="Y105" t="e">
        <f>AND(Bills!#REF!,"AAAAAHv/+Rg=")</f>
        <v>#REF!</v>
      </c>
      <c r="Z105" t="e">
        <f>AND(Bills!#REF!,"AAAAAHv/+Rk=")</f>
        <v>#REF!</v>
      </c>
      <c r="AA105" t="e">
        <f>AND(Bills!#REF!,"AAAAAHv/+Ro=")</f>
        <v>#REF!</v>
      </c>
      <c r="AB105" t="e">
        <f>AND(Bills!#REF!,"AAAAAHv/+Rs=")</f>
        <v>#REF!</v>
      </c>
      <c r="AC105" t="e">
        <f>AND(Bills!#REF!,"AAAAAHv/+Rw=")</f>
        <v>#REF!</v>
      </c>
      <c r="AD105" t="e">
        <f>AND(Bills!AA364,"AAAAAHv/+R0=")</f>
        <v>#VALUE!</v>
      </c>
      <c r="AE105" t="e">
        <f>AND(Bills!AB364,"AAAAAHv/+R4=")</f>
        <v>#VALUE!</v>
      </c>
      <c r="AF105" t="e">
        <f>AND(Bills!#REF!,"AAAAAHv/+R8=")</f>
        <v>#REF!</v>
      </c>
      <c r="AG105" t="e">
        <f>AND(Bills!#REF!,"AAAAAHv/+SA=")</f>
        <v>#REF!</v>
      </c>
      <c r="AH105" t="e">
        <f>AND(Bills!#REF!,"AAAAAHv/+SE=")</f>
        <v>#REF!</v>
      </c>
      <c r="AI105" t="e">
        <f>AND(Bills!AC364,"AAAAAHv/+SI=")</f>
        <v>#VALUE!</v>
      </c>
      <c r="AJ105" t="e">
        <f>AND(Bills!AD364,"AAAAAHv/+SM=")</f>
        <v>#VALUE!</v>
      </c>
      <c r="AK105" t="e">
        <f>AND(Bills!AE364,"AAAAAHv/+SQ=")</f>
        <v>#VALUE!</v>
      </c>
      <c r="AL105">
        <f>IF(Bills!365:365,"AAAAAHv/+SU=",0)</f>
        <v>0</v>
      </c>
      <c r="AM105" t="e">
        <f>AND(Bills!B365,"AAAAAHv/+SY=")</f>
        <v>#VALUE!</v>
      </c>
      <c r="AN105" t="e">
        <f>AND(Bills!#REF!,"AAAAAHv/+Sc=")</f>
        <v>#REF!</v>
      </c>
      <c r="AO105" t="e">
        <f>AND(Bills!C365,"AAAAAHv/+Sg=")</f>
        <v>#VALUE!</v>
      </c>
      <c r="AP105" t="e">
        <f>AND(Bills!D365,"AAAAAHv/+Sk=")</f>
        <v>#VALUE!</v>
      </c>
      <c r="AQ105" t="e">
        <f>AND(Bills!E365,"AAAAAHv/+So=")</f>
        <v>#VALUE!</v>
      </c>
      <c r="AR105" t="e">
        <f>AND(Bills!#REF!,"AAAAAHv/+Ss=")</f>
        <v>#REF!</v>
      </c>
      <c r="AS105" t="e">
        <f>AND(Bills!#REF!,"AAAAAHv/+Sw=")</f>
        <v>#REF!</v>
      </c>
      <c r="AT105" t="e">
        <f>AND(Bills!#REF!,"AAAAAHv/+S0=")</f>
        <v>#REF!</v>
      </c>
      <c r="AU105" t="e">
        <f>AND(Bills!F365,"AAAAAHv/+S4=")</f>
        <v>#VALUE!</v>
      </c>
      <c r="AV105" t="e">
        <f>AND(Bills!#REF!,"AAAAAHv/+S8=")</f>
        <v>#REF!</v>
      </c>
      <c r="AW105" t="e">
        <f>AND(Bills!G365,"AAAAAHv/+TA=")</f>
        <v>#VALUE!</v>
      </c>
      <c r="AX105" t="e">
        <f>AND(Bills!H365,"AAAAAHv/+TE=")</f>
        <v>#VALUE!</v>
      </c>
      <c r="AY105" t="e">
        <f>AND(Bills!I365,"AAAAAHv/+TI=")</f>
        <v>#VALUE!</v>
      </c>
      <c r="AZ105" t="e">
        <f>AND(Bills!J365,"AAAAAHv/+TM=")</f>
        <v>#VALUE!</v>
      </c>
      <c r="BA105" t="e">
        <f>AND(Bills!K365,"AAAAAHv/+TQ=")</f>
        <v>#VALUE!</v>
      </c>
      <c r="BB105" t="e">
        <f>AND(Bills!L365,"AAAAAHv/+TU=")</f>
        <v>#VALUE!</v>
      </c>
      <c r="BC105" t="e">
        <f>AND(Bills!#REF!,"AAAAAHv/+TY=")</f>
        <v>#REF!</v>
      </c>
      <c r="BD105" t="e">
        <f>AND(Bills!M365,"AAAAAHv/+Tc=")</f>
        <v>#VALUE!</v>
      </c>
      <c r="BE105" t="e">
        <f>AND(Bills!N365,"AAAAAHv/+Tg=")</f>
        <v>#VALUE!</v>
      </c>
      <c r="BF105" t="e">
        <f>AND(Bills!O365,"AAAAAHv/+Tk=")</f>
        <v>#VALUE!</v>
      </c>
      <c r="BG105" t="e">
        <f>AND(Bills!P365,"AAAAAHv/+To=")</f>
        <v>#VALUE!</v>
      </c>
      <c r="BH105" t="e">
        <f>AND(Bills!Q365,"AAAAAHv/+Ts=")</f>
        <v>#VALUE!</v>
      </c>
      <c r="BI105" t="e">
        <f>AND(Bills!R365,"AAAAAHv/+Tw=")</f>
        <v>#VALUE!</v>
      </c>
      <c r="BJ105" t="e">
        <f>AND(Bills!S365,"AAAAAHv/+T0=")</f>
        <v>#VALUE!</v>
      </c>
      <c r="BK105" t="e">
        <f>AND(Bills!T365,"AAAAAHv/+T4=")</f>
        <v>#VALUE!</v>
      </c>
      <c r="BL105" t="e">
        <f>AND(Bills!#REF!,"AAAAAHv/+T8=")</f>
        <v>#REF!</v>
      </c>
      <c r="BM105" t="e">
        <f>AND(Bills!U365,"AAAAAHv/+UA=")</f>
        <v>#VALUE!</v>
      </c>
      <c r="BN105" t="e">
        <f>AND(Bills!V365,"AAAAAHv/+UE=")</f>
        <v>#VALUE!</v>
      </c>
      <c r="BO105" t="e">
        <f>AND(Bills!W365,"AAAAAHv/+UI=")</f>
        <v>#VALUE!</v>
      </c>
      <c r="BP105" t="e">
        <f>AND(Bills!#REF!,"AAAAAHv/+UM=")</f>
        <v>#REF!</v>
      </c>
      <c r="BQ105" t="e">
        <f>AND(Bills!#REF!,"AAAAAHv/+UQ=")</f>
        <v>#REF!</v>
      </c>
      <c r="BR105" t="e">
        <f>AND(Bills!Y365,"AAAAAHv/+UU=")</f>
        <v>#VALUE!</v>
      </c>
      <c r="BS105" t="e">
        <f>AND(Bills!Z365,"AAAAAHv/+UY=")</f>
        <v>#VALUE!</v>
      </c>
      <c r="BT105" t="e">
        <f>AND(Bills!#REF!,"AAAAAHv/+Uc=")</f>
        <v>#REF!</v>
      </c>
      <c r="BU105" t="e">
        <f>AND(Bills!#REF!,"AAAAAHv/+Ug=")</f>
        <v>#REF!</v>
      </c>
      <c r="BV105" t="e">
        <f>AND(Bills!#REF!,"AAAAAHv/+Uk=")</f>
        <v>#REF!</v>
      </c>
      <c r="BW105" t="e">
        <f>AND(Bills!#REF!,"AAAAAHv/+Uo=")</f>
        <v>#REF!</v>
      </c>
      <c r="BX105" t="e">
        <f>AND(Bills!#REF!,"AAAAAHv/+Us=")</f>
        <v>#REF!</v>
      </c>
      <c r="BY105" t="e">
        <f>AND(Bills!#REF!,"AAAAAHv/+Uw=")</f>
        <v>#REF!</v>
      </c>
      <c r="BZ105" t="e">
        <f>AND(Bills!#REF!,"AAAAAHv/+U0=")</f>
        <v>#REF!</v>
      </c>
      <c r="CA105" t="e">
        <f>AND(Bills!#REF!,"AAAAAHv/+U4=")</f>
        <v>#REF!</v>
      </c>
      <c r="CB105" t="e">
        <f>AND(Bills!#REF!,"AAAAAHv/+U8=")</f>
        <v>#REF!</v>
      </c>
      <c r="CC105" t="e">
        <f>AND(Bills!AA365,"AAAAAHv/+VA=")</f>
        <v>#VALUE!</v>
      </c>
      <c r="CD105" t="e">
        <f>AND(Bills!AB365,"AAAAAHv/+VE=")</f>
        <v>#VALUE!</v>
      </c>
      <c r="CE105" t="e">
        <f>AND(Bills!#REF!,"AAAAAHv/+VI=")</f>
        <v>#REF!</v>
      </c>
      <c r="CF105" t="e">
        <f>AND(Bills!#REF!,"AAAAAHv/+VM=")</f>
        <v>#REF!</v>
      </c>
      <c r="CG105" t="e">
        <f>AND(Bills!#REF!,"AAAAAHv/+VQ=")</f>
        <v>#REF!</v>
      </c>
      <c r="CH105" t="e">
        <f>AND(Bills!AC365,"AAAAAHv/+VU=")</f>
        <v>#VALUE!</v>
      </c>
      <c r="CI105" t="e">
        <f>AND(Bills!AD365,"AAAAAHv/+VY=")</f>
        <v>#VALUE!</v>
      </c>
      <c r="CJ105" t="e">
        <f>AND(Bills!AE365,"AAAAAHv/+Vc=")</f>
        <v>#VALUE!</v>
      </c>
      <c r="CK105">
        <f>IF(Bills!366:366,"AAAAAHv/+Vg=",0)</f>
        <v>0</v>
      </c>
      <c r="CL105" t="e">
        <f>AND(Bills!B366,"AAAAAHv/+Vk=")</f>
        <v>#VALUE!</v>
      </c>
      <c r="CM105" t="e">
        <f>AND(Bills!#REF!,"AAAAAHv/+Vo=")</f>
        <v>#REF!</v>
      </c>
      <c r="CN105" t="e">
        <f>AND(Bills!C366,"AAAAAHv/+Vs=")</f>
        <v>#VALUE!</v>
      </c>
      <c r="CO105" t="e">
        <f>AND(Bills!D366,"AAAAAHv/+Vw=")</f>
        <v>#VALUE!</v>
      </c>
      <c r="CP105" t="e">
        <f>AND(Bills!E366,"AAAAAHv/+V0=")</f>
        <v>#VALUE!</v>
      </c>
      <c r="CQ105" t="e">
        <f>AND(Bills!#REF!,"AAAAAHv/+V4=")</f>
        <v>#REF!</v>
      </c>
      <c r="CR105" t="e">
        <f>AND(Bills!#REF!,"AAAAAHv/+V8=")</f>
        <v>#REF!</v>
      </c>
      <c r="CS105" t="e">
        <f>AND(Bills!#REF!,"AAAAAHv/+WA=")</f>
        <v>#REF!</v>
      </c>
      <c r="CT105" t="e">
        <f>AND(Bills!F366,"AAAAAHv/+WE=")</f>
        <v>#VALUE!</v>
      </c>
      <c r="CU105" t="e">
        <f>AND(Bills!#REF!,"AAAAAHv/+WI=")</f>
        <v>#REF!</v>
      </c>
      <c r="CV105" t="e">
        <f>AND(Bills!G366,"AAAAAHv/+WM=")</f>
        <v>#VALUE!</v>
      </c>
      <c r="CW105" t="e">
        <f>AND(Bills!H366,"AAAAAHv/+WQ=")</f>
        <v>#VALUE!</v>
      </c>
      <c r="CX105" t="e">
        <f>AND(Bills!I366,"AAAAAHv/+WU=")</f>
        <v>#VALUE!</v>
      </c>
      <c r="CY105" t="e">
        <f>AND(Bills!J366,"AAAAAHv/+WY=")</f>
        <v>#VALUE!</v>
      </c>
      <c r="CZ105" t="e">
        <f>AND(Bills!K366,"AAAAAHv/+Wc=")</f>
        <v>#VALUE!</v>
      </c>
      <c r="DA105" t="e">
        <f>AND(Bills!L366,"AAAAAHv/+Wg=")</f>
        <v>#VALUE!</v>
      </c>
      <c r="DB105" t="e">
        <f>AND(Bills!#REF!,"AAAAAHv/+Wk=")</f>
        <v>#REF!</v>
      </c>
      <c r="DC105" t="e">
        <f>AND(Bills!M366,"AAAAAHv/+Wo=")</f>
        <v>#VALUE!</v>
      </c>
      <c r="DD105" t="e">
        <f>AND(Bills!N366,"AAAAAHv/+Ws=")</f>
        <v>#VALUE!</v>
      </c>
      <c r="DE105" t="e">
        <f>AND(Bills!O366,"AAAAAHv/+Ww=")</f>
        <v>#VALUE!</v>
      </c>
      <c r="DF105" t="e">
        <f>AND(Bills!P366,"AAAAAHv/+W0=")</f>
        <v>#VALUE!</v>
      </c>
      <c r="DG105" t="e">
        <f>AND(Bills!Q366,"AAAAAHv/+W4=")</f>
        <v>#VALUE!</v>
      </c>
      <c r="DH105" t="e">
        <f>AND(Bills!R366,"AAAAAHv/+W8=")</f>
        <v>#VALUE!</v>
      </c>
      <c r="DI105" t="e">
        <f>AND(Bills!S366,"AAAAAHv/+XA=")</f>
        <v>#VALUE!</v>
      </c>
      <c r="DJ105" t="e">
        <f>AND(Bills!T366,"AAAAAHv/+XE=")</f>
        <v>#VALUE!</v>
      </c>
      <c r="DK105" t="e">
        <f>AND(Bills!#REF!,"AAAAAHv/+XI=")</f>
        <v>#REF!</v>
      </c>
      <c r="DL105" t="e">
        <f>AND(Bills!U366,"AAAAAHv/+XM=")</f>
        <v>#VALUE!</v>
      </c>
      <c r="DM105" t="e">
        <f>AND(Bills!V366,"AAAAAHv/+XQ=")</f>
        <v>#VALUE!</v>
      </c>
      <c r="DN105" t="e">
        <f>AND(Bills!W366,"AAAAAHv/+XU=")</f>
        <v>#VALUE!</v>
      </c>
      <c r="DO105" t="e">
        <f>AND(Bills!#REF!,"AAAAAHv/+XY=")</f>
        <v>#REF!</v>
      </c>
      <c r="DP105" t="e">
        <f>AND(Bills!#REF!,"AAAAAHv/+Xc=")</f>
        <v>#REF!</v>
      </c>
      <c r="DQ105" t="e">
        <f>AND(Bills!Y366,"AAAAAHv/+Xg=")</f>
        <v>#VALUE!</v>
      </c>
      <c r="DR105" t="e">
        <f>AND(Bills!Z366,"AAAAAHv/+Xk=")</f>
        <v>#VALUE!</v>
      </c>
      <c r="DS105" t="e">
        <f>AND(Bills!#REF!,"AAAAAHv/+Xo=")</f>
        <v>#REF!</v>
      </c>
      <c r="DT105" t="e">
        <f>AND(Bills!#REF!,"AAAAAHv/+Xs=")</f>
        <v>#REF!</v>
      </c>
      <c r="DU105" t="e">
        <f>AND(Bills!#REF!,"AAAAAHv/+Xw=")</f>
        <v>#REF!</v>
      </c>
      <c r="DV105" t="e">
        <f>AND(Bills!#REF!,"AAAAAHv/+X0=")</f>
        <v>#REF!</v>
      </c>
      <c r="DW105" t="e">
        <f>AND(Bills!#REF!,"AAAAAHv/+X4=")</f>
        <v>#REF!</v>
      </c>
      <c r="DX105" t="e">
        <f>AND(Bills!#REF!,"AAAAAHv/+X8=")</f>
        <v>#REF!</v>
      </c>
      <c r="DY105" t="e">
        <f>AND(Bills!#REF!,"AAAAAHv/+YA=")</f>
        <v>#REF!</v>
      </c>
      <c r="DZ105" t="e">
        <f>AND(Bills!#REF!,"AAAAAHv/+YE=")</f>
        <v>#REF!</v>
      </c>
      <c r="EA105" t="e">
        <f>AND(Bills!#REF!,"AAAAAHv/+YI=")</f>
        <v>#REF!</v>
      </c>
      <c r="EB105" t="e">
        <f>AND(Bills!AA366,"AAAAAHv/+YM=")</f>
        <v>#VALUE!</v>
      </c>
      <c r="EC105" t="e">
        <f>AND(Bills!AB366,"AAAAAHv/+YQ=")</f>
        <v>#VALUE!</v>
      </c>
      <c r="ED105" t="e">
        <f>AND(Bills!#REF!,"AAAAAHv/+YU=")</f>
        <v>#REF!</v>
      </c>
      <c r="EE105" t="e">
        <f>AND(Bills!#REF!,"AAAAAHv/+YY=")</f>
        <v>#REF!</v>
      </c>
      <c r="EF105" t="e">
        <f>AND(Bills!#REF!,"AAAAAHv/+Yc=")</f>
        <v>#REF!</v>
      </c>
      <c r="EG105" t="e">
        <f>AND(Bills!AC366,"AAAAAHv/+Yg=")</f>
        <v>#VALUE!</v>
      </c>
      <c r="EH105" t="e">
        <f>AND(Bills!AD366,"AAAAAHv/+Yk=")</f>
        <v>#VALUE!</v>
      </c>
      <c r="EI105" t="e">
        <f>AND(Bills!AE366,"AAAAAHv/+Yo=")</f>
        <v>#VALUE!</v>
      </c>
      <c r="EJ105">
        <f>IF(Bills!367:367,"AAAAAHv/+Ys=",0)</f>
        <v>0</v>
      </c>
      <c r="EK105" t="e">
        <f>AND(Bills!B367,"AAAAAHv/+Yw=")</f>
        <v>#VALUE!</v>
      </c>
      <c r="EL105" t="e">
        <f>AND(Bills!#REF!,"AAAAAHv/+Y0=")</f>
        <v>#REF!</v>
      </c>
      <c r="EM105" t="e">
        <f>AND(Bills!C367,"AAAAAHv/+Y4=")</f>
        <v>#VALUE!</v>
      </c>
      <c r="EN105" t="e">
        <f>AND(Bills!D367,"AAAAAHv/+Y8=")</f>
        <v>#VALUE!</v>
      </c>
      <c r="EO105" t="e">
        <f>AND(Bills!E367,"AAAAAHv/+ZA=")</f>
        <v>#VALUE!</v>
      </c>
      <c r="EP105" t="e">
        <f>AND(Bills!#REF!,"AAAAAHv/+ZE=")</f>
        <v>#REF!</v>
      </c>
      <c r="EQ105" t="e">
        <f>AND(Bills!#REF!,"AAAAAHv/+ZI=")</f>
        <v>#REF!</v>
      </c>
      <c r="ER105" t="e">
        <f>AND(Bills!#REF!,"AAAAAHv/+ZM=")</f>
        <v>#REF!</v>
      </c>
      <c r="ES105" t="e">
        <f>AND(Bills!F367,"AAAAAHv/+ZQ=")</f>
        <v>#VALUE!</v>
      </c>
      <c r="ET105" t="e">
        <f>AND(Bills!#REF!,"AAAAAHv/+ZU=")</f>
        <v>#REF!</v>
      </c>
      <c r="EU105" t="e">
        <f>AND(Bills!G367,"AAAAAHv/+ZY=")</f>
        <v>#VALUE!</v>
      </c>
      <c r="EV105" t="e">
        <f>AND(Bills!H367,"AAAAAHv/+Zc=")</f>
        <v>#VALUE!</v>
      </c>
      <c r="EW105" t="e">
        <f>AND(Bills!I367,"AAAAAHv/+Zg=")</f>
        <v>#VALUE!</v>
      </c>
      <c r="EX105" t="e">
        <f>AND(Bills!J367,"AAAAAHv/+Zk=")</f>
        <v>#VALUE!</v>
      </c>
      <c r="EY105" t="e">
        <f>AND(Bills!K367,"AAAAAHv/+Zo=")</f>
        <v>#VALUE!</v>
      </c>
      <c r="EZ105" t="e">
        <f>AND(Bills!L367,"AAAAAHv/+Zs=")</f>
        <v>#VALUE!</v>
      </c>
      <c r="FA105" t="e">
        <f>AND(Bills!#REF!,"AAAAAHv/+Zw=")</f>
        <v>#REF!</v>
      </c>
      <c r="FB105" t="e">
        <f>AND(Bills!M367,"AAAAAHv/+Z0=")</f>
        <v>#VALUE!</v>
      </c>
      <c r="FC105" t="e">
        <f>AND(Bills!N367,"AAAAAHv/+Z4=")</f>
        <v>#VALUE!</v>
      </c>
      <c r="FD105" t="e">
        <f>AND(Bills!O367,"AAAAAHv/+Z8=")</f>
        <v>#VALUE!</v>
      </c>
      <c r="FE105" t="e">
        <f>AND(Bills!P367,"AAAAAHv/+aA=")</f>
        <v>#VALUE!</v>
      </c>
      <c r="FF105" t="e">
        <f>AND(Bills!Q367,"AAAAAHv/+aE=")</f>
        <v>#VALUE!</v>
      </c>
      <c r="FG105" t="e">
        <f>AND(Bills!R367,"AAAAAHv/+aI=")</f>
        <v>#VALUE!</v>
      </c>
      <c r="FH105" t="e">
        <f>AND(Bills!S367,"AAAAAHv/+aM=")</f>
        <v>#VALUE!</v>
      </c>
      <c r="FI105" t="e">
        <f>AND(Bills!T367,"AAAAAHv/+aQ=")</f>
        <v>#VALUE!</v>
      </c>
      <c r="FJ105" t="e">
        <f>AND(Bills!#REF!,"AAAAAHv/+aU=")</f>
        <v>#REF!</v>
      </c>
      <c r="FK105" t="e">
        <f>AND(Bills!U367,"AAAAAHv/+aY=")</f>
        <v>#VALUE!</v>
      </c>
      <c r="FL105" t="e">
        <f>AND(Bills!V367,"AAAAAHv/+ac=")</f>
        <v>#VALUE!</v>
      </c>
      <c r="FM105" t="e">
        <f>AND(Bills!W367,"AAAAAHv/+ag=")</f>
        <v>#VALUE!</v>
      </c>
      <c r="FN105" t="e">
        <f>AND(Bills!#REF!,"AAAAAHv/+ak=")</f>
        <v>#REF!</v>
      </c>
      <c r="FO105" t="e">
        <f>AND(Bills!#REF!,"AAAAAHv/+ao=")</f>
        <v>#REF!</v>
      </c>
      <c r="FP105" t="e">
        <f>AND(Bills!Y367,"AAAAAHv/+as=")</f>
        <v>#VALUE!</v>
      </c>
      <c r="FQ105" t="e">
        <f>AND(Bills!Z367,"AAAAAHv/+aw=")</f>
        <v>#VALUE!</v>
      </c>
      <c r="FR105" t="e">
        <f>AND(Bills!#REF!,"AAAAAHv/+a0=")</f>
        <v>#REF!</v>
      </c>
      <c r="FS105" t="e">
        <f>AND(Bills!#REF!,"AAAAAHv/+a4=")</f>
        <v>#REF!</v>
      </c>
      <c r="FT105" t="e">
        <f>AND(Bills!#REF!,"AAAAAHv/+a8=")</f>
        <v>#REF!</v>
      </c>
      <c r="FU105" t="e">
        <f>AND(Bills!#REF!,"AAAAAHv/+bA=")</f>
        <v>#REF!</v>
      </c>
      <c r="FV105" t="e">
        <f>AND(Bills!#REF!,"AAAAAHv/+bE=")</f>
        <v>#REF!</v>
      </c>
      <c r="FW105" t="e">
        <f>AND(Bills!#REF!,"AAAAAHv/+bI=")</f>
        <v>#REF!</v>
      </c>
      <c r="FX105" t="e">
        <f>AND(Bills!#REF!,"AAAAAHv/+bM=")</f>
        <v>#REF!</v>
      </c>
      <c r="FY105" t="e">
        <f>AND(Bills!#REF!,"AAAAAHv/+bQ=")</f>
        <v>#REF!</v>
      </c>
      <c r="FZ105" t="e">
        <f>AND(Bills!#REF!,"AAAAAHv/+bU=")</f>
        <v>#REF!</v>
      </c>
      <c r="GA105" t="e">
        <f>AND(Bills!AA367,"AAAAAHv/+bY=")</f>
        <v>#VALUE!</v>
      </c>
      <c r="GB105" t="e">
        <f>AND(Bills!AB367,"AAAAAHv/+bc=")</f>
        <v>#VALUE!</v>
      </c>
      <c r="GC105" t="e">
        <f>AND(Bills!#REF!,"AAAAAHv/+bg=")</f>
        <v>#REF!</v>
      </c>
      <c r="GD105" t="e">
        <f>AND(Bills!#REF!,"AAAAAHv/+bk=")</f>
        <v>#REF!</v>
      </c>
      <c r="GE105" t="e">
        <f>AND(Bills!#REF!,"AAAAAHv/+bo=")</f>
        <v>#REF!</v>
      </c>
      <c r="GF105" t="e">
        <f>AND(Bills!AC367,"AAAAAHv/+bs=")</f>
        <v>#VALUE!</v>
      </c>
      <c r="GG105" t="e">
        <f>AND(Bills!AD367,"AAAAAHv/+bw=")</f>
        <v>#VALUE!</v>
      </c>
      <c r="GH105" t="e">
        <f>AND(Bills!AE367,"AAAAAHv/+b0=")</f>
        <v>#VALUE!</v>
      </c>
      <c r="GI105">
        <f>IF(Bills!368:368,"AAAAAHv/+b4=",0)</f>
        <v>0</v>
      </c>
      <c r="GJ105" t="e">
        <f>AND(Bills!B368,"AAAAAHv/+b8=")</f>
        <v>#VALUE!</v>
      </c>
      <c r="GK105" t="e">
        <f>AND(Bills!#REF!,"AAAAAHv/+cA=")</f>
        <v>#REF!</v>
      </c>
      <c r="GL105" t="e">
        <f>AND(Bills!C368,"AAAAAHv/+cE=")</f>
        <v>#VALUE!</v>
      </c>
      <c r="GM105" t="e">
        <f>AND(Bills!D368,"AAAAAHv/+cI=")</f>
        <v>#VALUE!</v>
      </c>
      <c r="GN105" t="e">
        <f>AND(Bills!E368,"AAAAAHv/+cM=")</f>
        <v>#VALUE!</v>
      </c>
      <c r="GO105" t="e">
        <f>AND(Bills!#REF!,"AAAAAHv/+cQ=")</f>
        <v>#REF!</v>
      </c>
      <c r="GP105" t="e">
        <f>AND(Bills!#REF!,"AAAAAHv/+cU=")</f>
        <v>#REF!</v>
      </c>
      <c r="GQ105" t="e">
        <f>AND(Bills!#REF!,"AAAAAHv/+cY=")</f>
        <v>#REF!</v>
      </c>
      <c r="GR105" t="e">
        <f>AND(Bills!F368,"AAAAAHv/+cc=")</f>
        <v>#VALUE!</v>
      </c>
      <c r="GS105" t="e">
        <f>AND(Bills!#REF!,"AAAAAHv/+cg=")</f>
        <v>#REF!</v>
      </c>
      <c r="GT105" t="e">
        <f>AND(Bills!G368,"AAAAAHv/+ck=")</f>
        <v>#VALUE!</v>
      </c>
      <c r="GU105" t="e">
        <f>AND(Bills!H368,"AAAAAHv/+co=")</f>
        <v>#VALUE!</v>
      </c>
      <c r="GV105" t="e">
        <f>AND(Bills!I368,"AAAAAHv/+cs=")</f>
        <v>#VALUE!</v>
      </c>
      <c r="GW105" t="e">
        <f>AND(Bills!J368,"AAAAAHv/+cw=")</f>
        <v>#VALUE!</v>
      </c>
      <c r="GX105" t="e">
        <f>AND(Bills!K368,"AAAAAHv/+c0=")</f>
        <v>#VALUE!</v>
      </c>
      <c r="GY105" t="e">
        <f>AND(Bills!L368,"AAAAAHv/+c4=")</f>
        <v>#VALUE!</v>
      </c>
      <c r="GZ105" t="e">
        <f>AND(Bills!#REF!,"AAAAAHv/+c8=")</f>
        <v>#REF!</v>
      </c>
      <c r="HA105" t="e">
        <f>AND(Bills!M368,"AAAAAHv/+dA=")</f>
        <v>#VALUE!</v>
      </c>
      <c r="HB105" t="e">
        <f>AND(Bills!N368,"AAAAAHv/+dE=")</f>
        <v>#VALUE!</v>
      </c>
      <c r="HC105" t="e">
        <f>AND(Bills!O368,"AAAAAHv/+dI=")</f>
        <v>#VALUE!</v>
      </c>
      <c r="HD105" t="e">
        <f>AND(Bills!P368,"AAAAAHv/+dM=")</f>
        <v>#VALUE!</v>
      </c>
      <c r="HE105" t="e">
        <f>AND(Bills!Q368,"AAAAAHv/+dQ=")</f>
        <v>#VALUE!</v>
      </c>
      <c r="HF105" t="e">
        <f>AND(Bills!R368,"AAAAAHv/+dU=")</f>
        <v>#VALUE!</v>
      </c>
      <c r="HG105" t="e">
        <f>AND(Bills!S368,"AAAAAHv/+dY=")</f>
        <v>#VALUE!</v>
      </c>
      <c r="HH105" t="e">
        <f>AND(Bills!T368,"AAAAAHv/+dc=")</f>
        <v>#VALUE!</v>
      </c>
      <c r="HI105" t="e">
        <f>AND(Bills!#REF!,"AAAAAHv/+dg=")</f>
        <v>#REF!</v>
      </c>
      <c r="HJ105" t="e">
        <f>AND(Bills!U368,"AAAAAHv/+dk=")</f>
        <v>#VALUE!</v>
      </c>
      <c r="HK105" t="e">
        <f>AND(Bills!V368,"AAAAAHv/+do=")</f>
        <v>#VALUE!</v>
      </c>
      <c r="HL105" t="e">
        <f>AND(Bills!W368,"AAAAAHv/+ds=")</f>
        <v>#VALUE!</v>
      </c>
      <c r="HM105" t="e">
        <f>AND(Bills!#REF!,"AAAAAHv/+dw=")</f>
        <v>#REF!</v>
      </c>
      <c r="HN105" t="e">
        <f>AND(Bills!#REF!,"AAAAAHv/+d0=")</f>
        <v>#REF!</v>
      </c>
      <c r="HO105" t="e">
        <f>AND(Bills!Y368,"AAAAAHv/+d4=")</f>
        <v>#VALUE!</v>
      </c>
      <c r="HP105" t="e">
        <f>AND(Bills!Z368,"AAAAAHv/+d8=")</f>
        <v>#VALUE!</v>
      </c>
      <c r="HQ105" t="e">
        <f>AND(Bills!#REF!,"AAAAAHv/+eA=")</f>
        <v>#REF!</v>
      </c>
      <c r="HR105" t="e">
        <f>AND(Bills!#REF!,"AAAAAHv/+eE=")</f>
        <v>#REF!</v>
      </c>
      <c r="HS105" t="e">
        <f>AND(Bills!#REF!,"AAAAAHv/+eI=")</f>
        <v>#REF!</v>
      </c>
      <c r="HT105" t="e">
        <f>AND(Bills!#REF!,"AAAAAHv/+eM=")</f>
        <v>#REF!</v>
      </c>
      <c r="HU105" t="e">
        <f>AND(Bills!#REF!,"AAAAAHv/+eQ=")</f>
        <v>#REF!</v>
      </c>
      <c r="HV105" t="e">
        <f>AND(Bills!#REF!,"AAAAAHv/+eU=")</f>
        <v>#REF!</v>
      </c>
      <c r="HW105" t="e">
        <f>AND(Bills!#REF!,"AAAAAHv/+eY=")</f>
        <v>#REF!</v>
      </c>
      <c r="HX105" t="e">
        <f>AND(Bills!#REF!,"AAAAAHv/+ec=")</f>
        <v>#REF!</v>
      </c>
      <c r="HY105" t="e">
        <f>AND(Bills!#REF!,"AAAAAHv/+eg=")</f>
        <v>#REF!</v>
      </c>
      <c r="HZ105" t="e">
        <f>AND(Bills!AA368,"AAAAAHv/+ek=")</f>
        <v>#VALUE!</v>
      </c>
      <c r="IA105" t="e">
        <f>AND(Bills!AB368,"AAAAAHv/+eo=")</f>
        <v>#VALUE!</v>
      </c>
      <c r="IB105" t="e">
        <f>AND(Bills!#REF!,"AAAAAHv/+es=")</f>
        <v>#REF!</v>
      </c>
      <c r="IC105" t="e">
        <f>AND(Bills!#REF!,"AAAAAHv/+ew=")</f>
        <v>#REF!</v>
      </c>
      <c r="ID105" t="e">
        <f>AND(Bills!#REF!,"AAAAAHv/+e0=")</f>
        <v>#REF!</v>
      </c>
      <c r="IE105" t="e">
        <f>AND(Bills!AC368,"AAAAAHv/+e4=")</f>
        <v>#VALUE!</v>
      </c>
      <c r="IF105" t="e">
        <f>AND(Bills!AD368,"AAAAAHv/+e8=")</f>
        <v>#VALUE!</v>
      </c>
      <c r="IG105" t="e">
        <f>AND(Bills!AE368,"AAAAAHv/+fA=")</f>
        <v>#VALUE!</v>
      </c>
      <c r="IH105">
        <f>IF(Bills!369:369,"AAAAAHv/+fE=",0)</f>
        <v>0</v>
      </c>
      <c r="II105" t="e">
        <f>AND(Bills!B369,"AAAAAHv/+fI=")</f>
        <v>#VALUE!</v>
      </c>
      <c r="IJ105" t="e">
        <f>AND(Bills!#REF!,"AAAAAHv/+fM=")</f>
        <v>#REF!</v>
      </c>
      <c r="IK105" t="e">
        <f>AND(Bills!C369,"AAAAAHv/+fQ=")</f>
        <v>#VALUE!</v>
      </c>
      <c r="IL105" t="e">
        <f>AND(Bills!D369,"AAAAAHv/+fU=")</f>
        <v>#VALUE!</v>
      </c>
      <c r="IM105" t="e">
        <f>AND(Bills!E369,"AAAAAHv/+fY=")</f>
        <v>#VALUE!</v>
      </c>
      <c r="IN105" t="e">
        <f>AND(Bills!#REF!,"AAAAAHv/+fc=")</f>
        <v>#REF!</v>
      </c>
      <c r="IO105" t="e">
        <f>AND(Bills!#REF!,"AAAAAHv/+fg=")</f>
        <v>#REF!</v>
      </c>
      <c r="IP105" t="e">
        <f>AND(Bills!#REF!,"AAAAAHv/+fk=")</f>
        <v>#REF!</v>
      </c>
      <c r="IQ105" t="e">
        <f>AND(Bills!F369,"AAAAAHv/+fo=")</f>
        <v>#VALUE!</v>
      </c>
      <c r="IR105" t="e">
        <f>AND(Bills!#REF!,"AAAAAHv/+fs=")</f>
        <v>#REF!</v>
      </c>
      <c r="IS105" t="e">
        <f>AND(Bills!G369,"AAAAAHv/+fw=")</f>
        <v>#VALUE!</v>
      </c>
      <c r="IT105" t="e">
        <f>AND(Bills!H369,"AAAAAHv/+f0=")</f>
        <v>#VALUE!</v>
      </c>
      <c r="IU105" t="e">
        <f>AND(Bills!I369,"AAAAAHv/+f4=")</f>
        <v>#VALUE!</v>
      </c>
      <c r="IV105" t="e">
        <f>AND(Bills!J369,"AAAAAHv/+f8=")</f>
        <v>#VALUE!</v>
      </c>
    </row>
    <row r="106" spans="1:256" x14ac:dyDescent="0.25">
      <c r="A106" t="e">
        <f>AND(Bills!K369,"AAAAAH793wA=")</f>
        <v>#VALUE!</v>
      </c>
      <c r="B106" t="e">
        <f>AND(Bills!L369,"AAAAAH793wE=")</f>
        <v>#VALUE!</v>
      </c>
      <c r="C106" t="e">
        <f>AND(Bills!#REF!,"AAAAAH793wI=")</f>
        <v>#REF!</v>
      </c>
      <c r="D106" t="e">
        <f>AND(Bills!M369,"AAAAAH793wM=")</f>
        <v>#VALUE!</v>
      </c>
      <c r="E106" t="e">
        <f>AND(Bills!N369,"AAAAAH793wQ=")</f>
        <v>#VALUE!</v>
      </c>
      <c r="F106" t="e">
        <f>AND(Bills!O369,"AAAAAH793wU=")</f>
        <v>#VALUE!</v>
      </c>
      <c r="G106" t="e">
        <f>AND(Bills!P369,"AAAAAH793wY=")</f>
        <v>#VALUE!</v>
      </c>
      <c r="H106" t="e">
        <f>AND(Bills!Q369,"AAAAAH793wc=")</f>
        <v>#VALUE!</v>
      </c>
      <c r="I106" t="e">
        <f>AND(Bills!R369,"AAAAAH793wg=")</f>
        <v>#VALUE!</v>
      </c>
      <c r="J106" t="e">
        <f>AND(Bills!S369,"AAAAAH793wk=")</f>
        <v>#VALUE!</v>
      </c>
      <c r="K106" t="e">
        <f>AND(Bills!T369,"AAAAAH793wo=")</f>
        <v>#VALUE!</v>
      </c>
      <c r="L106" t="e">
        <f>AND(Bills!#REF!,"AAAAAH793ws=")</f>
        <v>#REF!</v>
      </c>
      <c r="M106" t="e">
        <f>AND(Bills!U369,"AAAAAH793ww=")</f>
        <v>#VALUE!</v>
      </c>
      <c r="N106" t="e">
        <f>AND(Bills!V369,"AAAAAH793w0=")</f>
        <v>#VALUE!</v>
      </c>
      <c r="O106" t="e">
        <f>AND(Bills!W369,"AAAAAH793w4=")</f>
        <v>#VALUE!</v>
      </c>
      <c r="P106" t="e">
        <f>AND(Bills!#REF!,"AAAAAH793w8=")</f>
        <v>#REF!</v>
      </c>
      <c r="Q106" t="e">
        <f>AND(Bills!#REF!,"AAAAAH793xA=")</f>
        <v>#REF!</v>
      </c>
      <c r="R106" t="e">
        <f>AND(Bills!Y369,"AAAAAH793xE=")</f>
        <v>#VALUE!</v>
      </c>
      <c r="S106" t="e">
        <f>AND(Bills!Z369,"AAAAAH793xI=")</f>
        <v>#VALUE!</v>
      </c>
      <c r="T106" t="e">
        <f>AND(Bills!#REF!,"AAAAAH793xM=")</f>
        <v>#REF!</v>
      </c>
      <c r="U106" t="e">
        <f>AND(Bills!#REF!,"AAAAAH793xQ=")</f>
        <v>#REF!</v>
      </c>
      <c r="V106" t="e">
        <f>AND(Bills!#REF!,"AAAAAH793xU=")</f>
        <v>#REF!</v>
      </c>
      <c r="W106" t="e">
        <f>AND(Bills!#REF!,"AAAAAH793xY=")</f>
        <v>#REF!</v>
      </c>
      <c r="X106" t="e">
        <f>AND(Bills!#REF!,"AAAAAH793xc=")</f>
        <v>#REF!</v>
      </c>
      <c r="Y106" t="e">
        <f>AND(Bills!#REF!,"AAAAAH793xg=")</f>
        <v>#REF!</v>
      </c>
      <c r="Z106" t="e">
        <f>AND(Bills!#REF!,"AAAAAH793xk=")</f>
        <v>#REF!</v>
      </c>
      <c r="AA106" t="e">
        <f>AND(Bills!#REF!,"AAAAAH793xo=")</f>
        <v>#REF!</v>
      </c>
      <c r="AB106" t="e">
        <f>AND(Bills!#REF!,"AAAAAH793xs=")</f>
        <v>#REF!</v>
      </c>
      <c r="AC106" t="e">
        <f>AND(Bills!AA369,"AAAAAH793xw=")</f>
        <v>#VALUE!</v>
      </c>
      <c r="AD106" t="e">
        <f>AND(Bills!AB369,"AAAAAH793x0=")</f>
        <v>#VALUE!</v>
      </c>
      <c r="AE106" t="e">
        <f>AND(Bills!#REF!,"AAAAAH793x4=")</f>
        <v>#REF!</v>
      </c>
      <c r="AF106" t="e">
        <f>AND(Bills!#REF!,"AAAAAH793x8=")</f>
        <v>#REF!</v>
      </c>
      <c r="AG106" t="e">
        <f>AND(Bills!#REF!,"AAAAAH793yA=")</f>
        <v>#REF!</v>
      </c>
      <c r="AH106" t="e">
        <f>AND(Bills!AC369,"AAAAAH793yE=")</f>
        <v>#VALUE!</v>
      </c>
      <c r="AI106" t="e">
        <f>AND(Bills!AD369,"AAAAAH793yI=")</f>
        <v>#VALUE!</v>
      </c>
      <c r="AJ106" t="e">
        <f>AND(Bills!AE369,"AAAAAH793yM=")</f>
        <v>#VALUE!</v>
      </c>
      <c r="AK106">
        <f>IF(Bills!370:370,"AAAAAH793yQ=",0)</f>
        <v>0</v>
      </c>
      <c r="AL106" t="e">
        <f>AND(Bills!B370,"AAAAAH793yU=")</f>
        <v>#VALUE!</v>
      </c>
      <c r="AM106" t="e">
        <f>AND(Bills!#REF!,"AAAAAH793yY=")</f>
        <v>#REF!</v>
      </c>
      <c r="AN106" t="e">
        <f>AND(Bills!C370,"AAAAAH793yc=")</f>
        <v>#VALUE!</v>
      </c>
      <c r="AO106" t="e">
        <f>AND(Bills!D370,"AAAAAH793yg=")</f>
        <v>#VALUE!</v>
      </c>
      <c r="AP106" t="e">
        <f>AND(Bills!E370,"AAAAAH793yk=")</f>
        <v>#VALUE!</v>
      </c>
      <c r="AQ106" t="e">
        <f>AND(Bills!#REF!,"AAAAAH793yo=")</f>
        <v>#REF!</v>
      </c>
      <c r="AR106" t="e">
        <f>AND(Bills!#REF!,"AAAAAH793ys=")</f>
        <v>#REF!</v>
      </c>
      <c r="AS106" t="e">
        <f>AND(Bills!#REF!,"AAAAAH793yw=")</f>
        <v>#REF!</v>
      </c>
      <c r="AT106" t="e">
        <f>AND(Bills!F370,"AAAAAH793y0=")</f>
        <v>#VALUE!</v>
      </c>
      <c r="AU106" t="e">
        <f>AND(Bills!#REF!,"AAAAAH793y4=")</f>
        <v>#REF!</v>
      </c>
      <c r="AV106" t="e">
        <f>AND(Bills!G370,"AAAAAH793y8=")</f>
        <v>#VALUE!</v>
      </c>
      <c r="AW106" t="e">
        <f>AND(Bills!H370,"AAAAAH793zA=")</f>
        <v>#VALUE!</v>
      </c>
      <c r="AX106" t="e">
        <f>AND(Bills!I370,"AAAAAH793zE=")</f>
        <v>#VALUE!</v>
      </c>
      <c r="AY106" t="e">
        <f>AND(Bills!J370,"AAAAAH793zI=")</f>
        <v>#VALUE!</v>
      </c>
      <c r="AZ106" t="e">
        <f>AND(Bills!K370,"AAAAAH793zM=")</f>
        <v>#VALUE!</v>
      </c>
      <c r="BA106" t="e">
        <f>AND(Bills!L370,"AAAAAH793zQ=")</f>
        <v>#VALUE!</v>
      </c>
      <c r="BB106" t="e">
        <f>AND(Bills!#REF!,"AAAAAH793zU=")</f>
        <v>#REF!</v>
      </c>
      <c r="BC106" t="e">
        <f>AND(Bills!M370,"AAAAAH793zY=")</f>
        <v>#VALUE!</v>
      </c>
      <c r="BD106" t="e">
        <f>AND(Bills!N370,"AAAAAH793zc=")</f>
        <v>#VALUE!</v>
      </c>
      <c r="BE106" t="e">
        <f>AND(Bills!O370,"AAAAAH793zg=")</f>
        <v>#VALUE!</v>
      </c>
      <c r="BF106" t="e">
        <f>AND(Bills!P370,"AAAAAH793zk=")</f>
        <v>#VALUE!</v>
      </c>
      <c r="BG106" t="e">
        <f>AND(Bills!Q370,"AAAAAH793zo=")</f>
        <v>#VALUE!</v>
      </c>
      <c r="BH106" t="e">
        <f>AND(Bills!R370,"AAAAAH793zs=")</f>
        <v>#VALUE!</v>
      </c>
      <c r="BI106" t="e">
        <f>AND(Bills!S370,"AAAAAH793zw=")</f>
        <v>#VALUE!</v>
      </c>
      <c r="BJ106" t="e">
        <f>AND(Bills!T370,"AAAAAH793z0=")</f>
        <v>#VALUE!</v>
      </c>
      <c r="BK106" t="e">
        <f>AND(Bills!#REF!,"AAAAAH793z4=")</f>
        <v>#REF!</v>
      </c>
      <c r="BL106" t="e">
        <f>AND(Bills!U370,"AAAAAH793z8=")</f>
        <v>#VALUE!</v>
      </c>
      <c r="BM106" t="e">
        <f>AND(Bills!V370,"AAAAAH7930A=")</f>
        <v>#VALUE!</v>
      </c>
      <c r="BN106" t="e">
        <f>AND(Bills!W370,"AAAAAH7930E=")</f>
        <v>#VALUE!</v>
      </c>
      <c r="BO106" t="e">
        <f>AND(Bills!#REF!,"AAAAAH7930I=")</f>
        <v>#REF!</v>
      </c>
      <c r="BP106" t="e">
        <f>AND(Bills!#REF!,"AAAAAH7930M=")</f>
        <v>#REF!</v>
      </c>
      <c r="BQ106" t="e">
        <f>AND(Bills!Y370,"AAAAAH7930Q=")</f>
        <v>#VALUE!</v>
      </c>
      <c r="BR106" t="e">
        <f>AND(Bills!Z370,"AAAAAH7930U=")</f>
        <v>#VALUE!</v>
      </c>
      <c r="BS106" t="e">
        <f>AND(Bills!#REF!,"AAAAAH7930Y=")</f>
        <v>#REF!</v>
      </c>
      <c r="BT106" t="e">
        <f>AND(Bills!#REF!,"AAAAAH7930c=")</f>
        <v>#REF!</v>
      </c>
      <c r="BU106" t="e">
        <f>AND(Bills!#REF!,"AAAAAH7930g=")</f>
        <v>#REF!</v>
      </c>
      <c r="BV106" t="e">
        <f>AND(Bills!#REF!,"AAAAAH7930k=")</f>
        <v>#REF!</v>
      </c>
      <c r="BW106" t="e">
        <f>AND(Bills!#REF!,"AAAAAH7930o=")</f>
        <v>#REF!</v>
      </c>
      <c r="BX106" t="e">
        <f>AND(Bills!#REF!,"AAAAAH7930s=")</f>
        <v>#REF!</v>
      </c>
      <c r="BY106" t="e">
        <f>AND(Bills!#REF!,"AAAAAH7930w=")</f>
        <v>#REF!</v>
      </c>
      <c r="BZ106" t="e">
        <f>AND(Bills!#REF!,"AAAAAH79300=")</f>
        <v>#REF!</v>
      </c>
      <c r="CA106" t="e">
        <f>AND(Bills!#REF!,"AAAAAH79304=")</f>
        <v>#REF!</v>
      </c>
      <c r="CB106" t="e">
        <f>AND(Bills!AA370,"AAAAAH79308=")</f>
        <v>#VALUE!</v>
      </c>
      <c r="CC106" t="e">
        <f>AND(Bills!AB370,"AAAAAH7931A=")</f>
        <v>#VALUE!</v>
      </c>
      <c r="CD106" t="e">
        <f>AND(Bills!#REF!,"AAAAAH7931E=")</f>
        <v>#REF!</v>
      </c>
      <c r="CE106" t="e">
        <f>AND(Bills!#REF!,"AAAAAH7931I=")</f>
        <v>#REF!</v>
      </c>
      <c r="CF106" t="e">
        <f>AND(Bills!#REF!,"AAAAAH7931M=")</f>
        <v>#REF!</v>
      </c>
      <c r="CG106" t="e">
        <f>AND(Bills!AC370,"AAAAAH7931Q=")</f>
        <v>#VALUE!</v>
      </c>
      <c r="CH106" t="e">
        <f>AND(Bills!AD370,"AAAAAH7931U=")</f>
        <v>#VALUE!</v>
      </c>
      <c r="CI106" t="e">
        <f>AND(Bills!AE370,"AAAAAH7931Y=")</f>
        <v>#VALUE!</v>
      </c>
      <c r="CJ106">
        <f>IF(Bills!371:371,"AAAAAH7931c=",0)</f>
        <v>0</v>
      </c>
      <c r="CK106" t="e">
        <f>AND(Bills!B371,"AAAAAH7931g=")</f>
        <v>#VALUE!</v>
      </c>
      <c r="CL106" t="e">
        <f>AND(Bills!#REF!,"AAAAAH7931k=")</f>
        <v>#REF!</v>
      </c>
      <c r="CM106" t="e">
        <f>AND(Bills!C371,"AAAAAH7931o=")</f>
        <v>#VALUE!</v>
      </c>
      <c r="CN106" t="e">
        <f>AND(Bills!D371,"AAAAAH7931s=")</f>
        <v>#VALUE!</v>
      </c>
      <c r="CO106" t="e">
        <f>AND(Bills!E371,"AAAAAH7931w=")</f>
        <v>#VALUE!</v>
      </c>
      <c r="CP106" t="e">
        <f>AND(Bills!#REF!,"AAAAAH79310=")</f>
        <v>#REF!</v>
      </c>
      <c r="CQ106" t="e">
        <f>AND(Bills!#REF!,"AAAAAH79314=")</f>
        <v>#REF!</v>
      </c>
      <c r="CR106" t="e">
        <f>AND(Bills!#REF!,"AAAAAH79318=")</f>
        <v>#REF!</v>
      </c>
      <c r="CS106" t="e">
        <f>AND(Bills!F371,"AAAAAH7932A=")</f>
        <v>#VALUE!</v>
      </c>
      <c r="CT106" t="e">
        <f>AND(Bills!#REF!,"AAAAAH7932E=")</f>
        <v>#REF!</v>
      </c>
      <c r="CU106" t="e">
        <f>AND(Bills!G371,"AAAAAH7932I=")</f>
        <v>#VALUE!</v>
      </c>
      <c r="CV106" t="e">
        <f>AND(Bills!H371,"AAAAAH7932M=")</f>
        <v>#VALUE!</v>
      </c>
      <c r="CW106" t="e">
        <f>AND(Bills!I371,"AAAAAH7932Q=")</f>
        <v>#VALUE!</v>
      </c>
      <c r="CX106" t="e">
        <f>AND(Bills!J371,"AAAAAH7932U=")</f>
        <v>#VALUE!</v>
      </c>
      <c r="CY106" t="e">
        <f>AND(Bills!K371,"AAAAAH7932Y=")</f>
        <v>#VALUE!</v>
      </c>
      <c r="CZ106" t="e">
        <f>AND(Bills!L371,"AAAAAH7932c=")</f>
        <v>#VALUE!</v>
      </c>
      <c r="DA106" t="e">
        <f>AND(Bills!#REF!,"AAAAAH7932g=")</f>
        <v>#REF!</v>
      </c>
      <c r="DB106" t="e">
        <f>AND(Bills!M371,"AAAAAH7932k=")</f>
        <v>#VALUE!</v>
      </c>
      <c r="DC106" t="e">
        <f>AND(Bills!N371,"AAAAAH7932o=")</f>
        <v>#VALUE!</v>
      </c>
      <c r="DD106" t="e">
        <f>AND(Bills!O371,"AAAAAH7932s=")</f>
        <v>#VALUE!</v>
      </c>
      <c r="DE106" t="e">
        <f>AND(Bills!P371,"AAAAAH7932w=")</f>
        <v>#VALUE!</v>
      </c>
      <c r="DF106" t="e">
        <f>AND(Bills!Q371,"AAAAAH79320=")</f>
        <v>#VALUE!</v>
      </c>
      <c r="DG106" t="e">
        <f>AND(Bills!R371,"AAAAAH79324=")</f>
        <v>#VALUE!</v>
      </c>
      <c r="DH106" t="e">
        <f>AND(Bills!S371,"AAAAAH79328=")</f>
        <v>#VALUE!</v>
      </c>
      <c r="DI106" t="e">
        <f>AND(Bills!T371,"AAAAAH7933A=")</f>
        <v>#VALUE!</v>
      </c>
      <c r="DJ106" t="e">
        <f>AND(Bills!#REF!,"AAAAAH7933E=")</f>
        <v>#REF!</v>
      </c>
      <c r="DK106" t="e">
        <f>AND(Bills!U371,"AAAAAH7933I=")</f>
        <v>#VALUE!</v>
      </c>
      <c r="DL106" t="e">
        <f>AND(Bills!V371,"AAAAAH7933M=")</f>
        <v>#VALUE!</v>
      </c>
      <c r="DM106" t="e">
        <f>AND(Bills!W371,"AAAAAH7933Q=")</f>
        <v>#VALUE!</v>
      </c>
      <c r="DN106" t="e">
        <f>AND(Bills!#REF!,"AAAAAH7933U=")</f>
        <v>#REF!</v>
      </c>
      <c r="DO106" t="e">
        <f>AND(Bills!#REF!,"AAAAAH7933Y=")</f>
        <v>#REF!</v>
      </c>
      <c r="DP106" t="e">
        <f>AND(Bills!Y371,"AAAAAH7933c=")</f>
        <v>#VALUE!</v>
      </c>
      <c r="DQ106" t="e">
        <f>AND(Bills!Z371,"AAAAAH7933g=")</f>
        <v>#VALUE!</v>
      </c>
      <c r="DR106" t="e">
        <f>AND(Bills!#REF!,"AAAAAH7933k=")</f>
        <v>#REF!</v>
      </c>
      <c r="DS106" t="e">
        <f>AND(Bills!#REF!,"AAAAAH7933o=")</f>
        <v>#REF!</v>
      </c>
      <c r="DT106" t="e">
        <f>AND(Bills!#REF!,"AAAAAH7933s=")</f>
        <v>#REF!</v>
      </c>
      <c r="DU106" t="e">
        <f>AND(Bills!#REF!,"AAAAAH7933w=")</f>
        <v>#REF!</v>
      </c>
      <c r="DV106" t="e">
        <f>AND(Bills!#REF!,"AAAAAH79330=")</f>
        <v>#REF!</v>
      </c>
      <c r="DW106" t="e">
        <f>AND(Bills!#REF!,"AAAAAH79334=")</f>
        <v>#REF!</v>
      </c>
      <c r="DX106" t="e">
        <f>AND(Bills!#REF!,"AAAAAH79338=")</f>
        <v>#REF!</v>
      </c>
      <c r="DY106" t="e">
        <f>AND(Bills!#REF!,"AAAAAH7934A=")</f>
        <v>#REF!</v>
      </c>
      <c r="DZ106" t="e">
        <f>AND(Bills!#REF!,"AAAAAH7934E=")</f>
        <v>#REF!</v>
      </c>
      <c r="EA106" t="e">
        <f>AND(Bills!AA371,"AAAAAH7934I=")</f>
        <v>#VALUE!</v>
      </c>
      <c r="EB106" t="e">
        <f>AND(Bills!AB371,"AAAAAH7934M=")</f>
        <v>#VALUE!</v>
      </c>
      <c r="EC106" t="e">
        <f>AND(Bills!#REF!,"AAAAAH7934Q=")</f>
        <v>#REF!</v>
      </c>
      <c r="ED106" t="e">
        <f>AND(Bills!#REF!,"AAAAAH7934U=")</f>
        <v>#REF!</v>
      </c>
      <c r="EE106" t="e">
        <f>AND(Bills!#REF!,"AAAAAH7934Y=")</f>
        <v>#REF!</v>
      </c>
      <c r="EF106" t="e">
        <f>AND(Bills!AC371,"AAAAAH7934c=")</f>
        <v>#VALUE!</v>
      </c>
      <c r="EG106" t="e">
        <f>AND(Bills!AD371,"AAAAAH7934g=")</f>
        <v>#VALUE!</v>
      </c>
      <c r="EH106" t="e">
        <f>AND(Bills!AE371,"AAAAAH7934k=")</f>
        <v>#VALUE!</v>
      </c>
      <c r="EI106">
        <f>IF(Bills!372:372,"AAAAAH7934o=",0)</f>
        <v>0</v>
      </c>
      <c r="EJ106" t="e">
        <f>AND(Bills!B372,"AAAAAH7934s=")</f>
        <v>#VALUE!</v>
      </c>
      <c r="EK106" t="e">
        <f>AND(Bills!#REF!,"AAAAAH7934w=")</f>
        <v>#REF!</v>
      </c>
      <c r="EL106" t="e">
        <f>AND(Bills!C372,"AAAAAH79340=")</f>
        <v>#VALUE!</v>
      </c>
      <c r="EM106" t="e">
        <f>AND(Bills!D372,"AAAAAH79344=")</f>
        <v>#VALUE!</v>
      </c>
      <c r="EN106" t="e">
        <f>AND(Bills!E372,"AAAAAH79348=")</f>
        <v>#VALUE!</v>
      </c>
      <c r="EO106" t="e">
        <f>AND(Bills!#REF!,"AAAAAH7935A=")</f>
        <v>#REF!</v>
      </c>
      <c r="EP106" t="e">
        <f>AND(Bills!#REF!,"AAAAAH7935E=")</f>
        <v>#REF!</v>
      </c>
      <c r="EQ106" t="e">
        <f>AND(Bills!#REF!,"AAAAAH7935I=")</f>
        <v>#REF!</v>
      </c>
      <c r="ER106" t="e">
        <f>AND(Bills!F372,"AAAAAH7935M=")</f>
        <v>#VALUE!</v>
      </c>
      <c r="ES106" t="e">
        <f>AND(Bills!#REF!,"AAAAAH7935Q=")</f>
        <v>#REF!</v>
      </c>
      <c r="ET106" t="e">
        <f>AND(Bills!G372,"AAAAAH7935U=")</f>
        <v>#VALUE!</v>
      </c>
      <c r="EU106" t="e">
        <f>AND(Bills!H372,"AAAAAH7935Y=")</f>
        <v>#VALUE!</v>
      </c>
      <c r="EV106" t="e">
        <f>AND(Bills!I372,"AAAAAH7935c=")</f>
        <v>#VALUE!</v>
      </c>
      <c r="EW106" t="e">
        <f>AND(Bills!J372,"AAAAAH7935g=")</f>
        <v>#VALUE!</v>
      </c>
      <c r="EX106" t="e">
        <f>AND(Bills!K372,"AAAAAH7935k=")</f>
        <v>#VALUE!</v>
      </c>
      <c r="EY106" t="e">
        <f>AND(Bills!L372,"AAAAAH7935o=")</f>
        <v>#VALUE!</v>
      </c>
      <c r="EZ106" t="e">
        <f>AND(Bills!#REF!,"AAAAAH7935s=")</f>
        <v>#REF!</v>
      </c>
      <c r="FA106" t="e">
        <f>AND(Bills!M372,"AAAAAH7935w=")</f>
        <v>#VALUE!</v>
      </c>
      <c r="FB106" t="e">
        <f>AND(Bills!N372,"AAAAAH79350=")</f>
        <v>#VALUE!</v>
      </c>
      <c r="FC106" t="e">
        <f>AND(Bills!O372,"AAAAAH79354=")</f>
        <v>#VALUE!</v>
      </c>
      <c r="FD106" t="e">
        <f>AND(Bills!P372,"AAAAAH79358=")</f>
        <v>#VALUE!</v>
      </c>
      <c r="FE106" t="e">
        <f>AND(Bills!Q372,"AAAAAH7936A=")</f>
        <v>#VALUE!</v>
      </c>
      <c r="FF106" t="e">
        <f>AND(Bills!R372,"AAAAAH7936E=")</f>
        <v>#VALUE!</v>
      </c>
      <c r="FG106" t="e">
        <f>AND(Bills!S372,"AAAAAH7936I=")</f>
        <v>#VALUE!</v>
      </c>
      <c r="FH106" t="e">
        <f>AND(Bills!T372,"AAAAAH7936M=")</f>
        <v>#VALUE!</v>
      </c>
      <c r="FI106" t="e">
        <f>AND(Bills!#REF!,"AAAAAH7936Q=")</f>
        <v>#REF!</v>
      </c>
      <c r="FJ106" t="e">
        <f>AND(Bills!U372,"AAAAAH7936U=")</f>
        <v>#VALUE!</v>
      </c>
      <c r="FK106" t="e">
        <f>AND(Bills!V372,"AAAAAH7936Y=")</f>
        <v>#VALUE!</v>
      </c>
      <c r="FL106" t="e">
        <f>AND(Bills!W372,"AAAAAH7936c=")</f>
        <v>#VALUE!</v>
      </c>
      <c r="FM106" t="e">
        <f>AND(Bills!#REF!,"AAAAAH7936g=")</f>
        <v>#REF!</v>
      </c>
      <c r="FN106" t="e">
        <f>AND(Bills!#REF!,"AAAAAH7936k=")</f>
        <v>#REF!</v>
      </c>
      <c r="FO106" t="e">
        <f>AND(Bills!Y372,"AAAAAH7936o=")</f>
        <v>#VALUE!</v>
      </c>
      <c r="FP106" t="e">
        <f>AND(Bills!Z372,"AAAAAH7936s=")</f>
        <v>#VALUE!</v>
      </c>
      <c r="FQ106" t="e">
        <f>AND(Bills!#REF!,"AAAAAH7936w=")</f>
        <v>#REF!</v>
      </c>
      <c r="FR106" t="e">
        <f>AND(Bills!#REF!,"AAAAAH79360=")</f>
        <v>#REF!</v>
      </c>
      <c r="FS106" t="e">
        <f>AND(Bills!#REF!,"AAAAAH79364=")</f>
        <v>#REF!</v>
      </c>
      <c r="FT106" t="e">
        <f>AND(Bills!#REF!,"AAAAAH79368=")</f>
        <v>#REF!</v>
      </c>
      <c r="FU106" t="e">
        <f>AND(Bills!#REF!,"AAAAAH7937A=")</f>
        <v>#REF!</v>
      </c>
      <c r="FV106" t="e">
        <f>AND(Bills!#REF!,"AAAAAH7937E=")</f>
        <v>#REF!</v>
      </c>
      <c r="FW106" t="e">
        <f>AND(Bills!#REF!,"AAAAAH7937I=")</f>
        <v>#REF!</v>
      </c>
      <c r="FX106" t="e">
        <f>AND(Bills!#REF!,"AAAAAH7937M=")</f>
        <v>#REF!</v>
      </c>
      <c r="FY106" t="e">
        <f>AND(Bills!#REF!,"AAAAAH7937Q=")</f>
        <v>#REF!</v>
      </c>
      <c r="FZ106" t="e">
        <f>AND(Bills!AA372,"AAAAAH7937U=")</f>
        <v>#VALUE!</v>
      </c>
      <c r="GA106" t="e">
        <f>AND(Bills!AB372,"AAAAAH7937Y=")</f>
        <v>#VALUE!</v>
      </c>
      <c r="GB106" t="e">
        <f>AND(Bills!#REF!,"AAAAAH7937c=")</f>
        <v>#REF!</v>
      </c>
      <c r="GC106" t="e">
        <f>AND(Bills!#REF!,"AAAAAH7937g=")</f>
        <v>#REF!</v>
      </c>
      <c r="GD106" t="e">
        <f>AND(Bills!#REF!,"AAAAAH7937k=")</f>
        <v>#REF!</v>
      </c>
      <c r="GE106" t="e">
        <f>AND(Bills!AC372,"AAAAAH7937o=")</f>
        <v>#VALUE!</v>
      </c>
      <c r="GF106" t="e">
        <f>AND(Bills!AD372,"AAAAAH7937s=")</f>
        <v>#VALUE!</v>
      </c>
      <c r="GG106" t="e">
        <f>AND(Bills!AE372,"AAAAAH7937w=")</f>
        <v>#VALUE!</v>
      </c>
      <c r="GH106">
        <f>IF(Bills!373:373,"AAAAAH79370=",0)</f>
        <v>0</v>
      </c>
      <c r="GI106" t="e">
        <f>AND(Bills!B373,"AAAAAH79374=")</f>
        <v>#VALUE!</v>
      </c>
      <c r="GJ106" t="e">
        <f>AND(Bills!#REF!,"AAAAAH79378=")</f>
        <v>#REF!</v>
      </c>
      <c r="GK106" t="e">
        <f>AND(Bills!C373,"AAAAAH7938A=")</f>
        <v>#VALUE!</v>
      </c>
      <c r="GL106" t="e">
        <f>AND(Bills!D373,"AAAAAH7938E=")</f>
        <v>#VALUE!</v>
      </c>
      <c r="GM106" t="e">
        <f>AND(Bills!E373,"AAAAAH7938I=")</f>
        <v>#VALUE!</v>
      </c>
      <c r="GN106" t="e">
        <f>AND(Bills!#REF!,"AAAAAH7938M=")</f>
        <v>#REF!</v>
      </c>
      <c r="GO106" t="e">
        <f>AND(Bills!#REF!,"AAAAAH7938Q=")</f>
        <v>#REF!</v>
      </c>
      <c r="GP106" t="e">
        <f>AND(Bills!#REF!,"AAAAAH7938U=")</f>
        <v>#REF!</v>
      </c>
      <c r="GQ106" t="e">
        <f>AND(Bills!F373,"AAAAAH7938Y=")</f>
        <v>#VALUE!</v>
      </c>
      <c r="GR106" t="e">
        <f>AND(Bills!#REF!,"AAAAAH7938c=")</f>
        <v>#REF!</v>
      </c>
      <c r="GS106" t="e">
        <f>AND(Bills!G373,"AAAAAH7938g=")</f>
        <v>#VALUE!</v>
      </c>
      <c r="GT106" t="e">
        <f>AND(Bills!H373,"AAAAAH7938k=")</f>
        <v>#VALUE!</v>
      </c>
      <c r="GU106" t="e">
        <f>AND(Bills!I373,"AAAAAH7938o=")</f>
        <v>#VALUE!</v>
      </c>
      <c r="GV106" t="e">
        <f>AND(Bills!J373,"AAAAAH7938s=")</f>
        <v>#VALUE!</v>
      </c>
      <c r="GW106" t="e">
        <f>AND(Bills!K373,"AAAAAH7938w=")</f>
        <v>#VALUE!</v>
      </c>
      <c r="GX106" t="e">
        <f>AND(Bills!L373,"AAAAAH79380=")</f>
        <v>#VALUE!</v>
      </c>
      <c r="GY106" t="e">
        <f>AND(Bills!#REF!,"AAAAAH79384=")</f>
        <v>#REF!</v>
      </c>
      <c r="GZ106" t="e">
        <f>AND(Bills!M373,"AAAAAH79388=")</f>
        <v>#VALUE!</v>
      </c>
      <c r="HA106" t="e">
        <f>AND(Bills!N373,"AAAAAH7939A=")</f>
        <v>#VALUE!</v>
      </c>
      <c r="HB106" t="e">
        <f>AND(Bills!O373,"AAAAAH7939E=")</f>
        <v>#VALUE!</v>
      </c>
      <c r="HC106" t="e">
        <f>AND(Bills!P373,"AAAAAH7939I=")</f>
        <v>#VALUE!</v>
      </c>
      <c r="HD106" t="e">
        <f>AND(Bills!Q373,"AAAAAH7939M=")</f>
        <v>#VALUE!</v>
      </c>
      <c r="HE106" t="e">
        <f>AND(Bills!R373,"AAAAAH7939Q=")</f>
        <v>#VALUE!</v>
      </c>
      <c r="HF106" t="e">
        <f>AND(Bills!S373,"AAAAAH7939U=")</f>
        <v>#VALUE!</v>
      </c>
      <c r="HG106" t="e">
        <f>AND(Bills!T373,"AAAAAH7939Y=")</f>
        <v>#VALUE!</v>
      </c>
      <c r="HH106" t="e">
        <f>AND(Bills!#REF!,"AAAAAH7939c=")</f>
        <v>#REF!</v>
      </c>
      <c r="HI106" t="e">
        <f>AND(Bills!U373,"AAAAAH7939g=")</f>
        <v>#VALUE!</v>
      </c>
      <c r="HJ106" t="e">
        <f>AND(Bills!V373,"AAAAAH7939k=")</f>
        <v>#VALUE!</v>
      </c>
      <c r="HK106" t="e">
        <f>AND(Bills!W373,"AAAAAH7939o=")</f>
        <v>#VALUE!</v>
      </c>
      <c r="HL106" t="e">
        <f>AND(Bills!#REF!,"AAAAAH7939s=")</f>
        <v>#REF!</v>
      </c>
      <c r="HM106" t="e">
        <f>AND(Bills!#REF!,"AAAAAH7939w=")</f>
        <v>#REF!</v>
      </c>
      <c r="HN106" t="e">
        <f>AND(Bills!Y373,"AAAAAH79390=")</f>
        <v>#VALUE!</v>
      </c>
      <c r="HO106" t="e">
        <f>AND(Bills!Z373,"AAAAAH79394=")</f>
        <v>#VALUE!</v>
      </c>
      <c r="HP106" t="e">
        <f>AND(Bills!#REF!,"AAAAAH79398=")</f>
        <v>#REF!</v>
      </c>
      <c r="HQ106" t="e">
        <f>AND(Bills!#REF!,"AAAAAH793+A=")</f>
        <v>#REF!</v>
      </c>
      <c r="HR106" t="e">
        <f>AND(Bills!#REF!,"AAAAAH793+E=")</f>
        <v>#REF!</v>
      </c>
      <c r="HS106" t="e">
        <f>AND(Bills!#REF!,"AAAAAH793+I=")</f>
        <v>#REF!</v>
      </c>
      <c r="HT106" t="e">
        <f>AND(Bills!#REF!,"AAAAAH793+M=")</f>
        <v>#REF!</v>
      </c>
      <c r="HU106" t="e">
        <f>AND(Bills!#REF!,"AAAAAH793+Q=")</f>
        <v>#REF!</v>
      </c>
      <c r="HV106" t="e">
        <f>AND(Bills!#REF!,"AAAAAH793+U=")</f>
        <v>#REF!</v>
      </c>
      <c r="HW106" t="e">
        <f>AND(Bills!#REF!,"AAAAAH793+Y=")</f>
        <v>#REF!</v>
      </c>
      <c r="HX106" t="e">
        <f>AND(Bills!#REF!,"AAAAAH793+c=")</f>
        <v>#REF!</v>
      </c>
      <c r="HY106" t="e">
        <f>AND(Bills!AA373,"AAAAAH793+g=")</f>
        <v>#VALUE!</v>
      </c>
      <c r="HZ106" t="e">
        <f>AND(Bills!AB373,"AAAAAH793+k=")</f>
        <v>#VALUE!</v>
      </c>
      <c r="IA106" t="e">
        <f>AND(Bills!#REF!,"AAAAAH793+o=")</f>
        <v>#REF!</v>
      </c>
      <c r="IB106" t="e">
        <f>AND(Bills!#REF!,"AAAAAH793+s=")</f>
        <v>#REF!</v>
      </c>
      <c r="IC106" t="e">
        <f>AND(Bills!#REF!,"AAAAAH793+w=")</f>
        <v>#REF!</v>
      </c>
      <c r="ID106" t="e">
        <f>AND(Bills!AC373,"AAAAAH793+0=")</f>
        <v>#VALUE!</v>
      </c>
      <c r="IE106" t="e">
        <f>AND(Bills!AD373,"AAAAAH793+4=")</f>
        <v>#VALUE!</v>
      </c>
      <c r="IF106" t="e">
        <f>AND(Bills!AE373,"AAAAAH793+8=")</f>
        <v>#VALUE!</v>
      </c>
      <c r="IG106">
        <f>IF(Bills!374:374,"AAAAAH793/A=",0)</f>
        <v>0</v>
      </c>
      <c r="IH106" t="e">
        <f>AND(Bills!B374,"AAAAAH793/E=")</f>
        <v>#VALUE!</v>
      </c>
      <c r="II106" t="e">
        <f>AND(Bills!#REF!,"AAAAAH793/I=")</f>
        <v>#REF!</v>
      </c>
      <c r="IJ106" t="e">
        <f>AND(Bills!C374,"AAAAAH793/M=")</f>
        <v>#VALUE!</v>
      </c>
      <c r="IK106" t="e">
        <f>AND(Bills!D374,"AAAAAH793/Q=")</f>
        <v>#VALUE!</v>
      </c>
      <c r="IL106" t="e">
        <f>AND(Bills!E374,"AAAAAH793/U=")</f>
        <v>#VALUE!</v>
      </c>
      <c r="IM106" t="e">
        <f>AND(Bills!#REF!,"AAAAAH793/Y=")</f>
        <v>#REF!</v>
      </c>
      <c r="IN106" t="e">
        <f>AND(Bills!#REF!,"AAAAAH793/c=")</f>
        <v>#REF!</v>
      </c>
      <c r="IO106" t="e">
        <f>AND(Bills!#REF!,"AAAAAH793/g=")</f>
        <v>#REF!</v>
      </c>
      <c r="IP106" t="e">
        <f>AND(Bills!F374,"AAAAAH793/k=")</f>
        <v>#VALUE!</v>
      </c>
      <c r="IQ106" t="e">
        <f>AND(Bills!#REF!,"AAAAAH793/o=")</f>
        <v>#REF!</v>
      </c>
      <c r="IR106" t="e">
        <f>AND(Bills!G374,"AAAAAH793/s=")</f>
        <v>#VALUE!</v>
      </c>
      <c r="IS106" t="e">
        <f>AND(Bills!H374,"AAAAAH793/w=")</f>
        <v>#VALUE!</v>
      </c>
      <c r="IT106" t="e">
        <f>AND(Bills!I374,"AAAAAH793/0=")</f>
        <v>#VALUE!</v>
      </c>
      <c r="IU106" t="e">
        <f>AND(Bills!J374,"AAAAAH793/4=")</f>
        <v>#VALUE!</v>
      </c>
      <c r="IV106" t="e">
        <f>AND(Bills!K374,"AAAAAH793/8=")</f>
        <v>#VALUE!</v>
      </c>
    </row>
    <row r="107" spans="1:256" x14ac:dyDescent="0.25">
      <c r="A107" t="e">
        <f>AND(Bills!L374,"AAAAAFc3UQA=")</f>
        <v>#VALUE!</v>
      </c>
      <c r="B107" t="e">
        <f>AND(Bills!#REF!,"AAAAAFc3UQE=")</f>
        <v>#REF!</v>
      </c>
      <c r="C107" t="e">
        <f>AND(Bills!M374,"AAAAAFc3UQI=")</f>
        <v>#VALUE!</v>
      </c>
      <c r="D107" t="e">
        <f>AND(Bills!N374,"AAAAAFc3UQM=")</f>
        <v>#VALUE!</v>
      </c>
      <c r="E107" t="e">
        <f>AND(Bills!O374,"AAAAAFc3UQQ=")</f>
        <v>#VALUE!</v>
      </c>
      <c r="F107" t="e">
        <f>AND(Bills!P374,"AAAAAFc3UQU=")</f>
        <v>#VALUE!</v>
      </c>
      <c r="G107" t="e">
        <f>AND(Bills!Q374,"AAAAAFc3UQY=")</f>
        <v>#VALUE!</v>
      </c>
      <c r="H107" t="e">
        <f>AND(Bills!R374,"AAAAAFc3UQc=")</f>
        <v>#VALUE!</v>
      </c>
      <c r="I107" t="e">
        <f>AND(Bills!S374,"AAAAAFc3UQg=")</f>
        <v>#VALUE!</v>
      </c>
      <c r="J107" t="e">
        <f>AND(Bills!T374,"AAAAAFc3UQk=")</f>
        <v>#VALUE!</v>
      </c>
      <c r="K107" t="e">
        <f>AND(Bills!#REF!,"AAAAAFc3UQo=")</f>
        <v>#REF!</v>
      </c>
      <c r="L107" t="e">
        <f>AND(Bills!U374,"AAAAAFc3UQs=")</f>
        <v>#VALUE!</v>
      </c>
      <c r="M107" t="e">
        <f>AND(Bills!V374,"AAAAAFc3UQw=")</f>
        <v>#VALUE!</v>
      </c>
      <c r="N107" t="e">
        <f>AND(Bills!W374,"AAAAAFc3UQ0=")</f>
        <v>#VALUE!</v>
      </c>
      <c r="O107" t="e">
        <f>AND(Bills!#REF!,"AAAAAFc3UQ4=")</f>
        <v>#REF!</v>
      </c>
      <c r="P107" t="e">
        <f>AND(Bills!#REF!,"AAAAAFc3UQ8=")</f>
        <v>#REF!</v>
      </c>
      <c r="Q107" t="e">
        <f>AND(Bills!Y374,"AAAAAFc3URA=")</f>
        <v>#VALUE!</v>
      </c>
      <c r="R107" t="e">
        <f>AND(Bills!Z374,"AAAAAFc3URE=")</f>
        <v>#VALUE!</v>
      </c>
      <c r="S107" t="e">
        <f>AND(Bills!#REF!,"AAAAAFc3URI=")</f>
        <v>#REF!</v>
      </c>
      <c r="T107" t="e">
        <f>AND(Bills!#REF!,"AAAAAFc3URM=")</f>
        <v>#REF!</v>
      </c>
      <c r="U107" t="e">
        <f>AND(Bills!#REF!,"AAAAAFc3URQ=")</f>
        <v>#REF!</v>
      </c>
      <c r="V107" t="e">
        <f>AND(Bills!#REF!,"AAAAAFc3URU=")</f>
        <v>#REF!</v>
      </c>
      <c r="W107" t="e">
        <f>AND(Bills!#REF!,"AAAAAFc3URY=")</f>
        <v>#REF!</v>
      </c>
      <c r="X107" t="e">
        <f>AND(Bills!#REF!,"AAAAAFc3URc=")</f>
        <v>#REF!</v>
      </c>
      <c r="Y107" t="e">
        <f>AND(Bills!#REF!,"AAAAAFc3URg=")</f>
        <v>#REF!</v>
      </c>
      <c r="Z107" t="e">
        <f>AND(Bills!#REF!,"AAAAAFc3URk=")</f>
        <v>#REF!</v>
      </c>
      <c r="AA107" t="e">
        <f>AND(Bills!#REF!,"AAAAAFc3URo=")</f>
        <v>#REF!</v>
      </c>
      <c r="AB107" t="e">
        <f>AND(Bills!AA374,"AAAAAFc3URs=")</f>
        <v>#VALUE!</v>
      </c>
      <c r="AC107" t="e">
        <f>AND(Bills!AB374,"AAAAAFc3URw=")</f>
        <v>#VALUE!</v>
      </c>
      <c r="AD107" t="e">
        <f>AND(Bills!#REF!,"AAAAAFc3UR0=")</f>
        <v>#REF!</v>
      </c>
      <c r="AE107" t="e">
        <f>AND(Bills!#REF!,"AAAAAFc3UR4=")</f>
        <v>#REF!</v>
      </c>
      <c r="AF107" t="e">
        <f>AND(Bills!#REF!,"AAAAAFc3UR8=")</f>
        <v>#REF!</v>
      </c>
      <c r="AG107" t="e">
        <f>AND(Bills!AC374,"AAAAAFc3USA=")</f>
        <v>#VALUE!</v>
      </c>
      <c r="AH107" t="e">
        <f>AND(Bills!AD374,"AAAAAFc3USE=")</f>
        <v>#VALUE!</v>
      </c>
      <c r="AI107" t="e">
        <f>AND(Bills!AE374,"AAAAAFc3USI=")</f>
        <v>#VALUE!</v>
      </c>
      <c r="AJ107">
        <f>IF(Bills!375:375,"AAAAAFc3USM=",0)</f>
        <v>0</v>
      </c>
      <c r="AK107" t="e">
        <f>AND(Bills!B375,"AAAAAFc3USQ=")</f>
        <v>#VALUE!</v>
      </c>
      <c r="AL107" t="e">
        <f>AND(Bills!#REF!,"AAAAAFc3USU=")</f>
        <v>#REF!</v>
      </c>
      <c r="AM107" t="e">
        <f>AND(Bills!C375,"AAAAAFc3USY=")</f>
        <v>#VALUE!</v>
      </c>
      <c r="AN107" t="e">
        <f>AND(Bills!D375,"AAAAAFc3USc=")</f>
        <v>#VALUE!</v>
      </c>
      <c r="AO107" t="e">
        <f>AND(Bills!E375,"AAAAAFc3USg=")</f>
        <v>#VALUE!</v>
      </c>
      <c r="AP107" t="e">
        <f>AND(Bills!#REF!,"AAAAAFc3USk=")</f>
        <v>#REF!</v>
      </c>
      <c r="AQ107" t="e">
        <f>AND(Bills!#REF!,"AAAAAFc3USo=")</f>
        <v>#REF!</v>
      </c>
      <c r="AR107" t="e">
        <f>AND(Bills!#REF!,"AAAAAFc3USs=")</f>
        <v>#REF!</v>
      </c>
      <c r="AS107" t="e">
        <f>AND(Bills!F375,"AAAAAFc3USw=")</f>
        <v>#VALUE!</v>
      </c>
      <c r="AT107" t="e">
        <f>AND(Bills!#REF!,"AAAAAFc3US0=")</f>
        <v>#REF!</v>
      </c>
      <c r="AU107" t="e">
        <f>AND(Bills!G375,"AAAAAFc3US4=")</f>
        <v>#VALUE!</v>
      </c>
      <c r="AV107" t="e">
        <f>AND(Bills!H375,"AAAAAFc3US8=")</f>
        <v>#VALUE!</v>
      </c>
      <c r="AW107" t="e">
        <f>AND(Bills!I375,"AAAAAFc3UTA=")</f>
        <v>#VALUE!</v>
      </c>
      <c r="AX107" t="e">
        <f>AND(Bills!J375,"AAAAAFc3UTE=")</f>
        <v>#VALUE!</v>
      </c>
      <c r="AY107" t="e">
        <f>AND(Bills!K375,"AAAAAFc3UTI=")</f>
        <v>#VALUE!</v>
      </c>
      <c r="AZ107" t="e">
        <f>AND(Bills!L375,"AAAAAFc3UTM=")</f>
        <v>#VALUE!</v>
      </c>
      <c r="BA107" t="e">
        <f>AND(Bills!#REF!,"AAAAAFc3UTQ=")</f>
        <v>#REF!</v>
      </c>
      <c r="BB107" t="e">
        <f>AND(Bills!M375,"AAAAAFc3UTU=")</f>
        <v>#VALUE!</v>
      </c>
      <c r="BC107" t="e">
        <f>AND(Bills!N375,"AAAAAFc3UTY=")</f>
        <v>#VALUE!</v>
      </c>
      <c r="BD107" t="e">
        <f>AND(Bills!O375,"AAAAAFc3UTc=")</f>
        <v>#VALUE!</v>
      </c>
      <c r="BE107" t="e">
        <f>AND(Bills!P375,"AAAAAFc3UTg=")</f>
        <v>#VALUE!</v>
      </c>
      <c r="BF107" t="e">
        <f>AND(Bills!Q375,"AAAAAFc3UTk=")</f>
        <v>#VALUE!</v>
      </c>
      <c r="BG107" t="e">
        <f>AND(Bills!R375,"AAAAAFc3UTo=")</f>
        <v>#VALUE!</v>
      </c>
      <c r="BH107" t="e">
        <f>AND(Bills!S375,"AAAAAFc3UTs=")</f>
        <v>#VALUE!</v>
      </c>
      <c r="BI107" t="e">
        <f>AND(Bills!T375,"AAAAAFc3UTw=")</f>
        <v>#VALUE!</v>
      </c>
      <c r="BJ107" t="e">
        <f>AND(Bills!#REF!,"AAAAAFc3UT0=")</f>
        <v>#REF!</v>
      </c>
      <c r="BK107" t="e">
        <f>AND(Bills!U375,"AAAAAFc3UT4=")</f>
        <v>#VALUE!</v>
      </c>
      <c r="BL107" t="e">
        <f>AND(Bills!V375,"AAAAAFc3UT8=")</f>
        <v>#VALUE!</v>
      </c>
      <c r="BM107" t="e">
        <f>AND(Bills!W375,"AAAAAFc3UUA=")</f>
        <v>#VALUE!</v>
      </c>
      <c r="BN107" t="e">
        <f>AND(Bills!#REF!,"AAAAAFc3UUE=")</f>
        <v>#REF!</v>
      </c>
      <c r="BO107" t="e">
        <f>AND(Bills!#REF!,"AAAAAFc3UUI=")</f>
        <v>#REF!</v>
      </c>
      <c r="BP107" t="e">
        <f>AND(Bills!Y375,"AAAAAFc3UUM=")</f>
        <v>#VALUE!</v>
      </c>
      <c r="BQ107" t="e">
        <f>AND(Bills!Z375,"AAAAAFc3UUQ=")</f>
        <v>#VALUE!</v>
      </c>
      <c r="BR107" t="e">
        <f>AND(Bills!#REF!,"AAAAAFc3UUU=")</f>
        <v>#REF!</v>
      </c>
      <c r="BS107" t="e">
        <f>AND(Bills!#REF!,"AAAAAFc3UUY=")</f>
        <v>#REF!</v>
      </c>
      <c r="BT107" t="e">
        <f>AND(Bills!#REF!,"AAAAAFc3UUc=")</f>
        <v>#REF!</v>
      </c>
      <c r="BU107" t="e">
        <f>AND(Bills!#REF!,"AAAAAFc3UUg=")</f>
        <v>#REF!</v>
      </c>
      <c r="BV107" t="e">
        <f>AND(Bills!#REF!,"AAAAAFc3UUk=")</f>
        <v>#REF!</v>
      </c>
      <c r="BW107" t="e">
        <f>AND(Bills!#REF!,"AAAAAFc3UUo=")</f>
        <v>#REF!</v>
      </c>
      <c r="BX107" t="e">
        <f>AND(Bills!#REF!,"AAAAAFc3UUs=")</f>
        <v>#REF!</v>
      </c>
      <c r="BY107" t="e">
        <f>AND(Bills!#REF!,"AAAAAFc3UUw=")</f>
        <v>#REF!</v>
      </c>
      <c r="BZ107" t="e">
        <f>AND(Bills!#REF!,"AAAAAFc3UU0=")</f>
        <v>#REF!</v>
      </c>
      <c r="CA107" t="e">
        <f>AND(Bills!AA375,"AAAAAFc3UU4=")</f>
        <v>#VALUE!</v>
      </c>
      <c r="CB107" t="e">
        <f>AND(Bills!AB375,"AAAAAFc3UU8=")</f>
        <v>#VALUE!</v>
      </c>
      <c r="CC107" t="e">
        <f>AND(Bills!#REF!,"AAAAAFc3UVA=")</f>
        <v>#REF!</v>
      </c>
      <c r="CD107" t="e">
        <f>AND(Bills!#REF!,"AAAAAFc3UVE=")</f>
        <v>#REF!</v>
      </c>
      <c r="CE107" t="e">
        <f>AND(Bills!#REF!,"AAAAAFc3UVI=")</f>
        <v>#REF!</v>
      </c>
      <c r="CF107" t="e">
        <f>AND(Bills!AC375,"AAAAAFc3UVM=")</f>
        <v>#VALUE!</v>
      </c>
      <c r="CG107" t="e">
        <f>AND(Bills!AD375,"AAAAAFc3UVQ=")</f>
        <v>#VALUE!</v>
      </c>
      <c r="CH107" t="e">
        <f>AND(Bills!AE375,"AAAAAFc3UVU=")</f>
        <v>#VALUE!</v>
      </c>
      <c r="CI107">
        <f>IF(Bills!376:376,"AAAAAFc3UVY=",0)</f>
        <v>0</v>
      </c>
      <c r="CJ107" t="e">
        <f>AND(Bills!B376,"AAAAAFc3UVc=")</f>
        <v>#VALUE!</v>
      </c>
      <c r="CK107" t="e">
        <f>AND(Bills!#REF!,"AAAAAFc3UVg=")</f>
        <v>#REF!</v>
      </c>
      <c r="CL107" t="e">
        <f>AND(Bills!C376,"AAAAAFc3UVk=")</f>
        <v>#VALUE!</v>
      </c>
      <c r="CM107" t="e">
        <f>AND(Bills!D376,"AAAAAFc3UVo=")</f>
        <v>#VALUE!</v>
      </c>
      <c r="CN107" t="e">
        <f>AND(Bills!E376,"AAAAAFc3UVs=")</f>
        <v>#VALUE!</v>
      </c>
      <c r="CO107" t="e">
        <f>AND(Bills!#REF!,"AAAAAFc3UVw=")</f>
        <v>#REF!</v>
      </c>
      <c r="CP107" t="e">
        <f>AND(Bills!#REF!,"AAAAAFc3UV0=")</f>
        <v>#REF!</v>
      </c>
      <c r="CQ107" t="e">
        <f>AND(Bills!#REF!,"AAAAAFc3UV4=")</f>
        <v>#REF!</v>
      </c>
      <c r="CR107" t="e">
        <f>AND(Bills!F376,"AAAAAFc3UV8=")</f>
        <v>#VALUE!</v>
      </c>
      <c r="CS107" t="e">
        <f>AND(Bills!#REF!,"AAAAAFc3UWA=")</f>
        <v>#REF!</v>
      </c>
      <c r="CT107" t="e">
        <f>AND(Bills!G376,"AAAAAFc3UWE=")</f>
        <v>#VALUE!</v>
      </c>
      <c r="CU107" t="e">
        <f>AND(Bills!H376,"AAAAAFc3UWI=")</f>
        <v>#VALUE!</v>
      </c>
      <c r="CV107" t="e">
        <f>AND(Bills!I376,"AAAAAFc3UWM=")</f>
        <v>#VALUE!</v>
      </c>
      <c r="CW107" t="e">
        <f>AND(Bills!J376,"AAAAAFc3UWQ=")</f>
        <v>#VALUE!</v>
      </c>
      <c r="CX107" t="e">
        <f>AND(Bills!K376,"AAAAAFc3UWU=")</f>
        <v>#VALUE!</v>
      </c>
      <c r="CY107" t="e">
        <f>AND(Bills!L376,"AAAAAFc3UWY=")</f>
        <v>#VALUE!</v>
      </c>
      <c r="CZ107" t="e">
        <f>AND(Bills!#REF!,"AAAAAFc3UWc=")</f>
        <v>#REF!</v>
      </c>
      <c r="DA107" t="e">
        <f>AND(Bills!M376,"AAAAAFc3UWg=")</f>
        <v>#VALUE!</v>
      </c>
      <c r="DB107" t="e">
        <f>AND(Bills!N376,"AAAAAFc3UWk=")</f>
        <v>#VALUE!</v>
      </c>
      <c r="DC107" t="e">
        <f>AND(Bills!O376,"AAAAAFc3UWo=")</f>
        <v>#VALUE!</v>
      </c>
      <c r="DD107" t="e">
        <f>AND(Bills!P376,"AAAAAFc3UWs=")</f>
        <v>#VALUE!</v>
      </c>
      <c r="DE107" t="e">
        <f>AND(Bills!Q376,"AAAAAFc3UWw=")</f>
        <v>#VALUE!</v>
      </c>
      <c r="DF107" t="e">
        <f>AND(Bills!R376,"AAAAAFc3UW0=")</f>
        <v>#VALUE!</v>
      </c>
      <c r="DG107" t="e">
        <f>AND(Bills!S376,"AAAAAFc3UW4=")</f>
        <v>#VALUE!</v>
      </c>
      <c r="DH107" t="e">
        <f>AND(Bills!T376,"AAAAAFc3UW8=")</f>
        <v>#VALUE!</v>
      </c>
      <c r="DI107" t="e">
        <f>AND(Bills!#REF!,"AAAAAFc3UXA=")</f>
        <v>#REF!</v>
      </c>
      <c r="DJ107" t="e">
        <f>AND(Bills!U376,"AAAAAFc3UXE=")</f>
        <v>#VALUE!</v>
      </c>
      <c r="DK107" t="e">
        <f>AND(Bills!V376,"AAAAAFc3UXI=")</f>
        <v>#VALUE!</v>
      </c>
      <c r="DL107" t="e">
        <f>AND(Bills!W376,"AAAAAFc3UXM=")</f>
        <v>#VALUE!</v>
      </c>
      <c r="DM107" t="e">
        <f>AND(Bills!#REF!,"AAAAAFc3UXQ=")</f>
        <v>#REF!</v>
      </c>
      <c r="DN107" t="e">
        <f>AND(Bills!#REF!,"AAAAAFc3UXU=")</f>
        <v>#REF!</v>
      </c>
      <c r="DO107" t="e">
        <f>AND(Bills!Y376,"AAAAAFc3UXY=")</f>
        <v>#VALUE!</v>
      </c>
      <c r="DP107" t="e">
        <f>AND(Bills!Z376,"AAAAAFc3UXc=")</f>
        <v>#VALUE!</v>
      </c>
      <c r="DQ107" t="e">
        <f>AND(Bills!#REF!,"AAAAAFc3UXg=")</f>
        <v>#REF!</v>
      </c>
      <c r="DR107" t="e">
        <f>AND(Bills!#REF!,"AAAAAFc3UXk=")</f>
        <v>#REF!</v>
      </c>
      <c r="DS107" t="e">
        <f>AND(Bills!#REF!,"AAAAAFc3UXo=")</f>
        <v>#REF!</v>
      </c>
      <c r="DT107" t="e">
        <f>AND(Bills!#REF!,"AAAAAFc3UXs=")</f>
        <v>#REF!</v>
      </c>
      <c r="DU107" t="e">
        <f>AND(Bills!#REF!,"AAAAAFc3UXw=")</f>
        <v>#REF!</v>
      </c>
      <c r="DV107" t="e">
        <f>AND(Bills!#REF!,"AAAAAFc3UX0=")</f>
        <v>#REF!</v>
      </c>
      <c r="DW107" t="e">
        <f>AND(Bills!#REF!,"AAAAAFc3UX4=")</f>
        <v>#REF!</v>
      </c>
      <c r="DX107" t="e">
        <f>AND(Bills!#REF!,"AAAAAFc3UX8=")</f>
        <v>#REF!</v>
      </c>
      <c r="DY107" t="e">
        <f>AND(Bills!#REF!,"AAAAAFc3UYA=")</f>
        <v>#REF!</v>
      </c>
      <c r="DZ107" t="e">
        <f>AND(Bills!AA376,"AAAAAFc3UYE=")</f>
        <v>#VALUE!</v>
      </c>
      <c r="EA107" t="e">
        <f>AND(Bills!AB376,"AAAAAFc3UYI=")</f>
        <v>#VALUE!</v>
      </c>
      <c r="EB107" t="e">
        <f>AND(Bills!#REF!,"AAAAAFc3UYM=")</f>
        <v>#REF!</v>
      </c>
      <c r="EC107" t="e">
        <f>AND(Bills!#REF!,"AAAAAFc3UYQ=")</f>
        <v>#REF!</v>
      </c>
      <c r="ED107" t="e">
        <f>AND(Bills!#REF!,"AAAAAFc3UYU=")</f>
        <v>#REF!</v>
      </c>
      <c r="EE107" t="e">
        <f>AND(Bills!AC376,"AAAAAFc3UYY=")</f>
        <v>#VALUE!</v>
      </c>
      <c r="EF107" t="e">
        <f>AND(Bills!AD376,"AAAAAFc3UYc=")</f>
        <v>#VALUE!</v>
      </c>
      <c r="EG107" t="e">
        <f>AND(Bills!AE376,"AAAAAFc3UYg=")</f>
        <v>#VALUE!</v>
      </c>
      <c r="EH107">
        <f>IF(Bills!377:377,"AAAAAFc3UYk=",0)</f>
        <v>0</v>
      </c>
      <c r="EI107" t="e">
        <f>AND(Bills!B377,"AAAAAFc3UYo=")</f>
        <v>#VALUE!</v>
      </c>
      <c r="EJ107" t="e">
        <f>AND(Bills!#REF!,"AAAAAFc3UYs=")</f>
        <v>#REF!</v>
      </c>
      <c r="EK107" t="e">
        <f>AND(Bills!C377,"AAAAAFc3UYw=")</f>
        <v>#VALUE!</v>
      </c>
      <c r="EL107" t="e">
        <f>AND(Bills!D377,"AAAAAFc3UY0=")</f>
        <v>#VALUE!</v>
      </c>
      <c r="EM107" t="e">
        <f>AND(Bills!E377,"AAAAAFc3UY4=")</f>
        <v>#VALUE!</v>
      </c>
      <c r="EN107" t="e">
        <f>AND(Bills!#REF!,"AAAAAFc3UY8=")</f>
        <v>#REF!</v>
      </c>
      <c r="EO107" t="e">
        <f>AND(Bills!#REF!,"AAAAAFc3UZA=")</f>
        <v>#REF!</v>
      </c>
      <c r="EP107" t="e">
        <f>AND(Bills!#REF!,"AAAAAFc3UZE=")</f>
        <v>#REF!</v>
      </c>
      <c r="EQ107" t="e">
        <f>AND(Bills!F377,"AAAAAFc3UZI=")</f>
        <v>#VALUE!</v>
      </c>
      <c r="ER107" t="e">
        <f>AND(Bills!#REF!,"AAAAAFc3UZM=")</f>
        <v>#REF!</v>
      </c>
      <c r="ES107" t="e">
        <f>AND(Bills!G377,"AAAAAFc3UZQ=")</f>
        <v>#VALUE!</v>
      </c>
      <c r="ET107" t="e">
        <f>AND(Bills!H377,"AAAAAFc3UZU=")</f>
        <v>#VALUE!</v>
      </c>
      <c r="EU107" t="e">
        <f>AND(Bills!I377,"AAAAAFc3UZY=")</f>
        <v>#VALUE!</v>
      </c>
      <c r="EV107" t="e">
        <f>AND(Bills!J377,"AAAAAFc3UZc=")</f>
        <v>#VALUE!</v>
      </c>
      <c r="EW107" t="e">
        <f>AND(Bills!K377,"AAAAAFc3UZg=")</f>
        <v>#VALUE!</v>
      </c>
      <c r="EX107" t="e">
        <f>AND(Bills!L377,"AAAAAFc3UZk=")</f>
        <v>#VALUE!</v>
      </c>
      <c r="EY107" t="e">
        <f>AND(Bills!#REF!,"AAAAAFc3UZo=")</f>
        <v>#REF!</v>
      </c>
      <c r="EZ107" t="e">
        <f>AND(Bills!M377,"AAAAAFc3UZs=")</f>
        <v>#VALUE!</v>
      </c>
      <c r="FA107" t="e">
        <f>AND(Bills!N377,"AAAAAFc3UZw=")</f>
        <v>#VALUE!</v>
      </c>
      <c r="FB107" t="e">
        <f>AND(Bills!O377,"AAAAAFc3UZ0=")</f>
        <v>#VALUE!</v>
      </c>
      <c r="FC107" t="e">
        <f>AND(Bills!P377,"AAAAAFc3UZ4=")</f>
        <v>#VALUE!</v>
      </c>
      <c r="FD107" t="e">
        <f>AND(Bills!Q377,"AAAAAFc3UZ8=")</f>
        <v>#VALUE!</v>
      </c>
      <c r="FE107" t="e">
        <f>AND(Bills!R377,"AAAAAFc3UaA=")</f>
        <v>#VALUE!</v>
      </c>
      <c r="FF107" t="e">
        <f>AND(Bills!S377,"AAAAAFc3UaE=")</f>
        <v>#VALUE!</v>
      </c>
      <c r="FG107" t="e">
        <f>AND(Bills!T377,"AAAAAFc3UaI=")</f>
        <v>#VALUE!</v>
      </c>
      <c r="FH107" t="e">
        <f>AND(Bills!#REF!,"AAAAAFc3UaM=")</f>
        <v>#REF!</v>
      </c>
      <c r="FI107" t="e">
        <f>AND(Bills!U377,"AAAAAFc3UaQ=")</f>
        <v>#VALUE!</v>
      </c>
      <c r="FJ107" t="e">
        <f>AND(Bills!V377,"AAAAAFc3UaU=")</f>
        <v>#VALUE!</v>
      </c>
      <c r="FK107" t="e">
        <f>AND(Bills!W377,"AAAAAFc3UaY=")</f>
        <v>#VALUE!</v>
      </c>
      <c r="FL107" t="e">
        <f>AND(Bills!#REF!,"AAAAAFc3Uac=")</f>
        <v>#REF!</v>
      </c>
      <c r="FM107" t="e">
        <f>AND(Bills!#REF!,"AAAAAFc3Uag=")</f>
        <v>#REF!</v>
      </c>
      <c r="FN107" t="e">
        <f>AND(Bills!Y377,"AAAAAFc3Uak=")</f>
        <v>#VALUE!</v>
      </c>
      <c r="FO107" t="e">
        <f>AND(Bills!Z377,"AAAAAFc3Uao=")</f>
        <v>#VALUE!</v>
      </c>
      <c r="FP107" t="e">
        <f>AND(Bills!#REF!,"AAAAAFc3Uas=")</f>
        <v>#REF!</v>
      </c>
      <c r="FQ107" t="e">
        <f>AND(Bills!#REF!,"AAAAAFc3Uaw=")</f>
        <v>#REF!</v>
      </c>
      <c r="FR107" t="e">
        <f>AND(Bills!#REF!,"AAAAAFc3Ua0=")</f>
        <v>#REF!</v>
      </c>
      <c r="FS107" t="e">
        <f>AND(Bills!#REF!,"AAAAAFc3Ua4=")</f>
        <v>#REF!</v>
      </c>
      <c r="FT107" t="e">
        <f>AND(Bills!#REF!,"AAAAAFc3Ua8=")</f>
        <v>#REF!</v>
      </c>
      <c r="FU107" t="e">
        <f>AND(Bills!#REF!,"AAAAAFc3UbA=")</f>
        <v>#REF!</v>
      </c>
      <c r="FV107" t="e">
        <f>AND(Bills!#REF!,"AAAAAFc3UbE=")</f>
        <v>#REF!</v>
      </c>
      <c r="FW107" t="e">
        <f>AND(Bills!#REF!,"AAAAAFc3UbI=")</f>
        <v>#REF!</v>
      </c>
      <c r="FX107" t="e">
        <f>AND(Bills!#REF!,"AAAAAFc3UbM=")</f>
        <v>#REF!</v>
      </c>
      <c r="FY107" t="e">
        <f>AND(Bills!AA377,"AAAAAFc3UbQ=")</f>
        <v>#VALUE!</v>
      </c>
      <c r="FZ107" t="e">
        <f>AND(Bills!AB377,"AAAAAFc3UbU=")</f>
        <v>#VALUE!</v>
      </c>
      <c r="GA107" t="e">
        <f>AND(Bills!#REF!,"AAAAAFc3UbY=")</f>
        <v>#REF!</v>
      </c>
      <c r="GB107" t="e">
        <f>AND(Bills!#REF!,"AAAAAFc3Ubc=")</f>
        <v>#REF!</v>
      </c>
      <c r="GC107" t="e">
        <f>AND(Bills!#REF!,"AAAAAFc3Ubg=")</f>
        <v>#REF!</v>
      </c>
      <c r="GD107" t="e">
        <f>AND(Bills!AC377,"AAAAAFc3Ubk=")</f>
        <v>#VALUE!</v>
      </c>
      <c r="GE107" t="e">
        <f>AND(Bills!AD377,"AAAAAFc3Ubo=")</f>
        <v>#VALUE!</v>
      </c>
      <c r="GF107" t="e">
        <f>AND(Bills!AE377,"AAAAAFc3Ubs=")</f>
        <v>#VALUE!</v>
      </c>
      <c r="GG107">
        <f>IF(Bills!378:378,"AAAAAFc3Ubw=",0)</f>
        <v>0</v>
      </c>
      <c r="GH107" t="e">
        <f>AND(Bills!B378,"AAAAAFc3Ub0=")</f>
        <v>#VALUE!</v>
      </c>
      <c r="GI107" t="e">
        <f>AND(Bills!#REF!,"AAAAAFc3Ub4=")</f>
        <v>#REF!</v>
      </c>
      <c r="GJ107" t="e">
        <f>AND(Bills!C378,"AAAAAFc3Ub8=")</f>
        <v>#VALUE!</v>
      </c>
      <c r="GK107" t="e">
        <f>AND(Bills!D378,"AAAAAFc3UcA=")</f>
        <v>#VALUE!</v>
      </c>
      <c r="GL107" t="e">
        <f>AND(Bills!E378,"AAAAAFc3UcE=")</f>
        <v>#VALUE!</v>
      </c>
      <c r="GM107" t="e">
        <f>AND(Bills!#REF!,"AAAAAFc3UcI=")</f>
        <v>#REF!</v>
      </c>
      <c r="GN107" t="e">
        <f>AND(Bills!#REF!,"AAAAAFc3UcM=")</f>
        <v>#REF!</v>
      </c>
      <c r="GO107" t="e">
        <f>AND(Bills!#REF!,"AAAAAFc3UcQ=")</f>
        <v>#REF!</v>
      </c>
      <c r="GP107" t="e">
        <f>AND(Bills!F378,"AAAAAFc3UcU=")</f>
        <v>#VALUE!</v>
      </c>
      <c r="GQ107" t="e">
        <f>AND(Bills!#REF!,"AAAAAFc3UcY=")</f>
        <v>#REF!</v>
      </c>
      <c r="GR107" t="e">
        <f>AND(Bills!G378,"AAAAAFc3Ucc=")</f>
        <v>#VALUE!</v>
      </c>
      <c r="GS107" t="e">
        <f>AND(Bills!H378,"AAAAAFc3Ucg=")</f>
        <v>#VALUE!</v>
      </c>
      <c r="GT107" t="e">
        <f>AND(Bills!I378,"AAAAAFc3Uck=")</f>
        <v>#VALUE!</v>
      </c>
      <c r="GU107" t="e">
        <f>AND(Bills!J378,"AAAAAFc3Uco=")</f>
        <v>#VALUE!</v>
      </c>
      <c r="GV107" t="e">
        <f>AND(Bills!K378,"AAAAAFc3Ucs=")</f>
        <v>#VALUE!</v>
      </c>
      <c r="GW107" t="e">
        <f>AND(Bills!L378,"AAAAAFc3Ucw=")</f>
        <v>#VALUE!</v>
      </c>
      <c r="GX107" t="e">
        <f>AND(Bills!#REF!,"AAAAAFc3Uc0=")</f>
        <v>#REF!</v>
      </c>
      <c r="GY107" t="e">
        <f>AND(Bills!M378,"AAAAAFc3Uc4=")</f>
        <v>#VALUE!</v>
      </c>
      <c r="GZ107" t="e">
        <f>AND(Bills!N378,"AAAAAFc3Uc8=")</f>
        <v>#VALUE!</v>
      </c>
      <c r="HA107" t="e">
        <f>AND(Bills!O378,"AAAAAFc3UdA=")</f>
        <v>#VALUE!</v>
      </c>
      <c r="HB107" t="e">
        <f>AND(Bills!P378,"AAAAAFc3UdE=")</f>
        <v>#VALUE!</v>
      </c>
      <c r="HC107" t="e">
        <f>AND(Bills!Q378,"AAAAAFc3UdI=")</f>
        <v>#VALUE!</v>
      </c>
      <c r="HD107" t="e">
        <f>AND(Bills!R378,"AAAAAFc3UdM=")</f>
        <v>#VALUE!</v>
      </c>
      <c r="HE107" t="e">
        <f>AND(Bills!S378,"AAAAAFc3UdQ=")</f>
        <v>#VALUE!</v>
      </c>
      <c r="HF107" t="e">
        <f>AND(Bills!T378,"AAAAAFc3UdU=")</f>
        <v>#VALUE!</v>
      </c>
      <c r="HG107" t="e">
        <f>AND(Bills!#REF!,"AAAAAFc3UdY=")</f>
        <v>#REF!</v>
      </c>
      <c r="HH107" t="e">
        <f>AND(Bills!U378,"AAAAAFc3Udc=")</f>
        <v>#VALUE!</v>
      </c>
      <c r="HI107" t="e">
        <f>AND(Bills!V378,"AAAAAFc3Udg=")</f>
        <v>#VALUE!</v>
      </c>
      <c r="HJ107" t="e">
        <f>AND(Bills!W378,"AAAAAFc3Udk=")</f>
        <v>#VALUE!</v>
      </c>
      <c r="HK107" t="e">
        <f>AND(Bills!#REF!,"AAAAAFc3Udo=")</f>
        <v>#REF!</v>
      </c>
      <c r="HL107" t="e">
        <f>AND(Bills!#REF!,"AAAAAFc3Uds=")</f>
        <v>#REF!</v>
      </c>
      <c r="HM107" t="e">
        <f>AND(Bills!Y378,"AAAAAFc3Udw=")</f>
        <v>#VALUE!</v>
      </c>
      <c r="HN107" t="e">
        <f>AND(Bills!Z378,"AAAAAFc3Ud0=")</f>
        <v>#VALUE!</v>
      </c>
      <c r="HO107" t="e">
        <f>AND(Bills!#REF!,"AAAAAFc3Ud4=")</f>
        <v>#REF!</v>
      </c>
      <c r="HP107" t="e">
        <f>AND(Bills!#REF!,"AAAAAFc3Ud8=")</f>
        <v>#REF!</v>
      </c>
      <c r="HQ107" t="e">
        <f>AND(Bills!#REF!,"AAAAAFc3UeA=")</f>
        <v>#REF!</v>
      </c>
      <c r="HR107" t="e">
        <f>AND(Bills!#REF!,"AAAAAFc3UeE=")</f>
        <v>#REF!</v>
      </c>
      <c r="HS107" t="e">
        <f>AND(Bills!#REF!,"AAAAAFc3UeI=")</f>
        <v>#REF!</v>
      </c>
      <c r="HT107" t="e">
        <f>AND(Bills!#REF!,"AAAAAFc3UeM=")</f>
        <v>#REF!</v>
      </c>
      <c r="HU107" t="e">
        <f>AND(Bills!#REF!,"AAAAAFc3UeQ=")</f>
        <v>#REF!</v>
      </c>
      <c r="HV107" t="e">
        <f>AND(Bills!#REF!,"AAAAAFc3UeU=")</f>
        <v>#REF!</v>
      </c>
      <c r="HW107" t="e">
        <f>AND(Bills!#REF!,"AAAAAFc3UeY=")</f>
        <v>#REF!</v>
      </c>
      <c r="HX107" t="e">
        <f>AND(Bills!AA378,"AAAAAFc3Uec=")</f>
        <v>#VALUE!</v>
      </c>
      <c r="HY107" t="e">
        <f>AND(Bills!AB378,"AAAAAFc3Ueg=")</f>
        <v>#VALUE!</v>
      </c>
      <c r="HZ107" t="e">
        <f>AND(Bills!#REF!,"AAAAAFc3Uek=")</f>
        <v>#REF!</v>
      </c>
      <c r="IA107" t="e">
        <f>AND(Bills!#REF!,"AAAAAFc3Ueo=")</f>
        <v>#REF!</v>
      </c>
      <c r="IB107" t="e">
        <f>AND(Bills!#REF!,"AAAAAFc3Ues=")</f>
        <v>#REF!</v>
      </c>
      <c r="IC107" t="e">
        <f>AND(Bills!AC378,"AAAAAFc3Uew=")</f>
        <v>#VALUE!</v>
      </c>
      <c r="ID107" t="e">
        <f>AND(Bills!AD378,"AAAAAFc3Ue0=")</f>
        <v>#VALUE!</v>
      </c>
      <c r="IE107" t="e">
        <f>AND(Bills!AE378,"AAAAAFc3Ue4=")</f>
        <v>#VALUE!</v>
      </c>
      <c r="IF107">
        <f>IF(Bills!379:379,"AAAAAFc3Ue8=",0)</f>
        <v>0</v>
      </c>
      <c r="IG107" t="e">
        <f>AND(Bills!B379,"AAAAAFc3UfA=")</f>
        <v>#VALUE!</v>
      </c>
      <c r="IH107" t="e">
        <f>AND(Bills!#REF!,"AAAAAFc3UfE=")</f>
        <v>#REF!</v>
      </c>
      <c r="II107" t="e">
        <f>AND(Bills!C379,"AAAAAFc3UfI=")</f>
        <v>#VALUE!</v>
      </c>
      <c r="IJ107" t="e">
        <f>AND(Bills!D379,"AAAAAFc3UfM=")</f>
        <v>#VALUE!</v>
      </c>
      <c r="IK107" t="e">
        <f>AND(Bills!E379,"AAAAAFc3UfQ=")</f>
        <v>#VALUE!</v>
      </c>
      <c r="IL107" t="e">
        <f>AND(Bills!#REF!,"AAAAAFc3UfU=")</f>
        <v>#REF!</v>
      </c>
      <c r="IM107" t="e">
        <f>AND(Bills!#REF!,"AAAAAFc3UfY=")</f>
        <v>#REF!</v>
      </c>
      <c r="IN107" t="e">
        <f>AND(Bills!#REF!,"AAAAAFc3Ufc=")</f>
        <v>#REF!</v>
      </c>
      <c r="IO107" t="e">
        <f>AND(Bills!F379,"AAAAAFc3Ufg=")</f>
        <v>#VALUE!</v>
      </c>
      <c r="IP107" t="e">
        <f>AND(Bills!#REF!,"AAAAAFc3Ufk=")</f>
        <v>#REF!</v>
      </c>
      <c r="IQ107" t="e">
        <f>AND(Bills!G379,"AAAAAFc3Ufo=")</f>
        <v>#VALUE!</v>
      </c>
      <c r="IR107" t="e">
        <f>AND(Bills!H379,"AAAAAFc3Ufs=")</f>
        <v>#VALUE!</v>
      </c>
      <c r="IS107" t="e">
        <f>AND(Bills!I379,"AAAAAFc3Ufw=")</f>
        <v>#VALUE!</v>
      </c>
      <c r="IT107" t="e">
        <f>AND(Bills!J379,"AAAAAFc3Uf0=")</f>
        <v>#VALUE!</v>
      </c>
      <c r="IU107" t="e">
        <f>AND(Bills!K379,"AAAAAFc3Uf4=")</f>
        <v>#VALUE!</v>
      </c>
      <c r="IV107" t="e">
        <f>AND(Bills!L379,"AAAAAFc3Uf8=")</f>
        <v>#VALUE!</v>
      </c>
    </row>
    <row r="108" spans="1:256" x14ac:dyDescent="0.25">
      <c r="A108" t="e">
        <f>AND(Bills!#REF!,"AAAAAHP3/QA=")</f>
        <v>#REF!</v>
      </c>
      <c r="B108" t="e">
        <f>AND(Bills!M379,"AAAAAHP3/QE=")</f>
        <v>#VALUE!</v>
      </c>
      <c r="C108" t="e">
        <f>AND(Bills!N379,"AAAAAHP3/QI=")</f>
        <v>#VALUE!</v>
      </c>
      <c r="D108" t="e">
        <f>AND(Bills!O379,"AAAAAHP3/QM=")</f>
        <v>#VALUE!</v>
      </c>
      <c r="E108" t="e">
        <f>AND(Bills!P379,"AAAAAHP3/QQ=")</f>
        <v>#VALUE!</v>
      </c>
      <c r="F108" t="e">
        <f>AND(Bills!Q379,"AAAAAHP3/QU=")</f>
        <v>#VALUE!</v>
      </c>
      <c r="G108" t="e">
        <f>AND(Bills!R379,"AAAAAHP3/QY=")</f>
        <v>#VALUE!</v>
      </c>
      <c r="H108" t="e">
        <f>AND(Bills!S379,"AAAAAHP3/Qc=")</f>
        <v>#VALUE!</v>
      </c>
      <c r="I108" t="e">
        <f>AND(Bills!T379,"AAAAAHP3/Qg=")</f>
        <v>#VALUE!</v>
      </c>
      <c r="J108" t="e">
        <f>AND(Bills!#REF!,"AAAAAHP3/Qk=")</f>
        <v>#REF!</v>
      </c>
      <c r="K108" t="e">
        <f>AND(Bills!U379,"AAAAAHP3/Qo=")</f>
        <v>#VALUE!</v>
      </c>
      <c r="L108" t="e">
        <f>AND(Bills!V379,"AAAAAHP3/Qs=")</f>
        <v>#VALUE!</v>
      </c>
      <c r="M108" t="e">
        <f>AND(Bills!W379,"AAAAAHP3/Qw=")</f>
        <v>#VALUE!</v>
      </c>
      <c r="N108" t="e">
        <f>AND(Bills!#REF!,"AAAAAHP3/Q0=")</f>
        <v>#REF!</v>
      </c>
      <c r="O108" t="e">
        <f>AND(Bills!#REF!,"AAAAAHP3/Q4=")</f>
        <v>#REF!</v>
      </c>
      <c r="P108" t="e">
        <f>AND(Bills!Y379,"AAAAAHP3/Q8=")</f>
        <v>#VALUE!</v>
      </c>
      <c r="Q108" t="e">
        <f>AND(Bills!Z379,"AAAAAHP3/RA=")</f>
        <v>#VALUE!</v>
      </c>
      <c r="R108" t="e">
        <f>AND(Bills!#REF!,"AAAAAHP3/RE=")</f>
        <v>#REF!</v>
      </c>
      <c r="S108" t="e">
        <f>AND(Bills!#REF!,"AAAAAHP3/RI=")</f>
        <v>#REF!</v>
      </c>
      <c r="T108" t="e">
        <f>AND(Bills!#REF!,"AAAAAHP3/RM=")</f>
        <v>#REF!</v>
      </c>
      <c r="U108" t="e">
        <f>AND(Bills!#REF!,"AAAAAHP3/RQ=")</f>
        <v>#REF!</v>
      </c>
      <c r="V108" t="e">
        <f>AND(Bills!#REF!,"AAAAAHP3/RU=")</f>
        <v>#REF!</v>
      </c>
      <c r="W108" t="e">
        <f>AND(Bills!#REF!,"AAAAAHP3/RY=")</f>
        <v>#REF!</v>
      </c>
      <c r="X108" t="e">
        <f>AND(Bills!#REF!,"AAAAAHP3/Rc=")</f>
        <v>#REF!</v>
      </c>
      <c r="Y108" t="e">
        <f>AND(Bills!#REF!,"AAAAAHP3/Rg=")</f>
        <v>#REF!</v>
      </c>
      <c r="Z108" t="e">
        <f>AND(Bills!#REF!,"AAAAAHP3/Rk=")</f>
        <v>#REF!</v>
      </c>
      <c r="AA108" t="e">
        <f>AND(Bills!AA379,"AAAAAHP3/Ro=")</f>
        <v>#VALUE!</v>
      </c>
      <c r="AB108" t="e">
        <f>AND(Bills!AB379,"AAAAAHP3/Rs=")</f>
        <v>#VALUE!</v>
      </c>
      <c r="AC108" t="e">
        <f>AND(Bills!#REF!,"AAAAAHP3/Rw=")</f>
        <v>#REF!</v>
      </c>
      <c r="AD108" t="e">
        <f>AND(Bills!#REF!,"AAAAAHP3/R0=")</f>
        <v>#REF!</v>
      </c>
      <c r="AE108" t="e">
        <f>AND(Bills!#REF!,"AAAAAHP3/R4=")</f>
        <v>#REF!</v>
      </c>
      <c r="AF108" t="e">
        <f>AND(Bills!AC379,"AAAAAHP3/R8=")</f>
        <v>#VALUE!</v>
      </c>
      <c r="AG108" t="e">
        <f>AND(Bills!AD379,"AAAAAHP3/SA=")</f>
        <v>#VALUE!</v>
      </c>
      <c r="AH108" t="e">
        <f>AND(Bills!AE379,"AAAAAHP3/SE=")</f>
        <v>#VALUE!</v>
      </c>
      <c r="AI108">
        <f>IF(Bills!380:380,"AAAAAHP3/SI=",0)</f>
        <v>0</v>
      </c>
      <c r="AJ108" t="e">
        <f>AND(Bills!B380,"AAAAAHP3/SM=")</f>
        <v>#VALUE!</v>
      </c>
      <c r="AK108" t="e">
        <f>AND(Bills!#REF!,"AAAAAHP3/SQ=")</f>
        <v>#REF!</v>
      </c>
      <c r="AL108" t="e">
        <f>AND(Bills!C380,"AAAAAHP3/SU=")</f>
        <v>#VALUE!</v>
      </c>
      <c r="AM108" t="e">
        <f>AND(Bills!D380,"AAAAAHP3/SY=")</f>
        <v>#VALUE!</v>
      </c>
      <c r="AN108" t="e">
        <f>AND(Bills!E380,"AAAAAHP3/Sc=")</f>
        <v>#VALUE!</v>
      </c>
      <c r="AO108" t="e">
        <f>AND(Bills!#REF!,"AAAAAHP3/Sg=")</f>
        <v>#REF!</v>
      </c>
      <c r="AP108" t="e">
        <f>AND(Bills!#REF!,"AAAAAHP3/Sk=")</f>
        <v>#REF!</v>
      </c>
      <c r="AQ108" t="e">
        <f>AND(Bills!#REF!,"AAAAAHP3/So=")</f>
        <v>#REF!</v>
      </c>
      <c r="AR108" t="e">
        <f>AND(Bills!F380,"AAAAAHP3/Ss=")</f>
        <v>#VALUE!</v>
      </c>
      <c r="AS108" t="e">
        <f>AND(Bills!#REF!,"AAAAAHP3/Sw=")</f>
        <v>#REF!</v>
      </c>
      <c r="AT108" t="e">
        <f>AND(Bills!G380,"AAAAAHP3/S0=")</f>
        <v>#VALUE!</v>
      </c>
      <c r="AU108" t="e">
        <f>AND(Bills!H380,"AAAAAHP3/S4=")</f>
        <v>#VALUE!</v>
      </c>
      <c r="AV108" t="e">
        <f>AND(Bills!I380,"AAAAAHP3/S8=")</f>
        <v>#VALUE!</v>
      </c>
      <c r="AW108" t="e">
        <f>AND(Bills!J380,"AAAAAHP3/TA=")</f>
        <v>#VALUE!</v>
      </c>
      <c r="AX108" t="e">
        <f>AND(Bills!K380,"AAAAAHP3/TE=")</f>
        <v>#VALUE!</v>
      </c>
      <c r="AY108" t="e">
        <f>AND(Bills!L380,"AAAAAHP3/TI=")</f>
        <v>#VALUE!</v>
      </c>
      <c r="AZ108" t="e">
        <f>AND(Bills!#REF!,"AAAAAHP3/TM=")</f>
        <v>#REF!</v>
      </c>
      <c r="BA108" t="e">
        <f>AND(Bills!M380,"AAAAAHP3/TQ=")</f>
        <v>#VALUE!</v>
      </c>
      <c r="BB108" t="e">
        <f>AND(Bills!N380,"AAAAAHP3/TU=")</f>
        <v>#VALUE!</v>
      </c>
      <c r="BC108" t="e">
        <f>AND(Bills!O380,"AAAAAHP3/TY=")</f>
        <v>#VALUE!</v>
      </c>
      <c r="BD108" t="e">
        <f>AND(Bills!P380,"AAAAAHP3/Tc=")</f>
        <v>#VALUE!</v>
      </c>
      <c r="BE108" t="e">
        <f>AND(Bills!Q380,"AAAAAHP3/Tg=")</f>
        <v>#VALUE!</v>
      </c>
      <c r="BF108" t="e">
        <f>AND(Bills!R380,"AAAAAHP3/Tk=")</f>
        <v>#VALUE!</v>
      </c>
      <c r="BG108" t="e">
        <f>AND(Bills!S380,"AAAAAHP3/To=")</f>
        <v>#VALUE!</v>
      </c>
      <c r="BH108" t="e">
        <f>AND(Bills!T380,"AAAAAHP3/Ts=")</f>
        <v>#VALUE!</v>
      </c>
      <c r="BI108" t="e">
        <f>AND(Bills!#REF!,"AAAAAHP3/Tw=")</f>
        <v>#REF!</v>
      </c>
      <c r="BJ108" t="e">
        <f>AND(Bills!U380,"AAAAAHP3/T0=")</f>
        <v>#VALUE!</v>
      </c>
      <c r="BK108" t="e">
        <f>AND(Bills!V380,"AAAAAHP3/T4=")</f>
        <v>#VALUE!</v>
      </c>
      <c r="BL108" t="e">
        <f>AND(Bills!W380,"AAAAAHP3/T8=")</f>
        <v>#VALUE!</v>
      </c>
      <c r="BM108" t="e">
        <f>AND(Bills!#REF!,"AAAAAHP3/UA=")</f>
        <v>#REF!</v>
      </c>
      <c r="BN108" t="e">
        <f>AND(Bills!#REF!,"AAAAAHP3/UE=")</f>
        <v>#REF!</v>
      </c>
      <c r="BO108" t="e">
        <f>AND(Bills!Y380,"AAAAAHP3/UI=")</f>
        <v>#VALUE!</v>
      </c>
      <c r="BP108" t="e">
        <f>AND(Bills!Z380,"AAAAAHP3/UM=")</f>
        <v>#VALUE!</v>
      </c>
      <c r="BQ108" t="e">
        <f>AND(Bills!#REF!,"AAAAAHP3/UQ=")</f>
        <v>#REF!</v>
      </c>
      <c r="BR108" t="e">
        <f>AND(Bills!#REF!,"AAAAAHP3/UU=")</f>
        <v>#REF!</v>
      </c>
      <c r="BS108" t="e">
        <f>AND(Bills!#REF!,"AAAAAHP3/UY=")</f>
        <v>#REF!</v>
      </c>
      <c r="BT108" t="e">
        <f>AND(Bills!#REF!,"AAAAAHP3/Uc=")</f>
        <v>#REF!</v>
      </c>
      <c r="BU108" t="e">
        <f>AND(Bills!#REF!,"AAAAAHP3/Ug=")</f>
        <v>#REF!</v>
      </c>
      <c r="BV108" t="e">
        <f>AND(Bills!#REF!,"AAAAAHP3/Uk=")</f>
        <v>#REF!</v>
      </c>
      <c r="BW108" t="e">
        <f>AND(Bills!#REF!,"AAAAAHP3/Uo=")</f>
        <v>#REF!</v>
      </c>
      <c r="BX108" t="e">
        <f>AND(Bills!#REF!,"AAAAAHP3/Us=")</f>
        <v>#REF!</v>
      </c>
      <c r="BY108" t="e">
        <f>AND(Bills!#REF!,"AAAAAHP3/Uw=")</f>
        <v>#REF!</v>
      </c>
      <c r="BZ108" t="e">
        <f>AND(Bills!AA380,"AAAAAHP3/U0=")</f>
        <v>#VALUE!</v>
      </c>
      <c r="CA108" t="e">
        <f>AND(Bills!AB380,"AAAAAHP3/U4=")</f>
        <v>#VALUE!</v>
      </c>
      <c r="CB108" t="e">
        <f>AND(Bills!#REF!,"AAAAAHP3/U8=")</f>
        <v>#REF!</v>
      </c>
      <c r="CC108" t="e">
        <f>AND(Bills!#REF!,"AAAAAHP3/VA=")</f>
        <v>#REF!</v>
      </c>
      <c r="CD108" t="e">
        <f>AND(Bills!#REF!,"AAAAAHP3/VE=")</f>
        <v>#REF!</v>
      </c>
      <c r="CE108" t="e">
        <f>AND(Bills!AC380,"AAAAAHP3/VI=")</f>
        <v>#VALUE!</v>
      </c>
      <c r="CF108" t="e">
        <f>AND(Bills!AD380,"AAAAAHP3/VM=")</f>
        <v>#VALUE!</v>
      </c>
      <c r="CG108" t="e">
        <f>AND(Bills!AE380,"AAAAAHP3/VQ=")</f>
        <v>#VALUE!</v>
      </c>
      <c r="CH108">
        <f>IF(Bills!381:381,"AAAAAHP3/VU=",0)</f>
        <v>0</v>
      </c>
      <c r="CI108" t="e">
        <f>AND(Bills!B381,"AAAAAHP3/VY=")</f>
        <v>#VALUE!</v>
      </c>
      <c r="CJ108" t="e">
        <f>AND(Bills!#REF!,"AAAAAHP3/Vc=")</f>
        <v>#REF!</v>
      </c>
      <c r="CK108" t="e">
        <f>AND(Bills!C381,"AAAAAHP3/Vg=")</f>
        <v>#VALUE!</v>
      </c>
      <c r="CL108" t="e">
        <f>AND(Bills!D381,"AAAAAHP3/Vk=")</f>
        <v>#VALUE!</v>
      </c>
      <c r="CM108" t="e">
        <f>AND(Bills!E381,"AAAAAHP3/Vo=")</f>
        <v>#VALUE!</v>
      </c>
      <c r="CN108" t="e">
        <f>AND(Bills!#REF!,"AAAAAHP3/Vs=")</f>
        <v>#REF!</v>
      </c>
      <c r="CO108" t="e">
        <f>AND(Bills!#REF!,"AAAAAHP3/Vw=")</f>
        <v>#REF!</v>
      </c>
      <c r="CP108" t="e">
        <f>AND(Bills!#REF!,"AAAAAHP3/V0=")</f>
        <v>#REF!</v>
      </c>
      <c r="CQ108" t="e">
        <f>AND(Bills!F381,"AAAAAHP3/V4=")</f>
        <v>#VALUE!</v>
      </c>
      <c r="CR108" t="e">
        <f>AND(Bills!#REF!,"AAAAAHP3/V8=")</f>
        <v>#REF!</v>
      </c>
      <c r="CS108" t="e">
        <f>AND(Bills!G381,"AAAAAHP3/WA=")</f>
        <v>#VALUE!</v>
      </c>
      <c r="CT108" t="e">
        <f>AND(Bills!H381,"AAAAAHP3/WE=")</f>
        <v>#VALUE!</v>
      </c>
      <c r="CU108" t="e">
        <f>AND(Bills!I381,"AAAAAHP3/WI=")</f>
        <v>#VALUE!</v>
      </c>
      <c r="CV108" t="e">
        <f>AND(Bills!J381,"AAAAAHP3/WM=")</f>
        <v>#VALUE!</v>
      </c>
      <c r="CW108" t="e">
        <f>AND(Bills!K381,"AAAAAHP3/WQ=")</f>
        <v>#VALUE!</v>
      </c>
      <c r="CX108" t="e">
        <f>AND(Bills!L381,"AAAAAHP3/WU=")</f>
        <v>#VALUE!</v>
      </c>
      <c r="CY108" t="e">
        <f>AND(Bills!#REF!,"AAAAAHP3/WY=")</f>
        <v>#REF!</v>
      </c>
      <c r="CZ108" t="e">
        <f>AND(Bills!M381,"AAAAAHP3/Wc=")</f>
        <v>#VALUE!</v>
      </c>
      <c r="DA108" t="e">
        <f>AND(Bills!N381,"AAAAAHP3/Wg=")</f>
        <v>#VALUE!</v>
      </c>
      <c r="DB108" t="e">
        <f>AND(Bills!O381,"AAAAAHP3/Wk=")</f>
        <v>#VALUE!</v>
      </c>
      <c r="DC108" t="e">
        <f>AND(Bills!P381,"AAAAAHP3/Wo=")</f>
        <v>#VALUE!</v>
      </c>
      <c r="DD108" t="e">
        <f>AND(Bills!Q381,"AAAAAHP3/Ws=")</f>
        <v>#VALUE!</v>
      </c>
      <c r="DE108" t="e">
        <f>AND(Bills!R381,"AAAAAHP3/Ww=")</f>
        <v>#VALUE!</v>
      </c>
      <c r="DF108" t="e">
        <f>AND(Bills!S381,"AAAAAHP3/W0=")</f>
        <v>#VALUE!</v>
      </c>
      <c r="DG108" t="e">
        <f>AND(Bills!T381,"AAAAAHP3/W4=")</f>
        <v>#VALUE!</v>
      </c>
      <c r="DH108" t="e">
        <f>AND(Bills!#REF!,"AAAAAHP3/W8=")</f>
        <v>#REF!</v>
      </c>
      <c r="DI108" t="e">
        <f>AND(Bills!U381,"AAAAAHP3/XA=")</f>
        <v>#VALUE!</v>
      </c>
      <c r="DJ108" t="e">
        <f>AND(Bills!V381,"AAAAAHP3/XE=")</f>
        <v>#VALUE!</v>
      </c>
      <c r="DK108" t="e">
        <f>AND(Bills!W381,"AAAAAHP3/XI=")</f>
        <v>#VALUE!</v>
      </c>
      <c r="DL108" t="e">
        <f>AND(Bills!#REF!,"AAAAAHP3/XM=")</f>
        <v>#REF!</v>
      </c>
      <c r="DM108" t="e">
        <f>AND(Bills!#REF!,"AAAAAHP3/XQ=")</f>
        <v>#REF!</v>
      </c>
      <c r="DN108" t="e">
        <f>AND(Bills!Y381,"AAAAAHP3/XU=")</f>
        <v>#VALUE!</v>
      </c>
      <c r="DO108" t="e">
        <f>AND(Bills!Z381,"AAAAAHP3/XY=")</f>
        <v>#VALUE!</v>
      </c>
      <c r="DP108" t="e">
        <f>AND(Bills!#REF!,"AAAAAHP3/Xc=")</f>
        <v>#REF!</v>
      </c>
      <c r="DQ108" t="e">
        <f>AND(Bills!#REF!,"AAAAAHP3/Xg=")</f>
        <v>#REF!</v>
      </c>
      <c r="DR108" t="e">
        <f>AND(Bills!#REF!,"AAAAAHP3/Xk=")</f>
        <v>#REF!</v>
      </c>
      <c r="DS108" t="e">
        <f>AND(Bills!#REF!,"AAAAAHP3/Xo=")</f>
        <v>#REF!</v>
      </c>
      <c r="DT108" t="e">
        <f>AND(Bills!#REF!,"AAAAAHP3/Xs=")</f>
        <v>#REF!</v>
      </c>
      <c r="DU108" t="e">
        <f>AND(Bills!#REF!,"AAAAAHP3/Xw=")</f>
        <v>#REF!</v>
      </c>
      <c r="DV108" t="e">
        <f>AND(Bills!#REF!,"AAAAAHP3/X0=")</f>
        <v>#REF!</v>
      </c>
      <c r="DW108" t="e">
        <f>AND(Bills!#REF!,"AAAAAHP3/X4=")</f>
        <v>#REF!</v>
      </c>
      <c r="DX108" t="e">
        <f>AND(Bills!#REF!,"AAAAAHP3/X8=")</f>
        <v>#REF!</v>
      </c>
      <c r="DY108" t="e">
        <f>AND(Bills!AA381,"AAAAAHP3/YA=")</f>
        <v>#VALUE!</v>
      </c>
      <c r="DZ108" t="e">
        <f>AND(Bills!AB381,"AAAAAHP3/YE=")</f>
        <v>#VALUE!</v>
      </c>
      <c r="EA108" t="e">
        <f>AND(Bills!#REF!,"AAAAAHP3/YI=")</f>
        <v>#REF!</v>
      </c>
      <c r="EB108" t="e">
        <f>AND(Bills!#REF!,"AAAAAHP3/YM=")</f>
        <v>#REF!</v>
      </c>
      <c r="EC108" t="e">
        <f>AND(Bills!#REF!,"AAAAAHP3/YQ=")</f>
        <v>#REF!</v>
      </c>
      <c r="ED108" t="e">
        <f>AND(Bills!AC381,"AAAAAHP3/YU=")</f>
        <v>#VALUE!</v>
      </c>
      <c r="EE108" t="e">
        <f>AND(Bills!AD381,"AAAAAHP3/YY=")</f>
        <v>#VALUE!</v>
      </c>
      <c r="EF108" t="e">
        <f>AND(Bills!AE381,"AAAAAHP3/Yc=")</f>
        <v>#VALUE!</v>
      </c>
      <c r="EG108">
        <f>IF(Bills!382:382,"AAAAAHP3/Yg=",0)</f>
        <v>0</v>
      </c>
      <c r="EH108" t="e">
        <f>AND(Bills!B382,"AAAAAHP3/Yk=")</f>
        <v>#VALUE!</v>
      </c>
      <c r="EI108" t="e">
        <f>AND(Bills!#REF!,"AAAAAHP3/Yo=")</f>
        <v>#REF!</v>
      </c>
      <c r="EJ108" t="e">
        <f>AND(Bills!C382,"AAAAAHP3/Ys=")</f>
        <v>#VALUE!</v>
      </c>
      <c r="EK108" t="e">
        <f>AND(Bills!D382,"AAAAAHP3/Yw=")</f>
        <v>#VALUE!</v>
      </c>
      <c r="EL108" t="e">
        <f>AND(Bills!E382,"AAAAAHP3/Y0=")</f>
        <v>#VALUE!</v>
      </c>
      <c r="EM108" t="e">
        <f>AND(Bills!#REF!,"AAAAAHP3/Y4=")</f>
        <v>#REF!</v>
      </c>
      <c r="EN108" t="e">
        <f>AND(Bills!#REF!,"AAAAAHP3/Y8=")</f>
        <v>#REF!</v>
      </c>
      <c r="EO108" t="e">
        <f>AND(Bills!#REF!,"AAAAAHP3/ZA=")</f>
        <v>#REF!</v>
      </c>
      <c r="EP108" t="e">
        <f>AND(Bills!F382,"AAAAAHP3/ZE=")</f>
        <v>#VALUE!</v>
      </c>
      <c r="EQ108" t="e">
        <f>AND(Bills!#REF!,"AAAAAHP3/ZI=")</f>
        <v>#REF!</v>
      </c>
      <c r="ER108" t="e">
        <f>AND(Bills!G382,"AAAAAHP3/ZM=")</f>
        <v>#VALUE!</v>
      </c>
      <c r="ES108" t="e">
        <f>AND(Bills!H382,"AAAAAHP3/ZQ=")</f>
        <v>#VALUE!</v>
      </c>
      <c r="ET108" t="e">
        <f>AND(Bills!I382,"AAAAAHP3/ZU=")</f>
        <v>#VALUE!</v>
      </c>
      <c r="EU108" t="e">
        <f>AND(Bills!J382,"AAAAAHP3/ZY=")</f>
        <v>#VALUE!</v>
      </c>
      <c r="EV108" t="e">
        <f>AND(Bills!K382,"AAAAAHP3/Zc=")</f>
        <v>#VALUE!</v>
      </c>
      <c r="EW108" t="e">
        <f>AND(Bills!L382,"AAAAAHP3/Zg=")</f>
        <v>#VALUE!</v>
      </c>
      <c r="EX108" t="e">
        <f>AND(Bills!#REF!,"AAAAAHP3/Zk=")</f>
        <v>#REF!</v>
      </c>
      <c r="EY108" t="e">
        <f>AND(Bills!M382,"AAAAAHP3/Zo=")</f>
        <v>#VALUE!</v>
      </c>
      <c r="EZ108" t="e">
        <f>AND(Bills!N382,"AAAAAHP3/Zs=")</f>
        <v>#VALUE!</v>
      </c>
      <c r="FA108" t="e">
        <f>AND(Bills!O382,"AAAAAHP3/Zw=")</f>
        <v>#VALUE!</v>
      </c>
      <c r="FB108" t="e">
        <f>AND(Bills!P382,"AAAAAHP3/Z0=")</f>
        <v>#VALUE!</v>
      </c>
      <c r="FC108" t="e">
        <f>AND(Bills!Q382,"AAAAAHP3/Z4=")</f>
        <v>#VALUE!</v>
      </c>
      <c r="FD108" t="e">
        <f>AND(Bills!R382,"AAAAAHP3/Z8=")</f>
        <v>#VALUE!</v>
      </c>
      <c r="FE108" t="e">
        <f>AND(Bills!S382,"AAAAAHP3/aA=")</f>
        <v>#VALUE!</v>
      </c>
      <c r="FF108" t="e">
        <f>AND(Bills!T382,"AAAAAHP3/aE=")</f>
        <v>#VALUE!</v>
      </c>
      <c r="FG108" t="e">
        <f>AND(Bills!#REF!,"AAAAAHP3/aI=")</f>
        <v>#REF!</v>
      </c>
      <c r="FH108" t="e">
        <f>AND(Bills!U382,"AAAAAHP3/aM=")</f>
        <v>#VALUE!</v>
      </c>
      <c r="FI108" t="e">
        <f>AND(Bills!V382,"AAAAAHP3/aQ=")</f>
        <v>#VALUE!</v>
      </c>
      <c r="FJ108" t="e">
        <f>AND(Bills!W382,"AAAAAHP3/aU=")</f>
        <v>#VALUE!</v>
      </c>
      <c r="FK108" t="e">
        <f>AND(Bills!#REF!,"AAAAAHP3/aY=")</f>
        <v>#REF!</v>
      </c>
      <c r="FL108" t="e">
        <f>AND(Bills!#REF!,"AAAAAHP3/ac=")</f>
        <v>#REF!</v>
      </c>
      <c r="FM108" t="e">
        <f>AND(Bills!Y382,"AAAAAHP3/ag=")</f>
        <v>#VALUE!</v>
      </c>
      <c r="FN108" t="e">
        <f>AND(Bills!Z382,"AAAAAHP3/ak=")</f>
        <v>#VALUE!</v>
      </c>
      <c r="FO108" t="e">
        <f>AND(Bills!#REF!,"AAAAAHP3/ao=")</f>
        <v>#REF!</v>
      </c>
      <c r="FP108" t="e">
        <f>AND(Bills!#REF!,"AAAAAHP3/as=")</f>
        <v>#REF!</v>
      </c>
      <c r="FQ108" t="e">
        <f>AND(Bills!#REF!,"AAAAAHP3/aw=")</f>
        <v>#REF!</v>
      </c>
      <c r="FR108" t="e">
        <f>AND(Bills!#REF!,"AAAAAHP3/a0=")</f>
        <v>#REF!</v>
      </c>
      <c r="FS108" t="e">
        <f>AND(Bills!#REF!,"AAAAAHP3/a4=")</f>
        <v>#REF!</v>
      </c>
      <c r="FT108" t="e">
        <f>AND(Bills!#REF!,"AAAAAHP3/a8=")</f>
        <v>#REF!</v>
      </c>
      <c r="FU108" t="e">
        <f>AND(Bills!#REF!,"AAAAAHP3/bA=")</f>
        <v>#REF!</v>
      </c>
      <c r="FV108" t="e">
        <f>AND(Bills!#REF!,"AAAAAHP3/bE=")</f>
        <v>#REF!</v>
      </c>
      <c r="FW108" t="e">
        <f>AND(Bills!#REF!,"AAAAAHP3/bI=")</f>
        <v>#REF!</v>
      </c>
      <c r="FX108" t="e">
        <f>AND(Bills!AA382,"AAAAAHP3/bM=")</f>
        <v>#VALUE!</v>
      </c>
      <c r="FY108" t="e">
        <f>AND(Bills!AB382,"AAAAAHP3/bQ=")</f>
        <v>#VALUE!</v>
      </c>
      <c r="FZ108" t="e">
        <f>AND(Bills!#REF!,"AAAAAHP3/bU=")</f>
        <v>#REF!</v>
      </c>
      <c r="GA108" t="e">
        <f>AND(Bills!#REF!,"AAAAAHP3/bY=")</f>
        <v>#REF!</v>
      </c>
      <c r="GB108" t="e">
        <f>AND(Bills!#REF!,"AAAAAHP3/bc=")</f>
        <v>#REF!</v>
      </c>
      <c r="GC108" t="e">
        <f>AND(Bills!AC382,"AAAAAHP3/bg=")</f>
        <v>#VALUE!</v>
      </c>
      <c r="GD108" t="e">
        <f>AND(Bills!AD382,"AAAAAHP3/bk=")</f>
        <v>#VALUE!</v>
      </c>
      <c r="GE108" t="e">
        <f>AND(Bills!AE382,"AAAAAHP3/bo=")</f>
        <v>#VALUE!</v>
      </c>
      <c r="GF108">
        <f>IF(Bills!383:383,"AAAAAHP3/bs=",0)</f>
        <v>0</v>
      </c>
      <c r="GG108" t="e">
        <f>AND(Bills!B383,"AAAAAHP3/bw=")</f>
        <v>#VALUE!</v>
      </c>
      <c r="GH108" t="e">
        <f>AND(Bills!#REF!,"AAAAAHP3/b0=")</f>
        <v>#REF!</v>
      </c>
      <c r="GI108" t="e">
        <f>AND(Bills!C383,"AAAAAHP3/b4=")</f>
        <v>#VALUE!</v>
      </c>
      <c r="GJ108" t="e">
        <f>AND(Bills!D383,"AAAAAHP3/b8=")</f>
        <v>#VALUE!</v>
      </c>
      <c r="GK108" t="e">
        <f>AND(Bills!E383,"AAAAAHP3/cA=")</f>
        <v>#VALUE!</v>
      </c>
      <c r="GL108" t="e">
        <f>AND(Bills!#REF!,"AAAAAHP3/cE=")</f>
        <v>#REF!</v>
      </c>
      <c r="GM108" t="e">
        <f>AND(Bills!#REF!,"AAAAAHP3/cI=")</f>
        <v>#REF!</v>
      </c>
      <c r="GN108" t="e">
        <f>AND(Bills!#REF!,"AAAAAHP3/cM=")</f>
        <v>#REF!</v>
      </c>
      <c r="GO108" t="e">
        <f>AND(Bills!F383,"AAAAAHP3/cQ=")</f>
        <v>#VALUE!</v>
      </c>
      <c r="GP108" t="e">
        <f>AND(Bills!#REF!,"AAAAAHP3/cU=")</f>
        <v>#REF!</v>
      </c>
      <c r="GQ108" t="e">
        <f>AND(Bills!G383,"AAAAAHP3/cY=")</f>
        <v>#VALUE!</v>
      </c>
      <c r="GR108" t="e">
        <f>AND(Bills!H383,"AAAAAHP3/cc=")</f>
        <v>#VALUE!</v>
      </c>
      <c r="GS108" t="e">
        <f>AND(Bills!I383,"AAAAAHP3/cg=")</f>
        <v>#VALUE!</v>
      </c>
      <c r="GT108" t="e">
        <f>AND(Bills!J383,"AAAAAHP3/ck=")</f>
        <v>#VALUE!</v>
      </c>
      <c r="GU108" t="e">
        <f>AND(Bills!K383,"AAAAAHP3/co=")</f>
        <v>#VALUE!</v>
      </c>
      <c r="GV108" t="e">
        <f>AND(Bills!L383,"AAAAAHP3/cs=")</f>
        <v>#VALUE!</v>
      </c>
      <c r="GW108" t="e">
        <f>AND(Bills!#REF!,"AAAAAHP3/cw=")</f>
        <v>#REF!</v>
      </c>
      <c r="GX108" t="e">
        <f>AND(Bills!M383,"AAAAAHP3/c0=")</f>
        <v>#VALUE!</v>
      </c>
      <c r="GY108" t="e">
        <f>AND(Bills!N383,"AAAAAHP3/c4=")</f>
        <v>#VALUE!</v>
      </c>
      <c r="GZ108" t="e">
        <f>AND(Bills!O383,"AAAAAHP3/c8=")</f>
        <v>#VALUE!</v>
      </c>
      <c r="HA108" t="e">
        <f>AND(Bills!P383,"AAAAAHP3/dA=")</f>
        <v>#VALUE!</v>
      </c>
      <c r="HB108" t="e">
        <f>AND(Bills!Q383,"AAAAAHP3/dE=")</f>
        <v>#VALUE!</v>
      </c>
      <c r="HC108" t="e">
        <f>AND(Bills!R383,"AAAAAHP3/dI=")</f>
        <v>#VALUE!</v>
      </c>
      <c r="HD108" t="e">
        <f>AND(Bills!S383,"AAAAAHP3/dM=")</f>
        <v>#VALUE!</v>
      </c>
      <c r="HE108" t="e">
        <f>AND(Bills!T383,"AAAAAHP3/dQ=")</f>
        <v>#VALUE!</v>
      </c>
      <c r="HF108" t="e">
        <f>AND(Bills!#REF!,"AAAAAHP3/dU=")</f>
        <v>#REF!</v>
      </c>
      <c r="HG108" t="e">
        <f>AND(Bills!U383,"AAAAAHP3/dY=")</f>
        <v>#VALUE!</v>
      </c>
      <c r="HH108" t="e">
        <f>AND(Bills!V383,"AAAAAHP3/dc=")</f>
        <v>#VALUE!</v>
      </c>
      <c r="HI108" t="e">
        <f>AND(Bills!W383,"AAAAAHP3/dg=")</f>
        <v>#VALUE!</v>
      </c>
      <c r="HJ108" t="e">
        <f>AND(Bills!#REF!,"AAAAAHP3/dk=")</f>
        <v>#REF!</v>
      </c>
      <c r="HK108" t="e">
        <f>AND(Bills!#REF!,"AAAAAHP3/do=")</f>
        <v>#REF!</v>
      </c>
      <c r="HL108" t="e">
        <f>AND(Bills!Y383,"AAAAAHP3/ds=")</f>
        <v>#VALUE!</v>
      </c>
      <c r="HM108" t="e">
        <f>AND(Bills!Z383,"AAAAAHP3/dw=")</f>
        <v>#VALUE!</v>
      </c>
      <c r="HN108" t="e">
        <f>AND(Bills!#REF!,"AAAAAHP3/d0=")</f>
        <v>#REF!</v>
      </c>
      <c r="HO108" t="e">
        <f>AND(Bills!#REF!,"AAAAAHP3/d4=")</f>
        <v>#REF!</v>
      </c>
      <c r="HP108" t="e">
        <f>AND(Bills!#REF!,"AAAAAHP3/d8=")</f>
        <v>#REF!</v>
      </c>
      <c r="HQ108" t="e">
        <f>AND(Bills!#REF!,"AAAAAHP3/eA=")</f>
        <v>#REF!</v>
      </c>
      <c r="HR108" t="e">
        <f>AND(Bills!#REF!,"AAAAAHP3/eE=")</f>
        <v>#REF!</v>
      </c>
      <c r="HS108" t="e">
        <f>AND(Bills!#REF!,"AAAAAHP3/eI=")</f>
        <v>#REF!</v>
      </c>
      <c r="HT108" t="e">
        <f>AND(Bills!#REF!,"AAAAAHP3/eM=")</f>
        <v>#REF!</v>
      </c>
      <c r="HU108" t="e">
        <f>AND(Bills!#REF!,"AAAAAHP3/eQ=")</f>
        <v>#REF!</v>
      </c>
      <c r="HV108" t="e">
        <f>AND(Bills!#REF!,"AAAAAHP3/eU=")</f>
        <v>#REF!</v>
      </c>
      <c r="HW108" t="e">
        <f>AND(Bills!AA383,"AAAAAHP3/eY=")</f>
        <v>#VALUE!</v>
      </c>
      <c r="HX108" t="e">
        <f>AND(Bills!AB383,"AAAAAHP3/ec=")</f>
        <v>#VALUE!</v>
      </c>
      <c r="HY108" t="e">
        <f>AND(Bills!#REF!,"AAAAAHP3/eg=")</f>
        <v>#REF!</v>
      </c>
      <c r="HZ108" t="e">
        <f>AND(Bills!#REF!,"AAAAAHP3/ek=")</f>
        <v>#REF!</v>
      </c>
      <c r="IA108" t="e">
        <f>AND(Bills!#REF!,"AAAAAHP3/eo=")</f>
        <v>#REF!</v>
      </c>
      <c r="IB108" t="e">
        <f>AND(Bills!AC383,"AAAAAHP3/es=")</f>
        <v>#VALUE!</v>
      </c>
      <c r="IC108" t="e">
        <f>AND(Bills!AD383,"AAAAAHP3/ew=")</f>
        <v>#VALUE!</v>
      </c>
      <c r="ID108" t="e">
        <f>AND(Bills!AE383,"AAAAAHP3/e0=")</f>
        <v>#VALUE!</v>
      </c>
      <c r="IE108">
        <f>IF(Bills!384:384,"AAAAAHP3/e4=",0)</f>
        <v>0</v>
      </c>
      <c r="IF108" t="e">
        <f>AND(Bills!B384,"AAAAAHP3/e8=")</f>
        <v>#VALUE!</v>
      </c>
      <c r="IG108" t="e">
        <f>AND(Bills!#REF!,"AAAAAHP3/fA=")</f>
        <v>#REF!</v>
      </c>
      <c r="IH108" t="e">
        <f>AND(Bills!C384,"AAAAAHP3/fE=")</f>
        <v>#VALUE!</v>
      </c>
      <c r="II108" t="e">
        <f>AND(Bills!D384,"AAAAAHP3/fI=")</f>
        <v>#VALUE!</v>
      </c>
      <c r="IJ108" t="e">
        <f>AND(Bills!E384,"AAAAAHP3/fM=")</f>
        <v>#VALUE!</v>
      </c>
      <c r="IK108" t="e">
        <f>AND(Bills!#REF!,"AAAAAHP3/fQ=")</f>
        <v>#REF!</v>
      </c>
      <c r="IL108" t="e">
        <f>AND(Bills!#REF!,"AAAAAHP3/fU=")</f>
        <v>#REF!</v>
      </c>
      <c r="IM108" t="e">
        <f>AND(Bills!#REF!,"AAAAAHP3/fY=")</f>
        <v>#REF!</v>
      </c>
      <c r="IN108" t="e">
        <f>AND(Bills!F384,"AAAAAHP3/fc=")</f>
        <v>#VALUE!</v>
      </c>
      <c r="IO108" t="e">
        <f>AND(Bills!#REF!,"AAAAAHP3/fg=")</f>
        <v>#REF!</v>
      </c>
      <c r="IP108" t="e">
        <f>AND(Bills!G384,"AAAAAHP3/fk=")</f>
        <v>#VALUE!</v>
      </c>
      <c r="IQ108" t="e">
        <f>AND(Bills!H384,"AAAAAHP3/fo=")</f>
        <v>#VALUE!</v>
      </c>
      <c r="IR108" t="e">
        <f>AND(Bills!I384,"AAAAAHP3/fs=")</f>
        <v>#VALUE!</v>
      </c>
      <c r="IS108" t="e">
        <f>AND(Bills!J384,"AAAAAHP3/fw=")</f>
        <v>#VALUE!</v>
      </c>
      <c r="IT108" t="e">
        <f>AND(Bills!K384,"AAAAAHP3/f0=")</f>
        <v>#VALUE!</v>
      </c>
      <c r="IU108" t="e">
        <f>AND(Bills!L384,"AAAAAHP3/f4=")</f>
        <v>#VALUE!</v>
      </c>
      <c r="IV108" t="e">
        <f>AND(Bills!#REF!,"AAAAAHP3/f8=")</f>
        <v>#REF!</v>
      </c>
    </row>
    <row r="109" spans="1:256" x14ac:dyDescent="0.25">
      <c r="A109" t="e">
        <f>AND(Bills!M384,"AAAAAFv9pwA=")</f>
        <v>#VALUE!</v>
      </c>
      <c r="B109" t="e">
        <f>AND(Bills!N384,"AAAAAFv9pwE=")</f>
        <v>#VALUE!</v>
      </c>
      <c r="C109" t="e">
        <f>AND(Bills!O384,"AAAAAFv9pwI=")</f>
        <v>#VALUE!</v>
      </c>
      <c r="D109" t="e">
        <f>AND(Bills!P384,"AAAAAFv9pwM=")</f>
        <v>#VALUE!</v>
      </c>
      <c r="E109" t="e">
        <f>AND(Bills!Q384,"AAAAAFv9pwQ=")</f>
        <v>#VALUE!</v>
      </c>
      <c r="F109" t="e">
        <f>AND(Bills!R384,"AAAAAFv9pwU=")</f>
        <v>#VALUE!</v>
      </c>
      <c r="G109" t="e">
        <f>AND(Bills!S384,"AAAAAFv9pwY=")</f>
        <v>#VALUE!</v>
      </c>
      <c r="H109" t="e">
        <f>AND(Bills!T384,"AAAAAFv9pwc=")</f>
        <v>#VALUE!</v>
      </c>
      <c r="I109" t="e">
        <f>AND(Bills!#REF!,"AAAAAFv9pwg=")</f>
        <v>#REF!</v>
      </c>
      <c r="J109" t="e">
        <f>AND(Bills!U384,"AAAAAFv9pwk=")</f>
        <v>#VALUE!</v>
      </c>
      <c r="K109" t="e">
        <f>AND(Bills!V384,"AAAAAFv9pwo=")</f>
        <v>#VALUE!</v>
      </c>
      <c r="L109" t="e">
        <f>AND(Bills!W384,"AAAAAFv9pws=")</f>
        <v>#VALUE!</v>
      </c>
      <c r="M109" t="e">
        <f>AND(Bills!#REF!,"AAAAAFv9pww=")</f>
        <v>#REF!</v>
      </c>
      <c r="N109" t="e">
        <f>AND(Bills!#REF!,"AAAAAFv9pw0=")</f>
        <v>#REF!</v>
      </c>
      <c r="O109" t="e">
        <f>AND(Bills!Y384,"AAAAAFv9pw4=")</f>
        <v>#VALUE!</v>
      </c>
      <c r="P109" t="e">
        <f>AND(Bills!Z384,"AAAAAFv9pw8=")</f>
        <v>#VALUE!</v>
      </c>
      <c r="Q109" t="e">
        <f>AND(Bills!#REF!,"AAAAAFv9pxA=")</f>
        <v>#REF!</v>
      </c>
      <c r="R109" t="e">
        <f>AND(Bills!#REF!,"AAAAAFv9pxE=")</f>
        <v>#REF!</v>
      </c>
      <c r="S109" t="e">
        <f>AND(Bills!#REF!,"AAAAAFv9pxI=")</f>
        <v>#REF!</v>
      </c>
      <c r="T109" t="e">
        <f>AND(Bills!#REF!,"AAAAAFv9pxM=")</f>
        <v>#REF!</v>
      </c>
      <c r="U109" t="e">
        <f>AND(Bills!#REF!,"AAAAAFv9pxQ=")</f>
        <v>#REF!</v>
      </c>
      <c r="V109" t="e">
        <f>AND(Bills!#REF!,"AAAAAFv9pxU=")</f>
        <v>#REF!</v>
      </c>
      <c r="W109" t="e">
        <f>AND(Bills!#REF!,"AAAAAFv9pxY=")</f>
        <v>#REF!</v>
      </c>
      <c r="X109" t="e">
        <f>AND(Bills!#REF!,"AAAAAFv9pxc=")</f>
        <v>#REF!</v>
      </c>
      <c r="Y109" t="e">
        <f>AND(Bills!#REF!,"AAAAAFv9pxg=")</f>
        <v>#REF!</v>
      </c>
      <c r="Z109" t="e">
        <f>AND(Bills!AA384,"AAAAAFv9pxk=")</f>
        <v>#VALUE!</v>
      </c>
      <c r="AA109" t="e">
        <f>AND(Bills!AB384,"AAAAAFv9pxo=")</f>
        <v>#VALUE!</v>
      </c>
      <c r="AB109" t="e">
        <f>AND(Bills!#REF!,"AAAAAFv9pxs=")</f>
        <v>#REF!</v>
      </c>
      <c r="AC109" t="e">
        <f>AND(Bills!#REF!,"AAAAAFv9pxw=")</f>
        <v>#REF!</v>
      </c>
      <c r="AD109" t="e">
        <f>AND(Bills!#REF!,"AAAAAFv9px0=")</f>
        <v>#REF!</v>
      </c>
      <c r="AE109" t="e">
        <f>AND(Bills!AC384,"AAAAAFv9px4=")</f>
        <v>#VALUE!</v>
      </c>
      <c r="AF109" t="e">
        <f>AND(Bills!AD384,"AAAAAFv9px8=")</f>
        <v>#VALUE!</v>
      </c>
      <c r="AG109" t="e">
        <f>AND(Bills!AE384,"AAAAAFv9pyA=")</f>
        <v>#VALUE!</v>
      </c>
      <c r="AH109">
        <f>IF(Bills!385:385,"AAAAAFv9pyE=",0)</f>
        <v>0</v>
      </c>
      <c r="AI109" t="e">
        <f>AND(Bills!B385,"AAAAAFv9pyI=")</f>
        <v>#VALUE!</v>
      </c>
      <c r="AJ109" t="e">
        <f>AND(Bills!#REF!,"AAAAAFv9pyM=")</f>
        <v>#REF!</v>
      </c>
      <c r="AK109" t="e">
        <f>AND(Bills!C385,"AAAAAFv9pyQ=")</f>
        <v>#VALUE!</v>
      </c>
      <c r="AL109" t="e">
        <f>AND(Bills!D385,"AAAAAFv9pyU=")</f>
        <v>#VALUE!</v>
      </c>
      <c r="AM109" t="e">
        <f>AND(Bills!E385,"AAAAAFv9pyY=")</f>
        <v>#VALUE!</v>
      </c>
      <c r="AN109" t="e">
        <f>AND(Bills!#REF!,"AAAAAFv9pyc=")</f>
        <v>#REF!</v>
      </c>
      <c r="AO109" t="e">
        <f>AND(Bills!#REF!,"AAAAAFv9pyg=")</f>
        <v>#REF!</v>
      </c>
      <c r="AP109" t="e">
        <f>AND(Bills!#REF!,"AAAAAFv9pyk=")</f>
        <v>#REF!</v>
      </c>
      <c r="AQ109" t="e">
        <f>AND(Bills!F385,"AAAAAFv9pyo=")</f>
        <v>#VALUE!</v>
      </c>
      <c r="AR109" t="e">
        <f>AND(Bills!#REF!,"AAAAAFv9pys=")</f>
        <v>#REF!</v>
      </c>
      <c r="AS109" t="e">
        <f>AND(Bills!G385,"AAAAAFv9pyw=")</f>
        <v>#VALUE!</v>
      </c>
      <c r="AT109" t="e">
        <f>AND(Bills!H385,"AAAAAFv9py0=")</f>
        <v>#VALUE!</v>
      </c>
      <c r="AU109" t="e">
        <f>AND(Bills!I385,"AAAAAFv9py4=")</f>
        <v>#VALUE!</v>
      </c>
      <c r="AV109" t="e">
        <f>AND(Bills!J385,"AAAAAFv9py8=")</f>
        <v>#VALUE!</v>
      </c>
      <c r="AW109" t="e">
        <f>AND(Bills!K385,"AAAAAFv9pzA=")</f>
        <v>#VALUE!</v>
      </c>
      <c r="AX109" t="e">
        <f>AND(Bills!L385,"AAAAAFv9pzE=")</f>
        <v>#VALUE!</v>
      </c>
      <c r="AY109" t="e">
        <f>AND(Bills!#REF!,"AAAAAFv9pzI=")</f>
        <v>#REF!</v>
      </c>
      <c r="AZ109" t="e">
        <f>AND(Bills!M385,"AAAAAFv9pzM=")</f>
        <v>#VALUE!</v>
      </c>
      <c r="BA109" t="e">
        <f>AND(Bills!N385,"AAAAAFv9pzQ=")</f>
        <v>#VALUE!</v>
      </c>
      <c r="BB109" t="e">
        <f>AND(Bills!O385,"AAAAAFv9pzU=")</f>
        <v>#VALUE!</v>
      </c>
      <c r="BC109" t="e">
        <f>AND(Bills!P385,"AAAAAFv9pzY=")</f>
        <v>#VALUE!</v>
      </c>
      <c r="BD109" t="e">
        <f>AND(Bills!Q385,"AAAAAFv9pzc=")</f>
        <v>#VALUE!</v>
      </c>
      <c r="BE109" t="e">
        <f>AND(Bills!R385,"AAAAAFv9pzg=")</f>
        <v>#VALUE!</v>
      </c>
      <c r="BF109" t="e">
        <f>AND(Bills!S385,"AAAAAFv9pzk=")</f>
        <v>#VALUE!</v>
      </c>
      <c r="BG109" t="e">
        <f>AND(Bills!T385,"AAAAAFv9pzo=")</f>
        <v>#VALUE!</v>
      </c>
      <c r="BH109" t="e">
        <f>AND(Bills!#REF!,"AAAAAFv9pzs=")</f>
        <v>#REF!</v>
      </c>
      <c r="BI109" t="e">
        <f>AND(Bills!U385,"AAAAAFv9pzw=")</f>
        <v>#VALUE!</v>
      </c>
      <c r="BJ109" t="e">
        <f>AND(Bills!V385,"AAAAAFv9pz0=")</f>
        <v>#VALUE!</v>
      </c>
      <c r="BK109" t="e">
        <f>AND(Bills!W385,"AAAAAFv9pz4=")</f>
        <v>#VALUE!</v>
      </c>
      <c r="BL109" t="e">
        <f>AND(Bills!#REF!,"AAAAAFv9pz8=")</f>
        <v>#REF!</v>
      </c>
      <c r="BM109" t="e">
        <f>AND(Bills!#REF!,"AAAAAFv9p0A=")</f>
        <v>#REF!</v>
      </c>
      <c r="BN109" t="e">
        <f>AND(Bills!Y385,"AAAAAFv9p0E=")</f>
        <v>#VALUE!</v>
      </c>
      <c r="BO109" t="e">
        <f>AND(Bills!Z385,"AAAAAFv9p0I=")</f>
        <v>#VALUE!</v>
      </c>
      <c r="BP109" t="e">
        <f>AND(Bills!#REF!,"AAAAAFv9p0M=")</f>
        <v>#REF!</v>
      </c>
      <c r="BQ109" t="e">
        <f>AND(Bills!#REF!,"AAAAAFv9p0Q=")</f>
        <v>#REF!</v>
      </c>
      <c r="BR109" t="e">
        <f>AND(Bills!#REF!,"AAAAAFv9p0U=")</f>
        <v>#REF!</v>
      </c>
      <c r="BS109" t="e">
        <f>AND(Bills!#REF!,"AAAAAFv9p0Y=")</f>
        <v>#REF!</v>
      </c>
      <c r="BT109" t="e">
        <f>AND(Bills!#REF!,"AAAAAFv9p0c=")</f>
        <v>#REF!</v>
      </c>
      <c r="BU109" t="e">
        <f>AND(Bills!#REF!,"AAAAAFv9p0g=")</f>
        <v>#REF!</v>
      </c>
      <c r="BV109" t="e">
        <f>AND(Bills!#REF!,"AAAAAFv9p0k=")</f>
        <v>#REF!</v>
      </c>
      <c r="BW109" t="e">
        <f>AND(Bills!#REF!,"AAAAAFv9p0o=")</f>
        <v>#REF!</v>
      </c>
      <c r="BX109" t="e">
        <f>AND(Bills!#REF!,"AAAAAFv9p0s=")</f>
        <v>#REF!</v>
      </c>
      <c r="BY109" t="e">
        <f>AND(Bills!AA385,"AAAAAFv9p0w=")</f>
        <v>#VALUE!</v>
      </c>
      <c r="BZ109" t="e">
        <f>AND(Bills!AB385,"AAAAAFv9p00=")</f>
        <v>#VALUE!</v>
      </c>
      <c r="CA109" t="e">
        <f>AND(Bills!#REF!,"AAAAAFv9p04=")</f>
        <v>#REF!</v>
      </c>
      <c r="CB109" t="e">
        <f>AND(Bills!#REF!,"AAAAAFv9p08=")</f>
        <v>#REF!</v>
      </c>
      <c r="CC109" t="e">
        <f>AND(Bills!#REF!,"AAAAAFv9p1A=")</f>
        <v>#REF!</v>
      </c>
      <c r="CD109" t="e">
        <f>AND(Bills!AC385,"AAAAAFv9p1E=")</f>
        <v>#VALUE!</v>
      </c>
      <c r="CE109" t="e">
        <f>AND(Bills!AD385,"AAAAAFv9p1I=")</f>
        <v>#VALUE!</v>
      </c>
      <c r="CF109" t="e">
        <f>AND(Bills!AE385,"AAAAAFv9p1M=")</f>
        <v>#VALUE!</v>
      </c>
      <c r="CG109">
        <f>IF(Bills!386:386,"AAAAAFv9p1Q=",0)</f>
        <v>0</v>
      </c>
      <c r="CH109" t="e">
        <f>AND(Bills!B386,"AAAAAFv9p1U=")</f>
        <v>#VALUE!</v>
      </c>
      <c r="CI109" t="e">
        <f>AND(Bills!#REF!,"AAAAAFv9p1Y=")</f>
        <v>#REF!</v>
      </c>
      <c r="CJ109" t="e">
        <f>AND(Bills!C386,"AAAAAFv9p1c=")</f>
        <v>#VALUE!</v>
      </c>
      <c r="CK109" t="e">
        <f>AND(Bills!D386,"AAAAAFv9p1g=")</f>
        <v>#VALUE!</v>
      </c>
      <c r="CL109" t="e">
        <f>AND(Bills!E386,"AAAAAFv9p1k=")</f>
        <v>#VALUE!</v>
      </c>
      <c r="CM109" t="e">
        <f>AND(Bills!#REF!,"AAAAAFv9p1o=")</f>
        <v>#REF!</v>
      </c>
      <c r="CN109" t="e">
        <f>AND(Bills!#REF!,"AAAAAFv9p1s=")</f>
        <v>#REF!</v>
      </c>
      <c r="CO109" t="e">
        <f>AND(Bills!#REF!,"AAAAAFv9p1w=")</f>
        <v>#REF!</v>
      </c>
      <c r="CP109" t="e">
        <f>AND(Bills!F386,"AAAAAFv9p10=")</f>
        <v>#VALUE!</v>
      </c>
      <c r="CQ109" t="e">
        <f>AND(Bills!#REF!,"AAAAAFv9p14=")</f>
        <v>#REF!</v>
      </c>
      <c r="CR109" t="e">
        <f>AND(Bills!G386,"AAAAAFv9p18=")</f>
        <v>#VALUE!</v>
      </c>
      <c r="CS109" t="e">
        <f>AND(Bills!H386,"AAAAAFv9p2A=")</f>
        <v>#VALUE!</v>
      </c>
      <c r="CT109" t="e">
        <f>AND(Bills!I386,"AAAAAFv9p2E=")</f>
        <v>#VALUE!</v>
      </c>
      <c r="CU109" t="e">
        <f>AND(Bills!J386,"AAAAAFv9p2I=")</f>
        <v>#VALUE!</v>
      </c>
      <c r="CV109" t="e">
        <f>AND(Bills!K386,"AAAAAFv9p2M=")</f>
        <v>#VALUE!</v>
      </c>
      <c r="CW109" t="e">
        <f>AND(Bills!L386,"AAAAAFv9p2Q=")</f>
        <v>#VALUE!</v>
      </c>
      <c r="CX109" t="e">
        <f>AND(Bills!#REF!,"AAAAAFv9p2U=")</f>
        <v>#REF!</v>
      </c>
      <c r="CY109" t="e">
        <f>AND(Bills!M386,"AAAAAFv9p2Y=")</f>
        <v>#VALUE!</v>
      </c>
      <c r="CZ109" t="e">
        <f>AND(Bills!N386,"AAAAAFv9p2c=")</f>
        <v>#VALUE!</v>
      </c>
      <c r="DA109" t="e">
        <f>AND(Bills!O386,"AAAAAFv9p2g=")</f>
        <v>#VALUE!</v>
      </c>
      <c r="DB109" t="e">
        <f>AND(Bills!P386,"AAAAAFv9p2k=")</f>
        <v>#VALUE!</v>
      </c>
      <c r="DC109" t="e">
        <f>AND(Bills!Q386,"AAAAAFv9p2o=")</f>
        <v>#VALUE!</v>
      </c>
      <c r="DD109" t="e">
        <f>AND(Bills!R386,"AAAAAFv9p2s=")</f>
        <v>#VALUE!</v>
      </c>
      <c r="DE109" t="e">
        <f>AND(Bills!S386,"AAAAAFv9p2w=")</f>
        <v>#VALUE!</v>
      </c>
      <c r="DF109" t="e">
        <f>AND(Bills!T386,"AAAAAFv9p20=")</f>
        <v>#VALUE!</v>
      </c>
      <c r="DG109" t="e">
        <f>AND(Bills!#REF!,"AAAAAFv9p24=")</f>
        <v>#REF!</v>
      </c>
      <c r="DH109" t="e">
        <f>AND(Bills!U386,"AAAAAFv9p28=")</f>
        <v>#VALUE!</v>
      </c>
      <c r="DI109" t="e">
        <f>AND(Bills!V386,"AAAAAFv9p3A=")</f>
        <v>#VALUE!</v>
      </c>
      <c r="DJ109" t="e">
        <f>AND(Bills!W386,"AAAAAFv9p3E=")</f>
        <v>#VALUE!</v>
      </c>
      <c r="DK109" t="e">
        <f>AND(Bills!#REF!,"AAAAAFv9p3I=")</f>
        <v>#REF!</v>
      </c>
      <c r="DL109" t="e">
        <f>AND(Bills!#REF!,"AAAAAFv9p3M=")</f>
        <v>#REF!</v>
      </c>
      <c r="DM109" t="e">
        <f>AND(Bills!Y386,"AAAAAFv9p3Q=")</f>
        <v>#VALUE!</v>
      </c>
      <c r="DN109" t="e">
        <f>AND(Bills!Z386,"AAAAAFv9p3U=")</f>
        <v>#VALUE!</v>
      </c>
      <c r="DO109" t="e">
        <f>AND(Bills!#REF!,"AAAAAFv9p3Y=")</f>
        <v>#REF!</v>
      </c>
      <c r="DP109" t="e">
        <f>AND(Bills!#REF!,"AAAAAFv9p3c=")</f>
        <v>#REF!</v>
      </c>
      <c r="DQ109" t="e">
        <f>AND(Bills!#REF!,"AAAAAFv9p3g=")</f>
        <v>#REF!</v>
      </c>
      <c r="DR109" t="e">
        <f>AND(Bills!#REF!,"AAAAAFv9p3k=")</f>
        <v>#REF!</v>
      </c>
      <c r="DS109" t="e">
        <f>AND(Bills!#REF!,"AAAAAFv9p3o=")</f>
        <v>#REF!</v>
      </c>
      <c r="DT109" t="e">
        <f>AND(Bills!#REF!,"AAAAAFv9p3s=")</f>
        <v>#REF!</v>
      </c>
      <c r="DU109" t="e">
        <f>AND(Bills!#REF!,"AAAAAFv9p3w=")</f>
        <v>#REF!</v>
      </c>
      <c r="DV109" t="e">
        <f>AND(Bills!#REF!,"AAAAAFv9p30=")</f>
        <v>#REF!</v>
      </c>
      <c r="DW109" t="e">
        <f>AND(Bills!#REF!,"AAAAAFv9p34=")</f>
        <v>#REF!</v>
      </c>
      <c r="DX109" t="e">
        <f>AND(Bills!AA386,"AAAAAFv9p38=")</f>
        <v>#VALUE!</v>
      </c>
      <c r="DY109" t="e">
        <f>AND(Bills!AB386,"AAAAAFv9p4A=")</f>
        <v>#VALUE!</v>
      </c>
      <c r="DZ109" t="e">
        <f>AND(Bills!#REF!,"AAAAAFv9p4E=")</f>
        <v>#REF!</v>
      </c>
      <c r="EA109" t="e">
        <f>AND(Bills!#REF!,"AAAAAFv9p4I=")</f>
        <v>#REF!</v>
      </c>
      <c r="EB109" t="e">
        <f>AND(Bills!#REF!,"AAAAAFv9p4M=")</f>
        <v>#REF!</v>
      </c>
      <c r="EC109" t="e">
        <f>AND(Bills!AC386,"AAAAAFv9p4Q=")</f>
        <v>#VALUE!</v>
      </c>
      <c r="ED109" t="e">
        <f>AND(Bills!AD386,"AAAAAFv9p4U=")</f>
        <v>#VALUE!</v>
      </c>
      <c r="EE109" t="e">
        <f>AND(Bills!AE386,"AAAAAFv9p4Y=")</f>
        <v>#VALUE!</v>
      </c>
      <c r="EF109">
        <f>IF(Bills!387:387,"AAAAAFv9p4c=",0)</f>
        <v>0</v>
      </c>
      <c r="EG109" t="e">
        <f>AND(Bills!B387,"AAAAAFv9p4g=")</f>
        <v>#VALUE!</v>
      </c>
      <c r="EH109" t="e">
        <f>AND(Bills!#REF!,"AAAAAFv9p4k=")</f>
        <v>#REF!</v>
      </c>
      <c r="EI109" t="e">
        <f>AND(Bills!C387,"AAAAAFv9p4o=")</f>
        <v>#VALUE!</v>
      </c>
      <c r="EJ109" t="e">
        <f>AND(Bills!D387,"AAAAAFv9p4s=")</f>
        <v>#VALUE!</v>
      </c>
      <c r="EK109" t="e">
        <f>AND(Bills!E387,"AAAAAFv9p4w=")</f>
        <v>#VALUE!</v>
      </c>
      <c r="EL109" t="e">
        <f>AND(Bills!#REF!,"AAAAAFv9p40=")</f>
        <v>#REF!</v>
      </c>
      <c r="EM109" t="e">
        <f>AND(Bills!#REF!,"AAAAAFv9p44=")</f>
        <v>#REF!</v>
      </c>
      <c r="EN109" t="e">
        <f>AND(Bills!#REF!,"AAAAAFv9p48=")</f>
        <v>#REF!</v>
      </c>
      <c r="EO109" t="e">
        <f>AND(Bills!F387,"AAAAAFv9p5A=")</f>
        <v>#VALUE!</v>
      </c>
      <c r="EP109" t="e">
        <f>AND(Bills!#REF!,"AAAAAFv9p5E=")</f>
        <v>#REF!</v>
      </c>
      <c r="EQ109" t="e">
        <f>AND(Bills!G387,"AAAAAFv9p5I=")</f>
        <v>#VALUE!</v>
      </c>
      <c r="ER109" t="e">
        <f>AND(Bills!H387,"AAAAAFv9p5M=")</f>
        <v>#VALUE!</v>
      </c>
      <c r="ES109" t="e">
        <f>AND(Bills!I387,"AAAAAFv9p5Q=")</f>
        <v>#VALUE!</v>
      </c>
      <c r="ET109" t="e">
        <f>AND(Bills!J387,"AAAAAFv9p5U=")</f>
        <v>#VALUE!</v>
      </c>
      <c r="EU109" t="e">
        <f>AND(Bills!K387,"AAAAAFv9p5Y=")</f>
        <v>#VALUE!</v>
      </c>
      <c r="EV109" t="e">
        <f>AND(Bills!L387,"AAAAAFv9p5c=")</f>
        <v>#VALUE!</v>
      </c>
      <c r="EW109" t="e">
        <f>AND(Bills!#REF!,"AAAAAFv9p5g=")</f>
        <v>#REF!</v>
      </c>
      <c r="EX109" t="e">
        <f>AND(Bills!M387,"AAAAAFv9p5k=")</f>
        <v>#VALUE!</v>
      </c>
      <c r="EY109" t="e">
        <f>AND(Bills!N387,"AAAAAFv9p5o=")</f>
        <v>#VALUE!</v>
      </c>
      <c r="EZ109" t="e">
        <f>AND(Bills!O387,"AAAAAFv9p5s=")</f>
        <v>#VALUE!</v>
      </c>
      <c r="FA109" t="e">
        <f>AND(Bills!P387,"AAAAAFv9p5w=")</f>
        <v>#VALUE!</v>
      </c>
      <c r="FB109" t="e">
        <f>AND(Bills!Q387,"AAAAAFv9p50=")</f>
        <v>#VALUE!</v>
      </c>
      <c r="FC109" t="e">
        <f>AND(Bills!R387,"AAAAAFv9p54=")</f>
        <v>#VALUE!</v>
      </c>
      <c r="FD109" t="e">
        <f>AND(Bills!S387,"AAAAAFv9p58=")</f>
        <v>#VALUE!</v>
      </c>
      <c r="FE109" t="e">
        <f>AND(Bills!T387,"AAAAAFv9p6A=")</f>
        <v>#VALUE!</v>
      </c>
      <c r="FF109" t="e">
        <f>AND(Bills!#REF!,"AAAAAFv9p6E=")</f>
        <v>#REF!</v>
      </c>
      <c r="FG109" t="e">
        <f>AND(Bills!U387,"AAAAAFv9p6I=")</f>
        <v>#VALUE!</v>
      </c>
      <c r="FH109" t="e">
        <f>AND(Bills!V387,"AAAAAFv9p6M=")</f>
        <v>#VALUE!</v>
      </c>
      <c r="FI109" t="e">
        <f>AND(Bills!W387,"AAAAAFv9p6Q=")</f>
        <v>#VALUE!</v>
      </c>
      <c r="FJ109" t="e">
        <f>AND(Bills!#REF!,"AAAAAFv9p6U=")</f>
        <v>#REF!</v>
      </c>
      <c r="FK109" t="e">
        <f>AND(Bills!#REF!,"AAAAAFv9p6Y=")</f>
        <v>#REF!</v>
      </c>
      <c r="FL109" t="e">
        <f>AND(Bills!Y387,"AAAAAFv9p6c=")</f>
        <v>#VALUE!</v>
      </c>
      <c r="FM109" t="e">
        <f>AND(Bills!Z387,"AAAAAFv9p6g=")</f>
        <v>#VALUE!</v>
      </c>
      <c r="FN109" t="e">
        <f>AND(Bills!#REF!,"AAAAAFv9p6k=")</f>
        <v>#REF!</v>
      </c>
      <c r="FO109" t="e">
        <f>AND(Bills!#REF!,"AAAAAFv9p6o=")</f>
        <v>#REF!</v>
      </c>
      <c r="FP109" t="e">
        <f>AND(Bills!#REF!,"AAAAAFv9p6s=")</f>
        <v>#REF!</v>
      </c>
      <c r="FQ109" t="e">
        <f>AND(Bills!#REF!,"AAAAAFv9p6w=")</f>
        <v>#REF!</v>
      </c>
      <c r="FR109" t="e">
        <f>AND(Bills!#REF!,"AAAAAFv9p60=")</f>
        <v>#REF!</v>
      </c>
      <c r="FS109" t="e">
        <f>AND(Bills!#REF!,"AAAAAFv9p64=")</f>
        <v>#REF!</v>
      </c>
      <c r="FT109" t="e">
        <f>AND(Bills!#REF!,"AAAAAFv9p68=")</f>
        <v>#REF!</v>
      </c>
      <c r="FU109" t="e">
        <f>AND(Bills!#REF!,"AAAAAFv9p7A=")</f>
        <v>#REF!</v>
      </c>
      <c r="FV109" t="e">
        <f>AND(Bills!#REF!,"AAAAAFv9p7E=")</f>
        <v>#REF!</v>
      </c>
      <c r="FW109" t="e">
        <f>AND(Bills!AA387,"AAAAAFv9p7I=")</f>
        <v>#VALUE!</v>
      </c>
      <c r="FX109" t="e">
        <f>AND(Bills!AB387,"AAAAAFv9p7M=")</f>
        <v>#VALUE!</v>
      </c>
      <c r="FY109" t="e">
        <f>AND(Bills!#REF!,"AAAAAFv9p7Q=")</f>
        <v>#REF!</v>
      </c>
      <c r="FZ109" t="e">
        <f>AND(Bills!#REF!,"AAAAAFv9p7U=")</f>
        <v>#REF!</v>
      </c>
      <c r="GA109" t="e">
        <f>AND(Bills!#REF!,"AAAAAFv9p7Y=")</f>
        <v>#REF!</v>
      </c>
      <c r="GB109" t="e">
        <f>AND(Bills!AC387,"AAAAAFv9p7c=")</f>
        <v>#VALUE!</v>
      </c>
      <c r="GC109" t="e">
        <f>AND(Bills!AD387,"AAAAAFv9p7g=")</f>
        <v>#VALUE!</v>
      </c>
      <c r="GD109" t="e">
        <f>AND(Bills!AE387,"AAAAAFv9p7k=")</f>
        <v>#VALUE!</v>
      </c>
      <c r="GE109">
        <f>IF(Bills!388:388,"AAAAAFv9p7o=",0)</f>
        <v>0</v>
      </c>
      <c r="GF109" t="e">
        <f>AND(Bills!B388,"AAAAAFv9p7s=")</f>
        <v>#VALUE!</v>
      </c>
      <c r="GG109" t="e">
        <f>AND(Bills!#REF!,"AAAAAFv9p7w=")</f>
        <v>#REF!</v>
      </c>
      <c r="GH109" t="e">
        <f>AND(Bills!C388,"AAAAAFv9p70=")</f>
        <v>#VALUE!</v>
      </c>
      <c r="GI109" t="e">
        <f>AND(Bills!D388,"AAAAAFv9p74=")</f>
        <v>#VALUE!</v>
      </c>
      <c r="GJ109" t="e">
        <f>AND(Bills!E388,"AAAAAFv9p78=")</f>
        <v>#VALUE!</v>
      </c>
      <c r="GK109" t="e">
        <f>AND(Bills!#REF!,"AAAAAFv9p8A=")</f>
        <v>#REF!</v>
      </c>
      <c r="GL109" t="e">
        <f>AND(Bills!#REF!,"AAAAAFv9p8E=")</f>
        <v>#REF!</v>
      </c>
      <c r="GM109" t="e">
        <f>AND(Bills!#REF!,"AAAAAFv9p8I=")</f>
        <v>#REF!</v>
      </c>
      <c r="GN109" t="e">
        <f>AND(Bills!F388,"AAAAAFv9p8M=")</f>
        <v>#VALUE!</v>
      </c>
      <c r="GO109" t="e">
        <f>AND(Bills!#REF!,"AAAAAFv9p8Q=")</f>
        <v>#REF!</v>
      </c>
      <c r="GP109" t="e">
        <f>AND(Bills!G388,"AAAAAFv9p8U=")</f>
        <v>#VALUE!</v>
      </c>
      <c r="GQ109" t="e">
        <f>AND(Bills!H388,"AAAAAFv9p8Y=")</f>
        <v>#VALUE!</v>
      </c>
      <c r="GR109" t="e">
        <f>AND(Bills!I388,"AAAAAFv9p8c=")</f>
        <v>#VALUE!</v>
      </c>
      <c r="GS109" t="e">
        <f>AND(Bills!J388,"AAAAAFv9p8g=")</f>
        <v>#VALUE!</v>
      </c>
      <c r="GT109" t="e">
        <f>AND(Bills!K388,"AAAAAFv9p8k=")</f>
        <v>#VALUE!</v>
      </c>
      <c r="GU109" t="e">
        <f>AND(Bills!L388,"AAAAAFv9p8o=")</f>
        <v>#VALUE!</v>
      </c>
      <c r="GV109" t="e">
        <f>AND(Bills!#REF!,"AAAAAFv9p8s=")</f>
        <v>#REF!</v>
      </c>
      <c r="GW109" t="e">
        <f>AND(Bills!M388,"AAAAAFv9p8w=")</f>
        <v>#VALUE!</v>
      </c>
      <c r="GX109" t="e">
        <f>AND(Bills!N388,"AAAAAFv9p80=")</f>
        <v>#VALUE!</v>
      </c>
      <c r="GY109" t="e">
        <f>AND(Bills!O388,"AAAAAFv9p84=")</f>
        <v>#VALUE!</v>
      </c>
      <c r="GZ109" t="e">
        <f>AND(Bills!P388,"AAAAAFv9p88=")</f>
        <v>#VALUE!</v>
      </c>
      <c r="HA109" t="e">
        <f>AND(Bills!Q388,"AAAAAFv9p9A=")</f>
        <v>#VALUE!</v>
      </c>
      <c r="HB109" t="e">
        <f>AND(Bills!R388,"AAAAAFv9p9E=")</f>
        <v>#VALUE!</v>
      </c>
      <c r="HC109" t="e">
        <f>AND(Bills!S388,"AAAAAFv9p9I=")</f>
        <v>#VALUE!</v>
      </c>
      <c r="HD109" t="e">
        <f>AND(Bills!T388,"AAAAAFv9p9M=")</f>
        <v>#VALUE!</v>
      </c>
      <c r="HE109" t="e">
        <f>AND(Bills!#REF!,"AAAAAFv9p9Q=")</f>
        <v>#REF!</v>
      </c>
      <c r="HF109" t="e">
        <f>AND(Bills!U388,"AAAAAFv9p9U=")</f>
        <v>#VALUE!</v>
      </c>
      <c r="HG109" t="e">
        <f>AND(Bills!V388,"AAAAAFv9p9Y=")</f>
        <v>#VALUE!</v>
      </c>
      <c r="HH109" t="e">
        <f>AND(Bills!W388,"AAAAAFv9p9c=")</f>
        <v>#VALUE!</v>
      </c>
      <c r="HI109" t="e">
        <f>AND(Bills!#REF!,"AAAAAFv9p9g=")</f>
        <v>#REF!</v>
      </c>
      <c r="HJ109" t="e">
        <f>AND(Bills!#REF!,"AAAAAFv9p9k=")</f>
        <v>#REF!</v>
      </c>
      <c r="HK109" t="e">
        <f>AND(Bills!Y388,"AAAAAFv9p9o=")</f>
        <v>#VALUE!</v>
      </c>
      <c r="HL109" t="e">
        <f>AND(Bills!Z388,"AAAAAFv9p9s=")</f>
        <v>#VALUE!</v>
      </c>
      <c r="HM109" t="e">
        <f>AND(Bills!#REF!,"AAAAAFv9p9w=")</f>
        <v>#REF!</v>
      </c>
      <c r="HN109" t="e">
        <f>AND(Bills!#REF!,"AAAAAFv9p90=")</f>
        <v>#REF!</v>
      </c>
      <c r="HO109" t="e">
        <f>AND(Bills!#REF!,"AAAAAFv9p94=")</f>
        <v>#REF!</v>
      </c>
      <c r="HP109" t="e">
        <f>AND(Bills!#REF!,"AAAAAFv9p98=")</f>
        <v>#REF!</v>
      </c>
      <c r="HQ109" t="e">
        <f>AND(Bills!#REF!,"AAAAAFv9p+A=")</f>
        <v>#REF!</v>
      </c>
      <c r="HR109" t="e">
        <f>AND(Bills!#REF!,"AAAAAFv9p+E=")</f>
        <v>#REF!</v>
      </c>
      <c r="HS109" t="e">
        <f>AND(Bills!#REF!,"AAAAAFv9p+I=")</f>
        <v>#REF!</v>
      </c>
      <c r="HT109" t="e">
        <f>AND(Bills!#REF!,"AAAAAFv9p+M=")</f>
        <v>#REF!</v>
      </c>
      <c r="HU109" t="e">
        <f>AND(Bills!#REF!,"AAAAAFv9p+Q=")</f>
        <v>#REF!</v>
      </c>
      <c r="HV109" t="e">
        <f>AND(Bills!AA388,"AAAAAFv9p+U=")</f>
        <v>#VALUE!</v>
      </c>
      <c r="HW109" t="e">
        <f>AND(Bills!AB388,"AAAAAFv9p+Y=")</f>
        <v>#VALUE!</v>
      </c>
      <c r="HX109" t="e">
        <f>AND(Bills!#REF!,"AAAAAFv9p+c=")</f>
        <v>#REF!</v>
      </c>
      <c r="HY109" t="e">
        <f>AND(Bills!#REF!,"AAAAAFv9p+g=")</f>
        <v>#REF!</v>
      </c>
      <c r="HZ109" t="e">
        <f>AND(Bills!#REF!,"AAAAAFv9p+k=")</f>
        <v>#REF!</v>
      </c>
      <c r="IA109" t="e">
        <f>AND(Bills!AC388,"AAAAAFv9p+o=")</f>
        <v>#VALUE!</v>
      </c>
      <c r="IB109" t="e">
        <f>AND(Bills!AD388,"AAAAAFv9p+s=")</f>
        <v>#VALUE!</v>
      </c>
      <c r="IC109" t="e">
        <f>AND(Bills!AE388,"AAAAAFv9p+w=")</f>
        <v>#VALUE!</v>
      </c>
      <c r="ID109">
        <f>IF(Bills!389:389,"AAAAAFv9p+0=",0)</f>
        <v>0</v>
      </c>
      <c r="IE109" t="e">
        <f>AND(Bills!B389,"AAAAAFv9p+4=")</f>
        <v>#VALUE!</v>
      </c>
      <c r="IF109" t="e">
        <f>AND(Bills!#REF!,"AAAAAFv9p+8=")</f>
        <v>#REF!</v>
      </c>
      <c r="IG109" t="e">
        <f>AND(Bills!C389,"AAAAAFv9p/A=")</f>
        <v>#VALUE!</v>
      </c>
      <c r="IH109" t="e">
        <f>AND(Bills!D389,"AAAAAFv9p/E=")</f>
        <v>#VALUE!</v>
      </c>
      <c r="II109" t="e">
        <f>AND(Bills!E389,"AAAAAFv9p/I=")</f>
        <v>#VALUE!</v>
      </c>
      <c r="IJ109" t="e">
        <f>AND(Bills!#REF!,"AAAAAFv9p/M=")</f>
        <v>#REF!</v>
      </c>
      <c r="IK109" t="e">
        <f>AND(Bills!#REF!,"AAAAAFv9p/Q=")</f>
        <v>#REF!</v>
      </c>
      <c r="IL109" t="e">
        <f>AND(Bills!#REF!,"AAAAAFv9p/U=")</f>
        <v>#REF!</v>
      </c>
      <c r="IM109" t="e">
        <f>AND(Bills!F389,"AAAAAFv9p/Y=")</f>
        <v>#VALUE!</v>
      </c>
      <c r="IN109" t="e">
        <f>AND(Bills!#REF!,"AAAAAFv9p/c=")</f>
        <v>#REF!</v>
      </c>
      <c r="IO109" t="e">
        <f>AND(Bills!G389,"AAAAAFv9p/g=")</f>
        <v>#VALUE!</v>
      </c>
      <c r="IP109" t="e">
        <f>AND(Bills!H389,"AAAAAFv9p/k=")</f>
        <v>#VALUE!</v>
      </c>
      <c r="IQ109" t="e">
        <f>AND(Bills!I389,"AAAAAFv9p/o=")</f>
        <v>#VALUE!</v>
      </c>
      <c r="IR109" t="e">
        <f>AND(Bills!J389,"AAAAAFv9p/s=")</f>
        <v>#VALUE!</v>
      </c>
      <c r="IS109" t="e">
        <f>AND(Bills!K389,"AAAAAFv9p/w=")</f>
        <v>#VALUE!</v>
      </c>
      <c r="IT109" t="e">
        <f>AND(Bills!L389,"AAAAAFv9p/0=")</f>
        <v>#VALUE!</v>
      </c>
      <c r="IU109" t="e">
        <f>AND(Bills!#REF!,"AAAAAFv9p/4=")</f>
        <v>#REF!</v>
      </c>
      <c r="IV109" t="e">
        <f>AND(Bills!M389,"AAAAAFv9p/8=")</f>
        <v>#VALUE!</v>
      </c>
    </row>
    <row r="110" spans="1:256" x14ac:dyDescent="0.25">
      <c r="A110" t="e">
        <f>AND(Bills!N389,"AAAAAGL/rwA=")</f>
        <v>#VALUE!</v>
      </c>
      <c r="B110" t="e">
        <f>AND(Bills!O389,"AAAAAGL/rwE=")</f>
        <v>#VALUE!</v>
      </c>
      <c r="C110" t="e">
        <f>AND(Bills!P389,"AAAAAGL/rwI=")</f>
        <v>#VALUE!</v>
      </c>
      <c r="D110" t="e">
        <f>AND(Bills!Q389,"AAAAAGL/rwM=")</f>
        <v>#VALUE!</v>
      </c>
      <c r="E110" t="e">
        <f>AND(Bills!R389,"AAAAAGL/rwQ=")</f>
        <v>#VALUE!</v>
      </c>
      <c r="F110" t="e">
        <f>AND(Bills!S389,"AAAAAGL/rwU=")</f>
        <v>#VALUE!</v>
      </c>
      <c r="G110" t="e">
        <f>AND(Bills!T389,"AAAAAGL/rwY=")</f>
        <v>#VALUE!</v>
      </c>
      <c r="H110" t="e">
        <f>AND(Bills!#REF!,"AAAAAGL/rwc=")</f>
        <v>#REF!</v>
      </c>
      <c r="I110" t="e">
        <f>AND(Bills!U389,"AAAAAGL/rwg=")</f>
        <v>#VALUE!</v>
      </c>
      <c r="J110" t="e">
        <f>AND(Bills!V389,"AAAAAGL/rwk=")</f>
        <v>#VALUE!</v>
      </c>
      <c r="K110" t="e">
        <f>AND(Bills!W389,"AAAAAGL/rwo=")</f>
        <v>#VALUE!</v>
      </c>
      <c r="L110" t="e">
        <f>AND(Bills!#REF!,"AAAAAGL/rws=")</f>
        <v>#REF!</v>
      </c>
      <c r="M110" t="e">
        <f>AND(Bills!#REF!,"AAAAAGL/rww=")</f>
        <v>#REF!</v>
      </c>
      <c r="N110" t="e">
        <f>AND(Bills!Y389,"AAAAAGL/rw0=")</f>
        <v>#VALUE!</v>
      </c>
      <c r="O110" t="e">
        <f>AND(Bills!Z389,"AAAAAGL/rw4=")</f>
        <v>#VALUE!</v>
      </c>
      <c r="P110" t="e">
        <f>AND(Bills!#REF!,"AAAAAGL/rw8=")</f>
        <v>#REF!</v>
      </c>
      <c r="Q110" t="e">
        <f>AND(Bills!#REF!,"AAAAAGL/rxA=")</f>
        <v>#REF!</v>
      </c>
      <c r="R110" t="e">
        <f>AND(Bills!#REF!,"AAAAAGL/rxE=")</f>
        <v>#REF!</v>
      </c>
      <c r="S110" t="e">
        <f>AND(Bills!#REF!,"AAAAAGL/rxI=")</f>
        <v>#REF!</v>
      </c>
      <c r="T110" t="e">
        <f>AND(Bills!#REF!,"AAAAAGL/rxM=")</f>
        <v>#REF!</v>
      </c>
      <c r="U110" t="e">
        <f>AND(Bills!#REF!,"AAAAAGL/rxQ=")</f>
        <v>#REF!</v>
      </c>
      <c r="V110" t="e">
        <f>AND(Bills!#REF!,"AAAAAGL/rxU=")</f>
        <v>#REF!</v>
      </c>
      <c r="W110" t="e">
        <f>AND(Bills!#REF!,"AAAAAGL/rxY=")</f>
        <v>#REF!</v>
      </c>
      <c r="X110" t="e">
        <f>AND(Bills!#REF!,"AAAAAGL/rxc=")</f>
        <v>#REF!</v>
      </c>
      <c r="Y110" t="e">
        <f>AND(Bills!AA389,"AAAAAGL/rxg=")</f>
        <v>#VALUE!</v>
      </c>
      <c r="Z110" t="e">
        <f>AND(Bills!AB389,"AAAAAGL/rxk=")</f>
        <v>#VALUE!</v>
      </c>
      <c r="AA110" t="e">
        <f>AND(Bills!#REF!,"AAAAAGL/rxo=")</f>
        <v>#REF!</v>
      </c>
      <c r="AB110" t="e">
        <f>AND(Bills!#REF!,"AAAAAGL/rxs=")</f>
        <v>#REF!</v>
      </c>
      <c r="AC110" t="e">
        <f>AND(Bills!#REF!,"AAAAAGL/rxw=")</f>
        <v>#REF!</v>
      </c>
      <c r="AD110" t="e">
        <f>AND(Bills!AC389,"AAAAAGL/rx0=")</f>
        <v>#VALUE!</v>
      </c>
      <c r="AE110" t="e">
        <f>AND(Bills!AD389,"AAAAAGL/rx4=")</f>
        <v>#VALUE!</v>
      </c>
      <c r="AF110" t="e">
        <f>AND(Bills!AE389,"AAAAAGL/rx8=")</f>
        <v>#VALUE!</v>
      </c>
      <c r="AG110">
        <f>IF(Bills!390:390,"AAAAAGL/ryA=",0)</f>
        <v>0</v>
      </c>
      <c r="AH110" t="e">
        <f>AND(Bills!B390,"AAAAAGL/ryE=")</f>
        <v>#VALUE!</v>
      </c>
      <c r="AI110" t="e">
        <f>AND(Bills!#REF!,"AAAAAGL/ryI=")</f>
        <v>#REF!</v>
      </c>
      <c r="AJ110" t="e">
        <f>AND(Bills!C390,"AAAAAGL/ryM=")</f>
        <v>#VALUE!</v>
      </c>
      <c r="AK110" t="e">
        <f>AND(Bills!D390,"AAAAAGL/ryQ=")</f>
        <v>#VALUE!</v>
      </c>
      <c r="AL110" t="e">
        <f>AND(Bills!E390,"AAAAAGL/ryU=")</f>
        <v>#VALUE!</v>
      </c>
      <c r="AM110" t="e">
        <f>AND(Bills!#REF!,"AAAAAGL/ryY=")</f>
        <v>#REF!</v>
      </c>
      <c r="AN110" t="e">
        <f>AND(Bills!#REF!,"AAAAAGL/ryc=")</f>
        <v>#REF!</v>
      </c>
      <c r="AO110" t="e">
        <f>AND(Bills!#REF!,"AAAAAGL/ryg=")</f>
        <v>#REF!</v>
      </c>
      <c r="AP110" t="e">
        <f>AND(Bills!F390,"AAAAAGL/ryk=")</f>
        <v>#VALUE!</v>
      </c>
      <c r="AQ110" t="e">
        <f>AND(Bills!#REF!,"AAAAAGL/ryo=")</f>
        <v>#REF!</v>
      </c>
      <c r="AR110" t="e">
        <f>AND(Bills!G390,"AAAAAGL/rys=")</f>
        <v>#VALUE!</v>
      </c>
      <c r="AS110" t="e">
        <f>AND(Bills!H390,"AAAAAGL/ryw=")</f>
        <v>#VALUE!</v>
      </c>
      <c r="AT110" t="e">
        <f>AND(Bills!I390,"AAAAAGL/ry0=")</f>
        <v>#VALUE!</v>
      </c>
      <c r="AU110" t="e">
        <f>AND(Bills!J390,"AAAAAGL/ry4=")</f>
        <v>#VALUE!</v>
      </c>
      <c r="AV110" t="e">
        <f>AND(Bills!K390,"AAAAAGL/ry8=")</f>
        <v>#VALUE!</v>
      </c>
      <c r="AW110" t="e">
        <f>AND(Bills!L390,"AAAAAGL/rzA=")</f>
        <v>#VALUE!</v>
      </c>
      <c r="AX110" t="e">
        <f>AND(Bills!#REF!,"AAAAAGL/rzE=")</f>
        <v>#REF!</v>
      </c>
      <c r="AY110" t="e">
        <f>AND(Bills!M390,"AAAAAGL/rzI=")</f>
        <v>#VALUE!</v>
      </c>
      <c r="AZ110" t="e">
        <f>AND(Bills!N390,"AAAAAGL/rzM=")</f>
        <v>#VALUE!</v>
      </c>
      <c r="BA110" t="e">
        <f>AND(Bills!O390,"AAAAAGL/rzQ=")</f>
        <v>#VALUE!</v>
      </c>
      <c r="BB110" t="e">
        <f>AND(Bills!P390,"AAAAAGL/rzU=")</f>
        <v>#VALUE!</v>
      </c>
      <c r="BC110" t="e">
        <f>AND(Bills!Q390,"AAAAAGL/rzY=")</f>
        <v>#VALUE!</v>
      </c>
      <c r="BD110" t="e">
        <f>AND(Bills!R390,"AAAAAGL/rzc=")</f>
        <v>#VALUE!</v>
      </c>
      <c r="BE110" t="e">
        <f>AND(Bills!S390,"AAAAAGL/rzg=")</f>
        <v>#VALUE!</v>
      </c>
      <c r="BF110" t="e">
        <f>AND(Bills!T390,"AAAAAGL/rzk=")</f>
        <v>#VALUE!</v>
      </c>
      <c r="BG110" t="e">
        <f>AND(Bills!#REF!,"AAAAAGL/rzo=")</f>
        <v>#REF!</v>
      </c>
      <c r="BH110" t="e">
        <f>AND(Bills!U390,"AAAAAGL/rzs=")</f>
        <v>#VALUE!</v>
      </c>
      <c r="BI110" t="e">
        <f>AND(Bills!V390,"AAAAAGL/rzw=")</f>
        <v>#VALUE!</v>
      </c>
      <c r="BJ110" t="e">
        <f>AND(Bills!W390,"AAAAAGL/rz0=")</f>
        <v>#VALUE!</v>
      </c>
      <c r="BK110" t="e">
        <f>AND(Bills!#REF!,"AAAAAGL/rz4=")</f>
        <v>#REF!</v>
      </c>
      <c r="BL110" t="e">
        <f>AND(Bills!#REF!,"AAAAAGL/rz8=")</f>
        <v>#REF!</v>
      </c>
      <c r="BM110" t="e">
        <f>AND(Bills!Y390,"AAAAAGL/r0A=")</f>
        <v>#VALUE!</v>
      </c>
      <c r="BN110" t="e">
        <f>AND(Bills!Z390,"AAAAAGL/r0E=")</f>
        <v>#VALUE!</v>
      </c>
      <c r="BO110" t="e">
        <f>AND(Bills!#REF!,"AAAAAGL/r0I=")</f>
        <v>#REF!</v>
      </c>
      <c r="BP110" t="e">
        <f>AND(Bills!#REF!,"AAAAAGL/r0M=")</f>
        <v>#REF!</v>
      </c>
      <c r="BQ110" t="e">
        <f>AND(Bills!#REF!,"AAAAAGL/r0Q=")</f>
        <v>#REF!</v>
      </c>
      <c r="BR110" t="e">
        <f>AND(Bills!#REF!,"AAAAAGL/r0U=")</f>
        <v>#REF!</v>
      </c>
      <c r="BS110" t="e">
        <f>AND(Bills!#REF!,"AAAAAGL/r0Y=")</f>
        <v>#REF!</v>
      </c>
      <c r="BT110" t="e">
        <f>AND(Bills!#REF!,"AAAAAGL/r0c=")</f>
        <v>#REF!</v>
      </c>
      <c r="BU110" t="e">
        <f>AND(Bills!#REF!,"AAAAAGL/r0g=")</f>
        <v>#REF!</v>
      </c>
      <c r="BV110" t="e">
        <f>AND(Bills!#REF!,"AAAAAGL/r0k=")</f>
        <v>#REF!</v>
      </c>
      <c r="BW110" t="e">
        <f>AND(Bills!#REF!,"AAAAAGL/r0o=")</f>
        <v>#REF!</v>
      </c>
      <c r="BX110" t="e">
        <f>AND(Bills!AA390,"AAAAAGL/r0s=")</f>
        <v>#VALUE!</v>
      </c>
      <c r="BY110" t="e">
        <f>AND(Bills!AB390,"AAAAAGL/r0w=")</f>
        <v>#VALUE!</v>
      </c>
      <c r="BZ110" t="e">
        <f>AND(Bills!#REF!,"AAAAAGL/r00=")</f>
        <v>#REF!</v>
      </c>
      <c r="CA110" t="e">
        <f>AND(Bills!#REF!,"AAAAAGL/r04=")</f>
        <v>#REF!</v>
      </c>
      <c r="CB110" t="e">
        <f>AND(Bills!#REF!,"AAAAAGL/r08=")</f>
        <v>#REF!</v>
      </c>
      <c r="CC110" t="e">
        <f>AND(Bills!AC390,"AAAAAGL/r1A=")</f>
        <v>#VALUE!</v>
      </c>
      <c r="CD110" t="e">
        <f>AND(Bills!AD390,"AAAAAGL/r1E=")</f>
        <v>#VALUE!</v>
      </c>
      <c r="CE110" t="e">
        <f>AND(Bills!AE390,"AAAAAGL/r1I=")</f>
        <v>#VALUE!</v>
      </c>
      <c r="CF110">
        <f>IF(Bills!391:391,"AAAAAGL/r1M=",0)</f>
        <v>0</v>
      </c>
      <c r="CG110" t="e">
        <f>AND(Bills!B391,"AAAAAGL/r1Q=")</f>
        <v>#VALUE!</v>
      </c>
      <c r="CH110" t="e">
        <f>AND(Bills!#REF!,"AAAAAGL/r1U=")</f>
        <v>#REF!</v>
      </c>
      <c r="CI110" t="e">
        <f>AND(Bills!C391,"AAAAAGL/r1Y=")</f>
        <v>#VALUE!</v>
      </c>
      <c r="CJ110" t="e">
        <f>AND(Bills!D391,"AAAAAGL/r1c=")</f>
        <v>#VALUE!</v>
      </c>
      <c r="CK110" t="e">
        <f>AND(Bills!E391,"AAAAAGL/r1g=")</f>
        <v>#VALUE!</v>
      </c>
      <c r="CL110" t="e">
        <f>AND(Bills!#REF!,"AAAAAGL/r1k=")</f>
        <v>#REF!</v>
      </c>
      <c r="CM110" t="e">
        <f>AND(Bills!#REF!,"AAAAAGL/r1o=")</f>
        <v>#REF!</v>
      </c>
      <c r="CN110" t="e">
        <f>AND(Bills!#REF!,"AAAAAGL/r1s=")</f>
        <v>#REF!</v>
      </c>
      <c r="CO110" t="e">
        <f>AND(Bills!F391,"AAAAAGL/r1w=")</f>
        <v>#VALUE!</v>
      </c>
      <c r="CP110" t="e">
        <f>AND(Bills!#REF!,"AAAAAGL/r10=")</f>
        <v>#REF!</v>
      </c>
      <c r="CQ110" t="e">
        <f>AND(Bills!G391,"AAAAAGL/r14=")</f>
        <v>#VALUE!</v>
      </c>
      <c r="CR110" t="e">
        <f>AND(Bills!H391,"AAAAAGL/r18=")</f>
        <v>#VALUE!</v>
      </c>
      <c r="CS110" t="e">
        <f>AND(Bills!I391,"AAAAAGL/r2A=")</f>
        <v>#VALUE!</v>
      </c>
      <c r="CT110" t="e">
        <f>AND(Bills!J391,"AAAAAGL/r2E=")</f>
        <v>#VALUE!</v>
      </c>
      <c r="CU110" t="e">
        <f>AND(Bills!K391,"AAAAAGL/r2I=")</f>
        <v>#VALUE!</v>
      </c>
      <c r="CV110" t="e">
        <f>AND(Bills!L391,"AAAAAGL/r2M=")</f>
        <v>#VALUE!</v>
      </c>
      <c r="CW110" t="e">
        <f>AND(Bills!#REF!,"AAAAAGL/r2Q=")</f>
        <v>#REF!</v>
      </c>
      <c r="CX110" t="e">
        <f>AND(Bills!M391,"AAAAAGL/r2U=")</f>
        <v>#VALUE!</v>
      </c>
      <c r="CY110" t="e">
        <f>AND(Bills!N391,"AAAAAGL/r2Y=")</f>
        <v>#VALUE!</v>
      </c>
      <c r="CZ110" t="e">
        <f>AND(Bills!O391,"AAAAAGL/r2c=")</f>
        <v>#VALUE!</v>
      </c>
      <c r="DA110" t="e">
        <f>AND(Bills!P391,"AAAAAGL/r2g=")</f>
        <v>#VALUE!</v>
      </c>
      <c r="DB110" t="e">
        <f>AND(Bills!Q391,"AAAAAGL/r2k=")</f>
        <v>#VALUE!</v>
      </c>
      <c r="DC110" t="e">
        <f>AND(Bills!R391,"AAAAAGL/r2o=")</f>
        <v>#VALUE!</v>
      </c>
      <c r="DD110" t="e">
        <f>AND(Bills!S391,"AAAAAGL/r2s=")</f>
        <v>#VALUE!</v>
      </c>
      <c r="DE110" t="e">
        <f>AND(Bills!T391,"AAAAAGL/r2w=")</f>
        <v>#VALUE!</v>
      </c>
      <c r="DF110" t="e">
        <f>AND(Bills!#REF!,"AAAAAGL/r20=")</f>
        <v>#REF!</v>
      </c>
      <c r="DG110" t="e">
        <f>AND(Bills!U391,"AAAAAGL/r24=")</f>
        <v>#VALUE!</v>
      </c>
      <c r="DH110" t="e">
        <f>AND(Bills!V391,"AAAAAGL/r28=")</f>
        <v>#VALUE!</v>
      </c>
      <c r="DI110" t="e">
        <f>AND(Bills!W391,"AAAAAGL/r3A=")</f>
        <v>#VALUE!</v>
      </c>
      <c r="DJ110" t="e">
        <f>AND(Bills!#REF!,"AAAAAGL/r3E=")</f>
        <v>#REF!</v>
      </c>
      <c r="DK110" t="e">
        <f>AND(Bills!#REF!,"AAAAAGL/r3I=")</f>
        <v>#REF!</v>
      </c>
      <c r="DL110" t="e">
        <f>AND(Bills!Y391,"AAAAAGL/r3M=")</f>
        <v>#VALUE!</v>
      </c>
      <c r="DM110" t="e">
        <f>AND(Bills!Z391,"AAAAAGL/r3Q=")</f>
        <v>#VALUE!</v>
      </c>
      <c r="DN110" t="e">
        <f>AND(Bills!#REF!,"AAAAAGL/r3U=")</f>
        <v>#REF!</v>
      </c>
      <c r="DO110" t="e">
        <f>AND(Bills!#REF!,"AAAAAGL/r3Y=")</f>
        <v>#REF!</v>
      </c>
      <c r="DP110" t="e">
        <f>AND(Bills!#REF!,"AAAAAGL/r3c=")</f>
        <v>#REF!</v>
      </c>
      <c r="DQ110" t="e">
        <f>AND(Bills!#REF!,"AAAAAGL/r3g=")</f>
        <v>#REF!</v>
      </c>
      <c r="DR110" t="e">
        <f>AND(Bills!#REF!,"AAAAAGL/r3k=")</f>
        <v>#REF!</v>
      </c>
      <c r="DS110" t="e">
        <f>AND(Bills!#REF!,"AAAAAGL/r3o=")</f>
        <v>#REF!</v>
      </c>
      <c r="DT110" t="e">
        <f>AND(Bills!#REF!,"AAAAAGL/r3s=")</f>
        <v>#REF!</v>
      </c>
      <c r="DU110" t="e">
        <f>AND(Bills!#REF!,"AAAAAGL/r3w=")</f>
        <v>#REF!</v>
      </c>
      <c r="DV110" t="e">
        <f>AND(Bills!#REF!,"AAAAAGL/r30=")</f>
        <v>#REF!</v>
      </c>
      <c r="DW110" t="e">
        <f>AND(Bills!AA391,"AAAAAGL/r34=")</f>
        <v>#VALUE!</v>
      </c>
      <c r="DX110" t="e">
        <f>AND(Bills!AB391,"AAAAAGL/r38=")</f>
        <v>#VALUE!</v>
      </c>
      <c r="DY110" t="e">
        <f>AND(Bills!#REF!,"AAAAAGL/r4A=")</f>
        <v>#REF!</v>
      </c>
      <c r="DZ110" t="e">
        <f>AND(Bills!#REF!,"AAAAAGL/r4E=")</f>
        <v>#REF!</v>
      </c>
      <c r="EA110" t="e">
        <f>AND(Bills!#REF!,"AAAAAGL/r4I=")</f>
        <v>#REF!</v>
      </c>
      <c r="EB110" t="e">
        <f>AND(Bills!AC391,"AAAAAGL/r4M=")</f>
        <v>#VALUE!</v>
      </c>
      <c r="EC110" t="e">
        <f>AND(Bills!AD391,"AAAAAGL/r4Q=")</f>
        <v>#VALUE!</v>
      </c>
      <c r="ED110" t="e">
        <f>AND(Bills!AE391,"AAAAAGL/r4U=")</f>
        <v>#VALUE!</v>
      </c>
      <c r="EE110">
        <f>IF(Bills!392:392,"AAAAAGL/r4Y=",0)</f>
        <v>0</v>
      </c>
      <c r="EF110" t="e">
        <f>AND(Bills!B392,"AAAAAGL/r4c=")</f>
        <v>#VALUE!</v>
      </c>
      <c r="EG110" t="e">
        <f>AND(Bills!#REF!,"AAAAAGL/r4g=")</f>
        <v>#REF!</v>
      </c>
      <c r="EH110" t="e">
        <f>AND(Bills!C392,"AAAAAGL/r4k=")</f>
        <v>#VALUE!</v>
      </c>
      <c r="EI110" t="e">
        <f>AND(Bills!D392,"AAAAAGL/r4o=")</f>
        <v>#VALUE!</v>
      </c>
      <c r="EJ110" t="e">
        <f>AND(Bills!E392,"AAAAAGL/r4s=")</f>
        <v>#VALUE!</v>
      </c>
      <c r="EK110" t="e">
        <f>AND(Bills!#REF!,"AAAAAGL/r4w=")</f>
        <v>#REF!</v>
      </c>
      <c r="EL110" t="e">
        <f>AND(Bills!#REF!,"AAAAAGL/r40=")</f>
        <v>#REF!</v>
      </c>
      <c r="EM110" t="e">
        <f>AND(Bills!#REF!,"AAAAAGL/r44=")</f>
        <v>#REF!</v>
      </c>
      <c r="EN110" t="e">
        <f>AND(Bills!F392,"AAAAAGL/r48=")</f>
        <v>#VALUE!</v>
      </c>
      <c r="EO110" t="e">
        <f>AND(Bills!#REF!,"AAAAAGL/r5A=")</f>
        <v>#REF!</v>
      </c>
      <c r="EP110" t="e">
        <f>AND(Bills!G392,"AAAAAGL/r5E=")</f>
        <v>#VALUE!</v>
      </c>
      <c r="EQ110" t="e">
        <f>AND(Bills!H392,"AAAAAGL/r5I=")</f>
        <v>#VALUE!</v>
      </c>
      <c r="ER110" t="e">
        <f>AND(Bills!I392,"AAAAAGL/r5M=")</f>
        <v>#VALUE!</v>
      </c>
      <c r="ES110" t="e">
        <f>AND(Bills!J392,"AAAAAGL/r5Q=")</f>
        <v>#VALUE!</v>
      </c>
      <c r="ET110" t="e">
        <f>AND(Bills!K392,"AAAAAGL/r5U=")</f>
        <v>#VALUE!</v>
      </c>
      <c r="EU110" t="e">
        <f>AND(Bills!L392,"AAAAAGL/r5Y=")</f>
        <v>#VALUE!</v>
      </c>
      <c r="EV110" t="e">
        <f>AND(Bills!#REF!,"AAAAAGL/r5c=")</f>
        <v>#REF!</v>
      </c>
      <c r="EW110" t="e">
        <f>AND(Bills!M392,"AAAAAGL/r5g=")</f>
        <v>#VALUE!</v>
      </c>
      <c r="EX110" t="e">
        <f>AND(Bills!N392,"AAAAAGL/r5k=")</f>
        <v>#VALUE!</v>
      </c>
      <c r="EY110" t="e">
        <f>AND(Bills!O392,"AAAAAGL/r5o=")</f>
        <v>#VALUE!</v>
      </c>
      <c r="EZ110" t="e">
        <f>AND(Bills!P392,"AAAAAGL/r5s=")</f>
        <v>#VALUE!</v>
      </c>
      <c r="FA110" t="e">
        <f>AND(Bills!Q392,"AAAAAGL/r5w=")</f>
        <v>#VALUE!</v>
      </c>
      <c r="FB110" t="e">
        <f>AND(Bills!R392,"AAAAAGL/r50=")</f>
        <v>#VALUE!</v>
      </c>
      <c r="FC110" t="e">
        <f>AND(Bills!S392,"AAAAAGL/r54=")</f>
        <v>#VALUE!</v>
      </c>
      <c r="FD110" t="e">
        <f>AND(Bills!T392,"AAAAAGL/r58=")</f>
        <v>#VALUE!</v>
      </c>
      <c r="FE110" t="e">
        <f>AND(Bills!#REF!,"AAAAAGL/r6A=")</f>
        <v>#REF!</v>
      </c>
      <c r="FF110" t="e">
        <f>AND(Bills!U392,"AAAAAGL/r6E=")</f>
        <v>#VALUE!</v>
      </c>
      <c r="FG110" t="e">
        <f>AND(Bills!V392,"AAAAAGL/r6I=")</f>
        <v>#VALUE!</v>
      </c>
      <c r="FH110" t="e">
        <f>AND(Bills!W392,"AAAAAGL/r6M=")</f>
        <v>#VALUE!</v>
      </c>
      <c r="FI110" t="e">
        <f>AND(Bills!#REF!,"AAAAAGL/r6Q=")</f>
        <v>#REF!</v>
      </c>
      <c r="FJ110" t="e">
        <f>AND(Bills!#REF!,"AAAAAGL/r6U=")</f>
        <v>#REF!</v>
      </c>
      <c r="FK110" t="e">
        <f>AND(Bills!Y392,"AAAAAGL/r6Y=")</f>
        <v>#VALUE!</v>
      </c>
      <c r="FL110" t="e">
        <f>AND(Bills!Z392,"AAAAAGL/r6c=")</f>
        <v>#VALUE!</v>
      </c>
      <c r="FM110" t="e">
        <f>AND(Bills!#REF!,"AAAAAGL/r6g=")</f>
        <v>#REF!</v>
      </c>
      <c r="FN110" t="e">
        <f>AND(Bills!#REF!,"AAAAAGL/r6k=")</f>
        <v>#REF!</v>
      </c>
      <c r="FO110" t="e">
        <f>AND(Bills!#REF!,"AAAAAGL/r6o=")</f>
        <v>#REF!</v>
      </c>
      <c r="FP110" t="e">
        <f>AND(Bills!#REF!,"AAAAAGL/r6s=")</f>
        <v>#REF!</v>
      </c>
      <c r="FQ110" t="e">
        <f>AND(Bills!#REF!,"AAAAAGL/r6w=")</f>
        <v>#REF!</v>
      </c>
      <c r="FR110" t="e">
        <f>AND(Bills!#REF!,"AAAAAGL/r60=")</f>
        <v>#REF!</v>
      </c>
      <c r="FS110" t="e">
        <f>AND(Bills!#REF!,"AAAAAGL/r64=")</f>
        <v>#REF!</v>
      </c>
      <c r="FT110" t="e">
        <f>AND(Bills!#REF!,"AAAAAGL/r68=")</f>
        <v>#REF!</v>
      </c>
      <c r="FU110" t="e">
        <f>AND(Bills!#REF!,"AAAAAGL/r7A=")</f>
        <v>#REF!</v>
      </c>
      <c r="FV110" t="e">
        <f>AND(Bills!AA392,"AAAAAGL/r7E=")</f>
        <v>#VALUE!</v>
      </c>
      <c r="FW110" t="e">
        <f>AND(Bills!AB392,"AAAAAGL/r7I=")</f>
        <v>#VALUE!</v>
      </c>
      <c r="FX110" t="e">
        <f>AND(Bills!#REF!,"AAAAAGL/r7M=")</f>
        <v>#REF!</v>
      </c>
      <c r="FY110" t="e">
        <f>AND(Bills!#REF!,"AAAAAGL/r7Q=")</f>
        <v>#REF!</v>
      </c>
      <c r="FZ110" t="e">
        <f>AND(Bills!#REF!,"AAAAAGL/r7U=")</f>
        <v>#REF!</v>
      </c>
      <c r="GA110" t="e">
        <f>AND(Bills!AC392,"AAAAAGL/r7Y=")</f>
        <v>#VALUE!</v>
      </c>
      <c r="GB110" t="e">
        <f>AND(Bills!AD392,"AAAAAGL/r7c=")</f>
        <v>#VALUE!</v>
      </c>
      <c r="GC110" t="e">
        <f>AND(Bills!AE392,"AAAAAGL/r7g=")</f>
        <v>#VALUE!</v>
      </c>
      <c r="GD110">
        <f>IF(Bills!393:393,"AAAAAGL/r7k=",0)</f>
        <v>0</v>
      </c>
      <c r="GE110" t="e">
        <f>AND(Bills!B393,"AAAAAGL/r7o=")</f>
        <v>#VALUE!</v>
      </c>
      <c r="GF110" t="e">
        <f>AND(Bills!#REF!,"AAAAAGL/r7s=")</f>
        <v>#REF!</v>
      </c>
      <c r="GG110" t="e">
        <f>AND(Bills!C393,"AAAAAGL/r7w=")</f>
        <v>#VALUE!</v>
      </c>
      <c r="GH110" t="e">
        <f>AND(Bills!D393,"AAAAAGL/r70=")</f>
        <v>#VALUE!</v>
      </c>
      <c r="GI110" t="e">
        <f>AND(Bills!E393,"AAAAAGL/r74=")</f>
        <v>#VALUE!</v>
      </c>
      <c r="GJ110" t="e">
        <f>AND(Bills!#REF!,"AAAAAGL/r78=")</f>
        <v>#REF!</v>
      </c>
      <c r="GK110" t="e">
        <f>AND(Bills!#REF!,"AAAAAGL/r8A=")</f>
        <v>#REF!</v>
      </c>
      <c r="GL110" t="e">
        <f>AND(Bills!#REF!,"AAAAAGL/r8E=")</f>
        <v>#REF!</v>
      </c>
      <c r="GM110" t="e">
        <f>AND(Bills!F393,"AAAAAGL/r8I=")</f>
        <v>#VALUE!</v>
      </c>
      <c r="GN110" t="e">
        <f>AND(Bills!#REF!,"AAAAAGL/r8M=")</f>
        <v>#REF!</v>
      </c>
      <c r="GO110" t="e">
        <f>AND(Bills!G393,"AAAAAGL/r8Q=")</f>
        <v>#VALUE!</v>
      </c>
      <c r="GP110" t="e">
        <f>AND(Bills!H393,"AAAAAGL/r8U=")</f>
        <v>#VALUE!</v>
      </c>
      <c r="GQ110" t="e">
        <f>AND(Bills!I393,"AAAAAGL/r8Y=")</f>
        <v>#VALUE!</v>
      </c>
      <c r="GR110" t="e">
        <f>AND(Bills!J393,"AAAAAGL/r8c=")</f>
        <v>#VALUE!</v>
      </c>
      <c r="GS110" t="e">
        <f>AND(Bills!K393,"AAAAAGL/r8g=")</f>
        <v>#VALUE!</v>
      </c>
      <c r="GT110" t="e">
        <f>AND(Bills!L393,"AAAAAGL/r8k=")</f>
        <v>#VALUE!</v>
      </c>
      <c r="GU110" t="e">
        <f>AND(Bills!#REF!,"AAAAAGL/r8o=")</f>
        <v>#REF!</v>
      </c>
      <c r="GV110" t="e">
        <f>AND(Bills!M393,"AAAAAGL/r8s=")</f>
        <v>#VALUE!</v>
      </c>
      <c r="GW110" t="e">
        <f>AND(Bills!N393,"AAAAAGL/r8w=")</f>
        <v>#VALUE!</v>
      </c>
      <c r="GX110" t="e">
        <f>AND(Bills!O393,"AAAAAGL/r80=")</f>
        <v>#VALUE!</v>
      </c>
      <c r="GY110" t="e">
        <f>AND(Bills!P393,"AAAAAGL/r84=")</f>
        <v>#VALUE!</v>
      </c>
      <c r="GZ110" t="e">
        <f>AND(Bills!Q393,"AAAAAGL/r88=")</f>
        <v>#VALUE!</v>
      </c>
      <c r="HA110" t="e">
        <f>AND(Bills!R393,"AAAAAGL/r9A=")</f>
        <v>#VALUE!</v>
      </c>
      <c r="HB110" t="e">
        <f>AND(Bills!S393,"AAAAAGL/r9E=")</f>
        <v>#VALUE!</v>
      </c>
      <c r="HC110" t="e">
        <f>AND(Bills!T393,"AAAAAGL/r9I=")</f>
        <v>#VALUE!</v>
      </c>
      <c r="HD110" t="e">
        <f>AND(Bills!#REF!,"AAAAAGL/r9M=")</f>
        <v>#REF!</v>
      </c>
      <c r="HE110" t="e">
        <f>AND(Bills!U393,"AAAAAGL/r9Q=")</f>
        <v>#VALUE!</v>
      </c>
      <c r="HF110" t="e">
        <f>AND(Bills!V393,"AAAAAGL/r9U=")</f>
        <v>#VALUE!</v>
      </c>
      <c r="HG110" t="e">
        <f>AND(Bills!W393,"AAAAAGL/r9Y=")</f>
        <v>#VALUE!</v>
      </c>
      <c r="HH110" t="e">
        <f>AND(Bills!#REF!,"AAAAAGL/r9c=")</f>
        <v>#REF!</v>
      </c>
      <c r="HI110" t="e">
        <f>AND(Bills!#REF!,"AAAAAGL/r9g=")</f>
        <v>#REF!</v>
      </c>
      <c r="HJ110" t="e">
        <f>AND(Bills!Y393,"AAAAAGL/r9k=")</f>
        <v>#VALUE!</v>
      </c>
      <c r="HK110" t="e">
        <f>AND(Bills!Z393,"AAAAAGL/r9o=")</f>
        <v>#VALUE!</v>
      </c>
      <c r="HL110" t="e">
        <f>AND(Bills!#REF!,"AAAAAGL/r9s=")</f>
        <v>#REF!</v>
      </c>
      <c r="HM110" t="e">
        <f>AND(Bills!#REF!,"AAAAAGL/r9w=")</f>
        <v>#REF!</v>
      </c>
      <c r="HN110" t="e">
        <f>AND(Bills!#REF!,"AAAAAGL/r90=")</f>
        <v>#REF!</v>
      </c>
      <c r="HO110" t="e">
        <f>AND(Bills!#REF!,"AAAAAGL/r94=")</f>
        <v>#REF!</v>
      </c>
      <c r="HP110" t="e">
        <f>AND(Bills!#REF!,"AAAAAGL/r98=")</f>
        <v>#REF!</v>
      </c>
      <c r="HQ110" t="e">
        <f>AND(Bills!#REF!,"AAAAAGL/r+A=")</f>
        <v>#REF!</v>
      </c>
      <c r="HR110" t="e">
        <f>AND(Bills!#REF!,"AAAAAGL/r+E=")</f>
        <v>#REF!</v>
      </c>
      <c r="HS110" t="e">
        <f>AND(Bills!#REF!,"AAAAAGL/r+I=")</f>
        <v>#REF!</v>
      </c>
      <c r="HT110" t="e">
        <f>AND(Bills!#REF!,"AAAAAGL/r+M=")</f>
        <v>#REF!</v>
      </c>
      <c r="HU110" t="e">
        <f>AND(Bills!AA393,"AAAAAGL/r+Q=")</f>
        <v>#VALUE!</v>
      </c>
      <c r="HV110" t="e">
        <f>AND(Bills!AB393,"AAAAAGL/r+U=")</f>
        <v>#VALUE!</v>
      </c>
      <c r="HW110" t="e">
        <f>AND(Bills!#REF!,"AAAAAGL/r+Y=")</f>
        <v>#REF!</v>
      </c>
      <c r="HX110" t="e">
        <f>AND(Bills!#REF!,"AAAAAGL/r+c=")</f>
        <v>#REF!</v>
      </c>
      <c r="HY110" t="e">
        <f>AND(Bills!#REF!,"AAAAAGL/r+g=")</f>
        <v>#REF!</v>
      </c>
      <c r="HZ110" t="e">
        <f>AND(Bills!AC393,"AAAAAGL/r+k=")</f>
        <v>#VALUE!</v>
      </c>
      <c r="IA110" t="e">
        <f>AND(Bills!AD393,"AAAAAGL/r+o=")</f>
        <v>#VALUE!</v>
      </c>
      <c r="IB110" t="e">
        <f>AND(Bills!AE393,"AAAAAGL/r+s=")</f>
        <v>#VALUE!</v>
      </c>
      <c r="IC110">
        <f>IF(Bills!394:394,"AAAAAGL/r+w=",0)</f>
        <v>0</v>
      </c>
      <c r="ID110" t="e">
        <f>AND(Bills!B394,"AAAAAGL/r+0=")</f>
        <v>#VALUE!</v>
      </c>
      <c r="IE110" t="e">
        <f>AND(Bills!#REF!,"AAAAAGL/r+4=")</f>
        <v>#REF!</v>
      </c>
      <c r="IF110" t="e">
        <f>AND(Bills!C394,"AAAAAGL/r+8=")</f>
        <v>#VALUE!</v>
      </c>
      <c r="IG110" t="e">
        <f>AND(Bills!D394,"AAAAAGL/r/A=")</f>
        <v>#VALUE!</v>
      </c>
      <c r="IH110" t="e">
        <f>AND(Bills!E394,"AAAAAGL/r/E=")</f>
        <v>#VALUE!</v>
      </c>
      <c r="II110" t="e">
        <f>AND(Bills!#REF!,"AAAAAGL/r/I=")</f>
        <v>#REF!</v>
      </c>
      <c r="IJ110" t="e">
        <f>AND(Bills!#REF!,"AAAAAGL/r/M=")</f>
        <v>#REF!</v>
      </c>
      <c r="IK110" t="e">
        <f>AND(Bills!#REF!,"AAAAAGL/r/Q=")</f>
        <v>#REF!</v>
      </c>
      <c r="IL110" t="e">
        <f>AND(Bills!F394,"AAAAAGL/r/U=")</f>
        <v>#VALUE!</v>
      </c>
      <c r="IM110" t="e">
        <f>AND(Bills!#REF!,"AAAAAGL/r/Y=")</f>
        <v>#REF!</v>
      </c>
      <c r="IN110" t="e">
        <f>AND(Bills!G394,"AAAAAGL/r/c=")</f>
        <v>#VALUE!</v>
      </c>
      <c r="IO110" t="e">
        <f>AND(Bills!H394,"AAAAAGL/r/g=")</f>
        <v>#VALUE!</v>
      </c>
      <c r="IP110" t="e">
        <f>AND(Bills!I394,"AAAAAGL/r/k=")</f>
        <v>#VALUE!</v>
      </c>
      <c r="IQ110" t="e">
        <f>AND(Bills!J394,"AAAAAGL/r/o=")</f>
        <v>#VALUE!</v>
      </c>
      <c r="IR110" t="e">
        <f>AND(Bills!K394,"AAAAAGL/r/s=")</f>
        <v>#VALUE!</v>
      </c>
      <c r="IS110" t="e">
        <f>AND(Bills!L394,"AAAAAGL/r/w=")</f>
        <v>#VALUE!</v>
      </c>
      <c r="IT110" t="e">
        <f>AND(Bills!#REF!,"AAAAAGL/r/0=")</f>
        <v>#REF!</v>
      </c>
      <c r="IU110" t="e">
        <f>AND(Bills!M394,"AAAAAGL/r/4=")</f>
        <v>#VALUE!</v>
      </c>
      <c r="IV110" t="e">
        <f>AND(Bills!N394,"AAAAAGL/r/8=")</f>
        <v>#VALUE!</v>
      </c>
    </row>
    <row r="111" spans="1:256" x14ac:dyDescent="0.25">
      <c r="A111" t="e">
        <f>AND(Bills!O394,"AAAAAF99WQA=")</f>
        <v>#VALUE!</v>
      </c>
      <c r="B111" t="e">
        <f>AND(Bills!P394,"AAAAAF99WQE=")</f>
        <v>#VALUE!</v>
      </c>
      <c r="C111" t="e">
        <f>AND(Bills!Q394,"AAAAAF99WQI=")</f>
        <v>#VALUE!</v>
      </c>
      <c r="D111" t="e">
        <f>AND(Bills!R394,"AAAAAF99WQM=")</f>
        <v>#VALUE!</v>
      </c>
      <c r="E111" t="e">
        <f>AND(Bills!S394,"AAAAAF99WQQ=")</f>
        <v>#VALUE!</v>
      </c>
      <c r="F111" t="e">
        <f>AND(Bills!T394,"AAAAAF99WQU=")</f>
        <v>#VALUE!</v>
      </c>
      <c r="G111" t="e">
        <f>AND(Bills!#REF!,"AAAAAF99WQY=")</f>
        <v>#REF!</v>
      </c>
      <c r="H111" t="e">
        <f>AND(Bills!U394,"AAAAAF99WQc=")</f>
        <v>#VALUE!</v>
      </c>
      <c r="I111" t="e">
        <f>AND(Bills!V394,"AAAAAF99WQg=")</f>
        <v>#VALUE!</v>
      </c>
      <c r="J111" t="e">
        <f>AND(Bills!W394,"AAAAAF99WQk=")</f>
        <v>#VALUE!</v>
      </c>
      <c r="K111" t="e">
        <f>AND(Bills!#REF!,"AAAAAF99WQo=")</f>
        <v>#REF!</v>
      </c>
      <c r="L111" t="e">
        <f>AND(Bills!#REF!,"AAAAAF99WQs=")</f>
        <v>#REF!</v>
      </c>
      <c r="M111" t="e">
        <f>AND(Bills!Y394,"AAAAAF99WQw=")</f>
        <v>#VALUE!</v>
      </c>
      <c r="N111" t="e">
        <f>AND(Bills!Z394,"AAAAAF99WQ0=")</f>
        <v>#VALUE!</v>
      </c>
      <c r="O111" t="e">
        <f>AND(Bills!#REF!,"AAAAAF99WQ4=")</f>
        <v>#REF!</v>
      </c>
      <c r="P111" t="e">
        <f>AND(Bills!#REF!,"AAAAAF99WQ8=")</f>
        <v>#REF!</v>
      </c>
      <c r="Q111" t="e">
        <f>AND(Bills!#REF!,"AAAAAF99WRA=")</f>
        <v>#REF!</v>
      </c>
      <c r="R111" t="e">
        <f>AND(Bills!#REF!,"AAAAAF99WRE=")</f>
        <v>#REF!</v>
      </c>
      <c r="S111" t="e">
        <f>AND(Bills!#REF!,"AAAAAF99WRI=")</f>
        <v>#REF!</v>
      </c>
      <c r="T111" t="e">
        <f>AND(Bills!#REF!,"AAAAAF99WRM=")</f>
        <v>#REF!</v>
      </c>
      <c r="U111" t="e">
        <f>AND(Bills!#REF!,"AAAAAF99WRQ=")</f>
        <v>#REF!</v>
      </c>
      <c r="V111" t="e">
        <f>AND(Bills!#REF!,"AAAAAF99WRU=")</f>
        <v>#REF!</v>
      </c>
      <c r="W111" t="e">
        <f>AND(Bills!#REF!,"AAAAAF99WRY=")</f>
        <v>#REF!</v>
      </c>
      <c r="X111" t="e">
        <f>AND(Bills!AA394,"AAAAAF99WRc=")</f>
        <v>#VALUE!</v>
      </c>
      <c r="Y111" t="e">
        <f>AND(Bills!AB394,"AAAAAF99WRg=")</f>
        <v>#VALUE!</v>
      </c>
      <c r="Z111" t="e">
        <f>AND(Bills!#REF!,"AAAAAF99WRk=")</f>
        <v>#REF!</v>
      </c>
      <c r="AA111" t="e">
        <f>AND(Bills!#REF!,"AAAAAF99WRo=")</f>
        <v>#REF!</v>
      </c>
      <c r="AB111" t="e">
        <f>AND(Bills!#REF!,"AAAAAF99WRs=")</f>
        <v>#REF!</v>
      </c>
      <c r="AC111" t="e">
        <f>AND(Bills!AC394,"AAAAAF99WRw=")</f>
        <v>#VALUE!</v>
      </c>
      <c r="AD111" t="e">
        <f>AND(Bills!AD394,"AAAAAF99WR0=")</f>
        <v>#VALUE!</v>
      </c>
      <c r="AE111" t="e">
        <f>AND(Bills!AE394,"AAAAAF99WR4=")</f>
        <v>#VALUE!</v>
      </c>
      <c r="AF111">
        <f>IF(Bills!395:395,"AAAAAF99WR8=",0)</f>
        <v>0</v>
      </c>
      <c r="AG111" t="e">
        <f>AND(Bills!B395,"AAAAAF99WSA=")</f>
        <v>#VALUE!</v>
      </c>
      <c r="AH111" t="e">
        <f>AND(Bills!#REF!,"AAAAAF99WSE=")</f>
        <v>#REF!</v>
      </c>
      <c r="AI111" t="e">
        <f>AND(Bills!C395,"AAAAAF99WSI=")</f>
        <v>#VALUE!</v>
      </c>
      <c r="AJ111" t="e">
        <f>AND(Bills!D395,"AAAAAF99WSM=")</f>
        <v>#VALUE!</v>
      </c>
      <c r="AK111" t="e">
        <f>AND(Bills!E395,"AAAAAF99WSQ=")</f>
        <v>#VALUE!</v>
      </c>
      <c r="AL111" t="e">
        <f>AND(Bills!#REF!,"AAAAAF99WSU=")</f>
        <v>#REF!</v>
      </c>
      <c r="AM111" t="e">
        <f>AND(Bills!#REF!,"AAAAAF99WSY=")</f>
        <v>#REF!</v>
      </c>
      <c r="AN111" t="e">
        <f>AND(Bills!#REF!,"AAAAAF99WSc=")</f>
        <v>#REF!</v>
      </c>
      <c r="AO111" t="e">
        <f>AND(Bills!F395,"AAAAAF99WSg=")</f>
        <v>#VALUE!</v>
      </c>
      <c r="AP111" t="e">
        <f>AND(Bills!#REF!,"AAAAAF99WSk=")</f>
        <v>#REF!</v>
      </c>
      <c r="AQ111" t="e">
        <f>AND(Bills!G395,"AAAAAF99WSo=")</f>
        <v>#VALUE!</v>
      </c>
      <c r="AR111" t="e">
        <f>AND(Bills!H395,"AAAAAF99WSs=")</f>
        <v>#VALUE!</v>
      </c>
      <c r="AS111" t="e">
        <f>AND(Bills!I395,"AAAAAF99WSw=")</f>
        <v>#VALUE!</v>
      </c>
      <c r="AT111" t="e">
        <f>AND(Bills!J395,"AAAAAF99WS0=")</f>
        <v>#VALUE!</v>
      </c>
      <c r="AU111" t="e">
        <f>AND(Bills!K395,"AAAAAF99WS4=")</f>
        <v>#VALUE!</v>
      </c>
      <c r="AV111" t="e">
        <f>AND(Bills!L395,"AAAAAF99WS8=")</f>
        <v>#VALUE!</v>
      </c>
      <c r="AW111" t="e">
        <f>AND(Bills!#REF!,"AAAAAF99WTA=")</f>
        <v>#REF!</v>
      </c>
      <c r="AX111" t="e">
        <f>AND(Bills!M395,"AAAAAF99WTE=")</f>
        <v>#VALUE!</v>
      </c>
      <c r="AY111" t="e">
        <f>AND(Bills!N395,"AAAAAF99WTI=")</f>
        <v>#VALUE!</v>
      </c>
      <c r="AZ111" t="e">
        <f>AND(Bills!O395,"AAAAAF99WTM=")</f>
        <v>#VALUE!</v>
      </c>
      <c r="BA111" t="e">
        <f>AND(Bills!P395,"AAAAAF99WTQ=")</f>
        <v>#VALUE!</v>
      </c>
      <c r="BB111" t="e">
        <f>AND(Bills!Q395,"AAAAAF99WTU=")</f>
        <v>#VALUE!</v>
      </c>
      <c r="BC111" t="e">
        <f>AND(Bills!R395,"AAAAAF99WTY=")</f>
        <v>#VALUE!</v>
      </c>
      <c r="BD111" t="e">
        <f>AND(Bills!S395,"AAAAAF99WTc=")</f>
        <v>#VALUE!</v>
      </c>
      <c r="BE111" t="e">
        <f>AND(Bills!T395,"AAAAAF99WTg=")</f>
        <v>#VALUE!</v>
      </c>
      <c r="BF111" t="e">
        <f>AND(Bills!#REF!,"AAAAAF99WTk=")</f>
        <v>#REF!</v>
      </c>
      <c r="BG111" t="e">
        <f>AND(Bills!U395,"AAAAAF99WTo=")</f>
        <v>#VALUE!</v>
      </c>
      <c r="BH111" t="e">
        <f>AND(Bills!V395,"AAAAAF99WTs=")</f>
        <v>#VALUE!</v>
      </c>
      <c r="BI111" t="e">
        <f>AND(Bills!W395,"AAAAAF99WTw=")</f>
        <v>#VALUE!</v>
      </c>
      <c r="BJ111" t="e">
        <f>AND(Bills!#REF!,"AAAAAF99WT0=")</f>
        <v>#REF!</v>
      </c>
      <c r="BK111" t="e">
        <f>AND(Bills!#REF!,"AAAAAF99WT4=")</f>
        <v>#REF!</v>
      </c>
      <c r="BL111" t="e">
        <f>AND(Bills!Y395,"AAAAAF99WT8=")</f>
        <v>#VALUE!</v>
      </c>
      <c r="BM111" t="e">
        <f>AND(Bills!Z395,"AAAAAF99WUA=")</f>
        <v>#VALUE!</v>
      </c>
      <c r="BN111" t="e">
        <f>AND(Bills!#REF!,"AAAAAF99WUE=")</f>
        <v>#REF!</v>
      </c>
      <c r="BO111" t="e">
        <f>AND(Bills!#REF!,"AAAAAF99WUI=")</f>
        <v>#REF!</v>
      </c>
      <c r="BP111" t="e">
        <f>AND(Bills!#REF!,"AAAAAF99WUM=")</f>
        <v>#REF!</v>
      </c>
      <c r="BQ111" t="e">
        <f>AND(Bills!#REF!,"AAAAAF99WUQ=")</f>
        <v>#REF!</v>
      </c>
      <c r="BR111" t="e">
        <f>AND(Bills!#REF!,"AAAAAF99WUU=")</f>
        <v>#REF!</v>
      </c>
      <c r="BS111" t="e">
        <f>AND(Bills!#REF!,"AAAAAF99WUY=")</f>
        <v>#REF!</v>
      </c>
      <c r="BT111" t="e">
        <f>AND(Bills!#REF!,"AAAAAF99WUc=")</f>
        <v>#REF!</v>
      </c>
      <c r="BU111" t="e">
        <f>AND(Bills!#REF!,"AAAAAF99WUg=")</f>
        <v>#REF!</v>
      </c>
      <c r="BV111" t="e">
        <f>AND(Bills!#REF!,"AAAAAF99WUk=")</f>
        <v>#REF!</v>
      </c>
      <c r="BW111" t="e">
        <f>AND(Bills!AA395,"AAAAAF99WUo=")</f>
        <v>#VALUE!</v>
      </c>
      <c r="BX111" t="e">
        <f>AND(Bills!AB395,"AAAAAF99WUs=")</f>
        <v>#VALUE!</v>
      </c>
      <c r="BY111" t="e">
        <f>AND(Bills!#REF!,"AAAAAF99WUw=")</f>
        <v>#REF!</v>
      </c>
      <c r="BZ111" t="e">
        <f>AND(Bills!#REF!,"AAAAAF99WU0=")</f>
        <v>#REF!</v>
      </c>
      <c r="CA111" t="e">
        <f>AND(Bills!#REF!,"AAAAAF99WU4=")</f>
        <v>#REF!</v>
      </c>
      <c r="CB111" t="e">
        <f>AND(Bills!AC395,"AAAAAF99WU8=")</f>
        <v>#VALUE!</v>
      </c>
      <c r="CC111" t="e">
        <f>AND(Bills!AD395,"AAAAAF99WVA=")</f>
        <v>#VALUE!</v>
      </c>
      <c r="CD111" t="e">
        <f>AND(Bills!AE395,"AAAAAF99WVE=")</f>
        <v>#VALUE!</v>
      </c>
      <c r="CE111">
        <f>IF(Bills!396:396,"AAAAAF99WVI=",0)</f>
        <v>0</v>
      </c>
      <c r="CF111" t="e">
        <f>AND(Bills!B396,"AAAAAF99WVM=")</f>
        <v>#VALUE!</v>
      </c>
      <c r="CG111" t="e">
        <f>AND(Bills!#REF!,"AAAAAF99WVQ=")</f>
        <v>#REF!</v>
      </c>
      <c r="CH111" t="e">
        <f>AND(Bills!C396,"AAAAAF99WVU=")</f>
        <v>#VALUE!</v>
      </c>
      <c r="CI111" t="e">
        <f>AND(Bills!D396,"AAAAAF99WVY=")</f>
        <v>#VALUE!</v>
      </c>
      <c r="CJ111" t="e">
        <f>AND(Bills!E396,"AAAAAF99WVc=")</f>
        <v>#VALUE!</v>
      </c>
      <c r="CK111" t="e">
        <f>AND(Bills!#REF!,"AAAAAF99WVg=")</f>
        <v>#REF!</v>
      </c>
      <c r="CL111" t="e">
        <f>AND(Bills!#REF!,"AAAAAF99WVk=")</f>
        <v>#REF!</v>
      </c>
      <c r="CM111" t="e">
        <f>AND(Bills!#REF!,"AAAAAF99WVo=")</f>
        <v>#REF!</v>
      </c>
      <c r="CN111" t="e">
        <f>AND(Bills!F396,"AAAAAF99WVs=")</f>
        <v>#VALUE!</v>
      </c>
      <c r="CO111" t="e">
        <f>AND(Bills!#REF!,"AAAAAF99WVw=")</f>
        <v>#REF!</v>
      </c>
      <c r="CP111" t="e">
        <f>AND(Bills!G396,"AAAAAF99WV0=")</f>
        <v>#VALUE!</v>
      </c>
      <c r="CQ111" t="e">
        <f>AND(Bills!H396,"AAAAAF99WV4=")</f>
        <v>#VALUE!</v>
      </c>
      <c r="CR111" t="e">
        <f>AND(Bills!I396,"AAAAAF99WV8=")</f>
        <v>#VALUE!</v>
      </c>
      <c r="CS111" t="e">
        <f>AND(Bills!J396,"AAAAAF99WWA=")</f>
        <v>#VALUE!</v>
      </c>
      <c r="CT111" t="e">
        <f>AND(Bills!K396,"AAAAAF99WWE=")</f>
        <v>#VALUE!</v>
      </c>
      <c r="CU111" t="e">
        <f>AND(Bills!L396,"AAAAAF99WWI=")</f>
        <v>#VALUE!</v>
      </c>
      <c r="CV111" t="e">
        <f>AND(Bills!#REF!,"AAAAAF99WWM=")</f>
        <v>#REF!</v>
      </c>
      <c r="CW111" t="e">
        <f>AND(Bills!M396,"AAAAAF99WWQ=")</f>
        <v>#VALUE!</v>
      </c>
      <c r="CX111" t="e">
        <f>AND(Bills!N396,"AAAAAF99WWU=")</f>
        <v>#VALUE!</v>
      </c>
      <c r="CY111" t="e">
        <f>AND(Bills!O396,"AAAAAF99WWY=")</f>
        <v>#VALUE!</v>
      </c>
      <c r="CZ111" t="e">
        <f>AND(Bills!P396,"AAAAAF99WWc=")</f>
        <v>#VALUE!</v>
      </c>
      <c r="DA111" t="e">
        <f>AND(Bills!Q396,"AAAAAF99WWg=")</f>
        <v>#VALUE!</v>
      </c>
      <c r="DB111" t="e">
        <f>AND(Bills!R396,"AAAAAF99WWk=")</f>
        <v>#VALUE!</v>
      </c>
      <c r="DC111" t="e">
        <f>AND(Bills!S396,"AAAAAF99WWo=")</f>
        <v>#VALUE!</v>
      </c>
      <c r="DD111" t="e">
        <f>AND(Bills!T396,"AAAAAF99WWs=")</f>
        <v>#VALUE!</v>
      </c>
      <c r="DE111" t="e">
        <f>AND(Bills!#REF!,"AAAAAF99WWw=")</f>
        <v>#REF!</v>
      </c>
      <c r="DF111" t="e">
        <f>AND(Bills!U396,"AAAAAF99WW0=")</f>
        <v>#VALUE!</v>
      </c>
      <c r="DG111" t="e">
        <f>AND(Bills!V396,"AAAAAF99WW4=")</f>
        <v>#VALUE!</v>
      </c>
      <c r="DH111" t="e">
        <f>AND(Bills!W396,"AAAAAF99WW8=")</f>
        <v>#VALUE!</v>
      </c>
      <c r="DI111" t="e">
        <f>AND(Bills!#REF!,"AAAAAF99WXA=")</f>
        <v>#REF!</v>
      </c>
      <c r="DJ111" t="e">
        <f>AND(Bills!#REF!,"AAAAAF99WXE=")</f>
        <v>#REF!</v>
      </c>
      <c r="DK111" t="e">
        <f>AND(Bills!Y396,"AAAAAF99WXI=")</f>
        <v>#VALUE!</v>
      </c>
      <c r="DL111" t="e">
        <f>AND(Bills!Z396,"AAAAAF99WXM=")</f>
        <v>#VALUE!</v>
      </c>
      <c r="DM111" t="e">
        <f>AND(Bills!#REF!,"AAAAAF99WXQ=")</f>
        <v>#REF!</v>
      </c>
      <c r="DN111" t="e">
        <f>AND(Bills!#REF!,"AAAAAF99WXU=")</f>
        <v>#REF!</v>
      </c>
      <c r="DO111" t="e">
        <f>AND(Bills!#REF!,"AAAAAF99WXY=")</f>
        <v>#REF!</v>
      </c>
      <c r="DP111" t="e">
        <f>AND(Bills!#REF!,"AAAAAF99WXc=")</f>
        <v>#REF!</v>
      </c>
      <c r="DQ111" t="e">
        <f>AND(Bills!#REF!,"AAAAAF99WXg=")</f>
        <v>#REF!</v>
      </c>
      <c r="DR111" t="e">
        <f>AND(Bills!#REF!,"AAAAAF99WXk=")</f>
        <v>#REF!</v>
      </c>
      <c r="DS111" t="e">
        <f>AND(Bills!#REF!,"AAAAAF99WXo=")</f>
        <v>#REF!</v>
      </c>
      <c r="DT111" t="e">
        <f>AND(Bills!#REF!,"AAAAAF99WXs=")</f>
        <v>#REF!</v>
      </c>
      <c r="DU111" t="e">
        <f>AND(Bills!#REF!,"AAAAAF99WXw=")</f>
        <v>#REF!</v>
      </c>
      <c r="DV111" t="e">
        <f>AND(Bills!AA396,"AAAAAF99WX0=")</f>
        <v>#VALUE!</v>
      </c>
      <c r="DW111" t="e">
        <f>AND(Bills!AB396,"AAAAAF99WX4=")</f>
        <v>#VALUE!</v>
      </c>
      <c r="DX111" t="e">
        <f>AND(Bills!#REF!,"AAAAAF99WX8=")</f>
        <v>#REF!</v>
      </c>
      <c r="DY111" t="e">
        <f>AND(Bills!#REF!,"AAAAAF99WYA=")</f>
        <v>#REF!</v>
      </c>
      <c r="DZ111" t="e">
        <f>AND(Bills!#REF!,"AAAAAF99WYE=")</f>
        <v>#REF!</v>
      </c>
      <c r="EA111" t="e">
        <f>AND(Bills!AC396,"AAAAAF99WYI=")</f>
        <v>#VALUE!</v>
      </c>
      <c r="EB111" t="e">
        <f>AND(Bills!AD396,"AAAAAF99WYM=")</f>
        <v>#VALUE!</v>
      </c>
      <c r="EC111" t="e">
        <f>AND(Bills!AE396,"AAAAAF99WYQ=")</f>
        <v>#VALUE!</v>
      </c>
      <c r="ED111">
        <f>IF(Bills!397:397,"AAAAAF99WYU=",0)</f>
        <v>0</v>
      </c>
      <c r="EE111" t="e">
        <f>AND(Bills!B397,"AAAAAF99WYY=")</f>
        <v>#VALUE!</v>
      </c>
      <c r="EF111" t="e">
        <f>AND(Bills!#REF!,"AAAAAF99WYc=")</f>
        <v>#REF!</v>
      </c>
      <c r="EG111" t="e">
        <f>AND(Bills!C397,"AAAAAF99WYg=")</f>
        <v>#VALUE!</v>
      </c>
      <c r="EH111" t="e">
        <f>AND(Bills!D397,"AAAAAF99WYk=")</f>
        <v>#VALUE!</v>
      </c>
      <c r="EI111" t="e">
        <f>AND(Bills!E397,"AAAAAF99WYo=")</f>
        <v>#VALUE!</v>
      </c>
      <c r="EJ111" t="e">
        <f>AND(Bills!#REF!,"AAAAAF99WYs=")</f>
        <v>#REF!</v>
      </c>
      <c r="EK111" t="e">
        <f>AND(Bills!#REF!,"AAAAAF99WYw=")</f>
        <v>#REF!</v>
      </c>
      <c r="EL111" t="e">
        <f>AND(Bills!#REF!,"AAAAAF99WY0=")</f>
        <v>#REF!</v>
      </c>
      <c r="EM111" t="e">
        <f>AND(Bills!F397,"AAAAAF99WY4=")</f>
        <v>#VALUE!</v>
      </c>
      <c r="EN111" t="e">
        <f>AND(Bills!#REF!,"AAAAAF99WY8=")</f>
        <v>#REF!</v>
      </c>
      <c r="EO111" t="e">
        <f>AND(Bills!G397,"AAAAAF99WZA=")</f>
        <v>#VALUE!</v>
      </c>
      <c r="EP111" t="e">
        <f>AND(Bills!H397,"AAAAAF99WZE=")</f>
        <v>#VALUE!</v>
      </c>
      <c r="EQ111" t="e">
        <f>AND(Bills!I397,"AAAAAF99WZI=")</f>
        <v>#VALUE!</v>
      </c>
      <c r="ER111" t="e">
        <f>AND(Bills!J397,"AAAAAF99WZM=")</f>
        <v>#VALUE!</v>
      </c>
      <c r="ES111" t="e">
        <f>AND(Bills!K397,"AAAAAF99WZQ=")</f>
        <v>#VALUE!</v>
      </c>
      <c r="ET111" t="e">
        <f>AND(Bills!L397,"AAAAAF99WZU=")</f>
        <v>#VALUE!</v>
      </c>
      <c r="EU111" t="e">
        <f>AND(Bills!#REF!,"AAAAAF99WZY=")</f>
        <v>#REF!</v>
      </c>
      <c r="EV111" t="e">
        <f>AND(Bills!M397,"AAAAAF99WZc=")</f>
        <v>#VALUE!</v>
      </c>
      <c r="EW111" t="e">
        <f>AND(Bills!N397,"AAAAAF99WZg=")</f>
        <v>#VALUE!</v>
      </c>
      <c r="EX111" t="e">
        <f>AND(Bills!O397,"AAAAAF99WZk=")</f>
        <v>#VALUE!</v>
      </c>
      <c r="EY111" t="e">
        <f>AND(Bills!P397,"AAAAAF99WZo=")</f>
        <v>#VALUE!</v>
      </c>
      <c r="EZ111" t="e">
        <f>AND(Bills!Q397,"AAAAAF99WZs=")</f>
        <v>#VALUE!</v>
      </c>
      <c r="FA111" t="e">
        <f>AND(Bills!R397,"AAAAAF99WZw=")</f>
        <v>#VALUE!</v>
      </c>
      <c r="FB111" t="e">
        <f>AND(Bills!S397,"AAAAAF99WZ0=")</f>
        <v>#VALUE!</v>
      </c>
      <c r="FC111" t="e">
        <f>AND(Bills!T397,"AAAAAF99WZ4=")</f>
        <v>#VALUE!</v>
      </c>
      <c r="FD111" t="e">
        <f>AND(Bills!#REF!,"AAAAAF99WZ8=")</f>
        <v>#REF!</v>
      </c>
      <c r="FE111" t="e">
        <f>AND(Bills!U397,"AAAAAF99WaA=")</f>
        <v>#VALUE!</v>
      </c>
      <c r="FF111" t="e">
        <f>AND(Bills!V397,"AAAAAF99WaE=")</f>
        <v>#VALUE!</v>
      </c>
      <c r="FG111" t="e">
        <f>AND(Bills!W397,"AAAAAF99WaI=")</f>
        <v>#VALUE!</v>
      </c>
      <c r="FH111" t="e">
        <f>AND(Bills!#REF!,"AAAAAF99WaM=")</f>
        <v>#REF!</v>
      </c>
      <c r="FI111" t="e">
        <f>AND(Bills!#REF!,"AAAAAF99WaQ=")</f>
        <v>#REF!</v>
      </c>
      <c r="FJ111" t="e">
        <f>AND(Bills!Y397,"AAAAAF99WaU=")</f>
        <v>#VALUE!</v>
      </c>
      <c r="FK111" t="e">
        <f>AND(Bills!Z397,"AAAAAF99WaY=")</f>
        <v>#VALUE!</v>
      </c>
      <c r="FL111" t="e">
        <f>AND(Bills!#REF!,"AAAAAF99Wac=")</f>
        <v>#REF!</v>
      </c>
      <c r="FM111" t="e">
        <f>AND(Bills!#REF!,"AAAAAF99Wag=")</f>
        <v>#REF!</v>
      </c>
      <c r="FN111" t="e">
        <f>AND(Bills!#REF!,"AAAAAF99Wak=")</f>
        <v>#REF!</v>
      </c>
      <c r="FO111" t="e">
        <f>AND(Bills!#REF!,"AAAAAF99Wao=")</f>
        <v>#REF!</v>
      </c>
      <c r="FP111" t="e">
        <f>AND(Bills!#REF!,"AAAAAF99Was=")</f>
        <v>#REF!</v>
      </c>
      <c r="FQ111" t="e">
        <f>AND(Bills!#REF!,"AAAAAF99Waw=")</f>
        <v>#REF!</v>
      </c>
      <c r="FR111" t="e">
        <f>AND(Bills!#REF!,"AAAAAF99Wa0=")</f>
        <v>#REF!</v>
      </c>
      <c r="FS111" t="e">
        <f>AND(Bills!#REF!,"AAAAAF99Wa4=")</f>
        <v>#REF!</v>
      </c>
      <c r="FT111" t="e">
        <f>AND(Bills!#REF!,"AAAAAF99Wa8=")</f>
        <v>#REF!</v>
      </c>
      <c r="FU111" t="e">
        <f>AND(Bills!AA397,"AAAAAF99WbA=")</f>
        <v>#VALUE!</v>
      </c>
      <c r="FV111" t="e">
        <f>AND(Bills!AB397,"AAAAAF99WbE=")</f>
        <v>#VALUE!</v>
      </c>
      <c r="FW111" t="e">
        <f>AND(Bills!#REF!,"AAAAAF99WbI=")</f>
        <v>#REF!</v>
      </c>
      <c r="FX111" t="e">
        <f>AND(Bills!#REF!,"AAAAAF99WbM=")</f>
        <v>#REF!</v>
      </c>
      <c r="FY111" t="e">
        <f>AND(Bills!#REF!,"AAAAAF99WbQ=")</f>
        <v>#REF!</v>
      </c>
      <c r="FZ111" t="e">
        <f>AND(Bills!AC397,"AAAAAF99WbU=")</f>
        <v>#VALUE!</v>
      </c>
      <c r="GA111" t="e">
        <f>AND(Bills!AD397,"AAAAAF99WbY=")</f>
        <v>#VALUE!</v>
      </c>
      <c r="GB111" t="e">
        <f>AND(Bills!AE397,"AAAAAF99Wbc=")</f>
        <v>#VALUE!</v>
      </c>
      <c r="GC111">
        <f>IF(Bills!398:398,"AAAAAF99Wbg=",0)</f>
        <v>0</v>
      </c>
      <c r="GD111" t="e">
        <f>AND(Bills!B398,"AAAAAF99Wbk=")</f>
        <v>#VALUE!</v>
      </c>
      <c r="GE111" t="e">
        <f>AND(Bills!#REF!,"AAAAAF99Wbo=")</f>
        <v>#REF!</v>
      </c>
      <c r="GF111" t="e">
        <f>AND(Bills!C398,"AAAAAF99Wbs=")</f>
        <v>#VALUE!</v>
      </c>
      <c r="GG111" t="e">
        <f>AND(Bills!D398,"AAAAAF99Wbw=")</f>
        <v>#VALUE!</v>
      </c>
      <c r="GH111" t="e">
        <f>AND(Bills!E398,"AAAAAF99Wb0=")</f>
        <v>#VALUE!</v>
      </c>
      <c r="GI111" t="e">
        <f>AND(Bills!#REF!,"AAAAAF99Wb4=")</f>
        <v>#REF!</v>
      </c>
      <c r="GJ111" t="e">
        <f>AND(Bills!#REF!,"AAAAAF99Wb8=")</f>
        <v>#REF!</v>
      </c>
      <c r="GK111" t="e">
        <f>AND(Bills!#REF!,"AAAAAF99WcA=")</f>
        <v>#REF!</v>
      </c>
      <c r="GL111" t="e">
        <f>AND(Bills!F398,"AAAAAF99WcE=")</f>
        <v>#VALUE!</v>
      </c>
      <c r="GM111" t="e">
        <f>AND(Bills!#REF!,"AAAAAF99WcI=")</f>
        <v>#REF!</v>
      </c>
      <c r="GN111" t="e">
        <f>AND(Bills!G398,"AAAAAF99WcM=")</f>
        <v>#VALUE!</v>
      </c>
      <c r="GO111" t="e">
        <f>AND(Bills!H398,"AAAAAF99WcQ=")</f>
        <v>#VALUE!</v>
      </c>
      <c r="GP111" t="e">
        <f>AND(Bills!I398,"AAAAAF99WcU=")</f>
        <v>#VALUE!</v>
      </c>
      <c r="GQ111" t="e">
        <f>AND(Bills!J398,"AAAAAF99WcY=")</f>
        <v>#VALUE!</v>
      </c>
      <c r="GR111" t="e">
        <f>AND(Bills!K398,"AAAAAF99Wcc=")</f>
        <v>#VALUE!</v>
      </c>
      <c r="GS111" t="e">
        <f>AND(Bills!L398,"AAAAAF99Wcg=")</f>
        <v>#VALUE!</v>
      </c>
      <c r="GT111" t="e">
        <f>AND(Bills!#REF!,"AAAAAF99Wck=")</f>
        <v>#REF!</v>
      </c>
      <c r="GU111" t="e">
        <f>AND(Bills!M398,"AAAAAF99Wco=")</f>
        <v>#VALUE!</v>
      </c>
      <c r="GV111" t="e">
        <f>AND(Bills!N398,"AAAAAF99Wcs=")</f>
        <v>#VALUE!</v>
      </c>
      <c r="GW111" t="e">
        <f>AND(Bills!O398,"AAAAAF99Wcw=")</f>
        <v>#VALUE!</v>
      </c>
      <c r="GX111" t="e">
        <f>AND(Bills!P398,"AAAAAF99Wc0=")</f>
        <v>#VALUE!</v>
      </c>
      <c r="GY111" t="e">
        <f>AND(Bills!Q398,"AAAAAF99Wc4=")</f>
        <v>#VALUE!</v>
      </c>
      <c r="GZ111" t="e">
        <f>AND(Bills!R398,"AAAAAF99Wc8=")</f>
        <v>#VALUE!</v>
      </c>
      <c r="HA111" t="e">
        <f>AND(Bills!S398,"AAAAAF99WdA=")</f>
        <v>#VALUE!</v>
      </c>
      <c r="HB111" t="e">
        <f>AND(Bills!T398,"AAAAAF99WdE=")</f>
        <v>#VALUE!</v>
      </c>
      <c r="HC111" t="e">
        <f>AND(Bills!#REF!,"AAAAAF99WdI=")</f>
        <v>#REF!</v>
      </c>
      <c r="HD111" t="e">
        <f>AND(Bills!U398,"AAAAAF99WdM=")</f>
        <v>#VALUE!</v>
      </c>
      <c r="HE111" t="e">
        <f>AND(Bills!V398,"AAAAAF99WdQ=")</f>
        <v>#VALUE!</v>
      </c>
      <c r="HF111" t="e">
        <f>AND(Bills!W398,"AAAAAF99WdU=")</f>
        <v>#VALUE!</v>
      </c>
      <c r="HG111" t="e">
        <f>AND(Bills!#REF!,"AAAAAF99WdY=")</f>
        <v>#REF!</v>
      </c>
      <c r="HH111" t="e">
        <f>AND(Bills!#REF!,"AAAAAF99Wdc=")</f>
        <v>#REF!</v>
      </c>
      <c r="HI111" t="e">
        <f>AND(Bills!Y398,"AAAAAF99Wdg=")</f>
        <v>#VALUE!</v>
      </c>
      <c r="HJ111" t="e">
        <f>AND(Bills!Z398,"AAAAAF99Wdk=")</f>
        <v>#VALUE!</v>
      </c>
      <c r="HK111" t="e">
        <f>AND(Bills!#REF!,"AAAAAF99Wdo=")</f>
        <v>#REF!</v>
      </c>
      <c r="HL111" t="e">
        <f>AND(Bills!#REF!,"AAAAAF99Wds=")</f>
        <v>#REF!</v>
      </c>
      <c r="HM111" t="e">
        <f>AND(Bills!#REF!,"AAAAAF99Wdw=")</f>
        <v>#REF!</v>
      </c>
      <c r="HN111" t="e">
        <f>AND(Bills!#REF!,"AAAAAF99Wd0=")</f>
        <v>#REF!</v>
      </c>
      <c r="HO111" t="e">
        <f>AND(Bills!#REF!,"AAAAAF99Wd4=")</f>
        <v>#REF!</v>
      </c>
      <c r="HP111" t="e">
        <f>AND(Bills!#REF!,"AAAAAF99Wd8=")</f>
        <v>#REF!</v>
      </c>
      <c r="HQ111" t="e">
        <f>AND(Bills!#REF!,"AAAAAF99WeA=")</f>
        <v>#REF!</v>
      </c>
      <c r="HR111" t="e">
        <f>AND(Bills!#REF!,"AAAAAF99WeE=")</f>
        <v>#REF!</v>
      </c>
      <c r="HS111" t="e">
        <f>AND(Bills!#REF!,"AAAAAF99WeI=")</f>
        <v>#REF!</v>
      </c>
      <c r="HT111" t="e">
        <f>AND(Bills!AA398,"AAAAAF99WeM=")</f>
        <v>#VALUE!</v>
      </c>
      <c r="HU111" t="e">
        <f>AND(Bills!AB398,"AAAAAF99WeQ=")</f>
        <v>#VALUE!</v>
      </c>
      <c r="HV111" t="e">
        <f>AND(Bills!#REF!,"AAAAAF99WeU=")</f>
        <v>#REF!</v>
      </c>
      <c r="HW111" t="e">
        <f>AND(Bills!#REF!,"AAAAAF99WeY=")</f>
        <v>#REF!</v>
      </c>
      <c r="HX111" t="e">
        <f>AND(Bills!#REF!,"AAAAAF99Wec=")</f>
        <v>#REF!</v>
      </c>
      <c r="HY111" t="e">
        <f>AND(Bills!AC398,"AAAAAF99Weg=")</f>
        <v>#VALUE!</v>
      </c>
      <c r="HZ111" t="e">
        <f>AND(Bills!AD398,"AAAAAF99Wek=")</f>
        <v>#VALUE!</v>
      </c>
      <c r="IA111" t="e">
        <f>AND(Bills!AE398,"AAAAAF99Weo=")</f>
        <v>#VALUE!</v>
      </c>
      <c r="IB111">
        <f>IF(Bills!399:399,"AAAAAF99Wes=",0)</f>
        <v>0</v>
      </c>
      <c r="IC111" t="e">
        <f>AND(Bills!B399,"AAAAAF99Wew=")</f>
        <v>#VALUE!</v>
      </c>
      <c r="ID111" t="e">
        <f>AND(Bills!#REF!,"AAAAAF99We0=")</f>
        <v>#REF!</v>
      </c>
      <c r="IE111" t="e">
        <f>AND(Bills!C399,"AAAAAF99We4=")</f>
        <v>#VALUE!</v>
      </c>
      <c r="IF111" t="e">
        <f>AND(Bills!D399,"AAAAAF99We8=")</f>
        <v>#VALUE!</v>
      </c>
      <c r="IG111" t="e">
        <f>AND(Bills!E399,"AAAAAF99WfA=")</f>
        <v>#VALUE!</v>
      </c>
      <c r="IH111" t="e">
        <f>AND(Bills!#REF!,"AAAAAF99WfE=")</f>
        <v>#REF!</v>
      </c>
      <c r="II111" t="e">
        <f>AND(Bills!#REF!,"AAAAAF99WfI=")</f>
        <v>#REF!</v>
      </c>
      <c r="IJ111" t="e">
        <f>AND(Bills!#REF!,"AAAAAF99WfM=")</f>
        <v>#REF!</v>
      </c>
      <c r="IK111" t="e">
        <f>AND(Bills!F399,"AAAAAF99WfQ=")</f>
        <v>#VALUE!</v>
      </c>
      <c r="IL111" t="e">
        <f>AND(Bills!#REF!,"AAAAAF99WfU=")</f>
        <v>#REF!</v>
      </c>
      <c r="IM111" t="e">
        <f>AND(Bills!G399,"AAAAAF99WfY=")</f>
        <v>#VALUE!</v>
      </c>
      <c r="IN111" t="e">
        <f>AND(Bills!H399,"AAAAAF99Wfc=")</f>
        <v>#VALUE!</v>
      </c>
      <c r="IO111" t="e">
        <f>AND(Bills!I399,"AAAAAF99Wfg=")</f>
        <v>#VALUE!</v>
      </c>
      <c r="IP111" t="e">
        <f>AND(Bills!J399,"AAAAAF99Wfk=")</f>
        <v>#VALUE!</v>
      </c>
      <c r="IQ111" t="e">
        <f>AND(Bills!K399,"AAAAAF99Wfo=")</f>
        <v>#VALUE!</v>
      </c>
      <c r="IR111" t="e">
        <f>AND(Bills!L399,"AAAAAF99Wfs=")</f>
        <v>#VALUE!</v>
      </c>
      <c r="IS111" t="e">
        <f>AND(Bills!#REF!,"AAAAAF99Wfw=")</f>
        <v>#REF!</v>
      </c>
      <c r="IT111" t="e">
        <f>AND(Bills!M399,"AAAAAF99Wf0=")</f>
        <v>#VALUE!</v>
      </c>
      <c r="IU111" t="e">
        <f>AND(Bills!N399,"AAAAAF99Wf4=")</f>
        <v>#VALUE!</v>
      </c>
      <c r="IV111" t="e">
        <f>AND(Bills!O399,"AAAAAF99Wf8=")</f>
        <v>#VALUE!</v>
      </c>
    </row>
    <row r="112" spans="1:256" x14ac:dyDescent="0.25">
      <c r="A112" t="e">
        <f>AND(Bills!P399,"AAAAAD3/swA=")</f>
        <v>#VALUE!</v>
      </c>
      <c r="B112" t="e">
        <f>AND(Bills!Q399,"AAAAAD3/swE=")</f>
        <v>#VALUE!</v>
      </c>
      <c r="C112" t="e">
        <f>AND(Bills!R399,"AAAAAD3/swI=")</f>
        <v>#VALUE!</v>
      </c>
      <c r="D112" t="e">
        <f>AND(Bills!S399,"AAAAAD3/swM=")</f>
        <v>#VALUE!</v>
      </c>
      <c r="E112" t="e">
        <f>AND(Bills!T399,"AAAAAD3/swQ=")</f>
        <v>#VALUE!</v>
      </c>
      <c r="F112" t="e">
        <f>AND(Bills!#REF!,"AAAAAD3/swU=")</f>
        <v>#REF!</v>
      </c>
      <c r="G112" t="e">
        <f>AND(Bills!U399,"AAAAAD3/swY=")</f>
        <v>#VALUE!</v>
      </c>
      <c r="H112" t="e">
        <f>AND(Bills!V399,"AAAAAD3/swc=")</f>
        <v>#VALUE!</v>
      </c>
      <c r="I112" t="e">
        <f>AND(Bills!W399,"AAAAAD3/swg=")</f>
        <v>#VALUE!</v>
      </c>
      <c r="J112" t="e">
        <f>AND(Bills!#REF!,"AAAAAD3/swk=")</f>
        <v>#REF!</v>
      </c>
      <c r="K112" t="e">
        <f>AND(Bills!#REF!,"AAAAAD3/swo=")</f>
        <v>#REF!</v>
      </c>
      <c r="L112" t="e">
        <f>AND(Bills!Y399,"AAAAAD3/sws=")</f>
        <v>#VALUE!</v>
      </c>
      <c r="M112" t="e">
        <f>AND(Bills!Z399,"AAAAAD3/sww=")</f>
        <v>#VALUE!</v>
      </c>
      <c r="N112" t="e">
        <f>AND(Bills!#REF!,"AAAAAD3/sw0=")</f>
        <v>#REF!</v>
      </c>
      <c r="O112" t="e">
        <f>AND(Bills!#REF!,"AAAAAD3/sw4=")</f>
        <v>#REF!</v>
      </c>
      <c r="P112" t="e">
        <f>AND(Bills!#REF!,"AAAAAD3/sw8=")</f>
        <v>#REF!</v>
      </c>
      <c r="Q112" t="e">
        <f>AND(Bills!#REF!,"AAAAAD3/sxA=")</f>
        <v>#REF!</v>
      </c>
      <c r="R112" t="e">
        <f>AND(Bills!#REF!,"AAAAAD3/sxE=")</f>
        <v>#REF!</v>
      </c>
      <c r="S112" t="e">
        <f>AND(Bills!#REF!,"AAAAAD3/sxI=")</f>
        <v>#REF!</v>
      </c>
      <c r="T112" t="e">
        <f>AND(Bills!#REF!,"AAAAAD3/sxM=")</f>
        <v>#REF!</v>
      </c>
      <c r="U112" t="e">
        <f>AND(Bills!#REF!,"AAAAAD3/sxQ=")</f>
        <v>#REF!</v>
      </c>
      <c r="V112" t="e">
        <f>AND(Bills!#REF!,"AAAAAD3/sxU=")</f>
        <v>#REF!</v>
      </c>
      <c r="W112" t="e">
        <f>AND(Bills!AA399,"AAAAAD3/sxY=")</f>
        <v>#VALUE!</v>
      </c>
      <c r="X112" t="e">
        <f>AND(Bills!AB399,"AAAAAD3/sxc=")</f>
        <v>#VALUE!</v>
      </c>
      <c r="Y112" t="e">
        <f>AND(Bills!#REF!,"AAAAAD3/sxg=")</f>
        <v>#REF!</v>
      </c>
      <c r="Z112" t="e">
        <f>AND(Bills!#REF!,"AAAAAD3/sxk=")</f>
        <v>#REF!</v>
      </c>
      <c r="AA112" t="e">
        <f>AND(Bills!#REF!,"AAAAAD3/sxo=")</f>
        <v>#REF!</v>
      </c>
      <c r="AB112" t="e">
        <f>AND(Bills!AC399,"AAAAAD3/sxs=")</f>
        <v>#VALUE!</v>
      </c>
      <c r="AC112" t="e">
        <f>AND(Bills!AD399,"AAAAAD3/sxw=")</f>
        <v>#VALUE!</v>
      </c>
      <c r="AD112" t="e">
        <f>AND(Bills!AE399,"AAAAAD3/sx0=")</f>
        <v>#VALUE!</v>
      </c>
      <c r="AE112" t="e">
        <f>IF(Bills!400:400,"AAAAAD3/sx4=",0)</f>
        <v>#REF!</v>
      </c>
      <c r="AF112" t="e">
        <f>AND(Bills!B400,"AAAAAD3/sx8=")</f>
        <v>#VALUE!</v>
      </c>
      <c r="AG112" t="e">
        <f>AND(Bills!#REF!,"AAAAAD3/syA=")</f>
        <v>#REF!</v>
      </c>
      <c r="AH112" t="e">
        <f>AND(Bills!C400,"AAAAAD3/syE=")</f>
        <v>#VALUE!</v>
      </c>
      <c r="AI112" t="e">
        <f>AND(Bills!D400,"AAAAAD3/syI=")</f>
        <v>#VALUE!</v>
      </c>
      <c r="AJ112" t="e">
        <f>AND(Bills!E400,"AAAAAD3/syM=")</f>
        <v>#VALUE!</v>
      </c>
      <c r="AK112" t="e">
        <f>AND(Bills!#REF!,"AAAAAD3/syQ=")</f>
        <v>#REF!</v>
      </c>
      <c r="AL112" t="e">
        <f>AND(Bills!#REF!,"AAAAAD3/syU=")</f>
        <v>#REF!</v>
      </c>
      <c r="AM112" t="e">
        <f>AND(Bills!#REF!,"AAAAAD3/syY=")</f>
        <v>#REF!</v>
      </c>
      <c r="AN112" t="e">
        <f>AND(Bills!F400,"AAAAAD3/syc=")</f>
        <v>#VALUE!</v>
      </c>
      <c r="AO112" t="e">
        <f>AND(Bills!#REF!,"AAAAAD3/syg=")</f>
        <v>#REF!</v>
      </c>
      <c r="AP112" t="e">
        <f>AND(Bills!G400,"AAAAAD3/syk=")</f>
        <v>#VALUE!</v>
      </c>
      <c r="AQ112" t="e">
        <f>AND(Bills!H400,"AAAAAD3/syo=")</f>
        <v>#VALUE!</v>
      </c>
      <c r="AR112" t="e">
        <f>AND(Bills!I400,"AAAAAD3/sys=")</f>
        <v>#VALUE!</v>
      </c>
      <c r="AS112" t="e">
        <f>AND(Bills!J400,"AAAAAD3/syw=")</f>
        <v>#VALUE!</v>
      </c>
      <c r="AT112" t="e">
        <f>AND(Bills!K400,"AAAAAD3/sy0=")</f>
        <v>#VALUE!</v>
      </c>
      <c r="AU112" t="e">
        <f>AND(Bills!L400,"AAAAAD3/sy4=")</f>
        <v>#VALUE!</v>
      </c>
      <c r="AV112" t="e">
        <f>AND(Bills!#REF!,"AAAAAD3/sy8=")</f>
        <v>#REF!</v>
      </c>
      <c r="AW112" t="e">
        <f>AND(Bills!M400,"AAAAAD3/szA=")</f>
        <v>#VALUE!</v>
      </c>
      <c r="AX112" t="e">
        <f>AND(Bills!N400,"AAAAAD3/szE=")</f>
        <v>#VALUE!</v>
      </c>
      <c r="AY112" t="e">
        <f>AND(Bills!O400,"AAAAAD3/szI=")</f>
        <v>#VALUE!</v>
      </c>
      <c r="AZ112" t="e">
        <f>AND(Bills!P400,"AAAAAD3/szM=")</f>
        <v>#VALUE!</v>
      </c>
      <c r="BA112" t="e">
        <f>AND(Bills!Q400,"AAAAAD3/szQ=")</f>
        <v>#VALUE!</v>
      </c>
      <c r="BB112" t="e">
        <f>AND(Bills!R400,"AAAAAD3/szU=")</f>
        <v>#VALUE!</v>
      </c>
      <c r="BC112" t="e">
        <f>AND(Bills!S400,"AAAAAD3/szY=")</f>
        <v>#VALUE!</v>
      </c>
      <c r="BD112" t="e">
        <f>AND(Bills!T400,"AAAAAD3/szc=")</f>
        <v>#VALUE!</v>
      </c>
      <c r="BE112" t="e">
        <f>AND(Bills!#REF!,"AAAAAD3/szg=")</f>
        <v>#REF!</v>
      </c>
      <c r="BF112" t="e">
        <f>AND(Bills!U400,"AAAAAD3/szk=")</f>
        <v>#VALUE!</v>
      </c>
      <c r="BG112" t="e">
        <f>AND(Bills!V400,"AAAAAD3/szo=")</f>
        <v>#VALUE!</v>
      </c>
      <c r="BH112" t="e">
        <f>AND(Bills!W400,"AAAAAD3/szs=")</f>
        <v>#VALUE!</v>
      </c>
      <c r="BI112" t="e">
        <f>AND(Bills!#REF!,"AAAAAD3/szw=")</f>
        <v>#REF!</v>
      </c>
      <c r="BJ112" t="e">
        <f>AND(Bills!#REF!,"AAAAAD3/sz0=")</f>
        <v>#REF!</v>
      </c>
      <c r="BK112" t="e">
        <f>AND(Bills!Y400,"AAAAAD3/sz4=")</f>
        <v>#VALUE!</v>
      </c>
      <c r="BL112" t="e">
        <f>AND(Bills!Z400,"AAAAAD3/sz8=")</f>
        <v>#VALUE!</v>
      </c>
      <c r="BM112" t="e">
        <f>AND(Bills!#REF!,"AAAAAD3/s0A=")</f>
        <v>#REF!</v>
      </c>
      <c r="BN112" t="e">
        <f>AND(Bills!#REF!,"AAAAAD3/s0E=")</f>
        <v>#REF!</v>
      </c>
      <c r="BO112" t="e">
        <f>AND(Bills!#REF!,"AAAAAD3/s0I=")</f>
        <v>#REF!</v>
      </c>
      <c r="BP112" t="e">
        <f>AND(Bills!#REF!,"AAAAAD3/s0M=")</f>
        <v>#REF!</v>
      </c>
      <c r="BQ112" t="e">
        <f>AND(Bills!#REF!,"AAAAAD3/s0Q=")</f>
        <v>#REF!</v>
      </c>
      <c r="BR112" t="e">
        <f>AND(Bills!#REF!,"AAAAAD3/s0U=")</f>
        <v>#REF!</v>
      </c>
      <c r="BS112" t="e">
        <f>AND(Bills!#REF!,"AAAAAD3/s0Y=")</f>
        <v>#REF!</v>
      </c>
      <c r="BT112" t="e">
        <f>AND(Bills!#REF!,"AAAAAD3/s0c=")</f>
        <v>#REF!</v>
      </c>
      <c r="BU112" t="e">
        <f>AND(Bills!#REF!,"AAAAAD3/s0g=")</f>
        <v>#REF!</v>
      </c>
      <c r="BV112" t="e">
        <f>AND(Bills!AA400,"AAAAAD3/s0k=")</f>
        <v>#VALUE!</v>
      </c>
      <c r="BW112" t="e">
        <f>AND(Bills!AB400,"AAAAAD3/s0o=")</f>
        <v>#VALUE!</v>
      </c>
      <c r="BX112" t="e">
        <f>AND(Bills!#REF!,"AAAAAD3/s0s=")</f>
        <v>#REF!</v>
      </c>
      <c r="BY112" t="e">
        <f>AND(Bills!#REF!,"AAAAAD3/s0w=")</f>
        <v>#REF!</v>
      </c>
      <c r="BZ112" t="e">
        <f>AND(Bills!#REF!,"AAAAAD3/s00=")</f>
        <v>#REF!</v>
      </c>
      <c r="CA112" t="e">
        <f>AND(Bills!AC400,"AAAAAD3/s04=")</f>
        <v>#VALUE!</v>
      </c>
      <c r="CB112" t="e">
        <f>AND(Bills!AD400,"AAAAAD3/s08=")</f>
        <v>#VALUE!</v>
      </c>
      <c r="CC112" t="e">
        <f>AND(Bills!AE400,"AAAAAD3/s1A=")</f>
        <v>#VALUE!</v>
      </c>
      <c r="CD112">
        <f>IF(Bills!401:401,"AAAAAD3/s1E=",0)</f>
        <v>0</v>
      </c>
      <c r="CE112" t="e">
        <f>AND(Bills!B401,"AAAAAD3/s1I=")</f>
        <v>#VALUE!</v>
      </c>
      <c r="CF112" t="e">
        <f>AND(Bills!#REF!,"AAAAAD3/s1M=")</f>
        <v>#REF!</v>
      </c>
      <c r="CG112" t="e">
        <f>AND(Bills!C401,"AAAAAD3/s1Q=")</f>
        <v>#VALUE!</v>
      </c>
      <c r="CH112" t="e">
        <f>AND(Bills!D401,"AAAAAD3/s1U=")</f>
        <v>#VALUE!</v>
      </c>
      <c r="CI112" t="e">
        <f>AND(Bills!E401,"AAAAAD3/s1Y=")</f>
        <v>#VALUE!</v>
      </c>
      <c r="CJ112" t="e">
        <f>AND(Bills!#REF!,"AAAAAD3/s1c=")</f>
        <v>#REF!</v>
      </c>
      <c r="CK112" t="e">
        <f>AND(Bills!#REF!,"AAAAAD3/s1g=")</f>
        <v>#REF!</v>
      </c>
      <c r="CL112" t="e">
        <f>AND(Bills!#REF!,"AAAAAD3/s1k=")</f>
        <v>#REF!</v>
      </c>
      <c r="CM112" t="e">
        <f>AND(Bills!F401,"AAAAAD3/s1o=")</f>
        <v>#VALUE!</v>
      </c>
      <c r="CN112" t="e">
        <f>AND(Bills!#REF!,"AAAAAD3/s1s=")</f>
        <v>#REF!</v>
      </c>
      <c r="CO112" t="e">
        <f>AND(Bills!G401,"AAAAAD3/s1w=")</f>
        <v>#VALUE!</v>
      </c>
      <c r="CP112" t="e">
        <f>AND(Bills!H401,"AAAAAD3/s10=")</f>
        <v>#VALUE!</v>
      </c>
      <c r="CQ112" t="e">
        <f>AND(Bills!I401,"AAAAAD3/s14=")</f>
        <v>#VALUE!</v>
      </c>
      <c r="CR112" t="e">
        <f>AND(Bills!J401,"AAAAAD3/s18=")</f>
        <v>#VALUE!</v>
      </c>
      <c r="CS112" t="e">
        <f>AND(Bills!K401,"AAAAAD3/s2A=")</f>
        <v>#VALUE!</v>
      </c>
      <c r="CT112" t="e">
        <f>AND(Bills!L401,"AAAAAD3/s2E=")</f>
        <v>#VALUE!</v>
      </c>
      <c r="CU112" t="e">
        <f>AND(Bills!#REF!,"AAAAAD3/s2I=")</f>
        <v>#REF!</v>
      </c>
      <c r="CV112" t="e">
        <f>AND(Bills!M401,"AAAAAD3/s2M=")</f>
        <v>#VALUE!</v>
      </c>
      <c r="CW112" t="e">
        <f>AND(Bills!N401,"AAAAAD3/s2Q=")</f>
        <v>#VALUE!</v>
      </c>
      <c r="CX112" t="e">
        <f>AND(Bills!O401,"AAAAAD3/s2U=")</f>
        <v>#VALUE!</v>
      </c>
      <c r="CY112" t="e">
        <f>AND(Bills!P401,"AAAAAD3/s2Y=")</f>
        <v>#VALUE!</v>
      </c>
      <c r="CZ112" t="e">
        <f>AND(Bills!Q401,"AAAAAD3/s2c=")</f>
        <v>#VALUE!</v>
      </c>
      <c r="DA112" t="e">
        <f>AND(Bills!R401,"AAAAAD3/s2g=")</f>
        <v>#VALUE!</v>
      </c>
      <c r="DB112" t="e">
        <f>AND(Bills!S401,"AAAAAD3/s2k=")</f>
        <v>#VALUE!</v>
      </c>
      <c r="DC112" t="e">
        <f>AND(Bills!T401,"AAAAAD3/s2o=")</f>
        <v>#VALUE!</v>
      </c>
      <c r="DD112" t="e">
        <f>AND(Bills!#REF!,"AAAAAD3/s2s=")</f>
        <v>#REF!</v>
      </c>
      <c r="DE112" t="e">
        <f>AND(Bills!U401,"AAAAAD3/s2w=")</f>
        <v>#VALUE!</v>
      </c>
      <c r="DF112" t="e">
        <f>AND(Bills!V401,"AAAAAD3/s20=")</f>
        <v>#VALUE!</v>
      </c>
      <c r="DG112" t="e">
        <f>AND(Bills!W401,"AAAAAD3/s24=")</f>
        <v>#VALUE!</v>
      </c>
      <c r="DH112" t="e">
        <f>AND(Bills!#REF!,"AAAAAD3/s28=")</f>
        <v>#REF!</v>
      </c>
      <c r="DI112" t="e">
        <f>AND(Bills!#REF!,"AAAAAD3/s3A=")</f>
        <v>#REF!</v>
      </c>
      <c r="DJ112" t="e">
        <f>AND(Bills!Y401,"AAAAAD3/s3E=")</f>
        <v>#VALUE!</v>
      </c>
      <c r="DK112" t="e">
        <f>AND(Bills!Z401,"AAAAAD3/s3I=")</f>
        <v>#VALUE!</v>
      </c>
      <c r="DL112" t="e">
        <f>AND(Bills!#REF!,"AAAAAD3/s3M=")</f>
        <v>#REF!</v>
      </c>
      <c r="DM112" t="e">
        <f>AND(Bills!#REF!,"AAAAAD3/s3Q=")</f>
        <v>#REF!</v>
      </c>
      <c r="DN112" t="e">
        <f>AND(Bills!#REF!,"AAAAAD3/s3U=")</f>
        <v>#REF!</v>
      </c>
      <c r="DO112" t="e">
        <f>AND(Bills!#REF!,"AAAAAD3/s3Y=")</f>
        <v>#REF!</v>
      </c>
      <c r="DP112" t="e">
        <f>AND(Bills!#REF!,"AAAAAD3/s3c=")</f>
        <v>#REF!</v>
      </c>
      <c r="DQ112" t="e">
        <f>AND(Bills!#REF!,"AAAAAD3/s3g=")</f>
        <v>#REF!</v>
      </c>
      <c r="DR112" t="e">
        <f>AND(Bills!#REF!,"AAAAAD3/s3k=")</f>
        <v>#REF!</v>
      </c>
      <c r="DS112" t="e">
        <f>AND(Bills!#REF!,"AAAAAD3/s3o=")</f>
        <v>#REF!</v>
      </c>
      <c r="DT112" t="e">
        <f>AND(Bills!#REF!,"AAAAAD3/s3s=")</f>
        <v>#REF!</v>
      </c>
      <c r="DU112" t="e">
        <f>AND(Bills!AA401,"AAAAAD3/s3w=")</f>
        <v>#VALUE!</v>
      </c>
      <c r="DV112" t="e">
        <f>AND(Bills!AB401,"AAAAAD3/s30=")</f>
        <v>#VALUE!</v>
      </c>
      <c r="DW112" t="e">
        <f>AND(Bills!#REF!,"AAAAAD3/s34=")</f>
        <v>#REF!</v>
      </c>
      <c r="DX112" t="e">
        <f>AND(Bills!#REF!,"AAAAAD3/s38=")</f>
        <v>#REF!</v>
      </c>
      <c r="DY112" t="e">
        <f>AND(Bills!#REF!,"AAAAAD3/s4A=")</f>
        <v>#REF!</v>
      </c>
      <c r="DZ112" t="e">
        <f>AND(Bills!AC401,"AAAAAD3/s4E=")</f>
        <v>#VALUE!</v>
      </c>
      <c r="EA112" t="e">
        <f>AND(Bills!AD401,"AAAAAD3/s4I=")</f>
        <v>#VALUE!</v>
      </c>
      <c r="EB112" t="e">
        <f>AND(Bills!AE401,"AAAAAD3/s4M=")</f>
        <v>#VALUE!</v>
      </c>
      <c r="EC112">
        <f>IF(Bills!402:402,"AAAAAD3/s4Q=",0)</f>
        <v>0</v>
      </c>
      <c r="ED112" t="e">
        <f>AND(Bills!B402,"AAAAAD3/s4U=")</f>
        <v>#VALUE!</v>
      </c>
      <c r="EE112" t="e">
        <f>AND(Bills!#REF!,"AAAAAD3/s4Y=")</f>
        <v>#REF!</v>
      </c>
      <c r="EF112" t="e">
        <f>AND(Bills!C402,"AAAAAD3/s4c=")</f>
        <v>#VALUE!</v>
      </c>
      <c r="EG112" t="e">
        <f>AND(Bills!D402,"AAAAAD3/s4g=")</f>
        <v>#VALUE!</v>
      </c>
      <c r="EH112" t="e">
        <f>AND(Bills!E402,"AAAAAD3/s4k=")</f>
        <v>#VALUE!</v>
      </c>
      <c r="EI112" t="e">
        <f>AND(Bills!#REF!,"AAAAAD3/s4o=")</f>
        <v>#REF!</v>
      </c>
      <c r="EJ112" t="e">
        <f>AND(Bills!#REF!,"AAAAAD3/s4s=")</f>
        <v>#REF!</v>
      </c>
      <c r="EK112" t="e">
        <f>AND(Bills!#REF!,"AAAAAD3/s4w=")</f>
        <v>#REF!</v>
      </c>
      <c r="EL112" t="e">
        <f>AND(Bills!F402,"AAAAAD3/s40=")</f>
        <v>#VALUE!</v>
      </c>
      <c r="EM112" t="e">
        <f>AND(Bills!#REF!,"AAAAAD3/s44=")</f>
        <v>#REF!</v>
      </c>
      <c r="EN112" t="e">
        <f>AND(Bills!G402,"AAAAAD3/s48=")</f>
        <v>#VALUE!</v>
      </c>
      <c r="EO112" t="e">
        <f>AND(Bills!H402,"AAAAAD3/s5A=")</f>
        <v>#VALUE!</v>
      </c>
      <c r="EP112" t="e">
        <f>AND(Bills!I402,"AAAAAD3/s5E=")</f>
        <v>#VALUE!</v>
      </c>
      <c r="EQ112" t="e">
        <f>AND(Bills!J402,"AAAAAD3/s5I=")</f>
        <v>#VALUE!</v>
      </c>
      <c r="ER112" t="e">
        <f>AND(Bills!K402,"AAAAAD3/s5M=")</f>
        <v>#VALUE!</v>
      </c>
      <c r="ES112" t="e">
        <f>AND(Bills!L402,"AAAAAD3/s5Q=")</f>
        <v>#VALUE!</v>
      </c>
      <c r="ET112" t="e">
        <f>AND(Bills!#REF!,"AAAAAD3/s5U=")</f>
        <v>#REF!</v>
      </c>
      <c r="EU112" t="e">
        <f>AND(Bills!M402,"AAAAAD3/s5Y=")</f>
        <v>#VALUE!</v>
      </c>
      <c r="EV112" t="e">
        <f>AND(Bills!N402,"AAAAAD3/s5c=")</f>
        <v>#VALUE!</v>
      </c>
      <c r="EW112" t="e">
        <f>AND(Bills!O402,"AAAAAD3/s5g=")</f>
        <v>#VALUE!</v>
      </c>
      <c r="EX112" t="e">
        <f>AND(Bills!P402,"AAAAAD3/s5k=")</f>
        <v>#VALUE!</v>
      </c>
      <c r="EY112" t="e">
        <f>AND(Bills!Q402,"AAAAAD3/s5o=")</f>
        <v>#VALUE!</v>
      </c>
      <c r="EZ112" t="e">
        <f>AND(Bills!R402,"AAAAAD3/s5s=")</f>
        <v>#VALUE!</v>
      </c>
      <c r="FA112" t="e">
        <f>AND(Bills!S402,"AAAAAD3/s5w=")</f>
        <v>#VALUE!</v>
      </c>
      <c r="FB112" t="e">
        <f>AND(Bills!T402,"AAAAAD3/s50=")</f>
        <v>#VALUE!</v>
      </c>
      <c r="FC112" t="e">
        <f>AND(Bills!#REF!,"AAAAAD3/s54=")</f>
        <v>#REF!</v>
      </c>
      <c r="FD112" t="e">
        <f>AND(Bills!U402,"AAAAAD3/s58=")</f>
        <v>#VALUE!</v>
      </c>
      <c r="FE112" t="e">
        <f>AND(Bills!V402,"AAAAAD3/s6A=")</f>
        <v>#VALUE!</v>
      </c>
      <c r="FF112" t="e">
        <f>AND(Bills!W402,"AAAAAD3/s6E=")</f>
        <v>#VALUE!</v>
      </c>
      <c r="FG112" t="e">
        <f>AND(Bills!#REF!,"AAAAAD3/s6I=")</f>
        <v>#REF!</v>
      </c>
      <c r="FH112" t="e">
        <f>AND(Bills!#REF!,"AAAAAD3/s6M=")</f>
        <v>#REF!</v>
      </c>
      <c r="FI112" t="e">
        <f>AND(Bills!Y402,"AAAAAD3/s6Q=")</f>
        <v>#VALUE!</v>
      </c>
      <c r="FJ112" t="e">
        <f>AND(Bills!Z402,"AAAAAD3/s6U=")</f>
        <v>#VALUE!</v>
      </c>
      <c r="FK112" t="e">
        <f>AND(Bills!#REF!,"AAAAAD3/s6Y=")</f>
        <v>#REF!</v>
      </c>
      <c r="FL112" t="e">
        <f>AND(Bills!#REF!,"AAAAAD3/s6c=")</f>
        <v>#REF!</v>
      </c>
      <c r="FM112" t="e">
        <f>AND(Bills!#REF!,"AAAAAD3/s6g=")</f>
        <v>#REF!</v>
      </c>
      <c r="FN112" t="e">
        <f>AND(Bills!#REF!,"AAAAAD3/s6k=")</f>
        <v>#REF!</v>
      </c>
      <c r="FO112" t="e">
        <f>AND(Bills!#REF!,"AAAAAD3/s6o=")</f>
        <v>#REF!</v>
      </c>
      <c r="FP112" t="e">
        <f>AND(Bills!#REF!,"AAAAAD3/s6s=")</f>
        <v>#REF!</v>
      </c>
      <c r="FQ112" t="e">
        <f>AND(Bills!#REF!,"AAAAAD3/s6w=")</f>
        <v>#REF!</v>
      </c>
      <c r="FR112" t="e">
        <f>AND(Bills!#REF!,"AAAAAD3/s60=")</f>
        <v>#REF!</v>
      </c>
      <c r="FS112" t="e">
        <f>AND(Bills!#REF!,"AAAAAD3/s64=")</f>
        <v>#REF!</v>
      </c>
      <c r="FT112" t="e">
        <f>AND(Bills!AA402,"AAAAAD3/s68=")</f>
        <v>#VALUE!</v>
      </c>
      <c r="FU112" t="e">
        <f>AND(Bills!AB402,"AAAAAD3/s7A=")</f>
        <v>#VALUE!</v>
      </c>
      <c r="FV112" t="e">
        <f>AND(Bills!#REF!,"AAAAAD3/s7E=")</f>
        <v>#REF!</v>
      </c>
      <c r="FW112" t="e">
        <f>AND(Bills!#REF!,"AAAAAD3/s7I=")</f>
        <v>#REF!</v>
      </c>
      <c r="FX112" t="e">
        <f>AND(Bills!#REF!,"AAAAAD3/s7M=")</f>
        <v>#REF!</v>
      </c>
      <c r="FY112" t="e">
        <f>AND(Bills!AC402,"AAAAAD3/s7Q=")</f>
        <v>#VALUE!</v>
      </c>
      <c r="FZ112" t="e">
        <f>AND(Bills!AD402,"AAAAAD3/s7U=")</f>
        <v>#VALUE!</v>
      </c>
      <c r="GA112" t="e">
        <f>AND(Bills!AE402,"AAAAAD3/s7Y=")</f>
        <v>#VALUE!</v>
      </c>
      <c r="GB112">
        <f>IF(Bills!403:403,"AAAAAD3/s7c=",0)</f>
        <v>0</v>
      </c>
      <c r="GC112" t="e">
        <f>AND(Bills!B403,"AAAAAD3/s7g=")</f>
        <v>#VALUE!</v>
      </c>
      <c r="GD112" t="e">
        <f>AND(Bills!#REF!,"AAAAAD3/s7k=")</f>
        <v>#REF!</v>
      </c>
      <c r="GE112" t="e">
        <f>AND(Bills!C403,"AAAAAD3/s7o=")</f>
        <v>#VALUE!</v>
      </c>
      <c r="GF112" t="e">
        <f>AND(Bills!D403,"AAAAAD3/s7s=")</f>
        <v>#VALUE!</v>
      </c>
      <c r="GG112" t="e">
        <f>AND(Bills!E403,"AAAAAD3/s7w=")</f>
        <v>#VALUE!</v>
      </c>
      <c r="GH112" t="e">
        <f>AND(Bills!#REF!,"AAAAAD3/s70=")</f>
        <v>#REF!</v>
      </c>
      <c r="GI112" t="e">
        <f>AND(Bills!#REF!,"AAAAAD3/s74=")</f>
        <v>#REF!</v>
      </c>
      <c r="GJ112" t="e">
        <f>AND(Bills!#REF!,"AAAAAD3/s78=")</f>
        <v>#REF!</v>
      </c>
      <c r="GK112" t="e">
        <f>AND(Bills!F403,"AAAAAD3/s8A=")</f>
        <v>#VALUE!</v>
      </c>
      <c r="GL112" t="e">
        <f>AND(Bills!#REF!,"AAAAAD3/s8E=")</f>
        <v>#REF!</v>
      </c>
      <c r="GM112" t="e">
        <f>AND(Bills!G403,"AAAAAD3/s8I=")</f>
        <v>#VALUE!</v>
      </c>
      <c r="GN112" t="e">
        <f>AND(Bills!H403,"AAAAAD3/s8M=")</f>
        <v>#VALUE!</v>
      </c>
      <c r="GO112" t="e">
        <f>AND(Bills!I403,"AAAAAD3/s8Q=")</f>
        <v>#VALUE!</v>
      </c>
      <c r="GP112" t="e">
        <f>AND(Bills!J403,"AAAAAD3/s8U=")</f>
        <v>#VALUE!</v>
      </c>
      <c r="GQ112" t="e">
        <f>AND(Bills!K403,"AAAAAD3/s8Y=")</f>
        <v>#VALUE!</v>
      </c>
      <c r="GR112" t="e">
        <f>AND(Bills!L403,"AAAAAD3/s8c=")</f>
        <v>#VALUE!</v>
      </c>
      <c r="GS112" t="e">
        <f>AND(Bills!#REF!,"AAAAAD3/s8g=")</f>
        <v>#REF!</v>
      </c>
      <c r="GT112" t="e">
        <f>AND(Bills!M403,"AAAAAD3/s8k=")</f>
        <v>#VALUE!</v>
      </c>
      <c r="GU112" t="e">
        <f>AND(Bills!N403,"AAAAAD3/s8o=")</f>
        <v>#VALUE!</v>
      </c>
      <c r="GV112" t="e">
        <f>AND(Bills!O403,"AAAAAD3/s8s=")</f>
        <v>#VALUE!</v>
      </c>
      <c r="GW112" t="e">
        <f>AND(Bills!P403,"AAAAAD3/s8w=")</f>
        <v>#VALUE!</v>
      </c>
      <c r="GX112" t="e">
        <f>AND(Bills!Q403,"AAAAAD3/s80=")</f>
        <v>#VALUE!</v>
      </c>
      <c r="GY112" t="e">
        <f>AND(Bills!R403,"AAAAAD3/s84=")</f>
        <v>#VALUE!</v>
      </c>
      <c r="GZ112" t="e">
        <f>AND(Bills!S403,"AAAAAD3/s88=")</f>
        <v>#VALUE!</v>
      </c>
      <c r="HA112" t="e">
        <f>AND(Bills!T403,"AAAAAD3/s9A=")</f>
        <v>#VALUE!</v>
      </c>
      <c r="HB112" t="e">
        <f>AND(Bills!#REF!,"AAAAAD3/s9E=")</f>
        <v>#REF!</v>
      </c>
      <c r="HC112" t="e">
        <f>AND(Bills!U403,"AAAAAD3/s9I=")</f>
        <v>#VALUE!</v>
      </c>
      <c r="HD112" t="e">
        <f>AND(Bills!V403,"AAAAAD3/s9M=")</f>
        <v>#VALUE!</v>
      </c>
      <c r="HE112" t="e">
        <f>AND(Bills!W403,"AAAAAD3/s9Q=")</f>
        <v>#VALUE!</v>
      </c>
      <c r="HF112" t="e">
        <f>AND(Bills!#REF!,"AAAAAD3/s9U=")</f>
        <v>#REF!</v>
      </c>
      <c r="HG112" t="e">
        <f>AND(Bills!#REF!,"AAAAAD3/s9Y=")</f>
        <v>#REF!</v>
      </c>
      <c r="HH112" t="e">
        <f>AND(Bills!Y403,"AAAAAD3/s9c=")</f>
        <v>#VALUE!</v>
      </c>
      <c r="HI112" t="e">
        <f>AND(Bills!Z403,"AAAAAD3/s9g=")</f>
        <v>#VALUE!</v>
      </c>
      <c r="HJ112" t="e">
        <f>AND(Bills!#REF!,"AAAAAD3/s9k=")</f>
        <v>#REF!</v>
      </c>
      <c r="HK112" t="e">
        <f>AND(Bills!#REF!,"AAAAAD3/s9o=")</f>
        <v>#REF!</v>
      </c>
      <c r="HL112" t="e">
        <f>AND(Bills!#REF!,"AAAAAD3/s9s=")</f>
        <v>#REF!</v>
      </c>
      <c r="HM112" t="e">
        <f>AND(Bills!#REF!,"AAAAAD3/s9w=")</f>
        <v>#REF!</v>
      </c>
      <c r="HN112" t="e">
        <f>AND(Bills!#REF!,"AAAAAD3/s90=")</f>
        <v>#REF!</v>
      </c>
      <c r="HO112" t="e">
        <f>AND(Bills!#REF!,"AAAAAD3/s94=")</f>
        <v>#REF!</v>
      </c>
      <c r="HP112" t="e">
        <f>AND(Bills!#REF!,"AAAAAD3/s98=")</f>
        <v>#REF!</v>
      </c>
      <c r="HQ112" t="e">
        <f>AND(Bills!#REF!,"AAAAAD3/s+A=")</f>
        <v>#REF!</v>
      </c>
      <c r="HR112" t="e">
        <f>AND(Bills!#REF!,"AAAAAD3/s+E=")</f>
        <v>#REF!</v>
      </c>
      <c r="HS112" t="e">
        <f>AND(Bills!AA403,"AAAAAD3/s+I=")</f>
        <v>#VALUE!</v>
      </c>
      <c r="HT112" t="e">
        <f>AND(Bills!AB403,"AAAAAD3/s+M=")</f>
        <v>#VALUE!</v>
      </c>
      <c r="HU112" t="e">
        <f>AND(Bills!#REF!,"AAAAAD3/s+Q=")</f>
        <v>#REF!</v>
      </c>
      <c r="HV112" t="e">
        <f>AND(Bills!#REF!,"AAAAAD3/s+U=")</f>
        <v>#REF!</v>
      </c>
      <c r="HW112" t="e">
        <f>AND(Bills!#REF!,"AAAAAD3/s+Y=")</f>
        <v>#REF!</v>
      </c>
      <c r="HX112" t="e">
        <f>AND(Bills!AC403,"AAAAAD3/s+c=")</f>
        <v>#VALUE!</v>
      </c>
      <c r="HY112" t="e">
        <f>AND(Bills!AD403,"AAAAAD3/s+g=")</f>
        <v>#VALUE!</v>
      </c>
      <c r="HZ112" t="e">
        <f>AND(Bills!AE403,"AAAAAD3/s+k=")</f>
        <v>#VALUE!</v>
      </c>
      <c r="IA112">
        <f>IF(Bills!404:404,"AAAAAD3/s+o=",0)</f>
        <v>0</v>
      </c>
      <c r="IB112" t="e">
        <f>AND(Bills!B404,"AAAAAD3/s+s=")</f>
        <v>#VALUE!</v>
      </c>
      <c r="IC112" t="e">
        <f>AND(Bills!#REF!,"AAAAAD3/s+w=")</f>
        <v>#REF!</v>
      </c>
      <c r="ID112" t="e">
        <f>AND(Bills!C404,"AAAAAD3/s+0=")</f>
        <v>#VALUE!</v>
      </c>
      <c r="IE112" t="e">
        <f>AND(Bills!D404,"AAAAAD3/s+4=")</f>
        <v>#VALUE!</v>
      </c>
      <c r="IF112" t="e">
        <f>AND(Bills!E404,"AAAAAD3/s+8=")</f>
        <v>#VALUE!</v>
      </c>
      <c r="IG112" t="e">
        <f>AND(Bills!#REF!,"AAAAAD3/s/A=")</f>
        <v>#REF!</v>
      </c>
      <c r="IH112" t="e">
        <f>AND(Bills!#REF!,"AAAAAD3/s/E=")</f>
        <v>#REF!</v>
      </c>
      <c r="II112" t="e">
        <f>AND(Bills!#REF!,"AAAAAD3/s/I=")</f>
        <v>#REF!</v>
      </c>
      <c r="IJ112" t="e">
        <f>AND(Bills!F404,"AAAAAD3/s/M=")</f>
        <v>#VALUE!</v>
      </c>
      <c r="IK112" t="e">
        <f>AND(Bills!#REF!,"AAAAAD3/s/Q=")</f>
        <v>#REF!</v>
      </c>
      <c r="IL112" t="e">
        <f>AND(Bills!G404,"AAAAAD3/s/U=")</f>
        <v>#VALUE!</v>
      </c>
      <c r="IM112" t="e">
        <f>AND(Bills!H404,"AAAAAD3/s/Y=")</f>
        <v>#VALUE!</v>
      </c>
      <c r="IN112" t="e">
        <f>AND(Bills!I404,"AAAAAD3/s/c=")</f>
        <v>#VALUE!</v>
      </c>
      <c r="IO112" t="e">
        <f>AND(Bills!J404,"AAAAAD3/s/g=")</f>
        <v>#VALUE!</v>
      </c>
      <c r="IP112" t="e">
        <f>AND(Bills!K404,"AAAAAD3/s/k=")</f>
        <v>#VALUE!</v>
      </c>
      <c r="IQ112" t="e">
        <f>AND(Bills!L404,"AAAAAD3/s/o=")</f>
        <v>#VALUE!</v>
      </c>
      <c r="IR112" t="e">
        <f>AND(Bills!#REF!,"AAAAAD3/s/s=")</f>
        <v>#REF!</v>
      </c>
      <c r="IS112" t="e">
        <f>AND(Bills!M404,"AAAAAD3/s/w=")</f>
        <v>#VALUE!</v>
      </c>
      <c r="IT112" t="e">
        <f>AND(Bills!N404,"AAAAAD3/s/0=")</f>
        <v>#VALUE!</v>
      </c>
      <c r="IU112" t="e">
        <f>AND(Bills!O404,"AAAAAD3/s/4=")</f>
        <v>#VALUE!</v>
      </c>
      <c r="IV112" t="e">
        <f>AND(Bills!P404,"AAAAAD3/s/8=")</f>
        <v>#VALUE!</v>
      </c>
    </row>
    <row r="113" spans="1:256" x14ac:dyDescent="0.25">
      <c r="A113" t="e">
        <f>AND(Bills!Q404,"AAAAAF9/7wA=")</f>
        <v>#VALUE!</v>
      </c>
      <c r="B113" t="e">
        <f>AND(Bills!R404,"AAAAAF9/7wE=")</f>
        <v>#VALUE!</v>
      </c>
      <c r="C113" t="e">
        <f>AND(Bills!S404,"AAAAAF9/7wI=")</f>
        <v>#VALUE!</v>
      </c>
      <c r="D113" t="e">
        <f>AND(Bills!T404,"AAAAAF9/7wM=")</f>
        <v>#VALUE!</v>
      </c>
      <c r="E113" t="e">
        <f>AND(Bills!#REF!,"AAAAAF9/7wQ=")</f>
        <v>#REF!</v>
      </c>
      <c r="F113" t="e">
        <f>AND(Bills!U404,"AAAAAF9/7wU=")</f>
        <v>#VALUE!</v>
      </c>
      <c r="G113" t="e">
        <f>AND(Bills!V404,"AAAAAF9/7wY=")</f>
        <v>#VALUE!</v>
      </c>
      <c r="H113" t="e">
        <f>AND(Bills!W404,"AAAAAF9/7wc=")</f>
        <v>#VALUE!</v>
      </c>
      <c r="I113" t="e">
        <f>AND(Bills!#REF!,"AAAAAF9/7wg=")</f>
        <v>#REF!</v>
      </c>
      <c r="J113" t="e">
        <f>AND(Bills!#REF!,"AAAAAF9/7wk=")</f>
        <v>#REF!</v>
      </c>
      <c r="K113" t="e">
        <f>AND(Bills!Y404,"AAAAAF9/7wo=")</f>
        <v>#VALUE!</v>
      </c>
      <c r="L113" t="e">
        <f>AND(Bills!Z404,"AAAAAF9/7ws=")</f>
        <v>#VALUE!</v>
      </c>
      <c r="M113" t="e">
        <f>AND(Bills!#REF!,"AAAAAF9/7ww=")</f>
        <v>#REF!</v>
      </c>
      <c r="N113" t="e">
        <f>AND(Bills!#REF!,"AAAAAF9/7w0=")</f>
        <v>#REF!</v>
      </c>
      <c r="O113" t="e">
        <f>AND(Bills!#REF!,"AAAAAF9/7w4=")</f>
        <v>#REF!</v>
      </c>
      <c r="P113" t="e">
        <f>AND(Bills!#REF!,"AAAAAF9/7w8=")</f>
        <v>#REF!</v>
      </c>
      <c r="Q113" t="e">
        <f>AND(Bills!#REF!,"AAAAAF9/7xA=")</f>
        <v>#REF!</v>
      </c>
      <c r="R113" t="e">
        <f>AND(Bills!#REF!,"AAAAAF9/7xE=")</f>
        <v>#REF!</v>
      </c>
      <c r="S113" t="e">
        <f>AND(Bills!#REF!,"AAAAAF9/7xI=")</f>
        <v>#REF!</v>
      </c>
      <c r="T113" t="e">
        <f>AND(Bills!#REF!,"AAAAAF9/7xM=")</f>
        <v>#REF!</v>
      </c>
      <c r="U113" t="e">
        <f>AND(Bills!#REF!,"AAAAAF9/7xQ=")</f>
        <v>#REF!</v>
      </c>
      <c r="V113" t="e">
        <f>AND(Bills!AA404,"AAAAAF9/7xU=")</f>
        <v>#VALUE!</v>
      </c>
      <c r="W113" t="e">
        <f>AND(Bills!AB404,"AAAAAF9/7xY=")</f>
        <v>#VALUE!</v>
      </c>
      <c r="X113" t="e">
        <f>AND(Bills!#REF!,"AAAAAF9/7xc=")</f>
        <v>#REF!</v>
      </c>
      <c r="Y113" t="e">
        <f>AND(Bills!#REF!,"AAAAAF9/7xg=")</f>
        <v>#REF!</v>
      </c>
      <c r="Z113" t="e">
        <f>AND(Bills!#REF!,"AAAAAF9/7xk=")</f>
        <v>#REF!</v>
      </c>
      <c r="AA113" t="e">
        <f>AND(Bills!AC404,"AAAAAF9/7xo=")</f>
        <v>#VALUE!</v>
      </c>
      <c r="AB113" t="e">
        <f>AND(Bills!AD404,"AAAAAF9/7xs=")</f>
        <v>#VALUE!</v>
      </c>
      <c r="AC113" t="e">
        <f>AND(Bills!AE404,"AAAAAF9/7xw=")</f>
        <v>#VALUE!</v>
      </c>
      <c r="AD113">
        <f>IF(Bills!405:405,"AAAAAF9/7x0=",0)</f>
        <v>0</v>
      </c>
      <c r="AE113" t="e">
        <f>AND(Bills!B405,"AAAAAF9/7x4=")</f>
        <v>#VALUE!</v>
      </c>
      <c r="AF113" t="e">
        <f>AND(Bills!#REF!,"AAAAAF9/7x8=")</f>
        <v>#REF!</v>
      </c>
      <c r="AG113" t="e">
        <f>AND(Bills!C405,"AAAAAF9/7yA=")</f>
        <v>#VALUE!</v>
      </c>
      <c r="AH113" t="e">
        <f>AND(Bills!D405,"AAAAAF9/7yE=")</f>
        <v>#VALUE!</v>
      </c>
      <c r="AI113" t="e">
        <f>AND(Bills!E405,"AAAAAF9/7yI=")</f>
        <v>#VALUE!</v>
      </c>
      <c r="AJ113" t="e">
        <f>AND(Bills!#REF!,"AAAAAF9/7yM=")</f>
        <v>#REF!</v>
      </c>
      <c r="AK113" t="e">
        <f>AND(Bills!#REF!,"AAAAAF9/7yQ=")</f>
        <v>#REF!</v>
      </c>
      <c r="AL113" t="e">
        <f>AND(Bills!#REF!,"AAAAAF9/7yU=")</f>
        <v>#REF!</v>
      </c>
      <c r="AM113" t="e">
        <f>AND(Bills!F405,"AAAAAF9/7yY=")</f>
        <v>#VALUE!</v>
      </c>
      <c r="AN113" t="e">
        <f>AND(Bills!#REF!,"AAAAAF9/7yc=")</f>
        <v>#REF!</v>
      </c>
      <c r="AO113" t="e">
        <f>AND(Bills!G405,"AAAAAF9/7yg=")</f>
        <v>#VALUE!</v>
      </c>
      <c r="AP113" t="e">
        <f>AND(Bills!H405,"AAAAAF9/7yk=")</f>
        <v>#VALUE!</v>
      </c>
      <c r="AQ113" t="e">
        <f>AND(Bills!I405,"AAAAAF9/7yo=")</f>
        <v>#VALUE!</v>
      </c>
      <c r="AR113" t="e">
        <f>AND(Bills!J405,"AAAAAF9/7ys=")</f>
        <v>#VALUE!</v>
      </c>
      <c r="AS113" t="e">
        <f>AND(Bills!K405,"AAAAAF9/7yw=")</f>
        <v>#VALUE!</v>
      </c>
      <c r="AT113" t="e">
        <f>AND(Bills!L405,"AAAAAF9/7y0=")</f>
        <v>#VALUE!</v>
      </c>
      <c r="AU113" t="e">
        <f>AND(Bills!#REF!,"AAAAAF9/7y4=")</f>
        <v>#REF!</v>
      </c>
      <c r="AV113" t="e">
        <f>AND(Bills!M405,"AAAAAF9/7y8=")</f>
        <v>#VALUE!</v>
      </c>
      <c r="AW113" t="e">
        <f>AND(Bills!N405,"AAAAAF9/7zA=")</f>
        <v>#VALUE!</v>
      </c>
      <c r="AX113" t="e">
        <f>AND(Bills!O405,"AAAAAF9/7zE=")</f>
        <v>#VALUE!</v>
      </c>
      <c r="AY113" t="e">
        <f>AND(Bills!P405,"AAAAAF9/7zI=")</f>
        <v>#VALUE!</v>
      </c>
      <c r="AZ113" t="e">
        <f>AND(Bills!Q405,"AAAAAF9/7zM=")</f>
        <v>#VALUE!</v>
      </c>
      <c r="BA113" t="e">
        <f>AND(Bills!R405,"AAAAAF9/7zQ=")</f>
        <v>#VALUE!</v>
      </c>
      <c r="BB113" t="e">
        <f>AND(Bills!S405,"AAAAAF9/7zU=")</f>
        <v>#VALUE!</v>
      </c>
      <c r="BC113" t="e">
        <f>AND(Bills!T405,"AAAAAF9/7zY=")</f>
        <v>#VALUE!</v>
      </c>
      <c r="BD113" t="e">
        <f>AND(Bills!#REF!,"AAAAAF9/7zc=")</f>
        <v>#REF!</v>
      </c>
      <c r="BE113" t="e">
        <f>AND(Bills!U405,"AAAAAF9/7zg=")</f>
        <v>#VALUE!</v>
      </c>
      <c r="BF113" t="e">
        <f>AND(Bills!V405,"AAAAAF9/7zk=")</f>
        <v>#VALUE!</v>
      </c>
      <c r="BG113" t="e">
        <f>AND(Bills!W405,"AAAAAF9/7zo=")</f>
        <v>#VALUE!</v>
      </c>
      <c r="BH113" t="e">
        <f>AND(Bills!#REF!,"AAAAAF9/7zs=")</f>
        <v>#REF!</v>
      </c>
      <c r="BI113" t="e">
        <f>AND(Bills!#REF!,"AAAAAF9/7zw=")</f>
        <v>#REF!</v>
      </c>
      <c r="BJ113" t="e">
        <f>AND(Bills!Y405,"AAAAAF9/7z0=")</f>
        <v>#VALUE!</v>
      </c>
      <c r="BK113" t="e">
        <f>AND(Bills!Z405,"AAAAAF9/7z4=")</f>
        <v>#VALUE!</v>
      </c>
      <c r="BL113" t="e">
        <f>AND(Bills!#REF!,"AAAAAF9/7z8=")</f>
        <v>#REF!</v>
      </c>
      <c r="BM113" t="e">
        <f>AND(Bills!#REF!,"AAAAAF9/70A=")</f>
        <v>#REF!</v>
      </c>
      <c r="BN113" t="e">
        <f>AND(Bills!#REF!,"AAAAAF9/70E=")</f>
        <v>#REF!</v>
      </c>
      <c r="BO113" t="e">
        <f>AND(Bills!#REF!,"AAAAAF9/70I=")</f>
        <v>#REF!</v>
      </c>
      <c r="BP113" t="e">
        <f>AND(Bills!#REF!,"AAAAAF9/70M=")</f>
        <v>#REF!</v>
      </c>
      <c r="BQ113" t="e">
        <f>AND(Bills!#REF!,"AAAAAF9/70Q=")</f>
        <v>#REF!</v>
      </c>
      <c r="BR113" t="e">
        <f>AND(Bills!#REF!,"AAAAAF9/70U=")</f>
        <v>#REF!</v>
      </c>
      <c r="BS113" t="e">
        <f>AND(Bills!#REF!,"AAAAAF9/70Y=")</f>
        <v>#REF!</v>
      </c>
      <c r="BT113" t="e">
        <f>AND(Bills!#REF!,"AAAAAF9/70c=")</f>
        <v>#REF!</v>
      </c>
      <c r="BU113" t="e">
        <f>AND(Bills!AA405,"AAAAAF9/70g=")</f>
        <v>#VALUE!</v>
      </c>
      <c r="BV113" t="e">
        <f>AND(Bills!AB405,"AAAAAF9/70k=")</f>
        <v>#VALUE!</v>
      </c>
      <c r="BW113" t="e">
        <f>AND(Bills!#REF!,"AAAAAF9/70o=")</f>
        <v>#REF!</v>
      </c>
      <c r="BX113" t="e">
        <f>AND(Bills!#REF!,"AAAAAF9/70s=")</f>
        <v>#REF!</v>
      </c>
      <c r="BY113" t="e">
        <f>AND(Bills!#REF!,"AAAAAF9/70w=")</f>
        <v>#REF!</v>
      </c>
      <c r="BZ113" t="e">
        <f>AND(Bills!AC405,"AAAAAF9/700=")</f>
        <v>#VALUE!</v>
      </c>
      <c r="CA113" t="e">
        <f>AND(Bills!AD405,"AAAAAF9/704=")</f>
        <v>#VALUE!</v>
      </c>
      <c r="CB113" t="e">
        <f>AND(Bills!AE405,"AAAAAF9/708=")</f>
        <v>#VALUE!</v>
      </c>
      <c r="CC113">
        <f>IF(Bills!406:406,"AAAAAF9/71A=",0)</f>
        <v>0</v>
      </c>
      <c r="CD113" t="e">
        <f>AND(Bills!B406,"AAAAAF9/71E=")</f>
        <v>#VALUE!</v>
      </c>
      <c r="CE113" t="e">
        <f>AND(Bills!#REF!,"AAAAAF9/71I=")</f>
        <v>#REF!</v>
      </c>
      <c r="CF113" t="e">
        <f>AND(Bills!C406,"AAAAAF9/71M=")</f>
        <v>#VALUE!</v>
      </c>
      <c r="CG113" t="e">
        <f>AND(Bills!D406,"AAAAAF9/71Q=")</f>
        <v>#VALUE!</v>
      </c>
      <c r="CH113" t="e">
        <f>AND(Bills!E406,"AAAAAF9/71U=")</f>
        <v>#VALUE!</v>
      </c>
      <c r="CI113" t="e">
        <f>AND(Bills!#REF!,"AAAAAF9/71Y=")</f>
        <v>#REF!</v>
      </c>
      <c r="CJ113" t="e">
        <f>AND(Bills!#REF!,"AAAAAF9/71c=")</f>
        <v>#REF!</v>
      </c>
      <c r="CK113" t="e">
        <f>AND(Bills!#REF!,"AAAAAF9/71g=")</f>
        <v>#REF!</v>
      </c>
      <c r="CL113" t="e">
        <f>AND(Bills!F406,"AAAAAF9/71k=")</f>
        <v>#VALUE!</v>
      </c>
      <c r="CM113" t="e">
        <f>AND(Bills!#REF!,"AAAAAF9/71o=")</f>
        <v>#REF!</v>
      </c>
      <c r="CN113" t="e">
        <f>AND(Bills!G406,"AAAAAF9/71s=")</f>
        <v>#VALUE!</v>
      </c>
      <c r="CO113" t="e">
        <f>AND(Bills!H406,"AAAAAF9/71w=")</f>
        <v>#VALUE!</v>
      </c>
      <c r="CP113" t="e">
        <f>AND(Bills!I406,"AAAAAF9/710=")</f>
        <v>#VALUE!</v>
      </c>
      <c r="CQ113" t="e">
        <f>AND(Bills!J406,"AAAAAF9/714=")</f>
        <v>#VALUE!</v>
      </c>
      <c r="CR113" t="e">
        <f>AND(Bills!K406,"AAAAAF9/718=")</f>
        <v>#VALUE!</v>
      </c>
      <c r="CS113" t="e">
        <f>AND(Bills!L406,"AAAAAF9/72A=")</f>
        <v>#VALUE!</v>
      </c>
      <c r="CT113" t="e">
        <f>AND(Bills!#REF!,"AAAAAF9/72E=")</f>
        <v>#REF!</v>
      </c>
      <c r="CU113" t="e">
        <f>AND(Bills!M406,"AAAAAF9/72I=")</f>
        <v>#VALUE!</v>
      </c>
      <c r="CV113" t="e">
        <f>AND(Bills!N406,"AAAAAF9/72M=")</f>
        <v>#VALUE!</v>
      </c>
      <c r="CW113" t="e">
        <f>AND(Bills!O406,"AAAAAF9/72Q=")</f>
        <v>#VALUE!</v>
      </c>
      <c r="CX113" t="e">
        <f>AND(Bills!P406,"AAAAAF9/72U=")</f>
        <v>#VALUE!</v>
      </c>
      <c r="CY113" t="e">
        <f>AND(Bills!Q406,"AAAAAF9/72Y=")</f>
        <v>#VALUE!</v>
      </c>
      <c r="CZ113" t="e">
        <f>AND(Bills!R406,"AAAAAF9/72c=")</f>
        <v>#VALUE!</v>
      </c>
      <c r="DA113" t="e">
        <f>AND(Bills!S406,"AAAAAF9/72g=")</f>
        <v>#VALUE!</v>
      </c>
      <c r="DB113" t="e">
        <f>AND(Bills!T406,"AAAAAF9/72k=")</f>
        <v>#VALUE!</v>
      </c>
      <c r="DC113" t="e">
        <f>AND(Bills!#REF!,"AAAAAF9/72o=")</f>
        <v>#REF!</v>
      </c>
      <c r="DD113" t="e">
        <f>AND(Bills!U406,"AAAAAF9/72s=")</f>
        <v>#VALUE!</v>
      </c>
      <c r="DE113" t="e">
        <f>AND(Bills!V406,"AAAAAF9/72w=")</f>
        <v>#VALUE!</v>
      </c>
      <c r="DF113" t="e">
        <f>AND(Bills!W406,"AAAAAF9/720=")</f>
        <v>#VALUE!</v>
      </c>
      <c r="DG113" t="e">
        <f>AND(Bills!#REF!,"AAAAAF9/724=")</f>
        <v>#REF!</v>
      </c>
      <c r="DH113" t="e">
        <f>AND(Bills!#REF!,"AAAAAF9/728=")</f>
        <v>#REF!</v>
      </c>
      <c r="DI113" t="e">
        <f>AND(Bills!Y406,"AAAAAF9/73A=")</f>
        <v>#VALUE!</v>
      </c>
      <c r="DJ113" t="e">
        <f>AND(Bills!Z406,"AAAAAF9/73E=")</f>
        <v>#VALUE!</v>
      </c>
      <c r="DK113" t="e">
        <f>AND(Bills!#REF!,"AAAAAF9/73I=")</f>
        <v>#REF!</v>
      </c>
      <c r="DL113" t="e">
        <f>AND(Bills!#REF!,"AAAAAF9/73M=")</f>
        <v>#REF!</v>
      </c>
      <c r="DM113" t="e">
        <f>AND(Bills!#REF!,"AAAAAF9/73Q=")</f>
        <v>#REF!</v>
      </c>
      <c r="DN113" t="e">
        <f>AND(Bills!#REF!,"AAAAAF9/73U=")</f>
        <v>#REF!</v>
      </c>
      <c r="DO113" t="e">
        <f>AND(Bills!#REF!,"AAAAAF9/73Y=")</f>
        <v>#REF!</v>
      </c>
      <c r="DP113" t="e">
        <f>AND(Bills!#REF!,"AAAAAF9/73c=")</f>
        <v>#REF!</v>
      </c>
      <c r="DQ113" t="e">
        <f>AND(Bills!#REF!,"AAAAAF9/73g=")</f>
        <v>#REF!</v>
      </c>
      <c r="DR113" t="e">
        <f>AND(Bills!#REF!,"AAAAAF9/73k=")</f>
        <v>#REF!</v>
      </c>
      <c r="DS113" t="e">
        <f>AND(Bills!#REF!,"AAAAAF9/73o=")</f>
        <v>#REF!</v>
      </c>
      <c r="DT113" t="e">
        <f>AND(Bills!AA406,"AAAAAF9/73s=")</f>
        <v>#VALUE!</v>
      </c>
      <c r="DU113" t="e">
        <f>AND(Bills!AB406,"AAAAAF9/73w=")</f>
        <v>#VALUE!</v>
      </c>
      <c r="DV113" t="e">
        <f>AND(Bills!#REF!,"AAAAAF9/730=")</f>
        <v>#REF!</v>
      </c>
      <c r="DW113" t="e">
        <f>AND(Bills!#REF!,"AAAAAF9/734=")</f>
        <v>#REF!</v>
      </c>
      <c r="DX113" t="e">
        <f>AND(Bills!#REF!,"AAAAAF9/738=")</f>
        <v>#REF!</v>
      </c>
      <c r="DY113" t="e">
        <f>AND(Bills!AC406,"AAAAAF9/74A=")</f>
        <v>#VALUE!</v>
      </c>
      <c r="DZ113" t="e">
        <f>AND(Bills!AD406,"AAAAAF9/74E=")</f>
        <v>#VALUE!</v>
      </c>
      <c r="EA113" t="e">
        <f>AND(Bills!AE406,"AAAAAF9/74I=")</f>
        <v>#VALUE!</v>
      </c>
      <c r="EB113">
        <f>IF(Bills!407:407,"AAAAAF9/74M=",0)</f>
        <v>0</v>
      </c>
      <c r="EC113" t="e">
        <f>AND(Bills!B407,"AAAAAF9/74Q=")</f>
        <v>#VALUE!</v>
      </c>
      <c r="ED113" t="e">
        <f>AND(Bills!#REF!,"AAAAAF9/74U=")</f>
        <v>#REF!</v>
      </c>
      <c r="EE113" t="e">
        <f>AND(Bills!C407,"AAAAAF9/74Y=")</f>
        <v>#VALUE!</v>
      </c>
      <c r="EF113" t="e">
        <f>AND(Bills!D407,"AAAAAF9/74c=")</f>
        <v>#VALUE!</v>
      </c>
      <c r="EG113" t="e">
        <f>AND(Bills!E407,"AAAAAF9/74g=")</f>
        <v>#VALUE!</v>
      </c>
      <c r="EH113" t="e">
        <f>AND(Bills!#REF!,"AAAAAF9/74k=")</f>
        <v>#REF!</v>
      </c>
      <c r="EI113" t="e">
        <f>AND(Bills!#REF!,"AAAAAF9/74o=")</f>
        <v>#REF!</v>
      </c>
      <c r="EJ113" t="e">
        <f>AND(Bills!#REF!,"AAAAAF9/74s=")</f>
        <v>#REF!</v>
      </c>
      <c r="EK113" t="e">
        <f>AND(Bills!F407,"AAAAAF9/74w=")</f>
        <v>#VALUE!</v>
      </c>
      <c r="EL113" t="e">
        <f>AND(Bills!#REF!,"AAAAAF9/740=")</f>
        <v>#REF!</v>
      </c>
      <c r="EM113" t="e">
        <f>AND(Bills!G407,"AAAAAF9/744=")</f>
        <v>#VALUE!</v>
      </c>
      <c r="EN113" t="e">
        <f>AND(Bills!H407,"AAAAAF9/748=")</f>
        <v>#VALUE!</v>
      </c>
      <c r="EO113" t="e">
        <f>AND(Bills!I407,"AAAAAF9/75A=")</f>
        <v>#VALUE!</v>
      </c>
      <c r="EP113" t="e">
        <f>AND(Bills!J407,"AAAAAF9/75E=")</f>
        <v>#VALUE!</v>
      </c>
      <c r="EQ113" t="e">
        <f>AND(Bills!K407,"AAAAAF9/75I=")</f>
        <v>#VALUE!</v>
      </c>
      <c r="ER113" t="e">
        <f>AND(Bills!L407,"AAAAAF9/75M=")</f>
        <v>#VALUE!</v>
      </c>
      <c r="ES113" t="e">
        <f>AND(Bills!#REF!,"AAAAAF9/75Q=")</f>
        <v>#REF!</v>
      </c>
      <c r="ET113" t="e">
        <f>AND(Bills!M407,"AAAAAF9/75U=")</f>
        <v>#VALUE!</v>
      </c>
      <c r="EU113" t="e">
        <f>AND(Bills!N407,"AAAAAF9/75Y=")</f>
        <v>#VALUE!</v>
      </c>
      <c r="EV113" t="e">
        <f>AND(Bills!O407,"AAAAAF9/75c=")</f>
        <v>#VALUE!</v>
      </c>
      <c r="EW113" t="e">
        <f>AND(Bills!P407,"AAAAAF9/75g=")</f>
        <v>#VALUE!</v>
      </c>
      <c r="EX113" t="e">
        <f>AND(Bills!Q407,"AAAAAF9/75k=")</f>
        <v>#VALUE!</v>
      </c>
      <c r="EY113" t="e">
        <f>AND(Bills!R407,"AAAAAF9/75o=")</f>
        <v>#VALUE!</v>
      </c>
      <c r="EZ113" t="e">
        <f>AND(Bills!S407,"AAAAAF9/75s=")</f>
        <v>#VALUE!</v>
      </c>
      <c r="FA113" t="e">
        <f>AND(Bills!T407,"AAAAAF9/75w=")</f>
        <v>#VALUE!</v>
      </c>
      <c r="FB113" t="e">
        <f>AND(Bills!#REF!,"AAAAAF9/750=")</f>
        <v>#REF!</v>
      </c>
      <c r="FC113" t="e">
        <f>AND(Bills!U407,"AAAAAF9/754=")</f>
        <v>#VALUE!</v>
      </c>
      <c r="FD113" t="e">
        <f>AND(Bills!V407,"AAAAAF9/758=")</f>
        <v>#VALUE!</v>
      </c>
      <c r="FE113" t="e">
        <f>AND(Bills!W407,"AAAAAF9/76A=")</f>
        <v>#VALUE!</v>
      </c>
      <c r="FF113" t="e">
        <f>AND(Bills!#REF!,"AAAAAF9/76E=")</f>
        <v>#REF!</v>
      </c>
      <c r="FG113" t="e">
        <f>AND(Bills!#REF!,"AAAAAF9/76I=")</f>
        <v>#REF!</v>
      </c>
      <c r="FH113" t="e">
        <f>AND(Bills!Y407,"AAAAAF9/76M=")</f>
        <v>#VALUE!</v>
      </c>
      <c r="FI113" t="e">
        <f>AND(Bills!Z407,"AAAAAF9/76Q=")</f>
        <v>#VALUE!</v>
      </c>
      <c r="FJ113" t="e">
        <f>AND(Bills!#REF!,"AAAAAF9/76U=")</f>
        <v>#REF!</v>
      </c>
      <c r="FK113" t="e">
        <f>AND(Bills!#REF!,"AAAAAF9/76Y=")</f>
        <v>#REF!</v>
      </c>
      <c r="FL113" t="e">
        <f>AND(Bills!#REF!,"AAAAAF9/76c=")</f>
        <v>#REF!</v>
      </c>
      <c r="FM113" t="e">
        <f>AND(Bills!#REF!,"AAAAAF9/76g=")</f>
        <v>#REF!</v>
      </c>
      <c r="FN113" t="e">
        <f>AND(Bills!#REF!,"AAAAAF9/76k=")</f>
        <v>#REF!</v>
      </c>
      <c r="FO113" t="e">
        <f>AND(Bills!#REF!,"AAAAAF9/76o=")</f>
        <v>#REF!</v>
      </c>
      <c r="FP113" t="e">
        <f>AND(Bills!#REF!,"AAAAAF9/76s=")</f>
        <v>#REF!</v>
      </c>
      <c r="FQ113" t="e">
        <f>AND(Bills!#REF!,"AAAAAF9/76w=")</f>
        <v>#REF!</v>
      </c>
      <c r="FR113" t="e">
        <f>AND(Bills!#REF!,"AAAAAF9/760=")</f>
        <v>#REF!</v>
      </c>
      <c r="FS113" t="e">
        <f>AND(Bills!AA407,"AAAAAF9/764=")</f>
        <v>#VALUE!</v>
      </c>
      <c r="FT113" t="e">
        <f>AND(Bills!AB407,"AAAAAF9/768=")</f>
        <v>#VALUE!</v>
      </c>
      <c r="FU113" t="e">
        <f>AND(Bills!#REF!,"AAAAAF9/77A=")</f>
        <v>#REF!</v>
      </c>
      <c r="FV113" t="e">
        <f>AND(Bills!#REF!,"AAAAAF9/77E=")</f>
        <v>#REF!</v>
      </c>
      <c r="FW113" t="e">
        <f>AND(Bills!#REF!,"AAAAAF9/77I=")</f>
        <v>#REF!</v>
      </c>
      <c r="FX113" t="e">
        <f>AND(Bills!AC407,"AAAAAF9/77M=")</f>
        <v>#VALUE!</v>
      </c>
      <c r="FY113" t="e">
        <f>AND(Bills!AD407,"AAAAAF9/77Q=")</f>
        <v>#VALUE!</v>
      </c>
      <c r="FZ113" t="e">
        <f>AND(Bills!AE407,"AAAAAF9/77U=")</f>
        <v>#VALUE!</v>
      </c>
      <c r="GA113">
        <f>IF(Bills!408:408,"AAAAAF9/77Y=",0)</f>
        <v>0</v>
      </c>
      <c r="GB113" t="e">
        <f>AND(Bills!B408,"AAAAAF9/77c=")</f>
        <v>#VALUE!</v>
      </c>
      <c r="GC113" t="e">
        <f>AND(Bills!#REF!,"AAAAAF9/77g=")</f>
        <v>#REF!</v>
      </c>
      <c r="GD113" t="e">
        <f>AND(Bills!C408,"AAAAAF9/77k=")</f>
        <v>#VALUE!</v>
      </c>
      <c r="GE113" t="e">
        <f>AND(Bills!D408,"AAAAAF9/77o=")</f>
        <v>#VALUE!</v>
      </c>
      <c r="GF113" t="e">
        <f>AND(Bills!E408,"AAAAAF9/77s=")</f>
        <v>#VALUE!</v>
      </c>
      <c r="GG113" t="e">
        <f>AND(Bills!#REF!,"AAAAAF9/77w=")</f>
        <v>#REF!</v>
      </c>
      <c r="GH113" t="e">
        <f>AND(Bills!#REF!,"AAAAAF9/770=")</f>
        <v>#REF!</v>
      </c>
      <c r="GI113" t="e">
        <f>AND(Bills!#REF!,"AAAAAF9/774=")</f>
        <v>#REF!</v>
      </c>
      <c r="GJ113" t="e">
        <f>AND(Bills!F408,"AAAAAF9/778=")</f>
        <v>#VALUE!</v>
      </c>
      <c r="GK113" t="e">
        <f>AND(Bills!#REF!,"AAAAAF9/78A=")</f>
        <v>#REF!</v>
      </c>
      <c r="GL113" t="e">
        <f>AND(Bills!G408,"AAAAAF9/78E=")</f>
        <v>#VALUE!</v>
      </c>
      <c r="GM113" t="e">
        <f>AND(Bills!H408,"AAAAAF9/78I=")</f>
        <v>#VALUE!</v>
      </c>
      <c r="GN113" t="e">
        <f>AND(Bills!I408,"AAAAAF9/78M=")</f>
        <v>#VALUE!</v>
      </c>
      <c r="GO113" t="e">
        <f>AND(Bills!J408,"AAAAAF9/78Q=")</f>
        <v>#VALUE!</v>
      </c>
      <c r="GP113" t="e">
        <f>AND(Bills!K408,"AAAAAF9/78U=")</f>
        <v>#VALUE!</v>
      </c>
      <c r="GQ113" t="e">
        <f>AND(Bills!L408,"AAAAAF9/78Y=")</f>
        <v>#VALUE!</v>
      </c>
      <c r="GR113" t="e">
        <f>AND(Bills!#REF!,"AAAAAF9/78c=")</f>
        <v>#REF!</v>
      </c>
      <c r="GS113" t="e">
        <f>AND(Bills!M408,"AAAAAF9/78g=")</f>
        <v>#VALUE!</v>
      </c>
      <c r="GT113" t="e">
        <f>AND(Bills!N408,"AAAAAF9/78k=")</f>
        <v>#VALUE!</v>
      </c>
      <c r="GU113" t="e">
        <f>AND(Bills!O408,"AAAAAF9/78o=")</f>
        <v>#VALUE!</v>
      </c>
      <c r="GV113" t="e">
        <f>AND(Bills!P408,"AAAAAF9/78s=")</f>
        <v>#VALUE!</v>
      </c>
      <c r="GW113" t="e">
        <f>AND(Bills!Q408,"AAAAAF9/78w=")</f>
        <v>#VALUE!</v>
      </c>
      <c r="GX113" t="e">
        <f>AND(Bills!R408,"AAAAAF9/780=")</f>
        <v>#VALUE!</v>
      </c>
      <c r="GY113" t="e">
        <f>AND(Bills!S408,"AAAAAF9/784=")</f>
        <v>#VALUE!</v>
      </c>
      <c r="GZ113" t="e">
        <f>AND(Bills!T408,"AAAAAF9/788=")</f>
        <v>#VALUE!</v>
      </c>
      <c r="HA113" t="e">
        <f>AND(Bills!#REF!,"AAAAAF9/79A=")</f>
        <v>#REF!</v>
      </c>
      <c r="HB113" t="e">
        <f>AND(Bills!U408,"AAAAAF9/79E=")</f>
        <v>#VALUE!</v>
      </c>
      <c r="HC113" t="e">
        <f>AND(Bills!V408,"AAAAAF9/79I=")</f>
        <v>#VALUE!</v>
      </c>
      <c r="HD113" t="e">
        <f>AND(Bills!W408,"AAAAAF9/79M=")</f>
        <v>#VALUE!</v>
      </c>
      <c r="HE113" t="e">
        <f>AND(Bills!#REF!,"AAAAAF9/79Q=")</f>
        <v>#REF!</v>
      </c>
      <c r="HF113" t="e">
        <f>AND(Bills!#REF!,"AAAAAF9/79U=")</f>
        <v>#REF!</v>
      </c>
      <c r="HG113" t="e">
        <f>AND(Bills!Y408,"AAAAAF9/79Y=")</f>
        <v>#VALUE!</v>
      </c>
      <c r="HH113" t="e">
        <f>AND(Bills!Z408,"AAAAAF9/79c=")</f>
        <v>#VALUE!</v>
      </c>
      <c r="HI113" t="e">
        <f>AND(Bills!#REF!,"AAAAAF9/79g=")</f>
        <v>#REF!</v>
      </c>
      <c r="HJ113" t="e">
        <f>AND(Bills!#REF!,"AAAAAF9/79k=")</f>
        <v>#REF!</v>
      </c>
      <c r="HK113" t="e">
        <f>AND(Bills!#REF!,"AAAAAF9/79o=")</f>
        <v>#REF!</v>
      </c>
      <c r="HL113" t="e">
        <f>AND(Bills!#REF!,"AAAAAF9/79s=")</f>
        <v>#REF!</v>
      </c>
      <c r="HM113" t="e">
        <f>AND(Bills!#REF!,"AAAAAF9/79w=")</f>
        <v>#REF!</v>
      </c>
      <c r="HN113" t="e">
        <f>AND(Bills!#REF!,"AAAAAF9/790=")</f>
        <v>#REF!</v>
      </c>
      <c r="HO113" t="e">
        <f>AND(Bills!#REF!,"AAAAAF9/794=")</f>
        <v>#REF!</v>
      </c>
      <c r="HP113" t="e">
        <f>AND(Bills!#REF!,"AAAAAF9/798=")</f>
        <v>#REF!</v>
      </c>
      <c r="HQ113" t="e">
        <f>AND(Bills!#REF!,"AAAAAF9/7+A=")</f>
        <v>#REF!</v>
      </c>
      <c r="HR113" t="e">
        <f>AND(Bills!AA408,"AAAAAF9/7+E=")</f>
        <v>#VALUE!</v>
      </c>
      <c r="HS113" t="e">
        <f>AND(Bills!AB408,"AAAAAF9/7+I=")</f>
        <v>#VALUE!</v>
      </c>
      <c r="HT113" t="e">
        <f>AND(Bills!#REF!,"AAAAAF9/7+M=")</f>
        <v>#REF!</v>
      </c>
      <c r="HU113" t="e">
        <f>AND(Bills!#REF!,"AAAAAF9/7+Q=")</f>
        <v>#REF!</v>
      </c>
      <c r="HV113" t="e">
        <f>AND(Bills!#REF!,"AAAAAF9/7+U=")</f>
        <v>#REF!</v>
      </c>
      <c r="HW113" t="e">
        <f>AND(Bills!AC408,"AAAAAF9/7+Y=")</f>
        <v>#VALUE!</v>
      </c>
      <c r="HX113" t="e">
        <f>AND(Bills!AD408,"AAAAAF9/7+c=")</f>
        <v>#VALUE!</v>
      </c>
      <c r="HY113" t="e">
        <f>AND(Bills!AE408,"AAAAAF9/7+g=")</f>
        <v>#VALUE!</v>
      </c>
      <c r="HZ113">
        <f>IF(Bills!409:409,"AAAAAF9/7+k=",0)</f>
        <v>0</v>
      </c>
      <c r="IA113" t="e">
        <f>AND(Bills!B409,"AAAAAF9/7+o=")</f>
        <v>#VALUE!</v>
      </c>
      <c r="IB113" t="e">
        <f>AND(Bills!#REF!,"AAAAAF9/7+s=")</f>
        <v>#REF!</v>
      </c>
      <c r="IC113" t="e">
        <f>AND(Bills!C409,"AAAAAF9/7+w=")</f>
        <v>#VALUE!</v>
      </c>
      <c r="ID113" t="e">
        <f>AND(Bills!D409,"AAAAAF9/7+0=")</f>
        <v>#VALUE!</v>
      </c>
      <c r="IE113" t="e">
        <f>AND(Bills!E409,"AAAAAF9/7+4=")</f>
        <v>#VALUE!</v>
      </c>
      <c r="IF113" t="e">
        <f>AND(Bills!#REF!,"AAAAAF9/7+8=")</f>
        <v>#REF!</v>
      </c>
      <c r="IG113" t="e">
        <f>AND(Bills!#REF!,"AAAAAF9/7/A=")</f>
        <v>#REF!</v>
      </c>
      <c r="IH113" t="e">
        <f>AND(Bills!#REF!,"AAAAAF9/7/E=")</f>
        <v>#REF!</v>
      </c>
      <c r="II113" t="e">
        <f>AND(Bills!F409,"AAAAAF9/7/I=")</f>
        <v>#VALUE!</v>
      </c>
      <c r="IJ113" t="e">
        <f>AND(Bills!#REF!,"AAAAAF9/7/M=")</f>
        <v>#REF!</v>
      </c>
      <c r="IK113" t="e">
        <f>AND(Bills!G409,"AAAAAF9/7/Q=")</f>
        <v>#VALUE!</v>
      </c>
      <c r="IL113" t="e">
        <f>AND(Bills!H409,"AAAAAF9/7/U=")</f>
        <v>#VALUE!</v>
      </c>
      <c r="IM113" t="e">
        <f>AND(Bills!I409,"AAAAAF9/7/Y=")</f>
        <v>#VALUE!</v>
      </c>
      <c r="IN113" t="e">
        <f>AND(Bills!J409,"AAAAAF9/7/c=")</f>
        <v>#VALUE!</v>
      </c>
      <c r="IO113" t="e">
        <f>AND(Bills!K409,"AAAAAF9/7/g=")</f>
        <v>#VALUE!</v>
      </c>
      <c r="IP113" t="e">
        <f>AND(Bills!L409,"AAAAAF9/7/k=")</f>
        <v>#VALUE!</v>
      </c>
      <c r="IQ113" t="e">
        <f>AND(Bills!#REF!,"AAAAAF9/7/o=")</f>
        <v>#REF!</v>
      </c>
      <c r="IR113" t="e">
        <f>AND(Bills!M409,"AAAAAF9/7/s=")</f>
        <v>#VALUE!</v>
      </c>
      <c r="IS113" t="e">
        <f>AND(Bills!N409,"AAAAAF9/7/w=")</f>
        <v>#VALUE!</v>
      </c>
      <c r="IT113" t="e">
        <f>AND(Bills!O409,"AAAAAF9/7/0=")</f>
        <v>#VALUE!</v>
      </c>
      <c r="IU113" t="e">
        <f>AND(Bills!P409,"AAAAAF9/7/4=")</f>
        <v>#VALUE!</v>
      </c>
      <c r="IV113" t="e">
        <f>AND(Bills!Q409,"AAAAAF9/7/8=")</f>
        <v>#VALUE!</v>
      </c>
    </row>
    <row r="114" spans="1:256" x14ac:dyDescent="0.25">
      <c r="A114" t="e">
        <f>AND(Bills!R409,"AAAAAH886wA=")</f>
        <v>#VALUE!</v>
      </c>
      <c r="B114" t="e">
        <f>AND(Bills!S409,"AAAAAH886wE=")</f>
        <v>#VALUE!</v>
      </c>
      <c r="C114" t="e">
        <f>AND(Bills!T409,"AAAAAH886wI=")</f>
        <v>#VALUE!</v>
      </c>
      <c r="D114" t="e">
        <f>AND(Bills!#REF!,"AAAAAH886wM=")</f>
        <v>#REF!</v>
      </c>
      <c r="E114" t="e">
        <f>AND(Bills!U409,"AAAAAH886wQ=")</f>
        <v>#VALUE!</v>
      </c>
      <c r="F114" t="e">
        <f>AND(Bills!V409,"AAAAAH886wU=")</f>
        <v>#VALUE!</v>
      </c>
      <c r="G114" t="e">
        <f>AND(Bills!W409,"AAAAAH886wY=")</f>
        <v>#VALUE!</v>
      </c>
      <c r="H114" t="e">
        <f>AND(Bills!#REF!,"AAAAAH886wc=")</f>
        <v>#REF!</v>
      </c>
      <c r="I114" t="e">
        <f>AND(Bills!#REF!,"AAAAAH886wg=")</f>
        <v>#REF!</v>
      </c>
      <c r="J114" t="e">
        <f>AND(Bills!Y409,"AAAAAH886wk=")</f>
        <v>#VALUE!</v>
      </c>
      <c r="K114" t="e">
        <f>AND(Bills!Z409,"AAAAAH886wo=")</f>
        <v>#VALUE!</v>
      </c>
      <c r="L114" t="e">
        <f>AND(Bills!#REF!,"AAAAAH886ws=")</f>
        <v>#REF!</v>
      </c>
      <c r="M114" t="e">
        <f>AND(Bills!#REF!,"AAAAAH886ww=")</f>
        <v>#REF!</v>
      </c>
      <c r="N114" t="e">
        <f>AND(Bills!#REF!,"AAAAAH886w0=")</f>
        <v>#REF!</v>
      </c>
      <c r="O114" t="e">
        <f>AND(Bills!#REF!,"AAAAAH886w4=")</f>
        <v>#REF!</v>
      </c>
      <c r="P114" t="e">
        <f>AND(Bills!#REF!,"AAAAAH886w8=")</f>
        <v>#REF!</v>
      </c>
      <c r="Q114" t="e">
        <f>AND(Bills!#REF!,"AAAAAH886xA=")</f>
        <v>#REF!</v>
      </c>
      <c r="R114" t="e">
        <f>AND(Bills!#REF!,"AAAAAH886xE=")</f>
        <v>#REF!</v>
      </c>
      <c r="S114" t="e">
        <f>AND(Bills!#REF!,"AAAAAH886xI=")</f>
        <v>#REF!</v>
      </c>
      <c r="T114" t="e">
        <f>AND(Bills!#REF!,"AAAAAH886xM=")</f>
        <v>#REF!</v>
      </c>
      <c r="U114" t="e">
        <f>AND(Bills!AA409,"AAAAAH886xQ=")</f>
        <v>#VALUE!</v>
      </c>
      <c r="V114" t="e">
        <f>AND(Bills!AB409,"AAAAAH886xU=")</f>
        <v>#VALUE!</v>
      </c>
      <c r="W114" t="e">
        <f>AND(Bills!#REF!,"AAAAAH886xY=")</f>
        <v>#REF!</v>
      </c>
      <c r="X114" t="e">
        <f>AND(Bills!#REF!,"AAAAAH886xc=")</f>
        <v>#REF!</v>
      </c>
      <c r="Y114" t="e">
        <f>AND(Bills!#REF!,"AAAAAH886xg=")</f>
        <v>#REF!</v>
      </c>
      <c r="Z114" t="e">
        <f>AND(Bills!AC409,"AAAAAH886xk=")</f>
        <v>#VALUE!</v>
      </c>
      <c r="AA114" t="e">
        <f>AND(Bills!AD409,"AAAAAH886xo=")</f>
        <v>#VALUE!</v>
      </c>
      <c r="AB114" t="e">
        <f>AND(Bills!AE409,"AAAAAH886xs=")</f>
        <v>#VALUE!</v>
      </c>
      <c r="AC114">
        <f>IF(Bills!410:410,"AAAAAH886xw=",0)</f>
        <v>0</v>
      </c>
      <c r="AD114" t="e">
        <f>AND(Bills!B410,"AAAAAH886x0=")</f>
        <v>#VALUE!</v>
      </c>
      <c r="AE114" t="e">
        <f>AND(Bills!#REF!,"AAAAAH886x4=")</f>
        <v>#REF!</v>
      </c>
      <c r="AF114" t="e">
        <f>AND(Bills!C410,"AAAAAH886x8=")</f>
        <v>#VALUE!</v>
      </c>
      <c r="AG114" t="e">
        <f>AND(Bills!D410,"AAAAAH886yA=")</f>
        <v>#VALUE!</v>
      </c>
      <c r="AH114" t="e">
        <f>AND(Bills!E410,"AAAAAH886yE=")</f>
        <v>#VALUE!</v>
      </c>
      <c r="AI114" t="e">
        <f>AND(Bills!#REF!,"AAAAAH886yI=")</f>
        <v>#REF!</v>
      </c>
      <c r="AJ114" t="e">
        <f>AND(Bills!#REF!,"AAAAAH886yM=")</f>
        <v>#REF!</v>
      </c>
      <c r="AK114" t="e">
        <f>AND(Bills!#REF!,"AAAAAH886yQ=")</f>
        <v>#REF!</v>
      </c>
      <c r="AL114" t="e">
        <f>AND(Bills!F410,"AAAAAH886yU=")</f>
        <v>#VALUE!</v>
      </c>
      <c r="AM114" t="e">
        <f>AND(Bills!#REF!,"AAAAAH886yY=")</f>
        <v>#REF!</v>
      </c>
      <c r="AN114" t="e">
        <f>AND(Bills!G410,"AAAAAH886yc=")</f>
        <v>#VALUE!</v>
      </c>
      <c r="AO114" t="e">
        <f>AND(Bills!H410,"AAAAAH886yg=")</f>
        <v>#VALUE!</v>
      </c>
      <c r="AP114" t="e">
        <f>AND(Bills!I410,"AAAAAH886yk=")</f>
        <v>#VALUE!</v>
      </c>
      <c r="AQ114" t="e">
        <f>AND(Bills!J410,"AAAAAH886yo=")</f>
        <v>#VALUE!</v>
      </c>
      <c r="AR114" t="e">
        <f>AND(Bills!K410,"AAAAAH886ys=")</f>
        <v>#VALUE!</v>
      </c>
      <c r="AS114" t="e">
        <f>AND(Bills!L410,"AAAAAH886yw=")</f>
        <v>#VALUE!</v>
      </c>
      <c r="AT114" t="e">
        <f>AND(Bills!#REF!,"AAAAAH886y0=")</f>
        <v>#REF!</v>
      </c>
      <c r="AU114" t="e">
        <f>AND(Bills!M410,"AAAAAH886y4=")</f>
        <v>#VALUE!</v>
      </c>
      <c r="AV114" t="e">
        <f>AND(Bills!N410,"AAAAAH886y8=")</f>
        <v>#VALUE!</v>
      </c>
      <c r="AW114" t="e">
        <f>AND(Bills!O410,"AAAAAH886zA=")</f>
        <v>#VALUE!</v>
      </c>
      <c r="AX114" t="e">
        <f>AND(Bills!P410,"AAAAAH886zE=")</f>
        <v>#VALUE!</v>
      </c>
      <c r="AY114" t="e">
        <f>AND(Bills!Q410,"AAAAAH886zI=")</f>
        <v>#VALUE!</v>
      </c>
      <c r="AZ114" t="e">
        <f>AND(Bills!R410,"AAAAAH886zM=")</f>
        <v>#VALUE!</v>
      </c>
      <c r="BA114" t="e">
        <f>AND(Bills!S410,"AAAAAH886zQ=")</f>
        <v>#VALUE!</v>
      </c>
      <c r="BB114" t="e">
        <f>AND(Bills!T410,"AAAAAH886zU=")</f>
        <v>#VALUE!</v>
      </c>
      <c r="BC114" t="e">
        <f>AND(Bills!#REF!,"AAAAAH886zY=")</f>
        <v>#REF!</v>
      </c>
      <c r="BD114" t="e">
        <f>AND(Bills!U410,"AAAAAH886zc=")</f>
        <v>#VALUE!</v>
      </c>
      <c r="BE114" t="e">
        <f>AND(Bills!V410,"AAAAAH886zg=")</f>
        <v>#VALUE!</v>
      </c>
      <c r="BF114" t="e">
        <f>AND(Bills!W410,"AAAAAH886zk=")</f>
        <v>#VALUE!</v>
      </c>
      <c r="BG114" t="e">
        <f>AND(Bills!#REF!,"AAAAAH886zo=")</f>
        <v>#REF!</v>
      </c>
      <c r="BH114" t="e">
        <f>AND(Bills!#REF!,"AAAAAH886zs=")</f>
        <v>#REF!</v>
      </c>
      <c r="BI114" t="e">
        <f>AND(Bills!Y410,"AAAAAH886zw=")</f>
        <v>#VALUE!</v>
      </c>
      <c r="BJ114" t="e">
        <f>AND(Bills!Z410,"AAAAAH886z0=")</f>
        <v>#VALUE!</v>
      </c>
      <c r="BK114" t="e">
        <f>AND(Bills!#REF!,"AAAAAH886z4=")</f>
        <v>#REF!</v>
      </c>
      <c r="BL114" t="e">
        <f>AND(Bills!#REF!,"AAAAAH886z8=")</f>
        <v>#REF!</v>
      </c>
      <c r="BM114" t="e">
        <f>AND(Bills!#REF!,"AAAAAH8860A=")</f>
        <v>#REF!</v>
      </c>
      <c r="BN114" t="e">
        <f>AND(Bills!#REF!,"AAAAAH8860E=")</f>
        <v>#REF!</v>
      </c>
      <c r="BO114" t="e">
        <f>AND(Bills!#REF!,"AAAAAH8860I=")</f>
        <v>#REF!</v>
      </c>
      <c r="BP114" t="e">
        <f>AND(Bills!#REF!,"AAAAAH8860M=")</f>
        <v>#REF!</v>
      </c>
      <c r="BQ114" t="e">
        <f>AND(Bills!#REF!,"AAAAAH8860Q=")</f>
        <v>#REF!</v>
      </c>
      <c r="BR114" t="e">
        <f>AND(Bills!#REF!,"AAAAAH8860U=")</f>
        <v>#REF!</v>
      </c>
      <c r="BS114" t="e">
        <f>AND(Bills!#REF!,"AAAAAH8860Y=")</f>
        <v>#REF!</v>
      </c>
      <c r="BT114" t="e">
        <f>AND(Bills!AA410,"AAAAAH8860c=")</f>
        <v>#VALUE!</v>
      </c>
      <c r="BU114" t="e">
        <f>AND(Bills!AB410,"AAAAAH8860g=")</f>
        <v>#VALUE!</v>
      </c>
      <c r="BV114" t="e">
        <f>AND(Bills!#REF!,"AAAAAH8860k=")</f>
        <v>#REF!</v>
      </c>
      <c r="BW114" t="e">
        <f>AND(Bills!#REF!,"AAAAAH8860o=")</f>
        <v>#REF!</v>
      </c>
      <c r="BX114" t="e">
        <f>AND(Bills!#REF!,"AAAAAH8860s=")</f>
        <v>#REF!</v>
      </c>
      <c r="BY114" t="e">
        <f>AND(Bills!AC410,"AAAAAH8860w=")</f>
        <v>#VALUE!</v>
      </c>
      <c r="BZ114" t="e">
        <f>AND(Bills!AD410,"AAAAAH88600=")</f>
        <v>#VALUE!</v>
      </c>
      <c r="CA114" t="e">
        <f>AND(Bills!AE410,"AAAAAH88604=")</f>
        <v>#VALUE!</v>
      </c>
      <c r="CB114">
        <f>IF(Bills!411:411,"AAAAAH88608=",0)</f>
        <v>0</v>
      </c>
      <c r="CC114" t="e">
        <f>AND(Bills!B411,"AAAAAH8861A=")</f>
        <v>#VALUE!</v>
      </c>
      <c r="CD114" t="e">
        <f>AND(Bills!#REF!,"AAAAAH8861E=")</f>
        <v>#REF!</v>
      </c>
      <c r="CE114" t="e">
        <f>AND(Bills!C411,"AAAAAH8861I=")</f>
        <v>#VALUE!</v>
      </c>
      <c r="CF114" t="e">
        <f>AND(Bills!D411,"AAAAAH8861M=")</f>
        <v>#VALUE!</v>
      </c>
      <c r="CG114" t="e">
        <f>AND(Bills!E411,"AAAAAH8861Q=")</f>
        <v>#VALUE!</v>
      </c>
      <c r="CH114" t="e">
        <f>AND(Bills!#REF!,"AAAAAH8861U=")</f>
        <v>#REF!</v>
      </c>
      <c r="CI114" t="e">
        <f>AND(Bills!#REF!,"AAAAAH8861Y=")</f>
        <v>#REF!</v>
      </c>
      <c r="CJ114" t="e">
        <f>AND(Bills!#REF!,"AAAAAH8861c=")</f>
        <v>#REF!</v>
      </c>
      <c r="CK114" t="e">
        <f>AND(Bills!F411,"AAAAAH8861g=")</f>
        <v>#VALUE!</v>
      </c>
      <c r="CL114" t="e">
        <f>AND(Bills!#REF!,"AAAAAH8861k=")</f>
        <v>#REF!</v>
      </c>
      <c r="CM114" t="e">
        <f>AND(Bills!G411,"AAAAAH8861o=")</f>
        <v>#VALUE!</v>
      </c>
      <c r="CN114" t="e">
        <f>AND(Bills!H411,"AAAAAH8861s=")</f>
        <v>#VALUE!</v>
      </c>
      <c r="CO114" t="e">
        <f>AND(Bills!I411,"AAAAAH8861w=")</f>
        <v>#VALUE!</v>
      </c>
      <c r="CP114" t="e">
        <f>AND(Bills!J411,"AAAAAH88610=")</f>
        <v>#VALUE!</v>
      </c>
      <c r="CQ114" t="e">
        <f>AND(Bills!K411,"AAAAAH88614=")</f>
        <v>#VALUE!</v>
      </c>
      <c r="CR114" t="e">
        <f>AND(Bills!L411,"AAAAAH88618=")</f>
        <v>#VALUE!</v>
      </c>
      <c r="CS114" t="e">
        <f>AND(Bills!#REF!,"AAAAAH8862A=")</f>
        <v>#REF!</v>
      </c>
      <c r="CT114" t="e">
        <f>AND(Bills!M411,"AAAAAH8862E=")</f>
        <v>#VALUE!</v>
      </c>
      <c r="CU114" t="e">
        <f>AND(Bills!N411,"AAAAAH8862I=")</f>
        <v>#VALUE!</v>
      </c>
      <c r="CV114" t="e">
        <f>AND(Bills!O411,"AAAAAH8862M=")</f>
        <v>#VALUE!</v>
      </c>
      <c r="CW114" t="e">
        <f>AND(Bills!P411,"AAAAAH8862Q=")</f>
        <v>#VALUE!</v>
      </c>
      <c r="CX114" t="e">
        <f>AND(Bills!Q411,"AAAAAH8862U=")</f>
        <v>#VALUE!</v>
      </c>
      <c r="CY114" t="e">
        <f>AND(Bills!R411,"AAAAAH8862Y=")</f>
        <v>#VALUE!</v>
      </c>
      <c r="CZ114" t="e">
        <f>AND(Bills!S411,"AAAAAH8862c=")</f>
        <v>#VALUE!</v>
      </c>
      <c r="DA114" t="e">
        <f>AND(Bills!T411,"AAAAAH8862g=")</f>
        <v>#VALUE!</v>
      </c>
      <c r="DB114" t="e">
        <f>AND(Bills!#REF!,"AAAAAH8862k=")</f>
        <v>#REF!</v>
      </c>
      <c r="DC114" t="e">
        <f>AND(Bills!U411,"AAAAAH8862o=")</f>
        <v>#VALUE!</v>
      </c>
      <c r="DD114" t="e">
        <f>AND(Bills!V411,"AAAAAH8862s=")</f>
        <v>#VALUE!</v>
      </c>
      <c r="DE114" t="e">
        <f>AND(Bills!W411,"AAAAAH8862w=")</f>
        <v>#VALUE!</v>
      </c>
      <c r="DF114" t="e">
        <f>AND(Bills!#REF!,"AAAAAH88620=")</f>
        <v>#REF!</v>
      </c>
      <c r="DG114" t="e">
        <f>AND(Bills!#REF!,"AAAAAH88624=")</f>
        <v>#REF!</v>
      </c>
      <c r="DH114" t="e">
        <f>AND(Bills!Y411,"AAAAAH88628=")</f>
        <v>#VALUE!</v>
      </c>
      <c r="DI114" t="e">
        <f>AND(Bills!Z411,"AAAAAH8863A=")</f>
        <v>#VALUE!</v>
      </c>
      <c r="DJ114" t="e">
        <f>AND(Bills!#REF!,"AAAAAH8863E=")</f>
        <v>#REF!</v>
      </c>
      <c r="DK114" t="e">
        <f>AND(Bills!#REF!,"AAAAAH8863I=")</f>
        <v>#REF!</v>
      </c>
      <c r="DL114" t="e">
        <f>AND(Bills!#REF!,"AAAAAH8863M=")</f>
        <v>#REF!</v>
      </c>
      <c r="DM114" t="e">
        <f>AND(Bills!#REF!,"AAAAAH8863Q=")</f>
        <v>#REF!</v>
      </c>
      <c r="DN114" t="e">
        <f>AND(Bills!#REF!,"AAAAAH8863U=")</f>
        <v>#REF!</v>
      </c>
      <c r="DO114" t="e">
        <f>AND(Bills!#REF!,"AAAAAH8863Y=")</f>
        <v>#REF!</v>
      </c>
      <c r="DP114" t="e">
        <f>AND(Bills!#REF!,"AAAAAH8863c=")</f>
        <v>#REF!</v>
      </c>
      <c r="DQ114" t="e">
        <f>AND(Bills!#REF!,"AAAAAH8863g=")</f>
        <v>#REF!</v>
      </c>
      <c r="DR114" t="e">
        <f>AND(Bills!#REF!,"AAAAAH8863k=")</f>
        <v>#REF!</v>
      </c>
      <c r="DS114" t="e">
        <f>AND(Bills!AA411,"AAAAAH8863o=")</f>
        <v>#VALUE!</v>
      </c>
      <c r="DT114" t="e">
        <f>AND(Bills!AB411,"AAAAAH8863s=")</f>
        <v>#VALUE!</v>
      </c>
      <c r="DU114" t="e">
        <f>AND(Bills!#REF!,"AAAAAH8863w=")</f>
        <v>#REF!</v>
      </c>
      <c r="DV114" t="e">
        <f>AND(Bills!#REF!,"AAAAAH88630=")</f>
        <v>#REF!</v>
      </c>
      <c r="DW114" t="e">
        <f>AND(Bills!#REF!,"AAAAAH88634=")</f>
        <v>#REF!</v>
      </c>
      <c r="DX114" t="e">
        <f>AND(Bills!AC411,"AAAAAH88638=")</f>
        <v>#VALUE!</v>
      </c>
      <c r="DY114" t="e">
        <f>AND(Bills!AD411,"AAAAAH8864A=")</f>
        <v>#VALUE!</v>
      </c>
      <c r="DZ114" t="e">
        <f>AND(Bills!AE411,"AAAAAH8864E=")</f>
        <v>#VALUE!</v>
      </c>
      <c r="EA114">
        <f>IF(Bills!412:412,"AAAAAH8864I=",0)</f>
        <v>0</v>
      </c>
      <c r="EB114" t="e">
        <f>AND(Bills!B412,"AAAAAH8864M=")</f>
        <v>#VALUE!</v>
      </c>
      <c r="EC114" t="e">
        <f>AND(Bills!#REF!,"AAAAAH8864Q=")</f>
        <v>#REF!</v>
      </c>
      <c r="ED114" t="e">
        <f>AND(Bills!C412,"AAAAAH8864U=")</f>
        <v>#VALUE!</v>
      </c>
      <c r="EE114" t="e">
        <f>AND(Bills!D412,"AAAAAH8864Y=")</f>
        <v>#VALUE!</v>
      </c>
      <c r="EF114" t="e">
        <f>AND(Bills!E412,"AAAAAH8864c=")</f>
        <v>#VALUE!</v>
      </c>
      <c r="EG114" t="e">
        <f>AND(Bills!#REF!,"AAAAAH8864g=")</f>
        <v>#REF!</v>
      </c>
      <c r="EH114" t="e">
        <f>AND(Bills!#REF!,"AAAAAH8864k=")</f>
        <v>#REF!</v>
      </c>
      <c r="EI114" t="e">
        <f>AND(Bills!#REF!,"AAAAAH8864o=")</f>
        <v>#REF!</v>
      </c>
      <c r="EJ114" t="e">
        <f>AND(Bills!F412,"AAAAAH8864s=")</f>
        <v>#VALUE!</v>
      </c>
      <c r="EK114" t="e">
        <f>AND(Bills!#REF!,"AAAAAH8864w=")</f>
        <v>#REF!</v>
      </c>
      <c r="EL114" t="e">
        <f>AND(Bills!G412,"AAAAAH88640=")</f>
        <v>#VALUE!</v>
      </c>
      <c r="EM114" t="e">
        <f>AND(Bills!H412,"AAAAAH88644=")</f>
        <v>#VALUE!</v>
      </c>
      <c r="EN114" t="e">
        <f>AND(Bills!I412,"AAAAAH88648=")</f>
        <v>#VALUE!</v>
      </c>
      <c r="EO114" t="e">
        <f>AND(Bills!J412,"AAAAAH8865A=")</f>
        <v>#VALUE!</v>
      </c>
      <c r="EP114" t="e">
        <f>AND(Bills!K412,"AAAAAH8865E=")</f>
        <v>#VALUE!</v>
      </c>
      <c r="EQ114" t="e">
        <f>AND(Bills!L412,"AAAAAH8865I=")</f>
        <v>#VALUE!</v>
      </c>
      <c r="ER114" t="e">
        <f>AND(Bills!#REF!,"AAAAAH8865M=")</f>
        <v>#REF!</v>
      </c>
      <c r="ES114" t="e">
        <f>AND(Bills!M412,"AAAAAH8865Q=")</f>
        <v>#VALUE!</v>
      </c>
      <c r="ET114" t="e">
        <f>AND(Bills!N412,"AAAAAH8865U=")</f>
        <v>#VALUE!</v>
      </c>
      <c r="EU114" t="e">
        <f>AND(Bills!O412,"AAAAAH8865Y=")</f>
        <v>#VALUE!</v>
      </c>
      <c r="EV114" t="e">
        <f>AND(Bills!P412,"AAAAAH8865c=")</f>
        <v>#VALUE!</v>
      </c>
      <c r="EW114" t="e">
        <f>AND(Bills!Q412,"AAAAAH8865g=")</f>
        <v>#VALUE!</v>
      </c>
      <c r="EX114" t="e">
        <f>AND(Bills!R412,"AAAAAH8865k=")</f>
        <v>#VALUE!</v>
      </c>
      <c r="EY114" t="e">
        <f>AND(Bills!S412,"AAAAAH8865o=")</f>
        <v>#VALUE!</v>
      </c>
      <c r="EZ114" t="e">
        <f>AND(Bills!T412,"AAAAAH8865s=")</f>
        <v>#VALUE!</v>
      </c>
      <c r="FA114" t="e">
        <f>AND(Bills!#REF!,"AAAAAH8865w=")</f>
        <v>#REF!</v>
      </c>
      <c r="FB114" t="e">
        <f>AND(Bills!U412,"AAAAAH88650=")</f>
        <v>#VALUE!</v>
      </c>
      <c r="FC114" t="e">
        <f>AND(Bills!V412,"AAAAAH88654=")</f>
        <v>#VALUE!</v>
      </c>
      <c r="FD114" t="e">
        <f>AND(Bills!W412,"AAAAAH88658=")</f>
        <v>#VALUE!</v>
      </c>
      <c r="FE114" t="e">
        <f>AND(Bills!#REF!,"AAAAAH8866A=")</f>
        <v>#REF!</v>
      </c>
      <c r="FF114" t="e">
        <f>AND(Bills!#REF!,"AAAAAH8866E=")</f>
        <v>#REF!</v>
      </c>
      <c r="FG114" t="e">
        <f>AND(Bills!Y412,"AAAAAH8866I=")</f>
        <v>#VALUE!</v>
      </c>
      <c r="FH114" t="e">
        <f>AND(Bills!Z412,"AAAAAH8866M=")</f>
        <v>#VALUE!</v>
      </c>
      <c r="FI114" t="e">
        <f>AND(Bills!#REF!,"AAAAAH8866Q=")</f>
        <v>#REF!</v>
      </c>
      <c r="FJ114" t="e">
        <f>AND(Bills!#REF!,"AAAAAH8866U=")</f>
        <v>#REF!</v>
      </c>
      <c r="FK114" t="e">
        <f>AND(Bills!#REF!,"AAAAAH8866Y=")</f>
        <v>#REF!</v>
      </c>
      <c r="FL114" t="e">
        <f>AND(Bills!#REF!,"AAAAAH8866c=")</f>
        <v>#REF!</v>
      </c>
      <c r="FM114" t="e">
        <f>AND(Bills!#REF!,"AAAAAH8866g=")</f>
        <v>#REF!</v>
      </c>
      <c r="FN114" t="e">
        <f>AND(Bills!#REF!,"AAAAAH8866k=")</f>
        <v>#REF!</v>
      </c>
      <c r="FO114" t="e">
        <f>AND(Bills!#REF!,"AAAAAH8866o=")</f>
        <v>#REF!</v>
      </c>
      <c r="FP114" t="e">
        <f>AND(Bills!#REF!,"AAAAAH8866s=")</f>
        <v>#REF!</v>
      </c>
      <c r="FQ114" t="e">
        <f>AND(Bills!#REF!,"AAAAAH8866w=")</f>
        <v>#REF!</v>
      </c>
      <c r="FR114" t="e">
        <f>AND(Bills!AA412,"AAAAAH88660=")</f>
        <v>#VALUE!</v>
      </c>
      <c r="FS114" t="e">
        <f>AND(Bills!AB412,"AAAAAH88664=")</f>
        <v>#VALUE!</v>
      </c>
      <c r="FT114" t="e">
        <f>AND(Bills!#REF!,"AAAAAH88668=")</f>
        <v>#REF!</v>
      </c>
      <c r="FU114" t="e">
        <f>AND(Bills!#REF!,"AAAAAH8867A=")</f>
        <v>#REF!</v>
      </c>
      <c r="FV114" t="e">
        <f>AND(Bills!#REF!,"AAAAAH8867E=")</f>
        <v>#REF!</v>
      </c>
      <c r="FW114" t="e">
        <f>AND(Bills!AC412,"AAAAAH8867I=")</f>
        <v>#VALUE!</v>
      </c>
      <c r="FX114" t="e">
        <f>AND(Bills!AD412,"AAAAAH8867M=")</f>
        <v>#VALUE!</v>
      </c>
      <c r="FY114" t="e">
        <f>AND(Bills!AE412,"AAAAAH8867Q=")</f>
        <v>#VALUE!</v>
      </c>
      <c r="FZ114">
        <f>IF(Bills!413:413,"AAAAAH8867U=",0)</f>
        <v>0</v>
      </c>
      <c r="GA114" t="e">
        <f>AND(Bills!B413,"AAAAAH8867Y=")</f>
        <v>#VALUE!</v>
      </c>
      <c r="GB114" t="e">
        <f>AND(Bills!#REF!,"AAAAAH8867c=")</f>
        <v>#REF!</v>
      </c>
      <c r="GC114" t="e">
        <f>AND(Bills!C413,"AAAAAH8867g=")</f>
        <v>#VALUE!</v>
      </c>
      <c r="GD114" t="e">
        <f>AND(Bills!D413,"AAAAAH8867k=")</f>
        <v>#VALUE!</v>
      </c>
      <c r="GE114" t="e">
        <f>AND(Bills!E413,"AAAAAH8867o=")</f>
        <v>#VALUE!</v>
      </c>
      <c r="GF114" t="e">
        <f>AND(Bills!#REF!,"AAAAAH8867s=")</f>
        <v>#REF!</v>
      </c>
      <c r="GG114" t="e">
        <f>AND(Bills!#REF!,"AAAAAH8867w=")</f>
        <v>#REF!</v>
      </c>
      <c r="GH114" t="e">
        <f>AND(Bills!#REF!,"AAAAAH88670=")</f>
        <v>#REF!</v>
      </c>
      <c r="GI114" t="e">
        <f>AND(Bills!F413,"AAAAAH88674=")</f>
        <v>#VALUE!</v>
      </c>
      <c r="GJ114" t="e">
        <f>AND(Bills!#REF!,"AAAAAH88678=")</f>
        <v>#REF!</v>
      </c>
      <c r="GK114" t="e">
        <f>AND(Bills!G413,"AAAAAH8868A=")</f>
        <v>#VALUE!</v>
      </c>
      <c r="GL114" t="e">
        <f>AND(Bills!H413,"AAAAAH8868E=")</f>
        <v>#VALUE!</v>
      </c>
      <c r="GM114" t="e">
        <f>AND(Bills!I413,"AAAAAH8868I=")</f>
        <v>#VALUE!</v>
      </c>
      <c r="GN114" t="e">
        <f>AND(Bills!J413,"AAAAAH8868M=")</f>
        <v>#VALUE!</v>
      </c>
      <c r="GO114" t="e">
        <f>AND(Bills!K413,"AAAAAH8868Q=")</f>
        <v>#VALUE!</v>
      </c>
      <c r="GP114" t="e">
        <f>AND(Bills!L413,"AAAAAH8868U=")</f>
        <v>#VALUE!</v>
      </c>
      <c r="GQ114" t="e">
        <f>AND(Bills!#REF!,"AAAAAH8868Y=")</f>
        <v>#REF!</v>
      </c>
      <c r="GR114" t="e">
        <f>AND(Bills!M413,"AAAAAH8868c=")</f>
        <v>#VALUE!</v>
      </c>
      <c r="GS114" t="e">
        <f>AND(Bills!N413,"AAAAAH8868g=")</f>
        <v>#VALUE!</v>
      </c>
      <c r="GT114" t="e">
        <f>AND(Bills!O413,"AAAAAH8868k=")</f>
        <v>#VALUE!</v>
      </c>
      <c r="GU114" t="e">
        <f>AND(Bills!P413,"AAAAAH8868o=")</f>
        <v>#VALUE!</v>
      </c>
      <c r="GV114" t="e">
        <f>AND(Bills!Q413,"AAAAAH8868s=")</f>
        <v>#VALUE!</v>
      </c>
      <c r="GW114" t="e">
        <f>AND(Bills!R413,"AAAAAH8868w=")</f>
        <v>#VALUE!</v>
      </c>
      <c r="GX114" t="e">
        <f>AND(Bills!S413,"AAAAAH88680=")</f>
        <v>#VALUE!</v>
      </c>
      <c r="GY114" t="e">
        <f>AND(Bills!T413,"AAAAAH88684=")</f>
        <v>#VALUE!</v>
      </c>
      <c r="GZ114" t="e">
        <f>AND(Bills!#REF!,"AAAAAH88688=")</f>
        <v>#REF!</v>
      </c>
      <c r="HA114" t="e">
        <f>AND(Bills!U413,"AAAAAH8869A=")</f>
        <v>#VALUE!</v>
      </c>
      <c r="HB114" t="e">
        <f>AND(Bills!V413,"AAAAAH8869E=")</f>
        <v>#VALUE!</v>
      </c>
      <c r="HC114" t="e">
        <f>AND(Bills!W413,"AAAAAH8869I=")</f>
        <v>#VALUE!</v>
      </c>
      <c r="HD114" t="e">
        <f>AND(Bills!#REF!,"AAAAAH8869M=")</f>
        <v>#REF!</v>
      </c>
      <c r="HE114" t="e">
        <f>AND(Bills!#REF!,"AAAAAH8869Q=")</f>
        <v>#REF!</v>
      </c>
      <c r="HF114" t="e">
        <f>AND(Bills!Y413,"AAAAAH8869U=")</f>
        <v>#VALUE!</v>
      </c>
      <c r="HG114" t="e">
        <f>AND(Bills!Z413,"AAAAAH8869Y=")</f>
        <v>#VALUE!</v>
      </c>
      <c r="HH114" t="e">
        <f>AND(Bills!#REF!,"AAAAAH8869c=")</f>
        <v>#REF!</v>
      </c>
      <c r="HI114" t="e">
        <f>AND(Bills!#REF!,"AAAAAH8869g=")</f>
        <v>#REF!</v>
      </c>
      <c r="HJ114" t="e">
        <f>AND(Bills!#REF!,"AAAAAH8869k=")</f>
        <v>#REF!</v>
      </c>
      <c r="HK114" t="e">
        <f>AND(Bills!#REF!,"AAAAAH8869o=")</f>
        <v>#REF!</v>
      </c>
      <c r="HL114" t="e">
        <f>AND(Bills!#REF!,"AAAAAH8869s=")</f>
        <v>#REF!</v>
      </c>
      <c r="HM114" t="e">
        <f>AND(Bills!#REF!,"AAAAAH8869w=")</f>
        <v>#REF!</v>
      </c>
      <c r="HN114" t="e">
        <f>AND(Bills!#REF!,"AAAAAH88690=")</f>
        <v>#REF!</v>
      </c>
      <c r="HO114" t="e">
        <f>AND(Bills!#REF!,"AAAAAH88694=")</f>
        <v>#REF!</v>
      </c>
      <c r="HP114" t="e">
        <f>AND(Bills!#REF!,"AAAAAH88698=")</f>
        <v>#REF!</v>
      </c>
      <c r="HQ114" t="e">
        <f>AND(Bills!AA413,"AAAAAH886+A=")</f>
        <v>#VALUE!</v>
      </c>
      <c r="HR114" t="e">
        <f>AND(Bills!AB413,"AAAAAH886+E=")</f>
        <v>#VALUE!</v>
      </c>
      <c r="HS114" t="e">
        <f>AND(Bills!#REF!,"AAAAAH886+I=")</f>
        <v>#REF!</v>
      </c>
      <c r="HT114" t="e">
        <f>AND(Bills!#REF!,"AAAAAH886+M=")</f>
        <v>#REF!</v>
      </c>
      <c r="HU114" t="e">
        <f>AND(Bills!#REF!,"AAAAAH886+Q=")</f>
        <v>#REF!</v>
      </c>
      <c r="HV114" t="e">
        <f>AND(Bills!AC413,"AAAAAH886+U=")</f>
        <v>#VALUE!</v>
      </c>
      <c r="HW114" t="e">
        <f>AND(Bills!AD413,"AAAAAH886+Y=")</f>
        <v>#VALUE!</v>
      </c>
      <c r="HX114" t="e">
        <f>AND(Bills!AE413,"AAAAAH886+c=")</f>
        <v>#VALUE!</v>
      </c>
      <c r="HY114">
        <f>IF(Bills!414:414,"AAAAAH886+g=",0)</f>
        <v>0</v>
      </c>
      <c r="HZ114" t="e">
        <f>AND(Bills!B414,"AAAAAH886+k=")</f>
        <v>#VALUE!</v>
      </c>
      <c r="IA114" t="e">
        <f>AND(Bills!#REF!,"AAAAAH886+o=")</f>
        <v>#REF!</v>
      </c>
      <c r="IB114" t="e">
        <f>AND(Bills!C414,"AAAAAH886+s=")</f>
        <v>#VALUE!</v>
      </c>
      <c r="IC114" t="e">
        <f>AND(Bills!D414,"AAAAAH886+w=")</f>
        <v>#VALUE!</v>
      </c>
      <c r="ID114" t="e">
        <f>AND(Bills!E414,"AAAAAH886+0=")</f>
        <v>#VALUE!</v>
      </c>
      <c r="IE114" t="e">
        <f>AND(Bills!#REF!,"AAAAAH886+4=")</f>
        <v>#REF!</v>
      </c>
      <c r="IF114" t="e">
        <f>AND(Bills!#REF!,"AAAAAH886+8=")</f>
        <v>#REF!</v>
      </c>
      <c r="IG114" t="e">
        <f>AND(Bills!#REF!,"AAAAAH886/A=")</f>
        <v>#REF!</v>
      </c>
      <c r="IH114" t="e">
        <f>AND(Bills!F414,"AAAAAH886/E=")</f>
        <v>#VALUE!</v>
      </c>
      <c r="II114" t="e">
        <f>AND(Bills!#REF!,"AAAAAH886/I=")</f>
        <v>#REF!</v>
      </c>
      <c r="IJ114" t="e">
        <f>AND(Bills!G414,"AAAAAH886/M=")</f>
        <v>#VALUE!</v>
      </c>
      <c r="IK114" t="e">
        <f>AND(Bills!H414,"AAAAAH886/Q=")</f>
        <v>#VALUE!</v>
      </c>
      <c r="IL114" t="e">
        <f>AND(Bills!I414,"AAAAAH886/U=")</f>
        <v>#VALUE!</v>
      </c>
      <c r="IM114" t="e">
        <f>AND(Bills!J414,"AAAAAH886/Y=")</f>
        <v>#VALUE!</v>
      </c>
      <c r="IN114" t="e">
        <f>AND(Bills!K414,"AAAAAH886/c=")</f>
        <v>#VALUE!</v>
      </c>
      <c r="IO114" t="e">
        <f>AND(Bills!L414,"AAAAAH886/g=")</f>
        <v>#VALUE!</v>
      </c>
      <c r="IP114" t="e">
        <f>AND(Bills!#REF!,"AAAAAH886/k=")</f>
        <v>#REF!</v>
      </c>
      <c r="IQ114" t="e">
        <f>AND(Bills!M414,"AAAAAH886/o=")</f>
        <v>#VALUE!</v>
      </c>
      <c r="IR114" t="e">
        <f>AND(Bills!N414,"AAAAAH886/s=")</f>
        <v>#VALUE!</v>
      </c>
      <c r="IS114" t="e">
        <f>AND(Bills!O414,"AAAAAH886/w=")</f>
        <v>#VALUE!</v>
      </c>
      <c r="IT114" t="e">
        <f>AND(Bills!P414,"AAAAAH886/0=")</f>
        <v>#VALUE!</v>
      </c>
      <c r="IU114" t="e">
        <f>AND(Bills!Q414,"AAAAAH886/4=")</f>
        <v>#VALUE!</v>
      </c>
      <c r="IV114" t="e">
        <f>AND(Bills!R414,"AAAAAH886/8=")</f>
        <v>#VALUE!</v>
      </c>
    </row>
    <row r="115" spans="1:256" x14ac:dyDescent="0.25">
      <c r="A115" t="e">
        <f>AND(Bills!S414,"AAAAAF35/gA=")</f>
        <v>#VALUE!</v>
      </c>
      <c r="B115" t="e">
        <f>AND(Bills!T414,"AAAAAF35/gE=")</f>
        <v>#VALUE!</v>
      </c>
      <c r="C115" t="e">
        <f>AND(Bills!#REF!,"AAAAAF35/gI=")</f>
        <v>#REF!</v>
      </c>
      <c r="D115" t="e">
        <f>AND(Bills!U414,"AAAAAF35/gM=")</f>
        <v>#VALUE!</v>
      </c>
      <c r="E115" t="e">
        <f>AND(Bills!V414,"AAAAAF35/gQ=")</f>
        <v>#VALUE!</v>
      </c>
      <c r="F115" t="e">
        <f>AND(Bills!W414,"AAAAAF35/gU=")</f>
        <v>#VALUE!</v>
      </c>
      <c r="G115" t="e">
        <f>AND(Bills!#REF!,"AAAAAF35/gY=")</f>
        <v>#REF!</v>
      </c>
      <c r="H115" t="e">
        <f>AND(Bills!#REF!,"AAAAAF35/gc=")</f>
        <v>#REF!</v>
      </c>
      <c r="I115" t="e">
        <f>AND(Bills!Y414,"AAAAAF35/gg=")</f>
        <v>#VALUE!</v>
      </c>
      <c r="J115" t="e">
        <f>AND(Bills!Z414,"AAAAAF35/gk=")</f>
        <v>#VALUE!</v>
      </c>
      <c r="K115" t="e">
        <f>AND(Bills!#REF!,"AAAAAF35/go=")</f>
        <v>#REF!</v>
      </c>
      <c r="L115" t="e">
        <f>AND(Bills!#REF!,"AAAAAF35/gs=")</f>
        <v>#REF!</v>
      </c>
      <c r="M115" t="e">
        <f>AND(Bills!#REF!,"AAAAAF35/gw=")</f>
        <v>#REF!</v>
      </c>
      <c r="N115" t="e">
        <f>AND(Bills!#REF!,"AAAAAF35/g0=")</f>
        <v>#REF!</v>
      </c>
      <c r="O115" t="e">
        <f>AND(Bills!#REF!,"AAAAAF35/g4=")</f>
        <v>#REF!</v>
      </c>
      <c r="P115" t="e">
        <f>AND(Bills!#REF!,"AAAAAF35/g8=")</f>
        <v>#REF!</v>
      </c>
      <c r="Q115" t="e">
        <f>AND(Bills!#REF!,"AAAAAF35/hA=")</f>
        <v>#REF!</v>
      </c>
      <c r="R115" t="e">
        <f>AND(Bills!#REF!,"AAAAAF35/hE=")</f>
        <v>#REF!</v>
      </c>
      <c r="S115" t="e">
        <f>AND(Bills!#REF!,"AAAAAF35/hI=")</f>
        <v>#REF!</v>
      </c>
      <c r="T115" t="e">
        <f>AND(Bills!AA414,"AAAAAF35/hM=")</f>
        <v>#VALUE!</v>
      </c>
      <c r="U115" t="e">
        <f>AND(Bills!AB414,"AAAAAF35/hQ=")</f>
        <v>#VALUE!</v>
      </c>
      <c r="V115" t="e">
        <f>AND(Bills!#REF!,"AAAAAF35/hU=")</f>
        <v>#REF!</v>
      </c>
      <c r="W115" t="e">
        <f>AND(Bills!#REF!,"AAAAAF35/hY=")</f>
        <v>#REF!</v>
      </c>
      <c r="X115" t="e">
        <f>AND(Bills!#REF!,"AAAAAF35/hc=")</f>
        <v>#REF!</v>
      </c>
      <c r="Y115" t="e">
        <f>AND(Bills!AC414,"AAAAAF35/hg=")</f>
        <v>#VALUE!</v>
      </c>
      <c r="Z115" t="e">
        <f>AND(Bills!AD414,"AAAAAF35/hk=")</f>
        <v>#VALUE!</v>
      </c>
      <c r="AA115" t="e">
        <f>AND(Bills!AE414,"AAAAAF35/ho=")</f>
        <v>#VALUE!</v>
      </c>
      <c r="AB115">
        <f>IF(Bills!415:415,"AAAAAF35/hs=",0)</f>
        <v>0</v>
      </c>
      <c r="AC115" t="e">
        <f>AND(Bills!B415,"AAAAAF35/hw=")</f>
        <v>#VALUE!</v>
      </c>
      <c r="AD115" t="e">
        <f>AND(Bills!#REF!,"AAAAAF35/h0=")</f>
        <v>#REF!</v>
      </c>
      <c r="AE115" t="e">
        <f>AND(Bills!C415,"AAAAAF35/h4=")</f>
        <v>#VALUE!</v>
      </c>
      <c r="AF115" t="e">
        <f>AND(Bills!D415,"AAAAAF35/h8=")</f>
        <v>#VALUE!</v>
      </c>
      <c r="AG115" t="e">
        <f>AND(Bills!E415,"AAAAAF35/iA=")</f>
        <v>#VALUE!</v>
      </c>
      <c r="AH115" t="e">
        <f>AND(Bills!#REF!,"AAAAAF35/iE=")</f>
        <v>#REF!</v>
      </c>
      <c r="AI115" t="e">
        <f>AND(Bills!#REF!,"AAAAAF35/iI=")</f>
        <v>#REF!</v>
      </c>
      <c r="AJ115" t="e">
        <f>AND(Bills!#REF!,"AAAAAF35/iM=")</f>
        <v>#REF!</v>
      </c>
      <c r="AK115" t="e">
        <f>AND(Bills!F415,"AAAAAF35/iQ=")</f>
        <v>#VALUE!</v>
      </c>
      <c r="AL115" t="e">
        <f>AND(Bills!#REF!,"AAAAAF35/iU=")</f>
        <v>#REF!</v>
      </c>
      <c r="AM115" t="e">
        <f>AND(Bills!G415,"AAAAAF35/iY=")</f>
        <v>#VALUE!</v>
      </c>
      <c r="AN115" t="e">
        <f>AND(Bills!H415,"AAAAAF35/ic=")</f>
        <v>#VALUE!</v>
      </c>
      <c r="AO115" t="e">
        <f>AND(Bills!I415,"AAAAAF35/ig=")</f>
        <v>#VALUE!</v>
      </c>
      <c r="AP115" t="e">
        <f>AND(Bills!J415,"AAAAAF35/ik=")</f>
        <v>#VALUE!</v>
      </c>
      <c r="AQ115" t="e">
        <f>AND(Bills!K415,"AAAAAF35/io=")</f>
        <v>#VALUE!</v>
      </c>
      <c r="AR115" t="e">
        <f>AND(Bills!L415,"AAAAAF35/is=")</f>
        <v>#VALUE!</v>
      </c>
      <c r="AS115" t="e">
        <f>AND(Bills!#REF!,"AAAAAF35/iw=")</f>
        <v>#REF!</v>
      </c>
      <c r="AT115" t="e">
        <f>AND(Bills!M415,"AAAAAF35/i0=")</f>
        <v>#VALUE!</v>
      </c>
      <c r="AU115" t="e">
        <f>AND(Bills!N415,"AAAAAF35/i4=")</f>
        <v>#VALUE!</v>
      </c>
      <c r="AV115" t="e">
        <f>AND(Bills!O415,"AAAAAF35/i8=")</f>
        <v>#VALUE!</v>
      </c>
      <c r="AW115" t="e">
        <f>AND(Bills!P415,"AAAAAF35/jA=")</f>
        <v>#VALUE!</v>
      </c>
      <c r="AX115" t="e">
        <f>AND(Bills!Q415,"AAAAAF35/jE=")</f>
        <v>#VALUE!</v>
      </c>
      <c r="AY115" t="e">
        <f>AND(Bills!R415,"AAAAAF35/jI=")</f>
        <v>#VALUE!</v>
      </c>
      <c r="AZ115" t="e">
        <f>AND(Bills!S415,"AAAAAF35/jM=")</f>
        <v>#VALUE!</v>
      </c>
      <c r="BA115" t="e">
        <f>AND(Bills!T415,"AAAAAF35/jQ=")</f>
        <v>#VALUE!</v>
      </c>
      <c r="BB115" t="e">
        <f>AND(Bills!#REF!,"AAAAAF35/jU=")</f>
        <v>#REF!</v>
      </c>
      <c r="BC115" t="e">
        <f>AND(Bills!U415,"AAAAAF35/jY=")</f>
        <v>#VALUE!</v>
      </c>
      <c r="BD115" t="e">
        <f>AND(Bills!V415,"AAAAAF35/jc=")</f>
        <v>#VALUE!</v>
      </c>
      <c r="BE115" t="e">
        <f>AND(Bills!W415,"AAAAAF35/jg=")</f>
        <v>#VALUE!</v>
      </c>
      <c r="BF115" t="e">
        <f>AND(Bills!#REF!,"AAAAAF35/jk=")</f>
        <v>#REF!</v>
      </c>
      <c r="BG115" t="e">
        <f>AND(Bills!#REF!,"AAAAAF35/jo=")</f>
        <v>#REF!</v>
      </c>
      <c r="BH115" t="e">
        <f>AND(Bills!Y415,"AAAAAF35/js=")</f>
        <v>#VALUE!</v>
      </c>
      <c r="BI115" t="e">
        <f>AND(Bills!Z415,"AAAAAF35/jw=")</f>
        <v>#VALUE!</v>
      </c>
      <c r="BJ115" t="e">
        <f>AND(Bills!#REF!,"AAAAAF35/j0=")</f>
        <v>#REF!</v>
      </c>
      <c r="BK115" t="e">
        <f>AND(Bills!#REF!,"AAAAAF35/j4=")</f>
        <v>#REF!</v>
      </c>
      <c r="BL115" t="e">
        <f>AND(Bills!#REF!,"AAAAAF35/j8=")</f>
        <v>#REF!</v>
      </c>
      <c r="BM115" t="e">
        <f>AND(Bills!#REF!,"AAAAAF35/kA=")</f>
        <v>#REF!</v>
      </c>
      <c r="BN115" t="e">
        <f>AND(Bills!#REF!,"AAAAAF35/kE=")</f>
        <v>#REF!</v>
      </c>
      <c r="BO115" t="e">
        <f>AND(Bills!#REF!,"AAAAAF35/kI=")</f>
        <v>#REF!</v>
      </c>
      <c r="BP115" t="e">
        <f>AND(Bills!#REF!,"AAAAAF35/kM=")</f>
        <v>#REF!</v>
      </c>
      <c r="BQ115" t="e">
        <f>AND(Bills!#REF!,"AAAAAF35/kQ=")</f>
        <v>#REF!</v>
      </c>
      <c r="BR115" t="e">
        <f>AND(Bills!#REF!,"AAAAAF35/kU=")</f>
        <v>#REF!</v>
      </c>
      <c r="BS115" t="e">
        <f>AND(Bills!AA415,"AAAAAF35/kY=")</f>
        <v>#VALUE!</v>
      </c>
      <c r="BT115" t="e">
        <f>AND(Bills!AB415,"AAAAAF35/kc=")</f>
        <v>#VALUE!</v>
      </c>
      <c r="BU115" t="e">
        <f>AND(Bills!#REF!,"AAAAAF35/kg=")</f>
        <v>#REF!</v>
      </c>
      <c r="BV115" t="e">
        <f>AND(Bills!#REF!,"AAAAAF35/kk=")</f>
        <v>#REF!</v>
      </c>
      <c r="BW115" t="e">
        <f>AND(Bills!#REF!,"AAAAAF35/ko=")</f>
        <v>#REF!</v>
      </c>
      <c r="BX115" t="e">
        <f>AND(Bills!AC415,"AAAAAF35/ks=")</f>
        <v>#VALUE!</v>
      </c>
      <c r="BY115" t="e">
        <f>AND(Bills!AD415,"AAAAAF35/kw=")</f>
        <v>#VALUE!</v>
      </c>
      <c r="BZ115" t="e">
        <f>AND(Bills!AE415,"AAAAAF35/k0=")</f>
        <v>#VALUE!</v>
      </c>
      <c r="CA115">
        <f>IF(Bills!416:416,"AAAAAF35/k4=",0)</f>
        <v>0</v>
      </c>
      <c r="CB115" t="e">
        <f>AND(Bills!B416,"AAAAAF35/k8=")</f>
        <v>#VALUE!</v>
      </c>
      <c r="CC115" t="e">
        <f>AND(Bills!#REF!,"AAAAAF35/lA=")</f>
        <v>#REF!</v>
      </c>
      <c r="CD115" t="e">
        <f>AND(Bills!C416,"AAAAAF35/lE=")</f>
        <v>#VALUE!</v>
      </c>
      <c r="CE115" t="e">
        <f>AND(Bills!D416,"AAAAAF35/lI=")</f>
        <v>#VALUE!</v>
      </c>
      <c r="CF115" t="e">
        <f>AND(Bills!E416,"AAAAAF35/lM=")</f>
        <v>#VALUE!</v>
      </c>
      <c r="CG115" t="e">
        <f>AND(Bills!#REF!,"AAAAAF35/lQ=")</f>
        <v>#REF!</v>
      </c>
      <c r="CH115" t="e">
        <f>AND(Bills!#REF!,"AAAAAF35/lU=")</f>
        <v>#REF!</v>
      </c>
      <c r="CI115" t="e">
        <f>AND(Bills!#REF!,"AAAAAF35/lY=")</f>
        <v>#REF!</v>
      </c>
      <c r="CJ115" t="e">
        <f>AND(Bills!F416,"AAAAAF35/lc=")</f>
        <v>#VALUE!</v>
      </c>
      <c r="CK115" t="e">
        <f>AND(Bills!#REF!,"AAAAAF35/lg=")</f>
        <v>#REF!</v>
      </c>
      <c r="CL115" t="e">
        <f>AND(Bills!G416,"AAAAAF35/lk=")</f>
        <v>#VALUE!</v>
      </c>
      <c r="CM115" t="e">
        <f>AND(Bills!H416,"AAAAAF35/lo=")</f>
        <v>#VALUE!</v>
      </c>
      <c r="CN115" t="e">
        <f>AND(Bills!I416,"AAAAAF35/ls=")</f>
        <v>#VALUE!</v>
      </c>
      <c r="CO115" t="e">
        <f>AND(Bills!J416,"AAAAAF35/lw=")</f>
        <v>#VALUE!</v>
      </c>
      <c r="CP115" t="e">
        <f>AND(Bills!K416,"AAAAAF35/l0=")</f>
        <v>#VALUE!</v>
      </c>
      <c r="CQ115" t="e">
        <f>AND(Bills!L416,"AAAAAF35/l4=")</f>
        <v>#VALUE!</v>
      </c>
      <c r="CR115" t="e">
        <f>AND(Bills!#REF!,"AAAAAF35/l8=")</f>
        <v>#REF!</v>
      </c>
      <c r="CS115" t="e">
        <f>AND(Bills!M416,"AAAAAF35/mA=")</f>
        <v>#VALUE!</v>
      </c>
      <c r="CT115" t="e">
        <f>AND(Bills!N416,"AAAAAF35/mE=")</f>
        <v>#VALUE!</v>
      </c>
      <c r="CU115" t="e">
        <f>AND(Bills!O416,"AAAAAF35/mI=")</f>
        <v>#VALUE!</v>
      </c>
      <c r="CV115" t="e">
        <f>AND(Bills!P416,"AAAAAF35/mM=")</f>
        <v>#VALUE!</v>
      </c>
      <c r="CW115" t="e">
        <f>AND(Bills!Q416,"AAAAAF35/mQ=")</f>
        <v>#VALUE!</v>
      </c>
      <c r="CX115" t="e">
        <f>AND(Bills!R416,"AAAAAF35/mU=")</f>
        <v>#VALUE!</v>
      </c>
      <c r="CY115" t="e">
        <f>AND(Bills!S416,"AAAAAF35/mY=")</f>
        <v>#VALUE!</v>
      </c>
      <c r="CZ115" t="e">
        <f>AND(Bills!T416,"AAAAAF35/mc=")</f>
        <v>#VALUE!</v>
      </c>
      <c r="DA115" t="e">
        <f>AND(Bills!#REF!,"AAAAAF35/mg=")</f>
        <v>#REF!</v>
      </c>
      <c r="DB115" t="e">
        <f>AND(Bills!U416,"AAAAAF35/mk=")</f>
        <v>#VALUE!</v>
      </c>
      <c r="DC115" t="e">
        <f>AND(Bills!V416,"AAAAAF35/mo=")</f>
        <v>#VALUE!</v>
      </c>
      <c r="DD115" t="e">
        <f>AND(Bills!W416,"AAAAAF35/ms=")</f>
        <v>#VALUE!</v>
      </c>
      <c r="DE115" t="e">
        <f>AND(Bills!#REF!,"AAAAAF35/mw=")</f>
        <v>#REF!</v>
      </c>
      <c r="DF115" t="e">
        <f>AND(Bills!#REF!,"AAAAAF35/m0=")</f>
        <v>#REF!</v>
      </c>
      <c r="DG115" t="e">
        <f>AND(Bills!Y416,"AAAAAF35/m4=")</f>
        <v>#VALUE!</v>
      </c>
      <c r="DH115" t="e">
        <f>AND(Bills!Z416,"AAAAAF35/m8=")</f>
        <v>#VALUE!</v>
      </c>
      <c r="DI115" t="e">
        <f>AND(Bills!#REF!,"AAAAAF35/nA=")</f>
        <v>#REF!</v>
      </c>
      <c r="DJ115" t="e">
        <f>AND(Bills!#REF!,"AAAAAF35/nE=")</f>
        <v>#REF!</v>
      </c>
      <c r="DK115" t="e">
        <f>AND(Bills!#REF!,"AAAAAF35/nI=")</f>
        <v>#REF!</v>
      </c>
      <c r="DL115" t="e">
        <f>AND(Bills!#REF!,"AAAAAF35/nM=")</f>
        <v>#REF!</v>
      </c>
      <c r="DM115" t="e">
        <f>AND(Bills!#REF!,"AAAAAF35/nQ=")</f>
        <v>#REF!</v>
      </c>
      <c r="DN115" t="e">
        <f>AND(Bills!#REF!,"AAAAAF35/nU=")</f>
        <v>#REF!</v>
      </c>
      <c r="DO115" t="e">
        <f>AND(Bills!#REF!,"AAAAAF35/nY=")</f>
        <v>#REF!</v>
      </c>
      <c r="DP115" t="e">
        <f>AND(Bills!#REF!,"AAAAAF35/nc=")</f>
        <v>#REF!</v>
      </c>
      <c r="DQ115" t="e">
        <f>AND(Bills!#REF!,"AAAAAF35/ng=")</f>
        <v>#REF!</v>
      </c>
      <c r="DR115" t="e">
        <f>AND(Bills!AA416,"AAAAAF35/nk=")</f>
        <v>#VALUE!</v>
      </c>
      <c r="DS115" t="e">
        <f>AND(Bills!AB416,"AAAAAF35/no=")</f>
        <v>#VALUE!</v>
      </c>
      <c r="DT115" t="e">
        <f>AND(Bills!#REF!,"AAAAAF35/ns=")</f>
        <v>#REF!</v>
      </c>
      <c r="DU115" t="e">
        <f>AND(Bills!#REF!,"AAAAAF35/nw=")</f>
        <v>#REF!</v>
      </c>
      <c r="DV115" t="e">
        <f>AND(Bills!#REF!,"AAAAAF35/n0=")</f>
        <v>#REF!</v>
      </c>
      <c r="DW115" t="e">
        <f>AND(Bills!AC416,"AAAAAF35/n4=")</f>
        <v>#VALUE!</v>
      </c>
      <c r="DX115" t="e">
        <f>AND(Bills!AD416,"AAAAAF35/n8=")</f>
        <v>#VALUE!</v>
      </c>
      <c r="DY115" t="e">
        <f>AND(Bills!AE416,"AAAAAF35/oA=")</f>
        <v>#VALUE!</v>
      </c>
      <c r="DZ115">
        <f>IF(Bills!417:417,"AAAAAF35/oE=",0)</f>
        <v>0</v>
      </c>
      <c r="EA115" t="e">
        <f>AND(Bills!B417,"AAAAAF35/oI=")</f>
        <v>#VALUE!</v>
      </c>
      <c r="EB115" t="e">
        <f>AND(Bills!#REF!,"AAAAAF35/oM=")</f>
        <v>#REF!</v>
      </c>
      <c r="EC115" t="e">
        <f>AND(Bills!C417,"AAAAAF35/oQ=")</f>
        <v>#VALUE!</v>
      </c>
      <c r="ED115" t="e">
        <f>AND(Bills!D417,"AAAAAF35/oU=")</f>
        <v>#VALUE!</v>
      </c>
      <c r="EE115" t="e">
        <f>AND(Bills!E417,"AAAAAF35/oY=")</f>
        <v>#VALUE!</v>
      </c>
      <c r="EF115" t="e">
        <f>AND(Bills!#REF!,"AAAAAF35/oc=")</f>
        <v>#REF!</v>
      </c>
      <c r="EG115" t="e">
        <f>AND(Bills!#REF!,"AAAAAF35/og=")</f>
        <v>#REF!</v>
      </c>
      <c r="EH115" t="e">
        <f>AND(Bills!#REF!,"AAAAAF35/ok=")</f>
        <v>#REF!</v>
      </c>
      <c r="EI115" t="e">
        <f>AND(Bills!F417,"AAAAAF35/oo=")</f>
        <v>#VALUE!</v>
      </c>
      <c r="EJ115" t="e">
        <f>AND(Bills!#REF!,"AAAAAF35/os=")</f>
        <v>#REF!</v>
      </c>
      <c r="EK115" t="e">
        <f>AND(Bills!G417,"AAAAAF35/ow=")</f>
        <v>#VALUE!</v>
      </c>
      <c r="EL115" t="e">
        <f>AND(Bills!H417,"AAAAAF35/o0=")</f>
        <v>#VALUE!</v>
      </c>
      <c r="EM115" t="e">
        <f>AND(Bills!I417,"AAAAAF35/o4=")</f>
        <v>#VALUE!</v>
      </c>
      <c r="EN115" t="e">
        <f>AND(Bills!J417,"AAAAAF35/o8=")</f>
        <v>#VALUE!</v>
      </c>
      <c r="EO115" t="e">
        <f>AND(Bills!K417,"AAAAAF35/pA=")</f>
        <v>#VALUE!</v>
      </c>
      <c r="EP115" t="e">
        <f>AND(Bills!L417,"AAAAAF35/pE=")</f>
        <v>#VALUE!</v>
      </c>
      <c r="EQ115" t="e">
        <f>AND(Bills!#REF!,"AAAAAF35/pI=")</f>
        <v>#REF!</v>
      </c>
      <c r="ER115" t="e">
        <f>AND(Bills!M417,"AAAAAF35/pM=")</f>
        <v>#VALUE!</v>
      </c>
      <c r="ES115" t="e">
        <f>AND(Bills!N417,"AAAAAF35/pQ=")</f>
        <v>#VALUE!</v>
      </c>
      <c r="ET115" t="e">
        <f>AND(Bills!O417,"AAAAAF35/pU=")</f>
        <v>#VALUE!</v>
      </c>
      <c r="EU115" t="e">
        <f>AND(Bills!P417,"AAAAAF35/pY=")</f>
        <v>#VALUE!</v>
      </c>
      <c r="EV115" t="e">
        <f>AND(Bills!Q417,"AAAAAF35/pc=")</f>
        <v>#VALUE!</v>
      </c>
      <c r="EW115" t="e">
        <f>AND(Bills!R417,"AAAAAF35/pg=")</f>
        <v>#VALUE!</v>
      </c>
      <c r="EX115" t="e">
        <f>AND(Bills!S417,"AAAAAF35/pk=")</f>
        <v>#VALUE!</v>
      </c>
      <c r="EY115" t="e">
        <f>AND(Bills!T417,"AAAAAF35/po=")</f>
        <v>#VALUE!</v>
      </c>
      <c r="EZ115" t="e">
        <f>AND(Bills!#REF!,"AAAAAF35/ps=")</f>
        <v>#REF!</v>
      </c>
      <c r="FA115" t="e">
        <f>AND(Bills!U417,"AAAAAF35/pw=")</f>
        <v>#VALUE!</v>
      </c>
      <c r="FB115" t="e">
        <f>AND(Bills!V417,"AAAAAF35/p0=")</f>
        <v>#VALUE!</v>
      </c>
      <c r="FC115" t="e">
        <f>AND(Bills!W417,"AAAAAF35/p4=")</f>
        <v>#VALUE!</v>
      </c>
      <c r="FD115" t="e">
        <f>AND(Bills!#REF!,"AAAAAF35/p8=")</f>
        <v>#REF!</v>
      </c>
      <c r="FE115" t="e">
        <f>AND(Bills!#REF!,"AAAAAF35/qA=")</f>
        <v>#REF!</v>
      </c>
      <c r="FF115" t="e">
        <f>AND(Bills!Y417,"AAAAAF35/qE=")</f>
        <v>#VALUE!</v>
      </c>
      <c r="FG115" t="e">
        <f>AND(Bills!Z417,"AAAAAF35/qI=")</f>
        <v>#VALUE!</v>
      </c>
      <c r="FH115" t="e">
        <f>AND(Bills!#REF!,"AAAAAF35/qM=")</f>
        <v>#REF!</v>
      </c>
      <c r="FI115" t="e">
        <f>AND(Bills!#REF!,"AAAAAF35/qQ=")</f>
        <v>#REF!</v>
      </c>
      <c r="FJ115" t="e">
        <f>AND(Bills!#REF!,"AAAAAF35/qU=")</f>
        <v>#REF!</v>
      </c>
      <c r="FK115" t="e">
        <f>AND(Bills!#REF!,"AAAAAF35/qY=")</f>
        <v>#REF!</v>
      </c>
      <c r="FL115" t="e">
        <f>AND(Bills!#REF!,"AAAAAF35/qc=")</f>
        <v>#REF!</v>
      </c>
      <c r="FM115" t="e">
        <f>AND(Bills!#REF!,"AAAAAF35/qg=")</f>
        <v>#REF!</v>
      </c>
      <c r="FN115" t="e">
        <f>AND(Bills!#REF!,"AAAAAF35/qk=")</f>
        <v>#REF!</v>
      </c>
      <c r="FO115" t="e">
        <f>AND(Bills!#REF!,"AAAAAF35/qo=")</f>
        <v>#REF!</v>
      </c>
      <c r="FP115" t="e">
        <f>AND(Bills!#REF!,"AAAAAF35/qs=")</f>
        <v>#REF!</v>
      </c>
      <c r="FQ115" t="e">
        <f>AND(Bills!AA417,"AAAAAF35/qw=")</f>
        <v>#VALUE!</v>
      </c>
      <c r="FR115" t="e">
        <f>AND(Bills!AB417,"AAAAAF35/q0=")</f>
        <v>#VALUE!</v>
      </c>
      <c r="FS115" t="e">
        <f>AND(Bills!#REF!,"AAAAAF35/q4=")</f>
        <v>#REF!</v>
      </c>
      <c r="FT115" t="e">
        <f>AND(Bills!#REF!,"AAAAAF35/q8=")</f>
        <v>#REF!</v>
      </c>
      <c r="FU115" t="e">
        <f>AND(Bills!#REF!,"AAAAAF35/rA=")</f>
        <v>#REF!</v>
      </c>
      <c r="FV115" t="e">
        <f>AND(Bills!AC417,"AAAAAF35/rE=")</f>
        <v>#VALUE!</v>
      </c>
      <c r="FW115" t="e">
        <f>AND(Bills!AD417,"AAAAAF35/rI=")</f>
        <v>#VALUE!</v>
      </c>
      <c r="FX115" t="e">
        <f>AND(Bills!AE417,"AAAAAF35/rM=")</f>
        <v>#VALUE!</v>
      </c>
      <c r="FY115">
        <f>IF(Bills!418:418,"AAAAAF35/rQ=",0)</f>
        <v>0</v>
      </c>
      <c r="FZ115" t="e">
        <f>AND(Bills!B418,"AAAAAF35/rU=")</f>
        <v>#VALUE!</v>
      </c>
      <c r="GA115" t="e">
        <f>AND(Bills!#REF!,"AAAAAF35/rY=")</f>
        <v>#REF!</v>
      </c>
      <c r="GB115" t="e">
        <f>AND(Bills!C418,"AAAAAF35/rc=")</f>
        <v>#VALUE!</v>
      </c>
      <c r="GC115" t="e">
        <f>AND(Bills!D418,"AAAAAF35/rg=")</f>
        <v>#VALUE!</v>
      </c>
      <c r="GD115" t="e">
        <f>AND(Bills!E418,"AAAAAF35/rk=")</f>
        <v>#VALUE!</v>
      </c>
      <c r="GE115" t="e">
        <f>AND(Bills!#REF!,"AAAAAF35/ro=")</f>
        <v>#REF!</v>
      </c>
      <c r="GF115" t="e">
        <f>AND(Bills!#REF!,"AAAAAF35/rs=")</f>
        <v>#REF!</v>
      </c>
      <c r="GG115" t="e">
        <f>AND(Bills!#REF!,"AAAAAF35/rw=")</f>
        <v>#REF!</v>
      </c>
      <c r="GH115" t="e">
        <f>AND(Bills!F418,"AAAAAF35/r0=")</f>
        <v>#VALUE!</v>
      </c>
      <c r="GI115" t="e">
        <f>AND(Bills!#REF!,"AAAAAF35/r4=")</f>
        <v>#REF!</v>
      </c>
      <c r="GJ115" t="e">
        <f>AND(Bills!G418,"AAAAAF35/r8=")</f>
        <v>#VALUE!</v>
      </c>
      <c r="GK115" t="e">
        <f>AND(Bills!H418,"AAAAAF35/sA=")</f>
        <v>#VALUE!</v>
      </c>
      <c r="GL115" t="e">
        <f>AND(Bills!I418,"AAAAAF35/sE=")</f>
        <v>#VALUE!</v>
      </c>
      <c r="GM115" t="e">
        <f>AND(Bills!J418,"AAAAAF35/sI=")</f>
        <v>#VALUE!</v>
      </c>
      <c r="GN115" t="e">
        <f>AND(Bills!K418,"AAAAAF35/sM=")</f>
        <v>#VALUE!</v>
      </c>
      <c r="GO115" t="e">
        <f>AND(Bills!L418,"AAAAAF35/sQ=")</f>
        <v>#VALUE!</v>
      </c>
      <c r="GP115" t="e">
        <f>AND(Bills!#REF!,"AAAAAF35/sU=")</f>
        <v>#REF!</v>
      </c>
      <c r="GQ115" t="e">
        <f>AND(Bills!M418,"AAAAAF35/sY=")</f>
        <v>#VALUE!</v>
      </c>
      <c r="GR115" t="e">
        <f>AND(Bills!N418,"AAAAAF35/sc=")</f>
        <v>#VALUE!</v>
      </c>
      <c r="GS115" t="e">
        <f>AND(Bills!O418,"AAAAAF35/sg=")</f>
        <v>#VALUE!</v>
      </c>
      <c r="GT115" t="e">
        <f>AND(Bills!P418,"AAAAAF35/sk=")</f>
        <v>#VALUE!</v>
      </c>
      <c r="GU115" t="e">
        <f>AND(Bills!Q418,"AAAAAF35/so=")</f>
        <v>#VALUE!</v>
      </c>
      <c r="GV115" t="e">
        <f>AND(Bills!R418,"AAAAAF35/ss=")</f>
        <v>#VALUE!</v>
      </c>
      <c r="GW115" t="e">
        <f>AND(Bills!S418,"AAAAAF35/sw=")</f>
        <v>#VALUE!</v>
      </c>
      <c r="GX115" t="e">
        <f>AND(Bills!T418,"AAAAAF35/s0=")</f>
        <v>#VALUE!</v>
      </c>
      <c r="GY115" t="e">
        <f>AND(Bills!#REF!,"AAAAAF35/s4=")</f>
        <v>#REF!</v>
      </c>
      <c r="GZ115" t="e">
        <f>AND(Bills!U418,"AAAAAF35/s8=")</f>
        <v>#VALUE!</v>
      </c>
      <c r="HA115" t="e">
        <f>AND(Bills!V418,"AAAAAF35/tA=")</f>
        <v>#VALUE!</v>
      </c>
      <c r="HB115" t="e">
        <f>AND(Bills!W418,"AAAAAF35/tE=")</f>
        <v>#VALUE!</v>
      </c>
      <c r="HC115" t="e">
        <f>AND(Bills!#REF!,"AAAAAF35/tI=")</f>
        <v>#REF!</v>
      </c>
      <c r="HD115" t="e">
        <f>AND(Bills!#REF!,"AAAAAF35/tM=")</f>
        <v>#REF!</v>
      </c>
      <c r="HE115" t="e">
        <f>AND(Bills!Y418,"AAAAAF35/tQ=")</f>
        <v>#VALUE!</v>
      </c>
      <c r="HF115" t="e">
        <f>AND(Bills!Z418,"AAAAAF35/tU=")</f>
        <v>#VALUE!</v>
      </c>
      <c r="HG115" t="e">
        <f>AND(Bills!#REF!,"AAAAAF35/tY=")</f>
        <v>#REF!</v>
      </c>
      <c r="HH115" t="e">
        <f>AND(Bills!#REF!,"AAAAAF35/tc=")</f>
        <v>#REF!</v>
      </c>
      <c r="HI115" t="e">
        <f>AND(Bills!#REF!,"AAAAAF35/tg=")</f>
        <v>#REF!</v>
      </c>
      <c r="HJ115" t="e">
        <f>AND(Bills!#REF!,"AAAAAF35/tk=")</f>
        <v>#REF!</v>
      </c>
      <c r="HK115" t="e">
        <f>AND(Bills!#REF!,"AAAAAF35/to=")</f>
        <v>#REF!</v>
      </c>
      <c r="HL115" t="e">
        <f>AND(Bills!#REF!,"AAAAAF35/ts=")</f>
        <v>#REF!</v>
      </c>
      <c r="HM115" t="e">
        <f>AND(Bills!#REF!,"AAAAAF35/tw=")</f>
        <v>#REF!</v>
      </c>
      <c r="HN115" t="e">
        <f>AND(Bills!#REF!,"AAAAAF35/t0=")</f>
        <v>#REF!</v>
      </c>
      <c r="HO115" t="e">
        <f>AND(Bills!#REF!,"AAAAAF35/t4=")</f>
        <v>#REF!</v>
      </c>
      <c r="HP115" t="e">
        <f>AND(Bills!AA418,"AAAAAF35/t8=")</f>
        <v>#VALUE!</v>
      </c>
      <c r="HQ115" t="e">
        <f>AND(Bills!AB418,"AAAAAF35/uA=")</f>
        <v>#VALUE!</v>
      </c>
      <c r="HR115" t="e">
        <f>AND(Bills!#REF!,"AAAAAF35/uE=")</f>
        <v>#REF!</v>
      </c>
      <c r="HS115" t="e">
        <f>AND(Bills!#REF!,"AAAAAF35/uI=")</f>
        <v>#REF!</v>
      </c>
      <c r="HT115" t="e">
        <f>AND(Bills!#REF!,"AAAAAF35/uM=")</f>
        <v>#REF!</v>
      </c>
      <c r="HU115" t="e">
        <f>AND(Bills!AC418,"AAAAAF35/uQ=")</f>
        <v>#VALUE!</v>
      </c>
      <c r="HV115" t="e">
        <f>AND(Bills!AD418,"AAAAAF35/uU=")</f>
        <v>#VALUE!</v>
      </c>
      <c r="HW115" t="e">
        <f>AND(Bills!AE418,"AAAAAF35/uY=")</f>
        <v>#VALUE!</v>
      </c>
      <c r="HX115">
        <f>IF(Bills!419:419,"AAAAAF35/uc=",0)</f>
        <v>0</v>
      </c>
      <c r="HY115" t="e">
        <f>AND(Bills!B419,"AAAAAF35/ug=")</f>
        <v>#VALUE!</v>
      </c>
      <c r="HZ115" t="e">
        <f>AND(Bills!#REF!,"AAAAAF35/uk=")</f>
        <v>#REF!</v>
      </c>
      <c r="IA115" t="e">
        <f>AND(Bills!C419,"AAAAAF35/uo=")</f>
        <v>#VALUE!</v>
      </c>
      <c r="IB115" t="e">
        <f>AND(Bills!D419,"AAAAAF35/us=")</f>
        <v>#VALUE!</v>
      </c>
      <c r="IC115" t="e">
        <f>AND(Bills!E419,"AAAAAF35/uw=")</f>
        <v>#VALUE!</v>
      </c>
      <c r="ID115" t="e">
        <f>AND(Bills!#REF!,"AAAAAF35/u0=")</f>
        <v>#REF!</v>
      </c>
      <c r="IE115" t="e">
        <f>AND(Bills!#REF!,"AAAAAF35/u4=")</f>
        <v>#REF!</v>
      </c>
      <c r="IF115" t="e">
        <f>AND(Bills!#REF!,"AAAAAF35/u8=")</f>
        <v>#REF!</v>
      </c>
      <c r="IG115" t="e">
        <f>AND(Bills!F419,"AAAAAF35/vA=")</f>
        <v>#VALUE!</v>
      </c>
      <c r="IH115" t="e">
        <f>AND(Bills!#REF!,"AAAAAF35/vE=")</f>
        <v>#REF!</v>
      </c>
      <c r="II115" t="e">
        <f>AND(Bills!G419,"AAAAAF35/vI=")</f>
        <v>#VALUE!</v>
      </c>
      <c r="IJ115" t="e">
        <f>AND(Bills!H419,"AAAAAF35/vM=")</f>
        <v>#VALUE!</v>
      </c>
      <c r="IK115" t="e">
        <f>AND(Bills!I419,"AAAAAF35/vQ=")</f>
        <v>#VALUE!</v>
      </c>
      <c r="IL115" t="e">
        <f>AND(Bills!J419,"AAAAAF35/vU=")</f>
        <v>#VALUE!</v>
      </c>
      <c r="IM115" t="e">
        <f>AND(Bills!K419,"AAAAAF35/vY=")</f>
        <v>#VALUE!</v>
      </c>
      <c r="IN115" t="e">
        <f>AND(Bills!L419,"AAAAAF35/vc=")</f>
        <v>#VALUE!</v>
      </c>
      <c r="IO115" t="e">
        <f>AND(Bills!#REF!,"AAAAAF35/vg=")</f>
        <v>#REF!</v>
      </c>
      <c r="IP115" t="e">
        <f>AND(Bills!M419,"AAAAAF35/vk=")</f>
        <v>#VALUE!</v>
      </c>
      <c r="IQ115" t="e">
        <f>AND(Bills!N419,"AAAAAF35/vo=")</f>
        <v>#VALUE!</v>
      </c>
      <c r="IR115" t="e">
        <f>AND(Bills!O419,"AAAAAF35/vs=")</f>
        <v>#VALUE!</v>
      </c>
      <c r="IS115" t="e">
        <f>AND(Bills!P419,"AAAAAF35/vw=")</f>
        <v>#VALUE!</v>
      </c>
      <c r="IT115" t="e">
        <f>AND(Bills!Q419,"AAAAAF35/v0=")</f>
        <v>#VALUE!</v>
      </c>
      <c r="IU115" t="e">
        <f>AND(Bills!R419,"AAAAAF35/v4=")</f>
        <v>#VALUE!</v>
      </c>
      <c r="IV115" t="e">
        <f>AND(Bills!S419,"AAAAAF35/v8=")</f>
        <v>#VALUE!</v>
      </c>
    </row>
    <row r="116" spans="1:256" x14ac:dyDescent="0.25">
      <c r="A116" t="e">
        <f>AND(Bills!T419,"AAAAAFL/+wA=")</f>
        <v>#VALUE!</v>
      </c>
      <c r="B116" t="e">
        <f>AND(Bills!#REF!,"AAAAAFL/+wE=")</f>
        <v>#REF!</v>
      </c>
      <c r="C116" t="e">
        <f>AND(Bills!U419,"AAAAAFL/+wI=")</f>
        <v>#VALUE!</v>
      </c>
      <c r="D116" t="e">
        <f>AND(Bills!V419,"AAAAAFL/+wM=")</f>
        <v>#VALUE!</v>
      </c>
      <c r="E116" t="e">
        <f>AND(Bills!W419,"AAAAAFL/+wQ=")</f>
        <v>#VALUE!</v>
      </c>
      <c r="F116" t="e">
        <f>AND(Bills!#REF!,"AAAAAFL/+wU=")</f>
        <v>#REF!</v>
      </c>
      <c r="G116" t="e">
        <f>AND(Bills!#REF!,"AAAAAFL/+wY=")</f>
        <v>#REF!</v>
      </c>
      <c r="H116" t="e">
        <f>AND(Bills!Y419,"AAAAAFL/+wc=")</f>
        <v>#VALUE!</v>
      </c>
      <c r="I116" t="e">
        <f>AND(Bills!Z419,"AAAAAFL/+wg=")</f>
        <v>#VALUE!</v>
      </c>
      <c r="J116" t="e">
        <f>AND(Bills!#REF!,"AAAAAFL/+wk=")</f>
        <v>#REF!</v>
      </c>
      <c r="K116" t="e">
        <f>AND(Bills!#REF!,"AAAAAFL/+wo=")</f>
        <v>#REF!</v>
      </c>
      <c r="L116" t="e">
        <f>AND(Bills!#REF!,"AAAAAFL/+ws=")</f>
        <v>#REF!</v>
      </c>
      <c r="M116" t="e">
        <f>AND(Bills!#REF!,"AAAAAFL/+ww=")</f>
        <v>#REF!</v>
      </c>
      <c r="N116" t="e">
        <f>AND(Bills!#REF!,"AAAAAFL/+w0=")</f>
        <v>#REF!</v>
      </c>
      <c r="O116" t="e">
        <f>AND(Bills!#REF!,"AAAAAFL/+w4=")</f>
        <v>#REF!</v>
      </c>
      <c r="P116" t="e">
        <f>AND(Bills!#REF!,"AAAAAFL/+w8=")</f>
        <v>#REF!</v>
      </c>
      <c r="Q116" t="e">
        <f>AND(Bills!#REF!,"AAAAAFL/+xA=")</f>
        <v>#REF!</v>
      </c>
      <c r="R116" t="e">
        <f>AND(Bills!#REF!,"AAAAAFL/+xE=")</f>
        <v>#REF!</v>
      </c>
      <c r="S116" t="e">
        <f>AND(Bills!AA419,"AAAAAFL/+xI=")</f>
        <v>#VALUE!</v>
      </c>
      <c r="T116" t="e">
        <f>AND(Bills!AB419,"AAAAAFL/+xM=")</f>
        <v>#VALUE!</v>
      </c>
      <c r="U116" t="e">
        <f>AND(Bills!#REF!,"AAAAAFL/+xQ=")</f>
        <v>#REF!</v>
      </c>
      <c r="V116" t="e">
        <f>AND(Bills!#REF!,"AAAAAFL/+xU=")</f>
        <v>#REF!</v>
      </c>
      <c r="W116" t="e">
        <f>AND(Bills!#REF!,"AAAAAFL/+xY=")</f>
        <v>#REF!</v>
      </c>
      <c r="X116" t="e">
        <f>AND(Bills!AC419,"AAAAAFL/+xc=")</f>
        <v>#VALUE!</v>
      </c>
      <c r="Y116" t="e">
        <f>AND(Bills!AD419,"AAAAAFL/+xg=")</f>
        <v>#VALUE!</v>
      </c>
      <c r="Z116" t="e">
        <f>AND(Bills!AE419,"AAAAAFL/+xk=")</f>
        <v>#VALUE!</v>
      </c>
      <c r="AA116">
        <f>IF(Bills!420:420,"AAAAAFL/+xo=",0)</f>
        <v>0</v>
      </c>
      <c r="AB116" t="e">
        <f>AND(Bills!B420,"AAAAAFL/+xs=")</f>
        <v>#VALUE!</v>
      </c>
      <c r="AC116" t="e">
        <f>AND(Bills!#REF!,"AAAAAFL/+xw=")</f>
        <v>#REF!</v>
      </c>
      <c r="AD116" t="e">
        <f>AND(Bills!C420,"AAAAAFL/+x0=")</f>
        <v>#VALUE!</v>
      </c>
      <c r="AE116" t="e">
        <f>AND(Bills!D420,"AAAAAFL/+x4=")</f>
        <v>#VALUE!</v>
      </c>
      <c r="AF116" t="e">
        <f>AND(Bills!E420,"AAAAAFL/+x8=")</f>
        <v>#VALUE!</v>
      </c>
      <c r="AG116" t="e">
        <f>AND(Bills!#REF!,"AAAAAFL/+yA=")</f>
        <v>#REF!</v>
      </c>
      <c r="AH116" t="e">
        <f>AND(Bills!#REF!,"AAAAAFL/+yE=")</f>
        <v>#REF!</v>
      </c>
      <c r="AI116" t="e">
        <f>AND(Bills!#REF!,"AAAAAFL/+yI=")</f>
        <v>#REF!</v>
      </c>
      <c r="AJ116" t="e">
        <f>AND(Bills!F420,"AAAAAFL/+yM=")</f>
        <v>#VALUE!</v>
      </c>
      <c r="AK116" t="e">
        <f>AND(Bills!#REF!,"AAAAAFL/+yQ=")</f>
        <v>#REF!</v>
      </c>
      <c r="AL116" t="e">
        <f>AND(Bills!G420,"AAAAAFL/+yU=")</f>
        <v>#VALUE!</v>
      </c>
      <c r="AM116" t="e">
        <f>AND(Bills!H420,"AAAAAFL/+yY=")</f>
        <v>#VALUE!</v>
      </c>
      <c r="AN116" t="e">
        <f>AND(Bills!I420,"AAAAAFL/+yc=")</f>
        <v>#VALUE!</v>
      </c>
      <c r="AO116" t="e">
        <f>AND(Bills!J420,"AAAAAFL/+yg=")</f>
        <v>#VALUE!</v>
      </c>
      <c r="AP116" t="e">
        <f>AND(Bills!K420,"AAAAAFL/+yk=")</f>
        <v>#VALUE!</v>
      </c>
      <c r="AQ116" t="e">
        <f>AND(Bills!L420,"AAAAAFL/+yo=")</f>
        <v>#VALUE!</v>
      </c>
      <c r="AR116" t="e">
        <f>AND(Bills!#REF!,"AAAAAFL/+ys=")</f>
        <v>#REF!</v>
      </c>
      <c r="AS116" t="e">
        <f>AND(Bills!M420,"AAAAAFL/+yw=")</f>
        <v>#VALUE!</v>
      </c>
      <c r="AT116" t="e">
        <f>AND(Bills!N420,"AAAAAFL/+y0=")</f>
        <v>#VALUE!</v>
      </c>
      <c r="AU116" t="e">
        <f>AND(Bills!O420,"AAAAAFL/+y4=")</f>
        <v>#VALUE!</v>
      </c>
      <c r="AV116" t="e">
        <f>AND(Bills!P420,"AAAAAFL/+y8=")</f>
        <v>#VALUE!</v>
      </c>
      <c r="AW116" t="e">
        <f>AND(Bills!Q420,"AAAAAFL/+zA=")</f>
        <v>#VALUE!</v>
      </c>
      <c r="AX116" t="e">
        <f>AND(Bills!R420,"AAAAAFL/+zE=")</f>
        <v>#VALUE!</v>
      </c>
      <c r="AY116" t="e">
        <f>AND(Bills!S420,"AAAAAFL/+zI=")</f>
        <v>#VALUE!</v>
      </c>
      <c r="AZ116" t="e">
        <f>AND(Bills!T420,"AAAAAFL/+zM=")</f>
        <v>#VALUE!</v>
      </c>
      <c r="BA116" t="e">
        <f>AND(Bills!#REF!,"AAAAAFL/+zQ=")</f>
        <v>#REF!</v>
      </c>
      <c r="BB116" t="e">
        <f>AND(Bills!U420,"AAAAAFL/+zU=")</f>
        <v>#VALUE!</v>
      </c>
      <c r="BC116" t="e">
        <f>AND(Bills!V420,"AAAAAFL/+zY=")</f>
        <v>#VALUE!</v>
      </c>
      <c r="BD116" t="e">
        <f>AND(Bills!W420,"AAAAAFL/+zc=")</f>
        <v>#VALUE!</v>
      </c>
      <c r="BE116" t="e">
        <f>AND(Bills!#REF!,"AAAAAFL/+zg=")</f>
        <v>#REF!</v>
      </c>
      <c r="BF116" t="e">
        <f>AND(Bills!#REF!,"AAAAAFL/+zk=")</f>
        <v>#REF!</v>
      </c>
      <c r="BG116" t="e">
        <f>AND(Bills!Y420,"AAAAAFL/+zo=")</f>
        <v>#VALUE!</v>
      </c>
      <c r="BH116" t="e">
        <f>AND(Bills!Z420,"AAAAAFL/+zs=")</f>
        <v>#VALUE!</v>
      </c>
      <c r="BI116" t="e">
        <f>AND(Bills!#REF!,"AAAAAFL/+zw=")</f>
        <v>#REF!</v>
      </c>
      <c r="BJ116" t="e">
        <f>AND(Bills!#REF!,"AAAAAFL/+z0=")</f>
        <v>#REF!</v>
      </c>
      <c r="BK116" t="e">
        <f>AND(Bills!#REF!,"AAAAAFL/+z4=")</f>
        <v>#REF!</v>
      </c>
      <c r="BL116" t="e">
        <f>AND(Bills!#REF!,"AAAAAFL/+z8=")</f>
        <v>#REF!</v>
      </c>
      <c r="BM116" t="e">
        <f>AND(Bills!#REF!,"AAAAAFL/+0A=")</f>
        <v>#REF!</v>
      </c>
      <c r="BN116" t="e">
        <f>AND(Bills!#REF!,"AAAAAFL/+0E=")</f>
        <v>#REF!</v>
      </c>
      <c r="BO116" t="e">
        <f>AND(Bills!#REF!,"AAAAAFL/+0I=")</f>
        <v>#REF!</v>
      </c>
      <c r="BP116" t="e">
        <f>AND(Bills!#REF!,"AAAAAFL/+0M=")</f>
        <v>#REF!</v>
      </c>
      <c r="BQ116" t="e">
        <f>AND(Bills!#REF!,"AAAAAFL/+0Q=")</f>
        <v>#REF!</v>
      </c>
      <c r="BR116" t="e">
        <f>AND(Bills!AA420,"AAAAAFL/+0U=")</f>
        <v>#VALUE!</v>
      </c>
      <c r="BS116" t="e">
        <f>AND(Bills!AB420,"AAAAAFL/+0Y=")</f>
        <v>#VALUE!</v>
      </c>
      <c r="BT116" t="e">
        <f>AND(Bills!#REF!,"AAAAAFL/+0c=")</f>
        <v>#REF!</v>
      </c>
      <c r="BU116" t="e">
        <f>AND(Bills!#REF!,"AAAAAFL/+0g=")</f>
        <v>#REF!</v>
      </c>
      <c r="BV116" t="e">
        <f>AND(Bills!#REF!,"AAAAAFL/+0k=")</f>
        <v>#REF!</v>
      </c>
      <c r="BW116" t="e">
        <f>AND(Bills!AC420,"AAAAAFL/+0o=")</f>
        <v>#VALUE!</v>
      </c>
      <c r="BX116" t="e">
        <f>AND(Bills!AD420,"AAAAAFL/+0s=")</f>
        <v>#VALUE!</v>
      </c>
      <c r="BY116" t="e">
        <f>AND(Bills!AE420,"AAAAAFL/+0w=")</f>
        <v>#VALUE!</v>
      </c>
      <c r="BZ116">
        <f>IF(Bills!421:421,"AAAAAFL/+00=",0)</f>
        <v>0</v>
      </c>
      <c r="CA116" t="e">
        <f>AND(Bills!B421,"AAAAAFL/+04=")</f>
        <v>#VALUE!</v>
      </c>
      <c r="CB116" t="e">
        <f>AND(Bills!#REF!,"AAAAAFL/+08=")</f>
        <v>#REF!</v>
      </c>
      <c r="CC116" t="e">
        <f>AND(Bills!C421,"AAAAAFL/+1A=")</f>
        <v>#VALUE!</v>
      </c>
      <c r="CD116" t="e">
        <f>AND(Bills!D421,"AAAAAFL/+1E=")</f>
        <v>#VALUE!</v>
      </c>
      <c r="CE116" t="e">
        <f>AND(Bills!E421,"AAAAAFL/+1I=")</f>
        <v>#VALUE!</v>
      </c>
      <c r="CF116" t="e">
        <f>AND(Bills!#REF!,"AAAAAFL/+1M=")</f>
        <v>#REF!</v>
      </c>
      <c r="CG116" t="e">
        <f>AND(Bills!#REF!,"AAAAAFL/+1Q=")</f>
        <v>#REF!</v>
      </c>
      <c r="CH116" t="e">
        <f>AND(Bills!#REF!,"AAAAAFL/+1U=")</f>
        <v>#REF!</v>
      </c>
      <c r="CI116" t="e">
        <f>AND(Bills!F421,"AAAAAFL/+1Y=")</f>
        <v>#VALUE!</v>
      </c>
      <c r="CJ116" t="e">
        <f>AND(Bills!#REF!,"AAAAAFL/+1c=")</f>
        <v>#REF!</v>
      </c>
      <c r="CK116" t="e">
        <f>AND(Bills!G421,"AAAAAFL/+1g=")</f>
        <v>#VALUE!</v>
      </c>
      <c r="CL116" t="e">
        <f>AND(Bills!H421,"AAAAAFL/+1k=")</f>
        <v>#VALUE!</v>
      </c>
      <c r="CM116" t="e">
        <f>AND(Bills!I421,"AAAAAFL/+1o=")</f>
        <v>#VALUE!</v>
      </c>
      <c r="CN116" t="e">
        <f>AND(Bills!J421,"AAAAAFL/+1s=")</f>
        <v>#VALUE!</v>
      </c>
      <c r="CO116" t="e">
        <f>AND(Bills!K421,"AAAAAFL/+1w=")</f>
        <v>#VALUE!</v>
      </c>
      <c r="CP116" t="e">
        <f>AND(Bills!L421,"AAAAAFL/+10=")</f>
        <v>#VALUE!</v>
      </c>
      <c r="CQ116" t="e">
        <f>AND(Bills!#REF!,"AAAAAFL/+14=")</f>
        <v>#REF!</v>
      </c>
      <c r="CR116" t="e">
        <f>AND(Bills!M421,"AAAAAFL/+18=")</f>
        <v>#VALUE!</v>
      </c>
      <c r="CS116" t="e">
        <f>AND(Bills!N421,"AAAAAFL/+2A=")</f>
        <v>#VALUE!</v>
      </c>
      <c r="CT116" t="e">
        <f>AND(Bills!O421,"AAAAAFL/+2E=")</f>
        <v>#VALUE!</v>
      </c>
      <c r="CU116" t="e">
        <f>AND(Bills!P421,"AAAAAFL/+2I=")</f>
        <v>#VALUE!</v>
      </c>
      <c r="CV116" t="e">
        <f>AND(Bills!Q421,"AAAAAFL/+2M=")</f>
        <v>#VALUE!</v>
      </c>
      <c r="CW116" t="e">
        <f>AND(Bills!R421,"AAAAAFL/+2Q=")</f>
        <v>#VALUE!</v>
      </c>
      <c r="CX116" t="e">
        <f>AND(Bills!S421,"AAAAAFL/+2U=")</f>
        <v>#VALUE!</v>
      </c>
      <c r="CY116" t="e">
        <f>AND(Bills!T421,"AAAAAFL/+2Y=")</f>
        <v>#VALUE!</v>
      </c>
      <c r="CZ116" t="e">
        <f>AND(Bills!#REF!,"AAAAAFL/+2c=")</f>
        <v>#REF!</v>
      </c>
      <c r="DA116" t="e">
        <f>AND(Bills!U421,"AAAAAFL/+2g=")</f>
        <v>#VALUE!</v>
      </c>
      <c r="DB116" t="e">
        <f>AND(Bills!V421,"AAAAAFL/+2k=")</f>
        <v>#VALUE!</v>
      </c>
      <c r="DC116" t="e">
        <f>AND(Bills!W421,"AAAAAFL/+2o=")</f>
        <v>#VALUE!</v>
      </c>
      <c r="DD116" t="e">
        <f>AND(Bills!#REF!,"AAAAAFL/+2s=")</f>
        <v>#REF!</v>
      </c>
      <c r="DE116" t="e">
        <f>AND(Bills!#REF!,"AAAAAFL/+2w=")</f>
        <v>#REF!</v>
      </c>
      <c r="DF116" t="e">
        <f>AND(Bills!Y421,"AAAAAFL/+20=")</f>
        <v>#VALUE!</v>
      </c>
      <c r="DG116" t="e">
        <f>AND(Bills!Z421,"AAAAAFL/+24=")</f>
        <v>#VALUE!</v>
      </c>
      <c r="DH116" t="e">
        <f>AND(Bills!#REF!,"AAAAAFL/+28=")</f>
        <v>#REF!</v>
      </c>
      <c r="DI116" t="e">
        <f>AND(Bills!#REF!,"AAAAAFL/+3A=")</f>
        <v>#REF!</v>
      </c>
      <c r="DJ116" t="e">
        <f>AND(Bills!#REF!,"AAAAAFL/+3E=")</f>
        <v>#REF!</v>
      </c>
      <c r="DK116" t="e">
        <f>AND(Bills!#REF!,"AAAAAFL/+3I=")</f>
        <v>#REF!</v>
      </c>
      <c r="DL116" t="e">
        <f>AND(Bills!#REF!,"AAAAAFL/+3M=")</f>
        <v>#REF!</v>
      </c>
      <c r="DM116" t="e">
        <f>AND(Bills!#REF!,"AAAAAFL/+3Q=")</f>
        <v>#REF!</v>
      </c>
      <c r="DN116" t="e">
        <f>AND(Bills!#REF!,"AAAAAFL/+3U=")</f>
        <v>#REF!</v>
      </c>
      <c r="DO116" t="e">
        <f>AND(Bills!#REF!,"AAAAAFL/+3Y=")</f>
        <v>#REF!</v>
      </c>
      <c r="DP116" t="e">
        <f>AND(Bills!#REF!,"AAAAAFL/+3c=")</f>
        <v>#REF!</v>
      </c>
      <c r="DQ116" t="e">
        <f>AND(Bills!AA421,"AAAAAFL/+3g=")</f>
        <v>#VALUE!</v>
      </c>
      <c r="DR116" t="e">
        <f>AND(Bills!AB421,"AAAAAFL/+3k=")</f>
        <v>#VALUE!</v>
      </c>
      <c r="DS116" t="e">
        <f>AND(Bills!#REF!,"AAAAAFL/+3o=")</f>
        <v>#REF!</v>
      </c>
      <c r="DT116" t="e">
        <f>AND(Bills!#REF!,"AAAAAFL/+3s=")</f>
        <v>#REF!</v>
      </c>
      <c r="DU116" t="e">
        <f>AND(Bills!#REF!,"AAAAAFL/+3w=")</f>
        <v>#REF!</v>
      </c>
      <c r="DV116" t="e">
        <f>AND(Bills!AC421,"AAAAAFL/+30=")</f>
        <v>#VALUE!</v>
      </c>
      <c r="DW116" t="e">
        <f>AND(Bills!AD421,"AAAAAFL/+34=")</f>
        <v>#VALUE!</v>
      </c>
      <c r="DX116" t="e">
        <f>AND(Bills!AE421,"AAAAAFL/+38=")</f>
        <v>#VALUE!</v>
      </c>
      <c r="DY116">
        <f>IF(Bills!422:422,"AAAAAFL/+4A=",0)</f>
        <v>0</v>
      </c>
      <c r="DZ116" t="e">
        <f>AND(Bills!B422,"AAAAAFL/+4E=")</f>
        <v>#VALUE!</v>
      </c>
      <c r="EA116" t="e">
        <f>AND(Bills!#REF!,"AAAAAFL/+4I=")</f>
        <v>#REF!</v>
      </c>
      <c r="EB116" t="e">
        <f>AND(Bills!C422,"AAAAAFL/+4M=")</f>
        <v>#VALUE!</v>
      </c>
      <c r="EC116" t="e">
        <f>AND(Bills!D422,"AAAAAFL/+4Q=")</f>
        <v>#VALUE!</v>
      </c>
      <c r="ED116" t="e">
        <f>AND(Bills!E422,"AAAAAFL/+4U=")</f>
        <v>#VALUE!</v>
      </c>
      <c r="EE116" t="e">
        <f>AND(Bills!#REF!,"AAAAAFL/+4Y=")</f>
        <v>#REF!</v>
      </c>
      <c r="EF116" t="e">
        <f>AND(Bills!#REF!,"AAAAAFL/+4c=")</f>
        <v>#REF!</v>
      </c>
      <c r="EG116" t="e">
        <f>AND(Bills!#REF!,"AAAAAFL/+4g=")</f>
        <v>#REF!</v>
      </c>
      <c r="EH116" t="e">
        <f>AND(Bills!F422,"AAAAAFL/+4k=")</f>
        <v>#VALUE!</v>
      </c>
      <c r="EI116" t="e">
        <f>AND(Bills!#REF!,"AAAAAFL/+4o=")</f>
        <v>#REF!</v>
      </c>
      <c r="EJ116" t="e">
        <f>AND(Bills!G422,"AAAAAFL/+4s=")</f>
        <v>#VALUE!</v>
      </c>
      <c r="EK116" t="e">
        <f>AND(Bills!H422,"AAAAAFL/+4w=")</f>
        <v>#VALUE!</v>
      </c>
      <c r="EL116" t="e">
        <f>AND(Bills!I422,"AAAAAFL/+40=")</f>
        <v>#VALUE!</v>
      </c>
      <c r="EM116" t="e">
        <f>AND(Bills!J422,"AAAAAFL/+44=")</f>
        <v>#VALUE!</v>
      </c>
      <c r="EN116" t="e">
        <f>AND(Bills!K422,"AAAAAFL/+48=")</f>
        <v>#VALUE!</v>
      </c>
      <c r="EO116" t="e">
        <f>AND(Bills!L422,"AAAAAFL/+5A=")</f>
        <v>#VALUE!</v>
      </c>
      <c r="EP116" t="e">
        <f>AND(Bills!#REF!,"AAAAAFL/+5E=")</f>
        <v>#REF!</v>
      </c>
      <c r="EQ116" t="e">
        <f>AND(Bills!M422,"AAAAAFL/+5I=")</f>
        <v>#VALUE!</v>
      </c>
      <c r="ER116" t="e">
        <f>AND(Bills!N422,"AAAAAFL/+5M=")</f>
        <v>#VALUE!</v>
      </c>
      <c r="ES116" t="e">
        <f>AND(Bills!O422,"AAAAAFL/+5Q=")</f>
        <v>#VALUE!</v>
      </c>
      <c r="ET116" t="e">
        <f>AND(Bills!P422,"AAAAAFL/+5U=")</f>
        <v>#VALUE!</v>
      </c>
      <c r="EU116" t="e">
        <f>AND(Bills!Q422,"AAAAAFL/+5Y=")</f>
        <v>#VALUE!</v>
      </c>
      <c r="EV116" t="e">
        <f>AND(Bills!R422,"AAAAAFL/+5c=")</f>
        <v>#VALUE!</v>
      </c>
      <c r="EW116" t="e">
        <f>AND(Bills!S422,"AAAAAFL/+5g=")</f>
        <v>#VALUE!</v>
      </c>
      <c r="EX116" t="e">
        <f>AND(Bills!T422,"AAAAAFL/+5k=")</f>
        <v>#VALUE!</v>
      </c>
      <c r="EY116" t="e">
        <f>AND(Bills!#REF!,"AAAAAFL/+5o=")</f>
        <v>#REF!</v>
      </c>
      <c r="EZ116" t="e">
        <f>AND(Bills!U422,"AAAAAFL/+5s=")</f>
        <v>#VALUE!</v>
      </c>
      <c r="FA116" t="e">
        <f>AND(Bills!V422,"AAAAAFL/+5w=")</f>
        <v>#VALUE!</v>
      </c>
      <c r="FB116" t="e">
        <f>AND(Bills!W422,"AAAAAFL/+50=")</f>
        <v>#VALUE!</v>
      </c>
      <c r="FC116" t="e">
        <f>AND(Bills!#REF!,"AAAAAFL/+54=")</f>
        <v>#REF!</v>
      </c>
      <c r="FD116" t="e">
        <f>AND(Bills!#REF!,"AAAAAFL/+58=")</f>
        <v>#REF!</v>
      </c>
      <c r="FE116" t="e">
        <f>AND(Bills!Y422,"AAAAAFL/+6A=")</f>
        <v>#VALUE!</v>
      </c>
      <c r="FF116" t="e">
        <f>AND(Bills!Z422,"AAAAAFL/+6E=")</f>
        <v>#VALUE!</v>
      </c>
      <c r="FG116" t="e">
        <f>AND(Bills!#REF!,"AAAAAFL/+6I=")</f>
        <v>#REF!</v>
      </c>
      <c r="FH116" t="e">
        <f>AND(Bills!#REF!,"AAAAAFL/+6M=")</f>
        <v>#REF!</v>
      </c>
      <c r="FI116" t="e">
        <f>AND(Bills!#REF!,"AAAAAFL/+6Q=")</f>
        <v>#REF!</v>
      </c>
      <c r="FJ116" t="e">
        <f>AND(Bills!#REF!,"AAAAAFL/+6U=")</f>
        <v>#REF!</v>
      </c>
      <c r="FK116" t="e">
        <f>AND(Bills!#REF!,"AAAAAFL/+6Y=")</f>
        <v>#REF!</v>
      </c>
      <c r="FL116" t="e">
        <f>AND(Bills!#REF!,"AAAAAFL/+6c=")</f>
        <v>#REF!</v>
      </c>
      <c r="FM116" t="e">
        <f>AND(Bills!#REF!,"AAAAAFL/+6g=")</f>
        <v>#REF!</v>
      </c>
      <c r="FN116" t="e">
        <f>AND(Bills!#REF!,"AAAAAFL/+6k=")</f>
        <v>#REF!</v>
      </c>
      <c r="FO116" t="e">
        <f>AND(Bills!#REF!,"AAAAAFL/+6o=")</f>
        <v>#REF!</v>
      </c>
      <c r="FP116" t="e">
        <f>AND(Bills!AA422,"AAAAAFL/+6s=")</f>
        <v>#VALUE!</v>
      </c>
      <c r="FQ116" t="e">
        <f>AND(Bills!AB422,"AAAAAFL/+6w=")</f>
        <v>#VALUE!</v>
      </c>
      <c r="FR116" t="e">
        <f>AND(Bills!#REF!,"AAAAAFL/+60=")</f>
        <v>#REF!</v>
      </c>
      <c r="FS116" t="e">
        <f>AND(Bills!#REF!,"AAAAAFL/+64=")</f>
        <v>#REF!</v>
      </c>
      <c r="FT116" t="e">
        <f>AND(Bills!#REF!,"AAAAAFL/+68=")</f>
        <v>#REF!</v>
      </c>
      <c r="FU116" t="e">
        <f>AND(Bills!AC422,"AAAAAFL/+7A=")</f>
        <v>#VALUE!</v>
      </c>
      <c r="FV116" t="e">
        <f>AND(Bills!AD422,"AAAAAFL/+7E=")</f>
        <v>#VALUE!</v>
      </c>
      <c r="FW116" t="e">
        <f>AND(Bills!AE422,"AAAAAFL/+7I=")</f>
        <v>#VALUE!</v>
      </c>
      <c r="FX116">
        <f>IF(Bills!423:423,"AAAAAFL/+7M=",0)</f>
        <v>0</v>
      </c>
      <c r="FY116" t="e">
        <f>AND(Bills!B423,"AAAAAFL/+7Q=")</f>
        <v>#VALUE!</v>
      </c>
      <c r="FZ116" t="e">
        <f>AND(Bills!#REF!,"AAAAAFL/+7U=")</f>
        <v>#REF!</v>
      </c>
      <c r="GA116" t="e">
        <f>AND(Bills!C423,"AAAAAFL/+7Y=")</f>
        <v>#VALUE!</v>
      </c>
      <c r="GB116" t="e">
        <f>AND(Bills!D423,"AAAAAFL/+7c=")</f>
        <v>#VALUE!</v>
      </c>
      <c r="GC116" t="e">
        <f>AND(Bills!E423,"AAAAAFL/+7g=")</f>
        <v>#VALUE!</v>
      </c>
      <c r="GD116" t="e">
        <f>AND(Bills!#REF!,"AAAAAFL/+7k=")</f>
        <v>#REF!</v>
      </c>
      <c r="GE116" t="e">
        <f>AND(Bills!#REF!,"AAAAAFL/+7o=")</f>
        <v>#REF!</v>
      </c>
      <c r="GF116" t="e">
        <f>AND(Bills!#REF!,"AAAAAFL/+7s=")</f>
        <v>#REF!</v>
      </c>
      <c r="GG116" t="e">
        <f>AND(Bills!F423,"AAAAAFL/+7w=")</f>
        <v>#VALUE!</v>
      </c>
      <c r="GH116" t="e">
        <f>AND(Bills!#REF!,"AAAAAFL/+70=")</f>
        <v>#REF!</v>
      </c>
      <c r="GI116" t="e">
        <f>AND(Bills!G423,"AAAAAFL/+74=")</f>
        <v>#VALUE!</v>
      </c>
      <c r="GJ116" t="e">
        <f>AND(Bills!H423,"AAAAAFL/+78=")</f>
        <v>#VALUE!</v>
      </c>
      <c r="GK116" t="e">
        <f>AND(Bills!I423,"AAAAAFL/+8A=")</f>
        <v>#VALUE!</v>
      </c>
      <c r="GL116" t="e">
        <f>AND(Bills!J423,"AAAAAFL/+8E=")</f>
        <v>#VALUE!</v>
      </c>
      <c r="GM116" t="e">
        <f>AND(Bills!K423,"AAAAAFL/+8I=")</f>
        <v>#VALUE!</v>
      </c>
      <c r="GN116" t="e">
        <f>AND(Bills!L423,"AAAAAFL/+8M=")</f>
        <v>#VALUE!</v>
      </c>
      <c r="GO116" t="e">
        <f>AND(Bills!#REF!,"AAAAAFL/+8Q=")</f>
        <v>#REF!</v>
      </c>
      <c r="GP116" t="e">
        <f>AND(Bills!M423,"AAAAAFL/+8U=")</f>
        <v>#VALUE!</v>
      </c>
      <c r="GQ116" t="e">
        <f>AND(Bills!N423,"AAAAAFL/+8Y=")</f>
        <v>#VALUE!</v>
      </c>
      <c r="GR116" t="e">
        <f>AND(Bills!O423,"AAAAAFL/+8c=")</f>
        <v>#VALUE!</v>
      </c>
      <c r="GS116" t="e">
        <f>AND(Bills!P423,"AAAAAFL/+8g=")</f>
        <v>#VALUE!</v>
      </c>
      <c r="GT116" t="e">
        <f>AND(Bills!Q423,"AAAAAFL/+8k=")</f>
        <v>#VALUE!</v>
      </c>
      <c r="GU116" t="e">
        <f>AND(Bills!R423,"AAAAAFL/+8o=")</f>
        <v>#VALUE!</v>
      </c>
      <c r="GV116" t="e">
        <f>AND(Bills!S423,"AAAAAFL/+8s=")</f>
        <v>#VALUE!</v>
      </c>
      <c r="GW116" t="e">
        <f>AND(Bills!T423,"AAAAAFL/+8w=")</f>
        <v>#VALUE!</v>
      </c>
      <c r="GX116" t="e">
        <f>AND(Bills!#REF!,"AAAAAFL/+80=")</f>
        <v>#REF!</v>
      </c>
      <c r="GY116" t="e">
        <f>AND(Bills!U423,"AAAAAFL/+84=")</f>
        <v>#VALUE!</v>
      </c>
      <c r="GZ116" t="e">
        <f>AND(Bills!V423,"AAAAAFL/+88=")</f>
        <v>#VALUE!</v>
      </c>
      <c r="HA116" t="e">
        <f>AND(Bills!W423,"AAAAAFL/+9A=")</f>
        <v>#VALUE!</v>
      </c>
      <c r="HB116" t="e">
        <f>AND(Bills!#REF!,"AAAAAFL/+9E=")</f>
        <v>#REF!</v>
      </c>
      <c r="HC116" t="e">
        <f>AND(Bills!#REF!,"AAAAAFL/+9I=")</f>
        <v>#REF!</v>
      </c>
      <c r="HD116" t="e">
        <f>AND(Bills!Y423,"AAAAAFL/+9M=")</f>
        <v>#VALUE!</v>
      </c>
      <c r="HE116" t="e">
        <f>AND(Bills!Z423,"AAAAAFL/+9Q=")</f>
        <v>#VALUE!</v>
      </c>
      <c r="HF116" t="e">
        <f>AND(Bills!#REF!,"AAAAAFL/+9U=")</f>
        <v>#REF!</v>
      </c>
      <c r="HG116" t="e">
        <f>AND(Bills!#REF!,"AAAAAFL/+9Y=")</f>
        <v>#REF!</v>
      </c>
      <c r="HH116" t="e">
        <f>AND(Bills!#REF!,"AAAAAFL/+9c=")</f>
        <v>#REF!</v>
      </c>
      <c r="HI116" t="e">
        <f>AND(Bills!#REF!,"AAAAAFL/+9g=")</f>
        <v>#REF!</v>
      </c>
      <c r="HJ116" t="e">
        <f>AND(Bills!#REF!,"AAAAAFL/+9k=")</f>
        <v>#REF!</v>
      </c>
      <c r="HK116" t="e">
        <f>AND(Bills!#REF!,"AAAAAFL/+9o=")</f>
        <v>#REF!</v>
      </c>
      <c r="HL116" t="e">
        <f>AND(Bills!#REF!,"AAAAAFL/+9s=")</f>
        <v>#REF!</v>
      </c>
      <c r="HM116" t="e">
        <f>AND(Bills!#REF!,"AAAAAFL/+9w=")</f>
        <v>#REF!</v>
      </c>
      <c r="HN116" t="e">
        <f>AND(Bills!#REF!,"AAAAAFL/+90=")</f>
        <v>#REF!</v>
      </c>
      <c r="HO116" t="e">
        <f>AND(Bills!AA423,"AAAAAFL/+94=")</f>
        <v>#VALUE!</v>
      </c>
      <c r="HP116" t="e">
        <f>AND(Bills!AB423,"AAAAAFL/+98=")</f>
        <v>#VALUE!</v>
      </c>
      <c r="HQ116" t="e">
        <f>AND(Bills!#REF!,"AAAAAFL/++A=")</f>
        <v>#REF!</v>
      </c>
      <c r="HR116" t="e">
        <f>AND(Bills!#REF!,"AAAAAFL/++E=")</f>
        <v>#REF!</v>
      </c>
      <c r="HS116" t="e">
        <f>AND(Bills!#REF!,"AAAAAFL/++I=")</f>
        <v>#REF!</v>
      </c>
      <c r="HT116" t="e">
        <f>AND(Bills!AC423,"AAAAAFL/++M=")</f>
        <v>#VALUE!</v>
      </c>
      <c r="HU116" t="e">
        <f>AND(Bills!AD423,"AAAAAFL/++Q=")</f>
        <v>#VALUE!</v>
      </c>
      <c r="HV116" t="e">
        <f>AND(Bills!AE423,"AAAAAFL/++U=")</f>
        <v>#VALUE!</v>
      </c>
      <c r="HW116">
        <f>IF(Bills!424:424,"AAAAAFL/++Y=",0)</f>
        <v>0</v>
      </c>
      <c r="HX116" t="e">
        <f>AND(Bills!B424,"AAAAAFL/++c=")</f>
        <v>#VALUE!</v>
      </c>
      <c r="HY116" t="e">
        <f>AND(Bills!#REF!,"AAAAAFL/++g=")</f>
        <v>#REF!</v>
      </c>
      <c r="HZ116" t="e">
        <f>AND(Bills!C424,"AAAAAFL/++k=")</f>
        <v>#VALUE!</v>
      </c>
      <c r="IA116" t="e">
        <f>AND(Bills!D424,"AAAAAFL/++o=")</f>
        <v>#VALUE!</v>
      </c>
      <c r="IB116" t="e">
        <f>AND(Bills!E424,"AAAAAFL/++s=")</f>
        <v>#VALUE!</v>
      </c>
      <c r="IC116" t="e">
        <f>AND(Bills!#REF!,"AAAAAFL/++w=")</f>
        <v>#REF!</v>
      </c>
      <c r="ID116" t="e">
        <f>AND(Bills!#REF!,"AAAAAFL/++0=")</f>
        <v>#REF!</v>
      </c>
      <c r="IE116" t="e">
        <f>AND(Bills!#REF!,"AAAAAFL/++4=")</f>
        <v>#REF!</v>
      </c>
      <c r="IF116" t="e">
        <f>AND(Bills!F424,"AAAAAFL/++8=")</f>
        <v>#VALUE!</v>
      </c>
      <c r="IG116" t="e">
        <f>AND(Bills!#REF!,"AAAAAFL/+/A=")</f>
        <v>#REF!</v>
      </c>
      <c r="IH116" t="e">
        <f>AND(Bills!G424,"AAAAAFL/+/E=")</f>
        <v>#VALUE!</v>
      </c>
      <c r="II116" t="e">
        <f>AND(Bills!H424,"AAAAAFL/+/I=")</f>
        <v>#VALUE!</v>
      </c>
      <c r="IJ116" t="e">
        <f>AND(Bills!I424,"AAAAAFL/+/M=")</f>
        <v>#VALUE!</v>
      </c>
      <c r="IK116" t="e">
        <f>AND(Bills!J424,"AAAAAFL/+/Q=")</f>
        <v>#VALUE!</v>
      </c>
      <c r="IL116" t="e">
        <f>AND(Bills!K424,"AAAAAFL/+/U=")</f>
        <v>#VALUE!</v>
      </c>
      <c r="IM116" t="e">
        <f>AND(Bills!L424,"AAAAAFL/+/Y=")</f>
        <v>#VALUE!</v>
      </c>
      <c r="IN116" t="e">
        <f>AND(Bills!#REF!,"AAAAAFL/+/c=")</f>
        <v>#REF!</v>
      </c>
      <c r="IO116" t="e">
        <f>AND(Bills!M424,"AAAAAFL/+/g=")</f>
        <v>#VALUE!</v>
      </c>
      <c r="IP116" t="e">
        <f>AND(Bills!N424,"AAAAAFL/+/k=")</f>
        <v>#VALUE!</v>
      </c>
      <c r="IQ116" t="e">
        <f>AND(Bills!O424,"AAAAAFL/+/o=")</f>
        <v>#VALUE!</v>
      </c>
      <c r="IR116" t="e">
        <f>AND(Bills!P424,"AAAAAFL/+/s=")</f>
        <v>#VALUE!</v>
      </c>
      <c r="IS116" t="e">
        <f>AND(Bills!Q424,"AAAAAFL/+/w=")</f>
        <v>#VALUE!</v>
      </c>
      <c r="IT116" t="e">
        <f>AND(Bills!R424,"AAAAAFL/+/0=")</f>
        <v>#VALUE!</v>
      </c>
      <c r="IU116" t="e">
        <f>AND(Bills!S424,"AAAAAFL/+/4=")</f>
        <v>#VALUE!</v>
      </c>
      <c r="IV116" t="e">
        <f>AND(Bills!T424,"AAAAAFL/+/8=")</f>
        <v>#VALUE!</v>
      </c>
    </row>
    <row r="117" spans="1:256" x14ac:dyDescent="0.25">
      <c r="A117" t="e">
        <f>AND(Bills!#REF!,"AAAAAH/3/gA=")</f>
        <v>#REF!</v>
      </c>
      <c r="B117" t="e">
        <f>AND(Bills!U424,"AAAAAH/3/gE=")</f>
        <v>#VALUE!</v>
      </c>
      <c r="C117" t="e">
        <f>AND(Bills!V424,"AAAAAH/3/gI=")</f>
        <v>#VALUE!</v>
      </c>
      <c r="D117" t="e">
        <f>AND(Bills!W424,"AAAAAH/3/gM=")</f>
        <v>#VALUE!</v>
      </c>
      <c r="E117" t="e">
        <f>AND(Bills!#REF!,"AAAAAH/3/gQ=")</f>
        <v>#REF!</v>
      </c>
      <c r="F117" t="e">
        <f>AND(Bills!#REF!,"AAAAAH/3/gU=")</f>
        <v>#REF!</v>
      </c>
      <c r="G117" t="e">
        <f>AND(Bills!Y424,"AAAAAH/3/gY=")</f>
        <v>#VALUE!</v>
      </c>
      <c r="H117" t="e">
        <f>AND(Bills!Z424,"AAAAAH/3/gc=")</f>
        <v>#VALUE!</v>
      </c>
      <c r="I117" t="e">
        <f>AND(Bills!#REF!,"AAAAAH/3/gg=")</f>
        <v>#REF!</v>
      </c>
      <c r="J117" t="e">
        <f>AND(Bills!#REF!,"AAAAAH/3/gk=")</f>
        <v>#REF!</v>
      </c>
      <c r="K117" t="e">
        <f>AND(Bills!#REF!,"AAAAAH/3/go=")</f>
        <v>#REF!</v>
      </c>
      <c r="L117" t="e">
        <f>AND(Bills!#REF!,"AAAAAH/3/gs=")</f>
        <v>#REF!</v>
      </c>
      <c r="M117" t="e">
        <f>AND(Bills!#REF!,"AAAAAH/3/gw=")</f>
        <v>#REF!</v>
      </c>
      <c r="N117" t="e">
        <f>AND(Bills!#REF!,"AAAAAH/3/g0=")</f>
        <v>#REF!</v>
      </c>
      <c r="O117" t="e">
        <f>AND(Bills!#REF!,"AAAAAH/3/g4=")</f>
        <v>#REF!</v>
      </c>
      <c r="P117" t="e">
        <f>AND(Bills!#REF!,"AAAAAH/3/g8=")</f>
        <v>#REF!</v>
      </c>
      <c r="Q117" t="e">
        <f>AND(Bills!#REF!,"AAAAAH/3/hA=")</f>
        <v>#REF!</v>
      </c>
      <c r="R117" t="e">
        <f>AND(Bills!AA424,"AAAAAH/3/hE=")</f>
        <v>#VALUE!</v>
      </c>
      <c r="S117" t="e">
        <f>AND(Bills!AB424,"AAAAAH/3/hI=")</f>
        <v>#VALUE!</v>
      </c>
      <c r="T117" t="e">
        <f>AND(Bills!#REF!,"AAAAAH/3/hM=")</f>
        <v>#REF!</v>
      </c>
      <c r="U117" t="e">
        <f>AND(Bills!#REF!,"AAAAAH/3/hQ=")</f>
        <v>#REF!</v>
      </c>
      <c r="V117" t="e">
        <f>AND(Bills!#REF!,"AAAAAH/3/hU=")</f>
        <v>#REF!</v>
      </c>
      <c r="W117" t="e">
        <f>AND(Bills!AC424,"AAAAAH/3/hY=")</f>
        <v>#VALUE!</v>
      </c>
      <c r="X117" t="e">
        <f>AND(Bills!AD424,"AAAAAH/3/hc=")</f>
        <v>#VALUE!</v>
      </c>
      <c r="Y117" t="e">
        <f>AND(Bills!AE424,"AAAAAH/3/hg=")</f>
        <v>#VALUE!</v>
      </c>
      <c r="Z117">
        <f>IF(Bills!425:425,"AAAAAH/3/hk=",0)</f>
        <v>0</v>
      </c>
      <c r="AA117" t="e">
        <f>AND(Bills!B425,"AAAAAH/3/ho=")</f>
        <v>#VALUE!</v>
      </c>
      <c r="AB117" t="e">
        <f>AND(Bills!#REF!,"AAAAAH/3/hs=")</f>
        <v>#REF!</v>
      </c>
      <c r="AC117" t="e">
        <f>AND(Bills!C425,"AAAAAH/3/hw=")</f>
        <v>#VALUE!</v>
      </c>
      <c r="AD117" t="e">
        <f>AND(Bills!D425,"AAAAAH/3/h0=")</f>
        <v>#VALUE!</v>
      </c>
      <c r="AE117" t="e">
        <f>AND(Bills!E425,"AAAAAH/3/h4=")</f>
        <v>#VALUE!</v>
      </c>
      <c r="AF117" t="e">
        <f>AND(Bills!#REF!,"AAAAAH/3/h8=")</f>
        <v>#REF!</v>
      </c>
      <c r="AG117" t="e">
        <f>AND(Bills!#REF!,"AAAAAH/3/iA=")</f>
        <v>#REF!</v>
      </c>
      <c r="AH117" t="e">
        <f>AND(Bills!#REF!,"AAAAAH/3/iE=")</f>
        <v>#REF!</v>
      </c>
      <c r="AI117" t="e">
        <f>AND(Bills!F425,"AAAAAH/3/iI=")</f>
        <v>#VALUE!</v>
      </c>
      <c r="AJ117" t="e">
        <f>AND(Bills!#REF!,"AAAAAH/3/iM=")</f>
        <v>#REF!</v>
      </c>
      <c r="AK117" t="e">
        <f>AND(Bills!G425,"AAAAAH/3/iQ=")</f>
        <v>#VALUE!</v>
      </c>
      <c r="AL117" t="e">
        <f>AND(Bills!H425,"AAAAAH/3/iU=")</f>
        <v>#VALUE!</v>
      </c>
      <c r="AM117" t="e">
        <f>AND(Bills!I425,"AAAAAH/3/iY=")</f>
        <v>#VALUE!</v>
      </c>
      <c r="AN117" t="e">
        <f>AND(Bills!J425,"AAAAAH/3/ic=")</f>
        <v>#VALUE!</v>
      </c>
      <c r="AO117" t="e">
        <f>AND(Bills!K425,"AAAAAH/3/ig=")</f>
        <v>#VALUE!</v>
      </c>
      <c r="AP117" t="e">
        <f>AND(Bills!L425,"AAAAAH/3/ik=")</f>
        <v>#VALUE!</v>
      </c>
      <c r="AQ117" t="e">
        <f>AND(Bills!#REF!,"AAAAAH/3/io=")</f>
        <v>#REF!</v>
      </c>
      <c r="AR117" t="e">
        <f>AND(Bills!M425,"AAAAAH/3/is=")</f>
        <v>#VALUE!</v>
      </c>
      <c r="AS117" t="e">
        <f>AND(Bills!N425,"AAAAAH/3/iw=")</f>
        <v>#VALUE!</v>
      </c>
      <c r="AT117" t="e">
        <f>AND(Bills!O425,"AAAAAH/3/i0=")</f>
        <v>#VALUE!</v>
      </c>
      <c r="AU117" t="e">
        <f>AND(Bills!P425,"AAAAAH/3/i4=")</f>
        <v>#VALUE!</v>
      </c>
      <c r="AV117" t="e">
        <f>AND(Bills!Q425,"AAAAAH/3/i8=")</f>
        <v>#VALUE!</v>
      </c>
      <c r="AW117" t="e">
        <f>AND(Bills!R425,"AAAAAH/3/jA=")</f>
        <v>#VALUE!</v>
      </c>
      <c r="AX117" t="e">
        <f>AND(Bills!S425,"AAAAAH/3/jE=")</f>
        <v>#VALUE!</v>
      </c>
      <c r="AY117" t="e">
        <f>AND(Bills!T425,"AAAAAH/3/jI=")</f>
        <v>#VALUE!</v>
      </c>
      <c r="AZ117" t="e">
        <f>AND(Bills!#REF!,"AAAAAH/3/jM=")</f>
        <v>#REF!</v>
      </c>
      <c r="BA117" t="e">
        <f>AND(Bills!U425,"AAAAAH/3/jQ=")</f>
        <v>#VALUE!</v>
      </c>
      <c r="BB117" t="e">
        <f>AND(Bills!V425,"AAAAAH/3/jU=")</f>
        <v>#VALUE!</v>
      </c>
      <c r="BC117" t="e">
        <f>AND(Bills!W425,"AAAAAH/3/jY=")</f>
        <v>#VALUE!</v>
      </c>
      <c r="BD117" t="e">
        <f>AND(Bills!#REF!,"AAAAAH/3/jc=")</f>
        <v>#REF!</v>
      </c>
      <c r="BE117" t="e">
        <f>AND(Bills!#REF!,"AAAAAH/3/jg=")</f>
        <v>#REF!</v>
      </c>
      <c r="BF117" t="e">
        <f>AND(Bills!Y425,"AAAAAH/3/jk=")</f>
        <v>#VALUE!</v>
      </c>
      <c r="BG117" t="e">
        <f>AND(Bills!Z425,"AAAAAH/3/jo=")</f>
        <v>#VALUE!</v>
      </c>
      <c r="BH117" t="e">
        <f>AND(Bills!#REF!,"AAAAAH/3/js=")</f>
        <v>#REF!</v>
      </c>
      <c r="BI117" t="e">
        <f>AND(Bills!#REF!,"AAAAAH/3/jw=")</f>
        <v>#REF!</v>
      </c>
      <c r="BJ117" t="e">
        <f>AND(Bills!#REF!,"AAAAAH/3/j0=")</f>
        <v>#REF!</v>
      </c>
      <c r="BK117" t="e">
        <f>AND(Bills!#REF!,"AAAAAH/3/j4=")</f>
        <v>#REF!</v>
      </c>
      <c r="BL117" t="e">
        <f>AND(Bills!#REF!,"AAAAAH/3/j8=")</f>
        <v>#REF!</v>
      </c>
      <c r="BM117" t="e">
        <f>AND(Bills!#REF!,"AAAAAH/3/kA=")</f>
        <v>#REF!</v>
      </c>
      <c r="BN117" t="e">
        <f>AND(Bills!#REF!,"AAAAAH/3/kE=")</f>
        <v>#REF!</v>
      </c>
      <c r="BO117" t="e">
        <f>AND(Bills!#REF!,"AAAAAH/3/kI=")</f>
        <v>#REF!</v>
      </c>
      <c r="BP117" t="e">
        <f>AND(Bills!#REF!,"AAAAAH/3/kM=")</f>
        <v>#REF!</v>
      </c>
      <c r="BQ117" t="e">
        <f>AND(Bills!AA425,"AAAAAH/3/kQ=")</f>
        <v>#VALUE!</v>
      </c>
      <c r="BR117" t="e">
        <f>AND(Bills!AB425,"AAAAAH/3/kU=")</f>
        <v>#VALUE!</v>
      </c>
      <c r="BS117" t="e">
        <f>AND(Bills!#REF!,"AAAAAH/3/kY=")</f>
        <v>#REF!</v>
      </c>
      <c r="BT117" t="e">
        <f>AND(Bills!#REF!,"AAAAAH/3/kc=")</f>
        <v>#REF!</v>
      </c>
      <c r="BU117" t="e">
        <f>AND(Bills!#REF!,"AAAAAH/3/kg=")</f>
        <v>#REF!</v>
      </c>
      <c r="BV117" t="e">
        <f>AND(Bills!AC425,"AAAAAH/3/kk=")</f>
        <v>#VALUE!</v>
      </c>
      <c r="BW117" t="e">
        <f>AND(Bills!AD425,"AAAAAH/3/ko=")</f>
        <v>#VALUE!</v>
      </c>
      <c r="BX117" t="e">
        <f>AND(Bills!AE425,"AAAAAH/3/ks=")</f>
        <v>#VALUE!</v>
      </c>
      <c r="BY117">
        <f>IF(Bills!426:426,"AAAAAH/3/kw=",0)</f>
        <v>0</v>
      </c>
      <c r="BZ117" t="e">
        <f>AND(Bills!B426,"AAAAAH/3/k0=")</f>
        <v>#VALUE!</v>
      </c>
      <c r="CA117" t="e">
        <f>AND(Bills!#REF!,"AAAAAH/3/k4=")</f>
        <v>#REF!</v>
      </c>
      <c r="CB117" t="e">
        <f>AND(Bills!C426,"AAAAAH/3/k8=")</f>
        <v>#VALUE!</v>
      </c>
      <c r="CC117" t="e">
        <f>AND(Bills!D426,"AAAAAH/3/lA=")</f>
        <v>#VALUE!</v>
      </c>
      <c r="CD117" t="e">
        <f>AND(Bills!E426,"AAAAAH/3/lE=")</f>
        <v>#VALUE!</v>
      </c>
      <c r="CE117" t="e">
        <f>AND(Bills!#REF!,"AAAAAH/3/lI=")</f>
        <v>#REF!</v>
      </c>
      <c r="CF117" t="e">
        <f>AND(Bills!#REF!,"AAAAAH/3/lM=")</f>
        <v>#REF!</v>
      </c>
      <c r="CG117" t="e">
        <f>AND(Bills!#REF!,"AAAAAH/3/lQ=")</f>
        <v>#REF!</v>
      </c>
      <c r="CH117" t="e">
        <f>AND(Bills!F426,"AAAAAH/3/lU=")</f>
        <v>#VALUE!</v>
      </c>
      <c r="CI117" t="e">
        <f>AND(Bills!#REF!,"AAAAAH/3/lY=")</f>
        <v>#REF!</v>
      </c>
      <c r="CJ117" t="e">
        <f>AND(Bills!G426,"AAAAAH/3/lc=")</f>
        <v>#VALUE!</v>
      </c>
      <c r="CK117" t="e">
        <f>AND(Bills!H426,"AAAAAH/3/lg=")</f>
        <v>#VALUE!</v>
      </c>
      <c r="CL117" t="e">
        <f>AND(Bills!I426,"AAAAAH/3/lk=")</f>
        <v>#VALUE!</v>
      </c>
      <c r="CM117" t="e">
        <f>AND(Bills!J426,"AAAAAH/3/lo=")</f>
        <v>#VALUE!</v>
      </c>
      <c r="CN117" t="e">
        <f>AND(Bills!K426,"AAAAAH/3/ls=")</f>
        <v>#VALUE!</v>
      </c>
      <c r="CO117" t="e">
        <f>AND(Bills!L426,"AAAAAH/3/lw=")</f>
        <v>#VALUE!</v>
      </c>
      <c r="CP117" t="e">
        <f>AND(Bills!#REF!,"AAAAAH/3/l0=")</f>
        <v>#REF!</v>
      </c>
      <c r="CQ117" t="e">
        <f>AND(Bills!M426,"AAAAAH/3/l4=")</f>
        <v>#VALUE!</v>
      </c>
      <c r="CR117" t="e">
        <f>AND(Bills!N426,"AAAAAH/3/l8=")</f>
        <v>#VALUE!</v>
      </c>
      <c r="CS117" t="e">
        <f>AND(Bills!O426,"AAAAAH/3/mA=")</f>
        <v>#VALUE!</v>
      </c>
      <c r="CT117" t="e">
        <f>AND(Bills!P426,"AAAAAH/3/mE=")</f>
        <v>#VALUE!</v>
      </c>
      <c r="CU117" t="e">
        <f>AND(Bills!Q426,"AAAAAH/3/mI=")</f>
        <v>#VALUE!</v>
      </c>
      <c r="CV117" t="e">
        <f>AND(Bills!R426,"AAAAAH/3/mM=")</f>
        <v>#VALUE!</v>
      </c>
      <c r="CW117" t="e">
        <f>AND(Bills!S426,"AAAAAH/3/mQ=")</f>
        <v>#VALUE!</v>
      </c>
      <c r="CX117" t="e">
        <f>AND(Bills!T426,"AAAAAH/3/mU=")</f>
        <v>#VALUE!</v>
      </c>
      <c r="CY117" t="e">
        <f>AND(Bills!#REF!,"AAAAAH/3/mY=")</f>
        <v>#REF!</v>
      </c>
      <c r="CZ117" t="e">
        <f>AND(Bills!U426,"AAAAAH/3/mc=")</f>
        <v>#VALUE!</v>
      </c>
      <c r="DA117" t="e">
        <f>AND(Bills!V426,"AAAAAH/3/mg=")</f>
        <v>#VALUE!</v>
      </c>
      <c r="DB117" t="e">
        <f>AND(Bills!W426,"AAAAAH/3/mk=")</f>
        <v>#VALUE!</v>
      </c>
      <c r="DC117" t="e">
        <f>AND(Bills!#REF!,"AAAAAH/3/mo=")</f>
        <v>#REF!</v>
      </c>
      <c r="DD117" t="e">
        <f>AND(Bills!#REF!,"AAAAAH/3/ms=")</f>
        <v>#REF!</v>
      </c>
      <c r="DE117" t="e">
        <f>AND(Bills!Y426,"AAAAAH/3/mw=")</f>
        <v>#VALUE!</v>
      </c>
      <c r="DF117" t="e">
        <f>AND(Bills!Z426,"AAAAAH/3/m0=")</f>
        <v>#VALUE!</v>
      </c>
      <c r="DG117" t="e">
        <f>AND(Bills!#REF!,"AAAAAH/3/m4=")</f>
        <v>#REF!</v>
      </c>
      <c r="DH117" t="e">
        <f>AND(Bills!#REF!,"AAAAAH/3/m8=")</f>
        <v>#REF!</v>
      </c>
      <c r="DI117" t="e">
        <f>AND(Bills!#REF!,"AAAAAH/3/nA=")</f>
        <v>#REF!</v>
      </c>
      <c r="DJ117" t="e">
        <f>AND(Bills!#REF!,"AAAAAH/3/nE=")</f>
        <v>#REF!</v>
      </c>
      <c r="DK117" t="e">
        <f>AND(Bills!#REF!,"AAAAAH/3/nI=")</f>
        <v>#REF!</v>
      </c>
      <c r="DL117" t="e">
        <f>AND(Bills!#REF!,"AAAAAH/3/nM=")</f>
        <v>#REF!</v>
      </c>
      <c r="DM117" t="e">
        <f>AND(Bills!#REF!,"AAAAAH/3/nQ=")</f>
        <v>#REF!</v>
      </c>
      <c r="DN117" t="e">
        <f>AND(Bills!#REF!,"AAAAAH/3/nU=")</f>
        <v>#REF!</v>
      </c>
      <c r="DO117" t="e">
        <f>AND(Bills!#REF!,"AAAAAH/3/nY=")</f>
        <v>#REF!</v>
      </c>
      <c r="DP117" t="e">
        <f>AND(Bills!AA426,"AAAAAH/3/nc=")</f>
        <v>#VALUE!</v>
      </c>
      <c r="DQ117" t="e">
        <f>AND(Bills!AB426,"AAAAAH/3/ng=")</f>
        <v>#VALUE!</v>
      </c>
      <c r="DR117" t="e">
        <f>AND(Bills!#REF!,"AAAAAH/3/nk=")</f>
        <v>#REF!</v>
      </c>
      <c r="DS117" t="e">
        <f>AND(Bills!#REF!,"AAAAAH/3/no=")</f>
        <v>#REF!</v>
      </c>
      <c r="DT117" t="e">
        <f>AND(Bills!#REF!,"AAAAAH/3/ns=")</f>
        <v>#REF!</v>
      </c>
      <c r="DU117" t="e">
        <f>AND(Bills!AC426,"AAAAAH/3/nw=")</f>
        <v>#VALUE!</v>
      </c>
      <c r="DV117" t="e">
        <f>AND(Bills!AD426,"AAAAAH/3/n0=")</f>
        <v>#VALUE!</v>
      </c>
      <c r="DW117" t="e">
        <f>AND(Bills!AE426,"AAAAAH/3/n4=")</f>
        <v>#VALUE!</v>
      </c>
      <c r="DX117">
        <f>IF(Bills!427:427,"AAAAAH/3/n8=",0)</f>
        <v>0</v>
      </c>
      <c r="DY117" t="e">
        <f>AND(Bills!B427,"AAAAAH/3/oA=")</f>
        <v>#VALUE!</v>
      </c>
      <c r="DZ117" t="e">
        <f>AND(Bills!#REF!,"AAAAAH/3/oE=")</f>
        <v>#REF!</v>
      </c>
      <c r="EA117" t="e">
        <f>AND(Bills!C427,"AAAAAH/3/oI=")</f>
        <v>#VALUE!</v>
      </c>
      <c r="EB117" t="e">
        <f>AND(Bills!D427,"AAAAAH/3/oM=")</f>
        <v>#VALUE!</v>
      </c>
      <c r="EC117" t="e">
        <f>AND(Bills!E427,"AAAAAH/3/oQ=")</f>
        <v>#VALUE!</v>
      </c>
      <c r="ED117" t="e">
        <f>AND(Bills!#REF!,"AAAAAH/3/oU=")</f>
        <v>#REF!</v>
      </c>
      <c r="EE117" t="e">
        <f>AND(Bills!#REF!,"AAAAAH/3/oY=")</f>
        <v>#REF!</v>
      </c>
      <c r="EF117" t="e">
        <f>AND(Bills!#REF!,"AAAAAH/3/oc=")</f>
        <v>#REF!</v>
      </c>
      <c r="EG117" t="e">
        <f>AND(Bills!F427,"AAAAAH/3/og=")</f>
        <v>#VALUE!</v>
      </c>
      <c r="EH117" t="e">
        <f>AND(Bills!#REF!,"AAAAAH/3/ok=")</f>
        <v>#REF!</v>
      </c>
      <c r="EI117" t="e">
        <f>AND(Bills!G427,"AAAAAH/3/oo=")</f>
        <v>#VALUE!</v>
      </c>
      <c r="EJ117" t="e">
        <f>AND(Bills!H427,"AAAAAH/3/os=")</f>
        <v>#VALUE!</v>
      </c>
      <c r="EK117" t="e">
        <f>AND(Bills!I427,"AAAAAH/3/ow=")</f>
        <v>#VALUE!</v>
      </c>
      <c r="EL117" t="e">
        <f>AND(Bills!J427,"AAAAAH/3/o0=")</f>
        <v>#VALUE!</v>
      </c>
      <c r="EM117" t="e">
        <f>AND(Bills!K427,"AAAAAH/3/o4=")</f>
        <v>#VALUE!</v>
      </c>
      <c r="EN117" t="e">
        <f>AND(Bills!L427,"AAAAAH/3/o8=")</f>
        <v>#VALUE!</v>
      </c>
      <c r="EO117" t="e">
        <f>AND(Bills!#REF!,"AAAAAH/3/pA=")</f>
        <v>#REF!</v>
      </c>
      <c r="EP117" t="e">
        <f>AND(Bills!M427,"AAAAAH/3/pE=")</f>
        <v>#VALUE!</v>
      </c>
      <c r="EQ117" t="e">
        <f>AND(Bills!N427,"AAAAAH/3/pI=")</f>
        <v>#VALUE!</v>
      </c>
      <c r="ER117" t="e">
        <f>AND(Bills!O427,"AAAAAH/3/pM=")</f>
        <v>#VALUE!</v>
      </c>
      <c r="ES117" t="e">
        <f>AND(Bills!P427,"AAAAAH/3/pQ=")</f>
        <v>#VALUE!</v>
      </c>
      <c r="ET117" t="e">
        <f>AND(Bills!Q427,"AAAAAH/3/pU=")</f>
        <v>#VALUE!</v>
      </c>
      <c r="EU117" t="e">
        <f>AND(Bills!R427,"AAAAAH/3/pY=")</f>
        <v>#VALUE!</v>
      </c>
      <c r="EV117" t="e">
        <f>AND(Bills!S427,"AAAAAH/3/pc=")</f>
        <v>#VALUE!</v>
      </c>
      <c r="EW117" t="e">
        <f>AND(Bills!T427,"AAAAAH/3/pg=")</f>
        <v>#VALUE!</v>
      </c>
      <c r="EX117" t="e">
        <f>AND(Bills!#REF!,"AAAAAH/3/pk=")</f>
        <v>#REF!</v>
      </c>
      <c r="EY117" t="e">
        <f>AND(Bills!U427,"AAAAAH/3/po=")</f>
        <v>#VALUE!</v>
      </c>
      <c r="EZ117" t="e">
        <f>AND(Bills!V427,"AAAAAH/3/ps=")</f>
        <v>#VALUE!</v>
      </c>
      <c r="FA117" t="e">
        <f>AND(Bills!W427,"AAAAAH/3/pw=")</f>
        <v>#VALUE!</v>
      </c>
      <c r="FB117" t="e">
        <f>AND(Bills!#REF!,"AAAAAH/3/p0=")</f>
        <v>#REF!</v>
      </c>
      <c r="FC117" t="e">
        <f>AND(Bills!#REF!,"AAAAAH/3/p4=")</f>
        <v>#REF!</v>
      </c>
      <c r="FD117" t="e">
        <f>AND(Bills!Y427,"AAAAAH/3/p8=")</f>
        <v>#VALUE!</v>
      </c>
      <c r="FE117" t="e">
        <f>AND(Bills!Z427,"AAAAAH/3/qA=")</f>
        <v>#VALUE!</v>
      </c>
      <c r="FF117" t="e">
        <f>AND(Bills!#REF!,"AAAAAH/3/qE=")</f>
        <v>#REF!</v>
      </c>
      <c r="FG117" t="e">
        <f>AND(Bills!#REF!,"AAAAAH/3/qI=")</f>
        <v>#REF!</v>
      </c>
      <c r="FH117" t="e">
        <f>AND(Bills!#REF!,"AAAAAH/3/qM=")</f>
        <v>#REF!</v>
      </c>
      <c r="FI117" t="e">
        <f>AND(Bills!#REF!,"AAAAAH/3/qQ=")</f>
        <v>#REF!</v>
      </c>
      <c r="FJ117" t="e">
        <f>AND(Bills!#REF!,"AAAAAH/3/qU=")</f>
        <v>#REF!</v>
      </c>
      <c r="FK117" t="e">
        <f>AND(Bills!#REF!,"AAAAAH/3/qY=")</f>
        <v>#REF!</v>
      </c>
      <c r="FL117" t="e">
        <f>AND(Bills!#REF!,"AAAAAH/3/qc=")</f>
        <v>#REF!</v>
      </c>
      <c r="FM117" t="e">
        <f>AND(Bills!#REF!,"AAAAAH/3/qg=")</f>
        <v>#REF!</v>
      </c>
      <c r="FN117" t="e">
        <f>AND(Bills!#REF!,"AAAAAH/3/qk=")</f>
        <v>#REF!</v>
      </c>
      <c r="FO117" t="e">
        <f>AND(Bills!AA427,"AAAAAH/3/qo=")</f>
        <v>#VALUE!</v>
      </c>
      <c r="FP117" t="e">
        <f>AND(Bills!AB427,"AAAAAH/3/qs=")</f>
        <v>#VALUE!</v>
      </c>
      <c r="FQ117" t="e">
        <f>AND(Bills!#REF!,"AAAAAH/3/qw=")</f>
        <v>#REF!</v>
      </c>
      <c r="FR117" t="e">
        <f>AND(Bills!#REF!,"AAAAAH/3/q0=")</f>
        <v>#REF!</v>
      </c>
      <c r="FS117" t="e">
        <f>AND(Bills!#REF!,"AAAAAH/3/q4=")</f>
        <v>#REF!</v>
      </c>
      <c r="FT117" t="e">
        <f>AND(Bills!AC427,"AAAAAH/3/q8=")</f>
        <v>#VALUE!</v>
      </c>
      <c r="FU117" t="e">
        <f>AND(Bills!AD427,"AAAAAH/3/rA=")</f>
        <v>#VALUE!</v>
      </c>
      <c r="FV117" t="e">
        <f>AND(Bills!AE427,"AAAAAH/3/rE=")</f>
        <v>#VALUE!</v>
      </c>
      <c r="FW117">
        <f>IF(Bills!428:428,"AAAAAH/3/rI=",0)</f>
        <v>0</v>
      </c>
      <c r="FX117" t="e">
        <f>AND(Bills!B428,"AAAAAH/3/rM=")</f>
        <v>#VALUE!</v>
      </c>
      <c r="FY117" t="e">
        <f>AND(Bills!#REF!,"AAAAAH/3/rQ=")</f>
        <v>#REF!</v>
      </c>
      <c r="FZ117" t="e">
        <f>AND(Bills!C428,"AAAAAH/3/rU=")</f>
        <v>#VALUE!</v>
      </c>
      <c r="GA117" t="e">
        <f>AND(Bills!D428,"AAAAAH/3/rY=")</f>
        <v>#VALUE!</v>
      </c>
      <c r="GB117" t="e">
        <f>AND(Bills!E428,"AAAAAH/3/rc=")</f>
        <v>#VALUE!</v>
      </c>
      <c r="GC117" t="e">
        <f>AND(Bills!#REF!,"AAAAAH/3/rg=")</f>
        <v>#REF!</v>
      </c>
      <c r="GD117" t="e">
        <f>AND(Bills!#REF!,"AAAAAH/3/rk=")</f>
        <v>#REF!</v>
      </c>
      <c r="GE117" t="e">
        <f>AND(Bills!#REF!,"AAAAAH/3/ro=")</f>
        <v>#REF!</v>
      </c>
      <c r="GF117" t="e">
        <f>AND(Bills!F428,"AAAAAH/3/rs=")</f>
        <v>#VALUE!</v>
      </c>
      <c r="GG117" t="e">
        <f>AND(Bills!#REF!,"AAAAAH/3/rw=")</f>
        <v>#REF!</v>
      </c>
      <c r="GH117" t="e">
        <f>AND(Bills!G428,"AAAAAH/3/r0=")</f>
        <v>#VALUE!</v>
      </c>
      <c r="GI117" t="e">
        <f>AND(Bills!H428,"AAAAAH/3/r4=")</f>
        <v>#VALUE!</v>
      </c>
      <c r="GJ117" t="e">
        <f>AND(Bills!I428,"AAAAAH/3/r8=")</f>
        <v>#VALUE!</v>
      </c>
      <c r="GK117" t="e">
        <f>AND(Bills!J428,"AAAAAH/3/sA=")</f>
        <v>#VALUE!</v>
      </c>
      <c r="GL117" t="e">
        <f>AND(Bills!K428,"AAAAAH/3/sE=")</f>
        <v>#VALUE!</v>
      </c>
      <c r="GM117" t="e">
        <f>AND(Bills!L428,"AAAAAH/3/sI=")</f>
        <v>#VALUE!</v>
      </c>
      <c r="GN117" t="e">
        <f>AND(Bills!#REF!,"AAAAAH/3/sM=")</f>
        <v>#REF!</v>
      </c>
      <c r="GO117" t="e">
        <f>AND(Bills!M428,"AAAAAH/3/sQ=")</f>
        <v>#VALUE!</v>
      </c>
      <c r="GP117" t="e">
        <f>AND(Bills!N428,"AAAAAH/3/sU=")</f>
        <v>#VALUE!</v>
      </c>
      <c r="GQ117" t="e">
        <f>AND(Bills!O428,"AAAAAH/3/sY=")</f>
        <v>#VALUE!</v>
      </c>
      <c r="GR117" t="e">
        <f>AND(Bills!P428,"AAAAAH/3/sc=")</f>
        <v>#VALUE!</v>
      </c>
      <c r="GS117" t="e">
        <f>AND(Bills!Q428,"AAAAAH/3/sg=")</f>
        <v>#VALUE!</v>
      </c>
      <c r="GT117" t="e">
        <f>AND(Bills!R428,"AAAAAH/3/sk=")</f>
        <v>#VALUE!</v>
      </c>
      <c r="GU117" t="e">
        <f>AND(Bills!S428,"AAAAAH/3/so=")</f>
        <v>#VALUE!</v>
      </c>
      <c r="GV117" t="e">
        <f>AND(Bills!T428,"AAAAAH/3/ss=")</f>
        <v>#VALUE!</v>
      </c>
      <c r="GW117" t="e">
        <f>AND(Bills!#REF!,"AAAAAH/3/sw=")</f>
        <v>#REF!</v>
      </c>
      <c r="GX117" t="e">
        <f>AND(Bills!U428,"AAAAAH/3/s0=")</f>
        <v>#VALUE!</v>
      </c>
      <c r="GY117" t="e">
        <f>AND(Bills!V428,"AAAAAH/3/s4=")</f>
        <v>#VALUE!</v>
      </c>
      <c r="GZ117" t="e">
        <f>AND(Bills!W428,"AAAAAH/3/s8=")</f>
        <v>#VALUE!</v>
      </c>
      <c r="HA117" t="e">
        <f>AND(Bills!#REF!,"AAAAAH/3/tA=")</f>
        <v>#REF!</v>
      </c>
      <c r="HB117" t="e">
        <f>AND(Bills!#REF!,"AAAAAH/3/tE=")</f>
        <v>#REF!</v>
      </c>
      <c r="HC117" t="e">
        <f>AND(Bills!Y428,"AAAAAH/3/tI=")</f>
        <v>#VALUE!</v>
      </c>
      <c r="HD117" t="e">
        <f>AND(Bills!Z428,"AAAAAH/3/tM=")</f>
        <v>#VALUE!</v>
      </c>
      <c r="HE117" t="e">
        <f>AND(Bills!#REF!,"AAAAAH/3/tQ=")</f>
        <v>#REF!</v>
      </c>
      <c r="HF117" t="e">
        <f>AND(Bills!#REF!,"AAAAAH/3/tU=")</f>
        <v>#REF!</v>
      </c>
      <c r="HG117" t="e">
        <f>AND(Bills!#REF!,"AAAAAH/3/tY=")</f>
        <v>#REF!</v>
      </c>
      <c r="HH117" t="e">
        <f>AND(Bills!#REF!,"AAAAAH/3/tc=")</f>
        <v>#REF!</v>
      </c>
      <c r="HI117" t="e">
        <f>AND(Bills!#REF!,"AAAAAH/3/tg=")</f>
        <v>#REF!</v>
      </c>
      <c r="HJ117" t="e">
        <f>AND(Bills!#REF!,"AAAAAH/3/tk=")</f>
        <v>#REF!</v>
      </c>
      <c r="HK117" t="e">
        <f>AND(Bills!#REF!,"AAAAAH/3/to=")</f>
        <v>#REF!</v>
      </c>
      <c r="HL117" t="e">
        <f>AND(Bills!#REF!,"AAAAAH/3/ts=")</f>
        <v>#REF!</v>
      </c>
      <c r="HM117" t="e">
        <f>AND(Bills!#REF!,"AAAAAH/3/tw=")</f>
        <v>#REF!</v>
      </c>
      <c r="HN117" t="e">
        <f>AND(Bills!AA428,"AAAAAH/3/t0=")</f>
        <v>#VALUE!</v>
      </c>
      <c r="HO117" t="e">
        <f>AND(Bills!AB428,"AAAAAH/3/t4=")</f>
        <v>#VALUE!</v>
      </c>
      <c r="HP117" t="e">
        <f>AND(Bills!#REF!,"AAAAAH/3/t8=")</f>
        <v>#REF!</v>
      </c>
      <c r="HQ117" t="e">
        <f>AND(Bills!#REF!,"AAAAAH/3/uA=")</f>
        <v>#REF!</v>
      </c>
      <c r="HR117" t="e">
        <f>AND(Bills!#REF!,"AAAAAH/3/uE=")</f>
        <v>#REF!</v>
      </c>
      <c r="HS117" t="e">
        <f>AND(Bills!AC428,"AAAAAH/3/uI=")</f>
        <v>#VALUE!</v>
      </c>
      <c r="HT117" t="e">
        <f>AND(Bills!AD428,"AAAAAH/3/uM=")</f>
        <v>#VALUE!</v>
      </c>
      <c r="HU117" t="e">
        <f>AND(Bills!AE428,"AAAAAH/3/uQ=")</f>
        <v>#VALUE!</v>
      </c>
      <c r="HV117">
        <f>IF(Bills!429:429,"AAAAAH/3/uU=",0)</f>
        <v>0</v>
      </c>
      <c r="HW117" t="e">
        <f>AND(Bills!B429,"AAAAAH/3/uY=")</f>
        <v>#VALUE!</v>
      </c>
      <c r="HX117" t="e">
        <f>AND(Bills!#REF!,"AAAAAH/3/uc=")</f>
        <v>#REF!</v>
      </c>
      <c r="HY117" t="e">
        <f>AND(Bills!C429,"AAAAAH/3/ug=")</f>
        <v>#VALUE!</v>
      </c>
      <c r="HZ117" t="e">
        <f>AND(Bills!D429,"AAAAAH/3/uk=")</f>
        <v>#VALUE!</v>
      </c>
      <c r="IA117" t="e">
        <f>AND(Bills!E429,"AAAAAH/3/uo=")</f>
        <v>#VALUE!</v>
      </c>
      <c r="IB117" t="e">
        <f>AND(Bills!#REF!,"AAAAAH/3/us=")</f>
        <v>#REF!</v>
      </c>
      <c r="IC117" t="e">
        <f>AND(Bills!#REF!,"AAAAAH/3/uw=")</f>
        <v>#REF!</v>
      </c>
      <c r="ID117" t="e">
        <f>AND(Bills!#REF!,"AAAAAH/3/u0=")</f>
        <v>#REF!</v>
      </c>
      <c r="IE117" t="e">
        <f>AND(Bills!F429,"AAAAAH/3/u4=")</f>
        <v>#VALUE!</v>
      </c>
      <c r="IF117" t="e">
        <f>AND(Bills!#REF!,"AAAAAH/3/u8=")</f>
        <v>#REF!</v>
      </c>
      <c r="IG117" t="e">
        <f>AND(Bills!G429,"AAAAAH/3/vA=")</f>
        <v>#VALUE!</v>
      </c>
      <c r="IH117" t="e">
        <f>AND(Bills!H429,"AAAAAH/3/vE=")</f>
        <v>#VALUE!</v>
      </c>
      <c r="II117" t="e">
        <f>AND(Bills!I429,"AAAAAH/3/vI=")</f>
        <v>#VALUE!</v>
      </c>
      <c r="IJ117" t="e">
        <f>AND(Bills!J429,"AAAAAH/3/vM=")</f>
        <v>#VALUE!</v>
      </c>
      <c r="IK117" t="e">
        <f>AND(Bills!K429,"AAAAAH/3/vQ=")</f>
        <v>#VALUE!</v>
      </c>
      <c r="IL117" t="e">
        <f>AND(Bills!L429,"AAAAAH/3/vU=")</f>
        <v>#VALUE!</v>
      </c>
      <c r="IM117" t="e">
        <f>AND(Bills!#REF!,"AAAAAH/3/vY=")</f>
        <v>#REF!</v>
      </c>
      <c r="IN117" t="e">
        <f>AND(Bills!M429,"AAAAAH/3/vc=")</f>
        <v>#VALUE!</v>
      </c>
      <c r="IO117" t="e">
        <f>AND(Bills!N429,"AAAAAH/3/vg=")</f>
        <v>#VALUE!</v>
      </c>
      <c r="IP117" t="e">
        <f>AND(Bills!O429,"AAAAAH/3/vk=")</f>
        <v>#VALUE!</v>
      </c>
      <c r="IQ117" t="e">
        <f>AND(Bills!P429,"AAAAAH/3/vo=")</f>
        <v>#VALUE!</v>
      </c>
      <c r="IR117" t="e">
        <f>AND(Bills!Q429,"AAAAAH/3/vs=")</f>
        <v>#VALUE!</v>
      </c>
      <c r="IS117" t="e">
        <f>AND(Bills!R429,"AAAAAH/3/vw=")</f>
        <v>#VALUE!</v>
      </c>
      <c r="IT117" t="e">
        <f>AND(Bills!S429,"AAAAAH/3/v0=")</f>
        <v>#VALUE!</v>
      </c>
      <c r="IU117" t="e">
        <f>AND(Bills!T429,"AAAAAH/3/v4=")</f>
        <v>#VALUE!</v>
      </c>
      <c r="IV117" t="e">
        <f>AND(Bills!#REF!,"AAAAAH/3/v8=")</f>
        <v>#REF!</v>
      </c>
    </row>
    <row r="118" spans="1:256" x14ac:dyDescent="0.25">
      <c r="A118" t="e">
        <f>AND(Bills!U429,"AAAAAHv/zwA=")</f>
        <v>#VALUE!</v>
      </c>
      <c r="B118" t="e">
        <f>AND(Bills!V429,"AAAAAHv/zwE=")</f>
        <v>#VALUE!</v>
      </c>
      <c r="C118" t="e">
        <f>AND(Bills!W429,"AAAAAHv/zwI=")</f>
        <v>#VALUE!</v>
      </c>
      <c r="D118" t="e">
        <f>AND(Bills!#REF!,"AAAAAHv/zwM=")</f>
        <v>#REF!</v>
      </c>
      <c r="E118" t="e">
        <f>AND(Bills!#REF!,"AAAAAHv/zwQ=")</f>
        <v>#REF!</v>
      </c>
      <c r="F118" t="e">
        <f>AND(Bills!Y429,"AAAAAHv/zwU=")</f>
        <v>#VALUE!</v>
      </c>
      <c r="G118" t="e">
        <f>AND(Bills!Z429,"AAAAAHv/zwY=")</f>
        <v>#VALUE!</v>
      </c>
      <c r="H118" t="e">
        <f>AND(Bills!#REF!,"AAAAAHv/zwc=")</f>
        <v>#REF!</v>
      </c>
      <c r="I118" t="e">
        <f>AND(Bills!#REF!,"AAAAAHv/zwg=")</f>
        <v>#REF!</v>
      </c>
      <c r="J118" t="e">
        <f>AND(Bills!#REF!,"AAAAAHv/zwk=")</f>
        <v>#REF!</v>
      </c>
      <c r="K118" t="e">
        <f>AND(Bills!#REF!,"AAAAAHv/zwo=")</f>
        <v>#REF!</v>
      </c>
      <c r="L118" t="e">
        <f>AND(Bills!#REF!,"AAAAAHv/zws=")</f>
        <v>#REF!</v>
      </c>
      <c r="M118" t="e">
        <f>AND(Bills!#REF!,"AAAAAHv/zww=")</f>
        <v>#REF!</v>
      </c>
      <c r="N118" t="e">
        <f>AND(Bills!#REF!,"AAAAAHv/zw0=")</f>
        <v>#REF!</v>
      </c>
      <c r="O118" t="e">
        <f>AND(Bills!#REF!,"AAAAAHv/zw4=")</f>
        <v>#REF!</v>
      </c>
      <c r="P118" t="e">
        <f>AND(Bills!#REF!,"AAAAAHv/zw8=")</f>
        <v>#REF!</v>
      </c>
      <c r="Q118" t="e">
        <f>AND(Bills!AA429,"AAAAAHv/zxA=")</f>
        <v>#VALUE!</v>
      </c>
      <c r="R118" t="e">
        <f>AND(Bills!AB429,"AAAAAHv/zxE=")</f>
        <v>#VALUE!</v>
      </c>
      <c r="S118" t="e">
        <f>AND(Bills!#REF!,"AAAAAHv/zxI=")</f>
        <v>#REF!</v>
      </c>
      <c r="T118" t="e">
        <f>AND(Bills!#REF!,"AAAAAHv/zxM=")</f>
        <v>#REF!</v>
      </c>
      <c r="U118" t="e">
        <f>AND(Bills!#REF!,"AAAAAHv/zxQ=")</f>
        <v>#REF!</v>
      </c>
      <c r="V118" t="e">
        <f>AND(Bills!AC429,"AAAAAHv/zxU=")</f>
        <v>#VALUE!</v>
      </c>
      <c r="W118" t="e">
        <f>AND(Bills!AD429,"AAAAAHv/zxY=")</f>
        <v>#VALUE!</v>
      </c>
      <c r="X118" t="e">
        <f>AND(Bills!AE429,"AAAAAHv/zxc=")</f>
        <v>#VALUE!</v>
      </c>
      <c r="Y118">
        <f>IF(Bills!430:430,"AAAAAHv/zxg=",0)</f>
        <v>0</v>
      </c>
      <c r="Z118" t="e">
        <f>AND(Bills!B430,"AAAAAHv/zxk=")</f>
        <v>#VALUE!</v>
      </c>
      <c r="AA118" t="e">
        <f>AND(Bills!#REF!,"AAAAAHv/zxo=")</f>
        <v>#REF!</v>
      </c>
      <c r="AB118" t="e">
        <f>AND(Bills!C430,"AAAAAHv/zxs=")</f>
        <v>#VALUE!</v>
      </c>
      <c r="AC118" t="e">
        <f>AND(Bills!D430,"AAAAAHv/zxw=")</f>
        <v>#VALUE!</v>
      </c>
      <c r="AD118" t="e">
        <f>AND(Bills!E430,"AAAAAHv/zx0=")</f>
        <v>#VALUE!</v>
      </c>
      <c r="AE118" t="e">
        <f>AND(Bills!#REF!,"AAAAAHv/zx4=")</f>
        <v>#REF!</v>
      </c>
      <c r="AF118" t="e">
        <f>AND(Bills!#REF!,"AAAAAHv/zx8=")</f>
        <v>#REF!</v>
      </c>
      <c r="AG118" t="e">
        <f>AND(Bills!#REF!,"AAAAAHv/zyA=")</f>
        <v>#REF!</v>
      </c>
      <c r="AH118" t="e">
        <f>AND(Bills!F430,"AAAAAHv/zyE=")</f>
        <v>#VALUE!</v>
      </c>
      <c r="AI118" t="e">
        <f>AND(Bills!#REF!,"AAAAAHv/zyI=")</f>
        <v>#REF!</v>
      </c>
      <c r="AJ118" t="e">
        <f>AND(Bills!G430,"AAAAAHv/zyM=")</f>
        <v>#VALUE!</v>
      </c>
      <c r="AK118" t="e">
        <f>AND(Bills!H430,"AAAAAHv/zyQ=")</f>
        <v>#VALUE!</v>
      </c>
      <c r="AL118" t="e">
        <f>AND(Bills!I430,"AAAAAHv/zyU=")</f>
        <v>#VALUE!</v>
      </c>
      <c r="AM118" t="e">
        <f>AND(Bills!J430,"AAAAAHv/zyY=")</f>
        <v>#VALUE!</v>
      </c>
      <c r="AN118" t="e">
        <f>AND(Bills!K430,"AAAAAHv/zyc=")</f>
        <v>#VALUE!</v>
      </c>
      <c r="AO118" t="e">
        <f>AND(Bills!L430,"AAAAAHv/zyg=")</f>
        <v>#VALUE!</v>
      </c>
      <c r="AP118" t="e">
        <f>AND(Bills!#REF!,"AAAAAHv/zyk=")</f>
        <v>#REF!</v>
      </c>
      <c r="AQ118" t="e">
        <f>AND(Bills!M430,"AAAAAHv/zyo=")</f>
        <v>#VALUE!</v>
      </c>
      <c r="AR118" t="e">
        <f>AND(Bills!N430,"AAAAAHv/zys=")</f>
        <v>#VALUE!</v>
      </c>
      <c r="AS118" t="e">
        <f>AND(Bills!O430,"AAAAAHv/zyw=")</f>
        <v>#VALUE!</v>
      </c>
      <c r="AT118" t="e">
        <f>AND(Bills!P430,"AAAAAHv/zy0=")</f>
        <v>#VALUE!</v>
      </c>
      <c r="AU118" t="e">
        <f>AND(Bills!Q430,"AAAAAHv/zy4=")</f>
        <v>#VALUE!</v>
      </c>
      <c r="AV118" t="e">
        <f>AND(Bills!R430,"AAAAAHv/zy8=")</f>
        <v>#VALUE!</v>
      </c>
      <c r="AW118" t="e">
        <f>AND(Bills!S430,"AAAAAHv/zzA=")</f>
        <v>#VALUE!</v>
      </c>
      <c r="AX118" t="e">
        <f>AND(Bills!T430,"AAAAAHv/zzE=")</f>
        <v>#VALUE!</v>
      </c>
      <c r="AY118" t="e">
        <f>AND(Bills!#REF!,"AAAAAHv/zzI=")</f>
        <v>#REF!</v>
      </c>
      <c r="AZ118" t="e">
        <f>AND(Bills!U430,"AAAAAHv/zzM=")</f>
        <v>#VALUE!</v>
      </c>
      <c r="BA118" t="e">
        <f>AND(Bills!V430,"AAAAAHv/zzQ=")</f>
        <v>#VALUE!</v>
      </c>
      <c r="BB118" t="e">
        <f>AND(Bills!W430,"AAAAAHv/zzU=")</f>
        <v>#VALUE!</v>
      </c>
      <c r="BC118" t="e">
        <f>AND(Bills!#REF!,"AAAAAHv/zzY=")</f>
        <v>#REF!</v>
      </c>
      <c r="BD118" t="e">
        <f>AND(Bills!#REF!,"AAAAAHv/zzc=")</f>
        <v>#REF!</v>
      </c>
      <c r="BE118" t="e">
        <f>AND(Bills!Y430,"AAAAAHv/zzg=")</f>
        <v>#VALUE!</v>
      </c>
      <c r="BF118" t="e">
        <f>AND(Bills!Z430,"AAAAAHv/zzk=")</f>
        <v>#VALUE!</v>
      </c>
      <c r="BG118" t="e">
        <f>AND(Bills!#REF!,"AAAAAHv/zzo=")</f>
        <v>#REF!</v>
      </c>
      <c r="BH118" t="e">
        <f>AND(Bills!#REF!,"AAAAAHv/zzs=")</f>
        <v>#REF!</v>
      </c>
      <c r="BI118" t="e">
        <f>AND(Bills!#REF!,"AAAAAHv/zzw=")</f>
        <v>#REF!</v>
      </c>
      <c r="BJ118" t="e">
        <f>AND(Bills!#REF!,"AAAAAHv/zz0=")</f>
        <v>#REF!</v>
      </c>
      <c r="BK118" t="e">
        <f>AND(Bills!#REF!,"AAAAAHv/zz4=")</f>
        <v>#REF!</v>
      </c>
      <c r="BL118" t="e">
        <f>AND(Bills!#REF!,"AAAAAHv/zz8=")</f>
        <v>#REF!</v>
      </c>
      <c r="BM118" t="e">
        <f>AND(Bills!#REF!,"AAAAAHv/z0A=")</f>
        <v>#REF!</v>
      </c>
      <c r="BN118" t="e">
        <f>AND(Bills!#REF!,"AAAAAHv/z0E=")</f>
        <v>#REF!</v>
      </c>
      <c r="BO118" t="e">
        <f>AND(Bills!#REF!,"AAAAAHv/z0I=")</f>
        <v>#REF!</v>
      </c>
      <c r="BP118" t="e">
        <f>AND(Bills!AA430,"AAAAAHv/z0M=")</f>
        <v>#VALUE!</v>
      </c>
      <c r="BQ118" t="e">
        <f>AND(Bills!AB430,"AAAAAHv/z0Q=")</f>
        <v>#VALUE!</v>
      </c>
      <c r="BR118" t="e">
        <f>AND(Bills!#REF!,"AAAAAHv/z0U=")</f>
        <v>#REF!</v>
      </c>
      <c r="BS118" t="e">
        <f>AND(Bills!#REF!,"AAAAAHv/z0Y=")</f>
        <v>#REF!</v>
      </c>
      <c r="BT118" t="e">
        <f>AND(Bills!#REF!,"AAAAAHv/z0c=")</f>
        <v>#REF!</v>
      </c>
      <c r="BU118" t="e">
        <f>AND(Bills!AC430,"AAAAAHv/z0g=")</f>
        <v>#VALUE!</v>
      </c>
      <c r="BV118" t="e">
        <f>AND(Bills!AD430,"AAAAAHv/z0k=")</f>
        <v>#VALUE!</v>
      </c>
      <c r="BW118" t="e">
        <f>AND(Bills!AE430,"AAAAAHv/z0o=")</f>
        <v>#VALUE!</v>
      </c>
      <c r="BX118">
        <f>IF(Bills!431:431,"AAAAAHv/z0s=",0)</f>
        <v>0</v>
      </c>
      <c r="BY118" t="e">
        <f>AND(Bills!B431,"AAAAAHv/z0w=")</f>
        <v>#VALUE!</v>
      </c>
      <c r="BZ118" t="e">
        <f>AND(Bills!#REF!,"AAAAAHv/z00=")</f>
        <v>#REF!</v>
      </c>
      <c r="CA118" t="e">
        <f>AND(Bills!C431,"AAAAAHv/z04=")</f>
        <v>#VALUE!</v>
      </c>
      <c r="CB118" t="e">
        <f>AND(Bills!D431,"AAAAAHv/z08=")</f>
        <v>#VALUE!</v>
      </c>
      <c r="CC118" t="e">
        <f>AND(Bills!E431,"AAAAAHv/z1A=")</f>
        <v>#VALUE!</v>
      </c>
      <c r="CD118" t="e">
        <f>AND(Bills!#REF!,"AAAAAHv/z1E=")</f>
        <v>#REF!</v>
      </c>
      <c r="CE118" t="e">
        <f>AND(Bills!#REF!,"AAAAAHv/z1I=")</f>
        <v>#REF!</v>
      </c>
      <c r="CF118" t="e">
        <f>AND(Bills!#REF!,"AAAAAHv/z1M=")</f>
        <v>#REF!</v>
      </c>
      <c r="CG118" t="e">
        <f>AND(Bills!F431,"AAAAAHv/z1Q=")</f>
        <v>#VALUE!</v>
      </c>
      <c r="CH118" t="e">
        <f>AND(Bills!#REF!,"AAAAAHv/z1U=")</f>
        <v>#REF!</v>
      </c>
      <c r="CI118" t="e">
        <f>AND(Bills!G431,"AAAAAHv/z1Y=")</f>
        <v>#VALUE!</v>
      </c>
      <c r="CJ118" t="e">
        <f>AND(Bills!H431,"AAAAAHv/z1c=")</f>
        <v>#VALUE!</v>
      </c>
      <c r="CK118" t="e">
        <f>AND(Bills!I431,"AAAAAHv/z1g=")</f>
        <v>#VALUE!</v>
      </c>
      <c r="CL118" t="e">
        <f>AND(Bills!J431,"AAAAAHv/z1k=")</f>
        <v>#VALUE!</v>
      </c>
      <c r="CM118" t="e">
        <f>AND(Bills!K431,"AAAAAHv/z1o=")</f>
        <v>#VALUE!</v>
      </c>
      <c r="CN118" t="e">
        <f>AND(Bills!L431,"AAAAAHv/z1s=")</f>
        <v>#VALUE!</v>
      </c>
      <c r="CO118" t="e">
        <f>AND(Bills!#REF!,"AAAAAHv/z1w=")</f>
        <v>#REF!</v>
      </c>
      <c r="CP118" t="e">
        <f>AND(Bills!M431,"AAAAAHv/z10=")</f>
        <v>#VALUE!</v>
      </c>
      <c r="CQ118" t="e">
        <f>AND(Bills!N431,"AAAAAHv/z14=")</f>
        <v>#VALUE!</v>
      </c>
      <c r="CR118" t="e">
        <f>AND(Bills!O431,"AAAAAHv/z18=")</f>
        <v>#VALUE!</v>
      </c>
      <c r="CS118" t="e">
        <f>AND(Bills!P431,"AAAAAHv/z2A=")</f>
        <v>#VALUE!</v>
      </c>
      <c r="CT118" t="e">
        <f>AND(Bills!Q431,"AAAAAHv/z2E=")</f>
        <v>#VALUE!</v>
      </c>
      <c r="CU118" t="e">
        <f>AND(Bills!R431,"AAAAAHv/z2I=")</f>
        <v>#VALUE!</v>
      </c>
      <c r="CV118" t="e">
        <f>AND(Bills!S431,"AAAAAHv/z2M=")</f>
        <v>#VALUE!</v>
      </c>
      <c r="CW118" t="e">
        <f>AND(Bills!T431,"AAAAAHv/z2Q=")</f>
        <v>#VALUE!</v>
      </c>
      <c r="CX118" t="e">
        <f>AND(Bills!#REF!,"AAAAAHv/z2U=")</f>
        <v>#REF!</v>
      </c>
      <c r="CY118" t="e">
        <f>AND(Bills!U431,"AAAAAHv/z2Y=")</f>
        <v>#VALUE!</v>
      </c>
      <c r="CZ118" t="e">
        <f>AND(Bills!V431,"AAAAAHv/z2c=")</f>
        <v>#VALUE!</v>
      </c>
      <c r="DA118" t="e">
        <f>AND(Bills!W431,"AAAAAHv/z2g=")</f>
        <v>#VALUE!</v>
      </c>
      <c r="DB118" t="e">
        <f>AND(Bills!#REF!,"AAAAAHv/z2k=")</f>
        <v>#REF!</v>
      </c>
      <c r="DC118" t="e">
        <f>AND(Bills!#REF!,"AAAAAHv/z2o=")</f>
        <v>#REF!</v>
      </c>
      <c r="DD118" t="e">
        <f>AND(Bills!Y431,"AAAAAHv/z2s=")</f>
        <v>#VALUE!</v>
      </c>
      <c r="DE118" t="e">
        <f>AND(Bills!Z431,"AAAAAHv/z2w=")</f>
        <v>#VALUE!</v>
      </c>
      <c r="DF118" t="e">
        <f>AND(Bills!#REF!,"AAAAAHv/z20=")</f>
        <v>#REF!</v>
      </c>
      <c r="DG118" t="e">
        <f>AND(Bills!#REF!,"AAAAAHv/z24=")</f>
        <v>#REF!</v>
      </c>
      <c r="DH118" t="e">
        <f>AND(Bills!#REF!,"AAAAAHv/z28=")</f>
        <v>#REF!</v>
      </c>
      <c r="DI118" t="e">
        <f>AND(Bills!#REF!,"AAAAAHv/z3A=")</f>
        <v>#REF!</v>
      </c>
      <c r="DJ118" t="e">
        <f>AND(Bills!#REF!,"AAAAAHv/z3E=")</f>
        <v>#REF!</v>
      </c>
      <c r="DK118" t="e">
        <f>AND(Bills!#REF!,"AAAAAHv/z3I=")</f>
        <v>#REF!</v>
      </c>
      <c r="DL118" t="e">
        <f>AND(Bills!#REF!,"AAAAAHv/z3M=")</f>
        <v>#REF!</v>
      </c>
      <c r="DM118" t="e">
        <f>AND(Bills!#REF!,"AAAAAHv/z3Q=")</f>
        <v>#REF!</v>
      </c>
      <c r="DN118" t="e">
        <f>AND(Bills!#REF!,"AAAAAHv/z3U=")</f>
        <v>#REF!</v>
      </c>
      <c r="DO118" t="e">
        <f>AND(Bills!AA431,"AAAAAHv/z3Y=")</f>
        <v>#VALUE!</v>
      </c>
      <c r="DP118" t="e">
        <f>AND(Bills!AB431,"AAAAAHv/z3c=")</f>
        <v>#VALUE!</v>
      </c>
      <c r="DQ118" t="e">
        <f>AND(Bills!#REF!,"AAAAAHv/z3g=")</f>
        <v>#REF!</v>
      </c>
      <c r="DR118" t="e">
        <f>AND(Bills!#REF!,"AAAAAHv/z3k=")</f>
        <v>#REF!</v>
      </c>
      <c r="DS118" t="e">
        <f>AND(Bills!#REF!,"AAAAAHv/z3o=")</f>
        <v>#REF!</v>
      </c>
      <c r="DT118" t="e">
        <f>AND(Bills!AC431,"AAAAAHv/z3s=")</f>
        <v>#VALUE!</v>
      </c>
      <c r="DU118" t="e">
        <f>AND(Bills!AD431,"AAAAAHv/z3w=")</f>
        <v>#VALUE!</v>
      </c>
      <c r="DV118" t="e">
        <f>AND(Bills!AE431,"AAAAAHv/z30=")</f>
        <v>#VALUE!</v>
      </c>
      <c r="DW118">
        <f>IF(Bills!432:432,"AAAAAHv/z34=",0)</f>
        <v>0</v>
      </c>
      <c r="DX118" t="e">
        <f>AND(Bills!B432,"AAAAAHv/z38=")</f>
        <v>#VALUE!</v>
      </c>
      <c r="DY118" t="e">
        <f>AND(Bills!#REF!,"AAAAAHv/z4A=")</f>
        <v>#REF!</v>
      </c>
      <c r="DZ118" t="e">
        <f>AND(Bills!C432,"AAAAAHv/z4E=")</f>
        <v>#VALUE!</v>
      </c>
      <c r="EA118" t="e">
        <f>AND(Bills!D432,"AAAAAHv/z4I=")</f>
        <v>#VALUE!</v>
      </c>
      <c r="EB118" t="e">
        <f>AND(Bills!E432,"AAAAAHv/z4M=")</f>
        <v>#VALUE!</v>
      </c>
      <c r="EC118" t="e">
        <f>AND(Bills!#REF!,"AAAAAHv/z4Q=")</f>
        <v>#REF!</v>
      </c>
      <c r="ED118" t="e">
        <f>AND(Bills!#REF!,"AAAAAHv/z4U=")</f>
        <v>#REF!</v>
      </c>
      <c r="EE118" t="e">
        <f>AND(Bills!#REF!,"AAAAAHv/z4Y=")</f>
        <v>#REF!</v>
      </c>
      <c r="EF118" t="e">
        <f>AND(Bills!F432,"AAAAAHv/z4c=")</f>
        <v>#VALUE!</v>
      </c>
      <c r="EG118" t="e">
        <f>AND(Bills!#REF!,"AAAAAHv/z4g=")</f>
        <v>#REF!</v>
      </c>
      <c r="EH118" t="e">
        <f>AND(Bills!G432,"AAAAAHv/z4k=")</f>
        <v>#VALUE!</v>
      </c>
      <c r="EI118" t="e">
        <f>AND(Bills!H432,"AAAAAHv/z4o=")</f>
        <v>#VALUE!</v>
      </c>
      <c r="EJ118" t="e">
        <f>AND(Bills!I432,"AAAAAHv/z4s=")</f>
        <v>#VALUE!</v>
      </c>
      <c r="EK118" t="e">
        <f>AND(Bills!J432,"AAAAAHv/z4w=")</f>
        <v>#VALUE!</v>
      </c>
      <c r="EL118" t="e">
        <f>AND(Bills!K432,"AAAAAHv/z40=")</f>
        <v>#VALUE!</v>
      </c>
      <c r="EM118" t="e">
        <f>AND(Bills!L432,"AAAAAHv/z44=")</f>
        <v>#VALUE!</v>
      </c>
      <c r="EN118" t="e">
        <f>AND(Bills!#REF!,"AAAAAHv/z48=")</f>
        <v>#REF!</v>
      </c>
      <c r="EO118" t="e">
        <f>AND(Bills!M432,"AAAAAHv/z5A=")</f>
        <v>#VALUE!</v>
      </c>
      <c r="EP118" t="e">
        <f>AND(Bills!N432,"AAAAAHv/z5E=")</f>
        <v>#VALUE!</v>
      </c>
      <c r="EQ118" t="e">
        <f>AND(Bills!O432,"AAAAAHv/z5I=")</f>
        <v>#VALUE!</v>
      </c>
      <c r="ER118" t="e">
        <f>AND(Bills!P432,"AAAAAHv/z5M=")</f>
        <v>#VALUE!</v>
      </c>
      <c r="ES118" t="e">
        <f>AND(Bills!Q432,"AAAAAHv/z5Q=")</f>
        <v>#VALUE!</v>
      </c>
      <c r="ET118" t="e">
        <f>AND(Bills!R432,"AAAAAHv/z5U=")</f>
        <v>#VALUE!</v>
      </c>
      <c r="EU118" t="e">
        <f>AND(Bills!S432,"AAAAAHv/z5Y=")</f>
        <v>#VALUE!</v>
      </c>
      <c r="EV118" t="e">
        <f>AND(Bills!T432,"AAAAAHv/z5c=")</f>
        <v>#VALUE!</v>
      </c>
      <c r="EW118" t="e">
        <f>AND(Bills!#REF!,"AAAAAHv/z5g=")</f>
        <v>#REF!</v>
      </c>
      <c r="EX118" t="e">
        <f>AND(Bills!U432,"AAAAAHv/z5k=")</f>
        <v>#VALUE!</v>
      </c>
      <c r="EY118" t="e">
        <f>AND(Bills!V432,"AAAAAHv/z5o=")</f>
        <v>#VALUE!</v>
      </c>
      <c r="EZ118" t="e">
        <f>AND(Bills!W432,"AAAAAHv/z5s=")</f>
        <v>#VALUE!</v>
      </c>
      <c r="FA118" t="e">
        <f>AND(Bills!#REF!,"AAAAAHv/z5w=")</f>
        <v>#REF!</v>
      </c>
      <c r="FB118" t="e">
        <f>AND(Bills!#REF!,"AAAAAHv/z50=")</f>
        <v>#REF!</v>
      </c>
      <c r="FC118" t="e">
        <f>AND(Bills!Y432,"AAAAAHv/z54=")</f>
        <v>#VALUE!</v>
      </c>
      <c r="FD118" t="e">
        <f>AND(Bills!Z432,"AAAAAHv/z58=")</f>
        <v>#VALUE!</v>
      </c>
      <c r="FE118" t="e">
        <f>AND(Bills!#REF!,"AAAAAHv/z6A=")</f>
        <v>#REF!</v>
      </c>
      <c r="FF118" t="e">
        <f>AND(Bills!#REF!,"AAAAAHv/z6E=")</f>
        <v>#REF!</v>
      </c>
      <c r="FG118" t="e">
        <f>AND(Bills!#REF!,"AAAAAHv/z6I=")</f>
        <v>#REF!</v>
      </c>
      <c r="FH118" t="e">
        <f>AND(Bills!#REF!,"AAAAAHv/z6M=")</f>
        <v>#REF!</v>
      </c>
      <c r="FI118" t="e">
        <f>AND(Bills!#REF!,"AAAAAHv/z6Q=")</f>
        <v>#REF!</v>
      </c>
      <c r="FJ118" t="e">
        <f>AND(Bills!#REF!,"AAAAAHv/z6U=")</f>
        <v>#REF!</v>
      </c>
      <c r="FK118" t="e">
        <f>AND(Bills!#REF!,"AAAAAHv/z6Y=")</f>
        <v>#REF!</v>
      </c>
      <c r="FL118" t="e">
        <f>AND(Bills!#REF!,"AAAAAHv/z6c=")</f>
        <v>#REF!</v>
      </c>
      <c r="FM118" t="e">
        <f>AND(Bills!#REF!,"AAAAAHv/z6g=")</f>
        <v>#REF!</v>
      </c>
      <c r="FN118" t="e">
        <f>AND(Bills!AA432,"AAAAAHv/z6k=")</f>
        <v>#VALUE!</v>
      </c>
      <c r="FO118" t="e">
        <f>AND(Bills!AB432,"AAAAAHv/z6o=")</f>
        <v>#VALUE!</v>
      </c>
      <c r="FP118" t="e">
        <f>AND(Bills!#REF!,"AAAAAHv/z6s=")</f>
        <v>#REF!</v>
      </c>
      <c r="FQ118" t="e">
        <f>AND(Bills!#REF!,"AAAAAHv/z6w=")</f>
        <v>#REF!</v>
      </c>
      <c r="FR118" t="e">
        <f>AND(Bills!#REF!,"AAAAAHv/z60=")</f>
        <v>#REF!</v>
      </c>
      <c r="FS118" t="e">
        <f>AND(Bills!AC432,"AAAAAHv/z64=")</f>
        <v>#VALUE!</v>
      </c>
      <c r="FT118" t="e">
        <f>AND(Bills!AD432,"AAAAAHv/z68=")</f>
        <v>#VALUE!</v>
      </c>
      <c r="FU118" t="e">
        <f>AND(Bills!AE432,"AAAAAHv/z7A=")</f>
        <v>#VALUE!</v>
      </c>
      <c r="FV118">
        <f>IF(Bills!433:433,"AAAAAHv/z7E=",0)</f>
        <v>0</v>
      </c>
      <c r="FW118" t="e">
        <f>AND(Bills!B433,"AAAAAHv/z7I=")</f>
        <v>#VALUE!</v>
      </c>
      <c r="FX118" t="e">
        <f>AND(Bills!#REF!,"AAAAAHv/z7M=")</f>
        <v>#REF!</v>
      </c>
      <c r="FY118" t="e">
        <f>AND(Bills!C433,"AAAAAHv/z7Q=")</f>
        <v>#VALUE!</v>
      </c>
      <c r="FZ118" t="e">
        <f>AND(Bills!D433,"AAAAAHv/z7U=")</f>
        <v>#VALUE!</v>
      </c>
      <c r="GA118" t="e">
        <f>AND(Bills!E433,"AAAAAHv/z7Y=")</f>
        <v>#VALUE!</v>
      </c>
      <c r="GB118" t="e">
        <f>AND(Bills!#REF!,"AAAAAHv/z7c=")</f>
        <v>#REF!</v>
      </c>
      <c r="GC118" t="e">
        <f>AND(Bills!#REF!,"AAAAAHv/z7g=")</f>
        <v>#REF!</v>
      </c>
      <c r="GD118" t="e">
        <f>AND(Bills!#REF!,"AAAAAHv/z7k=")</f>
        <v>#REF!</v>
      </c>
      <c r="GE118" t="e">
        <f>AND(Bills!F433,"AAAAAHv/z7o=")</f>
        <v>#VALUE!</v>
      </c>
      <c r="GF118" t="e">
        <f>AND(Bills!#REF!,"AAAAAHv/z7s=")</f>
        <v>#REF!</v>
      </c>
      <c r="GG118" t="e">
        <f>AND(Bills!G433,"AAAAAHv/z7w=")</f>
        <v>#VALUE!</v>
      </c>
      <c r="GH118" t="e">
        <f>AND(Bills!H433,"AAAAAHv/z70=")</f>
        <v>#VALUE!</v>
      </c>
      <c r="GI118" t="e">
        <f>AND(Bills!I433,"AAAAAHv/z74=")</f>
        <v>#VALUE!</v>
      </c>
      <c r="GJ118" t="e">
        <f>AND(Bills!J433,"AAAAAHv/z78=")</f>
        <v>#VALUE!</v>
      </c>
      <c r="GK118" t="e">
        <f>AND(Bills!K433,"AAAAAHv/z8A=")</f>
        <v>#VALUE!</v>
      </c>
      <c r="GL118" t="e">
        <f>AND(Bills!L433,"AAAAAHv/z8E=")</f>
        <v>#VALUE!</v>
      </c>
      <c r="GM118" t="e">
        <f>AND(Bills!#REF!,"AAAAAHv/z8I=")</f>
        <v>#REF!</v>
      </c>
      <c r="GN118" t="e">
        <f>AND(Bills!M433,"AAAAAHv/z8M=")</f>
        <v>#VALUE!</v>
      </c>
      <c r="GO118" t="e">
        <f>AND(Bills!N433,"AAAAAHv/z8Q=")</f>
        <v>#VALUE!</v>
      </c>
      <c r="GP118" t="e">
        <f>AND(Bills!O433,"AAAAAHv/z8U=")</f>
        <v>#VALUE!</v>
      </c>
      <c r="GQ118" t="e">
        <f>AND(Bills!P433,"AAAAAHv/z8Y=")</f>
        <v>#VALUE!</v>
      </c>
      <c r="GR118" t="e">
        <f>AND(Bills!Q433,"AAAAAHv/z8c=")</f>
        <v>#VALUE!</v>
      </c>
      <c r="GS118" t="e">
        <f>AND(Bills!R433,"AAAAAHv/z8g=")</f>
        <v>#VALUE!</v>
      </c>
      <c r="GT118" t="e">
        <f>AND(Bills!S433,"AAAAAHv/z8k=")</f>
        <v>#VALUE!</v>
      </c>
      <c r="GU118" t="e">
        <f>AND(Bills!T433,"AAAAAHv/z8o=")</f>
        <v>#VALUE!</v>
      </c>
      <c r="GV118" t="e">
        <f>AND(Bills!#REF!,"AAAAAHv/z8s=")</f>
        <v>#REF!</v>
      </c>
      <c r="GW118" t="e">
        <f>AND(Bills!U433,"AAAAAHv/z8w=")</f>
        <v>#VALUE!</v>
      </c>
      <c r="GX118" t="e">
        <f>AND(Bills!V433,"AAAAAHv/z80=")</f>
        <v>#VALUE!</v>
      </c>
      <c r="GY118" t="e">
        <f>AND(Bills!W433,"AAAAAHv/z84=")</f>
        <v>#VALUE!</v>
      </c>
      <c r="GZ118" t="e">
        <f>AND(Bills!#REF!,"AAAAAHv/z88=")</f>
        <v>#REF!</v>
      </c>
      <c r="HA118" t="e">
        <f>AND(Bills!#REF!,"AAAAAHv/z9A=")</f>
        <v>#REF!</v>
      </c>
      <c r="HB118" t="e">
        <f>AND(Bills!Y433,"AAAAAHv/z9E=")</f>
        <v>#VALUE!</v>
      </c>
      <c r="HC118" t="e">
        <f>AND(Bills!Z433,"AAAAAHv/z9I=")</f>
        <v>#VALUE!</v>
      </c>
      <c r="HD118" t="e">
        <f>AND(Bills!#REF!,"AAAAAHv/z9M=")</f>
        <v>#REF!</v>
      </c>
      <c r="HE118" t="e">
        <f>AND(Bills!#REF!,"AAAAAHv/z9Q=")</f>
        <v>#REF!</v>
      </c>
      <c r="HF118" t="e">
        <f>AND(Bills!#REF!,"AAAAAHv/z9U=")</f>
        <v>#REF!</v>
      </c>
      <c r="HG118" t="e">
        <f>AND(Bills!#REF!,"AAAAAHv/z9Y=")</f>
        <v>#REF!</v>
      </c>
      <c r="HH118" t="e">
        <f>AND(Bills!#REF!,"AAAAAHv/z9c=")</f>
        <v>#REF!</v>
      </c>
      <c r="HI118" t="e">
        <f>AND(Bills!#REF!,"AAAAAHv/z9g=")</f>
        <v>#REF!</v>
      </c>
      <c r="HJ118" t="e">
        <f>AND(Bills!#REF!,"AAAAAHv/z9k=")</f>
        <v>#REF!</v>
      </c>
      <c r="HK118" t="e">
        <f>AND(Bills!#REF!,"AAAAAHv/z9o=")</f>
        <v>#REF!</v>
      </c>
      <c r="HL118" t="e">
        <f>AND(Bills!#REF!,"AAAAAHv/z9s=")</f>
        <v>#REF!</v>
      </c>
      <c r="HM118" t="e">
        <f>AND(Bills!AA433,"AAAAAHv/z9w=")</f>
        <v>#VALUE!</v>
      </c>
      <c r="HN118" t="e">
        <f>AND(Bills!AB433,"AAAAAHv/z90=")</f>
        <v>#VALUE!</v>
      </c>
      <c r="HO118" t="e">
        <f>AND(Bills!#REF!,"AAAAAHv/z94=")</f>
        <v>#REF!</v>
      </c>
      <c r="HP118" t="e">
        <f>AND(Bills!#REF!,"AAAAAHv/z98=")</f>
        <v>#REF!</v>
      </c>
      <c r="HQ118" t="e">
        <f>AND(Bills!#REF!,"AAAAAHv/z+A=")</f>
        <v>#REF!</v>
      </c>
      <c r="HR118" t="e">
        <f>AND(Bills!AC433,"AAAAAHv/z+E=")</f>
        <v>#VALUE!</v>
      </c>
      <c r="HS118" t="e">
        <f>AND(Bills!AD433,"AAAAAHv/z+I=")</f>
        <v>#VALUE!</v>
      </c>
      <c r="HT118" t="e">
        <f>AND(Bills!AE433,"AAAAAHv/z+M=")</f>
        <v>#VALUE!</v>
      </c>
      <c r="HU118">
        <f>IF(Bills!434:434,"AAAAAHv/z+Q=",0)</f>
        <v>0</v>
      </c>
      <c r="HV118" t="e">
        <f>AND(Bills!B434,"AAAAAHv/z+U=")</f>
        <v>#VALUE!</v>
      </c>
      <c r="HW118" t="e">
        <f>AND(Bills!#REF!,"AAAAAHv/z+Y=")</f>
        <v>#REF!</v>
      </c>
      <c r="HX118" t="e">
        <f>AND(Bills!C434,"AAAAAHv/z+c=")</f>
        <v>#VALUE!</v>
      </c>
      <c r="HY118" t="e">
        <f>AND(Bills!D434,"AAAAAHv/z+g=")</f>
        <v>#VALUE!</v>
      </c>
      <c r="HZ118" t="e">
        <f>AND(Bills!E434,"AAAAAHv/z+k=")</f>
        <v>#VALUE!</v>
      </c>
      <c r="IA118" t="e">
        <f>AND(Bills!#REF!,"AAAAAHv/z+o=")</f>
        <v>#REF!</v>
      </c>
      <c r="IB118" t="e">
        <f>AND(Bills!#REF!,"AAAAAHv/z+s=")</f>
        <v>#REF!</v>
      </c>
      <c r="IC118" t="e">
        <f>AND(Bills!#REF!,"AAAAAHv/z+w=")</f>
        <v>#REF!</v>
      </c>
      <c r="ID118" t="e">
        <f>AND(Bills!F434,"AAAAAHv/z+0=")</f>
        <v>#VALUE!</v>
      </c>
      <c r="IE118" t="e">
        <f>AND(Bills!#REF!,"AAAAAHv/z+4=")</f>
        <v>#REF!</v>
      </c>
      <c r="IF118" t="e">
        <f>AND(Bills!G434,"AAAAAHv/z+8=")</f>
        <v>#VALUE!</v>
      </c>
      <c r="IG118" t="e">
        <f>AND(Bills!H434,"AAAAAHv/z/A=")</f>
        <v>#VALUE!</v>
      </c>
      <c r="IH118" t="e">
        <f>AND(Bills!I434,"AAAAAHv/z/E=")</f>
        <v>#VALUE!</v>
      </c>
      <c r="II118" t="e">
        <f>AND(Bills!J434,"AAAAAHv/z/I=")</f>
        <v>#VALUE!</v>
      </c>
      <c r="IJ118" t="e">
        <f>AND(Bills!K434,"AAAAAHv/z/M=")</f>
        <v>#VALUE!</v>
      </c>
      <c r="IK118" t="e">
        <f>AND(Bills!L434,"AAAAAHv/z/Q=")</f>
        <v>#VALUE!</v>
      </c>
      <c r="IL118" t="e">
        <f>AND(Bills!#REF!,"AAAAAHv/z/U=")</f>
        <v>#REF!</v>
      </c>
      <c r="IM118" t="e">
        <f>AND(Bills!M434,"AAAAAHv/z/Y=")</f>
        <v>#VALUE!</v>
      </c>
      <c r="IN118" t="e">
        <f>AND(Bills!N434,"AAAAAHv/z/c=")</f>
        <v>#VALUE!</v>
      </c>
      <c r="IO118" t="e">
        <f>AND(Bills!O434,"AAAAAHv/z/g=")</f>
        <v>#VALUE!</v>
      </c>
      <c r="IP118" t="e">
        <f>AND(Bills!P434,"AAAAAHv/z/k=")</f>
        <v>#VALUE!</v>
      </c>
      <c r="IQ118" t="e">
        <f>AND(Bills!Q434,"AAAAAHv/z/o=")</f>
        <v>#VALUE!</v>
      </c>
      <c r="IR118" t="e">
        <f>AND(Bills!R434,"AAAAAHv/z/s=")</f>
        <v>#VALUE!</v>
      </c>
      <c r="IS118" t="e">
        <f>AND(Bills!S434,"AAAAAHv/z/w=")</f>
        <v>#VALUE!</v>
      </c>
      <c r="IT118" t="e">
        <f>AND(Bills!T434,"AAAAAHv/z/0=")</f>
        <v>#VALUE!</v>
      </c>
      <c r="IU118" t="e">
        <f>AND(Bills!#REF!,"AAAAAHv/z/4=")</f>
        <v>#REF!</v>
      </c>
      <c r="IV118" t="e">
        <f>AND(Bills!U434,"AAAAAHv/z/8=")</f>
        <v>#VALUE!</v>
      </c>
    </row>
    <row r="119" spans="1:256" x14ac:dyDescent="0.25">
      <c r="A119" t="e">
        <f>AND(Bills!V434,"AAAAADt//wA=")</f>
        <v>#VALUE!</v>
      </c>
      <c r="B119" t="e">
        <f>AND(Bills!W434,"AAAAADt//wE=")</f>
        <v>#VALUE!</v>
      </c>
      <c r="C119" t="e">
        <f>AND(Bills!#REF!,"AAAAADt//wI=")</f>
        <v>#REF!</v>
      </c>
      <c r="D119" t="e">
        <f>AND(Bills!#REF!,"AAAAADt//wM=")</f>
        <v>#REF!</v>
      </c>
      <c r="E119" t="e">
        <f>AND(Bills!Y434,"AAAAADt//wQ=")</f>
        <v>#VALUE!</v>
      </c>
      <c r="F119" t="e">
        <f>AND(Bills!Z434,"AAAAADt//wU=")</f>
        <v>#VALUE!</v>
      </c>
      <c r="G119" t="e">
        <f>AND(Bills!#REF!,"AAAAADt//wY=")</f>
        <v>#REF!</v>
      </c>
      <c r="H119" t="e">
        <f>AND(Bills!#REF!,"AAAAADt//wc=")</f>
        <v>#REF!</v>
      </c>
      <c r="I119" t="e">
        <f>AND(Bills!#REF!,"AAAAADt//wg=")</f>
        <v>#REF!</v>
      </c>
      <c r="J119" t="e">
        <f>AND(Bills!#REF!,"AAAAADt//wk=")</f>
        <v>#REF!</v>
      </c>
      <c r="K119" t="e">
        <f>AND(Bills!#REF!,"AAAAADt//wo=")</f>
        <v>#REF!</v>
      </c>
      <c r="L119" t="e">
        <f>AND(Bills!#REF!,"AAAAADt//ws=")</f>
        <v>#REF!</v>
      </c>
      <c r="M119" t="e">
        <f>AND(Bills!#REF!,"AAAAADt//ww=")</f>
        <v>#REF!</v>
      </c>
      <c r="N119" t="e">
        <f>AND(Bills!#REF!,"AAAAADt//w0=")</f>
        <v>#REF!</v>
      </c>
      <c r="O119" t="e">
        <f>AND(Bills!#REF!,"AAAAADt//w4=")</f>
        <v>#REF!</v>
      </c>
      <c r="P119" t="e">
        <f>AND(Bills!AA434,"AAAAADt//w8=")</f>
        <v>#VALUE!</v>
      </c>
      <c r="Q119" t="e">
        <f>AND(Bills!AB434,"AAAAADt//xA=")</f>
        <v>#VALUE!</v>
      </c>
      <c r="R119" t="e">
        <f>AND(Bills!#REF!,"AAAAADt//xE=")</f>
        <v>#REF!</v>
      </c>
      <c r="S119" t="e">
        <f>AND(Bills!#REF!,"AAAAADt//xI=")</f>
        <v>#REF!</v>
      </c>
      <c r="T119" t="e">
        <f>AND(Bills!#REF!,"AAAAADt//xM=")</f>
        <v>#REF!</v>
      </c>
      <c r="U119" t="e">
        <f>AND(Bills!AC434,"AAAAADt//xQ=")</f>
        <v>#VALUE!</v>
      </c>
      <c r="V119" t="e">
        <f>AND(Bills!AD434,"AAAAADt//xU=")</f>
        <v>#VALUE!</v>
      </c>
      <c r="W119" t="e">
        <f>AND(Bills!AE434,"AAAAADt//xY=")</f>
        <v>#VALUE!</v>
      </c>
      <c r="X119">
        <f>IF(Bills!435:435,"AAAAADt//xc=",0)</f>
        <v>0</v>
      </c>
      <c r="Y119" t="e">
        <f>AND(Bills!B435,"AAAAADt//xg=")</f>
        <v>#VALUE!</v>
      </c>
      <c r="Z119" t="e">
        <f>AND(Bills!#REF!,"AAAAADt//xk=")</f>
        <v>#REF!</v>
      </c>
      <c r="AA119" t="e">
        <f>AND(Bills!C435,"AAAAADt//xo=")</f>
        <v>#VALUE!</v>
      </c>
      <c r="AB119" t="e">
        <f>AND(Bills!D435,"AAAAADt//xs=")</f>
        <v>#VALUE!</v>
      </c>
      <c r="AC119" t="e">
        <f>AND(Bills!E435,"AAAAADt//xw=")</f>
        <v>#VALUE!</v>
      </c>
      <c r="AD119" t="e">
        <f>AND(Bills!#REF!,"AAAAADt//x0=")</f>
        <v>#REF!</v>
      </c>
      <c r="AE119" t="e">
        <f>AND(Bills!#REF!,"AAAAADt//x4=")</f>
        <v>#REF!</v>
      </c>
      <c r="AF119" t="e">
        <f>AND(Bills!#REF!,"AAAAADt//x8=")</f>
        <v>#REF!</v>
      </c>
      <c r="AG119" t="e">
        <f>AND(Bills!F435,"AAAAADt//yA=")</f>
        <v>#VALUE!</v>
      </c>
      <c r="AH119" t="e">
        <f>AND(Bills!#REF!,"AAAAADt//yE=")</f>
        <v>#REF!</v>
      </c>
      <c r="AI119" t="e">
        <f>AND(Bills!G435,"AAAAADt//yI=")</f>
        <v>#VALUE!</v>
      </c>
      <c r="AJ119" t="e">
        <f>AND(Bills!H435,"AAAAADt//yM=")</f>
        <v>#VALUE!</v>
      </c>
      <c r="AK119" t="e">
        <f>AND(Bills!I435,"AAAAADt//yQ=")</f>
        <v>#VALUE!</v>
      </c>
      <c r="AL119" t="e">
        <f>AND(Bills!J435,"AAAAADt//yU=")</f>
        <v>#VALUE!</v>
      </c>
      <c r="AM119" t="e">
        <f>AND(Bills!K435,"AAAAADt//yY=")</f>
        <v>#VALUE!</v>
      </c>
      <c r="AN119" t="e">
        <f>AND(Bills!L435,"AAAAADt//yc=")</f>
        <v>#VALUE!</v>
      </c>
      <c r="AO119" t="e">
        <f>AND(Bills!#REF!,"AAAAADt//yg=")</f>
        <v>#REF!</v>
      </c>
      <c r="AP119" t="e">
        <f>AND(Bills!M435,"AAAAADt//yk=")</f>
        <v>#VALUE!</v>
      </c>
      <c r="AQ119" t="e">
        <f>AND(Bills!N435,"AAAAADt//yo=")</f>
        <v>#VALUE!</v>
      </c>
      <c r="AR119" t="e">
        <f>AND(Bills!O435,"AAAAADt//ys=")</f>
        <v>#VALUE!</v>
      </c>
      <c r="AS119" t="e">
        <f>AND(Bills!P435,"AAAAADt//yw=")</f>
        <v>#VALUE!</v>
      </c>
      <c r="AT119" t="e">
        <f>AND(Bills!Q435,"AAAAADt//y0=")</f>
        <v>#VALUE!</v>
      </c>
      <c r="AU119" t="e">
        <f>AND(Bills!R435,"AAAAADt//y4=")</f>
        <v>#VALUE!</v>
      </c>
      <c r="AV119" t="e">
        <f>AND(Bills!S435,"AAAAADt//y8=")</f>
        <v>#VALUE!</v>
      </c>
      <c r="AW119" t="e">
        <f>AND(Bills!T435,"AAAAADt//zA=")</f>
        <v>#VALUE!</v>
      </c>
      <c r="AX119" t="e">
        <f>AND(Bills!#REF!,"AAAAADt//zE=")</f>
        <v>#REF!</v>
      </c>
      <c r="AY119" t="e">
        <f>AND(Bills!U435,"AAAAADt//zI=")</f>
        <v>#VALUE!</v>
      </c>
      <c r="AZ119" t="e">
        <f>AND(Bills!V435,"AAAAADt//zM=")</f>
        <v>#VALUE!</v>
      </c>
      <c r="BA119" t="e">
        <f>AND(Bills!W435,"AAAAADt//zQ=")</f>
        <v>#VALUE!</v>
      </c>
      <c r="BB119" t="e">
        <f>AND(Bills!#REF!,"AAAAADt//zU=")</f>
        <v>#REF!</v>
      </c>
      <c r="BC119" t="e">
        <f>AND(Bills!#REF!,"AAAAADt//zY=")</f>
        <v>#REF!</v>
      </c>
      <c r="BD119" t="e">
        <f>AND(Bills!Y435,"AAAAADt//zc=")</f>
        <v>#VALUE!</v>
      </c>
      <c r="BE119" t="e">
        <f>AND(Bills!Z435,"AAAAADt//zg=")</f>
        <v>#VALUE!</v>
      </c>
      <c r="BF119" t="e">
        <f>AND(Bills!#REF!,"AAAAADt//zk=")</f>
        <v>#REF!</v>
      </c>
      <c r="BG119" t="e">
        <f>AND(Bills!#REF!,"AAAAADt//zo=")</f>
        <v>#REF!</v>
      </c>
      <c r="BH119" t="e">
        <f>AND(Bills!#REF!,"AAAAADt//zs=")</f>
        <v>#REF!</v>
      </c>
      <c r="BI119" t="e">
        <f>AND(Bills!#REF!,"AAAAADt//zw=")</f>
        <v>#REF!</v>
      </c>
      <c r="BJ119" t="e">
        <f>AND(Bills!#REF!,"AAAAADt//z0=")</f>
        <v>#REF!</v>
      </c>
      <c r="BK119" t="e">
        <f>AND(Bills!#REF!,"AAAAADt//z4=")</f>
        <v>#REF!</v>
      </c>
      <c r="BL119" t="e">
        <f>AND(Bills!#REF!,"AAAAADt//z8=")</f>
        <v>#REF!</v>
      </c>
      <c r="BM119" t="e">
        <f>AND(Bills!#REF!,"AAAAADt//0A=")</f>
        <v>#REF!</v>
      </c>
      <c r="BN119" t="e">
        <f>AND(Bills!#REF!,"AAAAADt//0E=")</f>
        <v>#REF!</v>
      </c>
      <c r="BO119" t="e">
        <f>AND(Bills!AA435,"AAAAADt//0I=")</f>
        <v>#VALUE!</v>
      </c>
      <c r="BP119" t="e">
        <f>AND(Bills!AB435,"AAAAADt//0M=")</f>
        <v>#VALUE!</v>
      </c>
      <c r="BQ119" t="e">
        <f>AND(Bills!#REF!,"AAAAADt//0Q=")</f>
        <v>#REF!</v>
      </c>
      <c r="BR119" t="e">
        <f>AND(Bills!#REF!,"AAAAADt//0U=")</f>
        <v>#REF!</v>
      </c>
      <c r="BS119" t="e">
        <f>AND(Bills!#REF!,"AAAAADt//0Y=")</f>
        <v>#REF!</v>
      </c>
      <c r="BT119" t="e">
        <f>AND(Bills!AC435,"AAAAADt//0c=")</f>
        <v>#VALUE!</v>
      </c>
      <c r="BU119" t="e">
        <f>AND(Bills!AD435,"AAAAADt//0g=")</f>
        <v>#VALUE!</v>
      </c>
      <c r="BV119" t="e">
        <f>AND(Bills!AE435,"AAAAADt//0k=")</f>
        <v>#VALUE!</v>
      </c>
      <c r="BW119">
        <f>IF(Bills!436:436,"AAAAADt//0o=",0)</f>
        <v>0</v>
      </c>
      <c r="BX119" t="e">
        <f>AND(Bills!B436,"AAAAADt//0s=")</f>
        <v>#VALUE!</v>
      </c>
      <c r="BY119" t="e">
        <f>AND(Bills!#REF!,"AAAAADt//0w=")</f>
        <v>#REF!</v>
      </c>
      <c r="BZ119" t="e">
        <f>AND(Bills!C436,"AAAAADt//00=")</f>
        <v>#VALUE!</v>
      </c>
      <c r="CA119" t="e">
        <f>AND(Bills!D436,"AAAAADt//04=")</f>
        <v>#VALUE!</v>
      </c>
      <c r="CB119" t="e">
        <f>AND(Bills!E436,"AAAAADt//08=")</f>
        <v>#VALUE!</v>
      </c>
      <c r="CC119" t="e">
        <f>AND(Bills!#REF!,"AAAAADt//1A=")</f>
        <v>#REF!</v>
      </c>
      <c r="CD119" t="e">
        <f>AND(Bills!#REF!,"AAAAADt//1E=")</f>
        <v>#REF!</v>
      </c>
      <c r="CE119" t="e">
        <f>AND(Bills!#REF!,"AAAAADt//1I=")</f>
        <v>#REF!</v>
      </c>
      <c r="CF119" t="e">
        <f>AND(Bills!F436,"AAAAADt//1M=")</f>
        <v>#VALUE!</v>
      </c>
      <c r="CG119" t="e">
        <f>AND(Bills!#REF!,"AAAAADt//1Q=")</f>
        <v>#REF!</v>
      </c>
      <c r="CH119" t="e">
        <f>AND(Bills!G436,"AAAAADt//1U=")</f>
        <v>#VALUE!</v>
      </c>
      <c r="CI119" t="e">
        <f>AND(Bills!H436,"AAAAADt//1Y=")</f>
        <v>#VALUE!</v>
      </c>
      <c r="CJ119" t="e">
        <f>AND(Bills!I436,"AAAAADt//1c=")</f>
        <v>#VALUE!</v>
      </c>
      <c r="CK119" t="e">
        <f>AND(Bills!J436,"AAAAADt//1g=")</f>
        <v>#VALUE!</v>
      </c>
      <c r="CL119" t="e">
        <f>AND(Bills!K436,"AAAAADt//1k=")</f>
        <v>#VALUE!</v>
      </c>
      <c r="CM119" t="e">
        <f>AND(Bills!L436,"AAAAADt//1o=")</f>
        <v>#VALUE!</v>
      </c>
      <c r="CN119" t="e">
        <f>AND(Bills!#REF!,"AAAAADt//1s=")</f>
        <v>#REF!</v>
      </c>
      <c r="CO119" t="e">
        <f>AND(Bills!M436,"AAAAADt//1w=")</f>
        <v>#VALUE!</v>
      </c>
      <c r="CP119" t="e">
        <f>AND(Bills!N436,"AAAAADt//10=")</f>
        <v>#VALUE!</v>
      </c>
      <c r="CQ119" t="e">
        <f>AND(Bills!O436,"AAAAADt//14=")</f>
        <v>#VALUE!</v>
      </c>
      <c r="CR119" t="e">
        <f>AND(Bills!P436,"AAAAADt//18=")</f>
        <v>#VALUE!</v>
      </c>
      <c r="CS119" t="e">
        <f>AND(Bills!Q436,"AAAAADt//2A=")</f>
        <v>#VALUE!</v>
      </c>
      <c r="CT119" t="e">
        <f>AND(Bills!R436,"AAAAADt//2E=")</f>
        <v>#VALUE!</v>
      </c>
      <c r="CU119" t="e">
        <f>AND(Bills!S436,"AAAAADt//2I=")</f>
        <v>#VALUE!</v>
      </c>
      <c r="CV119" t="e">
        <f>AND(Bills!T436,"AAAAADt//2M=")</f>
        <v>#VALUE!</v>
      </c>
      <c r="CW119" t="e">
        <f>AND(Bills!#REF!,"AAAAADt//2Q=")</f>
        <v>#REF!</v>
      </c>
      <c r="CX119" t="e">
        <f>AND(Bills!U436,"AAAAADt//2U=")</f>
        <v>#VALUE!</v>
      </c>
      <c r="CY119" t="e">
        <f>AND(Bills!V436,"AAAAADt//2Y=")</f>
        <v>#VALUE!</v>
      </c>
      <c r="CZ119" t="e">
        <f>AND(Bills!W436,"AAAAADt//2c=")</f>
        <v>#VALUE!</v>
      </c>
      <c r="DA119" t="e">
        <f>AND(Bills!#REF!,"AAAAADt//2g=")</f>
        <v>#REF!</v>
      </c>
      <c r="DB119" t="e">
        <f>AND(Bills!#REF!,"AAAAADt//2k=")</f>
        <v>#REF!</v>
      </c>
      <c r="DC119" t="e">
        <f>AND(Bills!Y436,"AAAAADt//2o=")</f>
        <v>#VALUE!</v>
      </c>
      <c r="DD119" t="e">
        <f>AND(Bills!Z436,"AAAAADt//2s=")</f>
        <v>#VALUE!</v>
      </c>
      <c r="DE119" t="e">
        <f>AND(Bills!#REF!,"AAAAADt//2w=")</f>
        <v>#REF!</v>
      </c>
      <c r="DF119" t="e">
        <f>AND(Bills!#REF!,"AAAAADt//20=")</f>
        <v>#REF!</v>
      </c>
      <c r="DG119" t="e">
        <f>AND(Bills!#REF!,"AAAAADt//24=")</f>
        <v>#REF!</v>
      </c>
      <c r="DH119" t="e">
        <f>AND(Bills!#REF!,"AAAAADt//28=")</f>
        <v>#REF!</v>
      </c>
      <c r="DI119" t="e">
        <f>AND(Bills!#REF!,"AAAAADt//3A=")</f>
        <v>#REF!</v>
      </c>
      <c r="DJ119" t="e">
        <f>AND(Bills!#REF!,"AAAAADt//3E=")</f>
        <v>#REF!</v>
      </c>
      <c r="DK119" t="e">
        <f>AND(Bills!#REF!,"AAAAADt//3I=")</f>
        <v>#REF!</v>
      </c>
      <c r="DL119" t="e">
        <f>AND(Bills!#REF!,"AAAAADt//3M=")</f>
        <v>#REF!</v>
      </c>
      <c r="DM119" t="e">
        <f>AND(Bills!#REF!,"AAAAADt//3Q=")</f>
        <v>#REF!</v>
      </c>
      <c r="DN119" t="e">
        <f>AND(Bills!AA436,"AAAAADt//3U=")</f>
        <v>#VALUE!</v>
      </c>
      <c r="DO119" t="e">
        <f>AND(Bills!AB436,"AAAAADt//3Y=")</f>
        <v>#VALUE!</v>
      </c>
      <c r="DP119" t="e">
        <f>AND(Bills!#REF!,"AAAAADt//3c=")</f>
        <v>#REF!</v>
      </c>
      <c r="DQ119" t="e">
        <f>AND(Bills!#REF!,"AAAAADt//3g=")</f>
        <v>#REF!</v>
      </c>
      <c r="DR119" t="e">
        <f>AND(Bills!#REF!,"AAAAADt//3k=")</f>
        <v>#REF!</v>
      </c>
      <c r="DS119" t="e">
        <f>AND(Bills!AC436,"AAAAADt//3o=")</f>
        <v>#VALUE!</v>
      </c>
      <c r="DT119" t="e">
        <f>AND(Bills!AD436,"AAAAADt//3s=")</f>
        <v>#VALUE!</v>
      </c>
      <c r="DU119" t="e">
        <f>AND(Bills!AE436,"AAAAADt//3w=")</f>
        <v>#VALUE!</v>
      </c>
      <c r="DV119">
        <f>IF(Bills!437:437,"AAAAADt//30=",0)</f>
        <v>0</v>
      </c>
      <c r="DW119" t="e">
        <f>AND(Bills!B437,"AAAAADt//34=")</f>
        <v>#VALUE!</v>
      </c>
      <c r="DX119" t="e">
        <f>AND(Bills!#REF!,"AAAAADt//38=")</f>
        <v>#REF!</v>
      </c>
      <c r="DY119" t="e">
        <f>AND(Bills!C437,"AAAAADt//4A=")</f>
        <v>#VALUE!</v>
      </c>
      <c r="DZ119" t="e">
        <f>AND(Bills!D437,"AAAAADt//4E=")</f>
        <v>#VALUE!</v>
      </c>
      <c r="EA119" t="e">
        <f>AND(Bills!E437,"AAAAADt//4I=")</f>
        <v>#VALUE!</v>
      </c>
      <c r="EB119" t="e">
        <f>AND(Bills!#REF!,"AAAAADt//4M=")</f>
        <v>#REF!</v>
      </c>
      <c r="EC119" t="e">
        <f>AND(Bills!#REF!,"AAAAADt//4Q=")</f>
        <v>#REF!</v>
      </c>
      <c r="ED119" t="e">
        <f>AND(Bills!#REF!,"AAAAADt//4U=")</f>
        <v>#REF!</v>
      </c>
      <c r="EE119" t="e">
        <f>AND(Bills!F437,"AAAAADt//4Y=")</f>
        <v>#VALUE!</v>
      </c>
      <c r="EF119" t="e">
        <f>AND(Bills!#REF!,"AAAAADt//4c=")</f>
        <v>#REF!</v>
      </c>
      <c r="EG119" t="e">
        <f>AND(Bills!G437,"AAAAADt//4g=")</f>
        <v>#VALUE!</v>
      </c>
      <c r="EH119" t="e">
        <f>AND(Bills!H437,"AAAAADt//4k=")</f>
        <v>#VALUE!</v>
      </c>
      <c r="EI119" t="e">
        <f>AND(Bills!I437,"AAAAADt//4o=")</f>
        <v>#VALUE!</v>
      </c>
      <c r="EJ119" t="e">
        <f>AND(Bills!J437,"AAAAADt//4s=")</f>
        <v>#VALUE!</v>
      </c>
      <c r="EK119" t="e">
        <f>AND(Bills!K437,"AAAAADt//4w=")</f>
        <v>#VALUE!</v>
      </c>
      <c r="EL119" t="e">
        <f>AND(Bills!L437,"AAAAADt//40=")</f>
        <v>#VALUE!</v>
      </c>
      <c r="EM119" t="e">
        <f>AND(Bills!#REF!,"AAAAADt//44=")</f>
        <v>#REF!</v>
      </c>
      <c r="EN119" t="e">
        <f>AND(Bills!M437,"AAAAADt//48=")</f>
        <v>#VALUE!</v>
      </c>
      <c r="EO119" t="e">
        <f>AND(Bills!N437,"AAAAADt//5A=")</f>
        <v>#VALUE!</v>
      </c>
      <c r="EP119" t="e">
        <f>AND(Bills!O437,"AAAAADt//5E=")</f>
        <v>#VALUE!</v>
      </c>
      <c r="EQ119" t="e">
        <f>AND(Bills!P437,"AAAAADt//5I=")</f>
        <v>#VALUE!</v>
      </c>
      <c r="ER119" t="e">
        <f>AND(Bills!Q437,"AAAAADt//5M=")</f>
        <v>#VALUE!</v>
      </c>
      <c r="ES119" t="e">
        <f>AND(Bills!R437,"AAAAADt//5Q=")</f>
        <v>#VALUE!</v>
      </c>
      <c r="ET119" t="e">
        <f>AND(Bills!S437,"AAAAADt//5U=")</f>
        <v>#VALUE!</v>
      </c>
      <c r="EU119" t="e">
        <f>AND(Bills!T437,"AAAAADt//5Y=")</f>
        <v>#VALUE!</v>
      </c>
      <c r="EV119" t="e">
        <f>AND(Bills!#REF!,"AAAAADt//5c=")</f>
        <v>#REF!</v>
      </c>
      <c r="EW119" t="e">
        <f>AND(Bills!U437,"AAAAADt//5g=")</f>
        <v>#VALUE!</v>
      </c>
      <c r="EX119" t="e">
        <f>AND(Bills!V437,"AAAAADt//5k=")</f>
        <v>#VALUE!</v>
      </c>
      <c r="EY119" t="e">
        <f>AND(Bills!W437,"AAAAADt//5o=")</f>
        <v>#VALUE!</v>
      </c>
      <c r="EZ119" t="e">
        <f>AND(Bills!#REF!,"AAAAADt//5s=")</f>
        <v>#REF!</v>
      </c>
      <c r="FA119" t="e">
        <f>AND(Bills!#REF!,"AAAAADt//5w=")</f>
        <v>#REF!</v>
      </c>
      <c r="FB119" t="e">
        <f>AND(Bills!Y437,"AAAAADt//50=")</f>
        <v>#VALUE!</v>
      </c>
      <c r="FC119" t="e">
        <f>AND(Bills!Z437,"AAAAADt//54=")</f>
        <v>#VALUE!</v>
      </c>
      <c r="FD119" t="e">
        <f>AND(Bills!#REF!,"AAAAADt//58=")</f>
        <v>#REF!</v>
      </c>
      <c r="FE119" t="e">
        <f>AND(Bills!#REF!,"AAAAADt//6A=")</f>
        <v>#REF!</v>
      </c>
      <c r="FF119" t="e">
        <f>AND(Bills!#REF!,"AAAAADt//6E=")</f>
        <v>#REF!</v>
      </c>
      <c r="FG119" t="e">
        <f>AND(Bills!#REF!,"AAAAADt//6I=")</f>
        <v>#REF!</v>
      </c>
      <c r="FH119" t="e">
        <f>AND(Bills!#REF!,"AAAAADt//6M=")</f>
        <v>#REF!</v>
      </c>
      <c r="FI119" t="e">
        <f>AND(Bills!#REF!,"AAAAADt//6Q=")</f>
        <v>#REF!</v>
      </c>
      <c r="FJ119" t="e">
        <f>AND(Bills!#REF!,"AAAAADt//6U=")</f>
        <v>#REF!</v>
      </c>
      <c r="FK119" t="e">
        <f>AND(Bills!#REF!,"AAAAADt//6Y=")</f>
        <v>#REF!</v>
      </c>
      <c r="FL119" t="e">
        <f>AND(Bills!#REF!,"AAAAADt//6c=")</f>
        <v>#REF!</v>
      </c>
      <c r="FM119" t="e">
        <f>AND(Bills!AA437,"AAAAADt//6g=")</f>
        <v>#VALUE!</v>
      </c>
      <c r="FN119" t="e">
        <f>AND(Bills!AB437,"AAAAADt//6k=")</f>
        <v>#VALUE!</v>
      </c>
      <c r="FO119" t="e">
        <f>AND(Bills!#REF!,"AAAAADt//6o=")</f>
        <v>#REF!</v>
      </c>
      <c r="FP119" t="e">
        <f>AND(Bills!#REF!,"AAAAADt//6s=")</f>
        <v>#REF!</v>
      </c>
      <c r="FQ119" t="e">
        <f>AND(Bills!#REF!,"AAAAADt//6w=")</f>
        <v>#REF!</v>
      </c>
      <c r="FR119" t="e">
        <f>AND(Bills!AC437,"AAAAADt//60=")</f>
        <v>#VALUE!</v>
      </c>
      <c r="FS119" t="e">
        <f>AND(Bills!AD437,"AAAAADt//64=")</f>
        <v>#VALUE!</v>
      </c>
      <c r="FT119" t="e">
        <f>AND(Bills!AE437,"AAAAADt//68=")</f>
        <v>#VALUE!</v>
      </c>
      <c r="FU119">
        <f>IF(Bills!438:438,"AAAAADt//7A=",0)</f>
        <v>0</v>
      </c>
      <c r="FV119" t="e">
        <f>AND(Bills!B438,"AAAAADt//7E=")</f>
        <v>#VALUE!</v>
      </c>
      <c r="FW119" t="e">
        <f>AND(Bills!#REF!,"AAAAADt//7I=")</f>
        <v>#REF!</v>
      </c>
      <c r="FX119" t="e">
        <f>AND(Bills!C438,"AAAAADt//7M=")</f>
        <v>#VALUE!</v>
      </c>
      <c r="FY119" t="e">
        <f>AND(Bills!D438,"AAAAADt//7Q=")</f>
        <v>#VALUE!</v>
      </c>
      <c r="FZ119" t="e">
        <f>AND(Bills!E438,"AAAAADt//7U=")</f>
        <v>#VALUE!</v>
      </c>
      <c r="GA119" t="e">
        <f>AND(Bills!#REF!,"AAAAADt//7Y=")</f>
        <v>#REF!</v>
      </c>
      <c r="GB119" t="e">
        <f>AND(Bills!#REF!,"AAAAADt//7c=")</f>
        <v>#REF!</v>
      </c>
      <c r="GC119" t="e">
        <f>AND(Bills!#REF!,"AAAAADt//7g=")</f>
        <v>#REF!</v>
      </c>
      <c r="GD119" t="e">
        <f>AND(Bills!F438,"AAAAADt//7k=")</f>
        <v>#VALUE!</v>
      </c>
      <c r="GE119" t="e">
        <f>AND(Bills!#REF!,"AAAAADt//7o=")</f>
        <v>#REF!</v>
      </c>
      <c r="GF119" t="e">
        <f>AND(Bills!G438,"AAAAADt//7s=")</f>
        <v>#VALUE!</v>
      </c>
      <c r="GG119" t="e">
        <f>AND(Bills!H438,"AAAAADt//7w=")</f>
        <v>#VALUE!</v>
      </c>
      <c r="GH119" t="e">
        <f>AND(Bills!I438,"AAAAADt//70=")</f>
        <v>#VALUE!</v>
      </c>
      <c r="GI119" t="e">
        <f>AND(Bills!J438,"AAAAADt//74=")</f>
        <v>#VALUE!</v>
      </c>
      <c r="GJ119" t="e">
        <f>AND(Bills!K438,"AAAAADt//78=")</f>
        <v>#VALUE!</v>
      </c>
      <c r="GK119" t="e">
        <f>AND(Bills!L438,"AAAAADt//8A=")</f>
        <v>#VALUE!</v>
      </c>
      <c r="GL119" t="e">
        <f>AND(Bills!#REF!,"AAAAADt//8E=")</f>
        <v>#REF!</v>
      </c>
      <c r="GM119" t="e">
        <f>AND(Bills!M438,"AAAAADt//8I=")</f>
        <v>#VALUE!</v>
      </c>
      <c r="GN119" t="e">
        <f>AND(Bills!N438,"AAAAADt//8M=")</f>
        <v>#VALUE!</v>
      </c>
      <c r="GO119" t="e">
        <f>AND(Bills!O438,"AAAAADt//8Q=")</f>
        <v>#VALUE!</v>
      </c>
      <c r="GP119" t="e">
        <f>AND(Bills!P438,"AAAAADt//8U=")</f>
        <v>#VALUE!</v>
      </c>
      <c r="GQ119" t="e">
        <f>AND(Bills!Q438,"AAAAADt//8Y=")</f>
        <v>#VALUE!</v>
      </c>
      <c r="GR119" t="e">
        <f>AND(Bills!R438,"AAAAADt//8c=")</f>
        <v>#VALUE!</v>
      </c>
      <c r="GS119" t="e">
        <f>AND(Bills!S438,"AAAAADt//8g=")</f>
        <v>#VALUE!</v>
      </c>
      <c r="GT119" t="e">
        <f>AND(Bills!T438,"AAAAADt//8k=")</f>
        <v>#VALUE!</v>
      </c>
      <c r="GU119" t="e">
        <f>AND(Bills!#REF!,"AAAAADt//8o=")</f>
        <v>#REF!</v>
      </c>
      <c r="GV119" t="e">
        <f>AND(Bills!U438,"AAAAADt//8s=")</f>
        <v>#VALUE!</v>
      </c>
      <c r="GW119" t="e">
        <f>AND(Bills!V438,"AAAAADt//8w=")</f>
        <v>#VALUE!</v>
      </c>
      <c r="GX119" t="e">
        <f>AND(Bills!W438,"AAAAADt//80=")</f>
        <v>#VALUE!</v>
      </c>
      <c r="GY119" t="e">
        <f>AND(Bills!#REF!,"AAAAADt//84=")</f>
        <v>#REF!</v>
      </c>
      <c r="GZ119" t="e">
        <f>AND(Bills!#REF!,"AAAAADt//88=")</f>
        <v>#REF!</v>
      </c>
      <c r="HA119" t="e">
        <f>AND(Bills!Y438,"AAAAADt//9A=")</f>
        <v>#VALUE!</v>
      </c>
      <c r="HB119" t="e">
        <f>AND(Bills!Z438,"AAAAADt//9E=")</f>
        <v>#VALUE!</v>
      </c>
      <c r="HC119" t="e">
        <f>AND(Bills!#REF!,"AAAAADt//9I=")</f>
        <v>#REF!</v>
      </c>
      <c r="HD119" t="e">
        <f>AND(Bills!#REF!,"AAAAADt//9M=")</f>
        <v>#REF!</v>
      </c>
      <c r="HE119" t="e">
        <f>AND(Bills!#REF!,"AAAAADt//9Q=")</f>
        <v>#REF!</v>
      </c>
      <c r="HF119" t="e">
        <f>AND(Bills!#REF!,"AAAAADt//9U=")</f>
        <v>#REF!</v>
      </c>
      <c r="HG119" t="e">
        <f>AND(Bills!#REF!,"AAAAADt//9Y=")</f>
        <v>#REF!</v>
      </c>
      <c r="HH119" t="e">
        <f>AND(Bills!#REF!,"AAAAADt//9c=")</f>
        <v>#REF!</v>
      </c>
      <c r="HI119" t="e">
        <f>AND(Bills!#REF!,"AAAAADt//9g=")</f>
        <v>#REF!</v>
      </c>
      <c r="HJ119" t="e">
        <f>AND(Bills!#REF!,"AAAAADt//9k=")</f>
        <v>#REF!</v>
      </c>
      <c r="HK119" t="e">
        <f>AND(Bills!#REF!,"AAAAADt//9o=")</f>
        <v>#REF!</v>
      </c>
      <c r="HL119" t="e">
        <f>AND(Bills!AA438,"AAAAADt//9s=")</f>
        <v>#VALUE!</v>
      </c>
      <c r="HM119" t="e">
        <f>AND(Bills!AB438,"AAAAADt//9w=")</f>
        <v>#VALUE!</v>
      </c>
      <c r="HN119" t="e">
        <f>AND(Bills!#REF!,"AAAAADt//90=")</f>
        <v>#REF!</v>
      </c>
      <c r="HO119" t="e">
        <f>AND(Bills!#REF!,"AAAAADt//94=")</f>
        <v>#REF!</v>
      </c>
      <c r="HP119" t="e">
        <f>AND(Bills!#REF!,"AAAAADt//98=")</f>
        <v>#REF!</v>
      </c>
      <c r="HQ119" t="e">
        <f>AND(Bills!AC438,"AAAAADt//+A=")</f>
        <v>#VALUE!</v>
      </c>
      <c r="HR119" t="e">
        <f>AND(Bills!AD438,"AAAAADt//+E=")</f>
        <v>#VALUE!</v>
      </c>
      <c r="HS119" t="e">
        <f>AND(Bills!AE438,"AAAAADt//+I=")</f>
        <v>#VALUE!</v>
      </c>
      <c r="HT119">
        <f>IF(Bills!439:439,"AAAAADt//+M=",0)</f>
        <v>0</v>
      </c>
      <c r="HU119" t="e">
        <f>AND(Bills!B439,"AAAAADt//+Q=")</f>
        <v>#VALUE!</v>
      </c>
      <c r="HV119" t="e">
        <f>AND(Bills!#REF!,"AAAAADt//+U=")</f>
        <v>#REF!</v>
      </c>
      <c r="HW119" t="e">
        <f>AND(Bills!C439,"AAAAADt//+Y=")</f>
        <v>#VALUE!</v>
      </c>
      <c r="HX119" t="e">
        <f>AND(Bills!D439,"AAAAADt//+c=")</f>
        <v>#VALUE!</v>
      </c>
      <c r="HY119" t="e">
        <f>AND(Bills!E439,"AAAAADt//+g=")</f>
        <v>#VALUE!</v>
      </c>
      <c r="HZ119" t="e">
        <f>AND(Bills!#REF!,"AAAAADt//+k=")</f>
        <v>#REF!</v>
      </c>
      <c r="IA119" t="e">
        <f>AND(Bills!#REF!,"AAAAADt//+o=")</f>
        <v>#REF!</v>
      </c>
      <c r="IB119" t="e">
        <f>AND(Bills!#REF!,"AAAAADt//+s=")</f>
        <v>#REF!</v>
      </c>
      <c r="IC119" t="e">
        <f>AND(Bills!F439,"AAAAADt//+w=")</f>
        <v>#VALUE!</v>
      </c>
      <c r="ID119" t="e">
        <f>AND(Bills!#REF!,"AAAAADt//+0=")</f>
        <v>#REF!</v>
      </c>
      <c r="IE119" t="e">
        <f>AND(Bills!G439,"AAAAADt//+4=")</f>
        <v>#VALUE!</v>
      </c>
      <c r="IF119" t="e">
        <f>AND(Bills!H439,"AAAAADt//+8=")</f>
        <v>#VALUE!</v>
      </c>
      <c r="IG119" t="e">
        <f>AND(Bills!I439,"AAAAADt///A=")</f>
        <v>#VALUE!</v>
      </c>
      <c r="IH119" t="e">
        <f>AND(Bills!J439,"AAAAADt///E=")</f>
        <v>#VALUE!</v>
      </c>
      <c r="II119" t="e">
        <f>AND(Bills!K439,"AAAAADt///I=")</f>
        <v>#VALUE!</v>
      </c>
      <c r="IJ119" t="e">
        <f>AND(Bills!L439,"AAAAADt///M=")</f>
        <v>#VALUE!</v>
      </c>
      <c r="IK119" t="e">
        <f>AND(Bills!#REF!,"AAAAADt///Q=")</f>
        <v>#REF!</v>
      </c>
      <c r="IL119" t="e">
        <f>AND(Bills!M439,"AAAAADt///U=")</f>
        <v>#VALUE!</v>
      </c>
      <c r="IM119" t="e">
        <f>AND(Bills!N439,"AAAAADt///Y=")</f>
        <v>#VALUE!</v>
      </c>
      <c r="IN119" t="e">
        <f>AND(Bills!O439,"AAAAADt///c=")</f>
        <v>#VALUE!</v>
      </c>
      <c r="IO119" t="e">
        <f>AND(Bills!P439,"AAAAADt///g=")</f>
        <v>#VALUE!</v>
      </c>
      <c r="IP119" t="e">
        <f>AND(Bills!Q439,"AAAAADt///k=")</f>
        <v>#VALUE!</v>
      </c>
      <c r="IQ119" t="e">
        <f>AND(Bills!R439,"AAAAADt///o=")</f>
        <v>#VALUE!</v>
      </c>
      <c r="IR119" t="e">
        <f>AND(Bills!S439,"AAAAADt///s=")</f>
        <v>#VALUE!</v>
      </c>
      <c r="IS119" t="e">
        <f>AND(Bills!T439,"AAAAADt///w=")</f>
        <v>#VALUE!</v>
      </c>
      <c r="IT119" t="e">
        <f>AND(Bills!#REF!,"AAAAADt///0=")</f>
        <v>#REF!</v>
      </c>
      <c r="IU119" t="e">
        <f>AND(Bills!U439,"AAAAADt///4=")</f>
        <v>#VALUE!</v>
      </c>
      <c r="IV119" t="e">
        <f>AND(Bills!V439,"AAAAADt///8=")</f>
        <v>#VALUE!</v>
      </c>
    </row>
    <row r="120" spans="1:256" x14ac:dyDescent="0.25">
      <c r="A120" t="e">
        <f>AND(Bills!W439,"AAAAAAX3dwA=")</f>
        <v>#VALUE!</v>
      </c>
      <c r="B120" t="e">
        <f>AND(Bills!#REF!,"AAAAAAX3dwE=")</f>
        <v>#REF!</v>
      </c>
      <c r="C120" t="e">
        <f>AND(Bills!#REF!,"AAAAAAX3dwI=")</f>
        <v>#REF!</v>
      </c>
      <c r="D120" t="e">
        <f>AND(Bills!Y439,"AAAAAAX3dwM=")</f>
        <v>#VALUE!</v>
      </c>
      <c r="E120" t="e">
        <f>AND(Bills!Z439,"AAAAAAX3dwQ=")</f>
        <v>#VALUE!</v>
      </c>
      <c r="F120" t="e">
        <f>AND(Bills!#REF!,"AAAAAAX3dwU=")</f>
        <v>#REF!</v>
      </c>
      <c r="G120" t="e">
        <f>AND(Bills!#REF!,"AAAAAAX3dwY=")</f>
        <v>#REF!</v>
      </c>
      <c r="H120" t="e">
        <f>AND(Bills!#REF!,"AAAAAAX3dwc=")</f>
        <v>#REF!</v>
      </c>
      <c r="I120" t="e">
        <f>AND(Bills!#REF!,"AAAAAAX3dwg=")</f>
        <v>#REF!</v>
      </c>
      <c r="J120" t="e">
        <f>AND(Bills!#REF!,"AAAAAAX3dwk=")</f>
        <v>#REF!</v>
      </c>
      <c r="K120" t="e">
        <f>AND(Bills!#REF!,"AAAAAAX3dwo=")</f>
        <v>#REF!</v>
      </c>
      <c r="L120" t="e">
        <f>AND(Bills!#REF!,"AAAAAAX3dws=")</f>
        <v>#REF!</v>
      </c>
      <c r="M120" t="e">
        <f>AND(Bills!#REF!,"AAAAAAX3dww=")</f>
        <v>#REF!</v>
      </c>
      <c r="N120" t="e">
        <f>AND(Bills!#REF!,"AAAAAAX3dw0=")</f>
        <v>#REF!</v>
      </c>
      <c r="O120" t="e">
        <f>AND(Bills!AA439,"AAAAAAX3dw4=")</f>
        <v>#VALUE!</v>
      </c>
      <c r="P120" t="e">
        <f>AND(Bills!AB439,"AAAAAAX3dw8=")</f>
        <v>#VALUE!</v>
      </c>
      <c r="Q120" t="e">
        <f>AND(Bills!#REF!,"AAAAAAX3dxA=")</f>
        <v>#REF!</v>
      </c>
      <c r="R120" t="e">
        <f>AND(Bills!#REF!,"AAAAAAX3dxE=")</f>
        <v>#REF!</v>
      </c>
      <c r="S120" t="e">
        <f>AND(Bills!#REF!,"AAAAAAX3dxI=")</f>
        <v>#REF!</v>
      </c>
      <c r="T120" t="e">
        <f>AND(Bills!AC439,"AAAAAAX3dxM=")</f>
        <v>#VALUE!</v>
      </c>
      <c r="U120" t="e">
        <f>AND(Bills!AD439,"AAAAAAX3dxQ=")</f>
        <v>#VALUE!</v>
      </c>
      <c r="V120" t="e">
        <f>AND(Bills!AE439,"AAAAAAX3dxU=")</f>
        <v>#VALUE!</v>
      </c>
      <c r="W120">
        <f>IF(Bills!440:440,"AAAAAAX3dxY=",0)</f>
        <v>0</v>
      </c>
      <c r="X120" t="e">
        <f>AND(Bills!B440,"AAAAAAX3dxc=")</f>
        <v>#VALUE!</v>
      </c>
      <c r="Y120" t="e">
        <f>AND(Bills!#REF!,"AAAAAAX3dxg=")</f>
        <v>#REF!</v>
      </c>
      <c r="Z120" t="e">
        <f>AND(Bills!C440,"AAAAAAX3dxk=")</f>
        <v>#VALUE!</v>
      </c>
      <c r="AA120" t="e">
        <f>AND(Bills!D440,"AAAAAAX3dxo=")</f>
        <v>#VALUE!</v>
      </c>
      <c r="AB120" t="e">
        <f>AND(Bills!E440,"AAAAAAX3dxs=")</f>
        <v>#VALUE!</v>
      </c>
      <c r="AC120" t="e">
        <f>AND(Bills!#REF!,"AAAAAAX3dxw=")</f>
        <v>#REF!</v>
      </c>
      <c r="AD120" t="e">
        <f>AND(Bills!#REF!,"AAAAAAX3dx0=")</f>
        <v>#REF!</v>
      </c>
      <c r="AE120" t="e">
        <f>AND(Bills!#REF!,"AAAAAAX3dx4=")</f>
        <v>#REF!</v>
      </c>
      <c r="AF120" t="e">
        <f>AND(Bills!F440,"AAAAAAX3dx8=")</f>
        <v>#VALUE!</v>
      </c>
      <c r="AG120" t="e">
        <f>AND(Bills!#REF!,"AAAAAAX3dyA=")</f>
        <v>#REF!</v>
      </c>
      <c r="AH120" t="e">
        <f>AND(Bills!G440,"AAAAAAX3dyE=")</f>
        <v>#VALUE!</v>
      </c>
      <c r="AI120" t="e">
        <f>AND(Bills!H440,"AAAAAAX3dyI=")</f>
        <v>#VALUE!</v>
      </c>
      <c r="AJ120" t="e">
        <f>AND(Bills!I440,"AAAAAAX3dyM=")</f>
        <v>#VALUE!</v>
      </c>
      <c r="AK120" t="e">
        <f>AND(Bills!J440,"AAAAAAX3dyQ=")</f>
        <v>#VALUE!</v>
      </c>
      <c r="AL120" t="e">
        <f>AND(Bills!K440,"AAAAAAX3dyU=")</f>
        <v>#VALUE!</v>
      </c>
      <c r="AM120" t="e">
        <f>AND(Bills!L440,"AAAAAAX3dyY=")</f>
        <v>#VALUE!</v>
      </c>
      <c r="AN120" t="e">
        <f>AND(Bills!#REF!,"AAAAAAX3dyc=")</f>
        <v>#REF!</v>
      </c>
      <c r="AO120" t="e">
        <f>AND(Bills!M440,"AAAAAAX3dyg=")</f>
        <v>#VALUE!</v>
      </c>
      <c r="AP120" t="e">
        <f>AND(Bills!N440,"AAAAAAX3dyk=")</f>
        <v>#VALUE!</v>
      </c>
      <c r="AQ120" t="e">
        <f>AND(Bills!O440,"AAAAAAX3dyo=")</f>
        <v>#VALUE!</v>
      </c>
      <c r="AR120" t="e">
        <f>AND(Bills!P440,"AAAAAAX3dys=")</f>
        <v>#VALUE!</v>
      </c>
      <c r="AS120" t="e">
        <f>AND(Bills!Q440,"AAAAAAX3dyw=")</f>
        <v>#VALUE!</v>
      </c>
      <c r="AT120" t="e">
        <f>AND(Bills!R440,"AAAAAAX3dy0=")</f>
        <v>#VALUE!</v>
      </c>
      <c r="AU120" t="e">
        <f>AND(Bills!S440,"AAAAAAX3dy4=")</f>
        <v>#VALUE!</v>
      </c>
      <c r="AV120" t="e">
        <f>AND(Bills!T440,"AAAAAAX3dy8=")</f>
        <v>#VALUE!</v>
      </c>
      <c r="AW120" t="e">
        <f>AND(Bills!#REF!,"AAAAAAX3dzA=")</f>
        <v>#REF!</v>
      </c>
      <c r="AX120" t="e">
        <f>AND(Bills!U440,"AAAAAAX3dzE=")</f>
        <v>#VALUE!</v>
      </c>
      <c r="AY120" t="e">
        <f>AND(Bills!V440,"AAAAAAX3dzI=")</f>
        <v>#VALUE!</v>
      </c>
      <c r="AZ120" t="e">
        <f>AND(Bills!W440,"AAAAAAX3dzM=")</f>
        <v>#VALUE!</v>
      </c>
      <c r="BA120" t="e">
        <f>AND(Bills!#REF!,"AAAAAAX3dzQ=")</f>
        <v>#REF!</v>
      </c>
      <c r="BB120" t="e">
        <f>AND(Bills!#REF!,"AAAAAAX3dzU=")</f>
        <v>#REF!</v>
      </c>
      <c r="BC120" t="e">
        <f>AND(Bills!Y440,"AAAAAAX3dzY=")</f>
        <v>#VALUE!</v>
      </c>
      <c r="BD120" t="e">
        <f>AND(Bills!Z440,"AAAAAAX3dzc=")</f>
        <v>#VALUE!</v>
      </c>
      <c r="BE120" t="e">
        <f>AND(Bills!#REF!,"AAAAAAX3dzg=")</f>
        <v>#REF!</v>
      </c>
      <c r="BF120" t="e">
        <f>AND(Bills!#REF!,"AAAAAAX3dzk=")</f>
        <v>#REF!</v>
      </c>
      <c r="BG120" t="e">
        <f>AND(Bills!#REF!,"AAAAAAX3dzo=")</f>
        <v>#REF!</v>
      </c>
      <c r="BH120" t="e">
        <f>AND(Bills!#REF!,"AAAAAAX3dzs=")</f>
        <v>#REF!</v>
      </c>
      <c r="BI120" t="e">
        <f>AND(Bills!#REF!,"AAAAAAX3dzw=")</f>
        <v>#REF!</v>
      </c>
      <c r="BJ120" t="e">
        <f>AND(Bills!#REF!,"AAAAAAX3dz0=")</f>
        <v>#REF!</v>
      </c>
      <c r="BK120" t="e">
        <f>AND(Bills!#REF!,"AAAAAAX3dz4=")</f>
        <v>#REF!</v>
      </c>
      <c r="BL120" t="e">
        <f>AND(Bills!#REF!,"AAAAAAX3dz8=")</f>
        <v>#REF!</v>
      </c>
      <c r="BM120" t="e">
        <f>AND(Bills!#REF!,"AAAAAAX3d0A=")</f>
        <v>#REF!</v>
      </c>
      <c r="BN120" t="e">
        <f>AND(Bills!AA440,"AAAAAAX3d0E=")</f>
        <v>#VALUE!</v>
      </c>
      <c r="BO120" t="e">
        <f>AND(Bills!AB440,"AAAAAAX3d0I=")</f>
        <v>#VALUE!</v>
      </c>
      <c r="BP120" t="e">
        <f>AND(Bills!#REF!,"AAAAAAX3d0M=")</f>
        <v>#REF!</v>
      </c>
      <c r="BQ120" t="e">
        <f>AND(Bills!#REF!,"AAAAAAX3d0Q=")</f>
        <v>#REF!</v>
      </c>
      <c r="BR120" t="e">
        <f>AND(Bills!#REF!,"AAAAAAX3d0U=")</f>
        <v>#REF!</v>
      </c>
      <c r="BS120" t="e">
        <f>AND(Bills!AC440,"AAAAAAX3d0Y=")</f>
        <v>#VALUE!</v>
      </c>
      <c r="BT120" t="e">
        <f>AND(Bills!AD440,"AAAAAAX3d0c=")</f>
        <v>#VALUE!</v>
      </c>
      <c r="BU120" t="e">
        <f>AND(Bills!AE440,"AAAAAAX3d0g=")</f>
        <v>#VALUE!</v>
      </c>
      <c r="BV120">
        <f>IF(Bills!441:441,"AAAAAAX3d0k=",0)</f>
        <v>0</v>
      </c>
      <c r="BW120" t="e">
        <f>AND(Bills!B441,"AAAAAAX3d0o=")</f>
        <v>#VALUE!</v>
      </c>
      <c r="BX120" t="e">
        <f>AND(Bills!#REF!,"AAAAAAX3d0s=")</f>
        <v>#REF!</v>
      </c>
      <c r="BY120" t="e">
        <f>AND(Bills!C441,"AAAAAAX3d0w=")</f>
        <v>#VALUE!</v>
      </c>
      <c r="BZ120" t="e">
        <f>AND(Bills!D441,"AAAAAAX3d00=")</f>
        <v>#VALUE!</v>
      </c>
      <c r="CA120" t="e">
        <f>AND(Bills!E441,"AAAAAAX3d04=")</f>
        <v>#VALUE!</v>
      </c>
      <c r="CB120" t="e">
        <f>AND(Bills!#REF!,"AAAAAAX3d08=")</f>
        <v>#REF!</v>
      </c>
      <c r="CC120" t="e">
        <f>AND(Bills!#REF!,"AAAAAAX3d1A=")</f>
        <v>#REF!</v>
      </c>
      <c r="CD120" t="e">
        <f>AND(Bills!#REF!,"AAAAAAX3d1E=")</f>
        <v>#REF!</v>
      </c>
      <c r="CE120" t="e">
        <f>AND(Bills!F441,"AAAAAAX3d1I=")</f>
        <v>#VALUE!</v>
      </c>
      <c r="CF120" t="e">
        <f>AND(Bills!#REF!,"AAAAAAX3d1M=")</f>
        <v>#REF!</v>
      </c>
      <c r="CG120" t="e">
        <f>AND(Bills!G441,"AAAAAAX3d1Q=")</f>
        <v>#VALUE!</v>
      </c>
      <c r="CH120" t="e">
        <f>AND(Bills!H441,"AAAAAAX3d1U=")</f>
        <v>#VALUE!</v>
      </c>
      <c r="CI120" t="e">
        <f>AND(Bills!I441,"AAAAAAX3d1Y=")</f>
        <v>#VALUE!</v>
      </c>
      <c r="CJ120" t="e">
        <f>AND(Bills!J441,"AAAAAAX3d1c=")</f>
        <v>#VALUE!</v>
      </c>
      <c r="CK120" t="e">
        <f>AND(Bills!K441,"AAAAAAX3d1g=")</f>
        <v>#VALUE!</v>
      </c>
      <c r="CL120" t="e">
        <f>AND(Bills!L441,"AAAAAAX3d1k=")</f>
        <v>#VALUE!</v>
      </c>
      <c r="CM120" t="e">
        <f>AND(Bills!#REF!,"AAAAAAX3d1o=")</f>
        <v>#REF!</v>
      </c>
      <c r="CN120" t="e">
        <f>AND(Bills!M441,"AAAAAAX3d1s=")</f>
        <v>#VALUE!</v>
      </c>
      <c r="CO120" t="e">
        <f>AND(Bills!N441,"AAAAAAX3d1w=")</f>
        <v>#VALUE!</v>
      </c>
      <c r="CP120" t="e">
        <f>AND(Bills!O441,"AAAAAAX3d10=")</f>
        <v>#VALUE!</v>
      </c>
      <c r="CQ120" t="e">
        <f>AND(Bills!P441,"AAAAAAX3d14=")</f>
        <v>#VALUE!</v>
      </c>
      <c r="CR120" t="e">
        <f>AND(Bills!Q441,"AAAAAAX3d18=")</f>
        <v>#VALUE!</v>
      </c>
      <c r="CS120" t="e">
        <f>AND(Bills!R441,"AAAAAAX3d2A=")</f>
        <v>#VALUE!</v>
      </c>
      <c r="CT120" t="e">
        <f>AND(Bills!S441,"AAAAAAX3d2E=")</f>
        <v>#VALUE!</v>
      </c>
      <c r="CU120" t="e">
        <f>AND(Bills!T441,"AAAAAAX3d2I=")</f>
        <v>#VALUE!</v>
      </c>
      <c r="CV120" t="e">
        <f>AND(Bills!#REF!,"AAAAAAX3d2M=")</f>
        <v>#REF!</v>
      </c>
      <c r="CW120" t="e">
        <f>AND(Bills!U441,"AAAAAAX3d2Q=")</f>
        <v>#VALUE!</v>
      </c>
      <c r="CX120" t="e">
        <f>AND(Bills!V441,"AAAAAAX3d2U=")</f>
        <v>#VALUE!</v>
      </c>
      <c r="CY120" t="e">
        <f>AND(Bills!W441,"AAAAAAX3d2Y=")</f>
        <v>#VALUE!</v>
      </c>
      <c r="CZ120" t="e">
        <f>AND(Bills!#REF!,"AAAAAAX3d2c=")</f>
        <v>#REF!</v>
      </c>
      <c r="DA120" t="e">
        <f>AND(Bills!#REF!,"AAAAAAX3d2g=")</f>
        <v>#REF!</v>
      </c>
      <c r="DB120" t="e">
        <f>AND(Bills!Y441,"AAAAAAX3d2k=")</f>
        <v>#VALUE!</v>
      </c>
      <c r="DC120" t="e">
        <f>AND(Bills!Z441,"AAAAAAX3d2o=")</f>
        <v>#VALUE!</v>
      </c>
      <c r="DD120" t="e">
        <f>AND(Bills!#REF!,"AAAAAAX3d2s=")</f>
        <v>#REF!</v>
      </c>
      <c r="DE120" t="e">
        <f>AND(Bills!#REF!,"AAAAAAX3d2w=")</f>
        <v>#REF!</v>
      </c>
      <c r="DF120" t="e">
        <f>AND(Bills!#REF!,"AAAAAAX3d20=")</f>
        <v>#REF!</v>
      </c>
      <c r="DG120" t="e">
        <f>AND(Bills!#REF!,"AAAAAAX3d24=")</f>
        <v>#REF!</v>
      </c>
      <c r="DH120" t="e">
        <f>AND(Bills!#REF!,"AAAAAAX3d28=")</f>
        <v>#REF!</v>
      </c>
      <c r="DI120" t="e">
        <f>AND(Bills!#REF!,"AAAAAAX3d3A=")</f>
        <v>#REF!</v>
      </c>
      <c r="DJ120" t="e">
        <f>AND(Bills!#REF!,"AAAAAAX3d3E=")</f>
        <v>#REF!</v>
      </c>
      <c r="DK120" t="e">
        <f>AND(Bills!#REF!,"AAAAAAX3d3I=")</f>
        <v>#REF!</v>
      </c>
      <c r="DL120" t="e">
        <f>AND(Bills!#REF!,"AAAAAAX3d3M=")</f>
        <v>#REF!</v>
      </c>
      <c r="DM120" t="e">
        <f>AND(Bills!AA441,"AAAAAAX3d3Q=")</f>
        <v>#VALUE!</v>
      </c>
      <c r="DN120" t="e">
        <f>AND(Bills!AB441,"AAAAAAX3d3U=")</f>
        <v>#VALUE!</v>
      </c>
      <c r="DO120" t="e">
        <f>AND(Bills!#REF!,"AAAAAAX3d3Y=")</f>
        <v>#REF!</v>
      </c>
      <c r="DP120" t="e">
        <f>AND(Bills!#REF!,"AAAAAAX3d3c=")</f>
        <v>#REF!</v>
      </c>
      <c r="DQ120" t="e">
        <f>AND(Bills!#REF!,"AAAAAAX3d3g=")</f>
        <v>#REF!</v>
      </c>
      <c r="DR120" t="e">
        <f>AND(Bills!AC441,"AAAAAAX3d3k=")</f>
        <v>#VALUE!</v>
      </c>
      <c r="DS120" t="e">
        <f>AND(Bills!AD441,"AAAAAAX3d3o=")</f>
        <v>#VALUE!</v>
      </c>
      <c r="DT120" t="e">
        <f>AND(Bills!AE441,"AAAAAAX3d3s=")</f>
        <v>#VALUE!</v>
      </c>
      <c r="DU120">
        <f>IF(Bills!442:442,"AAAAAAX3d3w=",0)</f>
        <v>0</v>
      </c>
      <c r="DV120" t="e">
        <f>AND(Bills!B442,"AAAAAAX3d30=")</f>
        <v>#VALUE!</v>
      </c>
      <c r="DW120" t="e">
        <f>AND(Bills!#REF!,"AAAAAAX3d34=")</f>
        <v>#REF!</v>
      </c>
      <c r="DX120" t="e">
        <f>AND(Bills!C442,"AAAAAAX3d38=")</f>
        <v>#VALUE!</v>
      </c>
      <c r="DY120" t="e">
        <f>AND(Bills!D442,"AAAAAAX3d4A=")</f>
        <v>#VALUE!</v>
      </c>
      <c r="DZ120" t="e">
        <f>AND(Bills!E442,"AAAAAAX3d4E=")</f>
        <v>#VALUE!</v>
      </c>
      <c r="EA120" t="e">
        <f>AND(Bills!#REF!,"AAAAAAX3d4I=")</f>
        <v>#REF!</v>
      </c>
      <c r="EB120" t="e">
        <f>AND(Bills!#REF!,"AAAAAAX3d4M=")</f>
        <v>#REF!</v>
      </c>
      <c r="EC120" t="e">
        <f>AND(Bills!#REF!,"AAAAAAX3d4Q=")</f>
        <v>#REF!</v>
      </c>
      <c r="ED120" t="e">
        <f>AND(Bills!F442,"AAAAAAX3d4U=")</f>
        <v>#VALUE!</v>
      </c>
      <c r="EE120" t="e">
        <f>AND(Bills!#REF!,"AAAAAAX3d4Y=")</f>
        <v>#REF!</v>
      </c>
      <c r="EF120" t="e">
        <f>AND(Bills!G442,"AAAAAAX3d4c=")</f>
        <v>#VALUE!</v>
      </c>
      <c r="EG120" t="e">
        <f>AND(Bills!H442,"AAAAAAX3d4g=")</f>
        <v>#VALUE!</v>
      </c>
      <c r="EH120" t="e">
        <f>AND(Bills!I442,"AAAAAAX3d4k=")</f>
        <v>#VALUE!</v>
      </c>
      <c r="EI120" t="e">
        <f>AND(Bills!J442,"AAAAAAX3d4o=")</f>
        <v>#VALUE!</v>
      </c>
      <c r="EJ120" t="e">
        <f>AND(Bills!K442,"AAAAAAX3d4s=")</f>
        <v>#VALUE!</v>
      </c>
      <c r="EK120" t="e">
        <f>AND(Bills!L442,"AAAAAAX3d4w=")</f>
        <v>#VALUE!</v>
      </c>
      <c r="EL120" t="e">
        <f>AND(Bills!#REF!,"AAAAAAX3d40=")</f>
        <v>#REF!</v>
      </c>
      <c r="EM120" t="e">
        <f>AND(Bills!M442,"AAAAAAX3d44=")</f>
        <v>#VALUE!</v>
      </c>
      <c r="EN120" t="e">
        <f>AND(Bills!N442,"AAAAAAX3d48=")</f>
        <v>#VALUE!</v>
      </c>
      <c r="EO120" t="e">
        <f>AND(Bills!O442,"AAAAAAX3d5A=")</f>
        <v>#VALUE!</v>
      </c>
      <c r="EP120" t="e">
        <f>AND(Bills!P442,"AAAAAAX3d5E=")</f>
        <v>#VALUE!</v>
      </c>
      <c r="EQ120" t="e">
        <f>AND(Bills!Q442,"AAAAAAX3d5I=")</f>
        <v>#VALUE!</v>
      </c>
      <c r="ER120" t="e">
        <f>AND(Bills!R442,"AAAAAAX3d5M=")</f>
        <v>#VALUE!</v>
      </c>
      <c r="ES120" t="e">
        <f>AND(Bills!S442,"AAAAAAX3d5Q=")</f>
        <v>#VALUE!</v>
      </c>
      <c r="ET120" t="e">
        <f>AND(Bills!T442,"AAAAAAX3d5U=")</f>
        <v>#VALUE!</v>
      </c>
      <c r="EU120" t="e">
        <f>AND(Bills!#REF!,"AAAAAAX3d5Y=")</f>
        <v>#REF!</v>
      </c>
      <c r="EV120" t="e">
        <f>AND(Bills!U442,"AAAAAAX3d5c=")</f>
        <v>#VALUE!</v>
      </c>
      <c r="EW120" t="e">
        <f>AND(Bills!V442,"AAAAAAX3d5g=")</f>
        <v>#VALUE!</v>
      </c>
      <c r="EX120" t="e">
        <f>AND(Bills!W442,"AAAAAAX3d5k=")</f>
        <v>#VALUE!</v>
      </c>
      <c r="EY120" t="e">
        <f>AND(Bills!#REF!,"AAAAAAX3d5o=")</f>
        <v>#REF!</v>
      </c>
      <c r="EZ120" t="e">
        <f>AND(Bills!#REF!,"AAAAAAX3d5s=")</f>
        <v>#REF!</v>
      </c>
      <c r="FA120" t="e">
        <f>AND(Bills!Y442,"AAAAAAX3d5w=")</f>
        <v>#VALUE!</v>
      </c>
      <c r="FB120" t="e">
        <f>AND(Bills!Z442,"AAAAAAX3d50=")</f>
        <v>#VALUE!</v>
      </c>
      <c r="FC120" t="e">
        <f>AND(Bills!#REF!,"AAAAAAX3d54=")</f>
        <v>#REF!</v>
      </c>
      <c r="FD120" t="e">
        <f>AND(Bills!#REF!,"AAAAAAX3d58=")</f>
        <v>#REF!</v>
      </c>
      <c r="FE120" t="e">
        <f>AND(Bills!#REF!,"AAAAAAX3d6A=")</f>
        <v>#REF!</v>
      </c>
      <c r="FF120" t="e">
        <f>AND(Bills!#REF!,"AAAAAAX3d6E=")</f>
        <v>#REF!</v>
      </c>
      <c r="FG120" t="e">
        <f>AND(Bills!#REF!,"AAAAAAX3d6I=")</f>
        <v>#REF!</v>
      </c>
      <c r="FH120" t="e">
        <f>AND(Bills!#REF!,"AAAAAAX3d6M=")</f>
        <v>#REF!</v>
      </c>
      <c r="FI120" t="e">
        <f>AND(Bills!#REF!,"AAAAAAX3d6Q=")</f>
        <v>#REF!</v>
      </c>
      <c r="FJ120" t="e">
        <f>AND(Bills!#REF!,"AAAAAAX3d6U=")</f>
        <v>#REF!</v>
      </c>
      <c r="FK120" t="e">
        <f>AND(Bills!#REF!,"AAAAAAX3d6Y=")</f>
        <v>#REF!</v>
      </c>
      <c r="FL120" t="e">
        <f>AND(Bills!AA442,"AAAAAAX3d6c=")</f>
        <v>#VALUE!</v>
      </c>
      <c r="FM120" t="e">
        <f>AND(Bills!AB442,"AAAAAAX3d6g=")</f>
        <v>#VALUE!</v>
      </c>
      <c r="FN120" t="e">
        <f>AND(Bills!#REF!,"AAAAAAX3d6k=")</f>
        <v>#REF!</v>
      </c>
      <c r="FO120" t="e">
        <f>AND(Bills!#REF!,"AAAAAAX3d6o=")</f>
        <v>#REF!</v>
      </c>
      <c r="FP120" t="e">
        <f>AND(Bills!#REF!,"AAAAAAX3d6s=")</f>
        <v>#REF!</v>
      </c>
      <c r="FQ120" t="e">
        <f>AND(Bills!AC442,"AAAAAAX3d6w=")</f>
        <v>#VALUE!</v>
      </c>
      <c r="FR120" t="e">
        <f>AND(Bills!AD442,"AAAAAAX3d60=")</f>
        <v>#VALUE!</v>
      </c>
      <c r="FS120" t="e">
        <f>AND(Bills!AE442,"AAAAAAX3d64=")</f>
        <v>#VALUE!</v>
      </c>
      <c r="FT120">
        <f>IF(Bills!443:443,"AAAAAAX3d68=",0)</f>
        <v>0</v>
      </c>
      <c r="FU120" t="e">
        <f>AND(Bills!B443,"AAAAAAX3d7A=")</f>
        <v>#VALUE!</v>
      </c>
      <c r="FV120" t="e">
        <f>AND(Bills!#REF!,"AAAAAAX3d7E=")</f>
        <v>#REF!</v>
      </c>
      <c r="FW120" t="e">
        <f>AND(Bills!C443,"AAAAAAX3d7I=")</f>
        <v>#VALUE!</v>
      </c>
      <c r="FX120" t="e">
        <f>AND(Bills!D443,"AAAAAAX3d7M=")</f>
        <v>#VALUE!</v>
      </c>
      <c r="FY120" t="e">
        <f>AND(Bills!E443,"AAAAAAX3d7Q=")</f>
        <v>#VALUE!</v>
      </c>
      <c r="FZ120" t="e">
        <f>AND(Bills!#REF!,"AAAAAAX3d7U=")</f>
        <v>#REF!</v>
      </c>
      <c r="GA120" t="e">
        <f>AND(Bills!#REF!,"AAAAAAX3d7Y=")</f>
        <v>#REF!</v>
      </c>
      <c r="GB120" t="e">
        <f>AND(Bills!#REF!,"AAAAAAX3d7c=")</f>
        <v>#REF!</v>
      </c>
      <c r="GC120" t="e">
        <f>AND(Bills!F443,"AAAAAAX3d7g=")</f>
        <v>#VALUE!</v>
      </c>
      <c r="GD120" t="e">
        <f>AND(Bills!#REF!,"AAAAAAX3d7k=")</f>
        <v>#REF!</v>
      </c>
      <c r="GE120" t="e">
        <f>AND(Bills!G443,"AAAAAAX3d7o=")</f>
        <v>#VALUE!</v>
      </c>
      <c r="GF120" t="e">
        <f>AND(Bills!H443,"AAAAAAX3d7s=")</f>
        <v>#VALUE!</v>
      </c>
      <c r="GG120" t="e">
        <f>AND(Bills!I443,"AAAAAAX3d7w=")</f>
        <v>#VALUE!</v>
      </c>
      <c r="GH120" t="e">
        <f>AND(Bills!J443,"AAAAAAX3d70=")</f>
        <v>#VALUE!</v>
      </c>
      <c r="GI120" t="e">
        <f>AND(Bills!K443,"AAAAAAX3d74=")</f>
        <v>#VALUE!</v>
      </c>
      <c r="GJ120" t="e">
        <f>AND(Bills!L443,"AAAAAAX3d78=")</f>
        <v>#VALUE!</v>
      </c>
      <c r="GK120" t="e">
        <f>AND(Bills!#REF!,"AAAAAAX3d8A=")</f>
        <v>#REF!</v>
      </c>
      <c r="GL120" t="e">
        <f>AND(Bills!M443,"AAAAAAX3d8E=")</f>
        <v>#VALUE!</v>
      </c>
      <c r="GM120" t="e">
        <f>AND(Bills!N443,"AAAAAAX3d8I=")</f>
        <v>#VALUE!</v>
      </c>
      <c r="GN120" t="e">
        <f>AND(Bills!O443,"AAAAAAX3d8M=")</f>
        <v>#VALUE!</v>
      </c>
      <c r="GO120" t="e">
        <f>AND(Bills!P443,"AAAAAAX3d8Q=")</f>
        <v>#VALUE!</v>
      </c>
      <c r="GP120" t="e">
        <f>AND(Bills!Q443,"AAAAAAX3d8U=")</f>
        <v>#VALUE!</v>
      </c>
      <c r="GQ120" t="e">
        <f>AND(Bills!R443,"AAAAAAX3d8Y=")</f>
        <v>#VALUE!</v>
      </c>
      <c r="GR120" t="e">
        <f>AND(Bills!S443,"AAAAAAX3d8c=")</f>
        <v>#VALUE!</v>
      </c>
      <c r="GS120" t="e">
        <f>AND(Bills!T443,"AAAAAAX3d8g=")</f>
        <v>#VALUE!</v>
      </c>
      <c r="GT120" t="e">
        <f>AND(Bills!#REF!,"AAAAAAX3d8k=")</f>
        <v>#REF!</v>
      </c>
      <c r="GU120" t="e">
        <f>AND(Bills!U443,"AAAAAAX3d8o=")</f>
        <v>#VALUE!</v>
      </c>
      <c r="GV120" t="e">
        <f>AND(Bills!V443,"AAAAAAX3d8s=")</f>
        <v>#VALUE!</v>
      </c>
      <c r="GW120" t="e">
        <f>AND(Bills!W443,"AAAAAAX3d8w=")</f>
        <v>#VALUE!</v>
      </c>
      <c r="GX120" t="e">
        <f>AND(Bills!#REF!,"AAAAAAX3d80=")</f>
        <v>#REF!</v>
      </c>
      <c r="GY120" t="e">
        <f>AND(Bills!#REF!,"AAAAAAX3d84=")</f>
        <v>#REF!</v>
      </c>
      <c r="GZ120" t="e">
        <f>AND(Bills!Y443,"AAAAAAX3d88=")</f>
        <v>#VALUE!</v>
      </c>
      <c r="HA120" t="e">
        <f>AND(Bills!Z443,"AAAAAAX3d9A=")</f>
        <v>#VALUE!</v>
      </c>
      <c r="HB120" t="e">
        <f>AND(Bills!#REF!,"AAAAAAX3d9E=")</f>
        <v>#REF!</v>
      </c>
      <c r="HC120" t="e">
        <f>AND(Bills!#REF!,"AAAAAAX3d9I=")</f>
        <v>#REF!</v>
      </c>
      <c r="HD120" t="e">
        <f>AND(Bills!#REF!,"AAAAAAX3d9M=")</f>
        <v>#REF!</v>
      </c>
      <c r="HE120" t="e">
        <f>AND(Bills!#REF!,"AAAAAAX3d9Q=")</f>
        <v>#REF!</v>
      </c>
      <c r="HF120" t="e">
        <f>AND(Bills!#REF!,"AAAAAAX3d9U=")</f>
        <v>#REF!</v>
      </c>
      <c r="HG120" t="e">
        <f>AND(Bills!#REF!,"AAAAAAX3d9Y=")</f>
        <v>#REF!</v>
      </c>
      <c r="HH120" t="e">
        <f>AND(Bills!#REF!,"AAAAAAX3d9c=")</f>
        <v>#REF!</v>
      </c>
      <c r="HI120" t="e">
        <f>AND(Bills!#REF!,"AAAAAAX3d9g=")</f>
        <v>#REF!</v>
      </c>
      <c r="HJ120" t="e">
        <f>AND(Bills!#REF!,"AAAAAAX3d9k=")</f>
        <v>#REF!</v>
      </c>
      <c r="HK120" t="e">
        <f>AND(Bills!AA443,"AAAAAAX3d9o=")</f>
        <v>#VALUE!</v>
      </c>
      <c r="HL120" t="e">
        <f>AND(Bills!AB443,"AAAAAAX3d9s=")</f>
        <v>#VALUE!</v>
      </c>
      <c r="HM120" t="e">
        <f>AND(Bills!#REF!,"AAAAAAX3d9w=")</f>
        <v>#REF!</v>
      </c>
      <c r="HN120" t="e">
        <f>AND(Bills!#REF!,"AAAAAAX3d90=")</f>
        <v>#REF!</v>
      </c>
      <c r="HO120" t="e">
        <f>AND(Bills!#REF!,"AAAAAAX3d94=")</f>
        <v>#REF!</v>
      </c>
      <c r="HP120" t="e">
        <f>AND(Bills!AC443,"AAAAAAX3d98=")</f>
        <v>#VALUE!</v>
      </c>
      <c r="HQ120" t="e">
        <f>AND(Bills!AD443,"AAAAAAX3d+A=")</f>
        <v>#VALUE!</v>
      </c>
      <c r="HR120" t="e">
        <f>AND(Bills!AE443,"AAAAAAX3d+E=")</f>
        <v>#VALUE!</v>
      </c>
      <c r="HS120">
        <f>IF(Bills!444:444,"AAAAAAX3d+I=",0)</f>
        <v>0</v>
      </c>
      <c r="HT120" t="e">
        <f>AND(Bills!B444,"AAAAAAX3d+M=")</f>
        <v>#VALUE!</v>
      </c>
      <c r="HU120" t="e">
        <f>AND(Bills!#REF!,"AAAAAAX3d+Q=")</f>
        <v>#REF!</v>
      </c>
      <c r="HV120" t="e">
        <f>AND(Bills!C444,"AAAAAAX3d+U=")</f>
        <v>#VALUE!</v>
      </c>
      <c r="HW120" t="e">
        <f>AND(Bills!D444,"AAAAAAX3d+Y=")</f>
        <v>#VALUE!</v>
      </c>
      <c r="HX120" t="e">
        <f>AND(Bills!E444,"AAAAAAX3d+c=")</f>
        <v>#VALUE!</v>
      </c>
      <c r="HY120" t="e">
        <f>AND(Bills!#REF!,"AAAAAAX3d+g=")</f>
        <v>#REF!</v>
      </c>
      <c r="HZ120" t="e">
        <f>AND(Bills!#REF!,"AAAAAAX3d+k=")</f>
        <v>#REF!</v>
      </c>
      <c r="IA120" t="e">
        <f>AND(Bills!#REF!,"AAAAAAX3d+o=")</f>
        <v>#REF!</v>
      </c>
      <c r="IB120" t="e">
        <f>AND(Bills!F444,"AAAAAAX3d+s=")</f>
        <v>#VALUE!</v>
      </c>
      <c r="IC120" t="e">
        <f>AND(Bills!#REF!,"AAAAAAX3d+w=")</f>
        <v>#REF!</v>
      </c>
      <c r="ID120" t="e">
        <f>AND(Bills!G444,"AAAAAAX3d+0=")</f>
        <v>#VALUE!</v>
      </c>
      <c r="IE120" t="e">
        <f>AND(Bills!H444,"AAAAAAX3d+4=")</f>
        <v>#VALUE!</v>
      </c>
      <c r="IF120" t="e">
        <f>AND(Bills!I444,"AAAAAAX3d+8=")</f>
        <v>#VALUE!</v>
      </c>
      <c r="IG120" t="e">
        <f>AND(Bills!J444,"AAAAAAX3d/A=")</f>
        <v>#VALUE!</v>
      </c>
      <c r="IH120" t="e">
        <f>AND(Bills!K444,"AAAAAAX3d/E=")</f>
        <v>#VALUE!</v>
      </c>
      <c r="II120" t="e">
        <f>AND(Bills!L444,"AAAAAAX3d/I=")</f>
        <v>#VALUE!</v>
      </c>
      <c r="IJ120" t="e">
        <f>AND(Bills!#REF!,"AAAAAAX3d/M=")</f>
        <v>#REF!</v>
      </c>
      <c r="IK120" t="e">
        <f>AND(Bills!M444,"AAAAAAX3d/Q=")</f>
        <v>#VALUE!</v>
      </c>
      <c r="IL120" t="e">
        <f>AND(Bills!N444,"AAAAAAX3d/U=")</f>
        <v>#VALUE!</v>
      </c>
      <c r="IM120" t="e">
        <f>AND(Bills!O444,"AAAAAAX3d/Y=")</f>
        <v>#VALUE!</v>
      </c>
      <c r="IN120" t="e">
        <f>AND(Bills!P444,"AAAAAAX3d/c=")</f>
        <v>#VALUE!</v>
      </c>
      <c r="IO120" t="e">
        <f>AND(Bills!Q444,"AAAAAAX3d/g=")</f>
        <v>#VALUE!</v>
      </c>
      <c r="IP120" t="e">
        <f>AND(Bills!R444,"AAAAAAX3d/k=")</f>
        <v>#VALUE!</v>
      </c>
      <c r="IQ120" t="e">
        <f>AND(Bills!S444,"AAAAAAX3d/o=")</f>
        <v>#VALUE!</v>
      </c>
      <c r="IR120" t="e">
        <f>AND(Bills!T444,"AAAAAAX3d/s=")</f>
        <v>#VALUE!</v>
      </c>
      <c r="IS120" t="e">
        <f>AND(Bills!#REF!,"AAAAAAX3d/w=")</f>
        <v>#REF!</v>
      </c>
      <c r="IT120" t="e">
        <f>AND(Bills!U444,"AAAAAAX3d/0=")</f>
        <v>#VALUE!</v>
      </c>
      <c r="IU120" t="e">
        <f>AND(Bills!V444,"AAAAAAX3d/4=")</f>
        <v>#VALUE!</v>
      </c>
      <c r="IV120" t="e">
        <f>AND(Bills!W444,"AAAAAAX3d/8=")</f>
        <v>#VALUE!</v>
      </c>
    </row>
    <row r="121" spans="1:256" x14ac:dyDescent="0.25">
      <c r="A121" t="e">
        <f>AND(Bills!#REF!,"AAAAAH7e5wA=")</f>
        <v>#REF!</v>
      </c>
      <c r="B121" t="e">
        <f>AND(Bills!#REF!,"AAAAAH7e5wE=")</f>
        <v>#REF!</v>
      </c>
      <c r="C121" t="e">
        <f>AND(Bills!Y444,"AAAAAH7e5wI=")</f>
        <v>#VALUE!</v>
      </c>
      <c r="D121" t="e">
        <f>AND(Bills!Z444,"AAAAAH7e5wM=")</f>
        <v>#VALUE!</v>
      </c>
      <c r="E121" t="e">
        <f>AND(Bills!#REF!,"AAAAAH7e5wQ=")</f>
        <v>#REF!</v>
      </c>
      <c r="F121" t="e">
        <f>AND(Bills!#REF!,"AAAAAH7e5wU=")</f>
        <v>#REF!</v>
      </c>
      <c r="G121" t="e">
        <f>AND(Bills!#REF!,"AAAAAH7e5wY=")</f>
        <v>#REF!</v>
      </c>
      <c r="H121" t="e">
        <f>AND(Bills!#REF!,"AAAAAH7e5wc=")</f>
        <v>#REF!</v>
      </c>
      <c r="I121" t="e">
        <f>AND(Bills!#REF!,"AAAAAH7e5wg=")</f>
        <v>#REF!</v>
      </c>
      <c r="J121" t="e">
        <f>AND(Bills!#REF!,"AAAAAH7e5wk=")</f>
        <v>#REF!</v>
      </c>
      <c r="K121" t="e">
        <f>AND(Bills!#REF!,"AAAAAH7e5wo=")</f>
        <v>#REF!</v>
      </c>
      <c r="L121" t="e">
        <f>AND(Bills!#REF!,"AAAAAH7e5ws=")</f>
        <v>#REF!</v>
      </c>
      <c r="M121" t="e">
        <f>AND(Bills!#REF!,"AAAAAH7e5ww=")</f>
        <v>#REF!</v>
      </c>
      <c r="N121" t="e">
        <f>AND(Bills!AA444,"AAAAAH7e5w0=")</f>
        <v>#VALUE!</v>
      </c>
      <c r="O121" t="e">
        <f>AND(Bills!AB444,"AAAAAH7e5w4=")</f>
        <v>#VALUE!</v>
      </c>
      <c r="P121" t="e">
        <f>AND(Bills!#REF!,"AAAAAH7e5w8=")</f>
        <v>#REF!</v>
      </c>
      <c r="Q121" t="e">
        <f>AND(Bills!#REF!,"AAAAAH7e5xA=")</f>
        <v>#REF!</v>
      </c>
      <c r="R121" t="e">
        <f>AND(Bills!#REF!,"AAAAAH7e5xE=")</f>
        <v>#REF!</v>
      </c>
      <c r="S121" t="e">
        <f>AND(Bills!AC444,"AAAAAH7e5xI=")</f>
        <v>#VALUE!</v>
      </c>
      <c r="T121" t="e">
        <f>AND(Bills!AD444,"AAAAAH7e5xM=")</f>
        <v>#VALUE!</v>
      </c>
      <c r="U121" t="e">
        <f>AND(Bills!AE444,"AAAAAH7e5xQ=")</f>
        <v>#VALUE!</v>
      </c>
      <c r="V121">
        <f>IF(Bills!445:445,"AAAAAH7e5xU=",0)</f>
        <v>0</v>
      </c>
      <c r="W121" t="e">
        <f>AND(Bills!B445,"AAAAAH7e5xY=")</f>
        <v>#VALUE!</v>
      </c>
      <c r="X121" t="e">
        <f>AND(Bills!#REF!,"AAAAAH7e5xc=")</f>
        <v>#REF!</v>
      </c>
      <c r="Y121" t="e">
        <f>AND(Bills!C445,"AAAAAH7e5xg=")</f>
        <v>#VALUE!</v>
      </c>
      <c r="Z121" t="e">
        <f>AND(Bills!D445,"AAAAAH7e5xk=")</f>
        <v>#VALUE!</v>
      </c>
      <c r="AA121" t="e">
        <f>AND(Bills!E445,"AAAAAH7e5xo=")</f>
        <v>#VALUE!</v>
      </c>
      <c r="AB121" t="e">
        <f>AND(Bills!#REF!,"AAAAAH7e5xs=")</f>
        <v>#REF!</v>
      </c>
      <c r="AC121" t="e">
        <f>AND(Bills!#REF!,"AAAAAH7e5xw=")</f>
        <v>#REF!</v>
      </c>
      <c r="AD121" t="e">
        <f>AND(Bills!#REF!,"AAAAAH7e5x0=")</f>
        <v>#REF!</v>
      </c>
      <c r="AE121" t="e">
        <f>AND(Bills!F445,"AAAAAH7e5x4=")</f>
        <v>#VALUE!</v>
      </c>
      <c r="AF121" t="e">
        <f>AND(Bills!#REF!,"AAAAAH7e5x8=")</f>
        <v>#REF!</v>
      </c>
      <c r="AG121" t="e">
        <f>AND(Bills!G445,"AAAAAH7e5yA=")</f>
        <v>#VALUE!</v>
      </c>
      <c r="AH121" t="e">
        <f>AND(Bills!H445,"AAAAAH7e5yE=")</f>
        <v>#VALUE!</v>
      </c>
      <c r="AI121" t="e">
        <f>AND(Bills!I445,"AAAAAH7e5yI=")</f>
        <v>#VALUE!</v>
      </c>
      <c r="AJ121" t="e">
        <f>AND(Bills!J445,"AAAAAH7e5yM=")</f>
        <v>#VALUE!</v>
      </c>
      <c r="AK121" t="e">
        <f>AND(Bills!K445,"AAAAAH7e5yQ=")</f>
        <v>#VALUE!</v>
      </c>
      <c r="AL121" t="e">
        <f>AND(Bills!L445,"AAAAAH7e5yU=")</f>
        <v>#VALUE!</v>
      </c>
      <c r="AM121" t="e">
        <f>AND(Bills!#REF!,"AAAAAH7e5yY=")</f>
        <v>#REF!</v>
      </c>
      <c r="AN121" t="e">
        <f>AND(Bills!M445,"AAAAAH7e5yc=")</f>
        <v>#VALUE!</v>
      </c>
      <c r="AO121" t="e">
        <f>AND(Bills!N445,"AAAAAH7e5yg=")</f>
        <v>#VALUE!</v>
      </c>
      <c r="AP121" t="e">
        <f>AND(Bills!O445,"AAAAAH7e5yk=")</f>
        <v>#VALUE!</v>
      </c>
      <c r="AQ121" t="e">
        <f>AND(Bills!P445,"AAAAAH7e5yo=")</f>
        <v>#VALUE!</v>
      </c>
      <c r="AR121" t="e">
        <f>AND(Bills!Q445,"AAAAAH7e5ys=")</f>
        <v>#VALUE!</v>
      </c>
      <c r="AS121" t="e">
        <f>AND(Bills!R445,"AAAAAH7e5yw=")</f>
        <v>#VALUE!</v>
      </c>
      <c r="AT121" t="e">
        <f>AND(Bills!S445,"AAAAAH7e5y0=")</f>
        <v>#VALUE!</v>
      </c>
      <c r="AU121" t="e">
        <f>AND(Bills!T445,"AAAAAH7e5y4=")</f>
        <v>#VALUE!</v>
      </c>
      <c r="AV121" t="e">
        <f>AND(Bills!#REF!,"AAAAAH7e5y8=")</f>
        <v>#REF!</v>
      </c>
      <c r="AW121" t="e">
        <f>AND(Bills!U445,"AAAAAH7e5zA=")</f>
        <v>#VALUE!</v>
      </c>
      <c r="AX121" t="e">
        <f>AND(Bills!V445,"AAAAAH7e5zE=")</f>
        <v>#VALUE!</v>
      </c>
      <c r="AY121" t="e">
        <f>AND(Bills!W445,"AAAAAH7e5zI=")</f>
        <v>#VALUE!</v>
      </c>
      <c r="AZ121" t="e">
        <f>AND(Bills!#REF!,"AAAAAH7e5zM=")</f>
        <v>#REF!</v>
      </c>
      <c r="BA121" t="e">
        <f>AND(Bills!#REF!,"AAAAAH7e5zQ=")</f>
        <v>#REF!</v>
      </c>
      <c r="BB121" t="e">
        <f>AND(Bills!Y445,"AAAAAH7e5zU=")</f>
        <v>#VALUE!</v>
      </c>
      <c r="BC121" t="e">
        <f>AND(Bills!Z445,"AAAAAH7e5zY=")</f>
        <v>#VALUE!</v>
      </c>
      <c r="BD121" t="e">
        <f>AND(Bills!#REF!,"AAAAAH7e5zc=")</f>
        <v>#REF!</v>
      </c>
      <c r="BE121" t="e">
        <f>AND(Bills!#REF!,"AAAAAH7e5zg=")</f>
        <v>#REF!</v>
      </c>
      <c r="BF121" t="e">
        <f>AND(Bills!#REF!,"AAAAAH7e5zk=")</f>
        <v>#REF!</v>
      </c>
      <c r="BG121" t="e">
        <f>AND(Bills!#REF!,"AAAAAH7e5zo=")</f>
        <v>#REF!</v>
      </c>
      <c r="BH121" t="e">
        <f>AND(Bills!#REF!,"AAAAAH7e5zs=")</f>
        <v>#REF!</v>
      </c>
      <c r="BI121" t="e">
        <f>AND(Bills!#REF!,"AAAAAH7e5zw=")</f>
        <v>#REF!</v>
      </c>
      <c r="BJ121" t="e">
        <f>AND(Bills!#REF!,"AAAAAH7e5z0=")</f>
        <v>#REF!</v>
      </c>
      <c r="BK121" t="e">
        <f>AND(Bills!#REF!,"AAAAAH7e5z4=")</f>
        <v>#REF!</v>
      </c>
      <c r="BL121" t="e">
        <f>AND(Bills!#REF!,"AAAAAH7e5z8=")</f>
        <v>#REF!</v>
      </c>
      <c r="BM121" t="e">
        <f>AND(Bills!AA445,"AAAAAH7e50A=")</f>
        <v>#VALUE!</v>
      </c>
      <c r="BN121" t="e">
        <f>AND(Bills!AB445,"AAAAAH7e50E=")</f>
        <v>#VALUE!</v>
      </c>
      <c r="BO121" t="e">
        <f>AND(Bills!#REF!,"AAAAAH7e50I=")</f>
        <v>#REF!</v>
      </c>
      <c r="BP121" t="e">
        <f>AND(Bills!#REF!,"AAAAAH7e50M=")</f>
        <v>#REF!</v>
      </c>
      <c r="BQ121" t="e">
        <f>AND(Bills!#REF!,"AAAAAH7e50Q=")</f>
        <v>#REF!</v>
      </c>
      <c r="BR121" t="e">
        <f>AND(Bills!AC445,"AAAAAH7e50U=")</f>
        <v>#VALUE!</v>
      </c>
      <c r="BS121" t="e">
        <f>AND(Bills!AD445,"AAAAAH7e50Y=")</f>
        <v>#VALUE!</v>
      </c>
      <c r="BT121" t="e">
        <f>AND(Bills!AE445,"AAAAAH7e50c=")</f>
        <v>#VALUE!</v>
      </c>
      <c r="BU121">
        <f>IF(Bills!446:446,"AAAAAH7e50g=",0)</f>
        <v>0</v>
      </c>
      <c r="BV121" t="e">
        <f>AND(Bills!B446,"AAAAAH7e50k=")</f>
        <v>#VALUE!</v>
      </c>
      <c r="BW121" t="e">
        <f>AND(Bills!#REF!,"AAAAAH7e50o=")</f>
        <v>#REF!</v>
      </c>
      <c r="BX121" t="e">
        <f>AND(Bills!C446,"AAAAAH7e50s=")</f>
        <v>#VALUE!</v>
      </c>
      <c r="BY121" t="e">
        <f>AND(Bills!D446,"AAAAAH7e50w=")</f>
        <v>#VALUE!</v>
      </c>
      <c r="BZ121" t="e">
        <f>AND(Bills!E446,"AAAAAH7e500=")</f>
        <v>#VALUE!</v>
      </c>
      <c r="CA121" t="e">
        <f>AND(Bills!#REF!,"AAAAAH7e504=")</f>
        <v>#REF!</v>
      </c>
      <c r="CB121" t="e">
        <f>AND(Bills!#REF!,"AAAAAH7e508=")</f>
        <v>#REF!</v>
      </c>
      <c r="CC121" t="e">
        <f>AND(Bills!#REF!,"AAAAAH7e51A=")</f>
        <v>#REF!</v>
      </c>
      <c r="CD121" t="e">
        <f>AND(Bills!F446,"AAAAAH7e51E=")</f>
        <v>#VALUE!</v>
      </c>
      <c r="CE121" t="e">
        <f>AND(Bills!#REF!,"AAAAAH7e51I=")</f>
        <v>#REF!</v>
      </c>
      <c r="CF121" t="e">
        <f>AND(Bills!G446,"AAAAAH7e51M=")</f>
        <v>#VALUE!</v>
      </c>
      <c r="CG121" t="e">
        <f>AND(Bills!H446,"AAAAAH7e51Q=")</f>
        <v>#VALUE!</v>
      </c>
      <c r="CH121" t="e">
        <f>AND(Bills!I446,"AAAAAH7e51U=")</f>
        <v>#VALUE!</v>
      </c>
      <c r="CI121" t="e">
        <f>AND(Bills!J446,"AAAAAH7e51Y=")</f>
        <v>#VALUE!</v>
      </c>
      <c r="CJ121" t="e">
        <f>AND(Bills!K446,"AAAAAH7e51c=")</f>
        <v>#VALUE!</v>
      </c>
      <c r="CK121" t="e">
        <f>AND(Bills!L446,"AAAAAH7e51g=")</f>
        <v>#VALUE!</v>
      </c>
      <c r="CL121" t="e">
        <f>AND(Bills!#REF!,"AAAAAH7e51k=")</f>
        <v>#REF!</v>
      </c>
      <c r="CM121" t="e">
        <f>AND(Bills!M446,"AAAAAH7e51o=")</f>
        <v>#VALUE!</v>
      </c>
      <c r="CN121" t="e">
        <f>AND(Bills!N446,"AAAAAH7e51s=")</f>
        <v>#VALUE!</v>
      </c>
      <c r="CO121" t="e">
        <f>AND(Bills!O446,"AAAAAH7e51w=")</f>
        <v>#VALUE!</v>
      </c>
      <c r="CP121" t="e">
        <f>AND(Bills!P446,"AAAAAH7e510=")</f>
        <v>#VALUE!</v>
      </c>
      <c r="CQ121" t="e">
        <f>AND(Bills!Q446,"AAAAAH7e514=")</f>
        <v>#VALUE!</v>
      </c>
      <c r="CR121" t="e">
        <f>AND(Bills!R446,"AAAAAH7e518=")</f>
        <v>#VALUE!</v>
      </c>
      <c r="CS121" t="e">
        <f>AND(Bills!S446,"AAAAAH7e52A=")</f>
        <v>#VALUE!</v>
      </c>
      <c r="CT121" t="e">
        <f>AND(Bills!T446,"AAAAAH7e52E=")</f>
        <v>#VALUE!</v>
      </c>
      <c r="CU121" t="e">
        <f>AND(Bills!#REF!,"AAAAAH7e52I=")</f>
        <v>#REF!</v>
      </c>
      <c r="CV121" t="e">
        <f>AND(Bills!U446,"AAAAAH7e52M=")</f>
        <v>#VALUE!</v>
      </c>
      <c r="CW121" t="e">
        <f>AND(Bills!V446,"AAAAAH7e52Q=")</f>
        <v>#VALUE!</v>
      </c>
      <c r="CX121" t="e">
        <f>AND(Bills!W446,"AAAAAH7e52U=")</f>
        <v>#VALUE!</v>
      </c>
      <c r="CY121" t="e">
        <f>AND(Bills!#REF!,"AAAAAH7e52Y=")</f>
        <v>#REF!</v>
      </c>
      <c r="CZ121" t="e">
        <f>AND(Bills!#REF!,"AAAAAH7e52c=")</f>
        <v>#REF!</v>
      </c>
      <c r="DA121" t="e">
        <f>AND(Bills!Y446,"AAAAAH7e52g=")</f>
        <v>#VALUE!</v>
      </c>
      <c r="DB121" t="e">
        <f>AND(Bills!Z446,"AAAAAH7e52k=")</f>
        <v>#VALUE!</v>
      </c>
      <c r="DC121" t="e">
        <f>AND(Bills!#REF!,"AAAAAH7e52o=")</f>
        <v>#REF!</v>
      </c>
      <c r="DD121" t="e">
        <f>AND(Bills!#REF!,"AAAAAH7e52s=")</f>
        <v>#REF!</v>
      </c>
      <c r="DE121" t="e">
        <f>AND(Bills!#REF!,"AAAAAH7e52w=")</f>
        <v>#REF!</v>
      </c>
      <c r="DF121" t="e">
        <f>AND(Bills!#REF!,"AAAAAH7e520=")</f>
        <v>#REF!</v>
      </c>
      <c r="DG121" t="e">
        <f>AND(Bills!#REF!,"AAAAAH7e524=")</f>
        <v>#REF!</v>
      </c>
      <c r="DH121" t="e">
        <f>AND(Bills!#REF!,"AAAAAH7e528=")</f>
        <v>#REF!</v>
      </c>
      <c r="DI121" t="e">
        <f>AND(Bills!#REF!,"AAAAAH7e53A=")</f>
        <v>#REF!</v>
      </c>
      <c r="DJ121" t="e">
        <f>AND(Bills!#REF!,"AAAAAH7e53E=")</f>
        <v>#REF!</v>
      </c>
      <c r="DK121" t="e">
        <f>AND(Bills!#REF!,"AAAAAH7e53I=")</f>
        <v>#REF!</v>
      </c>
      <c r="DL121" t="e">
        <f>AND(Bills!AA446,"AAAAAH7e53M=")</f>
        <v>#VALUE!</v>
      </c>
      <c r="DM121" t="e">
        <f>AND(Bills!AB446,"AAAAAH7e53Q=")</f>
        <v>#VALUE!</v>
      </c>
      <c r="DN121" t="e">
        <f>AND(Bills!#REF!,"AAAAAH7e53U=")</f>
        <v>#REF!</v>
      </c>
      <c r="DO121" t="e">
        <f>AND(Bills!#REF!,"AAAAAH7e53Y=")</f>
        <v>#REF!</v>
      </c>
      <c r="DP121" t="e">
        <f>AND(Bills!#REF!,"AAAAAH7e53c=")</f>
        <v>#REF!</v>
      </c>
      <c r="DQ121" t="e">
        <f>AND(Bills!AC446,"AAAAAH7e53g=")</f>
        <v>#VALUE!</v>
      </c>
      <c r="DR121" t="e">
        <f>AND(Bills!AD446,"AAAAAH7e53k=")</f>
        <v>#VALUE!</v>
      </c>
      <c r="DS121" t="e">
        <f>AND(Bills!AE446,"AAAAAH7e53o=")</f>
        <v>#VALUE!</v>
      </c>
      <c r="DT121">
        <f>IF(Bills!447:447,"AAAAAH7e53s=",0)</f>
        <v>0</v>
      </c>
      <c r="DU121" t="e">
        <f>AND(Bills!B447,"AAAAAH7e53w=")</f>
        <v>#VALUE!</v>
      </c>
      <c r="DV121" t="e">
        <f>AND(Bills!#REF!,"AAAAAH7e530=")</f>
        <v>#REF!</v>
      </c>
      <c r="DW121" t="e">
        <f>AND(Bills!C447,"AAAAAH7e534=")</f>
        <v>#VALUE!</v>
      </c>
      <c r="DX121" t="e">
        <f>AND(Bills!D447,"AAAAAH7e538=")</f>
        <v>#VALUE!</v>
      </c>
      <c r="DY121" t="e">
        <f>AND(Bills!E447,"AAAAAH7e54A=")</f>
        <v>#VALUE!</v>
      </c>
      <c r="DZ121" t="e">
        <f>AND(Bills!#REF!,"AAAAAH7e54E=")</f>
        <v>#REF!</v>
      </c>
      <c r="EA121" t="e">
        <f>AND(Bills!#REF!,"AAAAAH7e54I=")</f>
        <v>#REF!</v>
      </c>
      <c r="EB121" t="e">
        <f>AND(Bills!#REF!,"AAAAAH7e54M=")</f>
        <v>#REF!</v>
      </c>
      <c r="EC121" t="e">
        <f>AND(Bills!F447,"AAAAAH7e54Q=")</f>
        <v>#VALUE!</v>
      </c>
      <c r="ED121" t="e">
        <f>AND(Bills!#REF!,"AAAAAH7e54U=")</f>
        <v>#REF!</v>
      </c>
      <c r="EE121" t="e">
        <f>AND(Bills!G447,"AAAAAH7e54Y=")</f>
        <v>#VALUE!</v>
      </c>
      <c r="EF121" t="e">
        <f>AND(Bills!H447,"AAAAAH7e54c=")</f>
        <v>#VALUE!</v>
      </c>
      <c r="EG121" t="e">
        <f>AND(Bills!I447,"AAAAAH7e54g=")</f>
        <v>#VALUE!</v>
      </c>
      <c r="EH121" t="e">
        <f>AND(Bills!J447,"AAAAAH7e54k=")</f>
        <v>#VALUE!</v>
      </c>
      <c r="EI121" t="e">
        <f>AND(Bills!K447,"AAAAAH7e54o=")</f>
        <v>#VALUE!</v>
      </c>
      <c r="EJ121" t="e">
        <f>AND(Bills!L447,"AAAAAH7e54s=")</f>
        <v>#VALUE!</v>
      </c>
      <c r="EK121" t="e">
        <f>AND(Bills!#REF!,"AAAAAH7e54w=")</f>
        <v>#REF!</v>
      </c>
      <c r="EL121" t="e">
        <f>AND(Bills!M447,"AAAAAH7e540=")</f>
        <v>#VALUE!</v>
      </c>
      <c r="EM121" t="e">
        <f>AND(Bills!N447,"AAAAAH7e544=")</f>
        <v>#VALUE!</v>
      </c>
      <c r="EN121" t="e">
        <f>AND(Bills!O447,"AAAAAH7e548=")</f>
        <v>#VALUE!</v>
      </c>
      <c r="EO121" t="e">
        <f>AND(Bills!P447,"AAAAAH7e55A=")</f>
        <v>#VALUE!</v>
      </c>
      <c r="EP121" t="e">
        <f>AND(Bills!Q447,"AAAAAH7e55E=")</f>
        <v>#VALUE!</v>
      </c>
      <c r="EQ121" t="e">
        <f>AND(Bills!R447,"AAAAAH7e55I=")</f>
        <v>#VALUE!</v>
      </c>
      <c r="ER121" t="e">
        <f>AND(Bills!S447,"AAAAAH7e55M=")</f>
        <v>#VALUE!</v>
      </c>
      <c r="ES121" t="e">
        <f>AND(Bills!T447,"AAAAAH7e55Q=")</f>
        <v>#VALUE!</v>
      </c>
      <c r="ET121" t="e">
        <f>AND(Bills!#REF!,"AAAAAH7e55U=")</f>
        <v>#REF!</v>
      </c>
      <c r="EU121" t="e">
        <f>AND(Bills!U447,"AAAAAH7e55Y=")</f>
        <v>#VALUE!</v>
      </c>
      <c r="EV121" t="e">
        <f>AND(Bills!V447,"AAAAAH7e55c=")</f>
        <v>#VALUE!</v>
      </c>
      <c r="EW121" t="e">
        <f>AND(Bills!W447,"AAAAAH7e55g=")</f>
        <v>#VALUE!</v>
      </c>
      <c r="EX121" t="e">
        <f>AND(Bills!#REF!,"AAAAAH7e55k=")</f>
        <v>#REF!</v>
      </c>
      <c r="EY121" t="e">
        <f>AND(Bills!#REF!,"AAAAAH7e55o=")</f>
        <v>#REF!</v>
      </c>
      <c r="EZ121" t="e">
        <f>AND(Bills!Y447,"AAAAAH7e55s=")</f>
        <v>#VALUE!</v>
      </c>
      <c r="FA121" t="e">
        <f>AND(Bills!Z447,"AAAAAH7e55w=")</f>
        <v>#VALUE!</v>
      </c>
      <c r="FB121" t="e">
        <f>AND(Bills!#REF!,"AAAAAH7e550=")</f>
        <v>#REF!</v>
      </c>
      <c r="FC121" t="e">
        <f>AND(Bills!#REF!,"AAAAAH7e554=")</f>
        <v>#REF!</v>
      </c>
      <c r="FD121" t="e">
        <f>AND(Bills!#REF!,"AAAAAH7e558=")</f>
        <v>#REF!</v>
      </c>
      <c r="FE121" t="e">
        <f>AND(Bills!#REF!,"AAAAAH7e56A=")</f>
        <v>#REF!</v>
      </c>
      <c r="FF121" t="e">
        <f>AND(Bills!#REF!,"AAAAAH7e56E=")</f>
        <v>#REF!</v>
      </c>
      <c r="FG121" t="e">
        <f>AND(Bills!#REF!,"AAAAAH7e56I=")</f>
        <v>#REF!</v>
      </c>
      <c r="FH121" t="e">
        <f>AND(Bills!#REF!,"AAAAAH7e56M=")</f>
        <v>#REF!</v>
      </c>
      <c r="FI121" t="e">
        <f>AND(Bills!#REF!,"AAAAAH7e56Q=")</f>
        <v>#REF!</v>
      </c>
      <c r="FJ121" t="e">
        <f>AND(Bills!#REF!,"AAAAAH7e56U=")</f>
        <v>#REF!</v>
      </c>
      <c r="FK121" t="e">
        <f>AND(Bills!AA447,"AAAAAH7e56Y=")</f>
        <v>#VALUE!</v>
      </c>
      <c r="FL121" t="e">
        <f>AND(Bills!AB447,"AAAAAH7e56c=")</f>
        <v>#VALUE!</v>
      </c>
      <c r="FM121" t="e">
        <f>AND(Bills!#REF!,"AAAAAH7e56g=")</f>
        <v>#REF!</v>
      </c>
      <c r="FN121" t="e">
        <f>AND(Bills!#REF!,"AAAAAH7e56k=")</f>
        <v>#REF!</v>
      </c>
      <c r="FO121" t="e">
        <f>AND(Bills!#REF!,"AAAAAH7e56o=")</f>
        <v>#REF!</v>
      </c>
      <c r="FP121" t="e">
        <f>AND(Bills!AC447,"AAAAAH7e56s=")</f>
        <v>#VALUE!</v>
      </c>
      <c r="FQ121" t="e">
        <f>AND(Bills!AD447,"AAAAAH7e56w=")</f>
        <v>#VALUE!</v>
      </c>
      <c r="FR121" t="e">
        <f>AND(Bills!AE447,"AAAAAH7e560=")</f>
        <v>#VALUE!</v>
      </c>
      <c r="FS121">
        <f>IF(Bills!448:448,"AAAAAH7e564=",0)</f>
        <v>0</v>
      </c>
      <c r="FT121" t="e">
        <f>AND(Bills!B448,"AAAAAH7e568=")</f>
        <v>#VALUE!</v>
      </c>
      <c r="FU121" t="e">
        <f>AND(Bills!#REF!,"AAAAAH7e57A=")</f>
        <v>#REF!</v>
      </c>
      <c r="FV121" t="e">
        <f>AND(Bills!C448,"AAAAAH7e57E=")</f>
        <v>#VALUE!</v>
      </c>
      <c r="FW121" t="e">
        <f>AND(Bills!D448,"AAAAAH7e57I=")</f>
        <v>#VALUE!</v>
      </c>
      <c r="FX121" t="e">
        <f>AND(Bills!E448,"AAAAAH7e57M=")</f>
        <v>#VALUE!</v>
      </c>
      <c r="FY121" t="e">
        <f>AND(Bills!#REF!,"AAAAAH7e57Q=")</f>
        <v>#REF!</v>
      </c>
      <c r="FZ121" t="e">
        <f>AND(Bills!#REF!,"AAAAAH7e57U=")</f>
        <v>#REF!</v>
      </c>
      <c r="GA121" t="e">
        <f>AND(Bills!#REF!,"AAAAAH7e57Y=")</f>
        <v>#REF!</v>
      </c>
      <c r="GB121" t="e">
        <f>AND(Bills!F448,"AAAAAH7e57c=")</f>
        <v>#VALUE!</v>
      </c>
      <c r="GC121" t="e">
        <f>AND(Bills!#REF!,"AAAAAH7e57g=")</f>
        <v>#REF!</v>
      </c>
      <c r="GD121" t="e">
        <f>AND(Bills!G448,"AAAAAH7e57k=")</f>
        <v>#VALUE!</v>
      </c>
      <c r="GE121" t="e">
        <f>AND(Bills!H448,"AAAAAH7e57o=")</f>
        <v>#VALUE!</v>
      </c>
      <c r="GF121" t="e">
        <f>AND(Bills!I448,"AAAAAH7e57s=")</f>
        <v>#VALUE!</v>
      </c>
      <c r="GG121" t="e">
        <f>AND(Bills!J448,"AAAAAH7e57w=")</f>
        <v>#VALUE!</v>
      </c>
      <c r="GH121" t="e">
        <f>AND(Bills!K448,"AAAAAH7e570=")</f>
        <v>#VALUE!</v>
      </c>
      <c r="GI121" t="e">
        <f>AND(Bills!L448,"AAAAAH7e574=")</f>
        <v>#VALUE!</v>
      </c>
      <c r="GJ121" t="e">
        <f>AND(Bills!#REF!,"AAAAAH7e578=")</f>
        <v>#REF!</v>
      </c>
      <c r="GK121" t="e">
        <f>AND(Bills!M448,"AAAAAH7e58A=")</f>
        <v>#VALUE!</v>
      </c>
      <c r="GL121" t="e">
        <f>AND(Bills!N448,"AAAAAH7e58E=")</f>
        <v>#VALUE!</v>
      </c>
      <c r="GM121" t="e">
        <f>AND(Bills!O448,"AAAAAH7e58I=")</f>
        <v>#VALUE!</v>
      </c>
      <c r="GN121" t="e">
        <f>AND(Bills!P448,"AAAAAH7e58M=")</f>
        <v>#VALUE!</v>
      </c>
      <c r="GO121" t="e">
        <f>AND(Bills!Q448,"AAAAAH7e58Q=")</f>
        <v>#VALUE!</v>
      </c>
      <c r="GP121" t="e">
        <f>AND(Bills!R448,"AAAAAH7e58U=")</f>
        <v>#VALUE!</v>
      </c>
      <c r="GQ121" t="e">
        <f>AND(Bills!S448,"AAAAAH7e58Y=")</f>
        <v>#VALUE!</v>
      </c>
      <c r="GR121" t="e">
        <f>AND(Bills!T448,"AAAAAH7e58c=")</f>
        <v>#VALUE!</v>
      </c>
      <c r="GS121" t="e">
        <f>AND(Bills!#REF!,"AAAAAH7e58g=")</f>
        <v>#REF!</v>
      </c>
      <c r="GT121" t="e">
        <f>AND(Bills!U448,"AAAAAH7e58k=")</f>
        <v>#VALUE!</v>
      </c>
      <c r="GU121" t="e">
        <f>AND(Bills!V448,"AAAAAH7e58o=")</f>
        <v>#VALUE!</v>
      </c>
      <c r="GV121" t="e">
        <f>AND(Bills!W448,"AAAAAH7e58s=")</f>
        <v>#VALUE!</v>
      </c>
      <c r="GW121" t="e">
        <f>AND(Bills!#REF!,"AAAAAH7e58w=")</f>
        <v>#REF!</v>
      </c>
      <c r="GX121" t="e">
        <f>AND(Bills!#REF!,"AAAAAH7e580=")</f>
        <v>#REF!</v>
      </c>
      <c r="GY121" t="e">
        <f>AND(Bills!Y448,"AAAAAH7e584=")</f>
        <v>#VALUE!</v>
      </c>
      <c r="GZ121" t="e">
        <f>AND(Bills!Z448,"AAAAAH7e588=")</f>
        <v>#VALUE!</v>
      </c>
      <c r="HA121" t="e">
        <f>AND(Bills!#REF!,"AAAAAH7e59A=")</f>
        <v>#REF!</v>
      </c>
      <c r="HB121" t="e">
        <f>AND(Bills!#REF!,"AAAAAH7e59E=")</f>
        <v>#REF!</v>
      </c>
      <c r="HC121" t="e">
        <f>AND(Bills!#REF!,"AAAAAH7e59I=")</f>
        <v>#REF!</v>
      </c>
      <c r="HD121" t="e">
        <f>AND(Bills!#REF!,"AAAAAH7e59M=")</f>
        <v>#REF!</v>
      </c>
      <c r="HE121" t="e">
        <f>AND(Bills!#REF!,"AAAAAH7e59Q=")</f>
        <v>#REF!</v>
      </c>
      <c r="HF121" t="e">
        <f>AND(Bills!#REF!,"AAAAAH7e59U=")</f>
        <v>#REF!</v>
      </c>
      <c r="HG121" t="e">
        <f>AND(Bills!#REF!,"AAAAAH7e59Y=")</f>
        <v>#REF!</v>
      </c>
      <c r="HH121" t="e">
        <f>AND(Bills!#REF!,"AAAAAH7e59c=")</f>
        <v>#REF!</v>
      </c>
      <c r="HI121" t="e">
        <f>AND(Bills!#REF!,"AAAAAH7e59g=")</f>
        <v>#REF!</v>
      </c>
      <c r="HJ121" t="e">
        <f>AND(Bills!AA448,"AAAAAH7e59k=")</f>
        <v>#VALUE!</v>
      </c>
      <c r="HK121" t="e">
        <f>AND(Bills!AB448,"AAAAAH7e59o=")</f>
        <v>#VALUE!</v>
      </c>
      <c r="HL121" t="e">
        <f>AND(Bills!#REF!,"AAAAAH7e59s=")</f>
        <v>#REF!</v>
      </c>
      <c r="HM121" t="e">
        <f>AND(Bills!#REF!,"AAAAAH7e59w=")</f>
        <v>#REF!</v>
      </c>
      <c r="HN121" t="e">
        <f>AND(Bills!#REF!,"AAAAAH7e590=")</f>
        <v>#REF!</v>
      </c>
      <c r="HO121" t="e">
        <f>AND(Bills!AC448,"AAAAAH7e594=")</f>
        <v>#VALUE!</v>
      </c>
      <c r="HP121" t="e">
        <f>AND(Bills!AD448,"AAAAAH7e598=")</f>
        <v>#VALUE!</v>
      </c>
      <c r="HQ121" t="e">
        <f>AND(Bills!AE448,"AAAAAH7e5+A=")</f>
        <v>#VALUE!</v>
      </c>
      <c r="HR121">
        <f>IF(Bills!449:449,"AAAAAH7e5+E=",0)</f>
        <v>0</v>
      </c>
      <c r="HS121" t="e">
        <f>AND(Bills!B449,"AAAAAH7e5+I=")</f>
        <v>#VALUE!</v>
      </c>
      <c r="HT121" t="e">
        <f>AND(Bills!#REF!,"AAAAAH7e5+M=")</f>
        <v>#REF!</v>
      </c>
      <c r="HU121" t="e">
        <f>AND(Bills!C449,"AAAAAH7e5+Q=")</f>
        <v>#VALUE!</v>
      </c>
      <c r="HV121" t="e">
        <f>AND(Bills!D449,"AAAAAH7e5+U=")</f>
        <v>#VALUE!</v>
      </c>
      <c r="HW121" t="e">
        <f>AND(Bills!E449,"AAAAAH7e5+Y=")</f>
        <v>#VALUE!</v>
      </c>
      <c r="HX121" t="e">
        <f>AND(Bills!#REF!,"AAAAAH7e5+c=")</f>
        <v>#REF!</v>
      </c>
      <c r="HY121" t="e">
        <f>AND(Bills!#REF!,"AAAAAH7e5+g=")</f>
        <v>#REF!</v>
      </c>
      <c r="HZ121" t="e">
        <f>AND(Bills!#REF!,"AAAAAH7e5+k=")</f>
        <v>#REF!</v>
      </c>
      <c r="IA121" t="e">
        <f>AND(Bills!F449,"AAAAAH7e5+o=")</f>
        <v>#VALUE!</v>
      </c>
      <c r="IB121" t="e">
        <f>AND(Bills!#REF!,"AAAAAH7e5+s=")</f>
        <v>#REF!</v>
      </c>
      <c r="IC121" t="e">
        <f>AND(Bills!G449,"AAAAAH7e5+w=")</f>
        <v>#VALUE!</v>
      </c>
      <c r="ID121" t="e">
        <f>AND(Bills!H449,"AAAAAH7e5+0=")</f>
        <v>#VALUE!</v>
      </c>
      <c r="IE121" t="e">
        <f>AND(Bills!I449,"AAAAAH7e5+4=")</f>
        <v>#VALUE!</v>
      </c>
      <c r="IF121" t="e">
        <f>AND(Bills!J449,"AAAAAH7e5+8=")</f>
        <v>#VALUE!</v>
      </c>
      <c r="IG121" t="e">
        <f>AND(Bills!K449,"AAAAAH7e5/A=")</f>
        <v>#VALUE!</v>
      </c>
      <c r="IH121" t="e">
        <f>AND(Bills!L449,"AAAAAH7e5/E=")</f>
        <v>#VALUE!</v>
      </c>
      <c r="II121" t="e">
        <f>AND(Bills!#REF!,"AAAAAH7e5/I=")</f>
        <v>#REF!</v>
      </c>
      <c r="IJ121" t="e">
        <f>AND(Bills!M449,"AAAAAH7e5/M=")</f>
        <v>#VALUE!</v>
      </c>
      <c r="IK121" t="e">
        <f>AND(Bills!N449,"AAAAAH7e5/Q=")</f>
        <v>#VALUE!</v>
      </c>
      <c r="IL121" t="e">
        <f>AND(Bills!O449,"AAAAAH7e5/U=")</f>
        <v>#VALUE!</v>
      </c>
      <c r="IM121" t="e">
        <f>AND(Bills!P449,"AAAAAH7e5/Y=")</f>
        <v>#VALUE!</v>
      </c>
      <c r="IN121" t="e">
        <f>AND(Bills!Q449,"AAAAAH7e5/c=")</f>
        <v>#VALUE!</v>
      </c>
      <c r="IO121" t="e">
        <f>AND(Bills!R449,"AAAAAH7e5/g=")</f>
        <v>#VALUE!</v>
      </c>
      <c r="IP121" t="e">
        <f>AND(Bills!S449,"AAAAAH7e5/k=")</f>
        <v>#VALUE!</v>
      </c>
      <c r="IQ121" t="e">
        <f>AND(Bills!T449,"AAAAAH7e5/o=")</f>
        <v>#VALUE!</v>
      </c>
      <c r="IR121" t="e">
        <f>AND(Bills!#REF!,"AAAAAH7e5/s=")</f>
        <v>#REF!</v>
      </c>
      <c r="IS121" t="e">
        <f>AND(Bills!U449,"AAAAAH7e5/w=")</f>
        <v>#VALUE!</v>
      </c>
      <c r="IT121" t="e">
        <f>AND(Bills!V449,"AAAAAH7e5/0=")</f>
        <v>#VALUE!</v>
      </c>
      <c r="IU121" t="e">
        <f>AND(Bills!W449,"AAAAAH7e5/4=")</f>
        <v>#VALUE!</v>
      </c>
      <c r="IV121" t="e">
        <f>AND(Bills!#REF!,"AAAAAH7e5/8=")</f>
        <v>#REF!</v>
      </c>
    </row>
    <row r="122" spans="1:256" x14ac:dyDescent="0.25">
      <c r="A122" t="e">
        <f>AND(Bills!#REF!,"AAAAAGzM6wA=")</f>
        <v>#REF!</v>
      </c>
      <c r="B122" t="e">
        <f>AND(Bills!Y449,"AAAAAGzM6wE=")</f>
        <v>#VALUE!</v>
      </c>
      <c r="C122" t="e">
        <f>AND(Bills!Z449,"AAAAAGzM6wI=")</f>
        <v>#VALUE!</v>
      </c>
      <c r="D122" t="e">
        <f>AND(Bills!#REF!,"AAAAAGzM6wM=")</f>
        <v>#REF!</v>
      </c>
      <c r="E122" t="e">
        <f>AND(Bills!#REF!,"AAAAAGzM6wQ=")</f>
        <v>#REF!</v>
      </c>
      <c r="F122" t="e">
        <f>AND(Bills!#REF!,"AAAAAGzM6wU=")</f>
        <v>#REF!</v>
      </c>
      <c r="G122" t="e">
        <f>AND(Bills!#REF!,"AAAAAGzM6wY=")</f>
        <v>#REF!</v>
      </c>
      <c r="H122" t="e">
        <f>AND(Bills!#REF!,"AAAAAGzM6wc=")</f>
        <v>#REF!</v>
      </c>
      <c r="I122" t="e">
        <f>AND(Bills!#REF!,"AAAAAGzM6wg=")</f>
        <v>#REF!</v>
      </c>
      <c r="J122" t="e">
        <f>AND(Bills!#REF!,"AAAAAGzM6wk=")</f>
        <v>#REF!</v>
      </c>
      <c r="K122" t="e">
        <f>AND(Bills!#REF!,"AAAAAGzM6wo=")</f>
        <v>#REF!</v>
      </c>
      <c r="L122" t="e">
        <f>AND(Bills!#REF!,"AAAAAGzM6ws=")</f>
        <v>#REF!</v>
      </c>
      <c r="M122" t="e">
        <f>AND(Bills!AA449,"AAAAAGzM6ww=")</f>
        <v>#VALUE!</v>
      </c>
      <c r="N122" t="e">
        <f>AND(Bills!AB449,"AAAAAGzM6w0=")</f>
        <v>#VALUE!</v>
      </c>
      <c r="O122" t="e">
        <f>AND(Bills!#REF!,"AAAAAGzM6w4=")</f>
        <v>#REF!</v>
      </c>
      <c r="P122" t="e">
        <f>AND(Bills!#REF!,"AAAAAGzM6w8=")</f>
        <v>#REF!</v>
      </c>
      <c r="Q122" t="e">
        <f>AND(Bills!#REF!,"AAAAAGzM6xA=")</f>
        <v>#REF!</v>
      </c>
      <c r="R122" t="e">
        <f>AND(Bills!AC449,"AAAAAGzM6xE=")</f>
        <v>#VALUE!</v>
      </c>
      <c r="S122" t="e">
        <f>AND(Bills!AD449,"AAAAAGzM6xI=")</f>
        <v>#VALUE!</v>
      </c>
      <c r="T122" t="e">
        <f>AND(Bills!AE449,"AAAAAGzM6xM=")</f>
        <v>#VALUE!</v>
      </c>
      <c r="U122">
        <f>IF(Bills!450:450,"AAAAAGzM6xQ=",0)</f>
        <v>0</v>
      </c>
      <c r="V122" t="e">
        <f>AND(Bills!B450,"AAAAAGzM6xU=")</f>
        <v>#VALUE!</v>
      </c>
      <c r="W122" t="e">
        <f>AND(Bills!#REF!,"AAAAAGzM6xY=")</f>
        <v>#REF!</v>
      </c>
      <c r="X122" t="e">
        <f>AND(Bills!C450,"AAAAAGzM6xc=")</f>
        <v>#VALUE!</v>
      </c>
      <c r="Y122" t="e">
        <f>AND(Bills!D450,"AAAAAGzM6xg=")</f>
        <v>#VALUE!</v>
      </c>
      <c r="Z122" t="e">
        <f>AND(Bills!E450,"AAAAAGzM6xk=")</f>
        <v>#VALUE!</v>
      </c>
      <c r="AA122" t="e">
        <f>AND(Bills!#REF!,"AAAAAGzM6xo=")</f>
        <v>#REF!</v>
      </c>
      <c r="AB122" t="e">
        <f>AND(Bills!#REF!,"AAAAAGzM6xs=")</f>
        <v>#REF!</v>
      </c>
      <c r="AC122" t="e">
        <f>AND(Bills!#REF!,"AAAAAGzM6xw=")</f>
        <v>#REF!</v>
      </c>
      <c r="AD122" t="e">
        <f>AND(Bills!F450,"AAAAAGzM6x0=")</f>
        <v>#VALUE!</v>
      </c>
      <c r="AE122" t="e">
        <f>AND(Bills!#REF!,"AAAAAGzM6x4=")</f>
        <v>#REF!</v>
      </c>
      <c r="AF122" t="e">
        <f>AND(Bills!G450,"AAAAAGzM6x8=")</f>
        <v>#VALUE!</v>
      </c>
      <c r="AG122" t="e">
        <f>AND(Bills!H450,"AAAAAGzM6yA=")</f>
        <v>#VALUE!</v>
      </c>
      <c r="AH122" t="e">
        <f>AND(Bills!I450,"AAAAAGzM6yE=")</f>
        <v>#VALUE!</v>
      </c>
      <c r="AI122" t="e">
        <f>AND(Bills!J450,"AAAAAGzM6yI=")</f>
        <v>#VALUE!</v>
      </c>
      <c r="AJ122" t="e">
        <f>AND(Bills!K450,"AAAAAGzM6yM=")</f>
        <v>#VALUE!</v>
      </c>
      <c r="AK122" t="e">
        <f>AND(Bills!L450,"AAAAAGzM6yQ=")</f>
        <v>#VALUE!</v>
      </c>
      <c r="AL122" t="e">
        <f>AND(Bills!#REF!,"AAAAAGzM6yU=")</f>
        <v>#REF!</v>
      </c>
      <c r="AM122" t="e">
        <f>AND(Bills!M450,"AAAAAGzM6yY=")</f>
        <v>#VALUE!</v>
      </c>
      <c r="AN122" t="e">
        <f>AND(Bills!N450,"AAAAAGzM6yc=")</f>
        <v>#VALUE!</v>
      </c>
      <c r="AO122" t="e">
        <f>AND(Bills!O450,"AAAAAGzM6yg=")</f>
        <v>#VALUE!</v>
      </c>
      <c r="AP122" t="e">
        <f>AND(Bills!P450,"AAAAAGzM6yk=")</f>
        <v>#VALUE!</v>
      </c>
      <c r="AQ122" t="e">
        <f>AND(Bills!Q450,"AAAAAGzM6yo=")</f>
        <v>#VALUE!</v>
      </c>
      <c r="AR122" t="e">
        <f>AND(Bills!R450,"AAAAAGzM6ys=")</f>
        <v>#VALUE!</v>
      </c>
      <c r="AS122" t="e">
        <f>AND(Bills!S450,"AAAAAGzM6yw=")</f>
        <v>#VALUE!</v>
      </c>
      <c r="AT122" t="e">
        <f>AND(Bills!T450,"AAAAAGzM6y0=")</f>
        <v>#VALUE!</v>
      </c>
      <c r="AU122" t="e">
        <f>AND(Bills!#REF!,"AAAAAGzM6y4=")</f>
        <v>#REF!</v>
      </c>
      <c r="AV122" t="e">
        <f>AND(Bills!U450,"AAAAAGzM6y8=")</f>
        <v>#VALUE!</v>
      </c>
      <c r="AW122" t="e">
        <f>AND(Bills!V450,"AAAAAGzM6zA=")</f>
        <v>#VALUE!</v>
      </c>
      <c r="AX122" t="e">
        <f>AND(Bills!W450,"AAAAAGzM6zE=")</f>
        <v>#VALUE!</v>
      </c>
      <c r="AY122" t="e">
        <f>AND(Bills!#REF!,"AAAAAGzM6zI=")</f>
        <v>#REF!</v>
      </c>
      <c r="AZ122" t="e">
        <f>AND(Bills!#REF!,"AAAAAGzM6zM=")</f>
        <v>#REF!</v>
      </c>
      <c r="BA122" t="e">
        <f>AND(Bills!Y450,"AAAAAGzM6zQ=")</f>
        <v>#VALUE!</v>
      </c>
      <c r="BB122" t="e">
        <f>AND(Bills!Z450,"AAAAAGzM6zU=")</f>
        <v>#VALUE!</v>
      </c>
      <c r="BC122" t="e">
        <f>AND(Bills!#REF!,"AAAAAGzM6zY=")</f>
        <v>#REF!</v>
      </c>
      <c r="BD122" t="e">
        <f>AND(Bills!#REF!,"AAAAAGzM6zc=")</f>
        <v>#REF!</v>
      </c>
      <c r="BE122" t="e">
        <f>AND(Bills!#REF!,"AAAAAGzM6zg=")</f>
        <v>#REF!</v>
      </c>
      <c r="BF122" t="e">
        <f>AND(Bills!#REF!,"AAAAAGzM6zk=")</f>
        <v>#REF!</v>
      </c>
      <c r="BG122" t="e">
        <f>AND(Bills!#REF!,"AAAAAGzM6zo=")</f>
        <v>#REF!</v>
      </c>
      <c r="BH122" t="e">
        <f>AND(Bills!#REF!,"AAAAAGzM6zs=")</f>
        <v>#REF!</v>
      </c>
      <c r="BI122" t="e">
        <f>AND(Bills!#REF!,"AAAAAGzM6zw=")</f>
        <v>#REF!</v>
      </c>
      <c r="BJ122" t="e">
        <f>AND(Bills!#REF!,"AAAAAGzM6z0=")</f>
        <v>#REF!</v>
      </c>
      <c r="BK122" t="e">
        <f>AND(Bills!#REF!,"AAAAAGzM6z4=")</f>
        <v>#REF!</v>
      </c>
      <c r="BL122" t="e">
        <f>AND(Bills!AA450,"AAAAAGzM6z8=")</f>
        <v>#VALUE!</v>
      </c>
      <c r="BM122" t="e">
        <f>AND(Bills!AB450,"AAAAAGzM60A=")</f>
        <v>#VALUE!</v>
      </c>
      <c r="BN122" t="e">
        <f>AND(Bills!#REF!,"AAAAAGzM60E=")</f>
        <v>#REF!</v>
      </c>
      <c r="BO122" t="e">
        <f>AND(Bills!#REF!,"AAAAAGzM60I=")</f>
        <v>#REF!</v>
      </c>
      <c r="BP122" t="e">
        <f>AND(Bills!#REF!,"AAAAAGzM60M=")</f>
        <v>#REF!</v>
      </c>
      <c r="BQ122" t="e">
        <f>AND(Bills!AC450,"AAAAAGzM60Q=")</f>
        <v>#VALUE!</v>
      </c>
      <c r="BR122" t="e">
        <f>AND(Bills!AD450,"AAAAAGzM60U=")</f>
        <v>#VALUE!</v>
      </c>
      <c r="BS122" t="e">
        <f>AND(Bills!AE450,"AAAAAGzM60Y=")</f>
        <v>#VALUE!</v>
      </c>
      <c r="BT122">
        <f>IF(Bills!451:451,"AAAAAGzM60c=",0)</f>
        <v>0</v>
      </c>
      <c r="BU122" t="e">
        <f>AND(Bills!B451,"AAAAAGzM60g=")</f>
        <v>#VALUE!</v>
      </c>
      <c r="BV122" t="e">
        <f>AND(Bills!#REF!,"AAAAAGzM60k=")</f>
        <v>#REF!</v>
      </c>
      <c r="BW122" t="e">
        <f>AND(Bills!C451,"AAAAAGzM60o=")</f>
        <v>#VALUE!</v>
      </c>
      <c r="BX122" t="e">
        <f>AND(Bills!D451,"AAAAAGzM60s=")</f>
        <v>#VALUE!</v>
      </c>
      <c r="BY122" t="e">
        <f>AND(Bills!E451,"AAAAAGzM60w=")</f>
        <v>#VALUE!</v>
      </c>
      <c r="BZ122" t="e">
        <f>AND(Bills!#REF!,"AAAAAGzM600=")</f>
        <v>#REF!</v>
      </c>
      <c r="CA122" t="e">
        <f>AND(Bills!#REF!,"AAAAAGzM604=")</f>
        <v>#REF!</v>
      </c>
      <c r="CB122" t="e">
        <f>AND(Bills!#REF!,"AAAAAGzM608=")</f>
        <v>#REF!</v>
      </c>
      <c r="CC122" t="e">
        <f>AND(Bills!F451,"AAAAAGzM61A=")</f>
        <v>#VALUE!</v>
      </c>
      <c r="CD122" t="e">
        <f>AND(Bills!#REF!,"AAAAAGzM61E=")</f>
        <v>#REF!</v>
      </c>
      <c r="CE122" t="e">
        <f>AND(Bills!G451,"AAAAAGzM61I=")</f>
        <v>#VALUE!</v>
      </c>
      <c r="CF122" t="e">
        <f>AND(Bills!H451,"AAAAAGzM61M=")</f>
        <v>#VALUE!</v>
      </c>
      <c r="CG122" t="e">
        <f>AND(Bills!I451,"AAAAAGzM61Q=")</f>
        <v>#VALUE!</v>
      </c>
      <c r="CH122" t="e">
        <f>AND(Bills!J451,"AAAAAGzM61U=")</f>
        <v>#VALUE!</v>
      </c>
      <c r="CI122" t="e">
        <f>AND(Bills!K451,"AAAAAGzM61Y=")</f>
        <v>#VALUE!</v>
      </c>
      <c r="CJ122" t="e">
        <f>AND(Bills!L451,"AAAAAGzM61c=")</f>
        <v>#VALUE!</v>
      </c>
      <c r="CK122" t="e">
        <f>AND(Bills!#REF!,"AAAAAGzM61g=")</f>
        <v>#REF!</v>
      </c>
      <c r="CL122" t="e">
        <f>AND(Bills!M451,"AAAAAGzM61k=")</f>
        <v>#VALUE!</v>
      </c>
      <c r="CM122" t="e">
        <f>AND(Bills!N451,"AAAAAGzM61o=")</f>
        <v>#VALUE!</v>
      </c>
      <c r="CN122" t="e">
        <f>AND(Bills!O451,"AAAAAGzM61s=")</f>
        <v>#VALUE!</v>
      </c>
      <c r="CO122" t="e">
        <f>AND(Bills!P451,"AAAAAGzM61w=")</f>
        <v>#VALUE!</v>
      </c>
      <c r="CP122" t="e">
        <f>AND(Bills!Q451,"AAAAAGzM610=")</f>
        <v>#VALUE!</v>
      </c>
      <c r="CQ122" t="e">
        <f>AND(Bills!R451,"AAAAAGzM614=")</f>
        <v>#VALUE!</v>
      </c>
      <c r="CR122" t="e">
        <f>AND(Bills!S451,"AAAAAGzM618=")</f>
        <v>#VALUE!</v>
      </c>
      <c r="CS122" t="e">
        <f>AND(Bills!T451,"AAAAAGzM62A=")</f>
        <v>#VALUE!</v>
      </c>
      <c r="CT122" t="e">
        <f>AND(Bills!#REF!,"AAAAAGzM62E=")</f>
        <v>#REF!</v>
      </c>
      <c r="CU122" t="e">
        <f>AND(Bills!U451,"AAAAAGzM62I=")</f>
        <v>#VALUE!</v>
      </c>
      <c r="CV122" t="e">
        <f>AND(Bills!V451,"AAAAAGzM62M=")</f>
        <v>#VALUE!</v>
      </c>
      <c r="CW122" t="e">
        <f>AND(Bills!W451,"AAAAAGzM62Q=")</f>
        <v>#VALUE!</v>
      </c>
      <c r="CX122" t="e">
        <f>AND(Bills!#REF!,"AAAAAGzM62U=")</f>
        <v>#REF!</v>
      </c>
      <c r="CY122" t="e">
        <f>AND(Bills!#REF!,"AAAAAGzM62Y=")</f>
        <v>#REF!</v>
      </c>
      <c r="CZ122" t="e">
        <f>AND(Bills!Y451,"AAAAAGzM62c=")</f>
        <v>#VALUE!</v>
      </c>
      <c r="DA122" t="e">
        <f>AND(Bills!Z451,"AAAAAGzM62g=")</f>
        <v>#VALUE!</v>
      </c>
      <c r="DB122" t="e">
        <f>AND(Bills!#REF!,"AAAAAGzM62k=")</f>
        <v>#REF!</v>
      </c>
      <c r="DC122" t="e">
        <f>AND(Bills!#REF!,"AAAAAGzM62o=")</f>
        <v>#REF!</v>
      </c>
      <c r="DD122" t="e">
        <f>AND(Bills!#REF!,"AAAAAGzM62s=")</f>
        <v>#REF!</v>
      </c>
      <c r="DE122" t="e">
        <f>AND(Bills!#REF!,"AAAAAGzM62w=")</f>
        <v>#REF!</v>
      </c>
      <c r="DF122" t="e">
        <f>AND(Bills!#REF!,"AAAAAGzM620=")</f>
        <v>#REF!</v>
      </c>
      <c r="DG122" t="e">
        <f>AND(Bills!#REF!,"AAAAAGzM624=")</f>
        <v>#REF!</v>
      </c>
      <c r="DH122" t="e">
        <f>AND(Bills!#REF!,"AAAAAGzM628=")</f>
        <v>#REF!</v>
      </c>
      <c r="DI122" t="e">
        <f>AND(Bills!#REF!,"AAAAAGzM63A=")</f>
        <v>#REF!</v>
      </c>
      <c r="DJ122" t="e">
        <f>AND(Bills!#REF!,"AAAAAGzM63E=")</f>
        <v>#REF!</v>
      </c>
      <c r="DK122" t="e">
        <f>AND(Bills!AA451,"AAAAAGzM63I=")</f>
        <v>#VALUE!</v>
      </c>
      <c r="DL122" t="e">
        <f>AND(Bills!AB451,"AAAAAGzM63M=")</f>
        <v>#VALUE!</v>
      </c>
      <c r="DM122" t="e">
        <f>AND(Bills!#REF!,"AAAAAGzM63Q=")</f>
        <v>#REF!</v>
      </c>
      <c r="DN122" t="e">
        <f>AND(Bills!#REF!,"AAAAAGzM63U=")</f>
        <v>#REF!</v>
      </c>
      <c r="DO122" t="e">
        <f>AND(Bills!#REF!,"AAAAAGzM63Y=")</f>
        <v>#REF!</v>
      </c>
      <c r="DP122" t="e">
        <f>AND(Bills!AC451,"AAAAAGzM63c=")</f>
        <v>#VALUE!</v>
      </c>
      <c r="DQ122" t="e">
        <f>AND(Bills!AD451,"AAAAAGzM63g=")</f>
        <v>#VALUE!</v>
      </c>
      <c r="DR122" t="e">
        <f>AND(Bills!AE451,"AAAAAGzM63k=")</f>
        <v>#VALUE!</v>
      </c>
      <c r="DS122">
        <f>IF(Bills!452:452,"AAAAAGzM63o=",0)</f>
        <v>0</v>
      </c>
      <c r="DT122" t="e">
        <f>AND(Bills!B452,"AAAAAGzM63s=")</f>
        <v>#VALUE!</v>
      </c>
      <c r="DU122" t="e">
        <f>AND(Bills!#REF!,"AAAAAGzM63w=")</f>
        <v>#REF!</v>
      </c>
      <c r="DV122" t="e">
        <f>AND(Bills!C452,"AAAAAGzM630=")</f>
        <v>#VALUE!</v>
      </c>
      <c r="DW122" t="e">
        <f>AND(Bills!D452,"AAAAAGzM634=")</f>
        <v>#VALUE!</v>
      </c>
      <c r="DX122" t="e">
        <f>AND(Bills!E452,"AAAAAGzM638=")</f>
        <v>#VALUE!</v>
      </c>
      <c r="DY122" t="e">
        <f>AND(Bills!#REF!,"AAAAAGzM64A=")</f>
        <v>#REF!</v>
      </c>
      <c r="DZ122" t="e">
        <f>AND(Bills!#REF!,"AAAAAGzM64E=")</f>
        <v>#REF!</v>
      </c>
      <c r="EA122" t="e">
        <f>AND(Bills!#REF!,"AAAAAGzM64I=")</f>
        <v>#REF!</v>
      </c>
      <c r="EB122" t="e">
        <f>AND(Bills!F452,"AAAAAGzM64M=")</f>
        <v>#VALUE!</v>
      </c>
      <c r="EC122" t="e">
        <f>AND(Bills!#REF!,"AAAAAGzM64Q=")</f>
        <v>#REF!</v>
      </c>
      <c r="ED122" t="e">
        <f>AND(Bills!G452,"AAAAAGzM64U=")</f>
        <v>#VALUE!</v>
      </c>
      <c r="EE122" t="e">
        <f>AND(Bills!H452,"AAAAAGzM64Y=")</f>
        <v>#VALUE!</v>
      </c>
      <c r="EF122" t="e">
        <f>AND(Bills!I452,"AAAAAGzM64c=")</f>
        <v>#VALUE!</v>
      </c>
      <c r="EG122" t="e">
        <f>AND(Bills!J452,"AAAAAGzM64g=")</f>
        <v>#VALUE!</v>
      </c>
      <c r="EH122" t="e">
        <f>AND(Bills!K452,"AAAAAGzM64k=")</f>
        <v>#VALUE!</v>
      </c>
      <c r="EI122" t="e">
        <f>AND(Bills!L452,"AAAAAGzM64o=")</f>
        <v>#VALUE!</v>
      </c>
      <c r="EJ122" t="e">
        <f>AND(Bills!#REF!,"AAAAAGzM64s=")</f>
        <v>#REF!</v>
      </c>
      <c r="EK122" t="e">
        <f>AND(Bills!M452,"AAAAAGzM64w=")</f>
        <v>#VALUE!</v>
      </c>
      <c r="EL122" t="e">
        <f>AND(Bills!N452,"AAAAAGzM640=")</f>
        <v>#VALUE!</v>
      </c>
      <c r="EM122" t="e">
        <f>AND(Bills!O452,"AAAAAGzM644=")</f>
        <v>#VALUE!</v>
      </c>
      <c r="EN122" t="e">
        <f>AND(Bills!P452,"AAAAAGzM648=")</f>
        <v>#VALUE!</v>
      </c>
      <c r="EO122" t="e">
        <f>AND(Bills!Q452,"AAAAAGzM65A=")</f>
        <v>#VALUE!</v>
      </c>
      <c r="EP122" t="e">
        <f>AND(Bills!R452,"AAAAAGzM65E=")</f>
        <v>#VALUE!</v>
      </c>
      <c r="EQ122" t="e">
        <f>AND(Bills!S452,"AAAAAGzM65I=")</f>
        <v>#VALUE!</v>
      </c>
      <c r="ER122" t="e">
        <f>AND(Bills!T452,"AAAAAGzM65M=")</f>
        <v>#VALUE!</v>
      </c>
      <c r="ES122" t="e">
        <f>AND(Bills!#REF!,"AAAAAGzM65Q=")</f>
        <v>#REF!</v>
      </c>
      <c r="ET122" t="e">
        <f>AND(Bills!U452,"AAAAAGzM65U=")</f>
        <v>#VALUE!</v>
      </c>
      <c r="EU122" t="e">
        <f>AND(Bills!V452,"AAAAAGzM65Y=")</f>
        <v>#VALUE!</v>
      </c>
      <c r="EV122" t="e">
        <f>AND(Bills!W452,"AAAAAGzM65c=")</f>
        <v>#VALUE!</v>
      </c>
      <c r="EW122" t="e">
        <f>AND(Bills!#REF!,"AAAAAGzM65g=")</f>
        <v>#REF!</v>
      </c>
      <c r="EX122" t="e">
        <f>AND(Bills!#REF!,"AAAAAGzM65k=")</f>
        <v>#REF!</v>
      </c>
      <c r="EY122" t="e">
        <f>AND(Bills!Y452,"AAAAAGzM65o=")</f>
        <v>#VALUE!</v>
      </c>
      <c r="EZ122" t="e">
        <f>AND(Bills!Z452,"AAAAAGzM65s=")</f>
        <v>#VALUE!</v>
      </c>
      <c r="FA122" t="e">
        <f>AND(Bills!#REF!,"AAAAAGzM65w=")</f>
        <v>#REF!</v>
      </c>
      <c r="FB122" t="e">
        <f>AND(Bills!#REF!,"AAAAAGzM650=")</f>
        <v>#REF!</v>
      </c>
      <c r="FC122" t="e">
        <f>AND(Bills!#REF!,"AAAAAGzM654=")</f>
        <v>#REF!</v>
      </c>
      <c r="FD122" t="e">
        <f>AND(Bills!#REF!,"AAAAAGzM658=")</f>
        <v>#REF!</v>
      </c>
      <c r="FE122" t="e">
        <f>AND(Bills!#REF!,"AAAAAGzM66A=")</f>
        <v>#REF!</v>
      </c>
      <c r="FF122" t="e">
        <f>AND(Bills!#REF!,"AAAAAGzM66E=")</f>
        <v>#REF!</v>
      </c>
      <c r="FG122" t="e">
        <f>AND(Bills!#REF!,"AAAAAGzM66I=")</f>
        <v>#REF!</v>
      </c>
      <c r="FH122" t="e">
        <f>AND(Bills!#REF!,"AAAAAGzM66M=")</f>
        <v>#REF!</v>
      </c>
      <c r="FI122" t="e">
        <f>AND(Bills!#REF!,"AAAAAGzM66Q=")</f>
        <v>#REF!</v>
      </c>
      <c r="FJ122" t="e">
        <f>AND(Bills!AA452,"AAAAAGzM66U=")</f>
        <v>#VALUE!</v>
      </c>
      <c r="FK122" t="e">
        <f>AND(Bills!AB452,"AAAAAGzM66Y=")</f>
        <v>#VALUE!</v>
      </c>
      <c r="FL122" t="e">
        <f>AND(Bills!#REF!,"AAAAAGzM66c=")</f>
        <v>#REF!</v>
      </c>
      <c r="FM122" t="e">
        <f>AND(Bills!#REF!,"AAAAAGzM66g=")</f>
        <v>#REF!</v>
      </c>
      <c r="FN122" t="e">
        <f>AND(Bills!#REF!,"AAAAAGzM66k=")</f>
        <v>#REF!</v>
      </c>
      <c r="FO122" t="e">
        <f>AND(Bills!AC452,"AAAAAGzM66o=")</f>
        <v>#VALUE!</v>
      </c>
      <c r="FP122" t="e">
        <f>AND(Bills!AD452,"AAAAAGzM66s=")</f>
        <v>#VALUE!</v>
      </c>
      <c r="FQ122" t="e">
        <f>AND(Bills!AE452,"AAAAAGzM66w=")</f>
        <v>#VALUE!</v>
      </c>
      <c r="FR122">
        <f>IF(Bills!453:453,"AAAAAGzM660=",0)</f>
        <v>0</v>
      </c>
      <c r="FS122" t="e">
        <f>AND(Bills!B453,"AAAAAGzM664=")</f>
        <v>#VALUE!</v>
      </c>
      <c r="FT122" t="e">
        <f>AND(Bills!#REF!,"AAAAAGzM668=")</f>
        <v>#REF!</v>
      </c>
      <c r="FU122" t="e">
        <f>AND(Bills!C453,"AAAAAGzM67A=")</f>
        <v>#VALUE!</v>
      </c>
      <c r="FV122" t="e">
        <f>AND(Bills!D453,"AAAAAGzM67E=")</f>
        <v>#VALUE!</v>
      </c>
      <c r="FW122" t="e">
        <f>AND(Bills!E453,"AAAAAGzM67I=")</f>
        <v>#VALUE!</v>
      </c>
      <c r="FX122" t="e">
        <f>AND(Bills!#REF!,"AAAAAGzM67M=")</f>
        <v>#REF!</v>
      </c>
      <c r="FY122" t="e">
        <f>AND(Bills!#REF!,"AAAAAGzM67Q=")</f>
        <v>#REF!</v>
      </c>
      <c r="FZ122" t="e">
        <f>AND(Bills!#REF!,"AAAAAGzM67U=")</f>
        <v>#REF!</v>
      </c>
      <c r="GA122" t="e">
        <f>AND(Bills!F453,"AAAAAGzM67Y=")</f>
        <v>#VALUE!</v>
      </c>
      <c r="GB122" t="e">
        <f>AND(Bills!#REF!,"AAAAAGzM67c=")</f>
        <v>#REF!</v>
      </c>
      <c r="GC122" t="e">
        <f>AND(Bills!G453,"AAAAAGzM67g=")</f>
        <v>#VALUE!</v>
      </c>
      <c r="GD122" t="e">
        <f>AND(Bills!H453,"AAAAAGzM67k=")</f>
        <v>#VALUE!</v>
      </c>
      <c r="GE122" t="e">
        <f>AND(Bills!I453,"AAAAAGzM67o=")</f>
        <v>#VALUE!</v>
      </c>
      <c r="GF122" t="e">
        <f>AND(Bills!J453,"AAAAAGzM67s=")</f>
        <v>#VALUE!</v>
      </c>
      <c r="GG122" t="e">
        <f>AND(Bills!K453,"AAAAAGzM67w=")</f>
        <v>#VALUE!</v>
      </c>
      <c r="GH122" t="e">
        <f>AND(Bills!L453,"AAAAAGzM670=")</f>
        <v>#VALUE!</v>
      </c>
      <c r="GI122" t="e">
        <f>AND(Bills!#REF!,"AAAAAGzM674=")</f>
        <v>#REF!</v>
      </c>
      <c r="GJ122" t="e">
        <f>AND(Bills!M453,"AAAAAGzM678=")</f>
        <v>#VALUE!</v>
      </c>
      <c r="GK122" t="e">
        <f>AND(Bills!N453,"AAAAAGzM68A=")</f>
        <v>#VALUE!</v>
      </c>
      <c r="GL122" t="e">
        <f>AND(Bills!O453,"AAAAAGzM68E=")</f>
        <v>#VALUE!</v>
      </c>
      <c r="GM122" t="e">
        <f>AND(Bills!P453,"AAAAAGzM68I=")</f>
        <v>#VALUE!</v>
      </c>
      <c r="GN122" t="e">
        <f>AND(Bills!Q453,"AAAAAGzM68M=")</f>
        <v>#VALUE!</v>
      </c>
      <c r="GO122" t="e">
        <f>AND(Bills!R453,"AAAAAGzM68Q=")</f>
        <v>#VALUE!</v>
      </c>
      <c r="GP122" t="e">
        <f>AND(Bills!S453,"AAAAAGzM68U=")</f>
        <v>#VALUE!</v>
      </c>
      <c r="GQ122" t="e">
        <f>AND(Bills!T453,"AAAAAGzM68Y=")</f>
        <v>#VALUE!</v>
      </c>
      <c r="GR122" t="e">
        <f>AND(Bills!#REF!,"AAAAAGzM68c=")</f>
        <v>#REF!</v>
      </c>
      <c r="GS122" t="e">
        <f>AND(Bills!U453,"AAAAAGzM68g=")</f>
        <v>#VALUE!</v>
      </c>
      <c r="GT122" t="e">
        <f>AND(Bills!V453,"AAAAAGzM68k=")</f>
        <v>#VALUE!</v>
      </c>
      <c r="GU122" t="e">
        <f>AND(Bills!W453,"AAAAAGzM68o=")</f>
        <v>#VALUE!</v>
      </c>
      <c r="GV122" t="e">
        <f>AND(Bills!#REF!,"AAAAAGzM68s=")</f>
        <v>#REF!</v>
      </c>
      <c r="GW122" t="e">
        <f>AND(Bills!#REF!,"AAAAAGzM68w=")</f>
        <v>#REF!</v>
      </c>
      <c r="GX122" t="e">
        <f>AND(Bills!Y453,"AAAAAGzM680=")</f>
        <v>#VALUE!</v>
      </c>
      <c r="GY122" t="e">
        <f>AND(Bills!Z453,"AAAAAGzM684=")</f>
        <v>#VALUE!</v>
      </c>
      <c r="GZ122" t="e">
        <f>AND(Bills!#REF!,"AAAAAGzM688=")</f>
        <v>#REF!</v>
      </c>
      <c r="HA122" t="e">
        <f>AND(Bills!#REF!,"AAAAAGzM69A=")</f>
        <v>#REF!</v>
      </c>
      <c r="HB122" t="e">
        <f>AND(Bills!#REF!,"AAAAAGzM69E=")</f>
        <v>#REF!</v>
      </c>
      <c r="HC122" t="e">
        <f>AND(Bills!#REF!,"AAAAAGzM69I=")</f>
        <v>#REF!</v>
      </c>
      <c r="HD122" t="e">
        <f>AND(Bills!#REF!,"AAAAAGzM69M=")</f>
        <v>#REF!</v>
      </c>
      <c r="HE122" t="e">
        <f>AND(Bills!#REF!,"AAAAAGzM69Q=")</f>
        <v>#REF!</v>
      </c>
      <c r="HF122" t="e">
        <f>AND(Bills!#REF!,"AAAAAGzM69U=")</f>
        <v>#REF!</v>
      </c>
      <c r="HG122" t="e">
        <f>AND(Bills!#REF!,"AAAAAGzM69Y=")</f>
        <v>#REF!</v>
      </c>
      <c r="HH122" t="e">
        <f>AND(Bills!#REF!,"AAAAAGzM69c=")</f>
        <v>#REF!</v>
      </c>
      <c r="HI122" t="e">
        <f>AND(Bills!AA453,"AAAAAGzM69g=")</f>
        <v>#VALUE!</v>
      </c>
      <c r="HJ122" t="e">
        <f>AND(Bills!AB453,"AAAAAGzM69k=")</f>
        <v>#VALUE!</v>
      </c>
      <c r="HK122" t="e">
        <f>AND(Bills!#REF!,"AAAAAGzM69o=")</f>
        <v>#REF!</v>
      </c>
      <c r="HL122" t="e">
        <f>AND(Bills!#REF!,"AAAAAGzM69s=")</f>
        <v>#REF!</v>
      </c>
      <c r="HM122" t="e">
        <f>AND(Bills!#REF!,"AAAAAGzM69w=")</f>
        <v>#REF!</v>
      </c>
      <c r="HN122" t="e">
        <f>AND(Bills!AC453,"AAAAAGzM690=")</f>
        <v>#VALUE!</v>
      </c>
      <c r="HO122" t="e">
        <f>AND(Bills!AD453,"AAAAAGzM694=")</f>
        <v>#VALUE!</v>
      </c>
      <c r="HP122" t="e">
        <f>AND(Bills!AE453,"AAAAAGzM698=")</f>
        <v>#VALUE!</v>
      </c>
      <c r="HQ122">
        <f>IF(Bills!454:454,"AAAAAGzM6+A=",0)</f>
        <v>0</v>
      </c>
      <c r="HR122" t="e">
        <f>AND(Bills!B454,"AAAAAGzM6+E=")</f>
        <v>#VALUE!</v>
      </c>
      <c r="HS122" t="e">
        <f>AND(Bills!#REF!,"AAAAAGzM6+I=")</f>
        <v>#REF!</v>
      </c>
      <c r="HT122" t="e">
        <f>AND(Bills!C454,"AAAAAGzM6+M=")</f>
        <v>#VALUE!</v>
      </c>
      <c r="HU122" t="e">
        <f>AND(Bills!D454,"AAAAAGzM6+Q=")</f>
        <v>#VALUE!</v>
      </c>
      <c r="HV122" t="e">
        <f>AND(Bills!E454,"AAAAAGzM6+U=")</f>
        <v>#VALUE!</v>
      </c>
      <c r="HW122" t="e">
        <f>AND(Bills!#REF!,"AAAAAGzM6+Y=")</f>
        <v>#REF!</v>
      </c>
      <c r="HX122" t="e">
        <f>AND(Bills!#REF!,"AAAAAGzM6+c=")</f>
        <v>#REF!</v>
      </c>
      <c r="HY122" t="e">
        <f>AND(Bills!#REF!,"AAAAAGzM6+g=")</f>
        <v>#REF!</v>
      </c>
      <c r="HZ122" t="e">
        <f>AND(Bills!F454,"AAAAAGzM6+k=")</f>
        <v>#VALUE!</v>
      </c>
      <c r="IA122" t="e">
        <f>AND(Bills!#REF!,"AAAAAGzM6+o=")</f>
        <v>#REF!</v>
      </c>
      <c r="IB122" t="e">
        <f>AND(Bills!G454,"AAAAAGzM6+s=")</f>
        <v>#VALUE!</v>
      </c>
      <c r="IC122" t="e">
        <f>AND(Bills!H454,"AAAAAGzM6+w=")</f>
        <v>#VALUE!</v>
      </c>
      <c r="ID122" t="e">
        <f>AND(Bills!I454,"AAAAAGzM6+0=")</f>
        <v>#VALUE!</v>
      </c>
      <c r="IE122" t="e">
        <f>AND(Bills!J454,"AAAAAGzM6+4=")</f>
        <v>#VALUE!</v>
      </c>
      <c r="IF122" t="e">
        <f>AND(Bills!K454,"AAAAAGzM6+8=")</f>
        <v>#VALUE!</v>
      </c>
      <c r="IG122" t="e">
        <f>AND(Bills!L454,"AAAAAGzM6/A=")</f>
        <v>#VALUE!</v>
      </c>
      <c r="IH122" t="e">
        <f>AND(Bills!#REF!,"AAAAAGzM6/E=")</f>
        <v>#REF!</v>
      </c>
      <c r="II122" t="e">
        <f>AND(Bills!M454,"AAAAAGzM6/I=")</f>
        <v>#VALUE!</v>
      </c>
      <c r="IJ122" t="e">
        <f>AND(Bills!N454,"AAAAAGzM6/M=")</f>
        <v>#VALUE!</v>
      </c>
      <c r="IK122" t="e">
        <f>AND(Bills!O454,"AAAAAGzM6/Q=")</f>
        <v>#VALUE!</v>
      </c>
      <c r="IL122" t="e">
        <f>AND(Bills!P454,"AAAAAGzM6/U=")</f>
        <v>#VALUE!</v>
      </c>
      <c r="IM122" t="e">
        <f>AND(Bills!Q454,"AAAAAGzM6/Y=")</f>
        <v>#VALUE!</v>
      </c>
      <c r="IN122" t="e">
        <f>AND(Bills!R454,"AAAAAGzM6/c=")</f>
        <v>#VALUE!</v>
      </c>
      <c r="IO122" t="e">
        <f>AND(Bills!S454,"AAAAAGzM6/g=")</f>
        <v>#VALUE!</v>
      </c>
      <c r="IP122" t="e">
        <f>AND(Bills!T454,"AAAAAGzM6/k=")</f>
        <v>#VALUE!</v>
      </c>
      <c r="IQ122" t="e">
        <f>AND(Bills!#REF!,"AAAAAGzM6/o=")</f>
        <v>#REF!</v>
      </c>
      <c r="IR122" t="e">
        <f>AND(Bills!U454,"AAAAAGzM6/s=")</f>
        <v>#VALUE!</v>
      </c>
      <c r="IS122" t="e">
        <f>AND(Bills!V454,"AAAAAGzM6/w=")</f>
        <v>#VALUE!</v>
      </c>
      <c r="IT122" t="e">
        <f>AND(Bills!W454,"AAAAAGzM6/0=")</f>
        <v>#VALUE!</v>
      </c>
      <c r="IU122" t="e">
        <f>AND(Bills!#REF!,"AAAAAGzM6/4=")</f>
        <v>#REF!</v>
      </c>
      <c r="IV122" t="e">
        <f>AND(Bills!#REF!,"AAAAAGzM6/8=")</f>
        <v>#REF!</v>
      </c>
    </row>
    <row r="123" spans="1:256" x14ac:dyDescent="0.25">
      <c r="A123" t="e">
        <f>AND(Bills!Y454,"AAAAAD/9/QA=")</f>
        <v>#VALUE!</v>
      </c>
      <c r="B123" t="e">
        <f>AND(Bills!Z454,"AAAAAD/9/QE=")</f>
        <v>#VALUE!</v>
      </c>
      <c r="C123" t="e">
        <f>AND(Bills!#REF!,"AAAAAD/9/QI=")</f>
        <v>#REF!</v>
      </c>
      <c r="D123" t="e">
        <f>AND(Bills!#REF!,"AAAAAD/9/QM=")</f>
        <v>#REF!</v>
      </c>
      <c r="E123" t="e">
        <f>AND(Bills!#REF!,"AAAAAD/9/QQ=")</f>
        <v>#REF!</v>
      </c>
      <c r="F123" t="e">
        <f>AND(Bills!#REF!,"AAAAAD/9/QU=")</f>
        <v>#REF!</v>
      </c>
      <c r="G123" t="e">
        <f>AND(Bills!#REF!,"AAAAAD/9/QY=")</f>
        <v>#REF!</v>
      </c>
      <c r="H123" t="e">
        <f>AND(Bills!#REF!,"AAAAAD/9/Qc=")</f>
        <v>#REF!</v>
      </c>
      <c r="I123" t="e">
        <f>AND(Bills!#REF!,"AAAAAD/9/Qg=")</f>
        <v>#REF!</v>
      </c>
      <c r="J123" t="e">
        <f>AND(Bills!#REF!,"AAAAAD/9/Qk=")</f>
        <v>#REF!</v>
      </c>
      <c r="K123" t="e">
        <f>AND(Bills!#REF!,"AAAAAD/9/Qo=")</f>
        <v>#REF!</v>
      </c>
      <c r="L123" t="e">
        <f>AND(Bills!AA454,"AAAAAD/9/Qs=")</f>
        <v>#VALUE!</v>
      </c>
      <c r="M123" t="e">
        <f>AND(Bills!AB454,"AAAAAD/9/Qw=")</f>
        <v>#VALUE!</v>
      </c>
      <c r="N123" t="e">
        <f>AND(Bills!#REF!,"AAAAAD/9/Q0=")</f>
        <v>#REF!</v>
      </c>
      <c r="O123" t="e">
        <f>AND(Bills!#REF!,"AAAAAD/9/Q4=")</f>
        <v>#REF!</v>
      </c>
      <c r="P123" t="e">
        <f>AND(Bills!#REF!,"AAAAAD/9/Q8=")</f>
        <v>#REF!</v>
      </c>
      <c r="Q123" t="e">
        <f>AND(Bills!AC454,"AAAAAD/9/RA=")</f>
        <v>#VALUE!</v>
      </c>
      <c r="R123" t="e">
        <f>AND(Bills!AD454,"AAAAAD/9/RE=")</f>
        <v>#VALUE!</v>
      </c>
      <c r="S123" t="e">
        <f>AND(Bills!AE454,"AAAAAD/9/RI=")</f>
        <v>#VALUE!</v>
      </c>
      <c r="T123">
        <f>IF(Bills!455:455,"AAAAAD/9/RM=",0)</f>
        <v>0</v>
      </c>
      <c r="U123" t="e">
        <f>AND(Bills!B455,"AAAAAD/9/RQ=")</f>
        <v>#VALUE!</v>
      </c>
      <c r="V123" t="e">
        <f>AND(Bills!#REF!,"AAAAAD/9/RU=")</f>
        <v>#REF!</v>
      </c>
      <c r="W123" t="e">
        <f>AND(Bills!C455,"AAAAAD/9/RY=")</f>
        <v>#VALUE!</v>
      </c>
      <c r="X123" t="e">
        <f>AND(Bills!D455,"AAAAAD/9/Rc=")</f>
        <v>#VALUE!</v>
      </c>
      <c r="Y123" t="e">
        <f>AND(Bills!E455,"AAAAAD/9/Rg=")</f>
        <v>#VALUE!</v>
      </c>
      <c r="Z123" t="e">
        <f>AND(Bills!#REF!,"AAAAAD/9/Rk=")</f>
        <v>#REF!</v>
      </c>
      <c r="AA123" t="e">
        <f>AND(Bills!#REF!,"AAAAAD/9/Ro=")</f>
        <v>#REF!</v>
      </c>
      <c r="AB123" t="e">
        <f>AND(Bills!#REF!,"AAAAAD/9/Rs=")</f>
        <v>#REF!</v>
      </c>
      <c r="AC123" t="e">
        <f>AND(Bills!F455,"AAAAAD/9/Rw=")</f>
        <v>#VALUE!</v>
      </c>
      <c r="AD123" t="e">
        <f>AND(Bills!#REF!,"AAAAAD/9/R0=")</f>
        <v>#REF!</v>
      </c>
      <c r="AE123" t="e">
        <f>AND(Bills!G455,"AAAAAD/9/R4=")</f>
        <v>#VALUE!</v>
      </c>
      <c r="AF123" t="e">
        <f>AND(Bills!H455,"AAAAAD/9/R8=")</f>
        <v>#VALUE!</v>
      </c>
      <c r="AG123" t="e">
        <f>AND(Bills!I455,"AAAAAD/9/SA=")</f>
        <v>#VALUE!</v>
      </c>
      <c r="AH123" t="e">
        <f>AND(Bills!J455,"AAAAAD/9/SE=")</f>
        <v>#VALUE!</v>
      </c>
      <c r="AI123" t="e">
        <f>AND(Bills!K455,"AAAAAD/9/SI=")</f>
        <v>#VALUE!</v>
      </c>
      <c r="AJ123" t="e">
        <f>AND(Bills!L455,"AAAAAD/9/SM=")</f>
        <v>#VALUE!</v>
      </c>
      <c r="AK123" t="e">
        <f>AND(Bills!#REF!,"AAAAAD/9/SQ=")</f>
        <v>#REF!</v>
      </c>
      <c r="AL123" t="e">
        <f>AND(Bills!M455,"AAAAAD/9/SU=")</f>
        <v>#VALUE!</v>
      </c>
      <c r="AM123" t="e">
        <f>AND(Bills!N455,"AAAAAD/9/SY=")</f>
        <v>#VALUE!</v>
      </c>
      <c r="AN123" t="e">
        <f>AND(Bills!O455,"AAAAAD/9/Sc=")</f>
        <v>#VALUE!</v>
      </c>
      <c r="AO123" t="e">
        <f>AND(Bills!P455,"AAAAAD/9/Sg=")</f>
        <v>#VALUE!</v>
      </c>
      <c r="AP123" t="e">
        <f>AND(Bills!Q455,"AAAAAD/9/Sk=")</f>
        <v>#VALUE!</v>
      </c>
      <c r="AQ123" t="e">
        <f>AND(Bills!R455,"AAAAAD/9/So=")</f>
        <v>#VALUE!</v>
      </c>
      <c r="AR123" t="e">
        <f>AND(Bills!S455,"AAAAAD/9/Ss=")</f>
        <v>#VALUE!</v>
      </c>
      <c r="AS123" t="e">
        <f>AND(Bills!T455,"AAAAAD/9/Sw=")</f>
        <v>#VALUE!</v>
      </c>
      <c r="AT123" t="e">
        <f>AND(Bills!#REF!,"AAAAAD/9/S0=")</f>
        <v>#REF!</v>
      </c>
      <c r="AU123" t="e">
        <f>AND(Bills!U455,"AAAAAD/9/S4=")</f>
        <v>#VALUE!</v>
      </c>
      <c r="AV123" t="e">
        <f>AND(Bills!V455,"AAAAAD/9/S8=")</f>
        <v>#VALUE!</v>
      </c>
      <c r="AW123" t="e">
        <f>AND(Bills!W455,"AAAAAD/9/TA=")</f>
        <v>#VALUE!</v>
      </c>
      <c r="AX123" t="e">
        <f>AND(Bills!#REF!,"AAAAAD/9/TE=")</f>
        <v>#REF!</v>
      </c>
      <c r="AY123" t="e">
        <f>AND(Bills!#REF!,"AAAAAD/9/TI=")</f>
        <v>#REF!</v>
      </c>
      <c r="AZ123" t="e">
        <f>AND(Bills!Y455,"AAAAAD/9/TM=")</f>
        <v>#VALUE!</v>
      </c>
      <c r="BA123" t="e">
        <f>AND(Bills!Z455,"AAAAAD/9/TQ=")</f>
        <v>#VALUE!</v>
      </c>
      <c r="BB123" t="e">
        <f>AND(Bills!#REF!,"AAAAAD/9/TU=")</f>
        <v>#REF!</v>
      </c>
      <c r="BC123" t="e">
        <f>AND(Bills!#REF!,"AAAAAD/9/TY=")</f>
        <v>#REF!</v>
      </c>
      <c r="BD123" t="e">
        <f>AND(Bills!#REF!,"AAAAAD/9/Tc=")</f>
        <v>#REF!</v>
      </c>
      <c r="BE123" t="e">
        <f>AND(Bills!#REF!,"AAAAAD/9/Tg=")</f>
        <v>#REF!</v>
      </c>
      <c r="BF123" t="e">
        <f>AND(Bills!#REF!,"AAAAAD/9/Tk=")</f>
        <v>#REF!</v>
      </c>
      <c r="BG123" t="e">
        <f>AND(Bills!#REF!,"AAAAAD/9/To=")</f>
        <v>#REF!</v>
      </c>
      <c r="BH123" t="e">
        <f>AND(Bills!#REF!,"AAAAAD/9/Ts=")</f>
        <v>#REF!</v>
      </c>
      <c r="BI123" t="e">
        <f>AND(Bills!#REF!,"AAAAAD/9/Tw=")</f>
        <v>#REF!</v>
      </c>
      <c r="BJ123" t="e">
        <f>AND(Bills!#REF!,"AAAAAD/9/T0=")</f>
        <v>#REF!</v>
      </c>
      <c r="BK123" t="e">
        <f>AND(Bills!AA455,"AAAAAD/9/T4=")</f>
        <v>#VALUE!</v>
      </c>
      <c r="BL123" t="e">
        <f>AND(Bills!AB455,"AAAAAD/9/T8=")</f>
        <v>#VALUE!</v>
      </c>
      <c r="BM123" t="e">
        <f>AND(Bills!#REF!,"AAAAAD/9/UA=")</f>
        <v>#REF!</v>
      </c>
      <c r="BN123" t="e">
        <f>AND(Bills!#REF!,"AAAAAD/9/UE=")</f>
        <v>#REF!</v>
      </c>
      <c r="BO123" t="e">
        <f>AND(Bills!#REF!,"AAAAAD/9/UI=")</f>
        <v>#REF!</v>
      </c>
      <c r="BP123" t="e">
        <f>AND(Bills!AC455,"AAAAAD/9/UM=")</f>
        <v>#VALUE!</v>
      </c>
      <c r="BQ123" t="e">
        <f>AND(Bills!AD455,"AAAAAD/9/UQ=")</f>
        <v>#VALUE!</v>
      </c>
      <c r="BR123" t="e">
        <f>AND(Bills!AE455,"AAAAAD/9/UU=")</f>
        <v>#VALUE!</v>
      </c>
      <c r="BS123">
        <f>IF(Bills!456:456,"AAAAAD/9/UY=",0)</f>
        <v>0</v>
      </c>
      <c r="BT123" t="e">
        <f>AND(Bills!B456,"AAAAAD/9/Uc=")</f>
        <v>#VALUE!</v>
      </c>
      <c r="BU123" t="e">
        <f>AND(Bills!#REF!,"AAAAAD/9/Ug=")</f>
        <v>#REF!</v>
      </c>
      <c r="BV123" t="e">
        <f>AND(Bills!C456,"AAAAAD/9/Uk=")</f>
        <v>#VALUE!</v>
      </c>
      <c r="BW123" t="e">
        <f>AND(Bills!D456,"AAAAAD/9/Uo=")</f>
        <v>#VALUE!</v>
      </c>
      <c r="BX123" t="e">
        <f>AND(Bills!E456,"AAAAAD/9/Us=")</f>
        <v>#VALUE!</v>
      </c>
      <c r="BY123" t="e">
        <f>AND(Bills!#REF!,"AAAAAD/9/Uw=")</f>
        <v>#REF!</v>
      </c>
      <c r="BZ123" t="e">
        <f>AND(Bills!#REF!,"AAAAAD/9/U0=")</f>
        <v>#REF!</v>
      </c>
      <c r="CA123" t="e">
        <f>AND(Bills!#REF!,"AAAAAD/9/U4=")</f>
        <v>#REF!</v>
      </c>
      <c r="CB123" t="e">
        <f>AND(Bills!F456,"AAAAAD/9/U8=")</f>
        <v>#VALUE!</v>
      </c>
      <c r="CC123" t="e">
        <f>AND(Bills!#REF!,"AAAAAD/9/VA=")</f>
        <v>#REF!</v>
      </c>
      <c r="CD123" t="e">
        <f>AND(Bills!G456,"AAAAAD/9/VE=")</f>
        <v>#VALUE!</v>
      </c>
      <c r="CE123" t="e">
        <f>AND(Bills!H456,"AAAAAD/9/VI=")</f>
        <v>#VALUE!</v>
      </c>
      <c r="CF123" t="e">
        <f>AND(Bills!I456,"AAAAAD/9/VM=")</f>
        <v>#VALUE!</v>
      </c>
      <c r="CG123" t="e">
        <f>AND(Bills!J456,"AAAAAD/9/VQ=")</f>
        <v>#VALUE!</v>
      </c>
      <c r="CH123" t="e">
        <f>AND(Bills!K456,"AAAAAD/9/VU=")</f>
        <v>#VALUE!</v>
      </c>
      <c r="CI123" t="e">
        <f>AND(Bills!L456,"AAAAAD/9/VY=")</f>
        <v>#VALUE!</v>
      </c>
      <c r="CJ123" t="e">
        <f>AND(Bills!#REF!,"AAAAAD/9/Vc=")</f>
        <v>#REF!</v>
      </c>
      <c r="CK123" t="e">
        <f>AND(Bills!M456,"AAAAAD/9/Vg=")</f>
        <v>#VALUE!</v>
      </c>
      <c r="CL123" t="e">
        <f>AND(Bills!N456,"AAAAAD/9/Vk=")</f>
        <v>#VALUE!</v>
      </c>
      <c r="CM123" t="e">
        <f>AND(Bills!O456,"AAAAAD/9/Vo=")</f>
        <v>#VALUE!</v>
      </c>
      <c r="CN123" t="e">
        <f>AND(Bills!P456,"AAAAAD/9/Vs=")</f>
        <v>#VALUE!</v>
      </c>
      <c r="CO123" t="e">
        <f>AND(Bills!Q456,"AAAAAD/9/Vw=")</f>
        <v>#VALUE!</v>
      </c>
      <c r="CP123" t="e">
        <f>AND(Bills!R456,"AAAAAD/9/V0=")</f>
        <v>#VALUE!</v>
      </c>
      <c r="CQ123" t="e">
        <f>AND(Bills!S456,"AAAAAD/9/V4=")</f>
        <v>#VALUE!</v>
      </c>
      <c r="CR123" t="e">
        <f>AND(Bills!T456,"AAAAAD/9/V8=")</f>
        <v>#VALUE!</v>
      </c>
      <c r="CS123" t="e">
        <f>AND(Bills!#REF!,"AAAAAD/9/WA=")</f>
        <v>#REF!</v>
      </c>
      <c r="CT123" t="e">
        <f>AND(Bills!U456,"AAAAAD/9/WE=")</f>
        <v>#VALUE!</v>
      </c>
      <c r="CU123" t="e">
        <f>AND(Bills!V456,"AAAAAD/9/WI=")</f>
        <v>#VALUE!</v>
      </c>
      <c r="CV123" t="e">
        <f>AND(Bills!W456,"AAAAAD/9/WM=")</f>
        <v>#VALUE!</v>
      </c>
      <c r="CW123" t="e">
        <f>AND(Bills!#REF!,"AAAAAD/9/WQ=")</f>
        <v>#REF!</v>
      </c>
      <c r="CX123" t="e">
        <f>AND(Bills!#REF!,"AAAAAD/9/WU=")</f>
        <v>#REF!</v>
      </c>
      <c r="CY123" t="e">
        <f>AND(Bills!Y456,"AAAAAD/9/WY=")</f>
        <v>#VALUE!</v>
      </c>
      <c r="CZ123" t="e">
        <f>AND(Bills!Z456,"AAAAAD/9/Wc=")</f>
        <v>#VALUE!</v>
      </c>
      <c r="DA123" t="e">
        <f>AND(Bills!#REF!,"AAAAAD/9/Wg=")</f>
        <v>#REF!</v>
      </c>
      <c r="DB123" t="e">
        <f>AND(Bills!#REF!,"AAAAAD/9/Wk=")</f>
        <v>#REF!</v>
      </c>
      <c r="DC123" t="e">
        <f>AND(Bills!#REF!,"AAAAAD/9/Wo=")</f>
        <v>#REF!</v>
      </c>
      <c r="DD123" t="e">
        <f>AND(Bills!#REF!,"AAAAAD/9/Ws=")</f>
        <v>#REF!</v>
      </c>
      <c r="DE123" t="e">
        <f>AND(Bills!#REF!,"AAAAAD/9/Ww=")</f>
        <v>#REF!</v>
      </c>
      <c r="DF123" t="e">
        <f>AND(Bills!#REF!,"AAAAAD/9/W0=")</f>
        <v>#REF!</v>
      </c>
      <c r="DG123" t="e">
        <f>AND(Bills!#REF!,"AAAAAD/9/W4=")</f>
        <v>#REF!</v>
      </c>
      <c r="DH123" t="e">
        <f>AND(Bills!#REF!,"AAAAAD/9/W8=")</f>
        <v>#REF!</v>
      </c>
      <c r="DI123" t="e">
        <f>AND(Bills!#REF!,"AAAAAD/9/XA=")</f>
        <v>#REF!</v>
      </c>
      <c r="DJ123" t="e">
        <f>AND(Bills!AA456,"AAAAAD/9/XE=")</f>
        <v>#VALUE!</v>
      </c>
      <c r="DK123" t="e">
        <f>AND(Bills!AB456,"AAAAAD/9/XI=")</f>
        <v>#VALUE!</v>
      </c>
      <c r="DL123" t="e">
        <f>AND(Bills!#REF!,"AAAAAD/9/XM=")</f>
        <v>#REF!</v>
      </c>
      <c r="DM123" t="e">
        <f>AND(Bills!#REF!,"AAAAAD/9/XQ=")</f>
        <v>#REF!</v>
      </c>
      <c r="DN123" t="e">
        <f>AND(Bills!#REF!,"AAAAAD/9/XU=")</f>
        <v>#REF!</v>
      </c>
      <c r="DO123" t="e">
        <f>AND(Bills!AC456,"AAAAAD/9/XY=")</f>
        <v>#VALUE!</v>
      </c>
      <c r="DP123" t="e">
        <f>AND(Bills!AD456,"AAAAAD/9/Xc=")</f>
        <v>#VALUE!</v>
      </c>
      <c r="DQ123" t="e">
        <f>AND(Bills!AE456,"AAAAAD/9/Xg=")</f>
        <v>#VALUE!</v>
      </c>
      <c r="DR123">
        <f>IF(Bills!457:457,"AAAAAD/9/Xk=",0)</f>
        <v>0</v>
      </c>
      <c r="DS123" t="e">
        <f>AND(Bills!B457,"AAAAAD/9/Xo=")</f>
        <v>#VALUE!</v>
      </c>
      <c r="DT123" t="e">
        <f>AND(Bills!#REF!,"AAAAAD/9/Xs=")</f>
        <v>#REF!</v>
      </c>
      <c r="DU123" t="e">
        <f>AND(Bills!C457,"AAAAAD/9/Xw=")</f>
        <v>#VALUE!</v>
      </c>
      <c r="DV123" t="e">
        <f>AND(Bills!D457,"AAAAAD/9/X0=")</f>
        <v>#VALUE!</v>
      </c>
      <c r="DW123" t="e">
        <f>AND(Bills!E457,"AAAAAD/9/X4=")</f>
        <v>#VALUE!</v>
      </c>
      <c r="DX123" t="e">
        <f>AND(Bills!#REF!,"AAAAAD/9/X8=")</f>
        <v>#REF!</v>
      </c>
      <c r="DY123" t="e">
        <f>AND(Bills!#REF!,"AAAAAD/9/YA=")</f>
        <v>#REF!</v>
      </c>
      <c r="DZ123" t="e">
        <f>AND(Bills!#REF!,"AAAAAD/9/YE=")</f>
        <v>#REF!</v>
      </c>
      <c r="EA123" t="e">
        <f>AND(Bills!F457,"AAAAAD/9/YI=")</f>
        <v>#VALUE!</v>
      </c>
      <c r="EB123" t="e">
        <f>AND(Bills!#REF!,"AAAAAD/9/YM=")</f>
        <v>#REF!</v>
      </c>
      <c r="EC123" t="e">
        <f>AND(Bills!G457,"AAAAAD/9/YQ=")</f>
        <v>#VALUE!</v>
      </c>
      <c r="ED123" t="e">
        <f>AND(Bills!H457,"AAAAAD/9/YU=")</f>
        <v>#VALUE!</v>
      </c>
      <c r="EE123" t="e">
        <f>AND(Bills!I457,"AAAAAD/9/YY=")</f>
        <v>#VALUE!</v>
      </c>
      <c r="EF123" t="e">
        <f>AND(Bills!J457,"AAAAAD/9/Yc=")</f>
        <v>#VALUE!</v>
      </c>
      <c r="EG123" t="e">
        <f>AND(Bills!K457,"AAAAAD/9/Yg=")</f>
        <v>#VALUE!</v>
      </c>
      <c r="EH123" t="e">
        <f>AND(Bills!L457,"AAAAAD/9/Yk=")</f>
        <v>#VALUE!</v>
      </c>
      <c r="EI123" t="e">
        <f>AND(Bills!#REF!,"AAAAAD/9/Yo=")</f>
        <v>#REF!</v>
      </c>
      <c r="EJ123" t="e">
        <f>AND(Bills!M457,"AAAAAD/9/Ys=")</f>
        <v>#VALUE!</v>
      </c>
      <c r="EK123" t="e">
        <f>AND(Bills!N457,"AAAAAD/9/Yw=")</f>
        <v>#VALUE!</v>
      </c>
      <c r="EL123" t="e">
        <f>AND(Bills!O457,"AAAAAD/9/Y0=")</f>
        <v>#VALUE!</v>
      </c>
      <c r="EM123" t="e">
        <f>AND(Bills!P457,"AAAAAD/9/Y4=")</f>
        <v>#VALUE!</v>
      </c>
      <c r="EN123" t="e">
        <f>AND(Bills!Q457,"AAAAAD/9/Y8=")</f>
        <v>#VALUE!</v>
      </c>
      <c r="EO123" t="e">
        <f>AND(Bills!R457,"AAAAAD/9/ZA=")</f>
        <v>#VALUE!</v>
      </c>
      <c r="EP123" t="e">
        <f>AND(Bills!S457,"AAAAAD/9/ZE=")</f>
        <v>#VALUE!</v>
      </c>
      <c r="EQ123" t="e">
        <f>AND(Bills!T457,"AAAAAD/9/ZI=")</f>
        <v>#VALUE!</v>
      </c>
      <c r="ER123" t="e">
        <f>AND(Bills!#REF!,"AAAAAD/9/ZM=")</f>
        <v>#REF!</v>
      </c>
      <c r="ES123" t="e">
        <f>AND(Bills!U457,"AAAAAD/9/ZQ=")</f>
        <v>#VALUE!</v>
      </c>
      <c r="ET123" t="e">
        <f>AND(Bills!V457,"AAAAAD/9/ZU=")</f>
        <v>#VALUE!</v>
      </c>
      <c r="EU123" t="e">
        <f>AND(Bills!W457,"AAAAAD/9/ZY=")</f>
        <v>#VALUE!</v>
      </c>
      <c r="EV123" t="e">
        <f>AND(Bills!#REF!,"AAAAAD/9/Zc=")</f>
        <v>#REF!</v>
      </c>
      <c r="EW123" t="e">
        <f>AND(Bills!#REF!,"AAAAAD/9/Zg=")</f>
        <v>#REF!</v>
      </c>
      <c r="EX123" t="e">
        <f>AND(Bills!Y457,"AAAAAD/9/Zk=")</f>
        <v>#VALUE!</v>
      </c>
      <c r="EY123" t="e">
        <f>AND(Bills!Z457,"AAAAAD/9/Zo=")</f>
        <v>#VALUE!</v>
      </c>
      <c r="EZ123" t="e">
        <f>AND(Bills!#REF!,"AAAAAD/9/Zs=")</f>
        <v>#REF!</v>
      </c>
      <c r="FA123" t="e">
        <f>AND(Bills!#REF!,"AAAAAD/9/Zw=")</f>
        <v>#REF!</v>
      </c>
      <c r="FB123" t="e">
        <f>AND(Bills!#REF!,"AAAAAD/9/Z0=")</f>
        <v>#REF!</v>
      </c>
      <c r="FC123" t="e">
        <f>AND(Bills!#REF!,"AAAAAD/9/Z4=")</f>
        <v>#REF!</v>
      </c>
      <c r="FD123" t="e">
        <f>AND(Bills!#REF!,"AAAAAD/9/Z8=")</f>
        <v>#REF!</v>
      </c>
      <c r="FE123" t="e">
        <f>AND(Bills!#REF!,"AAAAAD/9/aA=")</f>
        <v>#REF!</v>
      </c>
      <c r="FF123" t="e">
        <f>AND(Bills!#REF!,"AAAAAD/9/aE=")</f>
        <v>#REF!</v>
      </c>
      <c r="FG123" t="e">
        <f>AND(Bills!#REF!,"AAAAAD/9/aI=")</f>
        <v>#REF!</v>
      </c>
      <c r="FH123" t="e">
        <f>AND(Bills!#REF!,"AAAAAD/9/aM=")</f>
        <v>#REF!</v>
      </c>
      <c r="FI123" t="e">
        <f>AND(Bills!AA457,"AAAAAD/9/aQ=")</f>
        <v>#VALUE!</v>
      </c>
      <c r="FJ123" t="e">
        <f>AND(Bills!AB457,"AAAAAD/9/aU=")</f>
        <v>#VALUE!</v>
      </c>
      <c r="FK123" t="e">
        <f>AND(Bills!#REF!,"AAAAAD/9/aY=")</f>
        <v>#REF!</v>
      </c>
      <c r="FL123" t="e">
        <f>AND(Bills!#REF!,"AAAAAD/9/ac=")</f>
        <v>#REF!</v>
      </c>
      <c r="FM123" t="e">
        <f>AND(Bills!#REF!,"AAAAAD/9/ag=")</f>
        <v>#REF!</v>
      </c>
      <c r="FN123" t="e">
        <f>AND(Bills!AC457,"AAAAAD/9/ak=")</f>
        <v>#VALUE!</v>
      </c>
      <c r="FO123" t="e">
        <f>AND(Bills!AD457,"AAAAAD/9/ao=")</f>
        <v>#VALUE!</v>
      </c>
      <c r="FP123" t="e">
        <f>AND(Bills!AE457,"AAAAAD/9/as=")</f>
        <v>#VALUE!</v>
      </c>
      <c r="FQ123">
        <f>IF(Bills!458:458,"AAAAAD/9/aw=",0)</f>
        <v>0</v>
      </c>
      <c r="FR123" t="e">
        <f>AND(Bills!B458,"AAAAAD/9/a0=")</f>
        <v>#VALUE!</v>
      </c>
      <c r="FS123" t="e">
        <f>AND(Bills!#REF!,"AAAAAD/9/a4=")</f>
        <v>#REF!</v>
      </c>
      <c r="FT123" t="e">
        <f>AND(Bills!C458,"AAAAAD/9/a8=")</f>
        <v>#VALUE!</v>
      </c>
      <c r="FU123" t="e">
        <f>AND(Bills!D458,"AAAAAD/9/bA=")</f>
        <v>#VALUE!</v>
      </c>
      <c r="FV123" t="e">
        <f>AND(Bills!E458,"AAAAAD/9/bE=")</f>
        <v>#VALUE!</v>
      </c>
      <c r="FW123" t="e">
        <f>AND(Bills!#REF!,"AAAAAD/9/bI=")</f>
        <v>#REF!</v>
      </c>
      <c r="FX123" t="e">
        <f>AND(Bills!#REF!,"AAAAAD/9/bM=")</f>
        <v>#REF!</v>
      </c>
      <c r="FY123" t="e">
        <f>AND(Bills!#REF!,"AAAAAD/9/bQ=")</f>
        <v>#REF!</v>
      </c>
      <c r="FZ123" t="e">
        <f>AND(Bills!F458,"AAAAAD/9/bU=")</f>
        <v>#VALUE!</v>
      </c>
      <c r="GA123" t="e">
        <f>AND(Bills!#REF!,"AAAAAD/9/bY=")</f>
        <v>#REF!</v>
      </c>
      <c r="GB123" t="e">
        <f>AND(Bills!G458,"AAAAAD/9/bc=")</f>
        <v>#VALUE!</v>
      </c>
      <c r="GC123" t="e">
        <f>AND(Bills!H458,"AAAAAD/9/bg=")</f>
        <v>#VALUE!</v>
      </c>
      <c r="GD123" t="e">
        <f>AND(Bills!I458,"AAAAAD/9/bk=")</f>
        <v>#VALUE!</v>
      </c>
      <c r="GE123" t="e">
        <f>AND(Bills!J458,"AAAAAD/9/bo=")</f>
        <v>#VALUE!</v>
      </c>
      <c r="GF123" t="e">
        <f>AND(Bills!K458,"AAAAAD/9/bs=")</f>
        <v>#VALUE!</v>
      </c>
      <c r="GG123" t="e">
        <f>AND(Bills!L458,"AAAAAD/9/bw=")</f>
        <v>#VALUE!</v>
      </c>
      <c r="GH123" t="e">
        <f>AND(Bills!#REF!,"AAAAAD/9/b0=")</f>
        <v>#REF!</v>
      </c>
      <c r="GI123" t="e">
        <f>AND(Bills!M458,"AAAAAD/9/b4=")</f>
        <v>#VALUE!</v>
      </c>
      <c r="GJ123" t="e">
        <f>AND(Bills!N458,"AAAAAD/9/b8=")</f>
        <v>#VALUE!</v>
      </c>
      <c r="GK123" t="e">
        <f>AND(Bills!O458,"AAAAAD/9/cA=")</f>
        <v>#VALUE!</v>
      </c>
      <c r="GL123" t="e">
        <f>AND(Bills!P458,"AAAAAD/9/cE=")</f>
        <v>#VALUE!</v>
      </c>
      <c r="GM123" t="e">
        <f>AND(Bills!Q458,"AAAAAD/9/cI=")</f>
        <v>#VALUE!</v>
      </c>
      <c r="GN123" t="e">
        <f>AND(Bills!R458,"AAAAAD/9/cM=")</f>
        <v>#VALUE!</v>
      </c>
      <c r="GO123" t="e">
        <f>AND(Bills!S458,"AAAAAD/9/cQ=")</f>
        <v>#VALUE!</v>
      </c>
      <c r="GP123" t="e">
        <f>AND(Bills!T458,"AAAAAD/9/cU=")</f>
        <v>#VALUE!</v>
      </c>
      <c r="GQ123" t="e">
        <f>AND(Bills!#REF!,"AAAAAD/9/cY=")</f>
        <v>#REF!</v>
      </c>
      <c r="GR123" t="e">
        <f>AND(Bills!U458,"AAAAAD/9/cc=")</f>
        <v>#VALUE!</v>
      </c>
      <c r="GS123" t="e">
        <f>AND(Bills!V458,"AAAAAD/9/cg=")</f>
        <v>#VALUE!</v>
      </c>
      <c r="GT123" t="e">
        <f>AND(Bills!W458,"AAAAAD/9/ck=")</f>
        <v>#VALUE!</v>
      </c>
      <c r="GU123" t="e">
        <f>AND(Bills!#REF!,"AAAAAD/9/co=")</f>
        <v>#REF!</v>
      </c>
      <c r="GV123" t="e">
        <f>AND(Bills!#REF!,"AAAAAD/9/cs=")</f>
        <v>#REF!</v>
      </c>
      <c r="GW123" t="e">
        <f>AND(Bills!Y458,"AAAAAD/9/cw=")</f>
        <v>#VALUE!</v>
      </c>
      <c r="GX123" t="e">
        <f>AND(Bills!Z458,"AAAAAD/9/c0=")</f>
        <v>#VALUE!</v>
      </c>
      <c r="GY123" t="e">
        <f>AND(Bills!#REF!,"AAAAAD/9/c4=")</f>
        <v>#REF!</v>
      </c>
      <c r="GZ123" t="e">
        <f>AND(Bills!#REF!,"AAAAAD/9/c8=")</f>
        <v>#REF!</v>
      </c>
      <c r="HA123" t="e">
        <f>AND(Bills!#REF!,"AAAAAD/9/dA=")</f>
        <v>#REF!</v>
      </c>
      <c r="HB123" t="e">
        <f>AND(Bills!#REF!,"AAAAAD/9/dE=")</f>
        <v>#REF!</v>
      </c>
      <c r="HC123" t="e">
        <f>AND(Bills!#REF!,"AAAAAD/9/dI=")</f>
        <v>#REF!</v>
      </c>
      <c r="HD123" t="e">
        <f>AND(Bills!#REF!,"AAAAAD/9/dM=")</f>
        <v>#REF!</v>
      </c>
      <c r="HE123" t="e">
        <f>AND(Bills!#REF!,"AAAAAD/9/dQ=")</f>
        <v>#REF!</v>
      </c>
      <c r="HF123" t="e">
        <f>AND(Bills!#REF!,"AAAAAD/9/dU=")</f>
        <v>#REF!</v>
      </c>
      <c r="HG123" t="e">
        <f>AND(Bills!#REF!,"AAAAAD/9/dY=")</f>
        <v>#REF!</v>
      </c>
      <c r="HH123" t="e">
        <f>AND(Bills!AA458,"AAAAAD/9/dc=")</f>
        <v>#VALUE!</v>
      </c>
      <c r="HI123" t="e">
        <f>AND(Bills!AB458,"AAAAAD/9/dg=")</f>
        <v>#VALUE!</v>
      </c>
      <c r="HJ123" t="e">
        <f>AND(Bills!#REF!,"AAAAAD/9/dk=")</f>
        <v>#REF!</v>
      </c>
      <c r="HK123" t="e">
        <f>AND(Bills!#REF!,"AAAAAD/9/do=")</f>
        <v>#REF!</v>
      </c>
      <c r="HL123" t="e">
        <f>AND(Bills!#REF!,"AAAAAD/9/ds=")</f>
        <v>#REF!</v>
      </c>
      <c r="HM123" t="e">
        <f>AND(Bills!AC458,"AAAAAD/9/dw=")</f>
        <v>#VALUE!</v>
      </c>
      <c r="HN123" t="e">
        <f>AND(Bills!AD458,"AAAAAD/9/d0=")</f>
        <v>#VALUE!</v>
      </c>
      <c r="HO123" t="e">
        <f>AND(Bills!AE458,"AAAAAD/9/d4=")</f>
        <v>#VALUE!</v>
      </c>
      <c r="HP123">
        <f>IF(Bills!459:459,"AAAAAD/9/d8=",0)</f>
        <v>0</v>
      </c>
      <c r="HQ123" t="e">
        <f>AND(Bills!B459,"AAAAAD/9/eA=")</f>
        <v>#VALUE!</v>
      </c>
      <c r="HR123" t="e">
        <f>AND(Bills!#REF!,"AAAAAD/9/eE=")</f>
        <v>#REF!</v>
      </c>
      <c r="HS123" t="e">
        <f>AND(Bills!C459,"AAAAAD/9/eI=")</f>
        <v>#VALUE!</v>
      </c>
      <c r="HT123" t="e">
        <f>AND(Bills!D459,"AAAAAD/9/eM=")</f>
        <v>#VALUE!</v>
      </c>
      <c r="HU123" t="e">
        <f>AND(Bills!E459,"AAAAAD/9/eQ=")</f>
        <v>#VALUE!</v>
      </c>
      <c r="HV123" t="e">
        <f>AND(Bills!#REF!,"AAAAAD/9/eU=")</f>
        <v>#REF!</v>
      </c>
      <c r="HW123" t="e">
        <f>AND(Bills!#REF!,"AAAAAD/9/eY=")</f>
        <v>#REF!</v>
      </c>
      <c r="HX123" t="e">
        <f>AND(Bills!#REF!,"AAAAAD/9/ec=")</f>
        <v>#REF!</v>
      </c>
      <c r="HY123" t="e">
        <f>AND(Bills!F459,"AAAAAD/9/eg=")</f>
        <v>#VALUE!</v>
      </c>
      <c r="HZ123" t="e">
        <f>AND(Bills!#REF!,"AAAAAD/9/ek=")</f>
        <v>#REF!</v>
      </c>
      <c r="IA123" t="e">
        <f>AND(Bills!G459,"AAAAAD/9/eo=")</f>
        <v>#VALUE!</v>
      </c>
      <c r="IB123" t="e">
        <f>AND(Bills!H459,"AAAAAD/9/es=")</f>
        <v>#VALUE!</v>
      </c>
      <c r="IC123" t="e">
        <f>AND(Bills!I459,"AAAAAD/9/ew=")</f>
        <v>#VALUE!</v>
      </c>
      <c r="ID123" t="e">
        <f>AND(Bills!J459,"AAAAAD/9/e0=")</f>
        <v>#VALUE!</v>
      </c>
      <c r="IE123" t="e">
        <f>AND(Bills!K459,"AAAAAD/9/e4=")</f>
        <v>#VALUE!</v>
      </c>
      <c r="IF123" t="e">
        <f>AND(Bills!L459,"AAAAAD/9/e8=")</f>
        <v>#VALUE!</v>
      </c>
      <c r="IG123" t="e">
        <f>AND(Bills!#REF!,"AAAAAD/9/fA=")</f>
        <v>#REF!</v>
      </c>
      <c r="IH123" t="e">
        <f>AND(Bills!M459,"AAAAAD/9/fE=")</f>
        <v>#VALUE!</v>
      </c>
      <c r="II123" t="e">
        <f>AND(Bills!N459,"AAAAAD/9/fI=")</f>
        <v>#VALUE!</v>
      </c>
      <c r="IJ123" t="e">
        <f>AND(Bills!O459,"AAAAAD/9/fM=")</f>
        <v>#VALUE!</v>
      </c>
      <c r="IK123" t="e">
        <f>AND(Bills!P459,"AAAAAD/9/fQ=")</f>
        <v>#VALUE!</v>
      </c>
      <c r="IL123" t="e">
        <f>AND(Bills!Q459,"AAAAAD/9/fU=")</f>
        <v>#VALUE!</v>
      </c>
      <c r="IM123" t="e">
        <f>AND(Bills!R459,"AAAAAD/9/fY=")</f>
        <v>#VALUE!</v>
      </c>
      <c r="IN123" t="e">
        <f>AND(Bills!S459,"AAAAAD/9/fc=")</f>
        <v>#VALUE!</v>
      </c>
      <c r="IO123" t="e">
        <f>AND(Bills!T459,"AAAAAD/9/fg=")</f>
        <v>#VALUE!</v>
      </c>
      <c r="IP123" t="e">
        <f>AND(Bills!#REF!,"AAAAAD/9/fk=")</f>
        <v>#REF!</v>
      </c>
      <c r="IQ123" t="e">
        <f>AND(Bills!U459,"AAAAAD/9/fo=")</f>
        <v>#VALUE!</v>
      </c>
      <c r="IR123" t="e">
        <f>AND(Bills!V459,"AAAAAD/9/fs=")</f>
        <v>#VALUE!</v>
      </c>
      <c r="IS123" t="e">
        <f>AND(Bills!W459,"AAAAAD/9/fw=")</f>
        <v>#VALUE!</v>
      </c>
      <c r="IT123" t="e">
        <f>AND(Bills!#REF!,"AAAAAD/9/f0=")</f>
        <v>#REF!</v>
      </c>
      <c r="IU123" t="e">
        <f>AND(Bills!#REF!,"AAAAAD/9/f4=")</f>
        <v>#REF!</v>
      </c>
      <c r="IV123" t="e">
        <f>AND(Bills!Y459,"AAAAAD/9/f8=")</f>
        <v>#VALUE!</v>
      </c>
    </row>
    <row r="124" spans="1:256" x14ac:dyDescent="0.25">
      <c r="A124" t="e">
        <f>AND(Bills!Z459,"AAAAAG/9fgA=")</f>
        <v>#VALUE!</v>
      </c>
      <c r="B124" t="e">
        <f>AND(Bills!#REF!,"AAAAAG/9fgE=")</f>
        <v>#REF!</v>
      </c>
      <c r="C124" t="e">
        <f>AND(Bills!#REF!,"AAAAAG/9fgI=")</f>
        <v>#REF!</v>
      </c>
      <c r="D124" t="e">
        <f>AND(Bills!#REF!,"AAAAAG/9fgM=")</f>
        <v>#REF!</v>
      </c>
      <c r="E124" t="e">
        <f>AND(Bills!#REF!,"AAAAAG/9fgQ=")</f>
        <v>#REF!</v>
      </c>
      <c r="F124" t="e">
        <f>AND(Bills!#REF!,"AAAAAG/9fgU=")</f>
        <v>#REF!</v>
      </c>
      <c r="G124" t="e">
        <f>AND(Bills!#REF!,"AAAAAG/9fgY=")</f>
        <v>#REF!</v>
      </c>
      <c r="H124" t="e">
        <f>AND(Bills!#REF!,"AAAAAG/9fgc=")</f>
        <v>#REF!</v>
      </c>
      <c r="I124" t="e">
        <f>AND(Bills!#REF!,"AAAAAG/9fgg=")</f>
        <v>#REF!</v>
      </c>
      <c r="J124" t="e">
        <f>AND(Bills!#REF!,"AAAAAG/9fgk=")</f>
        <v>#REF!</v>
      </c>
      <c r="K124" t="e">
        <f>AND(Bills!AA459,"AAAAAG/9fgo=")</f>
        <v>#VALUE!</v>
      </c>
      <c r="L124" t="e">
        <f>AND(Bills!AB459,"AAAAAG/9fgs=")</f>
        <v>#VALUE!</v>
      </c>
      <c r="M124" t="e">
        <f>AND(Bills!#REF!,"AAAAAG/9fgw=")</f>
        <v>#REF!</v>
      </c>
      <c r="N124" t="e">
        <f>AND(Bills!#REF!,"AAAAAG/9fg0=")</f>
        <v>#REF!</v>
      </c>
      <c r="O124" t="e">
        <f>AND(Bills!#REF!,"AAAAAG/9fg4=")</f>
        <v>#REF!</v>
      </c>
      <c r="P124" t="e">
        <f>AND(Bills!AC459,"AAAAAG/9fg8=")</f>
        <v>#VALUE!</v>
      </c>
      <c r="Q124" t="e">
        <f>AND(Bills!AD459,"AAAAAG/9fhA=")</f>
        <v>#VALUE!</v>
      </c>
      <c r="R124" t="e">
        <f>AND(Bills!AE459,"AAAAAG/9fhE=")</f>
        <v>#VALUE!</v>
      </c>
      <c r="S124">
        <f>IF(Bills!460:460,"AAAAAG/9fhI=",0)</f>
        <v>0</v>
      </c>
      <c r="T124" t="e">
        <f>AND(Bills!B460,"AAAAAG/9fhM=")</f>
        <v>#VALUE!</v>
      </c>
      <c r="U124" t="e">
        <f>AND(Bills!#REF!,"AAAAAG/9fhQ=")</f>
        <v>#REF!</v>
      </c>
      <c r="V124" t="e">
        <f>AND(Bills!C460,"AAAAAG/9fhU=")</f>
        <v>#VALUE!</v>
      </c>
      <c r="W124" t="e">
        <f>AND(Bills!D460,"AAAAAG/9fhY=")</f>
        <v>#VALUE!</v>
      </c>
      <c r="X124" t="e">
        <f>AND(Bills!E460,"AAAAAG/9fhc=")</f>
        <v>#VALUE!</v>
      </c>
      <c r="Y124" t="e">
        <f>AND(Bills!#REF!,"AAAAAG/9fhg=")</f>
        <v>#REF!</v>
      </c>
      <c r="Z124" t="e">
        <f>AND(Bills!#REF!,"AAAAAG/9fhk=")</f>
        <v>#REF!</v>
      </c>
      <c r="AA124" t="e">
        <f>AND(Bills!#REF!,"AAAAAG/9fho=")</f>
        <v>#REF!</v>
      </c>
      <c r="AB124" t="e">
        <f>AND(Bills!F460,"AAAAAG/9fhs=")</f>
        <v>#VALUE!</v>
      </c>
      <c r="AC124" t="e">
        <f>AND(Bills!#REF!,"AAAAAG/9fhw=")</f>
        <v>#REF!</v>
      </c>
      <c r="AD124" t="e">
        <f>AND(Bills!G460,"AAAAAG/9fh0=")</f>
        <v>#VALUE!</v>
      </c>
      <c r="AE124" t="e">
        <f>AND(Bills!H460,"AAAAAG/9fh4=")</f>
        <v>#VALUE!</v>
      </c>
      <c r="AF124" t="e">
        <f>AND(Bills!I460,"AAAAAG/9fh8=")</f>
        <v>#VALUE!</v>
      </c>
      <c r="AG124" t="e">
        <f>AND(Bills!J460,"AAAAAG/9fiA=")</f>
        <v>#VALUE!</v>
      </c>
      <c r="AH124" t="e">
        <f>AND(Bills!K460,"AAAAAG/9fiE=")</f>
        <v>#VALUE!</v>
      </c>
      <c r="AI124" t="e">
        <f>AND(Bills!L460,"AAAAAG/9fiI=")</f>
        <v>#VALUE!</v>
      </c>
      <c r="AJ124" t="e">
        <f>AND(Bills!#REF!,"AAAAAG/9fiM=")</f>
        <v>#REF!</v>
      </c>
      <c r="AK124" t="e">
        <f>AND(Bills!M460,"AAAAAG/9fiQ=")</f>
        <v>#VALUE!</v>
      </c>
      <c r="AL124" t="e">
        <f>AND(Bills!N460,"AAAAAG/9fiU=")</f>
        <v>#VALUE!</v>
      </c>
      <c r="AM124" t="e">
        <f>AND(Bills!O460,"AAAAAG/9fiY=")</f>
        <v>#VALUE!</v>
      </c>
      <c r="AN124" t="e">
        <f>AND(Bills!P460,"AAAAAG/9fic=")</f>
        <v>#VALUE!</v>
      </c>
      <c r="AO124" t="e">
        <f>AND(Bills!Q460,"AAAAAG/9fig=")</f>
        <v>#VALUE!</v>
      </c>
      <c r="AP124" t="e">
        <f>AND(Bills!R460,"AAAAAG/9fik=")</f>
        <v>#VALUE!</v>
      </c>
      <c r="AQ124" t="e">
        <f>AND(Bills!S460,"AAAAAG/9fio=")</f>
        <v>#VALUE!</v>
      </c>
      <c r="AR124" t="e">
        <f>AND(Bills!T460,"AAAAAG/9fis=")</f>
        <v>#VALUE!</v>
      </c>
      <c r="AS124" t="e">
        <f>AND(Bills!#REF!,"AAAAAG/9fiw=")</f>
        <v>#REF!</v>
      </c>
      <c r="AT124" t="e">
        <f>AND(Bills!U460,"AAAAAG/9fi0=")</f>
        <v>#VALUE!</v>
      </c>
      <c r="AU124" t="e">
        <f>AND(Bills!V460,"AAAAAG/9fi4=")</f>
        <v>#VALUE!</v>
      </c>
      <c r="AV124" t="e">
        <f>AND(Bills!W460,"AAAAAG/9fi8=")</f>
        <v>#VALUE!</v>
      </c>
      <c r="AW124" t="e">
        <f>AND(Bills!#REF!,"AAAAAG/9fjA=")</f>
        <v>#REF!</v>
      </c>
      <c r="AX124" t="e">
        <f>AND(Bills!#REF!,"AAAAAG/9fjE=")</f>
        <v>#REF!</v>
      </c>
      <c r="AY124" t="e">
        <f>AND(Bills!Y460,"AAAAAG/9fjI=")</f>
        <v>#VALUE!</v>
      </c>
      <c r="AZ124" t="e">
        <f>AND(Bills!Z460,"AAAAAG/9fjM=")</f>
        <v>#VALUE!</v>
      </c>
      <c r="BA124" t="e">
        <f>AND(Bills!#REF!,"AAAAAG/9fjQ=")</f>
        <v>#REF!</v>
      </c>
      <c r="BB124" t="e">
        <f>AND(Bills!#REF!,"AAAAAG/9fjU=")</f>
        <v>#REF!</v>
      </c>
      <c r="BC124" t="e">
        <f>AND(Bills!#REF!,"AAAAAG/9fjY=")</f>
        <v>#REF!</v>
      </c>
      <c r="BD124" t="e">
        <f>AND(Bills!#REF!,"AAAAAG/9fjc=")</f>
        <v>#REF!</v>
      </c>
      <c r="BE124" t="e">
        <f>AND(Bills!#REF!,"AAAAAG/9fjg=")</f>
        <v>#REF!</v>
      </c>
      <c r="BF124" t="e">
        <f>AND(Bills!#REF!,"AAAAAG/9fjk=")</f>
        <v>#REF!</v>
      </c>
      <c r="BG124" t="e">
        <f>AND(Bills!#REF!,"AAAAAG/9fjo=")</f>
        <v>#REF!</v>
      </c>
      <c r="BH124" t="e">
        <f>AND(Bills!#REF!,"AAAAAG/9fjs=")</f>
        <v>#REF!</v>
      </c>
      <c r="BI124" t="e">
        <f>AND(Bills!#REF!,"AAAAAG/9fjw=")</f>
        <v>#REF!</v>
      </c>
      <c r="BJ124" t="e">
        <f>AND(Bills!AA460,"AAAAAG/9fj0=")</f>
        <v>#VALUE!</v>
      </c>
      <c r="BK124" t="e">
        <f>AND(Bills!AB460,"AAAAAG/9fj4=")</f>
        <v>#VALUE!</v>
      </c>
      <c r="BL124" t="e">
        <f>AND(Bills!#REF!,"AAAAAG/9fj8=")</f>
        <v>#REF!</v>
      </c>
      <c r="BM124" t="e">
        <f>AND(Bills!#REF!,"AAAAAG/9fkA=")</f>
        <v>#REF!</v>
      </c>
      <c r="BN124" t="e">
        <f>AND(Bills!#REF!,"AAAAAG/9fkE=")</f>
        <v>#REF!</v>
      </c>
      <c r="BO124" t="e">
        <f>AND(Bills!AC460,"AAAAAG/9fkI=")</f>
        <v>#VALUE!</v>
      </c>
      <c r="BP124" t="e">
        <f>AND(Bills!AD460,"AAAAAG/9fkM=")</f>
        <v>#VALUE!</v>
      </c>
      <c r="BQ124" t="e">
        <f>AND(Bills!AE460,"AAAAAG/9fkQ=")</f>
        <v>#VALUE!</v>
      </c>
      <c r="BR124">
        <f>IF(Bills!461:461,"AAAAAG/9fkU=",0)</f>
        <v>0</v>
      </c>
      <c r="BS124" t="e">
        <f>AND(Bills!B461,"AAAAAG/9fkY=")</f>
        <v>#VALUE!</v>
      </c>
      <c r="BT124" t="e">
        <f>AND(Bills!#REF!,"AAAAAG/9fkc=")</f>
        <v>#REF!</v>
      </c>
      <c r="BU124" t="e">
        <f>AND(Bills!C461,"AAAAAG/9fkg=")</f>
        <v>#VALUE!</v>
      </c>
      <c r="BV124" t="e">
        <f>AND(Bills!D461,"AAAAAG/9fkk=")</f>
        <v>#VALUE!</v>
      </c>
      <c r="BW124" t="e">
        <f>AND(Bills!E461,"AAAAAG/9fko=")</f>
        <v>#VALUE!</v>
      </c>
      <c r="BX124" t="e">
        <f>AND(Bills!#REF!,"AAAAAG/9fks=")</f>
        <v>#REF!</v>
      </c>
      <c r="BY124" t="e">
        <f>AND(Bills!#REF!,"AAAAAG/9fkw=")</f>
        <v>#REF!</v>
      </c>
      <c r="BZ124" t="e">
        <f>AND(Bills!#REF!,"AAAAAG/9fk0=")</f>
        <v>#REF!</v>
      </c>
      <c r="CA124" t="e">
        <f>AND(Bills!F461,"AAAAAG/9fk4=")</f>
        <v>#VALUE!</v>
      </c>
      <c r="CB124" t="e">
        <f>AND(Bills!#REF!,"AAAAAG/9fk8=")</f>
        <v>#REF!</v>
      </c>
      <c r="CC124" t="e">
        <f>AND(Bills!G461,"AAAAAG/9flA=")</f>
        <v>#VALUE!</v>
      </c>
      <c r="CD124" t="e">
        <f>AND(Bills!H461,"AAAAAG/9flE=")</f>
        <v>#VALUE!</v>
      </c>
      <c r="CE124" t="e">
        <f>AND(Bills!I461,"AAAAAG/9flI=")</f>
        <v>#VALUE!</v>
      </c>
      <c r="CF124" t="e">
        <f>AND(Bills!J461,"AAAAAG/9flM=")</f>
        <v>#VALUE!</v>
      </c>
      <c r="CG124" t="e">
        <f>AND(Bills!K461,"AAAAAG/9flQ=")</f>
        <v>#VALUE!</v>
      </c>
      <c r="CH124" t="e">
        <f>AND(Bills!L461,"AAAAAG/9flU=")</f>
        <v>#VALUE!</v>
      </c>
      <c r="CI124" t="e">
        <f>AND(Bills!#REF!,"AAAAAG/9flY=")</f>
        <v>#REF!</v>
      </c>
      <c r="CJ124" t="e">
        <f>AND(Bills!M461,"AAAAAG/9flc=")</f>
        <v>#VALUE!</v>
      </c>
      <c r="CK124" t="e">
        <f>AND(Bills!N461,"AAAAAG/9flg=")</f>
        <v>#VALUE!</v>
      </c>
      <c r="CL124" t="e">
        <f>AND(Bills!O461,"AAAAAG/9flk=")</f>
        <v>#VALUE!</v>
      </c>
      <c r="CM124" t="e">
        <f>AND(Bills!P461,"AAAAAG/9flo=")</f>
        <v>#VALUE!</v>
      </c>
      <c r="CN124" t="e">
        <f>AND(Bills!Q461,"AAAAAG/9fls=")</f>
        <v>#VALUE!</v>
      </c>
      <c r="CO124" t="e">
        <f>AND(Bills!R461,"AAAAAG/9flw=")</f>
        <v>#VALUE!</v>
      </c>
      <c r="CP124" t="e">
        <f>AND(Bills!S461,"AAAAAG/9fl0=")</f>
        <v>#VALUE!</v>
      </c>
      <c r="CQ124" t="e">
        <f>AND(Bills!T461,"AAAAAG/9fl4=")</f>
        <v>#VALUE!</v>
      </c>
      <c r="CR124" t="e">
        <f>AND(Bills!#REF!,"AAAAAG/9fl8=")</f>
        <v>#REF!</v>
      </c>
      <c r="CS124" t="e">
        <f>AND(Bills!U461,"AAAAAG/9fmA=")</f>
        <v>#VALUE!</v>
      </c>
      <c r="CT124" t="e">
        <f>AND(Bills!V461,"AAAAAG/9fmE=")</f>
        <v>#VALUE!</v>
      </c>
      <c r="CU124" t="e">
        <f>AND(Bills!W461,"AAAAAG/9fmI=")</f>
        <v>#VALUE!</v>
      </c>
      <c r="CV124" t="e">
        <f>AND(Bills!#REF!,"AAAAAG/9fmM=")</f>
        <v>#REF!</v>
      </c>
      <c r="CW124" t="e">
        <f>AND(Bills!#REF!,"AAAAAG/9fmQ=")</f>
        <v>#REF!</v>
      </c>
      <c r="CX124" t="e">
        <f>AND(Bills!Y461,"AAAAAG/9fmU=")</f>
        <v>#VALUE!</v>
      </c>
      <c r="CY124" t="e">
        <f>AND(Bills!Z461,"AAAAAG/9fmY=")</f>
        <v>#VALUE!</v>
      </c>
      <c r="CZ124" t="e">
        <f>AND(Bills!#REF!,"AAAAAG/9fmc=")</f>
        <v>#REF!</v>
      </c>
      <c r="DA124" t="e">
        <f>AND(Bills!#REF!,"AAAAAG/9fmg=")</f>
        <v>#REF!</v>
      </c>
      <c r="DB124" t="e">
        <f>AND(Bills!#REF!,"AAAAAG/9fmk=")</f>
        <v>#REF!</v>
      </c>
      <c r="DC124" t="e">
        <f>AND(Bills!#REF!,"AAAAAG/9fmo=")</f>
        <v>#REF!</v>
      </c>
      <c r="DD124" t="e">
        <f>AND(Bills!#REF!,"AAAAAG/9fms=")</f>
        <v>#REF!</v>
      </c>
      <c r="DE124" t="e">
        <f>AND(Bills!#REF!,"AAAAAG/9fmw=")</f>
        <v>#REF!</v>
      </c>
      <c r="DF124" t="e">
        <f>AND(Bills!#REF!,"AAAAAG/9fm0=")</f>
        <v>#REF!</v>
      </c>
      <c r="DG124" t="e">
        <f>AND(Bills!#REF!,"AAAAAG/9fm4=")</f>
        <v>#REF!</v>
      </c>
      <c r="DH124" t="e">
        <f>AND(Bills!#REF!,"AAAAAG/9fm8=")</f>
        <v>#REF!</v>
      </c>
      <c r="DI124" t="e">
        <f>AND(Bills!AA461,"AAAAAG/9fnA=")</f>
        <v>#VALUE!</v>
      </c>
      <c r="DJ124" t="e">
        <f>AND(Bills!AB461,"AAAAAG/9fnE=")</f>
        <v>#VALUE!</v>
      </c>
      <c r="DK124" t="e">
        <f>AND(Bills!#REF!,"AAAAAG/9fnI=")</f>
        <v>#REF!</v>
      </c>
      <c r="DL124" t="e">
        <f>AND(Bills!#REF!,"AAAAAG/9fnM=")</f>
        <v>#REF!</v>
      </c>
      <c r="DM124" t="e">
        <f>AND(Bills!#REF!,"AAAAAG/9fnQ=")</f>
        <v>#REF!</v>
      </c>
      <c r="DN124" t="e">
        <f>AND(Bills!AC461,"AAAAAG/9fnU=")</f>
        <v>#VALUE!</v>
      </c>
      <c r="DO124" t="e">
        <f>AND(Bills!AD461,"AAAAAG/9fnY=")</f>
        <v>#VALUE!</v>
      </c>
      <c r="DP124" t="e">
        <f>AND(Bills!AE461,"AAAAAG/9fnc=")</f>
        <v>#VALUE!</v>
      </c>
      <c r="DQ124">
        <f>IF(Bills!462:462,"AAAAAG/9fng=",0)</f>
        <v>0</v>
      </c>
      <c r="DR124" t="e">
        <f>AND(Bills!B462,"AAAAAG/9fnk=")</f>
        <v>#VALUE!</v>
      </c>
      <c r="DS124" t="e">
        <f>AND(Bills!#REF!,"AAAAAG/9fno=")</f>
        <v>#REF!</v>
      </c>
      <c r="DT124" t="e">
        <f>AND(Bills!C462,"AAAAAG/9fns=")</f>
        <v>#VALUE!</v>
      </c>
      <c r="DU124" t="e">
        <f>AND(Bills!D462,"AAAAAG/9fnw=")</f>
        <v>#VALUE!</v>
      </c>
      <c r="DV124" t="e">
        <f>AND(Bills!E462,"AAAAAG/9fn0=")</f>
        <v>#VALUE!</v>
      </c>
      <c r="DW124" t="e">
        <f>AND(Bills!#REF!,"AAAAAG/9fn4=")</f>
        <v>#REF!</v>
      </c>
      <c r="DX124" t="e">
        <f>AND(Bills!#REF!,"AAAAAG/9fn8=")</f>
        <v>#REF!</v>
      </c>
      <c r="DY124" t="e">
        <f>AND(Bills!#REF!,"AAAAAG/9foA=")</f>
        <v>#REF!</v>
      </c>
      <c r="DZ124" t="e">
        <f>AND(Bills!F462,"AAAAAG/9foE=")</f>
        <v>#VALUE!</v>
      </c>
      <c r="EA124" t="e">
        <f>AND(Bills!#REF!,"AAAAAG/9foI=")</f>
        <v>#REF!</v>
      </c>
      <c r="EB124" t="e">
        <f>AND(Bills!G462,"AAAAAG/9foM=")</f>
        <v>#VALUE!</v>
      </c>
      <c r="EC124" t="e">
        <f>AND(Bills!H462,"AAAAAG/9foQ=")</f>
        <v>#VALUE!</v>
      </c>
      <c r="ED124" t="e">
        <f>AND(Bills!I462,"AAAAAG/9foU=")</f>
        <v>#VALUE!</v>
      </c>
      <c r="EE124" t="e">
        <f>AND(Bills!J462,"AAAAAG/9foY=")</f>
        <v>#VALUE!</v>
      </c>
      <c r="EF124" t="e">
        <f>AND(Bills!K462,"AAAAAG/9foc=")</f>
        <v>#VALUE!</v>
      </c>
      <c r="EG124" t="e">
        <f>AND(Bills!L462,"AAAAAG/9fog=")</f>
        <v>#VALUE!</v>
      </c>
      <c r="EH124" t="e">
        <f>AND(Bills!#REF!,"AAAAAG/9fok=")</f>
        <v>#REF!</v>
      </c>
      <c r="EI124" t="e">
        <f>AND(Bills!M462,"AAAAAG/9foo=")</f>
        <v>#VALUE!</v>
      </c>
      <c r="EJ124" t="e">
        <f>AND(Bills!N462,"AAAAAG/9fos=")</f>
        <v>#VALUE!</v>
      </c>
      <c r="EK124" t="e">
        <f>AND(Bills!O462,"AAAAAG/9fow=")</f>
        <v>#VALUE!</v>
      </c>
      <c r="EL124" t="e">
        <f>AND(Bills!P462,"AAAAAG/9fo0=")</f>
        <v>#VALUE!</v>
      </c>
      <c r="EM124" t="e">
        <f>AND(Bills!Q462,"AAAAAG/9fo4=")</f>
        <v>#VALUE!</v>
      </c>
      <c r="EN124" t="e">
        <f>AND(Bills!R462,"AAAAAG/9fo8=")</f>
        <v>#VALUE!</v>
      </c>
      <c r="EO124" t="e">
        <f>AND(Bills!S462,"AAAAAG/9fpA=")</f>
        <v>#VALUE!</v>
      </c>
      <c r="EP124" t="e">
        <f>AND(Bills!T462,"AAAAAG/9fpE=")</f>
        <v>#VALUE!</v>
      </c>
      <c r="EQ124" t="e">
        <f>AND(Bills!#REF!,"AAAAAG/9fpI=")</f>
        <v>#REF!</v>
      </c>
      <c r="ER124" t="e">
        <f>AND(Bills!U462,"AAAAAG/9fpM=")</f>
        <v>#VALUE!</v>
      </c>
      <c r="ES124" t="e">
        <f>AND(Bills!V462,"AAAAAG/9fpQ=")</f>
        <v>#VALUE!</v>
      </c>
      <c r="ET124" t="e">
        <f>AND(Bills!W462,"AAAAAG/9fpU=")</f>
        <v>#VALUE!</v>
      </c>
      <c r="EU124" t="e">
        <f>AND(Bills!#REF!,"AAAAAG/9fpY=")</f>
        <v>#REF!</v>
      </c>
      <c r="EV124" t="e">
        <f>AND(Bills!#REF!,"AAAAAG/9fpc=")</f>
        <v>#REF!</v>
      </c>
      <c r="EW124" t="e">
        <f>AND(Bills!Y462,"AAAAAG/9fpg=")</f>
        <v>#VALUE!</v>
      </c>
      <c r="EX124" t="e">
        <f>AND(Bills!Z462,"AAAAAG/9fpk=")</f>
        <v>#VALUE!</v>
      </c>
      <c r="EY124" t="e">
        <f>AND(Bills!#REF!,"AAAAAG/9fpo=")</f>
        <v>#REF!</v>
      </c>
      <c r="EZ124" t="e">
        <f>AND(Bills!#REF!,"AAAAAG/9fps=")</f>
        <v>#REF!</v>
      </c>
      <c r="FA124" t="e">
        <f>AND(Bills!#REF!,"AAAAAG/9fpw=")</f>
        <v>#REF!</v>
      </c>
      <c r="FB124" t="e">
        <f>AND(Bills!#REF!,"AAAAAG/9fp0=")</f>
        <v>#REF!</v>
      </c>
      <c r="FC124" t="e">
        <f>AND(Bills!#REF!,"AAAAAG/9fp4=")</f>
        <v>#REF!</v>
      </c>
      <c r="FD124" t="e">
        <f>AND(Bills!#REF!,"AAAAAG/9fp8=")</f>
        <v>#REF!</v>
      </c>
      <c r="FE124" t="e">
        <f>AND(Bills!#REF!,"AAAAAG/9fqA=")</f>
        <v>#REF!</v>
      </c>
      <c r="FF124" t="e">
        <f>AND(Bills!#REF!,"AAAAAG/9fqE=")</f>
        <v>#REF!</v>
      </c>
      <c r="FG124" t="e">
        <f>AND(Bills!#REF!,"AAAAAG/9fqI=")</f>
        <v>#REF!</v>
      </c>
      <c r="FH124" t="e">
        <f>AND(Bills!AA462,"AAAAAG/9fqM=")</f>
        <v>#VALUE!</v>
      </c>
      <c r="FI124" t="e">
        <f>AND(Bills!AB462,"AAAAAG/9fqQ=")</f>
        <v>#VALUE!</v>
      </c>
      <c r="FJ124" t="e">
        <f>AND(Bills!#REF!,"AAAAAG/9fqU=")</f>
        <v>#REF!</v>
      </c>
      <c r="FK124" t="e">
        <f>AND(Bills!#REF!,"AAAAAG/9fqY=")</f>
        <v>#REF!</v>
      </c>
      <c r="FL124" t="e">
        <f>AND(Bills!#REF!,"AAAAAG/9fqc=")</f>
        <v>#REF!</v>
      </c>
      <c r="FM124" t="e">
        <f>AND(Bills!AC462,"AAAAAG/9fqg=")</f>
        <v>#VALUE!</v>
      </c>
      <c r="FN124" t="e">
        <f>AND(Bills!AD462,"AAAAAG/9fqk=")</f>
        <v>#VALUE!</v>
      </c>
      <c r="FO124" t="e">
        <f>AND(Bills!AE462,"AAAAAG/9fqo=")</f>
        <v>#VALUE!</v>
      </c>
      <c r="FP124">
        <f>IF(Bills!463:463,"AAAAAG/9fqs=",0)</f>
        <v>0</v>
      </c>
      <c r="FQ124" t="e">
        <f>AND(Bills!B463,"AAAAAG/9fqw=")</f>
        <v>#VALUE!</v>
      </c>
      <c r="FR124" t="e">
        <f>AND(Bills!#REF!,"AAAAAG/9fq0=")</f>
        <v>#REF!</v>
      </c>
      <c r="FS124" t="e">
        <f>AND(Bills!C463,"AAAAAG/9fq4=")</f>
        <v>#VALUE!</v>
      </c>
      <c r="FT124" t="e">
        <f>AND(Bills!D463,"AAAAAG/9fq8=")</f>
        <v>#VALUE!</v>
      </c>
      <c r="FU124" t="e">
        <f>AND(Bills!E463,"AAAAAG/9frA=")</f>
        <v>#VALUE!</v>
      </c>
      <c r="FV124" t="e">
        <f>AND(Bills!#REF!,"AAAAAG/9frE=")</f>
        <v>#REF!</v>
      </c>
      <c r="FW124" t="e">
        <f>AND(Bills!#REF!,"AAAAAG/9frI=")</f>
        <v>#REF!</v>
      </c>
      <c r="FX124" t="e">
        <f>AND(Bills!#REF!,"AAAAAG/9frM=")</f>
        <v>#REF!</v>
      </c>
      <c r="FY124" t="e">
        <f>AND(Bills!F463,"AAAAAG/9frQ=")</f>
        <v>#VALUE!</v>
      </c>
      <c r="FZ124" t="e">
        <f>AND(Bills!#REF!,"AAAAAG/9frU=")</f>
        <v>#REF!</v>
      </c>
      <c r="GA124" t="e">
        <f>AND(Bills!G463,"AAAAAG/9frY=")</f>
        <v>#VALUE!</v>
      </c>
      <c r="GB124" t="e">
        <f>AND(Bills!H463,"AAAAAG/9frc=")</f>
        <v>#VALUE!</v>
      </c>
      <c r="GC124" t="e">
        <f>AND(Bills!I463,"AAAAAG/9frg=")</f>
        <v>#VALUE!</v>
      </c>
      <c r="GD124" t="e">
        <f>AND(Bills!J463,"AAAAAG/9frk=")</f>
        <v>#VALUE!</v>
      </c>
      <c r="GE124" t="e">
        <f>AND(Bills!K463,"AAAAAG/9fro=")</f>
        <v>#VALUE!</v>
      </c>
      <c r="GF124" t="e">
        <f>AND(Bills!L463,"AAAAAG/9frs=")</f>
        <v>#VALUE!</v>
      </c>
      <c r="GG124" t="e">
        <f>AND(Bills!#REF!,"AAAAAG/9frw=")</f>
        <v>#REF!</v>
      </c>
      <c r="GH124" t="e">
        <f>AND(Bills!M463,"AAAAAG/9fr0=")</f>
        <v>#VALUE!</v>
      </c>
      <c r="GI124" t="e">
        <f>AND(Bills!N463,"AAAAAG/9fr4=")</f>
        <v>#VALUE!</v>
      </c>
      <c r="GJ124" t="e">
        <f>AND(Bills!O463,"AAAAAG/9fr8=")</f>
        <v>#VALUE!</v>
      </c>
      <c r="GK124" t="e">
        <f>AND(Bills!P463,"AAAAAG/9fsA=")</f>
        <v>#VALUE!</v>
      </c>
      <c r="GL124" t="e">
        <f>AND(Bills!Q463,"AAAAAG/9fsE=")</f>
        <v>#VALUE!</v>
      </c>
      <c r="GM124" t="e">
        <f>AND(Bills!R463,"AAAAAG/9fsI=")</f>
        <v>#VALUE!</v>
      </c>
      <c r="GN124" t="e">
        <f>AND(Bills!S463,"AAAAAG/9fsM=")</f>
        <v>#VALUE!</v>
      </c>
      <c r="GO124" t="e">
        <f>AND(Bills!T463,"AAAAAG/9fsQ=")</f>
        <v>#VALUE!</v>
      </c>
      <c r="GP124" t="e">
        <f>AND(Bills!#REF!,"AAAAAG/9fsU=")</f>
        <v>#REF!</v>
      </c>
      <c r="GQ124" t="e">
        <f>AND(Bills!U463,"AAAAAG/9fsY=")</f>
        <v>#VALUE!</v>
      </c>
      <c r="GR124" t="e">
        <f>AND(Bills!V463,"AAAAAG/9fsc=")</f>
        <v>#VALUE!</v>
      </c>
      <c r="GS124" t="e">
        <f>AND(Bills!W463,"AAAAAG/9fsg=")</f>
        <v>#VALUE!</v>
      </c>
      <c r="GT124" t="e">
        <f>AND(Bills!#REF!,"AAAAAG/9fsk=")</f>
        <v>#REF!</v>
      </c>
      <c r="GU124" t="e">
        <f>AND(Bills!#REF!,"AAAAAG/9fso=")</f>
        <v>#REF!</v>
      </c>
      <c r="GV124" t="e">
        <f>AND(Bills!Y463,"AAAAAG/9fss=")</f>
        <v>#VALUE!</v>
      </c>
      <c r="GW124" t="e">
        <f>AND(Bills!Z463,"AAAAAG/9fsw=")</f>
        <v>#VALUE!</v>
      </c>
      <c r="GX124" t="e">
        <f>AND(Bills!#REF!,"AAAAAG/9fs0=")</f>
        <v>#REF!</v>
      </c>
      <c r="GY124" t="e">
        <f>AND(Bills!#REF!,"AAAAAG/9fs4=")</f>
        <v>#REF!</v>
      </c>
      <c r="GZ124" t="e">
        <f>AND(Bills!#REF!,"AAAAAG/9fs8=")</f>
        <v>#REF!</v>
      </c>
      <c r="HA124" t="e">
        <f>AND(Bills!#REF!,"AAAAAG/9ftA=")</f>
        <v>#REF!</v>
      </c>
      <c r="HB124" t="e">
        <f>AND(Bills!#REF!,"AAAAAG/9ftE=")</f>
        <v>#REF!</v>
      </c>
      <c r="HC124" t="e">
        <f>AND(Bills!#REF!,"AAAAAG/9ftI=")</f>
        <v>#REF!</v>
      </c>
      <c r="HD124" t="e">
        <f>AND(Bills!#REF!,"AAAAAG/9ftM=")</f>
        <v>#REF!</v>
      </c>
      <c r="HE124" t="e">
        <f>AND(Bills!#REF!,"AAAAAG/9ftQ=")</f>
        <v>#REF!</v>
      </c>
      <c r="HF124" t="e">
        <f>AND(Bills!#REF!,"AAAAAG/9ftU=")</f>
        <v>#REF!</v>
      </c>
      <c r="HG124" t="e">
        <f>AND(Bills!AA463,"AAAAAG/9ftY=")</f>
        <v>#VALUE!</v>
      </c>
      <c r="HH124" t="e">
        <f>AND(Bills!AB463,"AAAAAG/9ftc=")</f>
        <v>#VALUE!</v>
      </c>
      <c r="HI124" t="e">
        <f>AND(Bills!#REF!,"AAAAAG/9ftg=")</f>
        <v>#REF!</v>
      </c>
      <c r="HJ124" t="e">
        <f>AND(Bills!#REF!,"AAAAAG/9ftk=")</f>
        <v>#REF!</v>
      </c>
      <c r="HK124" t="e">
        <f>AND(Bills!#REF!,"AAAAAG/9fto=")</f>
        <v>#REF!</v>
      </c>
      <c r="HL124" t="e">
        <f>AND(Bills!AC463,"AAAAAG/9fts=")</f>
        <v>#VALUE!</v>
      </c>
      <c r="HM124" t="e">
        <f>AND(Bills!AD463,"AAAAAG/9ftw=")</f>
        <v>#VALUE!</v>
      </c>
      <c r="HN124" t="e">
        <f>AND(Bills!AE463,"AAAAAG/9ft0=")</f>
        <v>#VALUE!</v>
      </c>
      <c r="HO124">
        <f>IF(Bills!464:464,"AAAAAG/9ft4=",0)</f>
        <v>0</v>
      </c>
      <c r="HP124" t="e">
        <f>AND(Bills!B464,"AAAAAG/9ft8=")</f>
        <v>#VALUE!</v>
      </c>
      <c r="HQ124" t="e">
        <f>AND(Bills!#REF!,"AAAAAG/9fuA=")</f>
        <v>#REF!</v>
      </c>
      <c r="HR124" t="e">
        <f>AND(Bills!C464,"AAAAAG/9fuE=")</f>
        <v>#VALUE!</v>
      </c>
      <c r="HS124" t="e">
        <f>AND(Bills!D464,"AAAAAG/9fuI=")</f>
        <v>#VALUE!</v>
      </c>
      <c r="HT124" t="e">
        <f>AND(Bills!E464,"AAAAAG/9fuM=")</f>
        <v>#VALUE!</v>
      </c>
      <c r="HU124" t="e">
        <f>AND(Bills!#REF!,"AAAAAG/9fuQ=")</f>
        <v>#REF!</v>
      </c>
      <c r="HV124" t="e">
        <f>AND(Bills!#REF!,"AAAAAG/9fuU=")</f>
        <v>#REF!</v>
      </c>
      <c r="HW124" t="e">
        <f>AND(Bills!#REF!,"AAAAAG/9fuY=")</f>
        <v>#REF!</v>
      </c>
      <c r="HX124" t="e">
        <f>AND(Bills!F464,"AAAAAG/9fuc=")</f>
        <v>#VALUE!</v>
      </c>
      <c r="HY124" t="e">
        <f>AND(Bills!#REF!,"AAAAAG/9fug=")</f>
        <v>#REF!</v>
      </c>
      <c r="HZ124" t="e">
        <f>AND(Bills!G464,"AAAAAG/9fuk=")</f>
        <v>#VALUE!</v>
      </c>
      <c r="IA124" t="e">
        <f>AND(Bills!H464,"AAAAAG/9fuo=")</f>
        <v>#VALUE!</v>
      </c>
      <c r="IB124" t="e">
        <f>AND(Bills!I464,"AAAAAG/9fus=")</f>
        <v>#VALUE!</v>
      </c>
      <c r="IC124" t="e">
        <f>AND(Bills!J464,"AAAAAG/9fuw=")</f>
        <v>#VALUE!</v>
      </c>
      <c r="ID124" t="e">
        <f>AND(Bills!K464,"AAAAAG/9fu0=")</f>
        <v>#VALUE!</v>
      </c>
      <c r="IE124" t="e">
        <f>AND(Bills!L464,"AAAAAG/9fu4=")</f>
        <v>#VALUE!</v>
      </c>
      <c r="IF124" t="e">
        <f>AND(Bills!#REF!,"AAAAAG/9fu8=")</f>
        <v>#REF!</v>
      </c>
      <c r="IG124" t="e">
        <f>AND(Bills!M464,"AAAAAG/9fvA=")</f>
        <v>#VALUE!</v>
      </c>
      <c r="IH124" t="e">
        <f>AND(Bills!N464,"AAAAAG/9fvE=")</f>
        <v>#VALUE!</v>
      </c>
      <c r="II124" t="e">
        <f>AND(Bills!O464,"AAAAAG/9fvI=")</f>
        <v>#VALUE!</v>
      </c>
      <c r="IJ124" t="e">
        <f>AND(Bills!P464,"AAAAAG/9fvM=")</f>
        <v>#VALUE!</v>
      </c>
      <c r="IK124" t="e">
        <f>AND(Bills!Q464,"AAAAAG/9fvQ=")</f>
        <v>#VALUE!</v>
      </c>
      <c r="IL124" t="e">
        <f>AND(Bills!R464,"AAAAAG/9fvU=")</f>
        <v>#VALUE!</v>
      </c>
      <c r="IM124" t="e">
        <f>AND(Bills!S464,"AAAAAG/9fvY=")</f>
        <v>#VALUE!</v>
      </c>
      <c r="IN124" t="e">
        <f>AND(Bills!T464,"AAAAAG/9fvc=")</f>
        <v>#VALUE!</v>
      </c>
      <c r="IO124" t="e">
        <f>AND(Bills!#REF!,"AAAAAG/9fvg=")</f>
        <v>#REF!</v>
      </c>
      <c r="IP124" t="e">
        <f>AND(Bills!U464,"AAAAAG/9fvk=")</f>
        <v>#VALUE!</v>
      </c>
      <c r="IQ124" t="e">
        <f>AND(Bills!V464,"AAAAAG/9fvo=")</f>
        <v>#VALUE!</v>
      </c>
      <c r="IR124" t="e">
        <f>AND(Bills!W464,"AAAAAG/9fvs=")</f>
        <v>#VALUE!</v>
      </c>
      <c r="IS124" t="e">
        <f>AND(Bills!#REF!,"AAAAAG/9fvw=")</f>
        <v>#REF!</v>
      </c>
      <c r="IT124" t="e">
        <f>AND(Bills!#REF!,"AAAAAG/9fv0=")</f>
        <v>#REF!</v>
      </c>
      <c r="IU124" t="e">
        <f>AND(Bills!Y464,"AAAAAG/9fv4=")</f>
        <v>#VALUE!</v>
      </c>
      <c r="IV124" t="e">
        <f>AND(Bills!Z464,"AAAAAG/9fv8=")</f>
        <v>#VALUE!</v>
      </c>
    </row>
    <row r="125" spans="1:256" x14ac:dyDescent="0.25">
      <c r="A125" t="e">
        <f>AND(Bills!#REF!,"AAAAAG1v4wA=")</f>
        <v>#REF!</v>
      </c>
      <c r="B125" t="e">
        <f>AND(Bills!#REF!,"AAAAAG1v4wE=")</f>
        <v>#REF!</v>
      </c>
      <c r="C125" t="e">
        <f>AND(Bills!#REF!,"AAAAAG1v4wI=")</f>
        <v>#REF!</v>
      </c>
      <c r="D125" t="e">
        <f>AND(Bills!#REF!,"AAAAAG1v4wM=")</f>
        <v>#REF!</v>
      </c>
      <c r="E125" t="e">
        <f>AND(Bills!#REF!,"AAAAAG1v4wQ=")</f>
        <v>#REF!</v>
      </c>
      <c r="F125" t="e">
        <f>AND(Bills!#REF!,"AAAAAG1v4wU=")</f>
        <v>#REF!</v>
      </c>
      <c r="G125" t="e">
        <f>AND(Bills!#REF!,"AAAAAG1v4wY=")</f>
        <v>#REF!</v>
      </c>
      <c r="H125" t="e">
        <f>AND(Bills!#REF!,"AAAAAG1v4wc=")</f>
        <v>#REF!</v>
      </c>
      <c r="I125" t="e">
        <f>AND(Bills!#REF!,"AAAAAG1v4wg=")</f>
        <v>#REF!</v>
      </c>
      <c r="J125" t="e">
        <f>AND(Bills!AA464,"AAAAAG1v4wk=")</f>
        <v>#VALUE!</v>
      </c>
      <c r="K125" t="e">
        <f>AND(Bills!AB464,"AAAAAG1v4wo=")</f>
        <v>#VALUE!</v>
      </c>
      <c r="L125" t="e">
        <f>AND(Bills!#REF!,"AAAAAG1v4ws=")</f>
        <v>#REF!</v>
      </c>
      <c r="M125" t="e">
        <f>AND(Bills!#REF!,"AAAAAG1v4ww=")</f>
        <v>#REF!</v>
      </c>
      <c r="N125" t="e">
        <f>AND(Bills!#REF!,"AAAAAG1v4w0=")</f>
        <v>#REF!</v>
      </c>
      <c r="O125" t="e">
        <f>AND(Bills!AC464,"AAAAAG1v4w4=")</f>
        <v>#VALUE!</v>
      </c>
      <c r="P125" t="e">
        <f>AND(Bills!AD464,"AAAAAG1v4w8=")</f>
        <v>#VALUE!</v>
      </c>
      <c r="Q125" t="e">
        <f>AND(Bills!AE464,"AAAAAG1v4xA=")</f>
        <v>#VALUE!</v>
      </c>
      <c r="R125">
        <f>IF(Bills!465:465,"AAAAAG1v4xE=",0)</f>
        <v>0</v>
      </c>
      <c r="S125" t="e">
        <f>AND(Bills!B465,"AAAAAG1v4xI=")</f>
        <v>#VALUE!</v>
      </c>
      <c r="T125" t="e">
        <f>AND(Bills!#REF!,"AAAAAG1v4xM=")</f>
        <v>#REF!</v>
      </c>
      <c r="U125" t="e">
        <f>AND(Bills!C465,"AAAAAG1v4xQ=")</f>
        <v>#VALUE!</v>
      </c>
      <c r="V125" t="e">
        <f>AND(Bills!D465,"AAAAAG1v4xU=")</f>
        <v>#VALUE!</v>
      </c>
      <c r="W125" t="e">
        <f>AND(Bills!E465,"AAAAAG1v4xY=")</f>
        <v>#VALUE!</v>
      </c>
      <c r="X125" t="e">
        <f>AND(Bills!#REF!,"AAAAAG1v4xc=")</f>
        <v>#REF!</v>
      </c>
      <c r="Y125" t="e">
        <f>AND(Bills!#REF!,"AAAAAG1v4xg=")</f>
        <v>#REF!</v>
      </c>
      <c r="Z125" t="e">
        <f>AND(Bills!#REF!,"AAAAAG1v4xk=")</f>
        <v>#REF!</v>
      </c>
      <c r="AA125" t="e">
        <f>AND(Bills!F465,"AAAAAG1v4xo=")</f>
        <v>#VALUE!</v>
      </c>
      <c r="AB125" t="e">
        <f>AND(Bills!#REF!,"AAAAAG1v4xs=")</f>
        <v>#REF!</v>
      </c>
      <c r="AC125" t="e">
        <f>AND(Bills!G465,"AAAAAG1v4xw=")</f>
        <v>#VALUE!</v>
      </c>
      <c r="AD125" t="e">
        <f>AND(Bills!H465,"AAAAAG1v4x0=")</f>
        <v>#VALUE!</v>
      </c>
      <c r="AE125" t="e">
        <f>AND(Bills!I465,"AAAAAG1v4x4=")</f>
        <v>#VALUE!</v>
      </c>
      <c r="AF125" t="e">
        <f>AND(Bills!J465,"AAAAAG1v4x8=")</f>
        <v>#VALUE!</v>
      </c>
      <c r="AG125" t="e">
        <f>AND(Bills!K465,"AAAAAG1v4yA=")</f>
        <v>#VALUE!</v>
      </c>
      <c r="AH125" t="e">
        <f>AND(Bills!L465,"AAAAAG1v4yE=")</f>
        <v>#VALUE!</v>
      </c>
      <c r="AI125" t="e">
        <f>AND(Bills!#REF!,"AAAAAG1v4yI=")</f>
        <v>#REF!</v>
      </c>
      <c r="AJ125" t="e">
        <f>AND(Bills!M465,"AAAAAG1v4yM=")</f>
        <v>#VALUE!</v>
      </c>
      <c r="AK125" t="e">
        <f>AND(Bills!N465,"AAAAAG1v4yQ=")</f>
        <v>#VALUE!</v>
      </c>
      <c r="AL125" t="e">
        <f>AND(Bills!O465,"AAAAAG1v4yU=")</f>
        <v>#VALUE!</v>
      </c>
      <c r="AM125" t="e">
        <f>AND(Bills!P465,"AAAAAG1v4yY=")</f>
        <v>#VALUE!</v>
      </c>
      <c r="AN125" t="e">
        <f>AND(Bills!Q465,"AAAAAG1v4yc=")</f>
        <v>#VALUE!</v>
      </c>
      <c r="AO125" t="e">
        <f>AND(Bills!R465,"AAAAAG1v4yg=")</f>
        <v>#VALUE!</v>
      </c>
      <c r="AP125" t="e">
        <f>AND(Bills!S465,"AAAAAG1v4yk=")</f>
        <v>#VALUE!</v>
      </c>
      <c r="AQ125" t="e">
        <f>AND(Bills!T465,"AAAAAG1v4yo=")</f>
        <v>#VALUE!</v>
      </c>
      <c r="AR125" t="e">
        <f>AND(Bills!#REF!,"AAAAAG1v4ys=")</f>
        <v>#REF!</v>
      </c>
      <c r="AS125" t="e">
        <f>AND(Bills!U465,"AAAAAG1v4yw=")</f>
        <v>#VALUE!</v>
      </c>
      <c r="AT125" t="e">
        <f>AND(Bills!V465,"AAAAAG1v4y0=")</f>
        <v>#VALUE!</v>
      </c>
      <c r="AU125" t="e">
        <f>AND(Bills!W465,"AAAAAG1v4y4=")</f>
        <v>#VALUE!</v>
      </c>
      <c r="AV125" t="e">
        <f>AND(Bills!#REF!,"AAAAAG1v4y8=")</f>
        <v>#REF!</v>
      </c>
      <c r="AW125" t="e">
        <f>AND(Bills!#REF!,"AAAAAG1v4zA=")</f>
        <v>#REF!</v>
      </c>
      <c r="AX125" t="e">
        <f>AND(Bills!Y465,"AAAAAG1v4zE=")</f>
        <v>#VALUE!</v>
      </c>
      <c r="AY125" t="e">
        <f>AND(Bills!Z465,"AAAAAG1v4zI=")</f>
        <v>#VALUE!</v>
      </c>
      <c r="AZ125" t="e">
        <f>AND(Bills!#REF!,"AAAAAG1v4zM=")</f>
        <v>#REF!</v>
      </c>
      <c r="BA125" t="e">
        <f>AND(Bills!#REF!,"AAAAAG1v4zQ=")</f>
        <v>#REF!</v>
      </c>
      <c r="BB125" t="e">
        <f>AND(Bills!#REF!,"AAAAAG1v4zU=")</f>
        <v>#REF!</v>
      </c>
      <c r="BC125" t="e">
        <f>AND(Bills!#REF!,"AAAAAG1v4zY=")</f>
        <v>#REF!</v>
      </c>
      <c r="BD125" t="e">
        <f>AND(Bills!#REF!,"AAAAAG1v4zc=")</f>
        <v>#REF!</v>
      </c>
      <c r="BE125" t="e">
        <f>AND(Bills!#REF!,"AAAAAG1v4zg=")</f>
        <v>#REF!</v>
      </c>
      <c r="BF125" t="e">
        <f>AND(Bills!#REF!,"AAAAAG1v4zk=")</f>
        <v>#REF!</v>
      </c>
      <c r="BG125" t="e">
        <f>AND(Bills!#REF!,"AAAAAG1v4zo=")</f>
        <v>#REF!</v>
      </c>
      <c r="BH125" t="e">
        <f>AND(Bills!#REF!,"AAAAAG1v4zs=")</f>
        <v>#REF!</v>
      </c>
      <c r="BI125" t="e">
        <f>AND(Bills!AA465,"AAAAAG1v4zw=")</f>
        <v>#VALUE!</v>
      </c>
      <c r="BJ125" t="e">
        <f>AND(Bills!AB465,"AAAAAG1v4z0=")</f>
        <v>#VALUE!</v>
      </c>
      <c r="BK125" t="e">
        <f>AND(Bills!#REF!,"AAAAAG1v4z4=")</f>
        <v>#REF!</v>
      </c>
      <c r="BL125" t="e">
        <f>AND(Bills!#REF!,"AAAAAG1v4z8=")</f>
        <v>#REF!</v>
      </c>
      <c r="BM125" t="e">
        <f>AND(Bills!#REF!,"AAAAAG1v40A=")</f>
        <v>#REF!</v>
      </c>
      <c r="BN125" t="e">
        <f>AND(Bills!AC465,"AAAAAG1v40E=")</f>
        <v>#VALUE!</v>
      </c>
      <c r="BO125" t="e">
        <f>AND(Bills!AD465,"AAAAAG1v40I=")</f>
        <v>#VALUE!</v>
      </c>
      <c r="BP125" t="e">
        <f>AND(Bills!AE465,"AAAAAG1v40M=")</f>
        <v>#VALUE!</v>
      </c>
      <c r="BQ125">
        <f>IF(Bills!466:466,"AAAAAG1v40Q=",0)</f>
        <v>0</v>
      </c>
      <c r="BR125" t="e">
        <f>AND(Bills!B466,"AAAAAG1v40U=")</f>
        <v>#VALUE!</v>
      </c>
      <c r="BS125" t="e">
        <f>AND(Bills!#REF!,"AAAAAG1v40Y=")</f>
        <v>#REF!</v>
      </c>
      <c r="BT125" t="e">
        <f>AND(Bills!C466,"AAAAAG1v40c=")</f>
        <v>#VALUE!</v>
      </c>
      <c r="BU125" t="e">
        <f>AND(Bills!D466,"AAAAAG1v40g=")</f>
        <v>#VALUE!</v>
      </c>
      <c r="BV125" t="e">
        <f>AND(Bills!E466,"AAAAAG1v40k=")</f>
        <v>#VALUE!</v>
      </c>
      <c r="BW125" t="e">
        <f>AND(Bills!#REF!,"AAAAAG1v40o=")</f>
        <v>#REF!</v>
      </c>
      <c r="BX125" t="e">
        <f>AND(Bills!#REF!,"AAAAAG1v40s=")</f>
        <v>#REF!</v>
      </c>
      <c r="BY125" t="e">
        <f>AND(Bills!#REF!,"AAAAAG1v40w=")</f>
        <v>#REF!</v>
      </c>
      <c r="BZ125" t="e">
        <f>AND(Bills!F466,"AAAAAG1v400=")</f>
        <v>#VALUE!</v>
      </c>
      <c r="CA125" t="e">
        <f>AND(Bills!#REF!,"AAAAAG1v404=")</f>
        <v>#REF!</v>
      </c>
      <c r="CB125" t="e">
        <f>AND(Bills!G466,"AAAAAG1v408=")</f>
        <v>#VALUE!</v>
      </c>
      <c r="CC125" t="e">
        <f>AND(Bills!H466,"AAAAAG1v41A=")</f>
        <v>#VALUE!</v>
      </c>
      <c r="CD125" t="e">
        <f>AND(Bills!I466,"AAAAAG1v41E=")</f>
        <v>#VALUE!</v>
      </c>
      <c r="CE125" t="e">
        <f>AND(Bills!J466,"AAAAAG1v41I=")</f>
        <v>#VALUE!</v>
      </c>
      <c r="CF125" t="e">
        <f>AND(Bills!K466,"AAAAAG1v41M=")</f>
        <v>#VALUE!</v>
      </c>
      <c r="CG125" t="e">
        <f>AND(Bills!L466,"AAAAAG1v41Q=")</f>
        <v>#VALUE!</v>
      </c>
      <c r="CH125" t="e">
        <f>AND(Bills!#REF!,"AAAAAG1v41U=")</f>
        <v>#REF!</v>
      </c>
      <c r="CI125" t="e">
        <f>AND(Bills!M466,"AAAAAG1v41Y=")</f>
        <v>#VALUE!</v>
      </c>
      <c r="CJ125" t="e">
        <f>AND(Bills!N466,"AAAAAG1v41c=")</f>
        <v>#VALUE!</v>
      </c>
      <c r="CK125" t="e">
        <f>AND(Bills!O466,"AAAAAG1v41g=")</f>
        <v>#VALUE!</v>
      </c>
      <c r="CL125" t="e">
        <f>AND(Bills!P466,"AAAAAG1v41k=")</f>
        <v>#VALUE!</v>
      </c>
      <c r="CM125" t="e">
        <f>AND(Bills!Q466,"AAAAAG1v41o=")</f>
        <v>#VALUE!</v>
      </c>
      <c r="CN125" t="e">
        <f>AND(Bills!R466,"AAAAAG1v41s=")</f>
        <v>#VALUE!</v>
      </c>
      <c r="CO125" t="e">
        <f>AND(Bills!S466,"AAAAAG1v41w=")</f>
        <v>#VALUE!</v>
      </c>
      <c r="CP125" t="e">
        <f>AND(Bills!T466,"AAAAAG1v410=")</f>
        <v>#VALUE!</v>
      </c>
      <c r="CQ125" t="e">
        <f>AND(Bills!#REF!,"AAAAAG1v414=")</f>
        <v>#REF!</v>
      </c>
      <c r="CR125" t="e">
        <f>AND(Bills!U466,"AAAAAG1v418=")</f>
        <v>#VALUE!</v>
      </c>
      <c r="CS125" t="e">
        <f>AND(Bills!V466,"AAAAAG1v42A=")</f>
        <v>#VALUE!</v>
      </c>
      <c r="CT125" t="e">
        <f>AND(Bills!W466,"AAAAAG1v42E=")</f>
        <v>#VALUE!</v>
      </c>
      <c r="CU125" t="e">
        <f>AND(Bills!#REF!,"AAAAAG1v42I=")</f>
        <v>#REF!</v>
      </c>
      <c r="CV125" t="e">
        <f>AND(Bills!#REF!,"AAAAAG1v42M=")</f>
        <v>#REF!</v>
      </c>
      <c r="CW125" t="e">
        <f>AND(Bills!Y466,"AAAAAG1v42Q=")</f>
        <v>#VALUE!</v>
      </c>
      <c r="CX125" t="e">
        <f>AND(Bills!Z466,"AAAAAG1v42U=")</f>
        <v>#VALUE!</v>
      </c>
      <c r="CY125" t="e">
        <f>AND(Bills!#REF!,"AAAAAG1v42Y=")</f>
        <v>#REF!</v>
      </c>
      <c r="CZ125" t="e">
        <f>AND(Bills!#REF!,"AAAAAG1v42c=")</f>
        <v>#REF!</v>
      </c>
      <c r="DA125" t="e">
        <f>AND(Bills!#REF!,"AAAAAG1v42g=")</f>
        <v>#REF!</v>
      </c>
      <c r="DB125" t="e">
        <f>AND(Bills!#REF!,"AAAAAG1v42k=")</f>
        <v>#REF!</v>
      </c>
      <c r="DC125" t="e">
        <f>AND(Bills!#REF!,"AAAAAG1v42o=")</f>
        <v>#REF!</v>
      </c>
      <c r="DD125" t="e">
        <f>AND(Bills!#REF!,"AAAAAG1v42s=")</f>
        <v>#REF!</v>
      </c>
      <c r="DE125" t="e">
        <f>AND(Bills!#REF!,"AAAAAG1v42w=")</f>
        <v>#REF!</v>
      </c>
      <c r="DF125" t="e">
        <f>AND(Bills!#REF!,"AAAAAG1v420=")</f>
        <v>#REF!</v>
      </c>
      <c r="DG125" t="e">
        <f>AND(Bills!#REF!,"AAAAAG1v424=")</f>
        <v>#REF!</v>
      </c>
      <c r="DH125" t="e">
        <f>AND(Bills!AA466,"AAAAAG1v428=")</f>
        <v>#VALUE!</v>
      </c>
      <c r="DI125" t="e">
        <f>AND(Bills!AB466,"AAAAAG1v43A=")</f>
        <v>#VALUE!</v>
      </c>
      <c r="DJ125" t="e">
        <f>AND(Bills!#REF!,"AAAAAG1v43E=")</f>
        <v>#REF!</v>
      </c>
      <c r="DK125" t="e">
        <f>AND(Bills!#REF!,"AAAAAG1v43I=")</f>
        <v>#REF!</v>
      </c>
      <c r="DL125" t="e">
        <f>AND(Bills!#REF!,"AAAAAG1v43M=")</f>
        <v>#REF!</v>
      </c>
      <c r="DM125" t="e">
        <f>AND(Bills!AC466,"AAAAAG1v43Q=")</f>
        <v>#VALUE!</v>
      </c>
      <c r="DN125" t="e">
        <f>AND(Bills!AD466,"AAAAAG1v43U=")</f>
        <v>#VALUE!</v>
      </c>
      <c r="DO125" t="e">
        <f>AND(Bills!AE466,"AAAAAG1v43Y=")</f>
        <v>#VALUE!</v>
      </c>
      <c r="DP125">
        <f>IF(Bills!467:467,"AAAAAG1v43c=",0)</f>
        <v>0</v>
      </c>
      <c r="DQ125" t="e">
        <f>AND(Bills!B467,"AAAAAG1v43g=")</f>
        <v>#VALUE!</v>
      </c>
      <c r="DR125" t="e">
        <f>AND(Bills!#REF!,"AAAAAG1v43k=")</f>
        <v>#REF!</v>
      </c>
      <c r="DS125" t="e">
        <f>AND(Bills!C467,"AAAAAG1v43o=")</f>
        <v>#VALUE!</v>
      </c>
      <c r="DT125" t="e">
        <f>AND(Bills!D467,"AAAAAG1v43s=")</f>
        <v>#VALUE!</v>
      </c>
      <c r="DU125" t="e">
        <f>AND(Bills!E467,"AAAAAG1v43w=")</f>
        <v>#VALUE!</v>
      </c>
      <c r="DV125" t="e">
        <f>AND(Bills!#REF!,"AAAAAG1v430=")</f>
        <v>#REF!</v>
      </c>
      <c r="DW125" t="e">
        <f>AND(Bills!#REF!,"AAAAAG1v434=")</f>
        <v>#REF!</v>
      </c>
      <c r="DX125" t="e">
        <f>AND(Bills!#REF!,"AAAAAG1v438=")</f>
        <v>#REF!</v>
      </c>
      <c r="DY125" t="e">
        <f>AND(Bills!F467,"AAAAAG1v44A=")</f>
        <v>#VALUE!</v>
      </c>
      <c r="DZ125" t="e">
        <f>AND(Bills!#REF!,"AAAAAG1v44E=")</f>
        <v>#REF!</v>
      </c>
      <c r="EA125" t="e">
        <f>AND(Bills!G467,"AAAAAG1v44I=")</f>
        <v>#VALUE!</v>
      </c>
      <c r="EB125" t="e">
        <f>AND(Bills!H467,"AAAAAG1v44M=")</f>
        <v>#VALUE!</v>
      </c>
      <c r="EC125" t="e">
        <f>AND(Bills!I467,"AAAAAG1v44Q=")</f>
        <v>#VALUE!</v>
      </c>
      <c r="ED125" t="e">
        <f>AND(Bills!J467,"AAAAAG1v44U=")</f>
        <v>#VALUE!</v>
      </c>
      <c r="EE125" t="e">
        <f>AND(Bills!K467,"AAAAAG1v44Y=")</f>
        <v>#VALUE!</v>
      </c>
      <c r="EF125" t="e">
        <f>AND(Bills!L467,"AAAAAG1v44c=")</f>
        <v>#VALUE!</v>
      </c>
      <c r="EG125" t="e">
        <f>AND(Bills!#REF!,"AAAAAG1v44g=")</f>
        <v>#REF!</v>
      </c>
      <c r="EH125" t="e">
        <f>AND(Bills!M467,"AAAAAG1v44k=")</f>
        <v>#VALUE!</v>
      </c>
      <c r="EI125" t="e">
        <f>AND(Bills!N467,"AAAAAG1v44o=")</f>
        <v>#VALUE!</v>
      </c>
      <c r="EJ125" t="e">
        <f>AND(Bills!O467,"AAAAAG1v44s=")</f>
        <v>#VALUE!</v>
      </c>
      <c r="EK125" t="e">
        <f>AND(Bills!P467,"AAAAAG1v44w=")</f>
        <v>#VALUE!</v>
      </c>
      <c r="EL125" t="e">
        <f>AND(Bills!Q467,"AAAAAG1v440=")</f>
        <v>#VALUE!</v>
      </c>
      <c r="EM125" t="e">
        <f>AND(Bills!R467,"AAAAAG1v444=")</f>
        <v>#VALUE!</v>
      </c>
      <c r="EN125" t="e">
        <f>AND(Bills!S467,"AAAAAG1v448=")</f>
        <v>#VALUE!</v>
      </c>
      <c r="EO125" t="e">
        <f>AND(Bills!T467,"AAAAAG1v45A=")</f>
        <v>#VALUE!</v>
      </c>
      <c r="EP125" t="e">
        <f>AND(Bills!#REF!,"AAAAAG1v45E=")</f>
        <v>#REF!</v>
      </c>
      <c r="EQ125" t="e">
        <f>AND(Bills!U467,"AAAAAG1v45I=")</f>
        <v>#VALUE!</v>
      </c>
      <c r="ER125" t="e">
        <f>AND(Bills!V467,"AAAAAG1v45M=")</f>
        <v>#VALUE!</v>
      </c>
      <c r="ES125" t="e">
        <f>AND(Bills!W467,"AAAAAG1v45Q=")</f>
        <v>#VALUE!</v>
      </c>
      <c r="ET125" t="e">
        <f>AND(Bills!#REF!,"AAAAAG1v45U=")</f>
        <v>#REF!</v>
      </c>
      <c r="EU125" t="e">
        <f>AND(Bills!#REF!,"AAAAAG1v45Y=")</f>
        <v>#REF!</v>
      </c>
      <c r="EV125" t="e">
        <f>AND(Bills!Y467,"AAAAAG1v45c=")</f>
        <v>#VALUE!</v>
      </c>
      <c r="EW125" t="e">
        <f>AND(Bills!Z467,"AAAAAG1v45g=")</f>
        <v>#VALUE!</v>
      </c>
      <c r="EX125" t="e">
        <f>AND(Bills!#REF!,"AAAAAG1v45k=")</f>
        <v>#REF!</v>
      </c>
      <c r="EY125" t="e">
        <f>AND(Bills!#REF!,"AAAAAG1v45o=")</f>
        <v>#REF!</v>
      </c>
      <c r="EZ125" t="e">
        <f>AND(Bills!#REF!,"AAAAAG1v45s=")</f>
        <v>#REF!</v>
      </c>
      <c r="FA125" t="e">
        <f>AND(Bills!#REF!,"AAAAAG1v45w=")</f>
        <v>#REF!</v>
      </c>
      <c r="FB125" t="e">
        <f>AND(Bills!#REF!,"AAAAAG1v450=")</f>
        <v>#REF!</v>
      </c>
      <c r="FC125" t="e">
        <f>AND(Bills!#REF!,"AAAAAG1v454=")</f>
        <v>#REF!</v>
      </c>
      <c r="FD125" t="e">
        <f>AND(Bills!#REF!,"AAAAAG1v458=")</f>
        <v>#REF!</v>
      </c>
      <c r="FE125" t="e">
        <f>AND(Bills!#REF!,"AAAAAG1v46A=")</f>
        <v>#REF!</v>
      </c>
      <c r="FF125" t="e">
        <f>AND(Bills!#REF!,"AAAAAG1v46E=")</f>
        <v>#REF!</v>
      </c>
      <c r="FG125" t="e">
        <f>AND(Bills!AA467,"AAAAAG1v46I=")</f>
        <v>#VALUE!</v>
      </c>
      <c r="FH125" t="e">
        <f>AND(Bills!AB467,"AAAAAG1v46M=")</f>
        <v>#VALUE!</v>
      </c>
      <c r="FI125" t="e">
        <f>AND(Bills!#REF!,"AAAAAG1v46Q=")</f>
        <v>#REF!</v>
      </c>
      <c r="FJ125" t="e">
        <f>AND(Bills!#REF!,"AAAAAG1v46U=")</f>
        <v>#REF!</v>
      </c>
      <c r="FK125" t="e">
        <f>AND(Bills!#REF!,"AAAAAG1v46Y=")</f>
        <v>#REF!</v>
      </c>
      <c r="FL125" t="e">
        <f>AND(Bills!AC467,"AAAAAG1v46c=")</f>
        <v>#VALUE!</v>
      </c>
      <c r="FM125" t="e">
        <f>AND(Bills!AD467,"AAAAAG1v46g=")</f>
        <v>#VALUE!</v>
      </c>
      <c r="FN125" t="e">
        <f>AND(Bills!AE467,"AAAAAG1v46k=")</f>
        <v>#VALUE!</v>
      </c>
      <c r="FO125">
        <f>IF(Bills!468:468,"AAAAAG1v46o=",0)</f>
        <v>0</v>
      </c>
      <c r="FP125" t="e">
        <f>AND(Bills!B468,"AAAAAG1v46s=")</f>
        <v>#VALUE!</v>
      </c>
      <c r="FQ125" t="e">
        <f>AND(Bills!#REF!,"AAAAAG1v46w=")</f>
        <v>#REF!</v>
      </c>
      <c r="FR125" t="e">
        <f>AND(Bills!C468,"AAAAAG1v460=")</f>
        <v>#VALUE!</v>
      </c>
      <c r="FS125" t="e">
        <f>AND(Bills!D468,"AAAAAG1v464=")</f>
        <v>#VALUE!</v>
      </c>
      <c r="FT125" t="e">
        <f>AND(Bills!E468,"AAAAAG1v468=")</f>
        <v>#VALUE!</v>
      </c>
      <c r="FU125" t="e">
        <f>AND(Bills!#REF!,"AAAAAG1v47A=")</f>
        <v>#REF!</v>
      </c>
      <c r="FV125" t="e">
        <f>AND(Bills!#REF!,"AAAAAG1v47E=")</f>
        <v>#REF!</v>
      </c>
      <c r="FW125" t="e">
        <f>AND(Bills!#REF!,"AAAAAG1v47I=")</f>
        <v>#REF!</v>
      </c>
      <c r="FX125" t="e">
        <f>AND(Bills!F468,"AAAAAG1v47M=")</f>
        <v>#VALUE!</v>
      </c>
      <c r="FY125" t="e">
        <f>AND(Bills!#REF!,"AAAAAG1v47Q=")</f>
        <v>#REF!</v>
      </c>
      <c r="FZ125" t="e">
        <f>AND(Bills!G468,"AAAAAG1v47U=")</f>
        <v>#VALUE!</v>
      </c>
      <c r="GA125" t="e">
        <f>AND(Bills!H468,"AAAAAG1v47Y=")</f>
        <v>#VALUE!</v>
      </c>
      <c r="GB125" t="e">
        <f>AND(Bills!I468,"AAAAAG1v47c=")</f>
        <v>#VALUE!</v>
      </c>
      <c r="GC125" t="e">
        <f>AND(Bills!J468,"AAAAAG1v47g=")</f>
        <v>#VALUE!</v>
      </c>
      <c r="GD125" t="e">
        <f>AND(Bills!K468,"AAAAAG1v47k=")</f>
        <v>#VALUE!</v>
      </c>
      <c r="GE125" t="e">
        <f>AND(Bills!L468,"AAAAAG1v47o=")</f>
        <v>#VALUE!</v>
      </c>
      <c r="GF125" t="e">
        <f>AND(Bills!#REF!,"AAAAAG1v47s=")</f>
        <v>#REF!</v>
      </c>
      <c r="GG125" t="e">
        <f>AND(Bills!M468,"AAAAAG1v47w=")</f>
        <v>#VALUE!</v>
      </c>
      <c r="GH125" t="e">
        <f>AND(Bills!N468,"AAAAAG1v470=")</f>
        <v>#VALUE!</v>
      </c>
      <c r="GI125" t="e">
        <f>AND(Bills!O468,"AAAAAG1v474=")</f>
        <v>#VALUE!</v>
      </c>
      <c r="GJ125" t="e">
        <f>AND(Bills!P468,"AAAAAG1v478=")</f>
        <v>#VALUE!</v>
      </c>
      <c r="GK125" t="e">
        <f>AND(Bills!Q468,"AAAAAG1v48A=")</f>
        <v>#VALUE!</v>
      </c>
      <c r="GL125" t="e">
        <f>AND(Bills!R468,"AAAAAG1v48E=")</f>
        <v>#VALUE!</v>
      </c>
      <c r="GM125" t="e">
        <f>AND(Bills!S468,"AAAAAG1v48I=")</f>
        <v>#VALUE!</v>
      </c>
      <c r="GN125" t="e">
        <f>AND(Bills!T468,"AAAAAG1v48M=")</f>
        <v>#VALUE!</v>
      </c>
      <c r="GO125" t="e">
        <f>AND(Bills!#REF!,"AAAAAG1v48Q=")</f>
        <v>#REF!</v>
      </c>
      <c r="GP125" t="e">
        <f>AND(Bills!U468,"AAAAAG1v48U=")</f>
        <v>#VALUE!</v>
      </c>
      <c r="GQ125" t="e">
        <f>AND(Bills!V468,"AAAAAG1v48Y=")</f>
        <v>#VALUE!</v>
      </c>
      <c r="GR125" t="e">
        <f>AND(Bills!W468,"AAAAAG1v48c=")</f>
        <v>#VALUE!</v>
      </c>
      <c r="GS125" t="e">
        <f>AND(Bills!#REF!,"AAAAAG1v48g=")</f>
        <v>#REF!</v>
      </c>
      <c r="GT125" t="e">
        <f>AND(Bills!#REF!,"AAAAAG1v48k=")</f>
        <v>#REF!</v>
      </c>
      <c r="GU125" t="e">
        <f>AND(Bills!Y468,"AAAAAG1v48o=")</f>
        <v>#VALUE!</v>
      </c>
      <c r="GV125" t="e">
        <f>AND(Bills!Z468,"AAAAAG1v48s=")</f>
        <v>#VALUE!</v>
      </c>
      <c r="GW125" t="e">
        <f>AND(Bills!#REF!,"AAAAAG1v48w=")</f>
        <v>#REF!</v>
      </c>
      <c r="GX125" t="e">
        <f>AND(Bills!#REF!,"AAAAAG1v480=")</f>
        <v>#REF!</v>
      </c>
      <c r="GY125" t="e">
        <f>AND(Bills!#REF!,"AAAAAG1v484=")</f>
        <v>#REF!</v>
      </c>
      <c r="GZ125" t="e">
        <f>AND(Bills!#REF!,"AAAAAG1v488=")</f>
        <v>#REF!</v>
      </c>
      <c r="HA125" t="e">
        <f>AND(Bills!#REF!,"AAAAAG1v49A=")</f>
        <v>#REF!</v>
      </c>
      <c r="HB125" t="e">
        <f>AND(Bills!#REF!,"AAAAAG1v49E=")</f>
        <v>#REF!</v>
      </c>
      <c r="HC125" t="e">
        <f>AND(Bills!#REF!,"AAAAAG1v49I=")</f>
        <v>#REF!</v>
      </c>
      <c r="HD125" t="e">
        <f>AND(Bills!#REF!,"AAAAAG1v49M=")</f>
        <v>#REF!</v>
      </c>
      <c r="HE125" t="e">
        <f>AND(Bills!#REF!,"AAAAAG1v49Q=")</f>
        <v>#REF!</v>
      </c>
      <c r="HF125" t="e">
        <f>AND(Bills!AA468,"AAAAAG1v49U=")</f>
        <v>#VALUE!</v>
      </c>
      <c r="HG125" t="e">
        <f>AND(Bills!AB468,"AAAAAG1v49Y=")</f>
        <v>#VALUE!</v>
      </c>
      <c r="HH125" t="e">
        <f>AND(Bills!#REF!,"AAAAAG1v49c=")</f>
        <v>#REF!</v>
      </c>
      <c r="HI125" t="e">
        <f>AND(Bills!#REF!,"AAAAAG1v49g=")</f>
        <v>#REF!</v>
      </c>
      <c r="HJ125" t="e">
        <f>AND(Bills!#REF!,"AAAAAG1v49k=")</f>
        <v>#REF!</v>
      </c>
      <c r="HK125" t="e">
        <f>AND(Bills!AC468,"AAAAAG1v49o=")</f>
        <v>#VALUE!</v>
      </c>
      <c r="HL125" t="e">
        <f>AND(Bills!AD468,"AAAAAG1v49s=")</f>
        <v>#VALUE!</v>
      </c>
      <c r="HM125" t="e">
        <f>AND(Bills!AE468,"AAAAAG1v49w=")</f>
        <v>#VALUE!</v>
      </c>
      <c r="HN125">
        <f>IF(Bills!469:469,"AAAAAG1v490=",0)</f>
        <v>0</v>
      </c>
      <c r="HO125" t="e">
        <f>AND(Bills!B469,"AAAAAG1v494=")</f>
        <v>#VALUE!</v>
      </c>
      <c r="HP125" t="e">
        <f>AND(Bills!#REF!,"AAAAAG1v498=")</f>
        <v>#REF!</v>
      </c>
      <c r="HQ125" t="e">
        <f>AND(Bills!C469,"AAAAAG1v4+A=")</f>
        <v>#VALUE!</v>
      </c>
      <c r="HR125" t="e">
        <f>AND(Bills!D469,"AAAAAG1v4+E=")</f>
        <v>#VALUE!</v>
      </c>
      <c r="HS125" t="e">
        <f>AND(Bills!E469,"AAAAAG1v4+I=")</f>
        <v>#VALUE!</v>
      </c>
      <c r="HT125" t="e">
        <f>AND(Bills!#REF!,"AAAAAG1v4+M=")</f>
        <v>#REF!</v>
      </c>
      <c r="HU125" t="e">
        <f>AND(Bills!#REF!,"AAAAAG1v4+Q=")</f>
        <v>#REF!</v>
      </c>
      <c r="HV125" t="e">
        <f>AND(Bills!#REF!,"AAAAAG1v4+U=")</f>
        <v>#REF!</v>
      </c>
      <c r="HW125" t="e">
        <f>AND(Bills!F469,"AAAAAG1v4+Y=")</f>
        <v>#VALUE!</v>
      </c>
      <c r="HX125" t="e">
        <f>AND(Bills!#REF!,"AAAAAG1v4+c=")</f>
        <v>#REF!</v>
      </c>
      <c r="HY125" t="e">
        <f>AND(Bills!G469,"AAAAAG1v4+g=")</f>
        <v>#VALUE!</v>
      </c>
      <c r="HZ125" t="e">
        <f>AND(Bills!H469,"AAAAAG1v4+k=")</f>
        <v>#VALUE!</v>
      </c>
      <c r="IA125" t="e">
        <f>AND(Bills!I469,"AAAAAG1v4+o=")</f>
        <v>#VALUE!</v>
      </c>
      <c r="IB125" t="e">
        <f>AND(Bills!J469,"AAAAAG1v4+s=")</f>
        <v>#VALUE!</v>
      </c>
      <c r="IC125" t="e">
        <f>AND(Bills!K469,"AAAAAG1v4+w=")</f>
        <v>#VALUE!</v>
      </c>
      <c r="ID125" t="e">
        <f>AND(Bills!L469,"AAAAAG1v4+0=")</f>
        <v>#VALUE!</v>
      </c>
      <c r="IE125" t="e">
        <f>AND(Bills!#REF!,"AAAAAG1v4+4=")</f>
        <v>#REF!</v>
      </c>
      <c r="IF125" t="e">
        <f>AND(Bills!M469,"AAAAAG1v4+8=")</f>
        <v>#VALUE!</v>
      </c>
      <c r="IG125" t="e">
        <f>AND(Bills!N469,"AAAAAG1v4/A=")</f>
        <v>#VALUE!</v>
      </c>
      <c r="IH125" t="e">
        <f>AND(Bills!O469,"AAAAAG1v4/E=")</f>
        <v>#VALUE!</v>
      </c>
      <c r="II125" t="e">
        <f>AND(Bills!P469,"AAAAAG1v4/I=")</f>
        <v>#VALUE!</v>
      </c>
      <c r="IJ125" t="e">
        <f>AND(Bills!Q469,"AAAAAG1v4/M=")</f>
        <v>#VALUE!</v>
      </c>
      <c r="IK125" t="e">
        <f>AND(Bills!R469,"AAAAAG1v4/Q=")</f>
        <v>#VALUE!</v>
      </c>
      <c r="IL125" t="e">
        <f>AND(Bills!S469,"AAAAAG1v4/U=")</f>
        <v>#VALUE!</v>
      </c>
      <c r="IM125" t="e">
        <f>AND(Bills!T469,"AAAAAG1v4/Y=")</f>
        <v>#VALUE!</v>
      </c>
      <c r="IN125" t="e">
        <f>AND(Bills!#REF!,"AAAAAG1v4/c=")</f>
        <v>#REF!</v>
      </c>
      <c r="IO125" t="e">
        <f>AND(Bills!U469,"AAAAAG1v4/g=")</f>
        <v>#VALUE!</v>
      </c>
      <c r="IP125" t="e">
        <f>AND(Bills!V469,"AAAAAG1v4/k=")</f>
        <v>#VALUE!</v>
      </c>
      <c r="IQ125" t="e">
        <f>AND(Bills!W469,"AAAAAG1v4/o=")</f>
        <v>#VALUE!</v>
      </c>
      <c r="IR125" t="e">
        <f>AND(Bills!#REF!,"AAAAAG1v4/s=")</f>
        <v>#REF!</v>
      </c>
      <c r="IS125" t="e">
        <f>AND(Bills!#REF!,"AAAAAG1v4/w=")</f>
        <v>#REF!</v>
      </c>
      <c r="IT125" t="e">
        <f>AND(Bills!Y469,"AAAAAG1v4/0=")</f>
        <v>#VALUE!</v>
      </c>
      <c r="IU125" t="e">
        <f>AND(Bills!Z469,"AAAAAG1v4/4=")</f>
        <v>#VALUE!</v>
      </c>
      <c r="IV125" t="e">
        <f>AND(Bills!#REF!,"AAAAAG1v4/8=")</f>
        <v>#REF!</v>
      </c>
    </row>
    <row r="126" spans="1:256" x14ac:dyDescent="0.25">
      <c r="A126" t="e">
        <f>AND(Bills!#REF!,"AAAAABX+/QA=")</f>
        <v>#REF!</v>
      </c>
      <c r="B126" t="e">
        <f>AND(Bills!#REF!,"AAAAABX+/QE=")</f>
        <v>#REF!</v>
      </c>
      <c r="C126" t="e">
        <f>AND(Bills!#REF!,"AAAAABX+/QI=")</f>
        <v>#REF!</v>
      </c>
      <c r="D126" t="e">
        <f>AND(Bills!#REF!,"AAAAABX+/QM=")</f>
        <v>#REF!</v>
      </c>
      <c r="E126" t="e">
        <f>AND(Bills!#REF!,"AAAAABX+/QQ=")</f>
        <v>#REF!</v>
      </c>
      <c r="F126" t="e">
        <f>AND(Bills!#REF!,"AAAAABX+/QU=")</f>
        <v>#REF!</v>
      </c>
      <c r="G126" t="e">
        <f>AND(Bills!#REF!,"AAAAABX+/QY=")</f>
        <v>#REF!</v>
      </c>
      <c r="H126" t="e">
        <f>AND(Bills!#REF!,"AAAAABX+/Qc=")</f>
        <v>#REF!</v>
      </c>
      <c r="I126" t="e">
        <f>AND(Bills!AA469,"AAAAABX+/Qg=")</f>
        <v>#VALUE!</v>
      </c>
      <c r="J126" t="e">
        <f>AND(Bills!AB469,"AAAAABX+/Qk=")</f>
        <v>#VALUE!</v>
      </c>
      <c r="K126" t="e">
        <f>AND(Bills!#REF!,"AAAAABX+/Qo=")</f>
        <v>#REF!</v>
      </c>
      <c r="L126" t="e">
        <f>AND(Bills!#REF!,"AAAAABX+/Qs=")</f>
        <v>#REF!</v>
      </c>
      <c r="M126" t="e">
        <f>AND(Bills!#REF!,"AAAAABX+/Qw=")</f>
        <v>#REF!</v>
      </c>
      <c r="N126" t="e">
        <f>AND(Bills!AC469,"AAAAABX+/Q0=")</f>
        <v>#VALUE!</v>
      </c>
      <c r="O126" t="e">
        <f>AND(Bills!AD469,"AAAAABX+/Q4=")</f>
        <v>#VALUE!</v>
      </c>
      <c r="P126" t="e">
        <f>AND(Bills!AE469,"AAAAABX+/Q8=")</f>
        <v>#VALUE!</v>
      </c>
      <c r="Q126">
        <f>IF(Bills!470:470,"AAAAABX+/RA=",0)</f>
        <v>0</v>
      </c>
      <c r="R126" t="e">
        <f>AND(Bills!B470,"AAAAABX+/RE=")</f>
        <v>#VALUE!</v>
      </c>
      <c r="S126" t="e">
        <f>AND(Bills!#REF!,"AAAAABX+/RI=")</f>
        <v>#REF!</v>
      </c>
      <c r="T126" t="e">
        <f>AND(Bills!C470,"AAAAABX+/RM=")</f>
        <v>#VALUE!</v>
      </c>
      <c r="U126" t="e">
        <f>AND(Bills!D470,"AAAAABX+/RQ=")</f>
        <v>#VALUE!</v>
      </c>
      <c r="V126" t="e">
        <f>AND(Bills!E470,"AAAAABX+/RU=")</f>
        <v>#VALUE!</v>
      </c>
      <c r="W126" t="e">
        <f>AND(Bills!#REF!,"AAAAABX+/RY=")</f>
        <v>#REF!</v>
      </c>
      <c r="X126" t="e">
        <f>AND(Bills!#REF!,"AAAAABX+/Rc=")</f>
        <v>#REF!</v>
      </c>
      <c r="Y126" t="e">
        <f>AND(Bills!#REF!,"AAAAABX+/Rg=")</f>
        <v>#REF!</v>
      </c>
      <c r="Z126" t="e">
        <f>AND(Bills!F470,"AAAAABX+/Rk=")</f>
        <v>#VALUE!</v>
      </c>
      <c r="AA126" t="e">
        <f>AND(Bills!#REF!,"AAAAABX+/Ro=")</f>
        <v>#REF!</v>
      </c>
      <c r="AB126" t="e">
        <f>AND(Bills!G470,"AAAAABX+/Rs=")</f>
        <v>#VALUE!</v>
      </c>
      <c r="AC126" t="e">
        <f>AND(Bills!H470,"AAAAABX+/Rw=")</f>
        <v>#VALUE!</v>
      </c>
      <c r="AD126" t="e">
        <f>AND(Bills!I470,"AAAAABX+/R0=")</f>
        <v>#VALUE!</v>
      </c>
      <c r="AE126" t="e">
        <f>AND(Bills!J470,"AAAAABX+/R4=")</f>
        <v>#VALUE!</v>
      </c>
      <c r="AF126" t="e">
        <f>AND(Bills!K470,"AAAAABX+/R8=")</f>
        <v>#VALUE!</v>
      </c>
      <c r="AG126" t="e">
        <f>AND(Bills!L470,"AAAAABX+/SA=")</f>
        <v>#VALUE!</v>
      </c>
      <c r="AH126" t="e">
        <f>AND(Bills!#REF!,"AAAAABX+/SE=")</f>
        <v>#REF!</v>
      </c>
      <c r="AI126" t="e">
        <f>AND(Bills!M470,"AAAAABX+/SI=")</f>
        <v>#VALUE!</v>
      </c>
      <c r="AJ126" t="e">
        <f>AND(Bills!N470,"AAAAABX+/SM=")</f>
        <v>#VALUE!</v>
      </c>
      <c r="AK126" t="e">
        <f>AND(Bills!O470,"AAAAABX+/SQ=")</f>
        <v>#VALUE!</v>
      </c>
      <c r="AL126" t="e">
        <f>AND(Bills!P470,"AAAAABX+/SU=")</f>
        <v>#VALUE!</v>
      </c>
      <c r="AM126" t="e">
        <f>AND(Bills!Q470,"AAAAABX+/SY=")</f>
        <v>#VALUE!</v>
      </c>
      <c r="AN126" t="e">
        <f>AND(Bills!R470,"AAAAABX+/Sc=")</f>
        <v>#VALUE!</v>
      </c>
      <c r="AO126" t="e">
        <f>AND(Bills!S470,"AAAAABX+/Sg=")</f>
        <v>#VALUE!</v>
      </c>
      <c r="AP126" t="e">
        <f>AND(Bills!T470,"AAAAABX+/Sk=")</f>
        <v>#VALUE!</v>
      </c>
      <c r="AQ126" t="e">
        <f>AND(Bills!#REF!,"AAAAABX+/So=")</f>
        <v>#REF!</v>
      </c>
      <c r="AR126" t="e">
        <f>AND(Bills!U470,"AAAAABX+/Ss=")</f>
        <v>#VALUE!</v>
      </c>
      <c r="AS126" t="e">
        <f>AND(Bills!V470,"AAAAABX+/Sw=")</f>
        <v>#VALUE!</v>
      </c>
      <c r="AT126" t="e">
        <f>AND(Bills!W470,"AAAAABX+/S0=")</f>
        <v>#VALUE!</v>
      </c>
      <c r="AU126" t="e">
        <f>AND(Bills!#REF!,"AAAAABX+/S4=")</f>
        <v>#REF!</v>
      </c>
      <c r="AV126" t="e">
        <f>AND(Bills!#REF!,"AAAAABX+/S8=")</f>
        <v>#REF!</v>
      </c>
      <c r="AW126" t="e">
        <f>AND(Bills!Y470,"AAAAABX+/TA=")</f>
        <v>#VALUE!</v>
      </c>
      <c r="AX126" t="e">
        <f>AND(Bills!Z470,"AAAAABX+/TE=")</f>
        <v>#VALUE!</v>
      </c>
      <c r="AY126" t="e">
        <f>AND(Bills!#REF!,"AAAAABX+/TI=")</f>
        <v>#REF!</v>
      </c>
      <c r="AZ126" t="e">
        <f>AND(Bills!#REF!,"AAAAABX+/TM=")</f>
        <v>#REF!</v>
      </c>
      <c r="BA126" t="e">
        <f>AND(Bills!#REF!,"AAAAABX+/TQ=")</f>
        <v>#REF!</v>
      </c>
      <c r="BB126" t="e">
        <f>AND(Bills!#REF!,"AAAAABX+/TU=")</f>
        <v>#REF!</v>
      </c>
      <c r="BC126" t="e">
        <f>AND(Bills!#REF!,"AAAAABX+/TY=")</f>
        <v>#REF!</v>
      </c>
      <c r="BD126" t="e">
        <f>AND(Bills!#REF!,"AAAAABX+/Tc=")</f>
        <v>#REF!</v>
      </c>
      <c r="BE126" t="e">
        <f>AND(Bills!#REF!,"AAAAABX+/Tg=")</f>
        <v>#REF!</v>
      </c>
      <c r="BF126" t="e">
        <f>AND(Bills!#REF!,"AAAAABX+/Tk=")</f>
        <v>#REF!</v>
      </c>
      <c r="BG126" t="e">
        <f>AND(Bills!#REF!,"AAAAABX+/To=")</f>
        <v>#REF!</v>
      </c>
      <c r="BH126" t="e">
        <f>AND(Bills!AA470,"AAAAABX+/Ts=")</f>
        <v>#VALUE!</v>
      </c>
      <c r="BI126" t="e">
        <f>AND(Bills!AB470,"AAAAABX+/Tw=")</f>
        <v>#VALUE!</v>
      </c>
      <c r="BJ126" t="e">
        <f>AND(Bills!#REF!,"AAAAABX+/T0=")</f>
        <v>#REF!</v>
      </c>
      <c r="BK126" t="e">
        <f>AND(Bills!#REF!,"AAAAABX+/T4=")</f>
        <v>#REF!</v>
      </c>
      <c r="BL126" t="e">
        <f>AND(Bills!#REF!,"AAAAABX+/T8=")</f>
        <v>#REF!</v>
      </c>
      <c r="BM126" t="e">
        <f>AND(Bills!AC470,"AAAAABX+/UA=")</f>
        <v>#VALUE!</v>
      </c>
      <c r="BN126" t="e">
        <f>AND(Bills!AD470,"AAAAABX+/UE=")</f>
        <v>#VALUE!</v>
      </c>
      <c r="BO126" t="e">
        <f>AND(Bills!AE470,"AAAAABX+/UI=")</f>
        <v>#VALUE!</v>
      </c>
      <c r="BP126">
        <f>IF(Bills!471:471,"AAAAABX+/UM=",0)</f>
        <v>0</v>
      </c>
      <c r="BQ126" t="e">
        <f>AND(Bills!B471,"AAAAABX+/UQ=")</f>
        <v>#VALUE!</v>
      </c>
      <c r="BR126" t="e">
        <f>AND(Bills!#REF!,"AAAAABX+/UU=")</f>
        <v>#REF!</v>
      </c>
      <c r="BS126" t="e">
        <f>AND(Bills!C471,"AAAAABX+/UY=")</f>
        <v>#VALUE!</v>
      </c>
      <c r="BT126" t="e">
        <f>AND(Bills!D471,"AAAAABX+/Uc=")</f>
        <v>#VALUE!</v>
      </c>
      <c r="BU126" t="e">
        <f>AND(Bills!E471,"AAAAABX+/Ug=")</f>
        <v>#VALUE!</v>
      </c>
      <c r="BV126" t="e">
        <f>AND(Bills!#REF!,"AAAAABX+/Uk=")</f>
        <v>#REF!</v>
      </c>
      <c r="BW126" t="e">
        <f>AND(Bills!#REF!,"AAAAABX+/Uo=")</f>
        <v>#REF!</v>
      </c>
      <c r="BX126" t="e">
        <f>AND(Bills!#REF!,"AAAAABX+/Us=")</f>
        <v>#REF!</v>
      </c>
      <c r="BY126" t="e">
        <f>AND(Bills!F471,"AAAAABX+/Uw=")</f>
        <v>#VALUE!</v>
      </c>
      <c r="BZ126" t="e">
        <f>AND(Bills!#REF!,"AAAAABX+/U0=")</f>
        <v>#REF!</v>
      </c>
      <c r="CA126" t="e">
        <f>AND(Bills!G471,"AAAAABX+/U4=")</f>
        <v>#VALUE!</v>
      </c>
      <c r="CB126" t="e">
        <f>AND(Bills!H471,"AAAAABX+/U8=")</f>
        <v>#VALUE!</v>
      </c>
      <c r="CC126" t="e">
        <f>AND(Bills!I471,"AAAAABX+/VA=")</f>
        <v>#VALUE!</v>
      </c>
      <c r="CD126" t="e">
        <f>AND(Bills!J471,"AAAAABX+/VE=")</f>
        <v>#VALUE!</v>
      </c>
      <c r="CE126" t="e">
        <f>AND(Bills!K471,"AAAAABX+/VI=")</f>
        <v>#VALUE!</v>
      </c>
      <c r="CF126" t="e">
        <f>AND(Bills!L471,"AAAAABX+/VM=")</f>
        <v>#VALUE!</v>
      </c>
      <c r="CG126" t="e">
        <f>AND(Bills!#REF!,"AAAAABX+/VQ=")</f>
        <v>#REF!</v>
      </c>
      <c r="CH126" t="e">
        <f>AND(Bills!M471,"AAAAABX+/VU=")</f>
        <v>#VALUE!</v>
      </c>
      <c r="CI126" t="e">
        <f>AND(Bills!N471,"AAAAABX+/VY=")</f>
        <v>#VALUE!</v>
      </c>
      <c r="CJ126" t="e">
        <f>AND(Bills!O471,"AAAAABX+/Vc=")</f>
        <v>#VALUE!</v>
      </c>
      <c r="CK126" t="e">
        <f>AND(Bills!P471,"AAAAABX+/Vg=")</f>
        <v>#VALUE!</v>
      </c>
      <c r="CL126" t="e">
        <f>AND(Bills!Q471,"AAAAABX+/Vk=")</f>
        <v>#VALUE!</v>
      </c>
      <c r="CM126" t="e">
        <f>AND(Bills!R471,"AAAAABX+/Vo=")</f>
        <v>#VALUE!</v>
      </c>
      <c r="CN126" t="e">
        <f>AND(Bills!S471,"AAAAABX+/Vs=")</f>
        <v>#VALUE!</v>
      </c>
      <c r="CO126" t="e">
        <f>AND(Bills!T471,"AAAAABX+/Vw=")</f>
        <v>#VALUE!</v>
      </c>
      <c r="CP126" t="e">
        <f>AND(Bills!#REF!,"AAAAABX+/V0=")</f>
        <v>#REF!</v>
      </c>
      <c r="CQ126" t="e">
        <f>AND(Bills!U471,"AAAAABX+/V4=")</f>
        <v>#VALUE!</v>
      </c>
      <c r="CR126" t="e">
        <f>AND(Bills!V471,"AAAAABX+/V8=")</f>
        <v>#VALUE!</v>
      </c>
      <c r="CS126" t="e">
        <f>AND(Bills!W471,"AAAAABX+/WA=")</f>
        <v>#VALUE!</v>
      </c>
      <c r="CT126" t="e">
        <f>AND(Bills!#REF!,"AAAAABX+/WE=")</f>
        <v>#REF!</v>
      </c>
      <c r="CU126" t="e">
        <f>AND(Bills!#REF!,"AAAAABX+/WI=")</f>
        <v>#REF!</v>
      </c>
      <c r="CV126" t="e">
        <f>AND(Bills!Y471,"AAAAABX+/WM=")</f>
        <v>#VALUE!</v>
      </c>
      <c r="CW126" t="e">
        <f>AND(Bills!Z471,"AAAAABX+/WQ=")</f>
        <v>#VALUE!</v>
      </c>
      <c r="CX126" t="e">
        <f>AND(Bills!#REF!,"AAAAABX+/WU=")</f>
        <v>#REF!</v>
      </c>
      <c r="CY126" t="e">
        <f>AND(Bills!#REF!,"AAAAABX+/WY=")</f>
        <v>#REF!</v>
      </c>
      <c r="CZ126" t="e">
        <f>AND(Bills!#REF!,"AAAAABX+/Wc=")</f>
        <v>#REF!</v>
      </c>
      <c r="DA126" t="e">
        <f>AND(Bills!#REF!,"AAAAABX+/Wg=")</f>
        <v>#REF!</v>
      </c>
      <c r="DB126" t="e">
        <f>AND(Bills!#REF!,"AAAAABX+/Wk=")</f>
        <v>#REF!</v>
      </c>
      <c r="DC126" t="e">
        <f>AND(Bills!#REF!,"AAAAABX+/Wo=")</f>
        <v>#REF!</v>
      </c>
      <c r="DD126" t="e">
        <f>AND(Bills!#REF!,"AAAAABX+/Ws=")</f>
        <v>#REF!</v>
      </c>
      <c r="DE126" t="e">
        <f>AND(Bills!#REF!,"AAAAABX+/Ww=")</f>
        <v>#REF!</v>
      </c>
      <c r="DF126" t="e">
        <f>AND(Bills!#REF!,"AAAAABX+/W0=")</f>
        <v>#REF!</v>
      </c>
      <c r="DG126" t="e">
        <f>AND(Bills!AA471,"AAAAABX+/W4=")</f>
        <v>#VALUE!</v>
      </c>
      <c r="DH126" t="e">
        <f>AND(Bills!AB471,"AAAAABX+/W8=")</f>
        <v>#VALUE!</v>
      </c>
      <c r="DI126" t="e">
        <f>AND(Bills!#REF!,"AAAAABX+/XA=")</f>
        <v>#REF!</v>
      </c>
      <c r="DJ126" t="e">
        <f>AND(Bills!#REF!,"AAAAABX+/XE=")</f>
        <v>#REF!</v>
      </c>
      <c r="DK126" t="e">
        <f>AND(Bills!#REF!,"AAAAABX+/XI=")</f>
        <v>#REF!</v>
      </c>
      <c r="DL126" t="e">
        <f>AND(Bills!AC471,"AAAAABX+/XM=")</f>
        <v>#VALUE!</v>
      </c>
      <c r="DM126" t="e">
        <f>AND(Bills!AD471,"AAAAABX+/XQ=")</f>
        <v>#VALUE!</v>
      </c>
      <c r="DN126" t="e">
        <f>AND(Bills!AE471,"AAAAABX+/XU=")</f>
        <v>#VALUE!</v>
      </c>
      <c r="DO126">
        <f>IF(Bills!472:472,"AAAAABX+/XY=",0)</f>
        <v>0</v>
      </c>
      <c r="DP126" t="e">
        <f>AND(Bills!B472,"AAAAABX+/Xc=")</f>
        <v>#VALUE!</v>
      </c>
      <c r="DQ126" t="e">
        <f>AND(Bills!#REF!,"AAAAABX+/Xg=")</f>
        <v>#REF!</v>
      </c>
      <c r="DR126" t="e">
        <f>AND(Bills!C472,"AAAAABX+/Xk=")</f>
        <v>#VALUE!</v>
      </c>
      <c r="DS126" t="e">
        <f>AND(Bills!D472,"AAAAABX+/Xo=")</f>
        <v>#VALUE!</v>
      </c>
      <c r="DT126" t="e">
        <f>AND(Bills!E472,"AAAAABX+/Xs=")</f>
        <v>#VALUE!</v>
      </c>
      <c r="DU126" t="e">
        <f>AND(Bills!#REF!,"AAAAABX+/Xw=")</f>
        <v>#REF!</v>
      </c>
      <c r="DV126" t="e">
        <f>AND(Bills!#REF!,"AAAAABX+/X0=")</f>
        <v>#REF!</v>
      </c>
      <c r="DW126" t="e">
        <f>AND(Bills!#REF!,"AAAAABX+/X4=")</f>
        <v>#REF!</v>
      </c>
      <c r="DX126" t="e">
        <f>AND(Bills!F472,"AAAAABX+/X8=")</f>
        <v>#VALUE!</v>
      </c>
      <c r="DY126" t="e">
        <f>AND(Bills!#REF!,"AAAAABX+/YA=")</f>
        <v>#REF!</v>
      </c>
      <c r="DZ126" t="e">
        <f>AND(Bills!G472,"AAAAABX+/YE=")</f>
        <v>#VALUE!</v>
      </c>
      <c r="EA126" t="e">
        <f>AND(Bills!H472,"AAAAABX+/YI=")</f>
        <v>#VALUE!</v>
      </c>
      <c r="EB126" t="e">
        <f>AND(Bills!I472,"AAAAABX+/YM=")</f>
        <v>#VALUE!</v>
      </c>
      <c r="EC126" t="e">
        <f>AND(Bills!J472,"AAAAABX+/YQ=")</f>
        <v>#VALUE!</v>
      </c>
      <c r="ED126" t="e">
        <f>AND(Bills!K472,"AAAAABX+/YU=")</f>
        <v>#VALUE!</v>
      </c>
      <c r="EE126" t="e">
        <f>AND(Bills!L472,"AAAAABX+/YY=")</f>
        <v>#VALUE!</v>
      </c>
      <c r="EF126" t="e">
        <f>AND(Bills!#REF!,"AAAAABX+/Yc=")</f>
        <v>#REF!</v>
      </c>
      <c r="EG126" t="e">
        <f>AND(Bills!M472,"AAAAABX+/Yg=")</f>
        <v>#VALUE!</v>
      </c>
      <c r="EH126" t="e">
        <f>AND(Bills!N472,"AAAAABX+/Yk=")</f>
        <v>#VALUE!</v>
      </c>
      <c r="EI126" t="e">
        <f>AND(Bills!O472,"AAAAABX+/Yo=")</f>
        <v>#VALUE!</v>
      </c>
      <c r="EJ126" t="e">
        <f>AND(Bills!P472,"AAAAABX+/Ys=")</f>
        <v>#VALUE!</v>
      </c>
      <c r="EK126" t="e">
        <f>AND(Bills!Q472,"AAAAABX+/Yw=")</f>
        <v>#VALUE!</v>
      </c>
      <c r="EL126" t="e">
        <f>AND(Bills!R472,"AAAAABX+/Y0=")</f>
        <v>#VALUE!</v>
      </c>
      <c r="EM126" t="e">
        <f>AND(Bills!S472,"AAAAABX+/Y4=")</f>
        <v>#VALUE!</v>
      </c>
      <c r="EN126" t="e">
        <f>AND(Bills!T472,"AAAAABX+/Y8=")</f>
        <v>#VALUE!</v>
      </c>
      <c r="EO126" t="e">
        <f>AND(Bills!#REF!,"AAAAABX+/ZA=")</f>
        <v>#REF!</v>
      </c>
      <c r="EP126" t="e">
        <f>AND(Bills!U472,"AAAAABX+/ZE=")</f>
        <v>#VALUE!</v>
      </c>
      <c r="EQ126" t="e">
        <f>AND(Bills!V472,"AAAAABX+/ZI=")</f>
        <v>#VALUE!</v>
      </c>
      <c r="ER126" t="e">
        <f>AND(Bills!W472,"AAAAABX+/ZM=")</f>
        <v>#VALUE!</v>
      </c>
      <c r="ES126" t="e">
        <f>AND(Bills!#REF!,"AAAAABX+/ZQ=")</f>
        <v>#REF!</v>
      </c>
      <c r="ET126" t="e">
        <f>AND(Bills!#REF!,"AAAAABX+/ZU=")</f>
        <v>#REF!</v>
      </c>
      <c r="EU126" t="e">
        <f>AND(Bills!Y472,"AAAAABX+/ZY=")</f>
        <v>#VALUE!</v>
      </c>
      <c r="EV126" t="e">
        <f>AND(Bills!Z472,"AAAAABX+/Zc=")</f>
        <v>#VALUE!</v>
      </c>
      <c r="EW126" t="e">
        <f>AND(Bills!#REF!,"AAAAABX+/Zg=")</f>
        <v>#REF!</v>
      </c>
      <c r="EX126" t="e">
        <f>AND(Bills!#REF!,"AAAAABX+/Zk=")</f>
        <v>#REF!</v>
      </c>
      <c r="EY126" t="e">
        <f>AND(Bills!#REF!,"AAAAABX+/Zo=")</f>
        <v>#REF!</v>
      </c>
      <c r="EZ126" t="e">
        <f>AND(Bills!#REF!,"AAAAABX+/Zs=")</f>
        <v>#REF!</v>
      </c>
      <c r="FA126" t="e">
        <f>AND(Bills!#REF!,"AAAAABX+/Zw=")</f>
        <v>#REF!</v>
      </c>
      <c r="FB126" t="e">
        <f>AND(Bills!#REF!,"AAAAABX+/Z0=")</f>
        <v>#REF!</v>
      </c>
      <c r="FC126" t="e">
        <f>AND(Bills!#REF!,"AAAAABX+/Z4=")</f>
        <v>#REF!</v>
      </c>
      <c r="FD126" t="e">
        <f>AND(Bills!#REF!,"AAAAABX+/Z8=")</f>
        <v>#REF!</v>
      </c>
      <c r="FE126" t="e">
        <f>AND(Bills!#REF!,"AAAAABX+/aA=")</f>
        <v>#REF!</v>
      </c>
      <c r="FF126" t="e">
        <f>AND(Bills!AA472,"AAAAABX+/aE=")</f>
        <v>#VALUE!</v>
      </c>
      <c r="FG126" t="e">
        <f>AND(Bills!AB472,"AAAAABX+/aI=")</f>
        <v>#VALUE!</v>
      </c>
      <c r="FH126" t="e">
        <f>AND(Bills!#REF!,"AAAAABX+/aM=")</f>
        <v>#REF!</v>
      </c>
      <c r="FI126" t="e">
        <f>AND(Bills!#REF!,"AAAAABX+/aQ=")</f>
        <v>#REF!</v>
      </c>
      <c r="FJ126" t="e">
        <f>AND(Bills!#REF!,"AAAAABX+/aU=")</f>
        <v>#REF!</v>
      </c>
      <c r="FK126" t="e">
        <f>AND(Bills!AC472,"AAAAABX+/aY=")</f>
        <v>#VALUE!</v>
      </c>
      <c r="FL126" t="e">
        <f>AND(Bills!AD472,"AAAAABX+/ac=")</f>
        <v>#VALUE!</v>
      </c>
      <c r="FM126" t="e">
        <f>AND(Bills!AE472,"AAAAABX+/ag=")</f>
        <v>#VALUE!</v>
      </c>
      <c r="FN126">
        <f>IF(Bills!473:473,"AAAAABX+/ak=",0)</f>
        <v>0</v>
      </c>
      <c r="FO126" t="e">
        <f>AND(Bills!B473,"AAAAABX+/ao=")</f>
        <v>#VALUE!</v>
      </c>
      <c r="FP126" t="e">
        <f>AND(Bills!#REF!,"AAAAABX+/as=")</f>
        <v>#REF!</v>
      </c>
      <c r="FQ126" t="e">
        <f>AND(Bills!C473,"AAAAABX+/aw=")</f>
        <v>#VALUE!</v>
      </c>
      <c r="FR126" t="e">
        <f>AND(Bills!D473,"AAAAABX+/a0=")</f>
        <v>#VALUE!</v>
      </c>
      <c r="FS126" t="e">
        <f>AND(Bills!E473,"AAAAABX+/a4=")</f>
        <v>#VALUE!</v>
      </c>
      <c r="FT126" t="e">
        <f>AND(Bills!#REF!,"AAAAABX+/a8=")</f>
        <v>#REF!</v>
      </c>
      <c r="FU126" t="e">
        <f>AND(Bills!#REF!,"AAAAABX+/bA=")</f>
        <v>#REF!</v>
      </c>
      <c r="FV126" t="e">
        <f>AND(Bills!#REF!,"AAAAABX+/bE=")</f>
        <v>#REF!</v>
      </c>
      <c r="FW126" t="e">
        <f>AND(Bills!F473,"AAAAABX+/bI=")</f>
        <v>#VALUE!</v>
      </c>
      <c r="FX126" t="e">
        <f>AND(Bills!#REF!,"AAAAABX+/bM=")</f>
        <v>#REF!</v>
      </c>
      <c r="FY126" t="e">
        <f>AND(Bills!G473,"AAAAABX+/bQ=")</f>
        <v>#VALUE!</v>
      </c>
      <c r="FZ126" t="e">
        <f>AND(Bills!H473,"AAAAABX+/bU=")</f>
        <v>#VALUE!</v>
      </c>
      <c r="GA126" t="e">
        <f>AND(Bills!I473,"AAAAABX+/bY=")</f>
        <v>#VALUE!</v>
      </c>
      <c r="GB126" t="e">
        <f>AND(Bills!J473,"AAAAABX+/bc=")</f>
        <v>#VALUE!</v>
      </c>
      <c r="GC126" t="e">
        <f>AND(Bills!K473,"AAAAABX+/bg=")</f>
        <v>#VALUE!</v>
      </c>
      <c r="GD126" t="e">
        <f>AND(Bills!L473,"AAAAABX+/bk=")</f>
        <v>#VALUE!</v>
      </c>
      <c r="GE126" t="e">
        <f>AND(Bills!#REF!,"AAAAABX+/bo=")</f>
        <v>#REF!</v>
      </c>
      <c r="GF126" t="e">
        <f>AND(Bills!M473,"AAAAABX+/bs=")</f>
        <v>#VALUE!</v>
      </c>
      <c r="GG126" t="e">
        <f>AND(Bills!N473,"AAAAABX+/bw=")</f>
        <v>#VALUE!</v>
      </c>
      <c r="GH126" t="e">
        <f>AND(Bills!O473,"AAAAABX+/b0=")</f>
        <v>#VALUE!</v>
      </c>
      <c r="GI126" t="e">
        <f>AND(Bills!P473,"AAAAABX+/b4=")</f>
        <v>#VALUE!</v>
      </c>
      <c r="GJ126" t="e">
        <f>AND(Bills!Q473,"AAAAABX+/b8=")</f>
        <v>#VALUE!</v>
      </c>
      <c r="GK126" t="e">
        <f>AND(Bills!R473,"AAAAABX+/cA=")</f>
        <v>#VALUE!</v>
      </c>
      <c r="GL126" t="e">
        <f>AND(Bills!S473,"AAAAABX+/cE=")</f>
        <v>#VALUE!</v>
      </c>
      <c r="GM126" t="e">
        <f>AND(Bills!T473,"AAAAABX+/cI=")</f>
        <v>#VALUE!</v>
      </c>
      <c r="GN126" t="e">
        <f>AND(Bills!#REF!,"AAAAABX+/cM=")</f>
        <v>#REF!</v>
      </c>
      <c r="GO126" t="e">
        <f>AND(Bills!U473,"AAAAABX+/cQ=")</f>
        <v>#VALUE!</v>
      </c>
      <c r="GP126" t="e">
        <f>AND(Bills!V473,"AAAAABX+/cU=")</f>
        <v>#VALUE!</v>
      </c>
      <c r="GQ126" t="e">
        <f>AND(Bills!W473,"AAAAABX+/cY=")</f>
        <v>#VALUE!</v>
      </c>
      <c r="GR126" t="e">
        <f>AND(Bills!#REF!,"AAAAABX+/cc=")</f>
        <v>#REF!</v>
      </c>
      <c r="GS126" t="e">
        <f>AND(Bills!#REF!,"AAAAABX+/cg=")</f>
        <v>#REF!</v>
      </c>
      <c r="GT126" t="e">
        <f>AND(Bills!Y473,"AAAAABX+/ck=")</f>
        <v>#VALUE!</v>
      </c>
      <c r="GU126" t="e">
        <f>AND(Bills!Z473,"AAAAABX+/co=")</f>
        <v>#VALUE!</v>
      </c>
      <c r="GV126" t="e">
        <f>AND(Bills!#REF!,"AAAAABX+/cs=")</f>
        <v>#REF!</v>
      </c>
      <c r="GW126" t="e">
        <f>AND(Bills!#REF!,"AAAAABX+/cw=")</f>
        <v>#REF!</v>
      </c>
      <c r="GX126" t="e">
        <f>AND(Bills!#REF!,"AAAAABX+/c0=")</f>
        <v>#REF!</v>
      </c>
      <c r="GY126" t="e">
        <f>AND(Bills!#REF!,"AAAAABX+/c4=")</f>
        <v>#REF!</v>
      </c>
      <c r="GZ126" t="e">
        <f>AND(Bills!#REF!,"AAAAABX+/c8=")</f>
        <v>#REF!</v>
      </c>
      <c r="HA126" t="e">
        <f>AND(Bills!#REF!,"AAAAABX+/dA=")</f>
        <v>#REF!</v>
      </c>
      <c r="HB126" t="e">
        <f>AND(Bills!#REF!,"AAAAABX+/dE=")</f>
        <v>#REF!</v>
      </c>
      <c r="HC126" t="e">
        <f>AND(Bills!#REF!,"AAAAABX+/dI=")</f>
        <v>#REF!</v>
      </c>
      <c r="HD126" t="e">
        <f>AND(Bills!#REF!,"AAAAABX+/dM=")</f>
        <v>#REF!</v>
      </c>
      <c r="HE126" t="e">
        <f>AND(Bills!AA473,"AAAAABX+/dQ=")</f>
        <v>#VALUE!</v>
      </c>
      <c r="HF126" t="e">
        <f>AND(Bills!AB473,"AAAAABX+/dU=")</f>
        <v>#VALUE!</v>
      </c>
      <c r="HG126" t="e">
        <f>AND(Bills!#REF!,"AAAAABX+/dY=")</f>
        <v>#REF!</v>
      </c>
      <c r="HH126" t="e">
        <f>AND(Bills!#REF!,"AAAAABX+/dc=")</f>
        <v>#REF!</v>
      </c>
      <c r="HI126" t="e">
        <f>AND(Bills!#REF!,"AAAAABX+/dg=")</f>
        <v>#REF!</v>
      </c>
      <c r="HJ126" t="e">
        <f>AND(Bills!AC473,"AAAAABX+/dk=")</f>
        <v>#VALUE!</v>
      </c>
      <c r="HK126" t="e">
        <f>AND(Bills!AD473,"AAAAABX+/do=")</f>
        <v>#VALUE!</v>
      </c>
      <c r="HL126" t="e">
        <f>AND(Bills!AE473,"AAAAABX+/ds=")</f>
        <v>#VALUE!</v>
      </c>
      <c r="HM126">
        <f>IF(Bills!474:474,"AAAAABX+/dw=",0)</f>
        <v>0</v>
      </c>
      <c r="HN126" t="e">
        <f>AND(Bills!B474,"AAAAABX+/d0=")</f>
        <v>#VALUE!</v>
      </c>
      <c r="HO126" t="e">
        <f>AND(Bills!#REF!,"AAAAABX+/d4=")</f>
        <v>#REF!</v>
      </c>
      <c r="HP126" t="e">
        <f>AND(Bills!C474,"AAAAABX+/d8=")</f>
        <v>#VALUE!</v>
      </c>
      <c r="HQ126" t="e">
        <f>AND(Bills!D474,"AAAAABX+/eA=")</f>
        <v>#VALUE!</v>
      </c>
      <c r="HR126" t="e">
        <f>AND(Bills!E474,"AAAAABX+/eE=")</f>
        <v>#VALUE!</v>
      </c>
      <c r="HS126" t="e">
        <f>AND(Bills!#REF!,"AAAAABX+/eI=")</f>
        <v>#REF!</v>
      </c>
      <c r="HT126" t="e">
        <f>AND(Bills!#REF!,"AAAAABX+/eM=")</f>
        <v>#REF!</v>
      </c>
      <c r="HU126" t="e">
        <f>AND(Bills!#REF!,"AAAAABX+/eQ=")</f>
        <v>#REF!</v>
      </c>
      <c r="HV126" t="e">
        <f>AND(Bills!F474,"AAAAABX+/eU=")</f>
        <v>#VALUE!</v>
      </c>
      <c r="HW126" t="e">
        <f>AND(Bills!#REF!,"AAAAABX+/eY=")</f>
        <v>#REF!</v>
      </c>
      <c r="HX126" t="e">
        <f>AND(Bills!G474,"AAAAABX+/ec=")</f>
        <v>#VALUE!</v>
      </c>
      <c r="HY126" t="e">
        <f>AND(Bills!H474,"AAAAABX+/eg=")</f>
        <v>#VALUE!</v>
      </c>
      <c r="HZ126" t="e">
        <f>AND(Bills!I474,"AAAAABX+/ek=")</f>
        <v>#VALUE!</v>
      </c>
      <c r="IA126" t="e">
        <f>AND(Bills!J474,"AAAAABX+/eo=")</f>
        <v>#VALUE!</v>
      </c>
      <c r="IB126" t="e">
        <f>AND(Bills!K474,"AAAAABX+/es=")</f>
        <v>#VALUE!</v>
      </c>
      <c r="IC126" t="e">
        <f>AND(Bills!L474,"AAAAABX+/ew=")</f>
        <v>#VALUE!</v>
      </c>
      <c r="ID126" t="e">
        <f>AND(Bills!#REF!,"AAAAABX+/e0=")</f>
        <v>#REF!</v>
      </c>
      <c r="IE126" t="e">
        <f>AND(Bills!M474,"AAAAABX+/e4=")</f>
        <v>#VALUE!</v>
      </c>
      <c r="IF126" t="e">
        <f>AND(Bills!N474,"AAAAABX+/e8=")</f>
        <v>#VALUE!</v>
      </c>
      <c r="IG126" t="e">
        <f>AND(Bills!O474,"AAAAABX+/fA=")</f>
        <v>#VALUE!</v>
      </c>
      <c r="IH126" t="e">
        <f>AND(Bills!P474,"AAAAABX+/fE=")</f>
        <v>#VALUE!</v>
      </c>
      <c r="II126" t="e">
        <f>AND(Bills!Q474,"AAAAABX+/fI=")</f>
        <v>#VALUE!</v>
      </c>
      <c r="IJ126" t="e">
        <f>AND(Bills!R474,"AAAAABX+/fM=")</f>
        <v>#VALUE!</v>
      </c>
      <c r="IK126" t="e">
        <f>AND(Bills!S474,"AAAAABX+/fQ=")</f>
        <v>#VALUE!</v>
      </c>
      <c r="IL126" t="e">
        <f>AND(Bills!T474,"AAAAABX+/fU=")</f>
        <v>#VALUE!</v>
      </c>
      <c r="IM126" t="e">
        <f>AND(Bills!#REF!,"AAAAABX+/fY=")</f>
        <v>#REF!</v>
      </c>
      <c r="IN126" t="e">
        <f>AND(Bills!U474,"AAAAABX+/fc=")</f>
        <v>#VALUE!</v>
      </c>
      <c r="IO126" t="e">
        <f>AND(Bills!V474,"AAAAABX+/fg=")</f>
        <v>#VALUE!</v>
      </c>
      <c r="IP126" t="e">
        <f>AND(Bills!W474,"AAAAABX+/fk=")</f>
        <v>#VALUE!</v>
      </c>
      <c r="IQ126" t="e">
        <f>AND(Bills!#REF!,"AAAAABX+/fo=")</f>
        <v>#REF!</v>
      </c>
      <c r="IR126" t="e">
        <f>AND(Bills!#REF!,"AAAAABX+/fs=")</f>
        <v>#REF!</v>
      </c>
      <c r="IS126" t="e">
        <f>AND(Bills!Y474,"AAAAABX+/fw=")</f>
        <v>#VALUE!</v>
      </c>
      <c r="IT126" t="e">
        <f>AND(Bills!Z474,"AAAAABX+/f0=")</f>
        <v>#VALUE!</v>
      </c>
      <c r="IU126" t="e">
        <f>AND(Bills!#REF!,"AAAAABX+/f4=")</f>
        <v>#REF!</v>
      </c>
      <c r="IV126" t="e">
        <f>AND(Bills!#REF!,"AAAAABX+/f8=")</f>
        <v>#REF!</v>
      </c>
    </row>
    <row r="127" spans="1:256" x14ac:dyDescent="0.25">
      <c r="A127" t="e">
        <f>AND(Bills!#REF!,"AAAAAF/5ewA=")</f>
        <v>#REF!</v>
      </c>
      <c r="B127" t="e">
        <f>AND(Bills!#REF!,"AAAAAF/5ewE=")</f>
        <v>#REF!</v>
      </c>
      <c r="C127" t="e">
        <f>AND(Bills!#REF!,"AAAAAF/5ewI=")</f>
        <v>#REF!</v>
      </c>
      <c r="D127" t="e">
        <f>AND(Bills!#REF!,"AAAAAF/5ewM=")</f>
        <v>#REF!</v>
      </c>
      <c r="E127" t="e">
        <f>AND(Bills!#REF!,"AAAAAF/5ewQ=")</f>
        <v>#REF!</v>
      </c>
      <c r="F127" t="e">
        <f>AND(Bills!#REF!,"AAAAAF/5ewU=")</f>
        <v>#REF!</v>
      </c>
      <c r="G127" t="e">
        <f>AND(Bills!#REF!,"AAAAAF/5ewY=")</f>
        <v>#REF!</v>
      </c>
      <c r="H127" t="e">
        <f>AND(Bills!AA474,"AAAAAF/5ewc=")</f>
        <v>#VALUE!</v>
      </c>
      <c r="I127" t="e">
        <f>AND(Bills!AB474,"AAAAAF/5ewg=")</f>
        <v>#VALUE!</v>
      </c>
      <c r="J127" t="e">
        <f>AND(Bills!#REF!,"AAAAAF/5ewk=")</f>
        <v>#REF!</v>
      </c>
      <c r="K127" t="e">
        <f>AND(Bills!#REF!,"AAAAAF/5ewo=")</f>
        <v>#REF!</v>
      </c>
      <c r="L127" t="e">
        <f>AND(Bills!#REF!,"AAAAAF/5ews=")</f>
        <v>#REF!</v>
      </c>
      <c r="M127" t="e">
        <f>AND(Bills!AC474,"AAAAAF/5eww=")</f>
        <v>#VALUE!</v>
      </c>
      <c r="N127" t="e">
        <f>AND(Bills!AD474,"AAAAAF/5ew0=")</f>
        <v>#VALUE!</v>
      </c>
      <c r="O127" t="e">
        <f>AND(Bills!AE474,"AAAAAF/5ew4=")</f>
        <v>#VALUE!</v>
      </c>
      <c r="P127">
        <f>IF(Bills!475:475,"AAAAAF/5ew8=",0)</f>
        <v>0</v>
      </c>
      <c r="Q127" t="e">
        <f>AND(Bills!B475,"AAAAAF/5exA=")</f>
        <v>#VALUE!</v>
      </c>
      <c r="R127" t="e">
        <f>AND(Bills!#REF!,"AAAAAF/5exE=")</f>
        <v>#REF!</v>
      </c>
      <c r="S127" t="e">
        <f>AND(Bills!C475,"AAAAAF/5exI=")</f>
        <v>#VALUE!</v>
      </c>
      <c r="T127" t="e">
        <f>AND(Bills!D475,"AAAAAF/5exM=")</f>
        <v>#VALUE!</v>
      </c>
      <c r="U127" t="e">
        <f>AND(Bills!E475,"AAAAAF/5exQ=")</f>
        <v>#VALUE!</v>
      </c>
      <c r="V127" t="e">
        <f>AND(Bills!#REF!,"AAAAAF/5exU=")</f>
        <v>#REF!</v>
      </c>
      <c r="W127" t="e">
        <f>AND(Bills!#REF!,"AAAAAF/5exY=")</f>
        <v>#REF!</v>
      </c>
      <c r="X127" t="e">
        <f>AND(Bills!#REF!,"AAAAAF/5exc=")</f>
        <v>#REF!</v>
      </c>
      <c r="Y127" t="e">
        <f>AND(Bills!F475,"AAAAAF/5exg=")</f>
        <v>#VALUE!</v>
      </c>
      <c r="Z127" t="e">
        <f>AND(Bills!#REF!,"AAAAAF/5exk=")</f>
        <v>#REF!</v>
      </c>
      <c r="AA127" t="e">
        <f>AND(Bills!G475,"AAAAAF/5exo=")</f>
        <v>#VALUE!</v>
      </c>
      <c r="AB127" t="e">
        <f>AND(Bills!H475,"AAAAAF/5exs=")</f>
        <v>#VALUE!</v>
      </c>
      <c r="AC127" t="e">
        <f>AND(Bills!I475,"AAAAAF/5exw=")</f>
        <v>#VALUE!</v>
      </c>
      <c r="AD127" t="e">
        <f>AND(Bills!J475,"AAAAAF/5ex0=")</f>
        <v>#VALUE!</v>
      </c>
      <c r="AE127" t="e">
        <f>AND(Bills!K475,"AAAAAF/5ex4=")</f>
        <v>#VALUE!</v>
      </c>
      <c r="AF127" t="e">
        <f>AND(Bills!L475,"AAAAAF/5ex8=")</f>
        <v>#VALUE!</v>
      </c>
      <c r="AG127" t="e">
        <f>AND(Bills!#REF!,"AAAAAF/5eyA=")</f>
        <v>#REF!</v>
      </c>
      <c r="AH127" t="e">
        <f>AND(Bills!M475,"AAAAAF/5eyE=")</f>
        <v>#VALUE!</v>
      </c>
      <c r="AI127" t="e">
        <f>AND(Bills!N475,"AAAAAF/5eyI=")</f>
        <v>#VALUE!</v>
      </c>
      <c r="AJ127" t="e">
        <f>AND(Bills!O475,"AAAAAF/5eyM=")</f>
        <v>#VALUE!</v>
      </c>
      <c r="AK127" t="e">
        <f>AND(Bills!P475,"AAAAAF/5eyQ=")</f>
        <v>#VALUE!</v>
      </c>
      <c r="AL127" t="e">
        <f>AND(Bills!Q475,"AAAAAF/5eyU=")</f>
        <v>#VALUE!</v>
      </c>
      <c r="AM127" t="e">
        <f>AND(Bills!R475,"AAAAAF/5eyY=")</f>
        <v>#VALUE!</v>
      </c>
      <c r="AN127" t="e">
        <f>AND(Bills!S475,"AAAAAF/5eyc=")</f>
        <v>#VALUE!</v>
      </c>
      <c r="AO127" t="e">
        <f>AND(Bills!T475,"AAAAAF/5eyg=")</f>
        <v>#VALUE!</v>
      </c>
      <c r="AP127" t="e">
        <f>AND(Bills!#REF!,"AAAAAF/5eyk=")</f>
        <v>#REF!</v>
      </c>
      <c r="AQ127" t="e">
        <f>AND(Bills!U475,"AAAAAF/5eyo=")</f>
        <v>#VALUE!</v>
      </c>
      <c r="AR127" t="e">
        <f>AND(Bills!V475,"AAAAAF/5eys=")</f>
        <v>#VALUE!</v>
      </c>
      <c r="AS127" t="e">
        <f>AND(Bills!W475,"AAAAAF/5eyw=")</f>
        <v>#VALUE!</v>
      </c>
      <c r="AT127" t="e">
        <f>AND(Bills!#REF!,"AAAAAF/5ey0=")</f>
        <v>#REF!</v>
      </c>
      <c r="AU127" t="e">
        <f>AND(Bills!#REF!,"AAAAAF/5ey4=")</f>
        <v>#REF!</v>
      </c>
      <c r="AV127" t="e">
        <f>AND(Bills!Y475,"AAAAAF/5ey8=")</f>
        <v>#VALUE!</v>
      </c>
      <c r="AW127" t="e">
        <f>AND(Bills!Z475,"AAAAAF/5ezA=")</f>
        <v>#VALUE!</v>
      </c>
      <c r="AX127" t="e">
        <f>AND(Bills!#REF!,"AAAAAF/5ezE=")</f>
        <v>#REF!</v>
      </c>
      <c r="AY127" t="e">
        <f>AND(Bills!#REF!,"AAAAAF/5ezI=")</f>
        <v>#REF!</v>
      </c>
      <c r="AZ127" t="e">
        <f>AND(Bills!#REF!,"AAAAAF/5ezM=")</f>
        <v>#REF!</v>
      </c>
      <c r="BA127" t="e">
        <f>AND(Bills!#REF!,"AAAAAF/5ezQ=")</f>
        <v>#REF!</v>
      </c>
      <c r="BB127" t="e">
        <f>AND(Bills!#REF!,"AAAAAF/5ezU=")</f>
        <v>#REF!</v>
      </c>
      <c r="BC127" t="e">
        <f>AND(Bills!#REF!,"AAAAAF/5ezY=")</f>
        <v>#REF!</v>
      </c>
      <c r="BD127" t="e">
        <f>AND(Bills!#REF!,"AAAAAF/5ezc=")</f>
        <v>#REF!</v>
      </c>
      <c r="BE127" t="e">
        <f>AND(Bills!#REF!,"AAAAAF/5ezg=")</f>
        <v>#REF!</v>
      </c>
      <c r="BF127" t="e">
        <f>AND(Bills!#REF!,"AAAAAF/5ezk=")</f>
        <v>#REF!</v>
      </c>
      <c r="BG127" t="e">
        <f>AND(Bills!AA475,"AAAAAF/5ezo=")</f>
        <v>#VALUE!</v>
      </c>
      <c r="BH127" t="e">
        <f>AND(Bills!AB475,"AAAAAF/5ezs=")</f>
        <v>#VALUE!</v>
      </c>
      <c r="BI127" t="e">
        <f>AND(Bills!#REF!,"AAAAAF/5ezw=")</f>
        <v>#REF!</v>
      </c>
      <c r="BJ127" t="e">
        <f>AND(Bills!#REF!,"AAAAAF/5ez0=")</f>
        <v>#REF!</v>
      </c>
      <c r="BK127" t="e">
        <f>AND(Bills!#REF!,"AAAAAF/5ez4=")</f>
        <v>#REF!</v>
      </c>
      <c r="BL127" t="e">
        <f>AND(Bills!AC475,"AAAAAF/5ez8=")</f>
        <v>#VALUE!</v>
      </c>
      <c r="BM127" t="e">
        <f>AND(Bills!AD475,"AAAAAF/5e0A=")</f>
        <v>#VALUE!</v>
      </c>
      <c r="BN127" t="e">
        <f>AND(Bills!AE475,"AAAAAF/5e0E=")</f>
        <v>#VALUE!</v>
      </c>
      <c r="BO127">
        <f>IF(Bills!476:476,"AAAAAF/5e0I=",0)</f>
        <v>0</v>
      </c>
      <c r="BP127" t="e">
        <f>AND(Bills!B476,"AAAAAF/5e0M=")</f>
        <v>#VALUE!</v>
      </c>
      <c r="BQ127" t="e">
        <f>AND(Bills!#REF!,"AAAAAF/5e0Q=")</f>
        <v>#REF!</v>
      </c>
      <c r="BR127" t="e">
        <f>AND(Bills!C476,"AAAAAF/5e0U=")</f>
        <v>#VALUE!</v>
      </c>
      <c r="BS127" t="e">
        <f>AND(Bills!D476,"AAAAAF/5e0Y=")</f>
        <v>#VALUE!</v>
      </c>
      <c r="BT127" t="e">
        <f>AND(Bills!E476,"AAAAAF/5e0c=")</f>
        <v>#VALUE!</v>
      </c>
      <c r="BU127" t="e">
        <f>AND(Bills!#REF!,"AAAAAF/5e0g=")</f>
        <v>#REF!</v>
      </c>
      <c r="BV127" t="e">
        <f>AND(Bills!#REF!,"AAAAAF/5e0k=")</f>
        <v>#REF!</v>
      </c>
      <c r="BW127" t="e">
        <f>AND(Bills!#REF!,"AAAAAF/5e0o=")</f>
        <v>#REF!</v>
      </c>
      <c r="BX127" t="e">
        <f>AND(Bills!F476,"AAAAAF/5e0s=")</f>
        <v>#VALUE!</v>
      </c>
      <c r="BY127" t="e">
        <f>AND(Bills!#REF!,"AAAAAF/5e0w=")</f>
        <v>#REF!</v>
      </c>
      <c r="BZ127" t="e">
        <f>AND(Bills!G476,"AAAAAF/5e00=")</f>
        <v>#VALUE!</v>
      </c>
      <c r="CA127" t="e">
        <f>AND(Bills!H476,"AAAAAF/5e04=")</f>
        <v>#VALUE!</v>
      </c>
      <c r="CB127" t="e">
        <f>AND(Bills!I476,"AAAAAF/5e08=")</f>
        <v>#VALUE!</v>
      </c>
      <c r="CC127" t="e">
        <f>AND(Bills!J476,"AAAAAF/5e1A=")</f>
        <v>#VALUE!</v>
      </c>
      <c r="CD127" t="e">
        <f>AND(Bills!K476,"AAAAAF/5e1E=")</f>
        <v>#VALUE!</v>
      </c>
      <c r="CE127" t="e">
        <f>AND(Bills!L476,"AAAAAF/5e1I=")</f>
        <v>#VALUE!</v>
      </c>
      <c r="CF127" t="e">
        <f>AND(Bills!#REF!,"AAAAAF/5e1M=")</f>
        <v>#REF!</v>
      </c>
      <c r="CG127" t="e">
        <f>AND(Bills!M476,"AAAAAF/5e1Q=")</f>
        <v>#VALUE!</v>
      </c>
      <c r="CH127" t="e">
        <f>AND(Bills!N476,"AAAAAF/5e1U=")</f>
        <v>#VALUE!</v>
      </c>
      <c r="CI127" t="e">
        <f>AND(Bills!O476,"AAAAAF/5e1Y=")</f>
        <v>#VALUE!</v>
      </c>
      <c r="CJ127" t="e">
        <f>AND(Bills!P476,"AAAAAF/5e1c=")</f>
        <v>#VALUE!</v>
      </c>
      <c r="CK127" t="e">
        <f>AND(Bills!Q476,"AAAAAF/5e1g=")</f>
        <v>#VALUE!</v>
      </c>
      <c r="CL127" t="e">
        <f>AND(Bills!R476,"AAAAAF/5e1k=")</f>
        <v>#VALUE!</v>
      </c>
      <c r="CM127" t="e">
        <f>AND(Bills!S476,"AAAAAF/5e1o=")</f>
        <v>#VALUE!</v>
      </c>
      <c r="CN127" t="e">
        <f>AND(Bills!T476,"AAAAAF/5e1s=")</f>
        <v>#VALUE!</v>
      </c>
      <c r="CO127" t="e">
        <f>AND(Bills!#REF!,"AAAAAF/5e1w=")</f>
        <v>#REF!</v>
      </c>
      <c r="CP127" t="e">
        <f>AND(Bills!U476,"AAAAAF/5e10=")</f>
        <v>#VALUE!</v>
      </c>
      <c r="CQ127" t="e">
        <f>AND(Bills!V476,"AAAAAF/5e14=")</f>
        <v>#VALUE!</v>
      </c>
      <c r="CR127" t="e">
        <f>AND(Bills!W476,"AAAAAF/5e18=")</f>
        <v>#VALUE!</v>
      </c>
      <c r="CS127" t="e">
        <f>AND(Bills!#REF!,"AAAAAF/5e2A=")</f>
        <v>#REF!</v>
      </c>
      <c r="CT127" t="e">
        <f>AND(Bills!#REF!,"AAAAAF/5e2E=")</f>
        <v>#REF!</v>
      </c>
      <c r="CU127" t="e">
        <f>AND(Bills!Y476,"AAAAAF/5e2I=")</f>
        <v>#VALUE!</v>
      </c>
      <c r="CV127" t="e">
        <f>AND(Bills!Z476,"AAAAAF/5e2M=")</f>
        <v>#VALUE!</v>
      </c>
      <c r="CW127" t="e">
        <f>AND(Bills!#REF!,"AAAAAF/5e2Q=")</f>
        <v>#REF!</v>
      </c>
      <c r="CX127" t="e">
        <f>AND(Bills!#REF!,"AAAAAF/5e2U=")</f>
        <v>#REF!</v>
      </c>
      <c r="CY127" t="e">
        <f>AND(Bills!#REF!,"AAAAAF/5e2Y=")</f>
        <v>#REF!</v>
      </c>
      <c r="CZ127" t="e">
        <f>AND(Bills!#REF!,"AAAAAF/5e2c=")</f>
        <v>#REF!</v>
      </c>
      <c r="DA127" t="e">
        <f>AND(Bills!#REF!,"AAAAAF/5e2g=")</f>
        <v>#REF!</v>
      </c>
      <c r="DB127" t="e">
        <f>AND(Bills!#REF!,"AAAAAF/5e2k=")</f>
        <v>#REF!</v>
      </c>
      <c r="DC127" t="e">
        <f>AND(Bills!#REF!,"AAAAAF/5e2o=")</f>
        <v>#REF!</v>
      </c>
      <c r="DD127" t="e">
        <f>AND(Bills!#REF!,"AAAAAF/5e2s=")</f>
        <v>#REF!</v>
      </c>
      <c r="DE127" t="e">
        <f>AND(Bills!#REF!,"AAAAAF/5e2w=")</f>
        <v>#REF!</v>
      </c>
      <c r="DF127" t="e">
        <f>AND(Bills!AA476,"AAAAAF/5e20=")</f>
        <v>#VALUE!</v>
      </c>
      <c r="DG127" t="e">
        <f>AND(Bills!AB476,"AAAAAF/5e24=")</f>
        <v>#VALUE!</v>
      </c>
      <c r="DH127" t="e">
        <f>AND(Bills!#REF!,"AAAAAF/5e28=")</f>
        <v>#REF!</v>
      </c>
      <c r="DI127" t="e">
        <f>AND(Bills!#REF!,"AAAAAF/5e3A=")</f>
        <v>#REF!</v>
      </c>
      <c r="DJ127" t="e">
        <f>AND(Bills!#REF!,"AAAAAF/5e3E=")</f>
        <v>#REF!</v>
      </c>
      <c r="DK127" t="e">
        <f>AND(Bills!AC476,"AAAAAF/5e3I=")</f>
        <v>#VALUE!</v>
      </c>
      <c r="DL127" t="e">
        <f>AND(Bills!AD476,"AAAAAF/5e3M=")</f>
        <v>#VALUE!</v>
      </c>
      <c r="DM127" t="e">
        <f>AND(Bills!AE476,"AAAAAF/5e3Q=")</f>
        <v>#VALUE!</v>
      </c>
      <c r="DN127">
        <f>IF(Bills!477:477,"AAAAAF/5e3U=",0)</f>
        <v>0</v>
      </c>
      <c r="DO127" t="e">
        <f>AND(Bills!B477,"AAAAAF/5e3Y=")</f>
        <v>#VALUE!</v>
      </c>
      <c r="DP127" t="e">
        <f>AND(Bills!#REF!,"AAAAAF/5e3c=")</f>
        <v>#REF!</v>
      </c>
      <c r="DQ127" t="e">
        <f>AND(Bills!C477,"AAAAAF/5e3g=")</f>
        <v>#VALUE!</v>
      </c>
      <c r="DR127" t="e">
        <f>AND(Bills!D477,"AAAAAF/5e3k=")</f>
        <v>#VALUE!</v>
      </c>
      <c r="DS127" t="e">
        <f>AND(Bills!E477,"AAAAAF/5e3o=")</f>
        <v>#VALUE!</v>
      </c>
      <c r="DT127" t="e">
        <f>AND(Bills!#REF!,"AAAAAF/5e3s=")</f>
        <v>#REF!</v>
      </c>
      <c r="DU127" t="e">
        <f>AND(Bills!#REF!,"AAAAAF/5e3w=")</f>
        <v>#REF!</v>
      </c>
      <c r="DV127" t="e">
        <f>AND(Bills!#REF!,"AAAAAF/5e30=")</f>
        <v>#REF!</v>
      </c>
      <c r="DW127" t="e">
        <f>AND(Bills!F477,"AAAAAF/5e34=")</f>
        <v>#VALUE!</v>
      </c>
      <c r="DX127" t="e">
        <f>AND(Bills!#REF!,"AAAAAF/5e38=")</f>
        <v>#REF!</v>
      </c>
      <c r="DY127" t="e">
        <f>AND(Bills!G477,"AAAAAF/5e4A=")</f>
        <v>#VALUE!</v>
      </c>
      <c r="DZ127" t="e">
        <f>AND(Bills!H477,"AAAAAF/5e4E=")</f>
        <v>#VALUE!</v>
      </c>
      <c r="EA127" t="e">
        <f>AND(Bills!I477,"AAAAAF/5e4I=")</f>
        <v>#VALUE!</v>
      </c>
      <c r="EB127" t="e">
        <f>AND(Bills!J477,"AAAAAF/5e4M=")</f>
        <v>#VALUE!</v>
      </c>
      <c r="EC127" t="e">
        <f>AND(Bills!K477,"AAAAAF/5e4Q=")</f>
        <v>#VALUE!</v>
      </c>
      <c r="ED127" t="e">
        <f>AND(Bills!L477,"AAAAAF/5e4U=")</f>
        <v>#VALUE!</v>
      </c>
      <c r="EE127" t="e">
        <f>AND(Bills!#REF!,"AAAAAF/5e4Y=")</f>
        <v>#REF!</v>
      </c>
      <c r="EF127" t="e">
        <f>AND(Bills!M477,"AAAAAF/5e4c=")</f>
        <v>#VALUE!</v>
      </c>
      <c r="EG127" t="e">
        <f>AND(Bills!N477,"AAAAAF/5e4g=")</f>
        <v>#VALUE!</v>
      </c>
      <c r="EH127" t="e">
        <f>AND(Bills!O477,"AAAAAF/5e4k=")</f>
        <v>#VALUE!</v>
      </c>
      <c r="EI127" t="e">
        <f>AND(Bills!P477,"AAAAAF/5e4o=")</f>
        <v>#VALUE!</v>
      </c>
      <c r="EJ127" t="e">
        <f>AND(Bills!Q477,"AAAAAF/5e4s=")</f>
        <v>#VALUE!</v>
      </c>
      <c r="EK127" t="e">
        <f>AND(Bills!R477,"AAAAAF/5e4w=")</f>
        <v>#VALUE!</v>
      </c>
      <c r="EL127" t="e">
        <f>AND(Bills!S477,"AAAAAF/5e40=")</f>
        <v>#VALUE!</v>
      </c>
      <c r="EM127" t="e">
        <f>AND(Bills!T477,"AAAAAF/5e44=")</f>
        <v>#VALUE!</v>
      </c>
      <c r="EN127" t="e">
        <f>AND(Bills!#REF!,"AAAAAF/5e48=")</f>
        <v>#REF!</v>
      </c>
      <c r="EO127" t="e">
        <f>AND(Bills!U477,"AAAAAF/5e5A=")</f>
        <v>#VALUE!</v>
      </c>
      <c r="EP127" t="e">
        <f>AND(Bills!V477,"AAAAAF/5e5E=")</f>
        <v>#VALUE!</v>
      </c>
      <c r="EQ127" t="e">
        <f>AND(Bills!W477,"AAAAAF/5e5I=")</f>
        <v>#VALUE!</v>
      </c>
      <c r="ER127" t="e">
        <f>AND(Bills!#REF!,"AAAAAF/5e5M=")</f>
        <v>#REF!</v>
      </c>
      <c r="ES127" t="e">
        <f>AND(Bills!#REF!,"AAAAAF/5e5Q=")</f>
        <v>#REF!</v>
      </c>
      <c r="ET127" t="e">
        <f>AND(Bills!Y477,"AAAAAF/5e5U=")</f>
        <v>#VALUE!</v>
      </c>
      <c r="EU127" t="e">
        <f>AND(Bills!Z477,"AAAAAF/5e5Y=")</f>
        <v>#VALUE!</v>
      </c>
      <c r="EV127" t="e">
        <f>AND(Bills!#REF!,"AAAAAF/5e5c=")</f>
        <v>#REF!</v>
      </c>
      <c r="EW127" t="e">
        <f>AND(Bills!#REF!,"AAAAAF/5e5g=")</f>
        <v>#REF!</v>
      </c>
      <c r="EX127" t="e">
        <f>AND(Bills!#REF!,"AAAAAF/5e5k=")</f>
        <v>#REF!</v>
      </c>
      <c r="EY127" t="e">
        <f>AND(Bills!#REF!,"AAAAAF/5e5o=")</f>
        <v>#REF!</v>
      </c>
      <c r="EZ127" t="e">
        <f>AND(Bills!#REF!,"AAAAAF/5e5s=")</f>
        <v>#REF!</v>
      </c>
      <c r="FA127" t="e">
        <f>AND(Bills!#REF!,"AAAAAF/5e5w=")</f>
        <v>#REF!</v>
      </c>
      <c r="FB127" t="e">
        <f>AND(Bills!#REF!,"AAAAAF/5e50=")</f>
        <v>#REF!</v>
      </c>
      <c r="FC127" t="e">
        <f>AND(Bills!#REF!,"AAAAAF/5e54=")</f>
        <v>#REF!</v>
      </c>
      <c r="FD127" t="e">
        <f>AND(Bills!#REF!,"AAAAAF/5e58=")</f>
        <v>#REF!</v>
      </c>
      <c r="FE127" t="e">
        <f>AND(Bills!AA477,"AAAAAF/5e6A=")</f>
        <v>#VALUE!</v>
      </c>
      <c r="FF127" t="e">
        <f>AND(Bills!AB477,"AAAAAF/5e6E=")</f>
        <v>#VALUE!</v>
      </c>
      <c r="FG127" t="e">
        <f>AND(Bills!#REF!,"AAAAAF/5e6I=")</f>
        <v>#REF!</v>
      </c>
      <c r="FH127" t="e">
        <f>AND(Bills!#REF!,"AAAAAF/5e6M=")</f>
        <v>#REF!</v>
      </c>
      <c r="FI127" t="e">
        <f>AND(Bills!#REF!,"AAAAAF/5e6Q=")</f>
        <v>#REF!</v>
      </c>
      <c r="FJ127" t="e">
        <f>AND(Bills!AC477,"AAAAAF/5e6U=")</f>
        <v>#VALUE!</v>
      </c>
      <c r="FK127" t="e">
        <f>AND(Bills!AD477,"AAAAAF/5e6Y=")</f>
        <v>#VALUE!</v>
      </c>
      <c r="FL127" t="e">
        <f>AND(Bills!AE477,"AAAAAF/5e6c=")</f>
        <v>#VALUE!</v>
      </c>
      <c r="FM127">
        <f>IF(Bills!478:478,"AAAAAF/5e6g=",0)</f>
        <v>0</v>
      </c>
      <c r="FN127" t="e">
        <f>AND(Bills!B478,"AAAAAF/5e6k=")</f>
        <v>#VALUE!</v>
      </c>
      <c r="FO127" t="e">
        <f>AND(Bills!#REF!,"AAAAAF/5e6o=")</f>
        <v>#REF!</v>
      </c>
      <c r="FP127" t="e">
        <f>AND(Bills!C478,"AAAAAF/5e6s=")</f>
        <v>#VALUE!</v>
      </c>
      <c r="FQ127" t="e">
        <f>AND(Bills!D478,"AAAAAF/5e6w=")</f>
        <v>#VALUE!</v>
      </c>
      <c r="FR127" t="e">
        <f>AND(Bills!E478,"AAAAAF/5e60=")</f>
        <v>#VALUE!</v>
      </c>
      <c r="FS127" t="e">
        <f>AND(Bills!#REF!,"AAAAAF/5e64=")</f>
        <v>#REF!</v>
      </c>
      <c r="FT127" t="e">
        <f>AND(Bills!#REF!,"AAAAAF/5e68=")</f>
        <v>#REF!</v>
      </c>
      <c r="FU127" t="e">
        <f>AND(Bills!#REF!,"AAAAAF/5e7A=")</f>
        <v>#REF!</v>
      </c>
      <c r="FV127" t="e">
        <f>AND(Bills!F478,"AAAAAF/5e7E=")</f>
        <v>#VALUE!</v>
      </c>
      <c r="FW127" t="e">
        <f>AND(Bills!#REF!,"AAAAAF/5e7I=")</f>
        <v>#REF!</v>
      </c>
      <c r="FX127" t="e">
        <f>AND(Bills!G478,"AAAAAF/5e7M=")</f>
        <v>#VALUE!</v>
      </c>
      <c r="FY127" t="e">
        <f>AND(Bills!H478,"AAAAAF/5e7Q=")</f>
        <v>#VALUE!</v>
      </c>
      <c r="FZ127" t="e">
        <f>AND(Bills!I478,"AAAAAF/5e7U=")</f>
        <v>#VALUE!</v>
      </c>
      <c r="GA127" t="e">
        <f>AND(Bills!J478,"AAAAAF/5e7Y=")</f>
        <v>#VALUE!</v>
      </c>
      <c r="GB127" t="e">
        <f>AND(Bills!K478,"AAAAAF/5e7c=")</f>
        <v>#VALUE!</v>
      </c>
      <c r="GC127" t="e">
        <f>AND(Bills!L478,"AAAAAF/5e7g=")</f>
        <v>#VALUE!</v>
      </c>
      <c r="GD127" t="e">
        <f>AND(Bills!#REF!,"AAAAAF/5e7k=")</f>
        <v>#REF!</v>
      </c>
      <c r="GE127" t="e">
        <f>AND(Bills!M478,"AAAAAF/5e7o=")</f>
        <v>#VALUE!</v>
      </c>
      <c r="GF127" t="e">
        <f>AND(Bills!N478,"AAAAAF/5e7s=")</f>
        <v>#VALUE!</v>
      </c>
      <c r="GG127" t="e">
        <f>AND(Bills!O478,"AAAAAF/5e7w=")</f>
        <v>#VALUE!</v>
      </c>
      <c r="GH127" t="e">
        <f>AND(Bills!P478,"AAAAAF/5e70=")</f>
        <v>#VALUE!</v>
      </c>
      <c r="GI127" t="e">
        <f>AND(Bills!Q478,"AAAAAF/5e74=")</f>
        <v>#VALUE!</v>
      </c>
      <c r="GJ127" t="e">
        <f>AND(Bills!R478,"AAAAAF/5e78=")</f>
        <v>#VALUE!</v>
      </c>
      <c r="GK127" t="e">
        <f>AND(Bills!S478,"AAAAAF/5e8A=")</f>
        <v>#VALUE!</v>
      </c>
      <c r="GL127" t="e">
        <f>AND(Bills!T478,"AAAAAF/5e8E=")</f>
        <v>#VALUE!</v>
      </c>
      <c r="GM127" t="e">
        <f>AND(Bills!#REF!,"AAAAAF/5e8I=")</f>
        <v>#REF!</v>
      </c>
      <c r="GN127" t="e">
        <f>AND(Bills!U478,"AAAAAF/5e8M=")</f>
        <v>#VALUE!</v>
      </c>
      <c r="GO127" t="e">
        <f>AND(Bills!V478,"AAAAAF/5e8Q=")</f>
        <v>#VALUE!</v>
      </c>
      <c r="GP127" t="e">
        <f>AND(Bills!W478,"AAAAAF/5e8U=")</f>
        <v>#VALUE!</v>
      </c>
      <c r="GQ127" t="e">
        <f>AND(Bills!#REF!,"AAAAAF/5e8Y=")</f>
        <v>#REF!</v>
      </c>
      <c r="GR127" t="e">
        <f>AND(Bills!#REF!,"AAAAAF/5e8c=")</f>
        <v>#REF!</v>
      </c>
      <c r="GS127" t="e">
        <f>AND(Bills!Y478,"AAAAAF/5e8g=")</f>
        <v>#VALUE!</v>
      </c>
      <c r="GT127" t="e">
        <f>AND(Bills!Z478,"AAAAAF/5e8k=")</f>
        <v>#VALUE!</v>
      </c>
      <c r="GU127" t="e">
        <f>AND(Bills!#REF!,"AAAAAF/5e8o=")</f>
        <v>#REF!</v>
      </c>
      <c r="GV127" t="e">
        <f>AND(Bills!#REF!,"AAAAAF/5e8s=")</f>
        <v>#REF!</v>
      </c>
      <c r="GW127" t="e">
        <f>AND(Bills!#REF!,"AAAAAF/5e8w=")</f>
        <v>#REF!</v>
      </c>
      <c r="GX127" t="e">
        <f>AND(Bills!#REF!,"AAAAAF/5e80=")</f>
        <v>#REF!</v>
      </c>
      <c r="GY127" t="e">
        <f>AND(Bills!#REF!,"AAAAAF/5e84=")</f>
        <v>#REF!</v>
      </c>
      <c r="GZ127" t="e">
        <f>AND(Bills!#REF!,"AAAAAF/5e88=")</f>
        <v>#REF!</v>
      </c>
      <c r="HA127" t="e">
        <f>AND(Bills!#REF!,"AAAAAF/5e9A=")</f>
        <v>#REF!</v>
      </c>
      <c r="HB127" t="e">
        <f>AND(Bills!#REF!,"AAAAAF/5e9E=")</f>
        <v>#REF!</v>
      </c>
      <c r="HC127" t="e">
        <f>AND(Bills!#REF!,"AAAAAF/5e9I=")</f>
        <v>#REF!</v>
      </c>
      <c r="HD127" t="e">
        <f>AND(Bills!AA478,"AAAAAF/5e9M=")</f>
        <v>#VALUE!</v>
      </c>
      <c r="HE127" t="e">
        <f>AND(Bills!AB478,"AAAAAF/5e9Q=")</f>
        <v>#VALUE!</v>
      </c>
      <c r="HF127" t="e">
        <f>AND(Bills!#REF!,"AAAAAF/5e9U=")</f>
        <v>#REF!</v>
      </c>
      <c r="HG127" t="e">
        <f>AND(Bills!#REF!,"AAAAAF/5e9Y=")</f>
        <v>#REF!</v>
      </c>
      <c r="HH127" t="e">
        <f>AND(Bills!#REF!,"AAAAAF/5e9c=")</f>
        <v>#REF!</v>
      </c>
      <c r="HI127" t="e">
        <f>AND(Bills!AC478,"AAAAAF/5e9g=")</f>
        <v>#VALUE!</v>
      </c>
      <c r="HJ127" t="e">
        <f>AND(Bills!AD478,"AAAAAF/5e9k=")</f>
        <v>#VALUE!</v>
      </c>
      <c r="HK127" t="e">
        <f>AND(Bills!AE478,"AAAAAF/5e9o=")</f>
        <v>#VALUE!</v>
      </c>
      <c r="HL127">
        <f>IF(Bills!479:479,"AAAAAF/5e9s=",0)</f>
        <v>0</v>
      </c>
      <c r="HM127" t="e">
        <f>AND(Bills!B479,"AAAAAF/5e9w=")</f>
        <v>#VALUE!</v>
      </c>
      <c r="HN127" t="e">
        <f>AND(Bills!#REF!,"AAAAAF/5e90=")</f>
        <v>#REF!</v>
      </c>
      <c r="HO127" t="e">
        <f>AND(Bills!C479,"AAAAAF/5e94=")</f>
        <v>#VALUE!</v>
      </c>
      <c r="HP127" t="e">
        <f>AND(Bills!D479,"AAAAAF/5e98=")</f>
        <v>#VALUE!</v>
      </c>
      <c r="HQ127" t="e">
        <f>AND(Bills!E479,"AAAAAF/5e+A=")</f>
        <v>#VALUE!</v>
      </c>
      <c r="HR127" t="e">
        <f>AND(Bills!#REF!,"AAAAAF/5e+E=")</f>
        <v>#REF!</v>
      </c>
      <c r="HS127" t="e">
        <f>AND(Bills!#REF!,"AAAAAF/5e+I=")</f>
        <v>#REF!</v>
      </c>
      <c r="HT127" t="e">
        <f>AND(Bills!#REF!,"AAAAAF/5e+M=")</f>
        <v>#REF!</v>
      </c>
      <c r="HU127" t="e">
        <f>AND(Bills!F479,"AAAAAF/5e+Q=")</f>
        <v>#VALUE!</v>
      </c>
      <c r="HV127" t="e">
        <f>AND(Bills!#REF!,"AAAAAF/5e+U=")</f>
        <v>#REF!</v>
      </c>
      <c r="HW127" t="e">
        <f>AND(Bills!G479,"AAAAAF/5e+Y=")</f>
        <v>#VALUE!</v>
      </c>
      <c r="HX127" t="e">
        <f>AND(Bills!H479,"AAAAAF/5e+c=")</f>
        <v>#VALUE!</v>
      </c>
      <c r="HY127" t="e">
        <f>AND(Bills!I479,"AAAAAF/5e+g=")</f>
        <v>#VALUE!</v>
      </c>
      <c r="HZ127" t="e">
        <f>AND(Bills!J479,"AAAAAF/5e+k=")</f>
        <v>#VALUE!</v>
      </c>
      <c r="IA127" t="e">
        <f>AND(Bills!K479,"AAAAAF/5e+o=")</f>
        <v>#VALUE!</v>
      </c>
      <c r="IB127" t="e">
        <f>AND(Bills!L479,"AAAAAF/5e+s=")</f>
        <v>#VALUE!</v>
      </c>
      <c r="IC127" t="e">
        <f>AND(Bills!#REF!,"AAAAAF/5e+w=")</f>
        <v>#REF!</v>
      </c>
      <c r="ID127" t="e">
        <f>AND(Bills!M479,"AAAAAF/5e+0=")</f>
        <v>#VALUE!</v>
      </c>
      <c r="IE127" t="e">
        <f>AND(Bills!N479,"AAAAAF/5e+4=")</f>
        <v>#VALUE!</v>
      </c>
      <c r="IF127" t="e">
        <f>AND(Bills!O479,"AAAAAF/5e+8=")</f>
        <v>#VALUE!</v>
      </c>
      <c r="IG127" t="e">
        <f>AND(Bills!P479,"AAAAAF/5e/A=")</f>
        <v>#VALUE!</v>
      </c>
      <c r="IH127" t="e">
        <f>AND(Bills!Q479,"AAAAAF/5e/E=")</f>
        <v>#VALUE!</v>
      </c>
      <c r="II127" t="e">
        <f>AND(Bills!R479,"AAAAAF/5e/I=")</f>
        <v>#VALUE!</v>
      </c>
      <c r="IJ127" t="e">
        <f>AND(Bills!S479,"AAAAAF/5e/M=")</f>
        <v>#VALUE!</v>
      </c>
      <c r="IK127" t="e">
        <f>AND(Bills!T479,"AAAAAF/5e/Q=")</f>
        <v>#VALUE!</v>
      </c>
      <c r="IL127" t="e">
        <f>AND(Bills!#REF!,"AAAAAF/5e/U=")</f>
        <v>#REF!</v>
      </c>
      <c r="IM127" t="e">
        <f>AND(Bills!U479,"AAAAAF/5e/Y=")</f>
        <v>#VALUE!</v>
      </c>
      <c r="IN127" t="e">
        <f>AND(Bills!V479,"AAAAAF/5e/c=")</f>
        <v>#VALUE!</v>
      </c>
      <c r="IO127" t="e">
        <f>AND(Bills!W479,"AAAAAF/5e/g=")</f>
        <v>#VALUE!</v>
      </c>
      <c r="IP127" t="e">
        <f>AND(Bills!#REF!,"AAAAAF/5e/k=")</f>
        <v>#REF!</v>
      </c>
      <c r="IQ127" t="e">
        <f>AND(Bills!#REF!,"AAAAAF/5e/o=")</f>
        <v>#REF!</v>
      </c>
      <c r="IR127" t="e">
        <f>AND(Bills!Y479,"AAAAAF/5e/s=")</f>
        <v>#VALUE!</v>
      </c>
      <c r="IS127" t="e">
        <f>AND(Bills!Z479,"AAAAAF/5e/w=")</f>
        <v>#VALUE!</v>
      </c>
      <c r="IT127" t="e">
        <f>AND(Bills!#REF!,"AAAAAF/5e/0=")</f>
        <v>#REF!</v>
      </c>
      <c r="IU127" t="e">
        <f>AND(Bills!#REF!,"AAAAAF/5e/4=")</f>
        <v>#REF!</v>
      </c>
      <c r="IV127" t="e">
        <f>AND(Bills!#REF!,"AAAAAF/5e/8=")</f>
        <v>#REF!</v>
      </c>
    </row>
    <row r="128" spans="1:256" x14ac:dyDescent="0.25">
      <c r="A128" t="e">
        <f>AND(Bills!#REF!,"AAAAAHf03QA=")</f>
        <v>#REF!</v>
      </c>
      <c r="B128" t="e">
        <f>AND(Bills!#REF!,"AAAAAHf03QE=")</f>
        <v>#REF!</v>
      </c>
      <c r="C128" t="e">
        <f>AND(Bills!#REF!,"AAAAAHf03QI=")</f>
        <v>#REF!</v>
      </c>
      <c r="D128" t="e">
        <f>AND(Bills!#REF!,"AAAAAHf03QM=")</f>
        <v>#REF!</v>
      </c>
      <c r="E128" t="e">
        <f>AND(Bills!#REF!,"AAAAAHf03QQ=")</f>
        <v>#REF!</v>
      </c>
      <c r="F128" t="e">
        <f>AND(Bills!#REF!,"AAAAAHf03QU=")</f>
        <v>#REF!</v>
      </c>
      <c r="G128" t="e">
        <f>AND(Bills!AA479,"AAAAAHf03QY=")</f>
        <v>#VALUE!</v>
      </c>
      <c r="H128" t="e">
        <f>AND(Bills!AB479,"AAAAAHf03Qc=")</f>
        <v>#VALUE!</v>
      </c>
      <c r="I128" t="e">
        <f>AND(Bills!#REF!,"AAAAAHf03Qg=")</f>
        <v>#REF!</v>
      </c>
      <c r="J128" t="e">
        <f>AND(Bills!#REF!,"AAAAAHf03Qk=")</f>
        <v>#REF!</v>
      </c>
      <c r="K128" t="e">
        <f>AND(Bills!#REF!,"AAAAAHf03Qo=")</f>
        <v>#REF!</v>
      </c>
      <c r="L128" t="e">
        <f>AND(Bills!AC479,"AAAAAHf03Qs=")</f>
        <v>#VALUE!</v>
      </c>
      <c r="M128" t="e">
        <f>AND(Bills!AD479,"AAAAAHf03Qw=")</f>
        <v>#VALUE!</v>
      </c>
      <c r="N128" t="e">
        <f>AND(Bills!AE479,"AAAAAHf03Q0=")</f>
        <v>#VALUE!</v>
      </c>
      <c r="O128">
        <f>IF(Bills!480:480,"AAAAAHf03Q4=",0)</f>
        <v>0</v>
      </c>
      <c r="P128" t="e">
        <f>AND(Bills!B480,"AAAAAHf03Q8=")</f>
        <v>#VALUE!</v>
      </c>
      <c r="Q128" t="e">
        <f>AND(Bills!#REF!,"AAAAAHf03RA=")</f>
        <v>#REF!</v>
      </c>
      <c r="R128" t="e">
        <f>AND(Bills!C480,"AAAAAHf03RE=")</f>
        <v>#VALUE!</v>
      </c>
      <c r="S128" t="e">
        <f>AND(Bills!D480,"AAAAAHf03RI=")</f>
        <v>#VALUE!</v>
      </c>
      <c r="T128" t="e">
        <f>AND(Bills!E480,"AAAAAHf03RM=")</f>
        <v>#VALUE!</v>
      </c>
      <c r="U128" t="e">
        <f>AND(Bills!#REF!,"AAAAAHf03RQ=")</f>
        <v>#REF!</v>
      </c>
      <c r="V128" t="e">
        <f>AND(Bills!#REF!,"AAAAAHf03RU=")</f>
        <v>#REF!</v>
      </c>
      <c r="W128" t="e">
        <f>AND(Bills!#REF!,"AAAAAHf03RY=")</f>
        <v>#REF!</v>
      </c>
      <c r="X128" t="e">
        <f>AND(Bills!F480,"AAAAAHf03Rc=")</f>
        <v>#VALUE!</v>
      </c>
      <c r="Y128" t="e">
        <f>AND(Bills!#REF!,"AAAAAHf03Rg=")</f>
        <v>#REF!</v>
      </c>
      <c r="Z128" t="e">
        <f>AND(Bills!G480,"AAAAAHf03Rk=")</f>
        <v>#VALUE!</v>
      </c>
      <c r="AA128" t="e">
        <f>AND(Bills!H480,"AAAAAHf03Ro=")</f>
        <v>#VALUE!</v>
      </c>
      <c r="AB128" t="e">
        <f>AND(Bills!I480,"AAAAAHf03Rs=")</f>
        <v>#VALUE!</v>
      </c>
      <c r="AC128" t="e">
        <f>AND(Bills!J480,"AAAAAHf03Rw=")</f>
        <v>#VALUE!</v>
      </c>
      <c r="AD128" t="e">
        <f>AND(Bills!K480,"AAAAAHf03R0=")</f>
        <v>#VALUE!</v>
      </c>
      <c r="AE128" t="e">
        <f>AND(Bills!L480,"AAAAAHf03R4=")</f>
        <v>#VALUE!</v>
      </c>
      <c r="AF128" t="e">
        <f>AND(Bills!#REF!,"AAAAAHf03R8=")</f>
        <v>#REF!</v>
      </c>
      <c r="AG128" t="e">
        <f>AND(Bills!M480,"AAAAAHf03SA=")</f>
        <v>#VALUE!</v>
      </c>
      <c r="AH128" t="e">
        <f>AND(Bills!N480,"AAAAAHf03SE=")</f>
        <v>#VALUE!</v>
      </c>
      <c r="AI128" t="e">
        <f>AND(Bills!O480,"AAAAAHf03SI=")</f>
        <v>#VALUE!</v>
      </c>
      <c r="AJ128" t="e">
        <f>AND(Bills!P480,"AAAAAHf03SM=")</f>
        <v>#VALUE!</v>
      </c>
      <c r="AK128" t="e">
        <f>AND(Bills!Q480,"AAAAAHf03SQ=")</f>
        <v>#VALUE!</v>
      </c>
      <c r="AL128" t="e">
        <f>AND(Bills!R480,"AAAAAHf03SU=")</f>
        <v>#VALUE!</v>
      </c>
      <c r="AM128" t="e">
        <f>AND(Bills!S480,"AAAAAHf03SY=")</f>
        <v>#VALUE!</v>
      </c>
      <c r="AN128" t="e">
        <f>AND(Bills!T480,"AAAAAHf03Sc=")</f>
        <v>#VALUE!</v>
      </c>
      <c r="AO128" t="e">
        <f>AND(Bills!#REF!,"AAAAAHf03Sg=")</f>
        <v>#REF!</v>
      </c>
      <c r="AP128" t="e">
        <f>AND(Bills!U480,"AAAAAHf03Sk=")</f>
        <v>#VALUE!</v>
      </c>
      <c r="AQ128" t="e">
        <f>AND(Bills!V480,"AAAAAHf03So=")</f>
        <v>#VALUE!</v>
      </c>
      <c r="AR128" t="e">
        <f>AND(Bills!W480,"AAAAAHf03Ss=")</f>
        <v>#VALUE!</v>
      </c>
      <c r="AS128" t="e">
        <f>AND(Bills!#REF!,"AAAAAHf03Sw=")</f>
        <v>#REF!</v>
      </c>
      <c r="AT128" t="e">
        <f>AND(Bills!#REF!,"AAAAAHf03S0=")</f>
        <v>#REF!</v>
      </c>
      <c r="AU128" t="e">
        <f>AND(Bills!Y480,"AAAAAHf03S4=")</f>
        <v>#VALUE!</v>
      </c>
      <c r="AV128" t="e">
        <f>AND(Bills!Z480,"AAAAAHf03S8=")</f>
        <v>#VALUE!</v>
      </c>
      <c r="AW128" t="e">
        <f>AND(Bills!#REF!,"AAAAAHf03TA=")</f>
        <v>#REF!</v>
      </c>
      <c r="AX128" t="e">
        <f>AND(Bills!#REF!,"AAAAAHf03TE=")</f>
        <v>#REF!</v>
      </c>
      <c r="AY128" t="e">
        <f>AND(Bills!#REF!,"AAAAAHf03TI=")</f>
        <v>#REF!</v>
      </c>
      <c r="AZ128" t="e">
        <f>AND(Bills!#REF!,"AAAAAHf03TM=")</f>
        <v>#REF!</v>
      </c>
      <c r="BA128" t="e">
        <f>AND(Bills!#REF!,"AAAAAHf03TQ=")</f>
        <v>#REF!</v>
      </c>
      <c r="BB128" t="e">
        <f>AND(Bills!#REF!,"AAAAAHf03TU=")</f>
        <v>#REF!</v>
      </c>
      <c r="BC128" t="e">
        <f>AND(Bills!#REF!,"AAAAAHf03TY=")</f>
        <v>#REF!</v>
      </c>
      <c r="BD128" t="e">
        <f>AND(Bills!#REF!,"AAAAAHf03Tc=")</f>
        <v>#REF!</v>
      </c>
      <c r="BE128" t="e">
        <f>AND(Bills!#REF!,"AAAAAHf03Tg=")</f>
        <v>#REF!</v>
      </c>
      <c r="BF128" t="e">
        <f>AND(Bills!AA480,"AAAAAHf03Tk=")</f>
        <v>#VALUE!</v>
      </c>
      <c r="BG128" t="e">
        <f>AND(Bills!AB480,"AAAAAHf03To=")</f>
        <v>#VALUE!</v>
      </c>
      <c r="BH128" t="e">
        <f>AND(Bills!#REF!,"AAAAAHf03Ts=")</f>
        <v>#REF!</v>
      </c>
      <c r="BI128" t="e">
        <f>AND(Bills!#REF!,"AAAAAHf03Tw=")</f>
        <v>#REF!</v>
      </c>
      <c r="BJ128" t="e">
        <f>AND(Bills!#REF!,"AAAAAHf03T0=")</f>
        <v>#REF!</v>
      </c>
      <c r="BK128" t="e">
        <f>AND(Bills!AC480,"AAAAAHf03T4=")</f>
        <v>#VALUE!</v>
      </c>
      <c r="BL128" t="e">
        <f>AND(Bills!AD480,"AAAAAHf03T8=")</f>
        <v>#VALUE!</v>
      </c>
      <c r="BM128" t="e">
        <f>AND(Bills!AE480,"AAAAAHf03UA=")</f>
        <v>#VALUE!</v>
      </c>
      <c r="BN128">
        <f>IF(Bills!481:481,"AAAAAHf03UE=",0)</f>
        <v>0</v>
      </c>
      <c r="BO128" t="e">
        <f>AND(Bills!B481,"AAAAAHf03UI=")</f>
        <v>#VALUE!</v>
      </c>
      <c r="BP128" t="e">
        <f>AND(Bills!#REF!,"AAAAAHf03UM=")</f>
        <v>#REF!</v>
      </c>
      <c r="BQ128" t="e">
        <f>AND(Bills!C481,"AAAAAHf03UQ=")</f>
        <v>#VALUE!</v>
      </c>
      <c r="BR128" t="e">
        <f>AND(Bills!D481,"AAAAAHf03UU=")</f>
        <v>#VALUE!</v>
      </c>
      <c r="BS128" t="e">
        <f>AND(Bills!E481,"AAAAAHf03UY=")</f>
        <v>#VALUE!</v>
      </c>
      <c r="BT128" t="e">
        <f>AND(Bills!#REF!,"AAAAAHf03Uc=")</f>
        <v>#REF!</v>
      </c>
      <c r="BU128" t="e">
        <f>AND(Bills!#REF!,"AAAAAHf03Ug=")</f>
        <v>#REF!</v>
      </c>
      <c r="BV128" t="e">
        <f>AND(Bills!#REF!,"AAAAAHf03Uk=")</f>
        <v>#REF!</v>
      </c>
      <c r="BW128" t="e">
        <f>AND(Bills!F481,"AAAAAHf03Uo=")</f>
        <v>#VALUE!</v>
      </c>
      <c r="BX128" t="e">
        <f>AND(Bills!#REF!,"AAAAAHf03Us=")</f>
        <v>#REF!</v>
      </c>
      <c r="BY128" t="e">
        <f>AND(Bills!G481,"AAAAAHf03Uw=")</f>
        <v>#VALUE!</v>
      </c>
      <c r="BZ128" t="e">
        <f>AND(Bills!H481,"AAAAAHf03U0=")</f>
        <v>#VALUE!</v>
      </c>
      <c r="CA128" t="e">
        <f>AND(Bills!I481,"AAAAAHf03U4=")</f>
        <v>#VALUE!</v>
      </c>
      <c r="CB128" t="e">
        <f>AND(Bills!J481,"AAAAAHf03U8=")</f>
        <v>#VALUE!</v>
      </c>
      <c r="CC128" t="e">
        <f>AND(Bills!K481,"AAAAAHf03VA=")</f>
        <v>#VALUE!</v>
      </c>
      <c r="CD128" t="e">
        <f>AND(Bills!L481,"AAAAAHf03VE=")</f>
        <v>#VALUE!</v>
      </c>
      <c r="CE128" t="e">
        <f>AND(Bills!#REF!,"AAAAAHf03VI=")</f>
        <v>#REF!</v>
      </c>
      <c r="CF128" t="e">
        <f>AND(Bills!M481,"AAAAAHf03VM=")</f>
        <v>#VALUE!</v>
      </c>
      <c r="CG128" t="e">
        <f>AND(Bills!N481,"AAAAAHf03VQ=")</f>
        <v>#VALUE!</v>
      </c>
      <c r="CH128" t="e">
        <f>AND(Bills!O481,"AAAAAHf03VU=")</f>
        <v>#VALUE!</v>
      </c>
      <c r="CI128" t="e">
        <f>AND(Bills!P481,"AAAAAHf03VY=")</f>
        <v>#VALUE!</v>
      </c>
      <c r="CJ128" t="e">
        <f>AND(Bills!Q481,"AAAAAHf03Vc=")</f>
        <v>#VALUE!</v>
      </c>
      <c r="CK128" t="e">
        <f>AND(Bills!R481,"AAAAAHf03Vg=")</f>
        <v>#VALUE!</v>
      </c>
      <c r="CL128" t="e">
        <f>AND(Bills!S481,"AAAAAHf03Vk=")</f>
        <v>#VALUE!</v>
      </c>
      <c r="CM128" t="e">
        <f>AND(Bills!T481,"AAAAAHf03Vo=")</f>
        <v>#VALUE!</v>
      </c>
      <c r="CN128" t="e">
        <f>AND(Bills!#REF!,"AAAAAHf03Vs=")</f>
        <v>#REF!</v>
      </c>
      <c r="CO128" t="e">
        <f>AND(Bills!U481,"AAAAAHf03Vw=")</f>
        <v>#VALUE!</v>
      </c>
      <c r="CP128" t="e">
        <f>AND(Bills!V481,"AAAAAHf03V0=")</f>
        <v>#VALUE!</v>
      </c>
      <c r="CQ128" t="e">
        <f>AND(Bills!W481,"AAAAAHf03V4=")</f>
        <v>#VALUE!</v>
      </c>
      <c r="CR128" t="e">
        <f>AND(Bills!#REF!,"AAAAAHf03V8=")</f>
        <v>#REF!</v>
      </c>
      <c r="CS128" t="e">
        <f>AND(Bills!#REF!,"AAAAAHf03WA=")</f>
        <v>#REF!</v>
      </c>
      <c r="CT128" t="e">
        <f>AND(Bills!Y481,"AAAAAHf03WE=")</f>
        <v>#VALUE!</v>
      </c>
      <c r="CU128" t="e">
        <f>AND(Bills!Z481,"AAAAAHf03WI=")</f>
        <v>#VALUE!</v>
      </c>
      <c r="CV128" t="e">
        <f>AND(Bills!#REF!,"AAAAAHf03WM=")</f>
        <v>#REF!</v>
      </c>
      <c r="CW128" t="e">
        <f>AND(Bills!#REF!,"AAAAAHf03WQ=")</f>
        <v>#REF!</v>
      </c>
      <c r="CX128" t="e">
        <f>AND(Bills!#REF!,"AAAAAHf03WU=")</f>
        <v>#REF!</v>
      </c>
      <c r="CY128" t="e">
        <f>AND(Bills!#REF!,"AAAAAHf03WY=")</f>
        <v>#REF!</v>
      </c>
      <c r="CZ128" t="e">
        <f>AND(Bills!#REF!,"AAAAAHf03Wc=")</f>
        <v>#REF!</v>
      </c>
      <c r="DA128" t="e">
        <f>AND(Bills!#REF!,"AAAAAHf03Wg=")</f>
        <v>#REF!</v>
      </c>
      <c r="DB128" t="e">
        <f>AND(Bills!#REF!,"AAAAAHf03Wk=")</f>
        <v>#REF!</v>
      </c>
      <c r="DC128" t="e">
        <f>AND(Bills!#REF!,"AAAAAHf03Wo=")</f>
        <v>#REF!</v>
      </c>
      <c r="DD128" t="e">
        <f>AND(Bills!#REF!,"AAAAAHf03Ws=")</f>
        <v>#REF!</v>
      </c>
      <c r="DE128" t="e">
        <f>AND(Bills!AA481,"AAAAAHf03Ww=")</f>
        <v>#VALUE!</v>
      </c>
      <c r="DF128" t="e">
        <f>AND(Bills!AB481,"AAAAAHf03W0=")</f>
        <v>#VALUE!</v>
      </c>
      <c r="DG128" t="e">
        <f>AND(Bills!#REF!,"AAAAAHf03W4=")</f>
        <v>#REF!</v>
      </c>
      <c r="DH128" t="e">
        <f>AND(Bills!#REF!,"AAAAAHf03W8=")</f>
        <v>#REF!</v>
      </c>
      <c r="DI128" t="e">
        <f>AND(Bills!#REF!,"AAAAAHf03XA=")</f>
        <v>#REF!</v>
      </c>
      <c r="DJ128" t="e">
        <f>AND(Bills!AC481,"AAAAAHf03XE=")</f>
        <v>#VALUE!</v>
      </c>
      <c r="DK128" t="e">
        <f>AND(Bills!AD481,"AAAAAHf03XI=")</f>
        <v>#VALUE!</v>
      </c>
      <c r="DL128" t="e">
        <f>AND(Bills!AE481,"AAAAAHf03XM=")</f>
        <v>#VALUE!</v>
      </c>
      <c r="DM128">
        <f>IF(Bills!482:482,"AAAAAHf03XQ=",0)</f>
        <v>0</v>
      </c>
      <c r="DN128" t="e">
        <f>AND(Bills!B482,"AAAAAHf03XU=")</f>
        <v>#VALUE!</v>
      </c>
      <c r="DO128" t="e">
        <f>AND(Bills!#REF!,"AAAAAHf03XY=")</f>
        <v>#REF!</v>
      </c>
      <c r="DP128" t="e">
        <f>AND(Bills!C482,"AAAAAHf03Xc=")</f>
        <v>#VALUE!</v>
      </c>
      <c r="DQ128" t="e">
        <f>AND(Bills!D482,"AAAAAHf03Xg=")</f>
        <v>#VALUE!</v>
      </c>
      <c r="DR128" t="e">
        <f>AND(Bills!E482,"AAAAAHf03Xk=")</f>
        <v>#VALUE!</v>
      </c>
      <c r="DS128" t="e">
        <f>AND(Bills!#REF!,"AAAAAHf03Xo=")</f>
        <v>#REF!</v>
      </c>
      <c r="DT128" t="e">
        <f>AND(Bills!#REF!,"AAAAAHf03Xs=")</f>
        <v>#REF!</v>
      </c>
      <c r="DU128" t="e">
        <f>AND(Bills!#REF!,"AAAAAHf03Xw=")</f>
        <v>#REF!</v>
      </c>
      <c r="DV128" t="e">
        <f>AND(Bills!F482,"AAAAAHf03X0=")</f>
        <v>#VALUE!</v>
      </c>
      <c r="DW128" t="e">
        <f>AND(Bills!#REF!,"AAAAAHf03X4=")</f>
        <v>#REF!</v>
      </c>
      <c r="DX128" t="e">
        <f>AND(Bills!G482,"AAAAAHf03X8=")</f>
        <v>#VALUE!</v>
      </c>
      <c r="DY128" t="e">
        <f>AND(Bills!H482,"AAAAAHf03YA=")</f>
        <v>#VALUE!</v>
      </c>
      <c r="DZ128" t="e">
        <f>AND(Bills!I482,"AAAAAHf03YE=")</f>
        <v>#VALUE!</v>
      </c>
      <c r="EA128" t="e">
        <f>AND(Bills!J482,"AAAAAHf03YI=")</f>
        <v>#VALUE!</v>
      </c>
      <c r="EB128" t="e">
        <f>AND(Bills!K482,"AAAAAHf03YM=")</f>
        <v>#VALUE!</v>
      </c>
      <c r="EC128" t="e">
        <f>AND(Bills!L482,"AAAAAHf03YQ=")</f>
        <v>#VALUE!</v>
      </c>
      <c r="ED128" t="e">
        <f>AND(Bills!#REF!,"AAAAAHf03YU=")</f>
        <v>#REF!</v>
      </c>
      <c r="EE128" t="e">
        <f>AND(Bills!M482,"AAAAAHf03YY=")</f>
        <v>#VALUE!</v>
      </c>
      <c r="EF128" t="e">
        <f>AND(Bills!N482,"AAAAAHf03Yc=")</f>
        <v>#VALUE!</v>
      </c>
      <c r="EG128" t="e">
        <f>AND(Bills!O482,"AAAAAHf03Yg=")</f>
        <v>#VALUE!</v>
      </c>
      <c r="EH128" t="e">
        <f>AND(Bills!P482,"AAAAAHf03Yk=")</f>
        <v>#VALUE!</v>
      </c>
      <c r="EI128" t="e">
        <f>AND(Bills!Q482,"AAAAAHf03Yo=")</f>
        <v>#VALUE!</v>
      </c>
      <c r="EJ128" t="e">
        <f>AND(Bills!R482,"AAAAAHf03Ys=")</f>
        <v>#VALUE!</v>
      </c>
      <c r="EK128" t="e">
        <f>AND(Bills!S482,"AAAAAHf03Yw=")</f>
        <v>#VALUE!</v>
      </c>
      <c r="EL128" t="e">
        <f>AND(Bills!T482,"AAAAAHf03Y0=")</f>
        <v>#VALUE!</v>
      </c>
      <c r="EM128" t="e">
        <f>AND(Bills!#REF!,"AAAAAHf03Y4=")</f>
        <v>#REF!</v>
      </c>
      <c r="EN128" t="e">
        <f>AND(Bills!U482,"AAAAAHf03Y8=")</f>
        <v>#VALUE!</v>
      </c>
      <c r="EO128" t="e">
        <f>AND(Bills!V482,"AAAAAHf03ZA=")</f>
        <v>#VALUE!</v>
      </c>
      <c r="EP128" t="e">
        <f>AND(Bills!W482,"AAAAAHf03ZE=")</f>
        <v>#VALUE!</v>
      </c>
      <c r="EQ128" t="e">
        <f>AND(Bills!#REF!,"AAAAAHf03ZI=")</f>
        <v>#REF!</v>
      </c>
      <c r="ER128" t="e">
        <f>AND(Bills!#REF!,"AAAAAHf03ZM=")</f>
        <v>#REF!</v>
      </c>
      <c r="ES128" t="e">
        <f>AND(Bills!Y482,"AAAAAHf03ZQ=")</f>
        <v>#VALUE!</v>
      </c>
      <c r="ET128" t="e">
        <f>AND(Bills!Z482,"AAAAAHf03ZU=")</f>
        <v>#VALUE!</v>
      </c>
      <c r="EU128" t="e">
        <f>AND(Bills!#REF!,"AAAAAHf03ZY=")</f>
        <v>#REF!</v>
      </c>
      <c r="EV128" t="e">
        <f>AND(Bills!#REF!,"AAAAAHf03Zc=")</f>
        <v>#REF!</v>
      </c>
      <c r="EW128" t="e">
        <f>AND(Bills!#REF!,"AAAAAHf03Zg=")</f>
        <v>#REF!</v>
      </c>
      <c r="EX128" t="e">
        <f>AND(Bills!#REF!,"AAAAAHf03Zk=")</f>
        <v>#REF!</v>
      </c>
      <c r="EY128" t="e">
        <f>AND(Bills!#REF!,"AAAAAHf03Zo=")</f>
        <v>#REF!</v>
      </c>
      <c r="EZ128" t="e">
        <f>AND(Bills!#REF!,"AAAAAHf03Zs=")</f>
        <v>#REF!</v>
      </c>
      <c r="FA128" t="e">
        <f>AND(Bills!#REF!,"AAAAAHf03Zw=")</f>
        <v>#REF!</v>
      </c>
      <c r="FB128" t="e">
        <f>AND(Bills!#REF!,"AAAAAHf03Z0=")</f>
        <v>#REF!</v>
      </c>
      <c r="FC128" t="e">
        <f>AND(Bills!#REF!,"AAAAAHf03Z4=")</f>
        <v>#REF!</v>
      </c>
      <c r="FD128" t="e">
        <f>AND(Bills!AA482,"AAAAAHf03Z8=")</f>
        <v>#VALUE!</v>
      </c>
      <c r="FE128" t="e">
        <f>AND(Bills!AB482,"AAAAAHf03aA=")</f>
        <v>#VALUE!</v>
      </c>
      <c r="FF128" t="e">
        <f>AND(Bills!#REF!,"AAAAAHf03aE=")</f>
        <v>#REF!</v>
      </c>
      <c r="FG128" t="e">
        <f>AND(Bills!#REF!,"AAAAAHf03aI=")</f>
        <v>#REF!</v>
      </c>
      <c r="FH128" t="e">
        <f>AND(Bills!#REF!,"AAAAAHf03aM=")</f>
        <v>#REF!</v>
      </c>
      <c r="FI128" t="e">
        <f>AND(Bills!AC482,"AAAAAHf03aQ=")</f>
        <v>#VALUE!</v>
      </c>
      <c r="FJ128" t="e">
        <f>AND(Bills!AD482,"AAAAAHf03aU=")</f>
        <v>#VALUE!</v>
      </c>
      <c r="FK128" t="e">
        <f>AND(Bills!AE482,"AAAAAHf03aY=")</f>
        <v>#VALUE!</v>
      </c>
      <c r="FL128">
        <f>IF(Bills!483:483,"AAAAAHf03ac=",0)</f>
        <v>0</v>
      </c>
      <c r="FM128" t="e">
        <f>AND(Bills!B483,"AAAAAHf03ag=")</f>
        <v>#VALUE!</v>
      </c>
      <c r="FN128" t="e">
        <f>AND(Bills!#REF!,"AAAAAHf03ak=")</f>
        <v>#REF!</v>
      </c>
      <c r="FO128" t="e">
        <f>AND(Bills!C483,"AAAAAHf03ao=")</f>
        <v>#VALUE!</v>
      </c>
      <c r="FP128" t="e">
        <f>AND(Bills!D483,"AAAAAHf03as=")</f>
        <v>#VALUE!</v>
      </c>
      <c r="FQ128" t="e">
        <f>AND(Bills!E483,"AAAAAHf03aw=")</f>
        <v>#VALUE!</v>
      </c>
      <c r="FR128" t="e">
        <f>AND(Bills!#REF!,"AAAAAHf03a0=")</f>
        <v>#REF!</v>
      </c>
      <c r="FS128" t="e">
        <f>AND(Bills!#REF!,"AAAAAHf03a4=")</f>
        <v>#REF!</v>
      </c>
      <c r="FT128" t="e">
        <f>AND(Bills!#REF!,"AAAAAHf03a8=")</f>
        <v>#REF!</v>
      </c>
      <c r="FU128" t="e">
        <f>AND(Bills!F483,"AAAAAHf03bA=")</f>
        <v>#VALUE!</v>
      </c>
      <c r="FV128" t="e">
        <f>AND(Bills!#REF!,"AAAAAHf03bE=")</f>
        <v>#REF!</v>
      </c>
      <c r="FW128" t="e">
        <f>AND(Bills!G483,"AAAAAHf03bI=")</f>
        <v>#VALUE!</v>
      </c>
      <c r="FX128" t="e">
        <f>AND(Bills!H483,"AAAAAHf03bM=")</f>
        <v>#VALUE!</v>
      </c>
      <c r="FY128" t="e">
        <f>AND(Bills!I483,"AAAAAHf03bQ=")</f>
        <v>#VALUE!</v>
      </c>
      <c r="FZ128" t="e">
        <f>AND(Bills!J483,"AAAAAHf03bU=")</f>
        <v>#VALUE!</v>
      </c>
      <c r="GA128" t="e">
        <f>AND(Bills!K483,"AAAAAHf03bY=")</f>
        <v>#VALUE!</v>
      </c>
      <c r="GB128" t="e">
        <f>AND(Bills!L483,"AAAAAHf03bc=")</f>
        <v>#VALUE!</v>
      </c>
      <c r="GC128" t="e">
        <f>AND(Bills!#REF!,"AAAAAHf03bg=")</f>
        <v>#REF!</v>
      </c>
      <c r="GD128" t="e">
        <f>AND(Bills!M483,"AAAAAHf03bk=")</f>
        <v>#VALUE!</v>
      </c>
      <c r="GE128" t="e">
        <f>AND(Bills!N483,"AAAAAHf03bo=")</f>
        <v>#VALUE!</v>
      </c>
      <c r="GF128" t="e">
        <f>AND(Bills!O483,"AAAAAHf03bs=")</f>
        <v>#VALUE!</v>
      </c>
      <c r="GG128" t="e">
        <f>AND(Bills!P483,"AAAAAHf03bw=")</f>
        <v>#VALUE!</v>
      </c>
      <c r="GH128" t="e">
        <f>AND(Bills!Q483,"AAAAAHf03b0=")</f>
        <v>#VALUE!</v>
      </c>
      <c r="GI128" t="e">
        <f>AND(Bills!R483,"AAAAAHf03b4=")</f>
        <v>#VALUE!</v>
      </c>
      <c r="GJ128" t="e">
        <f>AND(Bills!S483,"AAAAAHf03b8=")</f>
        <v>#VALUE!</v>
      </c>
      <c r="GK128" t="e">
        <f>AND(Bills!T483,"AAAAAHf03cA=")</f>
        <v>#VALUE!</v>
      </c>
      <c r="GL128" t="e">
        <f>AND(Bills!#REF!,"AAAAAHf03cE=")</f>
        <v>#REF!</v>
      </c>
      <c r="GM128" t="e">
        <f>AND(Bills!U483,"AAAAAHf03cI=")</f>
        <v>#VALUE!</v>
      </c>
      <c r="GN128" t="e">
        <f>AND(Bills!V483,"AAAAAHf03cM=")</f>
        <v>#VALUE!</v>
      </c>
      <c r="GO128" t="e">
        <f>AND(Bills!W483,"AAAAAHf03cQ=")</f>
        <v>#VALUE!</v>
      </c>
      <c r="GP128" t="e">
        <f>AND(Bills!#REF!,"AAAAAHf03cU=")</f>
        <v>#REF!</v>
      </c>
      <c r="GQ128" t="e">
        <f>AND(Bills!#REF!,"AAAAAHf03cY=")</f>
        <v>#REF!</v>
      </c>
      <c r="GR128" t="e">
        <f>AND(Bills!Y483,"AAAAAHf03cc=")</f>
        <v>#VALUE!</v>
      </c>
      <c r="GS128" t="e">
        <f>AND(Bills!Z483,"AAAAAHf03cg=")</f>
        <v>#VALUE!</v>
      </c>
      <c r="GT128" t="e">
        <f>AND(Bills!#REF!,"AAAAAHf03ck=")</f>
        <v>#REF!</v>
      </c>
      <c r="GU128" t="e">
        <f>AND(Bills!#REF!,"AAAAAHf03co=")</f>
        <v>#REF!</v>
      </c>
      <c r="GV128" t="e">
        <f>AND(Bills!#REF!,"AAAAAHf03cs=")</f>
        <v>#REF!</v>
      </c>
      <c r="GW128" t="e">
        <f>AND(Bills!#REF!,"AAAAAHf03cw=")</f>
        <v>#REF!</v>
      </c>
      <c r="GX128" t="e">
        <f>AND(Bills!#REF!,"AAAAAHf03c0=")</f>
        <v>#REF!</v>
      </c>
      <c r="GY128" t="e">
        <f>AND(Bills!#REF!,"AAAAAHf03c4=")</f>
        <v>#REF!</v>
      </c>
      <c r="GZ128" t="e">
        <f>AND(Bills!#REF!,"AAAAAHf03c8=")</f>
        <v>#REF!</v>
      </c>
      <c r="HA128" t="e">
        <f>AND(Bills!#REF!,"AAAAAHf03dA=")</f>
        <v>#REF!</v>
      </c>
      <c r="HB128" t="e">
        <f>AND(Bills!#REF!,"AAAAAHf03dE=")</f>
        <v>#REF!</v>
      </c>
      <c r="HC128" t="e">
        <f>AND(Bills!AA483,"AAAAAHf03dI=")</f>
        <v>#VALUE!</v>
      </c>
      <c r="HD128" t="e">
        <f>AND(Bills!AB483,"AAAAAHf03dM=")</f>
        <v>#VALUE!</v>
      </c>
      <c r="HE128" t="e">
        <f>AND(Bills!#REF!,"AAAAAHf03dQ=")</f>
        <v>#REF!</v>
      </c>
      <c r="HF128" t="e">
        <f>AND(Bills!#REF!,"AAAAAHf03dU=")</f>
        <v>#REF!</v>
      </c>
      <c r="HG128" t="e">
        <f>AND(Bills!#REF!,"AAAAAHf03dY=")</f>
        <v>#REF!</v>
      </c>
      <c r="HH128" t="e">
        <f>AND(Bills!AC483,"AAAAAHf03dc=")</f>
        <v>#VALUE!</v>
      </c>
      <c r="HI128" t="e">
        <f>AND(Bills!AD483,"AAAAAHf03dg=")</f>
        <v>#VALUE!</v>
      </c>
      <c r="HJ128" t="e">
        <f>AND(Bills!AE483,"AAAAAHf03dk=")</f>
        <v>#VALUE!</v>
      </c>
      <c r="HK128">
        <f>IF(Bills!484:484,"AAAAAHf03do=",0)</f>
        <v>0</v>
      </c>
      <c r="HL128" t="e">
        <f>AND(Bills!B484,"AAAAAHf03ds=")</f>
        <v>#VALUE!</v>
      </c>
      <c r="HM128" t="e">
        <f>AND(Bills!#REF!,"AAAAAHf03dw=")</f>
        <v>#REF!</v>
      </c>
      <c r="HN128" t="e">
        <f>AND(Bills!C484,"AAAAAHf03d0=")</f>
        <v>#VALUE!</v>
      </c>
      <c r="HO128" t="e">
        <f>AND(Bills!D484,"AAAAAHf03d4=")</f>
        <v>#VALUE!</v>
      </c>
      <c r="HP128" t="e">
        <f>AND(Bills!E484,"AAAAAHf03d8=")</f>
        <v>#VALUE!</v>
      </c>
      <c r="HQ128" t="e">
        <f>AND(Bills!#REF!,"AAAAAHf03eA=")</f>
        <v>#REF!</v>
      </c>
      <c r="HR128" t="e">
        <f>AND(Bills!#REF!,"AAAAAHf03eE=")</f>
        <v>#REF!</v>
      </c>
      <c r="HS128" t="e">
        <f>AND(Bills!#REF!,"AAAAAHf03eI=")</f>
        <v>#REF!</v>
      </c>
      <c r="HT128" t="e">
        <f>AND(Bills!F484,"AAAAAHf03eM=")</f>
        <v>#VALUE!</v>
      </c>
      <c r="HU128" t="e">
        <f>AND(Bills!#REF!,"AAAAAHf03eQ=")</f>
        <v>#REF!</v>
      </c>
      <c r="HV128" t="e">
        <f>AND(Bills!G484,"AAAAAHf03eU=")</f>
        <v>#VALUE!</v>
      </c>
      <c r="HW128" t="e">
        <f>AND(Bills!H484,"AAAAAHf03eY=")</f>
        <v>#VALUE!</v>
      </c>
      <c r="HX128" t="e">
        <f>AND(Bills!I484,"AAAAAHf03ec=")</f>
        <v>#VALUE!</v>
      </c>
      <c r="HY128" t="e">
        <f>AND(Bills!J484,"AAAAAHf03eg=")</f>
        <v>#VALUE!</v>
      </c>
      <c r="HZ128" t="e">
        <f>AND(Bills!K484,"AAAAAHf03ek=")</f>
        <v>#VALUE!</v>
      </c>
      <c r="IA128" t="e">
        <f>AND(Bills!L484,"AAAAAHf03eo=")</f>
        <v>#VALUE!</v>
      </c>
      <c r="IB128" t="e">
        <f>AND(Bills!#REF!,"AAAAAHf03es=")</f>
        <v>#REF!</v>
      </c>
      <c r="IC128" t="e">
        <f>AND(Bills!M484,"AAAAAHf03ew=")</f>
        <v>#VALUE!</v>
      </c>
      <c r="ID128" t="e">
        <f>AND(Bills!N484,"AAAAAHf03e0=")</f>
        <v>#VALUE!</v>
      </c>
      <c r="IE128" t="e">
        <f>AND(Bills!O484,"AAAAAHf03e4=")</f>
        <v>#VALUE!</v>
      </c>
      <c r="IF128" t="e">
        <f>AND(Bills!P484,"AAAAAHf03e8=")</f>
        <v>#VALUE!</v>
      </c>
      <c r="IG128" t="e">
        <f>AND(Bills!Q484,"AAAAAHf03fA=")</f>
        <v>#VALUE!</v>
      </c>
      <c r="IH128" t="e">
        <f>AND(Bills!R484,"AAAAAHf03fE=")</f>
        <v>#VALUE!</v>
      </c>
      <c r="II128" t="e">
        <f>AND(Bills!S484,"AAAAAHf03fI=")</f>
        <v>#VALUE!</v>
      </c>
      <c r="IJ128" t="e">
        <f>AND(Bills!T484,"AAAAAHf03fM=")</f>
        <v>#VALUE!</v>
      </c>
      <c r="IK128" t="e">
        <f>AND(Bills!#REF!,"AAAAAHf03fQ=")</f>
        <v>#REF!</v>
      </c>
      <c r="IL128" t="e">
        <f>AND(Bills!U484,"AAAAAHf03fU=")</f>
        <v>#VALUE!</v>
      </c>
      <c r="IM128" t="e">
        <f>AND(Bills!V484,"AAAAAHf03fY=")</f>
        <v>#VALUE!</v>
      </c>
      <c r="IN128" t="e">
        <f>AND(Bills!W484,"AAAAAHf03fc=")</f>
        <v>#VALUE!</v>
      </c>
      <c r="IO128" t="e">
        <f>AND(Bills!#REF!,"AAAAAHf03fg=")</f>
        <v>#REF!</v>
      </c>
      <c r="IP128" t="e">
        <f>AND(Bills!#REF!,"AAAAAHf03fk=")</f>
        <v>#REF!</v>
      </c>
      <c r="IQ128" t="e">
        <f>AND(Bills!Y484,"AAAAAHf03fo=")</f>
        <v>#VALUE!</v>
      </c>
      <c r="IR128" t="e">
        <f>AND(Bills!Z484,"AAAAAHf03fs=")</f>
        <v>#VALUE!</v>
      </c>
      <c r="IS128" t="e">
        <f>AND(Bills!#REF!,"AAAAAHf03fw=")</f>
        <v>#REF!</v>
      </c>
      <c r="IT128" t="e">
        <f>AND(Bills!#REF!,"AAAAAHf03f0=")</f>
        <v>#REF!</v>
      </c>
      <c r="IU128" t="e">
        <f>AND(Bills!#REF!,"AAAAAHf03f4=")</f>
        <v>#REF!</v>
      </c>
      <c r="IV128" t="e">
        <f>AND(Bills!#REF!,"AAAAAHf03f8=")</f>
        <v>#REF!</v>
      </c>
    </row>
    <row r="129" spans="1:256" x14ac:dyDescent="0.25">
      <c r="A129" t="e">
        <f>AND(Bills!#REF!,"AAAAAH/5qAA=")</f>
        <v>#REF!</v>
      </c>
      <c r="B129" t="e">
        <f>AND(Bills!#REF!,"AAAAAH/5qAE=")</f>
        <v>#REF!</v>
      </c>
      <c r="C129" t="e">
        <f>AND(Bills!#REF!,"AAAAAH/5qAI=")</f>
        <v>#REF!</v>
      </c>
      <c r="D129" t="e">
        <f>AND(Bills!#REF!,"AAAAAH/5qAM=")</f>
        <v>#REF!</v>
      </c>
      <c r="E129" t="e">
        <f>AND(Bills!#REF!,"AAAAAH/5qAQ=")</f>
        <v>#REF!</v>
      </c>
      <c r="F129" t="e">
        <f>AND(Bills!AA484,"AAAAAH/5qAU=")</f>
        <v>#VALUE!</v>
      </c>
      <c r="G129" t="e">
        <f>AND(Bills!AB484,"AAAAAH/5qAY=")</f>
        <v>#VALUE!</v>
      </c>
      <c r="H129" t="e">
        <f>AND(Bills!#REF!,"AAAAAH/5qAc=")</f>
        <v>#REF!</v>
      </c>
      <c r="I129" t="e">
        <f>AND(Bills!#REF!,"AAAAAH/5qAg=")</f>
        <v>#REF!</v>
      </c>
      <c r="J129" t="e">
        <f>AND(Bills!#REF!,"AAAAAH/5qAk=")</f>
        <v>#REF!</v>
      </c>
      <c r="K129" t="e">
        <f>AND(Bills!AC484,"AAAAAH/5qAo=")</f>
        <v>#VALUE!</v>
      </c>
      <c r="L129" t="e">
        <f>AND(Bills!AD484,"AAAAAH/5qAs=")</f>
        <v>#VALUE!</v>
      </c>
      <c r="M129" t="e">
        <f>AND(Bills!AE484,"AAAAAH/5qAw=")</f>
        <v>#VALUE!</v>
      </c>
      <c r="N129">
        <f>IF(Bills!485:485,"AAAAAH/5qA0=",0)</f>
        <v>0</v>
      </c>
      <c r="O129" t="e">
        <f>AND(Bills!B485,"AAAAAH/5qA4=")</f>
        <v>#VALUE!</v>
      </c>
      <c r="P129" t="e">
        <f>AND(Bills!#REF!,"AAAAAH/5qA8=")</f>
        <v>#REF!</v>
      </c>
      <c r="Q129" t="e">
        <f>AND(Bills!C485,"AAAAAH/5qBA=")</f>
        <v>#VALUE!</v>
      </c>
      <c r="R129" t="e">
        <f>AND(Bills!D485,"AAAAAH/5qBE=")</f>
        <v>#VALUE!</v>
      </c>
      <c r="S129" t="e">
        <f>AND(Bills!E485,"AAAAAH/5qBI=")</f>
        <v>#VALUE!</v>
      </c>
      <c r="T129" t="e">
        <f>AND(Bills!#REF!,"AAAAAH/5qBM=")</f>
        <v>#REF!</v>
      </c>
      <c r="U129" t="e">
        <f>AND(Bills!#REF!,"AAAAAH/5qBQ=")</f>
        <v>#REF!</v>
      </c>
      <c r="V129" t="e">
        <f>AND(Bills!#REF!,"AAAAAH/5qBU=")</f>
        <v>#REF!</v>
      </c>
      <c r="W129" t="e">
        <f>AND(Bills!F485,"AAAAAH/5qBY=")</f>
        <v>#VALUE!</v>
      </c>
      <c r="X129" t="e">
        <f>AND(Bills!#REF!,"AAAAAH/5qBc=")</f>
        <v>#REF!</v>
      </c>
      <c r="Y129" t="e">
        <f>AND(Bills!G485,"AAAAAH/5qBg=")</f>
        <v>#VALUE!</v>
      </c>
      <c r="Z129" t="e">
        <f>AND(Bills!H485,"AAAAAH/5qBk=")</f>
        <v>#VALUE!</v>
      </c>
      <c r="AA129" t="e">
        <f>AND(Bills!I485,"AAAAAH/5qBo=")</f>
        <v>#VALUE!</v>
      </c>
      <c r="AB129" t="e">
        <f>AND(Bills!J485,"AAAAAH/5qBs=")</f>
        <v>#VALUE!</v>
      </c>
      <c r="AC129" t="e">
        <f>AND(Bills!K485,"AAAAAH/5qBw=")</f>
        <v>#VALUE!</v>
      </c>
      <c r="AD129" t="e">
        <f>AND(Bills!L485,"AAAAAH/5qB0=")</f>
        <v>#VALUE!</v>
      </c>
      <c r="AE129" t="e">
        <f>AND(Bills!#REF!,"AAAAAH/5qB4=")</f>
        <v>#REF!</v>
      </c>
      <c r="AF129" t="e">
        <f>AND(Bills!M485,"AAAAAH/5qB8=")</f>
        <v>#VALUE!</v>
      </c>
      <c r="AG129" t="e">
        <f>AND(Bills!N485,"AAAAAH/5qCA=")</f>
        <v>#VALUE!</v>
      </c>
      <c r="AH129" t="e">
        <f>AND(Bills!O485,"AAAAAH/5qCE=")</f>
        <v>#VALUE!</v>
      </c>
      <c r="AI129" t="e">
        <f>AND(Bills!P485,"AAAAAH/5qCI=")</f>
        <v>#VALUE!</v>
      </c>
      <c r="AJ129" t="e">
        <f>AND(Bills!Q485,"AAAAAH/5qCM=")</f>
        <v>#VALUE!</v>
      </c>
      <c r="AK129" t="e">
        <f>AND(Bills!R485,"AAAAAH/5qCQ=")</f>
        <v>#VALUE!</v>
      </c>
      <c r="AL129" t="e">
        <f>AND(Bills!S485,"AAAAAH/5qCU=")</f>
        <v>#VALUE!</v>
      </c>
      <c r="AM129" t="e">
        <f>AND(Bills!T485,"AAAAAH/5qCY=")</f>
        <v>#VALUE!</v>
      </c>
      <c r="AN129" t="e">
        <f>AND(Bills!#REF!,"AAAAAH/5qCc=")</f>
        <v>#REF!</v>
      </c>
      <c r="AO129" t="e">
        <f>AND(Bills!U485,"AAAAAH/5qCg=")</f>
        <v>#VALUE!</v>
      </c>
      <c r="AP129" t="e">
        <f>AND(Bills!V485,"AAAAAH/5qCk=")</f>
        <v>#VALUE!</v>
      </c>
      <c r="AQ129" t="e">
        <f>AND(Bills!W485,"AAAAAH/5qCo=")</f>
        <v>#VALUE!</v>
      </c>
      <c r="AR129" t="e">
        <f>AND(Bills!#REF!,"AAAAAH/5qCs=")</f>
        <v>#REF!</v>
      </c>
      <c r="AS129" t="e">
        <f>AND(Bills!#REF!,"AAAAAH/5qCw=")</f>
        <v>#REF!</v>
      </c>
      <c r="AT129" t="e">
        <f>AND(Bills!Y485,"AAAAAH/5qC0=")</f>
        <v>#VALUE!</v>
      </c>
      <c r="AU129" t="e">
        <f>AND(Bills!Z485,"AAAAAH/5qC4=")</f>
        <v>#VALUE!</v>
      </c>
      <c r="AV129" t="e">
        <f>AND(Bills!#REF!,"AAAAAH/5qC8=")</f>
        <v>#REF!</v>
      </c>
      <c r="AW129" t="e">
        <f>AND(Bills!#REF!,"AAAAAH/5qDA=")</f>
        <v>#REF!</v>
      </c>
      <c r="AX129" t="e">
        <f>AND(Bills!#REF!,"AAAAAH/5qDE=")</f>
        <v>#REF!</v>
      </c>
      <c r="AY129" t="e">
        <f>AND(Bills!#REF!,"AAAAAH/5qDI=")</f>
        <v>#REF!</v>
      </c>
      <c r="AZ129" t="e">
        <f>AND(Bills!#REF!,"AAAAAH/5qDM=")</f>
        <v>#REF!</v>
      </c>
      <c r="BA129" t="e">
        <f>AND(Bills!#REF!,"AAAAAH/5qDQ=")</f>
        <v>#REF!</v>
      </c>
      <c r="BB129" t="e">
        <f>AND(Bills!#REF!,"AAAAAH/5qDU=")</f>
        <v>#REF!</v>
      </c>
      <c r="BC129" t="e">
        <f>AND(Bills!#REF!,"AAAAAH/5qDY=")</f>
        <v>#REF!</v>
      </c>
      <c r="BD129" t="e">
        <f>AND(Bills!#REF!,"AAAAAH/5qDc=")</f>
        <v>#REF!</v>
      </c>
      <c r="BE129" t="e">
        <f>AND(Bills!AA485,"AAAAAH/5qDg=")</f>
        <v>#VALUE!</v>
      </c>
      <c r="BF129" t="e">
        <f>AND(Bills!AB485,"AAAAAH/5qDk=")</f>
        <v>#VALUE!</v>
      </c>
      <c r="BG129" t="e">
        <f>AND(Bills!#REF!,"AAAAAH/5qDo=")</f>
        <v>#REF!</v>
      </c>
      <c r="BH129" t="e">
        <f>AND(Bills!#REF!,"AAAAAH/5qDs=")</f>
        <v>#REF!</v>
      </c>
      <c r="BI129" t="e">
        <f>AND(Bills!#REF!,"AAAAAH/5qDw=")</f>
        <v>#REF!</v>
      </c>
      <c r="BJ129" t="e">
        <f>AND(Bills!AC485,"AAAAAH/5qD0=")</f>
        <v>#VALUE!</v>
      </c>
      <c r="BK129" t="e">
        <f>AND(Bills!AD485,"AAAAAH/5qD4=")</f>
        <v>#VALUE!</v>
      </c>
      <c r="BL129" t="e">
        <f>AND(Bills!AE485,"AAAAAH/5qD8=")</f>
        <v>#VALUE!</v>
      </c>
      <c r="BM129">
        <f>IF(Bills!486:486,"AAAAAH/5qEA=",0)</f>
        <v>0</v>
      </c>
      <c r="BN129" t="e">
        <f>AND(Bills!B486,"AAAAAH/5qEE=")</f>
        <v>#VALUE!</v>
      </c>
      <c r="BO129" t="e">
        <f>AND(Bills!#REF!,"AAAAAH/5qEI=")</f>
        <v>#REF!</v>
      </c>
      <c r="BP129" t="e">
        <f>AND(Bills!C486,"AAAAAH/5qEM=")</f>
        <v>#VALUE!</v>
      </c>
      <c r="BQ129" t="e">
        <f>AND(Bills!D486,"AAAAAH/5qEQ=")</f>
        <v>#VALUE!</v>
      </c>
      <c r="BR129" t="e">
        <f>AND(Bills!E486,"AAAAAH/5qEU=")</f>
        <v>#VALUE!</v>
      </c>
      <c r="BS129" t="e">
        <f>AND(Bills!#REF!,"AAAAAH/5qEY=")</f>
        <v>#REF!</v>
      </c>
      <c r="BT129" t="e">
        <f>AND(Bills!#REF!,"AAAAAH/5qEc=")</f>
        <v>#REF!</v>
      </c>
      <c r="BU129" t="e">
        <f>AND(Bills!#REF!,"AAAAAH/5qEg=")</f>
        <v>#REF!</v>
      </c>
      <c r="BV129" t="e">
        <f>AND(Bills!F486,"AAAAAH/5qEk=")</f>
        <v>#VALUE!</v>
      </c>
      <c r="BW129" t="e">
        <f>AND(Bills!#REF!,"AAAAAH/5qEo=")</f>
        <v>#REF!</v>
      </c>
      <c r="BX129" t="e">
        <f>AND(Bills!G486,"AAAAAH/5qEs=")</f>
        <v>#VALUE!</v>
      </c>
      <c r="BY129" t="e">
        <f>AND(Bills!H486,"AAAAAH/5qEw=")</f>
        <v>#VALUE!</v>
      </c>
      <c r="BZ129" t="e">
        <f>AND(Bills!I486,"AAAAAH/5qE0=")</f>
        <v>#VALUE!</v>
      </c>
      <c r="CA129" t="e">
        <f>AND(Bills!J486,"AAAAAH/5qE4=")</f>
        <v>#VALUE!</v>
      </c>
      <c r="CB129" t="e">
        <f>AND(Bills!K486,"AAAAAH/5qE8=")</f>
        <v>#VALUE!</v>
      </c>
      <c r="CC129" t="e">
        <f>AND(Bills!L486,"AAAAAH/5qFA=")</f>
        <v>#VALUE!</v>
      </c>
      <c r="CD129" t="e">
        <f>AND(Bills!#REF!,"AAAAAH/5qFE=")</f>
        <v>#REF!</v>
      </c>
      <c r="CE129" t="e">
        <f>AND(Bills!M486,"AAAAAH/5qFI=")</f>
        <v>#VALUE!</v>
      </c>
      <c r="CF129" t="e">
        <f>AND(Bills!N486,"AAAAAH/5qFM=")</f>
        <v>#VALUE!</v>
      </c>
      <c r="CG129" t="e">
        <f>AND(Bills!O486,"AAAAAH/5qFQ=")</f>
        <v>#VALUE!</v>
      </c>
      <c r="CH129" t="e">
        <f>AND(Bills!P486,"AAAAAH/5qFU=")</f>
        <v>#VALUE!</v>
      </c>
      <c r="CI129" t="e">
        <f>AND(Bills!Q486,"AAAAAH/5qFY=")</f>
        <v>#VALUE!</v>
      </c>
      <c r="CJ129" t="e">
        <f>AND(Bills!R486,"AAAAAH/5qFc=")</f>
        <v>#VALUE!</v>
      </c>
      <c r="CK129" t="e">
        <f>AND(Bills!S486,"AAAAAH/5qFg=")</f>
        <v>#VALUE!</v>
      </c>
      <c r="CL129" t="e">
        <f>AND(Bills!T486,"AAAAAH/5qFk=")</f>
        <v>#VALUE!</v>
      </c>
      <c r="CM129" t="e">
        <f>AND(Bills!#REF!,"AAAAAH/5qFo=")</f>
        <v>#REF!</v>
      </c>
      <c r="CN129" t="e">
        <f>AND(Bills!U486,"AAAAAH/5qFs=")</f>
        <v>#VALUE!</v>
      </c>
      <c r="CO129" t="e">
        <f>AND(Bills!V486,"AAAAAH/5qFw=")</f>
        <v>#VALUE!</v>
      </c>
      <c r="CP129" t="e">
        <f>AND(Bills!W486,"AAAAAH/5qF0=")</f>
        <v>#VALUE!</v>
      </c>
      <c r="CQ129" t="e">
        <f>AND(Bills!#REF!,"AAAAAH/5qF4=")</f>
        <v>#REF!</v>
      </c>
      <c r="CR129" t="e">
        <f>AND(Bills!#REF!,"AAAAAH/5qF8=")</f>
        <v>#REF!</v>
      </c>
      <c r="CS129" t="e">
        <f>AND(Bills!Y486,"AAAAAH/5qGA=")</f>
        <v>#VALUE!</v>
      </c>
      <c r="CT129" t="e">
        <f>AND(Bills!Z486,"AAAAAH/5qGE=")</f>
        <v>#VALUE!</v>
      </c>
      <c r="CU129" t="e">
        <f>AND(Bills!#REF!,"AAAAAH/5qGI=")</f>
        <v>#REF!</v>
      </c>
      <c r="CV129" t="e">
        <f>AND(Bills!#REF!,"AAAAAH/5qGM=")</f>
        <v>#REF!</v>
      </c>
      <c r="CW129" t="e">
        <f>AND(Bills!#REF!,"AAAAAH/5qGQ=")</f>
        <v>#REF!</v>
      </c>
      <c r="CX129" t="e">
        <f>AND(Bills!#REF!,"AAAAAH/5qGU=")</f>
        <v>#REF!</v>
      </c>
      <c r="CY129" t="e">
        <f>AND(Bills!#REF!,"AAAAAH/5qGY=")</f>
        <v>#REF!</v>
      </c>
      <c r="CZ129" t="e">
        <f>AND(Bills!#REF!,"AAAAAH/5qGc=")</f>
        <v>#REF!</v>
      </c>
      <c r="DA129" t="e">
        <f>AND(Bills!#REF!,"AAAAAH/5qGg=")</f>
        <v>#REF!</v>
      </c>
      <c r="DB129" t="e">
        <f>AND(Bills!#REF!,"AAAAAH/5qGk=")</f>
        <v>#REF!</v>
      </c>
      <c r="DC129" t="e">
        <f>AND(Bills!#REF!,"AAAAAH/5qGo=")</f>
        <v>#REF!</v>
      </c>
      <c r="DD129" t="e">
        <f>AND(Bills!AA486,"AAAAAH/5qGs=")</f>
        <v>#VALUE!</v>
      </c>
      <c r="DE129" t="e">
        <f>AND(Bills!AB486,"AAAAAH/5qGw=")</f>
        <v>#VALUE!</v>
      </c>
      <c r="DF129" t="e">
        <f>AND(Bills!#REF!,"AAAAAH/5qG0=")</f>
        <v>#REF!</v>
      </c>
      <c r="DG129" t="e">
        <f>AND(Bills!#REF!,"AAAAAH/5qG4=")</f>
        <v>#REF!</v>
      </c>
      <c r="DH129" t="e">
        <f>AND(Bills!#REF!,"AAAAAH/5qG8=")</f>
        <v>#REF!</v>
      </c>
      <c r="DI129" t="e">
        <f>AND(Bills!AC486,"AAAAAH/5qHA=")</f>
        <v>#VALUE!</v>
      </c>
      <c r="DJ129" t="e">
        <f>AND(Bills!AD486,"AAAAAH/5qHE=")</f>
        <v>#VALUE!</v>
      </c>
      <c r="DK129" t="e">
        <f>AND(Bills!AE486,"AAAAAH/5qHI=")</f>
        <v>#VALUE!</v>
      </c>
      <c r="DL129">
        <f>IF(Bills!487:487,"AAAAAH/5qHM=",0)</f>
        <v>0</v>
      </c>
      <c r="DM129" t="e">
        <f>AND(Bills!B487,"AAAAAH/5qHQ=")</f>
        <v>#VALUE!</v>
      </c>
      <c r="DN129" t="e">
        <f>AND(Bills!#REF!,"AAAAAH/5qHU=")</f>
        <v>#REF!</v>
      </c>
      <c r="DO129" t="e">
        <f>AND(Bills!C487,"AAAAAH/5qHY=")</f>
        <v>#VALUE!</v>
      </c>
      <c r="DP129" t="e">
        <f>AND(Bills!D487,"AAAAAH/5qHc=")</f>
        <v>#VALUE!</v>
      </c>
      <c r="DQ129" t="e">
        <f>AND(Bills!E487,"AAAAAH/5qHg=")</f>
        <v>#VALUE!</v>
      </c>
      <c r="DR129" t="e">
        <f>AND(Bills!#REF!,"AAAAAH/5qHk=")</f>
        <v>#REF!</v>
      </c>
      <c r="DS129" t="e">
        <f>AND(Bills!#REF!,"AAAAAH/5qHo=")</f>
        <v>#REF!</v>
      </c>
      <c r="DT129" t="e">
        <f>AND(Bills!#REF!,"AAAAAH/5qHs=")</f>
        <v>#REF!</v>
      </c>
      <c r="DU129" t="e">
        <f>AND(Bills!F487,"AAAAAH/5qHw=")</f>
        <v>#VALUE!</v>
      </c>
      <c r="DV129" t="e">
        <f>AND(Bills!#REF!,"AAAAAH/5qH0=")</f>
        <v>#REF!</v>
      </c>
      <c r="DW129" t="e">
        <f>AND(Bills!G487,"AAAAAH/5qH4=")</f>
        <v>#VALUE!</v>
      </c>
      <c r="DX129" t="e">
        <f>AND(Bills!H487,"AAAAAH/5qH8=")</f>
        <v>#VALUE!</v>
      </c>
      <c r="DY129" t="e">
        <f>AND(Bills!I487,"AAAAAH/5qIA=")</f>
        <v>#VALUE!</v>
      </c>
      <c r="DZ129" t="e">
        <f>AND(Bills!J487,"AAAAAH/5qIE=")</f>
        <v>#VALUE!</v>
      </c>
      <c r="EA129" t="e">
        <f>AND(Bills!K487,"AAAAAH/5qII=")</f>
        <v>#VALUE!</v>
      </c>
      <c r="EB129" t="e">
        <f>AND(Bills!L487,"AAAAAH/5qIM=")</f>
        <v>#VALUE!</v>
      </c>
      <c r="EC129" t="e">
        <f>AND(Bills!#REF!,"AAAAAH/5qIQ=")</f>
        <v>#REF!</v>
      </c>
      <c r="ED129" t="e">
        <f>AND(Bills!M487,"AAAAAH/5qIU=")</f>
        <v>#VALUE!</v>
      </c>
      <c r="EE129" t="e">
        <f>AND(Bills!N487,"AAAAAH/5qIY=")</f>
        <v>#VALUE!</v>
      </c>
      <c r="EF129" t="e">
        <f>AND(Bills!O487,"AAAAAH/5qIc=")</f>
        <v>#VALUE!</v>
      </c>
      <c r="EG129" t="e">
        <f>AND(Bills!P487,"AAAAAH/5qIg=")</f>
        <v>#VALUE!</v>
      </c>
      <c r="EH129" t="e">
        <f>AND(Bills!Q487,"AAAAAH/5qIk=")</f>
        <v>#VALUE!</v>
      </c>
      <c r="EI129" t="e">
        <f>AND(Bills!R487,"AAAAAH/5qIo=")</f>
        <v>#VALUE!</v>
      </c>
      <c r="EJ129" t="e">
        <f>AND(Bills!S487,"AAAAAH/5qIs=")</f>
        <v>#VALUE!</v>
      </c>
      <c r="EK129" t="e">
        <f>AND(Bills!T487,"AAAAAH/5qIw=")</f>
        <v>#VALUE!</v>
      </c>
      <c r="EL129" t="e">
        <f>AND(Bills!#REF!,"AAAAAH/5qI0=")</f>
        <v>#REF!</v>
      </c>
      <c r="EM129" t="e">
        <f>AND(Bills!U487,"AAAAAH/5qI4=")</f>
        <v>#VALUE!</v>
      </c>
      <c r="EN129" t="e">
        <f>AND(Bills!V487,"AAAAAH/5qI8=")</f>
        <v>#VALUE!</v>
      </c>
      <c r="EO129" t="e">
        <f>AND(Bills!W487,"AAAAAH/5qJA=")</f>
        <v>#VALUE!</v>
      </c>
      <c r="EP129" t="e">
        <f>AND(Bills!#REF!,"AAAAAH/5qJE=")</f>
        <v>#REF!</v>
      </c>
      <c r="EQ129" t="e">
        <f>AND(Bills!#REF!,"AAAAAH/5qJI=")</f>
        <v>#REF!</v>
      </c>
      <c r="ER129" t="e">
        <f>AND(Bills!Y487,"AAAAAH/5qJM=")</f>
        <v>#VALUE!</v>
      </c>
      <c r="ES129" t="e">
        <f>AND(Bills!Z487,"AAAAAH/5qJQ=")</f>
        <v>#VALUE!</v>
      </c>
      <c r="ET129" t="e">
        <f>AND(Bills!#REF!,"AAAAAH/5qJU=")</f>
        <v>#REF!</v>
      </c>
      <c r="EU129" t="e">
        <f>AND(Bills!#REF!,"AAAAAH/5qJY=")</f>
        <v>#REF!</v>
      </c>
      <c r="EV129" t="e">
        <f>AND(Bills!#REF!,"AAAAAH/5qJc=")</f>
        <v>#REF!</v>
      </c>
      <c r="EW129" t="e">
        <f>AND(Bills!#REF!,"AAAAAH/5qJg=")</f>
        <v>#REF!</v>
      </c>
      <c r="EX129" t="e">
        <f>AND(Bills!#REF!,"AAAAAH/5qJk=")</f>
        <v>#REF!</v>
      </c>
      <c r="EY129" t="e">
        <f>AND(Bills!#REF!,"AAAAAH/5qJo=")</f>
        <v>#REF!</v>
      </c>
      <c r="EZ129" t="e">
        <f>AND(Bills!#REF!,"AAAAAH/5qJs=")</f>
        <v>#REF!</v>
      </c>
      <c r="FA129" t="e">
        <f>AND(Bills!#REF!,"AAAAAH/5qJw=")</f>
        <v>#REF!</v>
      </c>
      <c r="FB129" t="e">
        <f>AND(Bills!#REF!,"AAAAAH/5qJ0=")</f>
        <v>#REF!</v>
      </c>
      <c r="FC129" t="e">
        <f>AND(Bills!AA487,"AAAAAH/5qJ4=")</f>
        <v>#VALUE!</v>
      </c>
      <c r="FD129" t="e">
        <f>AND(Bills!AB487,"AAAAAH/5qJ8=")</f>
        <v>#VALUE!</v>
      </c>
      <c r="FE129" t="e">
        <f>AND(Bills!#REF!,"AAAAAH/5qKA=")</f>
        <v>#REF!</v>
      </c>
      <c r="FF129" t="e">
        <f>AND(Bills!#REF!,"AAAAAH/5qKE=")</f>
        <v>#REF!</v>
      </c>
      <c r="FG129" t="e">
        <f>AND(Bills!#REF!,"AAAAAH/5qKI=")</f>
        <v>#REF!</v>
      </c>
      <c r="FH129" t="e">
        <f>AND(Bills!AC487,"AAAAAH/5qKM=")</f>
        <v>#VALUE!</v>
      </c>
      <c r="FI129" t="e">
        <f>AND(Bills!AD487,"AAAAAH/5qKQ=")</f>
        <v>#VALUE!</v>
      </c>
      <c r="FJ129" t="e">
        <f>AND(Bills!AE487,"AAAAAH/5qKU=")</f>
        <v>#VALUE!</v>
      </c>
      <c r="FK129">
        <f>IF(Bills!488:488,"AAAAAH/5qKY=",0)</f>
        <v>0</v>
      </c>
      <c r="FL129" t="e">
        <f>AND(Bills!B488,"AAAAAH/5qKc=")</f>
        <v>#VALUE!</v>
      </c>
      <c r="FM129" t="e">
        <f>AND(Bills!#REF!,"AAAAAH/5qKg=")</f>
        <v>#REF!</v>
      </c>
      <c r="FN129" t="e">
        <f>AND(Bills!C488,"AAAAAH/5qKk=")</f>
        <v>#VALUE!</v>
      </c>
      <c r="FO129" t="e">
        <f>AND(Bills!D488,"AAAAAH/5qKo=")</f>
        <v>#VALUE!</v>
      </c>
      <c r="FP129" t="e">
        <f>AND(Bills!E488,"AAAAAH/5qKs=")</f>
        <v>#VALUE!</v>
      </c>
      <c r="FQ129" t="e">
        <f>AND(Bills!#REF!,"AAAAAH/5qKw=")</f>
        <v>#REF!</v>
      </c>
      <c r="FR129" t="e">
        <f>AND(Bills!#REF!,"AAAAAH/5qK0=")</f>
        <v>#REF!</v>
      </c>
      <c r="FS129" t="e">
        <f>AND(Bills!#REF!,"AAAAAH/5qK4=")</f>
        <v>#REF!</v>
      </c>
      <c r="FT129" t="e">
        <f>AND(Bills!F488,"AAAAAH/5qK8=")</f>
        <v>#VALUE!</v>
      </c>
      <c r="FU129" t="e">
        <f>AND(Bills!#REF!,"AAAAAH/5qLA=")</f>
        <v>#REF!</v>
      </c>
      <c r="FV129" t="e">
        <f>AND(Bills!G488,"AAAAAH/5qLE=")</f>
        <v>#VALUE!</v>
      </c>
      <c r="FW129" t="e">
        <f>AND(Bills!H488,"AAAAAH/5qLI=")</f>
        <v>#VALUE!</v>
      </c>
      <c r="FX129" t="e">
        <f>AND(Bills!I488,"AAAAAH/5qLM=")</f>
        <v>#VALUE!</v>
      </c>
      <c r="FY129" t="e">
        <f>AND(Bills!J488,"AAAAAH/5qLQ=")</f>
        <v>#VALUE!</v>
      </c>
      <c r="FZ129" t="e">
        <f>AND(Bills!K488,"AAAAAH/5qLU=")</f>
        <v>#VALUE!</v>
      </c>
      <c r="GA129" t="e">
        <f>AND(Bills!L488,"AAAAAH/5qLY=")</f>
        <v>#VALUE!</v>
      </c>
      <c r="GB129" t="e">
        <f>AND(Bills!#REF!,"AAAAAH/5qLc=")</f>
        <v>#REF!</v>
      </c>
      <c r="GC129" t="e">
        <f>AND(Bills!M488,"AAAAAH/5qLg=")</f>
        <v>#VALUE!</v>
      </c>
      <c r="GD129" t="e">
        <f>AND(Bills!N488,"AAAAAH/5qLk=")</f>
        <v>#VALUE!</v>
      </c>
      <c r="GE129" t="e">
        <f>AND(Bills!O488,"AAAAAH/5qLo=")</f>
        <v>#VALUE!</v>
      </c>
      <c r="GF129" t="e">
        <f>AND(Bills!P488,"AAAAAH/5qLs=")</f>
        <v>#VALUE!</v>
      </c>
      <c r="GG129" t="e">
        <f>AND(Bills!Q488,"AAAAAH/5qLw=")</f>
        <v>#VALUE!</v>
      </c>
      <c r="GH129" t="e">
        <f>AND(Bills!R488,"AAAAAH/5qL0=")</f>
        <v>#VALUE!</v>
      </c>
      <c r="GI129" t="e">
        <f>AND(Bills!S488,"AAAAAH/5qL4=")</f>
        <v>#VALUE!</v>
      </c>
      <c r="GJ129" t="e">
        <f>AND(Bills!T488,"AAAAAH/5qL8=")</f>
        <v>#VALUE!</v>
      </c>
      <c r="GK129" t="e">
        <f>AND(Bills!#REF!,"AAAAAH/5qMA=")</f>
        <v>#REF!</v>
      </c>
      <c r="GL129" t="e">
        <f>AND(Bills!U488,"AAAAAH/5qME=")</f>
        <v>#VALUE!</v>
      </c>
      <c r="GM129" t="e">
        <f>AND(Bills!V488,"AAAAAH/5qMI=")</f>
        <v>#VALUE!</v>
      </c>
      <c r="GN129" t="e">
        <f>AND(Bills!W488,"AAAAAH/5qMM=")</f>
        <v>#VALUE!</v>
      </c>
      <c r="GO129" t="e">
        <f>AND(Bills!#REF!,"AAAAAH/5qMQ=")</f>
        <v>#REF!</v>
      </c>
      <c r="GP129" t="e">
        <f>AND(Bills!#REF!,"AAAAAH/5qMU=")</f>
        <v>#REF!</v>
      </c>
      <c r="GQ129" t="e">
        <f>AND(Bills!Y488,"AAAAAH/5qMY=")</f>
        <v>#VALUE!</v>
      </c>
      <c r="GR129" t="e">
        <f>AND(Bills!Z488,"AAAAAH/5qMc=")</f>
        <v>#VALUE!</v>
      </c>
      <c r="GS129" t="e">
        <f>AND(Bills!#REF!,"AAAAAH/5qMg=")</f>
        <v>#REF!</v>
      </c>
      <c r="GT129" t="e">
        <f>AND(Bills!#REF!,"AAAAAH/5qMk=")</f>
        <v>#REF!</v>
      </c>
      <c r="GU129" t="e">
        <f>AND(Bills!#REF!,"AAAAAH/5qMo=")</f>
        <v>#REF!</v>
      </c>
      <c r="GV129" t="e">
        <f>AND(Bills!#REF!,"AAAAAH/5qMs=")</f>
        <v>#REF!</v>
      </c>
      <c r="GW129" t="e">
        <f>AND(Bills!#REF!,"AAAAAH/5qMw=")</f>
        <v>#REF!</v>
      </c>
      <c r="GX129" t="e">
        <f>AND(Bills!#REF!,"AAAAAH/5qM0=")</f>
        <v>#REF!</v>
      </c>
      <c r="GY129" t="e">
        <f>AND(Bills!#REF!,"AAAAAH/5qM4=")</f>
        <v>#REF!</v>
      </c>
      <c r="GZ129" t="e">
        <f>AND(Bills!#REF!,"AAAAAH/5qM8=")</f>
        <v>#REF!</v>
      </c>
      <c r="HA129" t="e">
        <f>AND(Bills!#REF!,"AAAAAH/5qNA=")</f>
        <v>#REF!</v>
      </c>
      <c r="HB129" t="e">
        <f>AND(Bills!AA488,"AAAAAH/5qNE=")</f>
        <v>#VALUE!</v>
      </c>
      <c r="HC129" t="e">
        <f>AND(Bills!AB488,"AAAAAH/5qNI=")</f>
        <v>#VALUE!</v>
      </c>
      <c r="HD129" t="e">
        <f>AND(Bills!#REF!,"AAAAAH/5qNM=")</f>
        <v>#REF!</v>
      </c>
      <c r="HE129" t="e">
        <f>AND(Bills!#REF!,"AAAAAH/5qNQ=")</f>
        <v>#REF!</v>
      </c>
      <c r="HF129" t="e">
        <f>AND(Bills!#REF!,"AAAAAH/5qNU=")</f>
        <v>#REF!</v>
      </c>
      <c r="HG129" t="e">
        <f>AND(Bills!AC488,"AAAAAH/5qNY=")</f>
        <v>#VALUE!</v>
      </c>
      <c r="HH129" t="e">
        <f>AND(Bills!AD488,"AAAAAH/5qNc=")</f>
        <v>#VALUE!</v>
      </c>
      <c r="HI129" t="e">
        <f>AND(Bills!AE488,"AAAAAH/5qNg=")</f>
        <v>#VALUE!</v>
      </c>
      <c r="HJ129">
        <f>IF(Bills!489:489,"AAAAAH/5qNk=",0)</f>
        <v>0</v>
      </c>
      <c r="HK129" t="e">
        <f>AND(Bills!B489,"AAAAAH/5qNo=")</f>
        <v>#VALUE!</v>
      </c>
      <c r="HL129" t="e">
        <f>AND(Bills!#REF!,"AAAAAH/5qNs=")</f>
        <v>#REF!</v>
      </c>
      <c r="HM129" t="e">
        <f>AND(Bills!C489,"AAAAAH/5qNw=")</f>
        <v>#VALUE!</v>
      </c>
      <c r="HN129" t="e">
        <f>AND(Bills!D489,"AAAAAH/5qN0=")</f>
        <v>#VALUE!</v>
      </c>
      <c r="HO129" t="e">
        <f>AND(Bills!E489,"AAAAAH/5qN4=")</f>
        <v>#VALUE!</v>
      </c>
      <c r="HP129" t="e">
        <f>AND(Bills!#REF!,"AAAAAH/5qN8=")</f>
        <v>#REF!</v>
      </c>
      <c r="HQ129" t="e">
        <f>AND(Bills!#REF!,"AAAAAH/5qOA=")</f>
        <v>#REF!</v>
      </c>
      <c r="HR129" t="e">
        <f>AND(Bills!#REF!,"AAAAAH/5qOE=")</f>
        <v>#REF!</v>
      </c>
      <c r="HS129" t="e">
        <f>AND(Bills!F489,"AAAAAH/5qOI=")</f>
        <v>#VALUE!</v>
      </c>
      <c r="HT129" t="e">
        <f>AND(Bills!#REF!,"AAAAAH/5qOM=")</f>
        <v>#REF!</v>
      </c>
      <c r="HU129" t="e">
        <f>AND(Bills!G489,"AAAAAH/5qOQ=")</f>
        <v>#VALUE!</v>
      </c>
      <c r="HV129" t="e">
        <f>AND(Bills!H489,"AAAAAH/5qOU=")</f>
        <v>#VALUE!</v>
      </c>
      <c r="HW129" t="e">
        <f>AND(Bills!I489,"AAAAAH/5qOY=")</f>
        <v>#VALUE!</v>
      </c>
      <c r="HX129" t="e">
        <f>AND(Bills!J489,"AAAAAH/5qOc=")</f>
        <v>#VALUE!</v>
      </c>
      <c r="HY129" t="e">
        <f>AND(Bills!K489,"AAAAAH/5qOg=")</f>
        <v>#VALUE!</v>
      </c>
      <c r="HZ129" t="e">
        <f>AND(Bills!L489,"AAAAAH/5qOk=")</f>
        <v>#VALUE!</v>
      </c>
      <c r="IA129" t="e">
        <f>AND(Bills!#REF!,"AAAAAH/5qOo=")</f>
        <v>#REF!</v>
      </c>
      <c r="IB129" t="e">
        <f>AND(Bills!M489,"AAAAAH/5qOs=")</f>
        <v>#VALUE!</v>
      </c>
      <c r="IC129" t="e">
        <f>AND(Bills!N489,"AAAAAH/5qOw=")</f>
        <v>#VALUE!</v>
      </c>
      <c r="ID129" t="e">
        <f>AND(Bills!O489,"AAAAAH/5qO0=")</f>
        <v>#VALUE!</v>
      </c>
      <c r="IE129" t="e">
        <f>AND(Bills!P489,"AAAAAH/5qO4=")</f>
        <v>#VALUE!</v>
      </c>
      <c r="IF129" t="e">
        <f>AND(Bills!Q489,"AAAAAH/5qO8=")</f>
        <v>#VALUE!</v>
      </c>
      <c r="IG129" t="e">
        <f>AND(Bills!R489,"AAAAAH/5qPA=")</f>
        <v>#VALUE!</v>
      </c>
      <c r="IH129" t="e">
        <f>AND(Bills!S489,"AAAAAH/5qPE=")</f>
        <v>#VALUE!</v>
      </c>
      <c r="II129" t="e">
        <f>AND(Bills!T489,"AAAAAH/5qPI=")</f>
        <v>#VALUE!</v>
      </c>
      <c r="IJ129" t="e">
        <f>AND(Bills!#REF!,"AAAAAH/5qPM=")</f>
        <v>#REF!</v>
      </c>
      <c r="IK129" t="e">
        <f>AND(Bills!U489,"AAAAAH/5qPQ=")</f>
        <v>#VALUE!</v>
      </c>
      <c r="IL129" t="e">
        <f>AND(Bills!V489,"AAAAAH/5qPU=")</f>
        <v>#VALUE!</v>
      </c>
      <c r="IM129" t="e">
        <f>AND(Bills!W489,"AAAAAH/5qPY=")</f>
        <v>#VALUE!</v>
      </c>
      <c r="IN129" t="e">
        <f>AND(Bills!#REF!,"AAAAAH/5qPc=")</f>
        <v>#REF!</v>
      </c>
      <c r="IO129" t="e">
        <f>AND(Bills!#REF!,"AAAAAH/5qPg=")</f>
        <v>#REF!</v>
      </c>
      <c r="IP129" t="e">
        <f>AND(Bills!Y489,"AAAAAH/5qPk=")</f>
        <v>#VALUE!</v>
      </c>
      <c r="IQ129" t="e">
        <f>AND(Bills!Z489,"AAAAAH/5qPo=")</f>
        <v>#VALUE!</v>
      </c>
      <c r="IR129" t="e">
        <f>AND(Bills!#REF!,"AAAAAH/5qPs=")</f>
        <v>#REF!</v>
      </c>
      <c r="IS129" t="e">
        <f>AND(Bills!#REF!,"AAAAAH/5qPw=")</f>
        <v>#REF!</v>
      </c>
      <c r="IT129" t="e">
        <f>AND(Bills!#REF!,"AAAAAH/5qP0=")</f>
        <v>#REF!</v>
      </c>
      <c r="IU129" t="e">
        <f>AND(Bills!#REF!,"AAAAAH/5qP4=")</f>
        <v>#REF!</v>
      </c>
      <c r="IV129" t="e">
        <f>AND(Bills!#REF!,"AAAAAH/5qP8=")</f>
        <v>#REF!</v>
      </c>
    </row>
    <row r="130" spans="1:256" x14ac:dyDescent="0.25">
      <c r="A130" t="e">
        <f>AND(Bills!#REF!,"AAAAAHJr/gA=")</f>
        <v>#REF!</v>
      </c>
      <c r="B130" t="e">
        <f>AND(Bills!#REF!,"AAAAAHJr/gE=")</f>
        <v>#REF!</v>
      </c>
      <c r="C130" t="e">
        <f>AND(Bills!#REF!,"AAAAAHJr/gI=")</f>
        <v>#REF!</v>
      </c>
      <c r="D130" t="e">
        <f>AND(Bills!#REF!,"AAAAAHJr/gM=")</f>
        <v>#REF!</v>
      </c>
      <c r="E130" t="e">
        <f>AND(Bills!AA489,"AAAAAHJr/gQ=")</f>
        <v>#VALUE!</v>
      </c>
      <c r="F130" t="e">
        <f>AND(Bills!AB489,"AAAAAHJr/gU=")</f>
        <v>#VALUE!</v>
      </c>
      <c r="G130" t="e">
        <f>AND(Bills!#REF!,"AAAAAHJr/gY=")</f>
        <v>#REF!</v>
      </c>
      <c r="H130" t="e">
        <f>AND(Bills!#REF!,"AAAAAHJr/gc=")</f>
        <v>#REF!</v>
      </c>
      <c r="I130" t="e">
        <f>AND(Bills!#REF!,"AAAAAHJr/gg=")</f>
        <v>#REF!</v>
      </c>
      <c r="J130" t="e">
        <f>AND(Bills!AC489,"AAAAAHJr/gk=")</f>
        <v>#VALUE!</v>
      </c>
      <c r="K130" t="e">
        <f>AND(Bills!AD489,"AAAAAHJr/go=")</f>
        <v>#VALUE!</v>
      </c>
      <c r="L130" t="e">
        <f>AND(Bills!AE489,"AAAAAHJr/gs=")</f>
        <v>#VALUE!</v>
      </c>
      <c r="M130">
        <f>IF(Bills!490:490,"AAAAAHJr/gw=",0)</f>
        <v>0</v>
      </c>
      <c r="N130" t="e">
        <f>AND(Bills!B490,"AAAAAHJr/g0=")</f>
        <v>#VALUE!</v>
      </c>
      <c r="O130" t="e">
        <f>AND(Bills!#REF!,"AAAAAHJr/g4=")</f>
        <v>#REF!</v>
      </c>
      <c r="P130" t="e">
        <f>AND(Bills!C490,"AAAAAHJr/g8=")</f>
        <v>#VALUE!</v>
      </c>
      <c r="Q130" t="e">
        <f>AND(Bills!D490,"AAAAAHJr/hA=")</f>
        <v>#VALUE!</v>
      </c>
      <c r="R130" t="e">
        <f>AND(Bills!E490,"AAAAAHJr/hE=")</f>
        <v>#VALUE!</v>
      </c>
      <c r="S130" t="e">
        <f>AND(Bills!#REF!,"AAAAAHJr/hI=")</f>
        <v>#REF!</v>
      </c>
      <c r="T130" t="e">
        <f>AND(Bills!#REF!,"AAAAAHJr/hM=")</f>
        <v>#REF!</v>
      </c>
      <c r="U130" t="e">
        <f>AND(Bills!#REF!,"AAAAAHJr/hQ=")</f>
        <v>#REF!</v>
      </c>
      <c r="V130" t="e">
        <f>AND(Bills!F490,"AAAAAHJr/hU=")</f>
        <v>#VALUE!</v>
      </c>
      <c r="W130" t="e">
        <f>AND(Bills!#REF!,"AAAAAHJr/hY=")</f>
        <v>#REF!</v>
      </c>
      <c r="X130" t="e">
        <f>AND(Bills!G490,"AAAAAHJr/hc=")</f>
        <v>#VALUE!</v>
      </c>
      <c r="Y130" t="e">
        <f>AND(Bills!H490,"AAAAAHJr/hg=")</f>
        <v>#VALUE!</v>
      </c>
      <c r="Z130" t="e">
        <f>AND(Bills!I490,"AAAAAHJr/hk=")</f>
        <v>#VALUE!</v>
      </c>
      <c r="AA130" t="e">
        <f>AND(Bills!J490,"AAAAAHJr/ho=")</f>
        <v>#VALUE!</v>
      </c>
      <c r="AB130" t="e">
        <f>AND(Bills!K490,"AAAAAHJr/hs=")</f>
        <v>#VALUE!</v>
      </c>
      <c r="AC130" t="e">
        <f>AND(Bills!L490,"AAAAAHJr/hw=")</f>
        <v>#VALUE!</v>
      </c>
      <c r="AD130" t="e">
        <f>AND(Bills!#REF!,"AAAAAHJr/h0=")</f>
        <v>#REF!</v>
      </c>
      <c r="AE130" t="e">
        <f>AND(Bills!M490,"AAAAAHJr/h4=")</f>
        <v>#VALUE!</v>
      </c>
      <c r="AF130" t="e">
        <f>AND(Bills!N490,"AAAAAHJr/h8=")</f>
        <v>#VALUE!</v>
      </c>
      <c r="AG130" t="e">
        <f>AND(Bills!O490,"AAAAAHJr/iA=")</f>
        <v>#VALUE!</v>
      </c>
      <c r="AH130" t="e">
        <f>AND(Bills!P490,"AAAAAHJr/iE=")</f>
        <v>#VALUE!</v>
      </c>
      <c r="AI130" t="e">
        <f>AND(Bills!Q490,"AAAAAHJr/iI=")</f>
        <v>#VALUE!</v>
      </c>
      <c r="AJ130" t="e">
        <f>AND(Bills!R490,"AAAAAHJr/iM=")</f>
        <v>#VALUE!</v>
      </c>
      <c r="AK130" t="e">
        <f>AND(Bills!S490,"AAAAAHJr/iQ=")</f>
        <v>#VALUE!</v>
      </c>
      <c r="AL130" t="e">
        <f>AND(Bills!T490,"AAAAAHJr/iU=")</f>
        <v>#VALUE!</v>
      </c>
      <c r="AM130" t="e">
        <f>AND(Bills!#REF!,"AAAAAHJr/iY=")</f>
        <v>#REF!</v>
      </c>
      <c r="AN130" t="e">
        <f>AND(Bills!U490,"AAAAAHJr/ic=")</f>
        <v>#VALUE!</v>
      </c>
      <c r="AO130" t="e">
        <f>AND(Bills!V490,"AAAAAHJr/ig=")</f>
        <v>#VALUE!</v>
      </c>
      <c r="AP130" t="e">
        <f>AND(Bills!W490,"AAAAAHJr/ik=")</f>
        <v>#VALUE!</v>
      </c>
      <c r="AQ130" t="e">
        <f>AND(Bills!#REF!,"AAAAAHJr/io=")</f>
        <v>#REF!</v>
      </c>
      <c r="AR130" t="e">
        <f>AND(Bills!#REF!,"AAAAAHJr/is=")</f>
        <v>#REF!</v>
      </c>
      <c r="AS130" t="e">
        <f>AND(Bills!Y490,"AAAAAHJr/iw=")</f>
        <v>#VALUE!</v>
      </c>
      <c r="AT130" t="e">
        <f>AND(Bills!Z490,"AAAAAHJr/i0=")</f>
        <v>#VALUE!</v>
      </c>
      <c r="AU130" t="e">
        <f>AND(Bills!#REF!,"AAAAAHJr/i4=")</f>
        <v>#REF!</v>
      </c>
      <c r="AV130" t="e">
        <f>AND(Bills!#REF!,"AAAAAHJr/i8=")</f>
        <v>#REF!</v>
      </c>
      <c r="AW130" t="e">
        <f>AND(Bills!#REF!,"AAAAAHJr/jA=")</f>
        <v>#REF!</v>
      </c>
      <c r="AX130" t="e">
        <f>AND(Bills!#REF!,"AAAAAHJr/jE=")</f>
        <v>#REF!</v>
      </c>
      <c r="AY130" t="e">
        <f>AND(Bills!#REF!,"AAAAAHJr/jI=")</f>
        <v>#REF!</v>
      </c>
      <c r="AZ130" t="e">
        <f>AND(Bills!#REF!,"AAAAAHJr/jM=")</f>
        <v>#REF!</v>
      </c>
      <c r="BA130" t="e">
        <f>AND(Bills!#REF!,"AAAAAHJr/jQ=")</f>
        <v>#REF!</v>
      </c>
      <c r="BB130" t="e">
        <f>AND(Bills!#REF!,"AAAAAHJr/jU=")</f>
        <v>#REF!</v>
      </c>
      <c r="BC130" t="e">
        <f>AND(Bills!#REF!,"AAAAAHJr/jY=")</f>
        <v>#REF!</v>
      </c>
      <c r="BD130" t="e">
        <f>AND(Bills!AA490,"AAAAAHJr/jc=")</f>
        <v>#VALUE!</v>
      </c>
      <c r="BE130" t="e">
        <f>AND(Bills!AB490,"AAAAAHJr/jg=")</f>
        <v>#VALUE!</v>
      </c>
      <c r="BF130" t="e">
        <f>AND(Bills!#REF!,"AAAAAHJr/jk=")</f>
        <v>#REF!</v>
      </c>
      <c r="BG130" t="e">
        <f>AND(Bills!#REF!,"AAAAAHJr/jo=")</f>
        <v>#REF!</v>
      </c>
      <c r="BH130" t="e">
        <f>AND(Bills!#REF!,"AAAAAHJr/js=")</f>
        <v>#REF!</v>
      </c>
      <c r="BI130" t="e">
        <f>AND(Bills!AC490,"AAAAAHJr/jw=")</f>
        <v>#VALUE!</v>
      </c>
      <c r="BJ130" t="e">
        <f>AND(Bills!AD490,"AAAAAHJr/j0=")</f>
        <v>#VALUE!</v>
      </c>
      <c r="BK130" t="e">
        <f>AND(Bills!AE490,"AAAAAHJr/j4=")</f>
        <v>#VALUE!</v>
      </c>
      <c r="BL130">
        <f>IF(Bills!491:491,"AAAAAHJr/j8=",0)</f>
        <v>0</v>
      </c>
      <c r="BM130" t="e">
        <f>AND(Bills!B491,"AAAAAHJr/kA=")</f>
        <v>#VALUE!</v>
      </c>
      <c r="BN130" t="e">
        <f>AND(Bills!#REF!,"AAAAAHJr/kE=")</f>
        <v>#REF!</v>
      </c>
      <c r="BO130" t="e">
        <f>AND(Bills!C491,"AAAAAHJr/kI=")</f>
        <v>#VALUE!</v>
      </c>
      <c r="BP130" t="e">
        <f>AND(Bills!D491,"AAAAAHJr/kM=")</f>
        <v>#VALUE!</v>
      </c>
      <c r="BQ130" t="e">
        <f>AND(Bills!E491,"AAAAAHJr/kQ=")</f>
        <v>#VALUE!</v>
      </c>
      <c r="BR130" t="e">
        <f>AND(Bills!#REF!,"AAAAAHJr/kU=")</f>
        <v>#REF!</v>
      </c>
      <c r="BS130" t="e">
        <f>AND(Bills!#REF!,"AAAAAHJr/kY=")</f>
        <v>#REF!</v>
      </c>
      <c r="BT130" t="e">
        <f>AND(Bills!#REF!,"AAAAAHJr/kc=")</f>
        <v>#REF!</v>
      </c>
      <c r="BU130" t="e">
        <f>AND(Bills!F491,"AAAAAHJr/kg=")</f>
        <v>#VALUE!</v>
      </c>
      <c r="BV130" t="e">
        <f>AND(Bills!#REF!,"AAAAAHJr/kk=")</f>
        <v>#REF!</v>
      </c>
      <c r="BW130" t="e">
        <f>AND(Bills!G491,"AAAAAHJr/ko=")</f>
        <v>#VALUE!</v>
      </c>
      <c r="BX130" t="e">
        <f>AND(Bills!H491,"AAAAAHJr/ks=")</f>
        <v>#VALUE!</v>
      </c>
      <c r="BY130" t="e">
        <f>AND(Bills!I491,"AAAAAHJr/kw=")</f>
        <v>#VALUE!</v>
      </c>
      <c r="BZ130" t="e">
        <f>AND(Bills!J491,"AAAAAHJr/k0=")</f>
        <v>#VALUE!</v>
      </c>
      <c r="CA130" t="e">
        <f>AND(Bills!K491,"AAAAAHJr/k4=")</f>
        <v>#VALUE!</v>
      </c>
      <c r="CB130" t="e">
        <f>AND(Bills!L491,"AAAAAHJr/k8=")</f>
        <v>#VALUE!</v>
      </c>
      <c r="CC130" t="e">
        <f>AND(Bills!#REF!,"AAAAAHJr/lA=")</f>
        <v>#REF!</v>
      </c>
      <c r="CD130" t="e">
        <f>AND(Bills!M491,"AAAAAHJr/lE=")</f>
        <v>#VALUE!</v>
      </c>
      <c r="CE130" t="e">
        <f>AND(Bills!N491,"AAAAAHJr/lI=")</f>
        <v>#VALUE!</v>
      </c>
      <c r="CF130" t="e">
        <f>AND(Bills!O491,"AAAAAHJr/lM=")</f>
        <v>#VALUE!</v>
      </c>
      <c r="CG130" t="e">
        <f>AND(Bills!P491,"AAAAAHJr/lQ=")</f>
        <v>#VALUE!</v>
      </c>
      <c r="CH130" t="e">
        <f>AND(Bills!Q491,"AAAAAHJr/lU=")</f>
        <v>#VALUE!</v>
      </c>
      <c r="CI130" t="e">
        <f>AND(Bills!R491,"AAAAAHJr/lY=")</f>
        <v>#VALUE!</v>
      </c>
      <c r="CJ130" t="e">
        <f>AND(Bills!S491,"AAAAAHJr/lc=")</f>
        <v>#VALUE!</v>
      </c>
      <c r="CK130" t="e">
        <f>AND(Bills!T491,"AAAAAHJr/lg=")</f>
        <v>#VALUE!</v>
      </c>
      <c r="CL130" t="e">
        <f>AND(Bills!#REF!,"AAAAAHJr/lk=")</f>
        <v>#REF!</v>
      </c>
      <c r="CM130" t="e">
        <f>AND(Bills!U491,"AAAAAHJr/lo=")</f>
        <v>#VALUE!</v>
      </c>
      <c r="CN130" t="e">
        <f>AND(Bills!V491,"AAAAAHJr/ls=")</f>
        <v>#VALUE!</v>
      </c>
      <c r="CO130" t="e">
        <f>AND(Bills!W491,"AAAAAHJr/lw=")</f>
        <v>#VALUE!</v>
      </c>
      <c r="CP130" t="e">
        <f>AND(Bills!#REF!,"AAAAAHJr/l0=")</f>
        <v>#REF!</v>
      </c>
      <c r="CQ130" t="e">
        <f>AND(Bills!#REF!,"AAAAAHJr/l4=")</f>
        <v>#REF!</v>
      </c>
      <c r="CR130" t="e">
        <f>AND(Bills!Y491,"AAAAAHJr/l8=")</f>
        <v>#VALUE!</v>
      </c>
      <c r="CS130" t="e">
        <f>AND(Bills!Z491,"AAAAAHJr/mA=")</f>
        <v>#VALUE!</v>
      </c>
      <c r="CT130" t="e">
        <f>AND(Bills!#REF!,"AAAAAHJr/mE=")</f>
        <v>#REF!</v>
      </c>
      <c r="CU130" t="e">
        <f>AND(Bills!#REF!,"AAAAAHJr/mI=")</f>
        <v>#REF!</v>
      </c>
      <c r="CV130" t="e">
        <f>AND(Bills!#REF!,"AAAAAHJr/mM=")</f>
        <v>#REF!</v>
      </c>
      <c r="CW130" t="e">
        <f>AND(Bills!#REF!,"AAAAAHJr/mQ=")</f>
        <v>#REF!</v>
      </c>
      <c r="CX130" t="e">
        <f>AND(Bills!#REF!,"AAAAAHJr/mU=")</f>
        <v>#REF!</v>
      </c>
      <c r="CY130" t="e">
        <f>AND(Bills!#REF!,"AAAAAHJr/mY=")</f>
        <v>#REF!</v>
      </c>
      <c r="CZ130" t="e">
        <f>AND(Bills!#REF!,"AAAAAHJr/mc=")</f>
        <v>#REF!</v>
      </c>
      <c r="DA130" t="e">
        <f>AND(Bills!#REF!,"AAAAAHJr/mg=")</f>
        <v>#REF!</v>
      </c>
      <c r="DB130" t="e">
        <f>AND(Bills!#REF!,"AAAAAHJr/mk=")</f>
        <v>#REF!</v>
      </c>
      <c r="DC130" t="e">
        <f>AND(Bills!AA491,"AAAAAHJr/mo=")</f>
        <v>#VALUE!</v>
      </c>
      <c r="DD130" t="e">
        <f>AND(Bills!AB491,"AAAAAHJr/ms=")</f>
        <v>#VALUE!</v>
      </c>
      <c r="DE130" t="e">
        <f>AND(Bills!#REF!,"AAAAAHJr/mw=")</f>
        <v>#REF!</v>
      </c>
      <c r="DF130" t="e">
        <f>AND(Bills!#REF!,"AAAAAHJr/m0=")</f>
        <v>#REF!</v>
      </c>
      <c r="DG130" t="e">
        <f>AND(Bills!#REF!,"AAAAAHJr/m4=")</f>
        <v>#REF!</v>
      </c>
      <c r="DH130" t="e">
        <f>AND(Bills!AC491,"AAAAAHJr/m8=")</f>
        <v>#VALUE!</v>
      </c>
      <c r="DI130" t="e">
        <f>AND(Bills!AD491,"AAAAAHJr/nA=")</f>
        <v>#VALUE!</v>
      </c>
      <c r="DJ130" t="e">
        <f>AND(Bills!AE491,"AAAAAHJr/nE=")</f>
        <v>#VALUE!</v>
      </c>
      <c r="DK130">
        <f>IF(Bills!492:492,"AAAAAHJr/nI=",0)</f>
        <v>0</v>
      </c>
      <c r="DL130" t="e">
        <f>AND(Bills!B492,"AAAAAHJr/nM=")</f>
        <v>#VALUE!</v>
      </c>
      <c r="DM130" t="e">
        <f>AND(Bills!#REF!,"AAAAAHJr/nQ=")</f>
        <v>#REF!</v>
      </c>
      <c r="DN130" t="e">
        <f>AND(Bills!C492,"AAAAAHJr/nU=")</f>
        <v>#VALUE!</v>
      </c>
      <c r="DO130" t="e">
        <f>AND(Bills!D492,"AAAAAHJr/nY=")</f>
        <v>#VALUE!</v>
      </c>
      <c r="DP130" t="e">
        <f>AND(Bills!E492,"AAAAAHJr/nc=")</f>
        <v>#VALUE!</v>
      </c>
      <c r="DQ130" t="e">
        <f>AND(Bills!#REF!,"AAAAAHJr/ng=")</f>
        <v>#REF!</v>
      </c>
      <c r="DR130" t="e">
        <f>AND(Bills!#REF!,"AAAAAHJr/nk=")</f>
        <v>#REF!</v>
      </c>
      <c r="DS130" t="e">
        <f>AND(Bills!#REF!,"AAAAAHJr/no=")</f>
        <v>#REF!</v>
      </c>
      <c r="DT130" t="e">
        <f>AND(Bills!F492,"AAAAAHJr/ns=")</f>
        <v>#VALUE!</v>
      </c>
      <c r="DU130" t="e">
        <f>AND(Bills!#REF!,"AAAAAHJr/nw=")</f>
        <v>#REF!</v>
      </c>
      <c r="DV130" t="e">
        <f>AND(Bills!G492,"AAAAAHJr/n0=")</f>
        <v>#VALUE!</v>
      </c>
      <c r="DW130" t="e">
        <f>AND(Bills!H492,"AAAAAHJr/n4=")</f>
        <v>#VALUE!</v>
      </c>
      <c r="DX130" t="e">
        <f>AND(Bills!I492,"AAAAAHJr/n8=")</f>
        <v>#VALUE!</v>
      </c>
      <c r="DY130" t="e">
        <f>AND(Bills!J492,"AAAAAHJr/oA=")</f>
        <v>#VALUE!</v>
      </c>
      <c r="DZ130" t="e">
        <f>AND(Bills!K492,"AAAAAHJr/oE=")</f>
        <v>#VALUE!</v>
      </c>
      <c r="EA130" t="e">
        <f>AND(Bills!L492,"AAAAAHJr/oI=")</f>
        <v>#VALUE!</v>
      </c>
      <c r="EB130" t="e">
        <f>AND(Bills!#REF!,"AAAAAHJr/oM=")</f>
        <v>#REF!</v>
      </c>
      <c r="EC130" t="e">
        <f>AND(Bills!M492,"AAAAAHJr/oQ=")</f>
        <v>#VALUE!</v>
      </c>
      <c r="ED130" t="e">
        <f>AND(Bills!N492,"AAAAAHJr/oU=")</f>
        <v>#VALUE!</v>
      </c>
      <c r="EE130" t="e">
        <f>AND(Bills!O492,"AAAAAHJr/oY=")</f>
        <v>#VALUE!</v>
      </c>
      <c r="EF130" t="e">
        <f>AND(Bills!P492,"AAAAAHJr/oc=")</f>
        <v>#VALUE!</v>
      </c>
      <c r="EG130" t="e">
        <f>AND(Bills!Q492,"AAAAAHJr/og=")</f>
        <v>#VALUE!</v>
      </c>
      <c r="EH130" t="e">
        <f>AND(Bills!R492,"AAAAAHJr/ok=")</f>
        <v>#VALUE!</v>
      </c>
      <c r="EI130" t="e">
        <f>AND(Bills!S492,"AAAAAHJr/oo=")</f>
        <v>#VALUE!</v>
      </c>
      <c r="EJ130" t="e">
        <f>AND(Bills!T492,"AAAAAHJr/os=")</f>
        <v>#VALUE!</v>
      </c>
      <c r="EK130" t="e">
        <f>AND(Bills!#REF!,"AAAAAHJr/ow=")</f>
        <v>#REF!</v>
      </c>
      <c r="EL130" t="e">
        <f>AND(Bills!U492,"AAAAAHJr/o0=")</f>
        <v>#VALUE!</v>
      </c>
      <c r="EM130" t="e">
        <f>AND(Bills!V492,"AAAAAHJr/o4=")</f>
        <v>#VALUE!</v>
      </c>
      <c r="EN130" t="e">
        <f>AND(Bills!W492,"AAAAAHJr/o8=")</f>
        <v>#VALUE!</v>
      </c>
      <c r="EO130" t="e">
        <f>AND(Bills!#REF!,"AAAAAHJr/pA=")</f>
        <v>#REF!</v>
      </c>
      <c r="EP130" t="e">
        <f>AND(Bills!#REF!,"AAAAAHJr/pE=")</f>
        <v>#REF!</v>
      </c>
      <c r="EQ130" t="e">
        <f>AND(Bills!Y492,"AAAAAHJr/pI=")</f>
        <v>#VALUE!</v>
      </c>
      <c r="ER130" t="e">
        <f>AND(Bills!Z492,"AAAAAHJr/pM=")</f>
        <v>#VALUE!</v>
      </c>
      <c r="ES130" t="e">
        <f>AND(Bills!#REF!,"AAAAAHJr/pQ=")</f>
        <v>#REF!</v>
      </c>
      <c r="ET130" t="e">
        <f>AND(Bills!#REF!,"AAAAAHJr/pU=")</f>
        <v>#REF!</v>
      </c>
      <c r="EU130" t="e">
        <f>AND(Bills!#REF!,"AAAAAHJr/pY=")</f>
        <v>#REF!</v>
      </c>
      <c r="EV130" t="e">
        <f>AND(Bills!#REF!,"AAAAAHJr/pc=")</f>
        <v>#REF!</v>
      </c>
      <c r="EW130" t="e">
        <f>AND(Bills!#REF!,"AAAAAHJr/pg=")</f>
        <v>#REF!</v>
      </c>
      <c r="EX130" t="e">
        <f>AND(Bills!#REF!,"AAAAAHJr/pk=")</f>
        <v>#REF!</v>
      </c>
      <c r="EY130" t="e">
        <f>AND(Bills!#REF!,"AAAAAHJr/po=")</f>
        <v>#REF!</v>
      </c>
      <c r="EZ130" t="e">
        <f>AND(Bills!#REF!,"AAAAAHJr/ps=")</f>
        <v>#REF!</v>
      </c>
      <c r="FA130" t="e">
        <f>AND(Bills!#REF!,"AAAAAHJr/pw=")</f>
        <v>#REF!</v>
      </c>
      <c r="FB130" t="e">
        <f>AND(Bills!AA492,"AAAAAHJr/p0=")</f>
        <v>#VALUE!</v>
      </c>
      <c r="FC130" t="e">
        <f>AND(Bills!AB492,"AAAAAHJr/p4=")</f>
        <v>#VALUE!</v>
      </c>
      <c r="FD130" t="e">
        <f>AND(Bills!#REF!,"AAAAAHJr/p8=")</f>
        <v>#REF!</v>
      </c>
      <c r="FE130" t="e">
        <f>AND(Bills!#REF!,"AAAAAHJr/qA=")</f>
        <v>#REF!</v>
      </c>
      <c r="FF130" t="e">
        <f>AND(Bills!#REF!,"AAAAAHJr/qE=")</f>
        <v>#REF!</v>
      </c>
      <c r="FG130" t="e">
        <f>AND(Bills!AC492,"AAAAAHJr/qI=")</f>
        <v>#VALUE!</v>
      </c>
      <c r="FH130" t="e">
        <f>AND(Bills!AD492,"AAAAAHJr/qM=")</f>
        <v>#VALUE!</v>
      </c>
      <c r="FI130" t="e">
        <f>AND(Bills!AE492,"AAAAAHJr/qQ=")</f>
        <v>#VALUE!</v>
      </c>
      <c r="FJ130">
        <f>IF(Bills!493:493,"AAAAAHJr/qU=",0)</f>
        <v>0</v>
      </c>
      <c r="FK130" t="e">
        <f>AND(Bills!B493,"AAAAAHJr/qY=")</f>
        <v>#VALUE!</v>
      </c>
      <c r="FL130" t="e">
        <f>AND(Bills!#REF!,"AAAAAHJr/qc=")</f>
        <v>#REF!</v>
      </c>
      <c r="FM130" t="e">
        <f>AND(Bills!C493,"AAAAAHJr/qg=")</f>
        <v>#VALUE!</v>
      </c>
      <c r="FN130" t="e">
        <f>AND(Bills!D493,"AAAAAHJr/qk=")</f>
        <v>#VALUE!</v>
      </c>
      <c r="FO130" t="e">
        <f>AND(Bills!E493,"AAAAAHJr/qo=")</f>
        <v>#VALUE!</v>
      </c>
      <c r="FP130" t="e">
        <f>AND(Bills!#REF!,"AAAAAHJr/qs=")</f>
        <v>#REF!</v>
      </c>
      <c r="FQ130" t="e">
        <f>AND(Bills!#REF!,"AAAAAHJr/qw=")</f>
        <v>#REF!</v>
      </c>
      <c r="FR130" t="e">
        <f>AND(Bills!#REF!,"AAAAAHJr/q0=")</f>
        <v>#REF!</v>
      </c>
      <c r="FS130" t="e">
        <f>AND(Bills!F493,"AAAAAHJr/q4=")</f>
        <v>#VALUE!</v>
      </c>
      <c r="FT130" t="e">
        <f>AND(Bills!#REF!,"AAAAAHJr/q8=")</f>
        <v>#REF!</v>
      </c>
      <c r="FU130" t="e">
        <f>AND(Bills!G493,"AAAAAHJr/rA=")</f>
        <v>#VALUE!</v>
      </c>
      <c r="FV130" t="e">
        <f>AND(Bills!H493,"AAAAAHJr/rE=")</f>
        <v>#VALUE!</v>
      </c>
      <c r="FW130" t="e">
        <f>AND(Bills!I493,"AAAAAHJr/rI=")</f>
        <v>#VALUE!</v>
      </c>
      <c r="FX130" t="e">
        <f>AND(Bills!J493,"AAAAAHJr/rM=")</f>
        <v>#VALUE!</v>
      </c>
      <c r="FY130" t="e">
        <f>AND(Bills!K493,"AAAAAHJr/rQ=")</f>
        <v>#VALUE!</v>
      </c>
      <c r="FZ130" t="e">
        <f>AND(Bills!L493,"AAAAAHJr/rU=")</f>
        <v>#VALUE!</v>
      </c>
      <c r="GA130" t="e">
        <f>AND(Bills!#REF!,"AAAAAHJr/rY=")</f>
        <v>#REF!</v>
      </c>
      <c r="GB130" t="e">
        <f>AND(Bills!M493,"AAAAAHJr/rc=")</f>
        <v>#VALUE!</v>
      </c>
      <c r="GC130" t="e">
        <f>AND(Bills!N493,"AAAAAHJr/rg=")</f>
        <v>#VALUE!</v>
      </c>
      <c r="GD130" t="e">
        <f>AND(Bills!O493,"AAAAAHJr/rk=")</f>
        <v>#VALUE!</v>
      </c>
      <c r="GE130" t="e">
        <f>AND(Bills!P493,"AAAAAHJr/ro=")</f>
        <v>#VALUE!</v>
      </c>
      <c r="GF130" t="e">
        <f>AND(Bills!Q493,"AAAAAHJr/rs=")</f>
        <v>#VALUE!</v>
      </c>
      <c r="GG130" t="e">
        <f>AND(Bills!R493,"AAAAAHJr/rw=")</f>
        <v>#VALUE!</v>
      </c>
      <c r="GH130" t="e">
        <f>AND(Bills!S493,"AAAAAHJr/r0=")</f>
        <v>#VALUE!</v>
      </c>
      <c r="GI130" t="e">
        <f>AND(Bills!T493,"AAAAAHJr/r4=")</f>
        <v>#VALUE!</v>
      </c>
      <c r="GJ130" t="e">
        <f>AND(Bills!#REF!,"AAAAAHJr/r8=")</f>
        <v>#REF!</v>
      </c>
      <c r="GK130" t="e">
        <f>AND(Bills!U493,"AAAAAHJr/sA=")</f>
        <v>#VALUE!</v>
      </c>
      <c r="GL130" t="e">
        <f>AND(Bills!V493,"AAAAAHJr/sE=")</f>
        <v>#VALUE!</v>
      </c>
      <c r="GM130" t="e">
        <f>AND(Bills!W493,"AAAAAHJr/sI=")</f>
        <v>#VALUE!</v>
      </c>
      <c r="GN130" t="e">
        <f>AND(Bills!#REF!,"AAAAAHJr/sM=")</f>
        <v>#REF!</v>
      </c>
      <c r="GO130" t="e">
        <f>AND(Bills!#REF!,"AAAAAHJr/sQ=")</f>
        <v>#REF!</v>
      </c>
      <c r="GP130" t="e">
        <f>AND(Bills!Y493,"AAAAAHJr/sU=")</f>
        <v>#VALUE!</v>
      </c>
      <c r="GQ130" t="e">
        <f>AND(Bills!Z493,"AAAAAHJr/sY=")</f>
        <v>#VALUE!</v>
      </c>
      <c r="GR130" t="e">
        <f>AND(Bills!#REF!,"AAAAAHJr/sc=")</f>
        <v>#REF!</v>
      </c>
      <c r="GS130" t="e">
        <f>AND(Bills!#REF!,"AAAAAHJr/sg=")</f>
        <v>#REF!</v>
      </c>
      <c r="GT130" t="e">
        <f>AND(Bills!#REF!,"AAAAAHJr/sk=")</f>
        <v>#REF!</v>
      </c>
      <c r="GU130" t="e">
        <f>AND(Bills!#REF!,"AAAAAHJr/so=")</f>
        <v>#REF!</v>
      </c>
      <c r="GV130" t="e">
        <f>AND(Bills!#REF!,"AAAAAHJr/ss=")</f>
        <v>#REF!</v>
      </c>
      <c r="GW130" t="e">
        <f>AND(Bills!#REF!,"AAAAAHJr/sw=")</f>
        <v>#REF!</v>
      </c>
      <c r="GX130" t="e">
        <f>AND(Bills!#REF!,"AAAAAHJr/s0=")</f>
        <v>#REF!</v>
      </c>
      <c r="GY130" t="e">
        <f>AND(Bills!#REF!,"AAAAAHJr/s4=")</f>
        <v>#REF!</v>
      </c>
      <c r="GZ130" t="e">
        <f>AND(Bills!#REF!,"AAAAAHJr/s8=")</f>
        <v>#REF!</v>
      </c>
      <c r="HA130" t="e">
        <f>AND(Bills!AA493,"AAAAAHJr/tA=")</f>
        <v>#VALUE!</v>
      </c>
      <c r="HB130" t="e">
        <f>AND(Bills!AB493,"AAAAAHJr/tE=")</f>
        <v>#VALUE!</v>
      </c>
      <c r="HC130" t="e">
        <f>AND(Bills!#REF!,"AAAAAHJr/tI=")</f>
        <v>#REF!</v>
      </c>
      <c r="HD130" t="e">
        <f>AND(Bills!#REF!,"AAAAAHJr/tM=")</f>
        <v>#REF!</v>
      </c>
      <c r="HE130" t="e">
        <f>AND(Bills!#REF!,"AAAAAHJr/tQ=")</f>
        <v>#REF!</v>
      </c>
      <c r="HF130" t="e">
        <f>AND(Bills!AC493,"AAAAAHJr/tU=")</f>
        <v>#VALUE!</v>
      </c>
      <c r="HG130" t="e">
        <f>AND(Bills!AD493,"AAAAAHJr/tY=")</f>
        <v>#VALUE!</v>
      </c>
      <c r="HH130" t="e">
        <f>AND(Bills!AE493,"AAAAAHJr/tc=")</f>
        <v>#VALUE!</v>
      </c>
      <c r="HI130">
        <f>IF(Bills!494:494,"AAAAAHJr/tg=",0)</f>
        <v>0</v>
      </c>
      <c r="HJ130" t="e">
        <f>AND(Bills!B494,"AAAAAHJr/tk=")</f>
        <v>#VALUE!</v>
      </c>
      <c r="HK130" t="e">
        <f>AND(Bills!#REF!,"AAAAAHJr/to=")</f>
        <v>#REF!</v>
      </c>
      <c r="HL130" t="e">
        <f>AND(Bills!C494,"AAAAAHJr/ts=")</f>
        <v>#VALUE!</v>
      </c>
      <c r="HM130" t="e">
        <f>AND(Bills!D494,"AAAAAHJr/tw=")</f>
        <v>#VALUE!</v>
      </c>
      <c r="HN130" t="e">
        <f>AND(Bills!E494,"AAAAAHJr/t0=")</f>
        <v>#VALUE!</v>
      </c>
      <c r="HO130" t="e">
        <f>AND(Bills!#REF!,"AAAAAHJr/t4=")</f>
        <v>#REF!</v>
      </c>
      <c r="HP130" t="e">
        <f>AND(Bills!#REF!,"AAAAAHJr/t8=")</f>
        <v>#REF!</v>
      </c>
      <c r="HQ130" t="e">
        <f>AND(Bills!#REF!,"AAAAAHJr/uA=")</f>
        <v>#REF!</v>
      </c>
      <c r="HR130" t="e">
        <f>AND(Bills!F494,"AAAAAHJr/uE=")</f>
        <v>#VALUE!</v>
      </c>
      <c r="HS130" t="e">
        <f>AND(Bills!#REF!,"AAAAAHJr/uI=")</f>
        <v>#REF!</v>
      </c>
      <c r="HT130" t="e">
        <f>AND(Bills!G494,"AAAAAHJr/uM=")</f>
        <v>#VALUE!</v>
      </c>
      <c r="HU130" t="e">
        <f>AND(Bills!H494,"AAAAAHJr/uQ=")</f>
        <v>#VALUE!</v>
      </c>
      <c r="HV130" t="e">
        <f>AND(Bills!I494,"AAAAAHJr/uU=")</f>
        <v>#VALUE!</v>
      </c>
      <c r="HW130" t="e">
        <f>AND(Bills!J494,"AAAAAHJr/uY=")</f>
        <v>#VALUE!</v>
      </c>
      <c r="HX130" t="e">
        <f>AND(Bills!K494,"AAAAAHJr/uc=")</f>
        <v>#VALUE!</v>
      </c>
      <c r="HY130" t="e">
        <f>AND(Bills!L494,"AAAAAHJr/ug=")</f>
        <v>#VALUE!</v>
      </c>
      <c r="HZ130" t="e">
        <f>AND(Bills!#REF!,"AAAAAHJr/uk=")</f>
        <v>#REF!</v>
      </c>
      <c r="IA130" t="e">
        <f>AND(Bills!M494,"AAAAAHJr/uo=")</f>
        <v>#VALUE!</v>
      </c>
      <c r="IB130" t="e">
        <f>AND(Bills!N494,"AAAAAHJr/us=")</f>
        <v>#VALUE!</v>
      </c>
      <c r="IC130" t="e">
        <f>AND(Bills!O494,"AAAAAHJr/uw=")</f>
        <v>#VALUE!</v>
      </c>
      <c r="ID130" t="e">
        <f>AND(Bills!P494,"AAAAAHJr/u0=")</f>
        <v>#VALUE!</v>
      </c>
      <c r="IE130" t="e">
        <f>AND(Bills!Q494,"AAAAAHJr/u4=")</f>
        <v>#VALUE!</v>
      </c>
      <c r="IF130" t="e">
        <f>AND(Bills!R494,"AAAAAHJr/u8=")</f>
        <v>#VALUE!</v>
      </c>
      <c r="IG130" t="e">
        <f>AND(Bills!S494,"AAAAAHJr/vA=")</f>
        <v>#VALUE!</v>
      </c>
      <c r="IH130" t="e">
        <f>AND(Bills!T494,"AAAAAHJr/vE=")</f>
        <v>#VALUE!</v>
      </c>
      <c r="II130" t="e">
        <f>AND(Bills!#REF!,"AAAAAHJr/vI=")</f>
        <v>#REF!</v>
      </c>
      <c r="IJ130" t="e">
        <f>AND(Bills!U494,"AAAAAHJr/vM=")</f>
        <v>#VALUE!</v>
      </c>
      <c r="IK130" t="e">
        <f>AND(Bills!V494,"AAAAAHJr/vQ=")</f>
        <v>#VALUE!</v>
      </c>
      <c r="IL130" t="e">
        <f>AND(Bills!W494,"AAAAAHJr/vU=")</f>
        <v>#VALUE!</v>
      </c>
      <c r="IM130" t="e">
        <f>AND(Bills!#REF!,"AAAAAHJr/vY=")</f>
        <v>#REF!</v>
      </c>
      <c r="IN130" t="e">
        <f>AND(Bills!#REF!,"AAAAAHJr/vc=")</f>
        <v>#REF!</v>
      </c>
      <c r="IO130" t="e">
        <f>AND(Bills!Y494,"AAAAAHJr/vg=")</f>
        <v>#VALUE!</v>
      </c>
      <c r="IP130" t="e">
        <f>AND(Bills!Z494,"AAAAAHJr/vk=")</f>
        <v>#VALUE!</v>
      </c>
      <c r="IQ130" t="e">
        <f>AND(Bills!#REF!,"AAAAAHJr/vo=")</f>
        <v>#REF!</v>
      </c>
      <c r="IR130" t="e">
        <f>AND(Bills!#REF!,"AAAAAHJr/vs=")</f>
        <v>#REF!</v>
      </c>
      <c r="IS130" t="e">
        <f>AND(Bills!#REF!,"AAAAAHJr/vw=")</f>
        <v>#REF!</v>
      </c>
      <c r="IT130" t="e">
        <f>AND(Bills!#REF!,"AAAAAHJr/v0=")</f>
        <v>#REF!</v>
      </c>
      <c r="IU130" t="e">
        <f>AND(Bills!#REF!,"AAAAAHJr/v4=")</f>
        <v>#REF!</v>
      </c>
      <c r="IV130" t="e">
        <f>AND(Bills!#REF!,"AAAAAHJr/v8=")</f>
        <v>#REF!</v>
      </c>
    </row>
    <row r="131" spans="1:256" x14ac:dyDescent="0.25">
      <c r="A131" t="e">
        <f>AND(Bills!#REF!,"AAAAAFjvvAA=")</f>
        <v>#REF!</v>
      </c>
      <c r="B131" t="e">
        <f>AND(Bills!#REF!,"AAAAAFjvvAE=")</f>
        <v>#REF!</v>
      </c>
      <c r="C131" t="e">
        <f>AND(Bills!#REF!,"AAAAAFjvvAI=")</f>
        <v>#REF!</v>
      </c>
      <c r="D131" t="e">
        <f>AND(Bills!AA494,"AAAAAFjvvAM=")</f>
        <v>#VALUE!</v>
      </c>
      <c r="E131" t="e">
        <f>AND(Bills!AB494,"AAAAAFjvvAQ=")</f>
        <v>#VALUE!</v>
      </c>
      <c r="F131" t="e">
        <f>AND(Bills!#REF!,"AAAAAFjvvAU=")</f>
        <v>#REF!</v>
      </c>
      <c r="G131" t="e">
        <f>AND(Bills!#REF!,"AAAAAFjvvAY=")</f>
        <v>#REF!</v>
      </c>
      <c r="H131" t="e">
        <f>AND(Bills!#REF!,"AAAAAFjvvAc=")</f>
        <v>#REF!</v>
      </c>
      <c r="I131" t="e">
        <f>AND(Bills!AC494,"AAAAAFjvvAg=")</f>
        <v>#VALUE!</v>
      </c>
      <c r="J131" t="e">
        <f>AND(Bills!AD494,"AAAAAFjvvAk=")</f>
        <v>#VALUE!</v>
      </c>
      <c r="K131" t="e">
        <f>AND(Bills!AE494,"AAAAAFjvvAo=")</f>
        <v>#VALUE!</v>
      </c>
      <c r="L131">
        <f>IF(Bills!495:495,"AAAAAFjvvAs=",0)</f>
        <v>0</v>
      </c>
      <c r="M131" t="e">
        <f>AND(Bills!B495,"AAAAAFjvvAw=")</f>
        <v>#VALUE!</v>
      </c>
      <c r="N131" t="e">
        <f>AND(Bills!#REF!,"AAAAAFjvvA0=")</f>
        <v>#REF!</v>
      </c>
      <c r="O131" t="e">
        <f>AND(Bills!C495,"AAAAAFjvvA4=")</f>
        <v>#VALUE!</v>
      </c>
      <c r="P131" t="e">
        <f>AND(Bills!D495,"AAAAAFjvvA8=")</f>
        <v>#VALUE!</v>
      </c>
      <c r="Q131" t="e">
        <f>AND(Bills!E495,"AAAAAFjvvBA=")</f>
        <v>#VALUE!</v>
      </c>
      <c r="R131" t="e">
        <f>AND(Bills!#REF!,"AAAAAFjvvBE=")</f>
        <v>#REF!</v>
      </c>
      <c r="S131" t="e">
        <f>AND(Bills!#REF!,"AAAAAFjvvBI=")</f>
        <v>#REF!</v>
      </c>
      <c r="T131" t="e">
        <f>AND(Bills!#REF!,"AAAAAFjvvBM=")</f>
        <v>#REF!</v>
      </c>
      <c r="U131" t="e">
        <f>AND(Bills!F495,"AAAAAFjvvBQ=")</f>
        <v>#VALUE!</v>
      </c>
      <c r="V131" t="e">
        <f>AND(Bills!#REF!,"AAAAAFjvvBU=")</f>
        <v>#REF!</v>
      </c>
      <c r="W131" t="e">
        <f>AND(Bills!G495,"AAAAAFjvvBY=")</f>
        <v>#VALUE!</v>
      </c>
      <c r="X131" t="e">
        <f>AND(Bills!H495,"AAAAAFjvvBc=")</f>
        <v>#VALUE!</v>
      </c>
      <c r="Y131" t="e">
        <f>AND(Bills!I495,"AAAAAFjvvBg=")</f>
        <v>#VALUE!</v>
      </c>
      <c r="Z131" t="e">
        <f>AND(Bills!J495,"AAAAAFjvvBk=")</f>
        <v>#VALUE!</v>
      </c>
      <c r="AA131" t="e">
        <f>AND(Bills!K495,"AAAAAFjvvBo=")</f>
        <v>#VALUE!</v>
      </c>
      <c r="AB131" t="e">
        <f>AND(Bills!L495,"AAAAAFjvvBs=")</f>
        <v>#VALUE!</v>
      </c>
      <c r="AC131" t="e">
        <f>AND(Bills!#REF!,"AAAAAFjvvBw=")</f>
        <v>#REF!</v>
      </c>
      <c r="AD131" t="e">
        <f>AND(Bills!M495,"AAAAAFjvvB0=")</f>
        <v>#VALUE!</v>
      </c>
      <c r="AE131" t="e">
        <f>AND(Bills!N495,"AAAAAFjvvB4=")</f>
        <v>#VALUE!</v>
      </c>
      <c r="AF131" t="e">
        <f>AND(Bills!O495,"AAAAAFjvvB8=")</f>
        <v>#VALUE!</v>
      </c>
      <c r="AG131" t="e">
        <f>AND(Bills!P495,"AAAAAFjvvCA=")</f>
        <v>#VALUE!</v>
      </c>
      <c r="AH131" t="e">
        <f>AND(Bills!Q495,"AAAAAFjvvCE=")</f>
        <v>#VALUE!</v>
      </c>
      <c r="AI131" t="e">
        <f>AND(Bills!R495,"AAAAAFjvvCI=")</f>
        <v>#VALUE!</v>
      </c>
      <c r="AJ131" t="e">
        <f>AND(Bills!S495,"AAAAAFjvvCM=")</f>
        <v>#VALUE!</v>
      </c>
      <c r="AK131" t="e">
        <f>AND(Bills!T495,"AAAAAFjvvCQ=")</f>
        <v>#VALUE!</v>
      </c>
      <c r="AL131" t="e">
        <f>AND(Bills!#REF!,"AAAAAFjvvCU=")</f>
        <v>#REF!</v>
      </c>
      <c r="AM131" t="e">
        <f>AND(Bills!U495,"AAAAAFjvvCY=")</f>
        <v>#VALUE!</v>
      </c>
      <c r="AN131" t="e">
        <f>AND(Bills!V495,"AAAAAFjvvCc=")</f>
        <v>#VALUE!</v>
      </c>
      <c r="AO131" t="e">
        <f>AND(Bills!W495,"AAAAAFjvvCg=")</f>
        <v>#VALUE!</v>
      </c>
      <c r="AP131" t="e">
        <f>AND(Bills!#REF!,"AAAAAFjvvCk=")</f>
        <v>#REF!</v>
      </c>
      <c r="AQ131" t="e">
        <f>AND(Bills!#REF!,"AAAAAFjvvCo=")</f>
        <v>#REF!</v>
      </c>
      <c r="AR131" t="e">
        <f>AND(Bills!Y495,"AAAAAFjvvCs=")</f>
        <v>#VALUE!</v>
      </c>
      <c r="AS131" t="e">
        <f>AND(Bills!Z495,"AAAAAFjvvCw=")</f>
        <v>#VALUE!</v>
      </c>
      <c r="AT131" t="e">
        <f>AND(Bills!#REF!,"AAAAAFjvvC0=")</f>
        <v>#REF!</v>
      </c>
      <c r="AU131" t="e">
        <f>AND(Bills!#REF!,"AAAAAFjvvC4=")</f>
        <v>#REF!</v>
      </c>
      <c r="AV131" t="e">
        <f>AND(Bills!#REF!,"AAAAAFjvvC8=")</f>
        <v>#REF!</v>
      </c>
      <c r="AW131" t="e">
        <f>AND(Bills!#REF!,"AAAAAFjvvDA=")</f>
        <v>#REF!</v>
      </c>
      <c r="AX131" t="e">
        <f>AND(Bills!#REF!,"AAAAAFjvvDE=")</f>
        <v>#REF!</v>
      </c>
      <c r="AY131" t="e">
        <f>AND(Bills!#REF!,"AAAAAFjvvDI=")</f>
        <v>#REF!</v>
      </c>
      <c r="AZ131" t="e">
        <f>AND(Bills!#REF!,"AAAAAFjvvDM=")</f>
        <v>#REF!</v>
      </c>
      <c r="BA131" t="e">
        <f>AND(Bills!#REF!,"AAAAAFjvvDQ=")</f>
        <v>#REF!</v>
      </c>
      <c r="BB131" t="e">
        <f>AND(Bills!#REF!,"AAAAAFjvvDU=")</f>
        <v>#REF!</v>
      </c>
      <c r="BC131" t="e">
        <f>AND(Bills!AA495,"AAAAAFjvvDY=")</f>
        <v>#VALUE!</v>
      </c>
      <c r="BD131" t="e">
        <f>AND(Bills!AB495,"AAAAAFjvvDc=")</f>
        <v>#VALUE!</v>
      </c>
      <c r="BE131" t="e">
        <f>AND(Bills!#REF!,"AAAAAFjvvDg=")</f>
        <v>#REF!</v>
      </c>
      <c r="BF131" t="e">
        <f>AND(Bills!#REF!,"AAAAAFjvvDk=")</f>
        <v>#REF!</v>
      </c>
      <c r="BG131" t="e">
        <f>AND(Bills!#REF!,"AAAAAFjvvDo=")</f>
        <v>#REF!</v>
      </c>
      <c r="BH131" t="e">
        <f>AND(Bills!AC495,"AAAAAFjvvDs=")</f>
        <v>#VALUE!</v>
      </c>
      <c r="BI131" t="e">
        <f>AND(Bills!AD495,"AAAAAFjvvDw=")</f>
        <v>#VALUE!</v>
      </c>
      <c r="BJ131" t="e">
        <f>AND(Bills!AE495,"AAAAAFjvvD0=")</f>
        <v>#VALUE!</v>
      </c>
      <c r="BK131">
        <f>IF(Bills!496:496,"AAAAAFjvvD4=",0)</f>
        <v>0</v>
      </c>
      <c r="BL131" t="e">
        <f>AND(Bills!B496,"AAAAAFjvvD8=")</f>
        <v>#VALUE!</v>
      </c>
      <c r="BM131" t="e">
        <f>AND(Bills!#REF!,"AAAAAFjvvEA=")</f>
        <v>#REF!</v>
      </c>
      <c r="BN131" t="e">
        <f>AND(Bills!C496,"AAAAAFjvvEE=")</f>
        <v>#VALUE!</v>
      </c>
      <c r="BO131" t="e">
        <f>AND(Bills!D496,"AAAAAFjvvEI=")</f>
        <v>#VALUE!</v>
      </c>
      <c r="BP131" t="e">
        <f>AND(Bills!E496,"AAAAAFjvvEM=")</f>
        <v>#VALUE!</v>
      </c>
      <c r="BQ131" t="e">
        <f>AND(Bills!#REF!,"AAAAAFjvvEQ=")</f>
        <v>#REF!</v>
      </c>
      <c r="BR131" t="e">
        <f>AND(Bills!#REF!,"AAAAAFjvvEU=")</f>
        <v>#REF!</v>
      </c>
      <c r="BS131" t="e">
        <f>AND(Bills!#REF!,"AAAAAFjvvEY=")</f>
        <v>#REF!</v>
      </c>
      <c r="BT131" t="e">
        <f>AND(Bills!F496,"AAAAAFjvvEc=")</f>
        <v>#VALUE!</v>
      </c>
      <c r="BU131" t="e">
        <f>AND(Bills!#REF!,"AAAAAFjvvEg=")</f>
        <v>#REF!</v>
      </c>
      <c r="BV131" t="e">
        <f>AND(Bills!G496,"AAAAAFjvvEk=")</f>
        <v>#VALUE!</v>
      </c>
      <c r="BW131" t="e">
        <f>AND(Bills!H496,"AAAAAFjvvEo=")</f>
        <v>#VALUE!</v>
      </c>
      <c r="BX131" t="e">
        <f>AND(Bills!I496,"AAAAAFjvvEs=")</f>
        <v>#VALUE!</v>
      </c>
      <c r="BY131" t="e">
        <f>AND(Bills!J496,"AAAAAFjvvEw=")</f>
        <v>#VALUE!</v>
      </c>
      <c r="BZ131" t="e">
        <f>AND(Bills!K496,"AAAAAFjvvE0=")</f>
        <v>#VALUE!</v>
      </c>
      <c r="CA131" t="e">
        <f>AND(Bills!L496,"AAAAAFjvvE4=")</f>
        <v>#VALUE!</v>
      </c>
      <c r="CB131" t="e">
        <f>AND(Bills!#REF!,"AAAAAFjvvE8=")</f>
        <v>#REF!</v>
      </c>
      <c r="CC131" t="e">
        <f>AND(Bills!M496,"AAAAAFjvvFA=")</f>
        <v>#VALUE!</v>
      </c>
      <c r="CD131" t="e">
        <f>AND(Bills!N496,"AAAAAFjvvFE=")</f>
        <v>#VALUE!</v>
      </c>
      <c r="CE131" t="e">
        <f>AND(Bills!O496,"AAAAAFjvvFI=")</f>
        <v>#VALUE!</v>
      </c>
      <c r="CF131" t="e">
        <f>AND(Bills!P496,"AAAAAFjvvFM=")</f>
        <v>#VALUE!</v>
      </c>
      <c r="CG131" t="e">
        <f>AND(Bills!Q496,"AAAAAFjvvFQ=")</f>
        <v>#VALUE!</v>
      </c>
      <c r="CH131" t="e">
        <f>AND(Bills!R496,"AAAAAFjvvFU=")</f>
        <v>#VALUE!</v>
      </c>
      <c r="CI131" t="e">
        <f>AND(Bills!S496,"AAAAAFjvvFY=")</f>
        <v>#VALUE!</v>
      </c>
      <c r="CJ131" t="e">
        <f>AND(Bills!T496,"AAAAAFjvvFc=")</f>
        <v>#VALUE!</v>
      </c>
      <c r="CK131" t="e">
        <f>AND(Bills!#REF!,"AAAAAFjvvFg=")</f>
        <v>#REF!</v>
      </c>
      <c r="CL131" t="e">
        <f>AND(Bills!U496,"AAAAAFjvvFk=")</f>
        <v>#VALUE!</v>
      </c>
      <c r="CM131" t="e">
        <f>AND(Bills!V496,"AAAAAFjvvFo=")</f>
        <v>#VALUE!</v>
      </c>
      <c r="CN131" t="e">
        <f>AND(Bills!W496,"AAAAAFjvvFs=")</f>
        <v>#VALUE!</v>
      </c>
      <c r="CO131" t="e">
        <f>AND(Bills!#REF!,"AAAAAFjvvFw=")</f>
        <v>#REF!</v>
      </c>
      <c r="CP131" t="e">
        <f>AND(Bills!#REF!,"AAAAAFjvvF0=")</f>
        <v>#REF!</v>
      </c>
      <c r="CQ131" t="e">
        <f>AND(Bills!Y496,"AAAAAFjvvF4=")</f>
        <v>#VALUE!</v>
      </c>
      <c r="CR131" t="e">
        <f>AND(Bills!Z496,"AAAAAFjvvF8=")</f>
        <v>#VALUE!</v>
      </c>
      <c r="CS131" t="e">
        <f>AND(Bills!#REF!,"AAAAAFjvvGA=")</f>
        <v>#REF!</v>
      </c>
      <c r="CT131" t="e">
        <f>AND(Bills!#REF!,"AAAAAFjvvGE=")</f>
        <v>#REF!</v>
      </c>
      <c r="CU131" t="e">
        <f>AND(Bills!#REF!,"AAAAAFjvvGI=")</f>
        <v>#REF!</v>
      </c>
      <c r="CV131" t="e">
        <f>AND(Bills!#REF!,"AAAAAFjvvGM=")</f>
        <v>#REF!</v>
      </c>
      <c r="CW131" t="e">
        <f>AND(Bills!#REF!,"AAAAAFjvvGQ=")</f>
        <v>#REF!</v>
      </c>
      <c r="CX131" t="e">
        <f>AND(Bills!#REF!,"AAAAAFjvvGU=")</f>
        <v>#REF!</v>
      </c>
      <c r="CY131" t="e">
        <f>AND(Bills!#REF!,"AAAAAFjvvGY=")</f>
        <v>#REF!</v>
      </c>
      <c r="CZ131" t="e">
        <f>AND(Bills!#REF!,"AAAAAFjvvGc=")</f>
        <v>#REF!</v>
      </c>
      <c r="DA131" t="e">
        <f>AND(Bills!#REF!,"AAAAAFjvvGg=")</f>
        <v>#REF!</v>
      </c>
      <c r="DB131" t="e">
        <f>AND(Bills!AA496,"AAAAAFjvvGk=")</f>
        <v>#VALUE!</v>
      </c>
      <c r="DC131" t="e">
        <f>AND(Bills!AB496,"AAAAAFjvvGo=")</f>
        <v>#VALUE!</v>
      </c>
      <c r="DD131" t="e">
        <f>AND(Bills!#REF!,"AAAAAFjvvGs=")</f>
        <v>#REF!</v>
      </c>
      <c r="DE131" t="e">
        <f>AND(Bills!#REF!,"AAAAAFjvvGw=")</f>
        <v>#REF!</v>
      </c>
      <c r="DF131" t="e">
        <f>AND(Bills!#REF!,"AAAAAFjvvG0=")</f>
        <v>#REF!</v>
      </c>
      <c r="DG131" t="e">
        <f>AND(Bills!AC496,"AAAAAFjvvG4=")</f>
        <v>#VALUE!</v>
      </c>
      <c r="DH131" t="e">
        <f>AND(Bills!AD496,"AAAAAFjvvG8=")</f>
        <v>#VALUE!</v>
      </c>
      <c r="DI131" t="e">
        <f>AND(Bills!AE496,"AAAAAFjvvHA=")</f>
        <v>#VALUE!</v>
      </c>
      <c r="DJ131">
        <f>IF(Bills!497:497,"AAAAAFjvvHE=",0)</f>
        <v>0</v>
      </c>
      <c r="DK131" t="e">
        <f>AND(Bills!B497,"AAAAAFjvvHI=")</f>
        <v>#VALUE!</v>
      </c>
      <c r="DL131" t="e">
        <f>AND(Bills!#REF!,"AAAAAFjvvHM=")</f>
        <v>#REF!</v>
      </c>
      <c r="DM131" t="e">
        <f>AND(Bills!C497,"AAAAAFjvvHQ=")</f>
        <v>#VALUE!</v>
      </c>
      <c r="DN131" t="e">
        <f>AND(Bills!D497,"AAAAAFjvvHU=")</f>
        <v>#VALUE!</v>
      </c>
      <c r="DO131" t="e">
        <f>AND(Bills!E497,"AAAAAFjvvHY=")</f>
        <v>#VALUE!</v>
      </c>
      <c r="DP131" t="e">
        <f>AND(Bills!#REF!,"AAAAAFjvvHc=")</f>
        <v>#REF!</v>
      </c>
      <c r="DQ131" t="e">
        <f>AND(Bills!#REF!,"AAAAAFjvvHg=")</f>
        <v>#REF!</v>
      </c>
      <c r="DR131" t="e">
        <f>AND(Bills!#REF!,"AAAAAFjvvHk=")</f>
        <v>#REF!</v>
      </c>
      <c r="DS131" t="e">
        <f>AND(Bills!F497,"AAAAAFjvvHo=")</f>
        <v>#VALUE!</v>
      </c>
      <c r="DT131" t="e">
        <f>AND(Bills!#REF!,"AAAAAFjvvHs=")</f>
        <v>#REF!</v>
      </c>
      <c r="DU131" t="e">
        <f>AND(Bills!G497,"AAAAAFjvvHw=")</f>
        <v>#VALUE!</v>
      </c>
      <c r="DV131" t="e">
        <f>AND(Bills!H497,"AAAAAFjvvH0=")</f>
        <v>#VALUE!</v>
      </c>
      <c r="DW131" t="e">
        <f>AND(Bills!I497,"AAAAAFjvvH4=")</f>
        <v>#VALUE!</v>
      </c>
      <c r="DX131" t="e">
        <f>AND(Bills!J497,"AAAAAFjvvH8=")</f>
        <v>#VALUE!</v>
      </c>
      <c r="DY131" t="e">
        <f>AND(Bills!K497,"AAAAAFjvvIA=")</f>
        <v>#VALUE!</v>
      </c>
      <c r="DZ131" t="e">
        <f>AND(Bills!L497,"AAAAAFjvvIE=")</f>
        <v>#VALUE!</v>
      </c>
      <c r="EA131" t="e">
        <f>AND(Bills!#REF!,"AAAAAFjvvII=")</f>
        <v>#REF!</v>
      </c>
      <c r="EB131" t="e">
        <f>AND(Bills!M497,"AAAAAFjvvIM=")</f>
        <v>#VALUE!</v>
      </c>
      <c r="EC131" t="e">
        <f>AND(Bills!N497,"AAAAAFjvvIQ=")</f>
        <v>#VALUE!</v>
      </c>
      <c r="ED131" t="e">
        <f>AND(Bills!O497,"AAAAAFjvvIU=")</f>
        <v>#VALUE!</v>
      </c>
      <c r="EE131" t="e">
        <f>AND(Bills!P497,"AAAAAFjvvIY=")</f>
        <v>#VALUE!</v>
      </c>
      <c r="EF131" t="e">
        <f>AND(Bills!Q497,"AAAAAFjvvIc=")</f>
        <v>#VALUE!</v>
      </c>
      <c r="EG131" t="e">
        <f>AND(Bills!R497,"AAAAAFjvvIg=")</f>
        <v>#VALUE!</v>
      </c>
      <c r="EH131" t="e">
        <f>AND(Bills!S497,"AAAAAFjvvIk=")</f>
        <v>#VALUE!</v>
      </c>
      <c r="EI131" t="e">
        <f>AND(Bills!T497,"AAAAAFjvvIo=")</f>
        <v>#VALUE!</v>
      </c>
      <c r="EJ131" t="e">
        <f>AND(Bills!#REF!,"AAAAAFjvvIs=")</f>
        <v>#REF!</v>
      </c>
      <c r="EK131" t="e">
        <f>AND(Bills!U497,"AAAAAFjvvIw=")</f>
        <v>#VALUE!</v>
      </c>
      <c r="EL131" t="e">
        <f>AND(Bills!V497,"AAAAAFjvvI0=")</f>
        <v>#VALUE!</v>
      </c>
      <c r="EM131" t="e">
        <f>AND(Bills!W497,"AAAAAFjvvI4=")</f>
        <v>#VALUE!</v>
      </c>
      <c r="EN131" t="e">
        <f>AND(Bills!#REF!,"AAAAAFjvvI8=")</f>
        <v>#REF!</v>
      </c>
      <c r="EO131" t="e">
        <f>AND(Bills!#REF!,"AAAAAFjvvJA=")</f>
        <v>#REF!</v>
      </c>
      <c r="EP131" t="e">
        <f>AND(Bills!Y497,"AAAAAFjvvJE=")</f>
        <v>#VALUE!</v>
      </c>
      <c r="EQ131" t="e">
        <f>AND(Bills!Z497,"AAAAAFjvvJI=")</f>
        <v>#VALUE!</v>
      </c>
      <c r="ER131" t="e">
        <f>AND(Bills!#REF!,"AAAAAFjvvJM=")</f>
        <v>#REF!</v>
      </c>
      <c r="ES131" t="e">
        <f>AND(Bills!#REF!,"AAAAAFjvvJQ=")</f>
        <v>#REF!</v>
      </c>
      <c r="ET131" t="e">
        <f>AND(Bills!#REF!,"AAAAAFjvvJU=")</f>
        <v>#REF!</v>
      </c>
      <c r="EU131" t="e">
        <f>AND(Bills!#REF!,"AAAAAFjvvJY=")</f>
        <v>#REF!</v>
      </c>
      <c r="EV131" t="e">
        <f>AND(Bills!#REF!,"AAAAAFjvvJc=")</f>
        <v>#REF!</v>
      </c>
      <c r="EW131" t="e">
        <f>AND(Bills!#REF!,"AAAAAFjvvJg=")</f>
        <v>#REF!</v>
      </c>
      <c r="EX131" t="e">
        <f>AND(Bills!#REF!,"AAAAAFjvvJk=")</f>
        <v>#REF!</v>
      </c>
      <c r="EY131" t="e">
        <f>AND(Bills!#REF!,"AAAAAFjvvJo=")</f>
        <v>#REF!</v>
      </c>
      <c r="EZ131" t="e">
        <f>AND(Bills!#REF!,"AAAAAFjvvJs=")</f>
        <v>#REF!</v>
      </c>
      <c r="FA131" t="e">
        <f>AND(Bills!AA497,"AAAAAFjvvJw=")</f>
        <v>#VALUE!</v>
      </c>
      <c r="FB131" t="e">
        <f>AND(Bills!AB497,"AAAAAFjvvJ0=")</f>
        <v>#VALUE!</v>
      </c>
      <c r="FC131" t="e">
        <f>AND(Bills!#REF!,"AAAAAFjvvJ4=")</f>
        <v>#REF!</v>
      </c>
      <c r="FD131" t="e">
        <f>AND(Bills!#REF!,"AAAAAFjvvJ8=")</f>
        <v>#REF!</v>
      </c>
      <c r="FE131" t="e">
        <f>AND(Bills!#REF!,"AAAAAFjvvKA=")</f>
        <v>#REF!</v>
      </c>
      <c r="FF131" t="e">
        <f>AND(Bills!AC497,"AAAAAFjvvKE=")</f>
        <v>#VALUE!</v>
      </c>
      <c r="FG131" t="e">
        <f>AND(Bills!AD497,"AAAAAFjvvKI=")</f>
        <v>#VALUE!</v>
      </c>
      <c r="FH131" t="e">
        <f>AND(Bills!AE497,"AAAAAFjvvKM=")</f>
        <v>#VALUE!</v>
      </c>
      <c r="FI131">
        <f>IF(Bills!498:498,"AAAAAFjvvKQ=",0)</f>
        <v>0</v>
      </c>
      <c r="FJ131" t="e">
        <f>AND(Bills!B498,"AAAAAFjvvKU=")</f>
        <v>#VALUE!</v>
      </c>
      <c r="FK131" t="e">
        <f>AND(Bills!#REF!,"AAAAAFjvvKY=")</f>
        <v>#REF!</v>
      </c>
      <c r="FL131" t="e">
        <f>AND(Bills!C498,"AAAAAFjvvKc=")</f>
        <v>#VALUE!</v>
      </c>
      <c r="FM131" t="e">
        <f>AND(Bills!D498,"AAAAAFjvvKg=")</f>
        <v>#VALUE!</v>
      </c>
      <c r="FN131" t="e">
        <f>AND(Bills!E498,"AAAAAFjvvKk=")</f>
        <v>#VALUE!</v>
      </c>
      <c r="FO131" t="e">
        <f>AND(Bills!#REF!,"AAAAAFjvvKo=")</f>
        <v>#REF!</v>
      </c>
      <c r="FP131" t="e">
        <f>AND(Bills!#REF!,"AAAAAFjvvKs=")</f>
        <v>#REF!</v>
      </c>
      <c r="FQ131" t="e">
        <f>AND(Bills!#REF!,"AAAAAFjvvKw=")</f>
        <v>#REF!</v>
      </c>
      <c r="FR131" t="e">
        <f>AND(Bills!F498,"AAAAAFjvvK0=")</f>
        <v>#VALUE!</v>
      </c>
      <c r="FS131" t="e">
        <f>AND(Bills!#REF!,"AAAAAFjvvK4=")</f>
        <v>#REF!</v>
      </c>
      <c r="FT131" t="e">
        <f>AND(Bills!G498,"AAAAAFjvvK8=")</f>
        <v>#VALUE!</v>
      </c>
      <c r="FU131" t="e">
        <f>AND(Bills!H498,"AAAAAFjvvLA=")</f>
        <v>#VALUE!</v>
      </c>
      <c r="FV131" t="e">
        <f>AND(Bills!I498,"AAAAAFjvvLE=")</f>
        <v>#VALUE!</v>
      </c>
      <c r="FW131" t="e">
        <f>AND(Bills!J498,"AAAAAFjvvLI=")</f>
        <v>#VALUE!</v>
      </c>
      <c r="FX131" t="e">
        <f>AND(Bills!K498,"AAAAAFjvvLM=")</f>
        <v>#VALUE!</v>
      </c>
      <c r="FY131" t="e">
        <f>AND(Bills!L498,"AAAAAFjvvLQ=")</f>
        <v>#VALUE!</v>
      </c>
      <c r="FZ131" t="e">
        <f>AND(Bills!#REF!,"AAAAAFjvvLU=")</f>
        <v>#REF!</v>
      </c>
      <c r="GA131" t="e">
        <f>AND(Bills!M498,"AAAAAFjvvLY=")</f>
        <v>#VALUE!</v>
      </c>
      <c r="GB131" t="e">
        <f>AND(Bills!N498,"AAAAAFjvvLc=")</f>
        <v>#VALUE!</v>
      </c>
      <c r="GC131" t="e">
        <f>AND(Bills!O498,"AAAAAFjvvLg=")</f>
        <v>#VALUE!</v>
      </c>
      <c r="GD131" t="e">
        <f>AND(Bills!P498,"AAAAAFjvvLk=")</f>
        <v>#VALUE!</v>
      </c>
      <c r="GE131" t="e">
        <f>AND(Bills!Q498,"AAAAAFjvvLo=")</f>
        <v>#VALUE!</v>
      </c>
      <c r="GF131" t="e">
        <f>AND(Bills!R498,"AAAAAFjvvLs=")</f>
        <v>#VALUE!</v>
      </c>
      <c r="GG131" t="e">
        <f>AND(Bills!S498,"AAAAAFjvvLw=")</f>
        <v>#VALUE!</v>
      </c>
      <c r="GH131" t="e">
        <f>AND(Bills!T498,"AAAAAFjvvL0=")</f>
        <v>#VALUE!</v>
      </c>
      <c r="GI131" t="e">
        <f>AND(Bills!#REF!,"AAAAAFjvvL4=")</f>
        <v>#REF!</v>
      </c>
      <c r="GJ131" t="e">
        <f>AND(Bills!U498,"AAAAAFjvvL8=")</f>
        <v>#VALUE!</v>
      </c>
      <c r="GK131" t="e">
        <f>AND(Bills!V498,"AAAAAFjvvMA=")</f>
        <v>#VALUE!</v>
      </c>
      <c r="GL131" t="e">
        <f>AND(Bills!W498,"AAAAAFjvvME=")</f>
        <v>#VALUE!</v>
      </c>
      <c r="GM131" t="e">
        <f>AND(Bills!#REF!,"AAAAAFjvvMI=")</f>
        <v>#REF!</v>
      </c>
      <c r="GN131" t="e">
        <f>AND(Bills!#REF!,"AAAAAFjvvMM=")</f>
        <v>#REF!</v>
      </c>
      <c r="GO131" t="e">
        <f>AND(Bills!Y498,"AAAAAFjvvMQ=")</f>
        <v>#VALUE!</v>
      </c>
      <c r="GP131" t="e">
        <f>AND(Bills!Z498,"AAAAAFjvvMU=")</f>
        <v>#VALUE!</v>
      </c>
      <c r="GQ131" t="e">
        <f>AND(Bills!#REF!,"AAAAAFjvvMY=")</f>
        <v>#REF!</v>
      </c>
      <c r="GR131" t="e">
        <f>AND(Bills!#REF!,"AAAAAFjvvMc=")</f>
        <v>#REF!</v>
      </c>
      <c r="GS131" t="e">
        <f>AND(Bills!#REF!,"AAAAAFjvvMg=")</f>
        <v>#REF!</v>
      </c>
      <c r="GT131" t="e">
        <f>AND(Bills!#REF!,"AAAAAFjvvMk=")</f>
        <v>#REF!</v>
      </c>
      <c r="GU131" t="e">
        <f>AND(Bills!#REF!,"AAAAAFjvvMo=")</f>
        <v>#REF!</v>
      </c>
      <c r="GV131" t="e">
        <f>AND(Bills!#REF!,"AAAAAFjvvMs=")</f>
        <v>#REF!</v>
      </c>
      <c r="GW131" t="e">
        <f>AND(Bills!#REF!,"AAAAAFjvvMw=")</f>
        <v>#REF!</v>
      </c>
      <c r="GX131" t="e">
        <f>AND(Bills!#REF!,"AAAAAFjvvM0=")</f>
        <v>#REF!</v>
      </c>
      <c r="GY131" t="e">
        <f>AND(Bills!#REF!,"AAAAAFjvvM4=")</f>
        <v>#REF!</v>
      </c>
      <c r="GZ131" t="e">
        <f>AND(Bills!AA498,"AAAAAFjvvM8=")</f>
        <v>#VALUE!</v>
      </c>
      <c r="HA131" t="e">
        <f>AND(Bills!AB498,"AAAAAFjvvNA=")</f>
        <v>#VALUE!</v>
      </c>
      <c r="HB131" t="e">
        <f>AND(Bills!#REF!,"AAAAAFjvvNE=")</f>
        <v>#REF!</v>
      </c>
      <c r="HC131" t="e">
        <f>AND(Bills!#REF!,"AAAAAFjvvNI=")</f>
        <v>#REF!</v>
      </c>
      <c r="HD131" t="e">
        <f>AND(Bills!#REF!,"AAAAAFjvvNM=")</f>
        <v>#REF!</v>
      </c>
      <c r="HE131" t="e">
        <f>AND(Bills!AC498,"AAAAAFjvvNQ=")</f>
        <v>#VALUE!</v>
      </c>
      <c r="HF131" t="e">
        <f>AND(Bills!AD498,"AAAAAFjvvNU=")</f>
        <v>#VALUE!</v>
      </c>
      <c r="HG131" t="e">
        <f>AND(Bills!AE498,"AAAAAFjvvNY=")</f>
        <v>#VALUE!</v>
      </c>
      <c r="HH131">
        <f>IF(Bills!499:499,"AAAAAFjvvNc=",0)</f>
        <v>0</v>
      </c>
      <c r="HI131" t="e">
        <f>AND(Bills!B499,"AAAAAFjvvNg=")</f>
        <v>#VALUE!</v>
      </c>
      <c r="HJ131" t="e">
        <f>AND(Bills!#REF!,"AAAAAFjvvNk=")</f>
        <v>#REF!</v>
      </c>
      <c r="HK131" t="e">
        <f>AND(Bills!C499,"AAAAAFjvvNo=")</f>
        <v>#VALUE!</v>
      </c>
      <c r="HL131" t="e">
        <f>AND(Bills!D499,"AAAAAFjvvNs=")</f>
        <v>#VALUE!</v>
      </c>
      <c r="HM131" t="e">
        <f>AND(Bills!E499,"AAAAAFjvvNw=")</f>
        <v>#VALUE!</v>
      </c>
      <c r="HN131" t="e">
        <f>AND(Bills!#REF!,"AAAAAFjvvN0=")</f>
        <v>#REF!</v>
      </c>
      <c r="HO131" t="e">
        <f>AND(Bills!#REF!,"AAAAAFjvvN4=")</f>
        <v>#REF!</v>
      </c>
      <c r="HP131" t="e">
        <f>AND(Bills!#REF!,"AAAAAFjvvN8=")</f>
        <v>#REF!</v>
      </c>
      <c r="HQ131" t="e">
        <f>AND(Bills!F499,"AAAAAFjvvOA=")</f>
        <v>#VALUE!</v>
      </c>
      <c r="HR131" t="e">
        <f>AND(Bills!#REF!,"AAAAAFjvvOE=")</f>
        <v>#REF!</v>
      </c>
      <c r="HS131" t="e">
        <f>AND(Bills!G499,"AAAAAFjvvOI=")</f>
        <v>#VALUE!</v>
      </c>
      <c r="HT131" t="e">
        <f>AND(Bills!H499,"AAAAAFjvvOM=")</f>
        <v>#VALUE!</v>
      </c>
      <c r="HU131" t="e">
        <f>AND(Bills!I499,"AAAAAFjvvOQ=")</f>
        <v>#VALUE!</v>
      </c>
      <c r="HV131" t="e">
        <f>AND(Bills!J499,"AAAAAFjvvOU=")</f>
        <v>#VALUE!</v>
      </c>
      <c r="HW131" t="e">
        <f>AND(Bills!K499,"AAAAAFjvvOY=")</f>
        <v>#VALUE!</v>
      </c>
      <c r="HX131" t="e">
        <f>AND(Bills!L499,"AAAAAFjvvOc=")</f>
        <v>#VALUE!</v>
      </c>
      <c r="HY131" t="e">
        <f>AND(Bills!#REF!,"AAAAAFjvvOg=")</f>
        <v>#REF!</v>
      </c>
      <c r="HZ131" t="e">
        <f>AND(Bills!M499,"AAAAAFjvvOk=")</f>
        <v>#VALUE!</v>
      </c>
      <c r="IA131" t="e">
        <f>AND(Bills!N499,"AAAAAFjvvOo=")</f>
        <v>#VALUE!</v>
      </c>
      <c r="IB131" t="e">
        <f>AND(Bills!O499,"AAAAAFjvvOs=")</f>
        <v>#VALUE!</v>
      </c>
      <c r="IC131" t="e">
        <f>AND(Bills!P499,"AAAAAFjvvOw=")</f>
        <v>#VALUE!</v>
      </c>
      <c r="ID131" t="e">
        <f>AND(Bills!Q499,"AAAAAFjvvO0=")</f>
        <v>#VALUE!</v>
      </c>
      <c r="IE131" t="e">
        <f>AND(Bills!R499,"AAAAAFjvvO4=")</f>
        <v>#VALUE!</v>
      </c>
      <c r="IF131" t="e">
        <f>AND(Bills!S499,"AAAAAFjvvO8=")</f>
        <v>#VALUE!</v>
      </c>
      <c r="IG131" t="e">
        <f>AND(Bills!T499,"AAAAAFjvvPA=")</f>
        <v>#VALUE!</v>
      </c>
      <c r="IH131" t="e">
        <f>AND(Bills!#REF!,"AAAAAFjvvPE=")</f>
        <v>#REF!</v>
      </c>
      <c r="II131" t="e">
        <f>AND(Bills!U499,"AAAAAFjvvPI=")</f>
        <v>#VALUE!</v>
      </c>
      <c r="IJ131" t="e">
        <f>AND(Bills!V499,"AAAAAFjvvPM=")</f>
        <v>#VALUE!</v>
      </c>
      <c r="IK131" t="e">
        <f>AND(Bills!W499,"AAAAAFjvvPQ=")</f>
        <v>#VALUE!</v>
      </c>
      <c r="IL131" t="e">
        <f>AND(Bills!#REF!,"AAAAAFjvvPU=")</f>
        <v>#REF!</v>
      </c>
      <c r="IM131" t="e">
        <f>AND(Bills!#REF!,"AAAAAFjvvPY=")</f>
        <v>#REF!</v>
      </c>
      <c r="IN131" t="e">
        <f>AND(Bills!Y499,"AAAAAFjvvPc=")</f>
        <v>#VALUE!</v>
      </c>
      <c r="IO131" t="e">
        <f>AND(Bills!Z499,"AAAAAFjvvPg=")</f>
        <v>#VALUE!</v>
      </c>
      <c r="IP131" t="e">
        <f>AND(Bills!#REF!,"AAAAAFjvvPk=")</f>
        <v>#REF!</v>
      </c>
      <c r="IQ131" t="e">
        <f>AND(Bills!#REF!,"AAAAAFjvvPo=")</f>
        <v>#REF!</v>
      </c>
      <c r="IR131" t="e">
        <f>AND(Bills!#REF!,"AAAAAFjvvPs=")</f>
        <v>#REF!</v>
      </c>
      <c r="IS131" t="e">
        <f>AND(Bills!#REF!,"AAAAAFjvvPw=")</f>
        <v>#REF!</v>
      </c>
      <c r="IT131" t="e">
        <f>AND(Bills!#REF!,"AAAAAFjvvP0=")</f>
        <v>#REF!</v>
      </c>
      <c r="IU131" t="e">
        <f>AND(Bills!#REF!,"AAAAAFjvvP4=")</f>
        <v>#REF!</v>
      </c>
      <c r="IV131" t="e">
        <f>AND(Bills!#REF!,"AAAAAFjvvP8=")</f>
        <v>#REF!</v>
      </c>
    </row>
    <row r="132" spans="1:256" x14ac:dyDescent="0.25">
      <c r="A132" t="e">
        <f>AND(Bills!#REF!,"AAAAAF87/wA=")</f>
        <v>#REF!</v>
      </c>
      <c r="B132" t="e">
        <f>AND(Bills!#REF!,"AAAAAF87/wE=")</f>
        <v>#REF!</v>
      </c>
      <c r="C132" t="e">
        <f>AND(Bills!AA499,"AAAAAF87/wI=")</f>
        <v>#VALUE!</v>
      </c>
      <c r="D132" t="e">
        <f>AND(Bills!AB499,"AAAAAF87/wM=")</f>
        <v>#VALUE!</v>
      </c>
      <c r="E132" t="e">
        <f>AND(Bills!#REF!,"AAAAAF87/wQ=")</f>
        <v>#REF!</v>
      </c>
      <c r="F132" t="e">
        <f>AND(Bills!#REF!,"AAAAAF87/wU=")</f>
        <v>#REF!</v>
      </c>
      <c r="G132" t="e">
        <f>AND(Bills!#REF!,"AAAAAF87/wY=")</f>
        <v>#REF!</v>
      </c>
      <c r="H132" t="e">
        <f>AND(Bills!AC499,"AAAAAF87/wc=")</f>
        <v>#VALUE!</v>
      </c>
      <c r="I132" t="e">
        <f>AND(Bills!AD499,"AAAAAF87/wg=")</f>
        <v>#VALUE!</v>
      </c>
      <c r="J132" t="e">
        <f>AND(Bills!AE499,"AAAAAF87/wk=")</f>
        <v>#VALUE!</v>
      </c>
      <c r="K132">
        <f>IF(Bills!500:500,"AAAAAF87/wo=",0)</f>
        <v>0</v>
      </c>
      <c r="L132" t="e">
        <f>AND(Bills!B500,"AAAAAF87/ws=")</f>
        <v>#VALUE!</v>
      </c>
      <c r="M132" t="e">
        <f>AND(Bills!#REF!,"AAAAAF87/ww=")</f>
        <v>#REF!</v>
      </c>
      <c r="N132" t="e">
        <f>AND(Bills!C500,"AAAAAF87/w0=")</f>
        <v>#VALUE!</v>
      </c>
      <c r="O132" t="e">
        <f>AND(Bills!D500,"AAAAAF87/w4=")</f>
        <v>#VALUE!</v>
      </c>
      <c r="P132" t="e">
        <f>AND(Bills!E500,"AAAAAF87/w8=")</f>
        <v>#VALUE!</v>
      </c>
      <c r="Q132" t="e">
        <f>AND(Bills!#REF!,"AAAAAF87/xA=")</f>
        <v>#REF!</v>
      </c>
      <c r="R132" t="e">
        <f>AND(Bills!#REF!,"AAAAAF87/xE=")</f>
        <v>#REF!</v>
      </c>
      <c r="S132" t="e">
        <f>AND(Bills!#REF!,"AAAAAF87/xI=")</f>
        <v>#REF!</v>
      </c>
      <c r="T132" t="e">
        <f>AND(Bills!F500,"AAAAAF87/xM=")</f>
        <v>#VALUE!</v>
      </c>
      <c r="U132" t="e">
        <f>AND(Bills!#REF!,"AAAAAF87/xQ=")</f>
        <v>#REF!</v>
      </c>
      <c r="V132" t="e">
        <f>AND(Bills!G500,"AAAAAF87/xU=")</f>
        <v>#VALUE!</v>
      </c>
      <c r="W132" t="e">
        <f>AND(Bills!H500,"AAAAAF87/xY=")</f>
        <v>#VALUE!</v>
      </c>
      <c r="X132" t="e">
        <f>AND(Bills!I500,"AAAAAF87/xc=")</f>
        <v>#VALUE!</v>
      </c>
      <c r="Y132" t="e">
        <f>AND(Bills!J500,"AAAAAF87/xg=")</f>
        <v>#VALUE!</v>
      </c>
      <c r="Z132" t="e">
        <f>AND(Bills!K500,"AAAAAF87/xk=")</f>
        <v>#VALUE!</v>
      </c>
      <c r="AA132" t="e">
        <f>AND(Bills!L500,"AAAAAF87/xo=")</f>
        <v>#VALUE!</v>
      </c>
      <c r="AB132" t="e">
        <f>AND(Bills!#REF!,"AAAAAF87/xs=")</f>
        <v>#REF!</v>
      </c>
      <c r="AC132" t="e">
        <f>AND(Bills!M500,"AAAAAF87/xw=")</f>
        <v>#VALUE!</v>
      </c>
      <c r="AD132" t="e">
        <f>AND(Bills!N500,"AAAAAF87/x0=")</f>
        <v>#VALUE!</v>
      </c>
      <c r="AE132" t="e">
        <f>AND(Bills!O500,"AAAAAF87/x4=")</f>
        <v>#VALUE!</v>
      </c>
      <c r="AF132" t="e">
        <f>AND(Bills!P500,"AAAAAF87/x8=")</f>
        <v>#VALUE!</v>
      </c>
      <c r="AG132" t="e">
        <f>AND(Bills!Q500,"AAAAAF87/yA=")</f>
        <v>#VALUE!</v>
      </c>
      <c r="AH132" t="e">
        <f>AND(Bills!R500,"AAAAAF87/yE=")</f>
        <v>#VALUE!</v>
      </c>
      <c r="AI132" t="e">
        <f>AND(Bills!S500,"AAAAAF87/yI=")</f>
        <v>#VALUE!</v>
      </c>
      <c r="AJ132" t="e">
        <f>AND(Bills!T500,"AAAAAF87/yM=")</f>
        <v>#VALUE!</v>
      </c>
      <c r="AK132" t="e">
        <f>AND(Bills!#REF!,"AAAAAF87/yQ=")</f>
        <v>#REF!</v>
      </c>
      <c r="AL132" t="e">
        <f>AND(Bills!U500,"AAAAAF87/yU=")</f>
        <v>#VALUE!</v>
      </c>
      <c r="AM132" t="e">
        <f>AND(Bills!V500,"AAAAAF87/yY=")</f>
        <v>#VALUE!</v>
      </c>
      <c r="AN132" t="e">
        <f>AND(Bills!W500,"AAAAAF87/yc=")</f>
        <v>#VALUE!</v>
      </c>
      <c r="AO132" t="e">
        <f>AND(Bills!#REF!,"AAAAAF87/yg=")</f>
        <v>#REF!</v>
      </c>
      <c r="AP132" t="e">
        <f>AND(Bills!#REF!,"AAAAAF87/yk=")</f>
        <v>#REF!</v>
      </c>
      <c r="AQ132" t="e">
        <f>AND(Bills!Y500,"AAAAAF87/yo=")</f>
        <v>#VALUE!</v>
      </c>
      <c r="AR132" t="e">
        <f>AND(Bills!Z500,"AAAAAF87/ys=")</f>
        <v>#VALUE!</v>
      </c>
      <c r="AS132" t="e">
        <f>AND(Bills!#REF!,"AAAAAF87/yw=")</f>
        <v>#REF!</v>
      </c>
      <c r="AT132" t="e">
        <f>AND(Bills!#REF!,"AAAAAF87/y0=")</f>
        <v>#REF!</v>
      </c>
      <c r="AU132" t="e">
        <f>AND(Bills!#REF!,"AAAAAF87/y4=")</f>
        <v>#REF!</v>
      </c>
      <c r="AV132" t="e">
        <f>AND(Bills!#REF!,"AAAAAF87/y8=")</f>
        <v>#REF!</v>
      </c>
      <c r="AW132" t="e">
        <f>AND(Bills!#REF!,"AAAAAF87/zA=")</f>
        <v>#REF!</v>
      </c>
      <c r="AX132" t="e">
        <f>AND(Bills!#REF!,"AAAAAF87/zE=")</f>
        <v>#REF!</v>
      </c>
      <c r="AY132" t="e">
        <f>AND(Bills!#REF!,"AAAAAF87/zI=")</f>
        <v>#REF!</v>
      </c>
      <c r="AZ132" t="e">
        <f>AND(Bills!#REF!,"AAAAAF87/zM=")</f>
        <v>#REF!</v>
      </c>
      <c r="BA132" t="e">
        <f>AND(Bills!#REF!,"AAAAAF87/zQ=")</f>
        <v>#REF!</v>
      </c>
      <c r="BB132" t="e">
        <f>AND(Bills!AA500,"AAAAAF87/zU=")</f>
        <v>#VALUE!</v>
      </c>
      <c r="BC132" t="e">
        <f>AND(Bills!AB500,"AAAAAF87/zY=")</f>
        <v>#VALUE!</v>
      </c>
      <c r="BD132" t="e">
        <f>AND(Bills!#REF!,"AAAAAF87/zc=")</f>
        <v>#REF!</v>
      </c>
      <c r="BE132" t="e">
        <f>AND(Bills!#REF!,"AAAAAF87/zg=")</f>
        <v>#REF!</v>
      </c>
      <c r="BF132" t="e">
        <f>AND(Bills!#REF!,"AAAAAF87/zk=")</f>
        <v>#REF!</v>
      </c>
      <c r="BG132" t="e">
        <f>AND(Bills!AC500,"AAAAAF87/zo=")</f>
        <v>#VALUE!</v>
      </c>
      <c r="BH132" t="e">
        <f>AND(Bills!AD500,"AAAAAF87/zs=")</f>
        <v>#VALUE!</v>
      </c>
      <c r="BI132" t="e">
        <f>AND(Bills!AE500,"AAAAAF87/zw=")</f>
        <v>#VALUE!</v>
      </c>
      <c r="BJ132">
        <f>IF(Bills!501:501,"AAAAAF87/z0=",0)</f>
        <v>0</v>
      </c>
      <c r="BK132" t="e">
        <f>AND(Bills!B501,"AAAAAF87/z4=")</f>
        <v>#VALUE!</v>
      </c>
      <c r="BL132" t="e">
        <f>AND(Bills!#REF!,"AAAAAF87/z8=")</f>
        <v>#REF!</v>
      </c>
      <c r="BM132" t="e">
        <f>AND(Bills!C501,"AAAAAF87/0A=")</f>
        <v>#VALUE!</v>
      </c>
      <c r="BN132" t="e">
        <f>AND(Bills!D501,"AAAAAF87/0E=")</f>
        <v>#VALUE!</v>
      </c>
      <c r="BO132" t="e">
        <f>AND(Bills!E501,"AAAAAF87/0I=")</f>
        <v>#VALUE!</v>
      </c>
      <c r="BP132" t="e">
        <f>AND(Bills!#REF!,"AAAAAF87/0M=")</f>
        <v>#REF!</v>
      </c>
      <c r="BQ132" t="e">
        <f>AND(Bills!#REF!,"AAAAAF87/0Q=")</f>
        <v>#REF!</v>
      </c>
      <c r="BR132" t="e">
        <f>AND(Bills!#REF!,"AAAAAF87/0U=")</f>
        <v>#REF!</v>
      </c>
      <c r="BS132" t="e">
        <f>AND(Bills!F501,"AAAAAF87/0Y=")</f>
        <v>#VALUE!</v>
      </c>
      <c r="BT132" t="e">
        <f>AND(Bills!#REF!,"AAAAAF87/0c=")</f>
        <v>#REF!</v>
      </c>
      <c r="BU132" t="e">
        <f>AND(Bills!G501,"AAAAAF87/0g=")</f>
        <v>#VALUE!</v>
      </c>
      <c r="BV132" t="e">
        <f>AND(Bills!H501,"AAAAAF87/0k=")</f>
        <v>#VALUE!</v>
      </c>
      <c r="BW132" t="e">
        <f>AND(Bills!I501,"AAAAAF87/0o=")</f>
        <v>#VALUE!</v>
      </c>
      <c r="BX132" t="e">
        <f>AND(Bills!J501,"AAAAAF87/0s=")</f>
        <v>#VALUE!</v>
      </c>
      <c r="BY132" t="e">
        <f>AND(Bills!K501,"AAAAAF87/0w=")</f>
        <v>#VALUE!</v>
      </c>
      <c r="BZ132" t="e">
        <f>AND(Bills!L501,"AAAAAF87/00=")</f>
        <v>#VALUE!</v>
      </c>
      <c r="CA132" t="e">
        <f>AND(Bills!#REF!,"AAAAAF87/04=")</f>
        <v>#REF!</v>
      </c>
      <c r="CB132" t="e">
        <f>AND(Bills!M501,"AAAAAF87/08=")</f>
        <v>#VALUE!</v>
      </c>
      <c r="CC132" t="e">
        <f>AND(Bills!N501,"AAAAAF87/1A=")</f>
        <v>#VALUE!</v>
      </c>
      <c r="CD132" t="e">
        <f>AND(Bills!O501,"AAAAAF87/1E=")</f>
        <v>#VALUE!</v>
      </c>
      <c r="CE132" t="e">
        <f>AND(Bills!P501,"AAAAAF87/1I=")</f>
        <v>#VALUE!</v>
      </c>
      <c r="CF132" t="e">
        <f>AND(Bills!Q501,"AAAAAF87/1M=")</f>
        <v>#VALUE!</v>
      </c>
      <c r="CG132" t="e">
        <f>AND(Bills!R501,"AAAAAF87/1Q=")</f>
        <v>#VALUE!</v>
      </c>
      <c r="CH132" t="e">
        <f>AND(Bills!S501,"AAAAAF87/1U=")</f>
        <v>#VALUE!</v>
      </c>
      <c r="CI132" t="e">
        <f>AND(Bills!T501,"AAAAAF87/1Y=")</f>
        <v>#VALUE!</v>
      </c>
      <c r="CJ132" t="e">
        <f>AND(Bills!#REF!,"AAAAAF87/1c=")</f>
        <v>#REF!</v>
      </c>
      <c r="CK132" t="e">
        <f>AND(Bills!U501,"AAAAAF87/1g=")</f>
        <v>#VALUE!</v>
      </c>
      <c r="CL132" t="e">
        <f>AND(Bills!V501,"AAAAAF87/1k=")</f>
        <v>#VALUE!</v>
      </c>
      <c r="CM132" t="e">
        <f>AND(Bills!W501,"AAAAAF87/1o=")</f>
        <v>#VALUE!</v>
      </c>
      <c r="CN132" t="e">
        <f>AND(Bills!#REF!,"AAAAAF87/1s=")</f>
        <v>#REF!</v>
      </c>
      <c r="CO132" t="e">
        <f>AND(Bills!#REF!,"AAAAAF87/1w=")</f>
        <v>#REF!</v>
      </c>
      <c r="CP132" t="e">
        <f>AND(Bills!Y501,"AAAAAF87/10=")</f>
        <v>#VALUE!</v>
      </c>
      <c r="CQ132" t="e">
        <f>AND(Bills!Z501,"AAAAAF87/14=")</f>
        <v>#VALUE!</v>
      </c>
      <c r="CR132" t="e">
        <f>AND(Bills!#REF!,"AAAAAF87/18=")</f>
        <v>#REF!</v>
      </c>
      <c r="CS132" t="e">
        <f>AND(Bills!#REF!,"AAAAAF87/2A=")</f>
        <v>#REF!</v>
      </c>
      <c r="CT132" t="e">
        <f>AND(Bills!#REF!,"AAAAAF87/2E=")</f>
        <v>#REF!</v>
      </c>
      <c r="CU132" t="e">
        <f>AND(Bills!#REF!,"AAAAAF87/2I=")</f>
        <v>#REF!</v>
      </c>
      <c r="CV132" t="e">
        <f>AND(Bills!#REF!,"AAAAAF87/2M=")</f>
        <v>#REF!</v>
      </c>
      <c r="CW132" t="e">
        <f>AND(Bills!#REF!,"AAAAAF87/2Q=")</f>
        <v>#REF!</v>
      </c>
      <c r="CX132" t="e">
        <f>AND(Bills!#REF!,"AAAAAF87/2U=")</f>
        <v>#REF!</v>
      </c>
      <c r="CY132" t="e">
        <f>AND(Bills!#REF!,"AAAAAF87/2Y=")</f>
        <v>#REF!</v>
      </c>
      <c r="CZ132" t="e">
        <f>AND(Bills!#REF!,"AAAAAF87/2c=")</f>
        <v>#REF!</v>
      </c>
      <c r="DA132" t="e">
        <f>AND(Bills!AA501,"AAAAAF87/2g=")</f>
        <v>#VALUE!</v>
      </c>
      <c r="DB132" t="e">
        <f>AND(Bills!AB501,"AAAAAF87/2k=")</f>
        <v>#VALUE!</v>
      </c>
      <c r="DC132" t="e">
        <f>AND(Bills!#REF!,"AAAAAF87/2o=")</f>
        <v>#REF!</v>
      </c>
      <c r="DD132" t="e">
        <f>AND(Bills!#REF!,"AAAAAF87/2s=")</f>
        <v>#REF!</v>
      </c>
      <c r="DE132" t="e">
        <f>AND(Bills!#REF!,"AAAAAF87/2w=")</f>
        <v>#REF!</v>
      </c>
      <c r="DF132" t="e">
        <f>AND(Bills!AC501,"AAAAAF87/20=")</f>
        <v>#VALUE!</v>
      </c>
      <c r="DG132" t="e">
        <f>AND(Bills!AD501,"AAAAAF87/24=")</f>
        <v>#VALUE!</v>
      </c>
      <c r="DH132" t="e">
        <f>AND(Bills!AE501,"AAAAAF87/28=")</f>
        <v>#VALUE!</v>
      </c>
      <c r="DI132">
        <f>IF(Bills!502:502,"AAAAAF87/3A=",0)</f>
        <v>0</v>
      </c>
      <c r="DJ132" t="e">
        <f>AND(Bills!B502,"AAAAAF87/3E=")</f>
        <v>#VALUE!</v>
      </c>
      <c r="DK132" t="e">
        <f>AND(Bills!#REF!,"AAAAAF87/3I=")</f>
        <v>#REF!</v>
      </c>
      <c r="DL132" t="e">
        <f>AND(Bills!C502,"AAAAAF87/3M=")</f>
        <v>#VALUE!</v>
      </c>
      <c r="DM132" t="e">
        <f>AND(Bills!D502,"AAAAAF87/3Q=")</f>
        <v>#VALUE!</v>
      </c>
      <c r="DN132" t="e">
        <f>AND(Bills!E502,"AAAAAF87/3U=")</f>
        <v>#VALUE!</v>
      </c>
      <c r="DO132" t="e">
        <f>AND(Bills!#REF!,"AAAAAF87/3Y=")</f>
        <v>#REF!</v>
      </c>
      <c r="DP132" t="e">
        <f>AND(Bills!#REF!,"AAAAAF87/3c=")</f>
        <v>#REF!</v>
      </c>
      <c r="DQ132" t="e">
        <f>AND(Bills!#REF!,"AAAAAF87/3g=")</f>
        <v>#REF!</v>
      </c>
      <c r="DR132" t="e">
        <f>AND(Bills!F502,"AAAAAF87/3k=")</f>
        <v>#VALUE!</v>
      </c>
      <c r="DS132" t="e">
        <f>AND(Bills!#REF!,"AAAAAF87/3o=")</f>
        <v>#REF!</v>
      </c>
      <c r="DT132" t="e">
        <f>AND(Bills!G502,"AAAAAF87/3s=")</f>
        <v>#VALUE!</v>
      </c>
      <c r="DU132" t="e">
        <f>AND(Bills!H502,"AAAAAF87/3w=")</f>
        <v>#VALUE!</v>
      </c>
      <c r="DV132" t="e">
        <f>AND(Bills!I502,"AAAAAF87/30=")</f>
        <v>#VALUE!</v>
      </c>
      <c r="DW132" t="e">
        <f>AND(Bills!J502,"AAAAAF87/34=")</f>
        <v>#VALUE!</v>
      </c>
      <c r="DX132" t="e">
        <f>AND(Bills!K502,"AAAAAF87/38=")</f>
        <v>#VALUE!</v>
      </c>
      <c r="DY132" t="e">
        <f>AND(Bills!L502,"AAAAAF87/4A=")</f>
        <v>#VALUE!</v>
      </c>
      <c r="DZ132" t="e">
        <f>AND(Bills!#REF!,"AAAAAF87/4E=")</f>
        <v>#REF!</v>
      </c>
      <c r="EA132" t="e">
        <f>AND(Bills!M502,"AAAAAF87/4I=")</f>
        <v>#VALUE!</v>
      </c>
      <c r="EB132" t="e">
        <f>AND(Bills!N502,"AAAAAF87/4M=")</f>
        <v>#VALUE!</v>
      </c>
      <c r="EC132" t="e">
        <f>AND(Bills!O502,"AAAAAF87/4Q=")</f>
        <v>#VALUE!</v>
      </c>
      <c r="ED132" t="e">
        <f>AND(Bills!P502,"AAAAAF87/4U=")</f>
        <v>#VALUE!</v>
      </c>
      <c r="EE132" t="e">
        <f>AND(Bills!Q502,"AAAAAF87/4Y=")</f>
        <v>#VALUE!</v>
      </c>
      <c r="EF132" t="e">
        <f>AND(Bills!R502,"AAAAAF87/4c=")</f>
        <v>#VALUE!</v>
      </c>
      <c r="EG132" t="e">
        <f>AND(Bills!S502,"AAAAAF87/4g=")</f>
        <v>#VALUE!</v>
      </c>
      <c r="EH132" t="e">
        <f>AND(Bills!T502,"AAAAAF87/4k=")</f>
        <v>#VALUE!</v>
      </c>
      <c r="EI132" t="e">
        <f>AND(Bills!#REF!,"AAAAAF87/4o=")</f>
        <v>#REF!</v>
      </c>
      <c r="EJ132" t="e">
        <f>AND(Bills!U502,"AAAAAF87/4s=")</f>
        <v>#VALUE!</v>
      </c>
      <c r="EK132" t="e">
        <f>AND(Bills!V502,"AAAAAF87/4w=")</f>
        <v>#VALUE!</v>
      </c>
      <c r="EL132" t="e">
        <f>AND(Bills!W502,"AAAAAF87/40=")</f>
        <v>#VALUE!</v>
      </c>
      <c r="EM132" t="e">
        <f>AND(Bills!#REF!,"AAAAAF87/44=")</f>
        <v>#REF!</v>
      </c>
      <c r="EN132" t="e">
        <f>AND(Bills!#REF!,"AAAAAF87/48=")</f>
        <v>#REF!</v>
      </c>
      <c r="EO132" t="e">
        <f>AND(Bills!Y502,"AAAAAF87/5A=")</f>
        <v>#VALUE!</v>
      </c>
      <c r="EP132" t="e">
        <f>AND(Bills!Z502,"AAAAAF87/5E=")</f>
        <v>#VALUE!</v>
      </c>
      <c r="EQ132" t="e">
        <f>AND(Bills!#REF!,"AAAAAF87/5I=")</f>
        <v>#REF!</v>
      </c>
      <c r="ER132" t="e">
        <f>AND(Bills!#REF!,"AAAAAF87/5M=")</f>
        <v>#REF!</v>
      </c>
      <c r="ES132" t="e">
        <f>AND(Bills!#REF!,"AAAAAF87/5Q=")</f>
        <v>#REF!</v>
      </c>
      <c r="ET132" t="e">
        <f>AND(Bills!#REF!,"AAAAAF87/5U=")</f>
        <v>#REF!</v>
      </c>
      <c r="EU132" t="e">
        <f>AND(Bills!#REF!,"AAAAAF87/5Y=")</f>
        <v>#REF!</v>
      </c>
      <c r="EV132" t="e">
        <f>AND(Bills!#REF!,"AAAAAF87/5c=")</f>
        <v>#REF!</v>
      </c>
      <c r="EW132" t="e">
        <f>AND(Bills!#REF!,"AAAAAF87/5g=")</f>
        <v>#REF!</v>
      </c>
      <c r="EX132" t="e">
        <f>AND(Bills!#REF!,"AAAAAF87/5k=")</f>
        <v>#REF!</v>
      </c>
      <c r="EY132" t="e">
        <f>AND(Bills!#REF!,"AAAAAF87/5o=")</f>
        <v>#REF!</v>
      </c>
      <c r="EZ132" t="e">
        <f>AND(Bills!AA502,"AAAAAF87/5s=")</f>
        <v>#VALUE!</v>
      </c>
      <c r="FA132" t="e">
        <f>AND(Bills!AB502,"AAAAAF87/5w=")</f>
        <v>#VALUE!</v>
      </c>
      <c r="FB132" t="e">
        <f>AND(Bills!#REF!,"AAAAAF87/50=")</f>
        <v>#REF!</v>
      </c>
      <c r="FC132" t="e">
        <f>AND(Bills!#REF!,"AAAAAF87/54=")</f>
        <v>#REF!</v>
      </c>
      <c r="FD132" t="e">
        <f>AND(Bills!#REF!,"AAAAAF87/58=")</f>
        <v>#REF!</v>
      </c>
      <c r="FE132" t="e">
        <f>AND(Bills!AC502,"AAAAAF87/6A=")</f>
        <v>#VALUE!</v>
      </c>
      <c r="FF132" t="e">
        <f>AND(Bills!AD502,"AAAAAF87/6E=")</f>
        <v>#VALUE!</v>
      </c>
      <c r="FG132" t="e">
        <f>AND(Bills!AE502,"AAAAAF87/6I=")</f>
        <v>#VALUE!</v>
      </c>
      <c r="FH132">
        <f>IF(Bills!503:503,"AAAAAF87/6M=",0)</f>
        <v>0</v>
      </c>
      <c r="FI132" t="e">
        <f>AND(Bills!B503,"AAAAAF87/6Q=")</f>
        <v>#VALUE!</v>
      </c>
      <c r="FJ132" t="e">
        <f>AND(Bills!#REF!,"AAAAAF87/6U=")</f>
        <v>#REF!</v>
      </c>
      <c r="FK132" t="e">
        <f>AND(Bills!C503,"AAAAAF87/6Y=")</f>
        <v>#VALUE!</v>
      </c>
      <c r="FL132" t="e">
        <f>AND(Bills!D503,"AAAAAF87/6c=")</f>
        <v>#VALUE!</v>
      </c>
      <c r="FM132" t="e">
        <f>AND(Bills!E503,"AAAAAF87/6g=")</f>
        <v>#VALUE!</v>
      </c>
      <c r="FN132" t="e">
        <f>AND(Bills!#REF!,"AAAAAF87/6k=")</f>
        <v>#REF!</v>
      </c>
      <c r="FO132" t="e">
        <f>AND(Bills!#REF!,"AAAAAF87/6o=")</f>
        <v>#REF!</v>
      </c>
      <c r="FP132" t="e">
        <f>AND(Bills!#REF!,"AAAAAF87/6s=")</f>
        <v>#REF!</v>
      </c>
      <c r="FQ132" t="e">
        <f>AND(Bills!F503,"AAAAAF87/6w=")</f>
        <v>#VALUE!</v>
      </c>
      <c r="FR132" t="e">
        <f>AND(Bills!#REF!,"AAAAAF87/60=")</f>
        <v>#REF!</v>
      </c>
      <c r="FS132" t="e">
        <f>AND(Bills!G503,"AAAAAF87/64=")</f>
        <v>#VALUE!</v>
      </c>
      <c r="FT132" t="e">
        <f>AND(Bills!H503,"AAAAAF87/68=")</f>
        <v>#VALUE!</v>
      </c>
      <c r="FU132" t="e">
        <f>AND(Bills!I503,"AAAAAF87/7A=")</f>
        <v>#VALUE!</v>
      </c>
      <c r="FV132" t="e">
        <f>AND(Bills!J503,"AAAAAF87/7E=")</f>
        <v>#VALUE!</v>
      </c>
      <c r="FW132" t="e">
        <f>AND(Bills!K503,"AAAAAF87/7I=")</f>
        <v>#VALUE!</v>
      </c>
      <c r="FX132" t="e">
        <f>AND(Bills!L503,"AAAAAF87/7M=")</f>
        <v>#VALUE!</v>
      </c>
      <c r="FY132" t="e">
        <f>AND(Bills!#REF!,"AAAAAF87/7Q=")</f>
        <v>#REF!</v>
      </c>
      <c r="FZ132" t="e">
        <f>AND(Bills!M503,"AAAAAF87/7U=")</f>
        <v>#VALUE!</v>
      </c>
      <c r="GA132" t="e">
        <f>AND(Bills!N503,"AAAAAF87/7Y=")</f>
        <v>#VALUE!</v>
      </c>
      <c r="GB132" t="e">
        <f>AND(Bills!O503,"AAAAAF87/7c=")</f>
        <v>#VALUE!</v>
      </c>
      <c r="GC132" t="e">
        <f>AND(Bills!P503,"AAAAAF87/7g=")</f>
        <v>#VALUE!</v>
      </c>
      <c r="GD132" t="e">
        <f>AND(Bills!Q503,"AAAAAF87/7k=")</f>
        <v>#VALUE!</v>
      </c>
      <c r="GE132" t="e">
        <f>AND(Bills!R503,"AAAAAF87/7o=")</f>
        <v>#VALUE!</v>
      </c>
      <c r="GF132" t="e">
        <f>AND(Bills!S503,"AAAAAF87/7s=")</f>
        <v>#VALUE!</v>
      </c>
      <c r="GG132" t="e">
        <f>AND(Bills!T503,"AAAAAF87/7w=")</f>
        <v>#VALUE!</v>
      </c>
      <c r="GH132" t="e">
        <f>AND(Bills!#REF!,"AAAAAF87/70=")</f>
        <v>#REF!</v>
      </c>
      <c r="GI132" t="e">
        <f>AND(Bills!U503,"AAAAAF87/74=")</f>
        <v>#VALUE!</v>
      </c>
      <c r="GJ132" t="e">
        <f>AND(Bills!V503,"AAAAAF87/78=")</f>
        <v>#VALUE!</v>
      </c>
      <c r="GK132" t="e">
        <f>AND(Bills!W503,"AAAAAF87/8A=")</f>
        <v>#VALUE!</v>
      </c>
      <c r="GL132" t="e">
        <f>AND(Bills!#REF!,"AAAAAF87/8E=")</f>
        <v>#REF!</v>
      </c>
      <c r="GM132" t="e">
        <f>AND(Bills!#REF!,"AAAAAF87/8I=")</f>
        <v>#REF!</v>
      </c>
      <c r="GN132" t="e">
        <f>AND(Bills!Y503,"AAAAAF87/8M=")</f>
        <v>#VALUE!</v>
      </c>
      <c r="GO132" t="e">
        <f>AND(Bills!Z503,"AAAAAF87/8Q=")</f>
        <v>#VALUE!</v>
      </c>
      <c r="GP132" t="e">
        <f>AND(Bills!#REF!,"AAAAAF87/8U=")</f>
        <v>#REF!</v>
      </c>
      <c r="GQ132" t="e">
        <f>AND(Bills!#REF!,"AAAAAF87/8Y=")</f>
        <v>#REF!</v>
      </c>
      <c r="GR132" t="e">
        <f>AND(Bills!#REF!,"AAAAAF87/8c=")</f>
        <v>#REF!</v>
      </c>
      <c r="GS132" t="e">
        <f>AND(Bills!#REF!,"AAAAAF87/8g=")</f>
        <v>#REF!</v>
      </c>
      <c r="GT132" t="e">
        <f>AND(Bills!#REF!,"AAAAAF87/8k=")</f>
        <v>#REF!</v>
      </c>
      <c r="GU132" t="e">
        <f>AND(Bills!#REF!,"AAAAAF87/8o=")</f>
        <v>#REF!</v>
      </c>
      <c r="GV132" t="e">
        <f>AND(Bills!#REF!,"AAAAAF87/8s=")</f>
        <v>#REF!</v>
      </c>
      <c r="GW132" t="e">
        <f>AND(Bills!#REF!,"AAAAAF87/8w=")</f>
        <v>#REF!</v>
      </c>
      <c r="GX132" t="e">
        <f>AND(Bills!#REF!,"AAAAAF87/80=")</f>
        <v>#REF!</v>
      </c>
      <c r="GY132" t="e">
        <f>AND(Bills!AA503,"AAAAAF87/84=")</f>
        <v>#VALUE!</v>
      </c>
      <c r="GZ132" t="e">
        <f>AND(Bills!AB503,"AAAAAF87/88=")</f>
        <v>#VALUE!</v>
      </c>
      <c r="HA132" t="e">
        <f>AND(Bills!#REF!,"AAAAAF87/9A=")</f>
        <v>#REF!</v>
      </c>
      <c r="HB132" t="e">
        <f>AND(Bills!#REF!,"AAAAAF87/9E=")</f>
        <v>#REF!</v>
      </c>
      <c r="HC132" t="e">
        <f>AND(Bills!#REF!,"AAAAAF87/9I=")</f>
        <v>#REF!</v>
      </c>
      <c r="HD132" t="e">
        <f>AND(Bills!AC503,"AAAAAF87/9M=")</f>
        <v>#VALUE!</v>
      </c>
      <c r="HE132" t="e">
        <f>AND(Bills!AD503,"AAAAAF87/9Q=")</f>
        <v>#VALUE!</v>
      </c>
      <c r="HF132" t="e">
        <f>AND(Bills!AE503,"AAAAAF87/9U=")</f>
        <v>#VALUE!</v>
      </c>
      <c r="HG132">
        <f>IF(Bills!504:504,"AAAAAF87/9Y=",0)</f>
        <v>0</v>
      </c>
      <c r="HH132" t="e">
        <f>AND(Bills!B504,"AAAAAF87/9c=")</f>
        <v>#VALUE!</v>
      </c>
      <c r="HI132" t="e">
        <f>AND(Bills!#REF!,"AAAAAF87/9g=")</f>
        <v>#REF!</v>
      </c>
      <c r="HJ132" t="e">
        <f>AND(Bills!C504,"AAAAAF87/9k=")</f>
        <v>#VALUE!</v>
      </c>
      <c r="HK132" t="e">
        <f>AND(Bills!D504,"AAAAAF87/9o=")</f>
        <v>#VALUE!</v>
      </c>
      <c r="HL132" t="e">
        <f>AND(Bills!E504,"AAAAAF87/9s=")</f>
        <v>#VALUE!</v>
      </c>
      <c r="HM132" t="e">
        <f>AND(Bills!#REF!,"AAAAAF87/9w=")</f>
        <v>#REF!</v>
      </c>
      <c r="HN132" t="e">
        <f>AND(Bills!#REF!,"AAAAAF87/90=")</f>
        <v>#REF!</v>
      </c>
      <c r="HO132" t="e">
        <f>AND(Bills!#REF!,"AAAAAF87/94=")</f>
        <v>#REF!</v>
      </c>
      <c r="HP132" t="e">
        <f>AND(Bills!F504,"AAAAAF87/98=")</f>
        <v>#VALUE!</v>
      </c>
      <c r="HQ132" t="e">
        <f>AND(Bills!#REF!,"AAAAAF87/+A=")</f>
        <v>#REF!</v>
      </c>
      <c r="HR132" t="e">
        <f>AND(Bills!G504,"AAAAAF87/+E=")</f>
        <v>#VALUE!</v>
      </c>
      <c r="HS132" t="e">
        <f>AND(Bills!H504,"AAAAAF87/+I=")</f>
        <v>#VALUE!</v>
      </c>
      <c r="HT132" t="e">
        <f>AND(Bills!I504,"AAAAAF87/+M=")</f>
        <v>#VALUE!</v>
      </c>
      <c r="HU132" t="e">
        <f>AND(Bills!J504,"AAAAAF87/+Q=")</f>
        <v>#VALUE!</v>
      </c>
      <c r="HV132" t="e">
        <f>AND(Bills!K504,"AAAAAF87/+U=")</f>
        <v>#VALUE!</v>
      </c>
      <c r="HW132" t="e">
        <f>AND(Bills!L504,"AAAAAF87/+Y=")</f>
        <v>#VALUE!</v>
      </c>
      <c r="HX132" t="e">
        <f>AND(Bills!#REF!,"AAAAAF87/+c=")</f>
        <v>#REF!</v>
      </c>
      <c r="HY132" t="e">
        <f>AND(Bills!M504,"AAAAAF87/+g=")</f>
        <v>#VALUE!</v>
      </c>
      <c r="HZ132" t="e">
        <f>AND(Bills!N504,"AAAAAF87/+k=")</f>
        <v>#VALUE!</v>
      </c>
      <c r="IA132" t="e">
        <f>AND(Bills!O504,"AAAAAF87/+o=")</f>
        <v>#VALUE!</v>
      </c>
      <c r="IB132" t="e">
        <f>AND(Bills!P504,"AAAAAF87/+s=")</f>
        <v>#VALUE!</v>
      </c>
      <c r="IC132" t="e">
        <f>AND(Bills!Q504,"AAAAAF87/+w=")</f>
        <v>#VALUE!</v>
      </c>
      <c r="ID132" t="e">
        <f>AND(Bills!R504,"AAAAAF87/+0=")</f>
        <v>#VALUE!</v>
      </c>
      <c r="IE132" t="e">
        <f>AND(Bills!S504,"AAAAAF87/+4=")</f>
        <v>#VALUE!</v>
      </c>
      <c r="IF132" t="e">
        <f>AND(Bills!T504,"AAAAAF87/+8=")</f>
        <v>#VALUE!</v>
      </c>
      <c r="IG132" t="e">
        <f>AND(Bills!#REF!,"AAAAAF87//A=")</f>
        <v>#REF!</v>
      </c>
      <c r="IH132" t="e">
        <f>AND(Bills!U504,"AAAAAF87//E=")</f>
        <v>#VALUE!</v>
      </c>
      <c r="II132" t="e">
        <f>AND(Bills!V504,"AAAAAF87//I=")</f>
        <v>#VALUE!</v>
      </c>
      <c r="IJ132" t="e">
        <f>AND(Bills!W504,"AAAAAF87//M=")</f>
        <v>#VALUE!</v>
      </c>
      <c r="IK132" t="e">
        <f>AND(Bills!#REF!,"AAAAAF87//Q=")</f>
        <v>#REF!</v>
      </c>
      <c r="IL132" t="e">
        <f>AND(Bills!#REF!,"AAAAAF87//U=")</f>
        <v>#REF!</v>
      </c>
      <c r="IM132" t="e">
        <f>AND(Bills!Y504,"AAAAAF87//Y=")</f>
        <v>#VALUE!</v>
      </c>
      <c r="IN132" t="e">
        <f>AND(Bills!Z504,"AAAAAF87//c=")</f>
        <v>#VALUE!</v>
      </c>
      <c r="IO132" t="e">
        <f>AND(Bills!#REF!,"AAAAAF87//g=")</f>
        <v>#REF!</v>
      </c>
      <c r="IP132" t="e">
        <f>AND(Bills!#REF!,"AAAAAF87//k=")</f>
        <v>#REF!</v>
      </c>
      <c r="IQ132" t="e">
        <f>AND(Bills!#REF!,"AAAAAF87//o=")</f>
        <v>#REF!</v>
      </c>
      <c r="IR132" t="e">
        <f>AND(Bills!#REF!,"AAAAAF87//s=")</f>
        <v>#REF!</v>
      </c>
      <c r="IS132" t="e">
        <f>AND(Bills!#REF!,"AAAAAF87//w=")</f>
        <v>#REF!</v>
      </c>
      <c r="IT132" t="e">
        <f>AND(Bills!#REF!,"AAAAAF87//0=")</f>
        <v>#REF!</v>
      </c>
      <c r="IU132" t="e">
        <f>AND(Bills!#REF!,"AAAAAF87//4=")</f>
        <v>#REF!</v>
      </c>
      <c r="IV132" t="e">
        <f>AND(Bills!#REF!,"AAAAAF87//8=")</f>
        <v>#REF!</v>
      </c>
    </row>
    <row r="133" spans="1:256" x14ac:dyDescent="0.25">
      <c r="A133" t="e">
        <f>AND(Bills!#REF!,"AAAAAH/+3AA=")</f>
        <v>#REF!</v>
      </c>
      <c r="B133" t="e">
        <f>AND(Bills!AA504,"AAAAAH/+3AE=")</f>
        <v>#VALUE!</v>
      </c>
      <c r="C133" t="e">
        <f>AND(Bills!AB504,"AAAAAH/+3AI=")</f>
        <v>#VALUE!</v>
      </c>
      <c r="D133" t="e">
        <f>AND(Bills!#REF!,"AAAAAH/+3AM=")</f>
        <v>#REF!</v>
      </c>
      <c r="E133" t="e">
        <f>AND(Bills!#REF!,"AAAAAH/+3AQ=")</f>
        <v>#REF!</v>
      </c>
      <c r="F133" t="e">
        <f>AND(Bills!#REF!,"AAAAAH/+3AU=")</f>
        <v>#REF!</v>
      </c>
      <c r="G133" t="e">
        <f>AND(Bills!AC504,"AAAAAH/+3AY=")</f>
        <v>#VALUE!</v>
      </c>
      <c r="H133" t="e">
        <f>AND(Bills!AD504,"AAAAAH/+3Ac=")</f>
        <v>#VALUE!</v>
      </c>
      <c r="I133" t="e">
        <f>AND(Bills!AE504,"AAAAAH/+3Ag=")</f>
        <v>#VALUE!</v>
      </c>
      <c r="J133">
        <f>IF(Bills!505:505,"AAAAAH/+3Ak=",0)</f>
        <v>0</v>
      </c>
      <c r="K133" t="e">
        <f>AND(Bills!B505,"AAAAAH/+3Ao=")</f>
        <v>#VALUE!</v>
      </c>
      <c r="L133" t="e">
        <f>AND(Bills!#REF!,"AAAAAH/+3As=")</f>
        <v>#REF!</v>
      </c>
      <c r="M133" t="e">
        <f>AND(Bills!C505,"AAAAAH/+3Aw=")</f>
        <v>#VALUE!</v>
      </c>
      <c r="N133" t="e">
        <f>AND(Bills!D505,"AAAAAH/+3A0=")</f>
        <v>#VALUE!</v>
      </c>
      <c r="O133" t="e">
        <f>AND(Bills!E505,"AAAAAH/+3A4=")</f>
        <v>#VALUE!</v>
      </c>
      <c r="P133" t="e">
        <f>AND(Bills!#REF!,"AAAAAH/+3A8=")</f>
        <v>#REF!</v>
      </c>
      <c r="Q133" t="e">
        <f>AND(Bills!#REF!,"AAAAAH/+3BA=")</f>
        <v>#REF!</v>
      </c>
      <c r="R133" t="e">
        <f>AND(Bills!#REF!,"AAAAAH/+3BE=")</f>
        <v>#REF!</v>
      </c>
      <c r="S133" t="e">
        <f>AND(Bills!F505,"AAAAAH/+3BI=")</f>
        <v>#VALUE!</v>
      </c>
      <c r="T133" t="e">
        <f>AND(Bills!#REF!,"AAAAAH/+3BM=")</f>
        <v>#REF!</v>
      </c>
      <c r="U133" t="e">
        <f>AND(Bills!G505,"AAAAAH/+3BQ=")</f>
        <v>#VALUE!</v>
      </c>
      <c r="V133" t="e">
        <f>AND(Bills!H505,"AAAAAH/+3BU=")</f>
        <v>#VALUE!</v>
      </c>
      <c r="W133" t="e">
        <f>AND(Bills!I505,"AAAAAH/+3BY=")</f>
        <v>#VALUE!</v>
      </c>
      <c r="X133" t="e">
        <f>AND(Bills!J505,"AAAAAH/+3Bc=")</f>
        <v>#VALUE!</v>
      </c>
      <c r="Y133" t="e">
        <f>AND(Bills!K505,"AAAAAH/+3Bg=")</f>
        <v>#VALUE!</v>
      </c>
      <c r="Z133" t="e">
        <f>AND(Bills!L505,"AAAAAH/+3Bk=")</f>
        <v>#VALUE!</v>
      </c>
      <c r="AA133" t="e">
        <f>AND(Bills!#REF!,"AAAAAH/+3Bo=")</f>
        <v>#REF!</v>
      </c>
      <c r="AB133" t="e">
        <f>AND(Bills!M505,"AAAAAH/+3Bs=")</f>
        <v>#VALUE!</v>
      </c>
      <c r="AC133" t="e">
        <f>AND(Bills!N505,"AAAAAH/+3Bw=")</f>
        <v>#VALUE!</v>
      </c>
      <c r="AD133" t="e">
        <f>AND(Bills!O505,"AAAAAH/+3B0=")</f>
        <v>#VALUE!</v>
      </c>
      <c r="AE133" t="e">
        <f>AND(Bills!P505,"AAAAAH/+3B4=")</f>
        <v>#VALUE!</v>
      </c>
      <c r="AF133" t="e">
        <f>AND(Bills!Q505,"AAAAAH/+3B8=")</f>
        <v>#VALUE!</v>
      </c>
      <c r="AG133" t="e">
        <f>AND(Bills!R505,"AAAAAH/+3CA=")</f>
        <v>#VALUE!</v>
      </c>
      <c r="AH133" t="e">
        <f>AND(Bills!S505,"AAAAAH/+3CE=")</f>
        <v>#VALUE!</v>
      </c>
      <c r="AI133" t="e">
        <f>AND(Bills!T505,"AAAAAH/+3CI=")</f>
        <v>#VALUE!</v>
      </c>
      <c r="AJ133" t="e">
        <f>AND(Bills!#REF!,"AAAAAH/+3CM=")</f>
        <v>#REF!</v>
      </c>
      <c r="AK133" t="e">
        <f>AND(Bills!U505,"AAAAAH/+3CQ=")</f>
        <v>#VALUE!</v>
      </c>
      <c r="AL133" t="e">
        <f>AND(Bills!V505,"AAAAAH/+3CU=")</f>
        <v>#VALUE!</v>
      </c>
      <c r="AM133" t="e">
        <f>AND(Bills!W505,"AAAAAH/+3CY=")</f>
        <v>#VALUE!</v>
      </c>
      <c r="AN133" t="e">
        <f>AND(Bills!#REF!,"AAAAAH/+3Cc=")</f>
        <v>#REF!</v>
      </c>
      <c r="AO133" t="e">
        <f>AND(Bills!#REF!,"AAAAAH/+3Cg=")</f>
        <v>#REF!</v>
      </c>
      <c r="AP133" t="e">
        <f>AND(Bills!Y505,"AAAAAH/+3Ck=")</f>
        <v>#VALUE!</v>
      </c>
      <c r="AQ133" t="e">
        <f>AND(Bills!Z505,"AAAAAH/+3Co=")</f>
        <v>#VALUE!</v>
      </c>
      <c r="AR133" t="e">
        <f>AND(Bills!#REF!,"AAAAAH/+3Cs=")</f>
        <v>#REF!</v>
      </c>
      <c r="AS133" t="e">
        <f>AND(Bills!#REF!,"AAAAAH/+3Cw=")</f>
        <v>#REF!</v>
      </c>
      <c r="AT133" t="e">
        <f>AND(Bills!#REF!,"AAAAAH/+3C0=")</f>
        <v>#REF!</v>
      </c>
      <c r="AU133" t="e">
        <f>AND(Bills!#REF!,"AAAAAH/+3C4=")</f>
        <v>#REF!</v>
      </c>
      <c r="AV133" t="e">
        <f>AND(Bills!#REF!,"AAAAAH/+3C8=")</f>
        <v>#REF!</v>
      </c>
      <c r="AW133" t="e">
        <f>AND(Bills!#REF!,"AAAAAH/+3DA=")</f>
        <v>#REF!</v>
      </c>
      <c r="AX133" t="e">
        <f>AND(Bills!#REF!,"AAAAAH/+3DE=")</f>
        <v>#REF!</v>
      </c>
      <c r="AY133" t="e">
        <f>AND(Bills!#REF!,"AAAAAH/+3DI=")</f>
        <v>#REF!</v>
      </c>
      <c r="AZ133" t="e">
        <f>AND(Bills!#REF!,"AAAAAH/+3DM=")</f>
        <v>#REF!</v>
      </c>
      <c r="BA133" t="e">
        <f>AND(Bills!AA505,"AAAAAH/+3DQ=")</f>
        <v>#VALUE!</v>
      </c>
      <c r="BB133" t="e">
        <f>AND(Bills!AB505,"AAAAAH/+3DU=")</f>
        <v>#VALUE!</v>
      </c>
      <c r="BC133" t="e">
        <f>AND(Bills!#REF!,"AAAAAH/+3DY=")</f>
        <v>#REF!</v>
      </c>
      <c r="BD133" t="e">
        <f>AND(Bills!#REF!,"AAAAAH/+3Dc=")</f>
        <v>#REF!</v>
      </c>
      <c r="BE133" t="e">
        <f>AND(Bills!#REF!,"AAAAAH/+3Dg=")</f>
        <v>#REF!</v>
      </c>
      <c r="BF133" t="e">
        <f>AND(Bills!AC505,"AAAAAH/+3Dk=")</f>
        <v>#VALUE!</v>
      </c>
      <c r="BG133" t="e">
        <f>AND(Bills!AD505,"AAAAAH/+3Do=")</f>
        <v>#VALUE!</v>
      </c>
      <c r="BH133" t="e">
        <f>AND(Bills!AE505,"AAAAAH/+3Ds=")</f>
        <v>#VALUE!</v>
      </c>
      <c r="BI133">
        <f>IF(Bills!506:506,"AAAAAH/+3Dw=",0)</f>
        <v>0</v>
      </c>
      <c r="BJ133" t="e">
        <f>AND(Bills!B506,"AAAAAH/+3D0=")</f>
        <v>#VALUE!</v>
      </c>
      <c r="BK133" t="e">
        <f>AND(Bills!#REF!,"AAAAAH/+3D4=")</f>
        <v>#REF!</v>
      </c>
      <c r="BL133" t="e">
        <f>AND(Bills!C506,"AAAAAH/+3D8=")</f>
        <v>#VALUE!</v>
      </c>
      <c r="BM133" t="e">
        <f>AND(Bills!D506,"AAAAAH/+3EA=")</f>
        <v>#VALUE!</v>
      </c>
      <c r="BN133" t="e">
        <f>AND(Bills!E506,"AAAAAH/+3EE=")</f>
        <v>#VALUE!</v>
      </c>
      <c r="BO133" t="e">
        <f>AND(Bills!#REF!,"AAAAAH/+3EI=")</f>
        <v>#REF!</v>
      </c>
      <c r="BP133" t="e">
        <f>AND(Bills!#REF!,"AAAAAH/+3EM=")</f>
        <v>#REF!</v>
      </c>
      <c r="BQ133" t="e">
        <f>AND(Bills!#REF!,"AAAAAH/+3EQ=")</f>
        <v>#REF!</v>
      </c>
      <c r="BR133" t="e">
        <f>AND(Bills!F506,"AAAAAH/+3EU=")</f>
        <v>#VALUE!</v>
      </c>
      <c r="BS133" t="e">
        <f>AND(Bills!#REF!,"AAAAAH/+3EY=")</f>
        <v>#REF!</v>
      </c>
      <c r="BT133" t="e">
        <f>AND(Bills!G506,"AAAAAH/+3Ec=")</f>
        <v>#VALUE!</v>
      </c>
      <c r="BU133" t="e">
        <f>AND(Bills!H506,"AAAAAH/+3Eg=")</f>
        <v>#VALUE!</v>
      </c>
      <c r="BV133" t="e">
        <f>AND(Bills!I506,"AAAAAH/+3Ek=")</f>
        <v>#VALUE!</v>
      </c>
      <c r="BW133" t="e">
        <f>AND(Bills!J506,"AAAAAH/+3Eo=")</f>
        <v>#VALUE!</v>
      </c>
      <c r="BX133" t="e">
        <f>AND(Bills!K506,"AAAAAH/+3Es=")</f>
        <v>#VALUE!</v>
      </c>
      <c r="BY133" t="e">
        <f>AND(Bills!L506,"AAAAAH/+3Ew=")</f>
        <v>#VALUE!</v>
      </c>
      <c r="BZ133" t="e">
        <f>AND(Bills!#REF!,"AAAAAH/+3E0=")</f>
        <v>#REF!</v>
      </c>
      <c r="CA133" t="e">
        <f>AND(Bills!M506,"AAAAAH/+3E4=")</f>
        <v>#VALUE!</v>
      </c>
      <c r="CB133" t="e">
        <f>AND(Bills!N506,"AAAAAH/+3E8=")</f>
        <v>#VALUE!</v>
      </c>
      <c r="CC133" t="e">
        <f>AND(Bills!O506,"AAAAAH/+3FA=")</f>
        <v>#VALUE!</v>
      </c>
      <c r="CD133" t="e">
        <f>AND(Bills!P506,"AAAAAH/+3FE=")</f>
        <v>#VALUE!</v>
      </c>
      <c r="CE133" t="e">
        <f>AND(Bills!Q506,"AAAAAH/+3FI=")</f>
        <v>#VALUE!</v>
      </c>
      <c r="CF133" t="e">
        <f>AND(Bills!R506,"AAAAAH/+3FM=")</f>
        <v>#VALUE!</v>
      </c>
      <c r="CG133" t="e">
        <f>AND(Bills!S506,"AAAAAH/+3FQ=")</f>
        <v>#VALUE!</v>
      </c>
      <c r="CH133" t="e">
        <f>AND(Bills!T506,"AAAAAH/+3FU=")</f>
        <v>#VALUE!</v>
      </c>
      <c r="CI133" t="e">
        <f>AND(Bills!#REF!,"AAAAAH/+3FY=")</f>
        <v>#REF!</v>
      </c>
      <c r="CJ133" t="e">
        <f>AND(Bills!U506,"AAAAAH/+3Fc=")</f>
        <v>#VALUE!</v>
      </c>
      <c r="CK133" t="e">
        <f>AND(Bills!V506,"AAAAAH/+3Fg=")</f>
        <v>#VALUE!</v>
      </c>
      <c r="CL133" t="e">
        <f>AND(Bills!W506,"AAAAAH/+3Fk=")</f>
        <v>#VALUE!</v>
      </c>
      <c r="CM133" t="e">
        <f>AND(Bills!#REF!,"AAAAAH/+3Fo=")</f>
        <v>#REF!</v>
      </c>
      <c r="CN133" t="e">
        <f>AND(Bills!#REF!,"AAAAAH/+3Fs=")</f>
        <v>#REF!</v>
      </c>
      <c r="CO133" t="e">
        <f>AND(Bills!Y506,"AAAAAH/+3Fw=")</f>
        <v>#VALUE!</v>
      </c>
      <c r="CP133" t="e">
        <f>AND(Bills!Z506,"AAAAAH/+3F0=")</f>
        <v>#VALUE!</v>
      </c>
      <c r="CQ133" t="e">
        <f>AND(Bills!#REF!,"AAAAAH/+3F4=")</f>
        <v>#REF!</v>
      </c>
      <c r="CR133" t="e">
        <f>AND(Bills!#REF!,"AAAAAH/+3F8=")</f>
        <v>#REF!</v>
      </c>
      <c r="CS133" t="e">
        <f>AND(Bills!#REF!,"AAAAAH/+3GA=")</f>
        <v>#REF!</v>
      </c>
      <c r="CT133" t="e">
        <f>AND(Bills!#REF!,"AAAAAH/+3GE=")</f>
        <v>#REF!</v>
      </c>
      <c r="CU133" t="e">
        <f>AND(Bills!#REF!,"AAAAAH/+3GI=")</f>
        <v>#REF!</v>
      </c>
      <c r="CV133" t="e">
        <f>AND(Bills!#REF!,"AAAAAH/+3GM=")</f>
        <v>#REF!</v>
      </c>
      <c r="CW133" t="e">
        <f>AND(Bills!#REF!,"AAAAAH/+3GQ=")</f>
        <v>#REF!</v>
      </c>
      <c r="CX133" t="e">
        <f>AND(Bills!#REF!,"AAAAAH/+3GU=")</f>
        <v>#REF!</v>
      </c>
      <c r="CY133" t="e">
        <f>AND(Bills!#REF!,"AAAAAH/+3GY=")</f>
        <v>#REF!</v>
      </c>
      <c r="CZ133" t="e">
        <f>AND(Bills!AA506,"AAAAAH/+3Gc=")</f>
        <v>#VALUE!</v>
      </c>
      <c r="DA133" t="e">
        <f>AND(Bills!AB506,"AAAAAH/+3Gg=")</f>
        <v>#VALUE!</v>
      </c>
      <c r="DB133" t="e">
        <f>AND(Bills!#REF!,"AAAAAH/+3Gk=")</f>
        <v>#REF!</v>
      </c>
      <c r="DC133" t="e">
        <f>AND(Bills!#REF!,"AAAAAH/+3Go=")</f>
        <v>#REF!</v>
      </c>
      <c r="DD133" t="e">
        <f>AND(Bills!#REF!,"AAAAAH/+3Gs=")</f>
        <v>#REF!</v>
      </c>
      <c r="DE133" t="e">
        <f>AND(Bills!AC506,"AAAAAH/+3Gw=")</f>
        <v>#VALUE!</v>
      </c>
      <c r="DF133" t="e">
        <f>AND(Bills!AD506,"AAAAAH/+3G0=")</f>
        <v>#VALUE!</v>
      </c>
      <c r="DG133" t="e">
        <f>AND(Bills!AE506,"AAAAAH/+3G4=")</f>
        <v>#VALUE!</v>
      </c>
      <c r="DH133">
        <f>IF(Bills!507:507,"AAAAAH/+3G8=",0)</f>
        <v>0</v>
      </c>
      <c r="DI133" t="e">
        <f>AND(Bills!B507,"AAAAAH/+3HA=")</f>
        <v>#VALUE!</v>
      </c>
      <c r="DJ133" t="e">
        <f>AND(Bills!#REF!,"AAAAAH/+3HE=")</f>
        <v>#REF!</v>
      </c>
      <c r="DK133" t="e">
        <f>AND(Bills!C507,"AAAAAH/+3HI=")</f>
        <v>#VALUE!</v>
      </c>
      <c r="DL133" t="e">
        <f>AND(Bills!D507,"AAAAAH/+3HM=")</f>
        <v>#VALUE!</v>
      </c>
      <c r="DM133" t="e">
        <f>AND(Bills!E507,"AAAAAH/+3HQ=")</f>
        <v>#VALUE!</v>
      </c>
      <c r="DN133" t="e">
        <f>AND(Bills!#REF!,"AAAAAH/+3HU=")</f>
        <v>#REF!</v>
      </c>
      <c r="DO133" t="e">
        <f>AND(Bills!#REF!,"AAAAAH/+3HY=")</f>
        <v>#REF!</v>
      </c>
      <c r="DP133" t="e">
        <f>AND(Bills!#REF!,"AAAAAH/+3Hc=")</f>
        <v>#REF!</v>
      </c>
      <c r="DQ133" t="e">
        <f>AND(Bills!F507,"AAAAAH/+3Hg=")</f>
        <v>#VALUE!</v>
      </c>
      <c r="DR133" t="e">
        <f>AND(Bills!#REF!,"AAAAAH/+3Hk=")</f>
        <v>#REF!</v>
      </c>
      <c r="DS133" t="e">
        <f>AND(Bills!G507,"AAAAAH/+3Ho=")</f>
        <v>#VALUE!</v>
      </c>
      <c r="DT133" t="e">
        <f>AND(Bills!H507,"AAAAAH/+3Hs=")</f>
        <v>#VALUE!</v>
      </c>
      <c r="DU133" t="e">
        <f>AND(Bills!I507,"AAAAAH/+3Hw=")</f>
        <v>#VALUE!</v>
      </c>
      <c r="DV133" t="e">
        <f>AND(Bills!J507,"AAAAAH/+3H0=")</f>
        <v>#VALUE!</v>
      </c>
      <c r="DW133" t="e">
        <f>AND(Bills!K507,"AAAAAH/+3H4=")</f>
        <v>#VALUE!</v>
      </c>
      <c r="DX133" t="e">
        <f>AND(Bills!L507,"AAAAAH/+3H8=")</f>
        <v>#VALUE!</v>
      </c>
      <c r="DY133" t="e">
        <f>AND(Bills!#REF!,"AAAAAH/+3IA=")</f>
        <v>#REF!</v>
      </c>
      <c r="DZ133" t="e">
        <f>AND(Bills!M507,"AAAAAH/+3IE=")</f>
        <v>#VALUE!</v>
      </c>
      <c r="EA133" t="e">
        <f>AND(Bills!N507,"AAAAAH/+3II=")</f>
        <v>#VALUE!</v>
      </c>
      <c r="EB133" t="e">
        <f>AND(Bills!O507,"AAAAAH/+3IM=")</f>
        <v>#VALUE!</v>
      </c>
      <c r="EC133" t="e">
        <f>AND(Bills!P507,"AAAAAH/+3IQ=")</f>
        <v>#VALUE!</v>
      </c>
      <c r="ED133" t="e">
        <f>AND(Bills!Q507,"AAAAAH/+3IU=")</f>
        <v>#VALUE!</v>
      </c>
      <c r="EE133" t="e">
        <f>AND(Bills!R507,"AAAAAH/+3IY=")</f>
        <v>#VALUE!</v>
      </c>
      <c r="EF133" t="e">
        <f>AND(Bills!S507,"AAAAAH/+3Ic=")</f>
        <v>#VALUE!</v>
      </c>
      <c r="EG133" t="e">
        <f>AND(Bills!T507,"AAAAAH/+3Ig=")</f>
        <v>#VALUE!</v>
      </c>
      <c r="EH133" t="e">
        <f>AND(Bills!#REF!,"AAAAAH/+3Ik=")</f>
        <v>#REF!</v>
      </c>
      <c r="EI133" t="e">
        <f>AND(Bills!U507,"AAAAAH/+3Io=")</f>
        <v>#VALUE!</v>
      </c>
      <c r="EJ133" t="e">
        <f>AND(Bills!V507,"AAAAAH/+3Is=")</f>
        <v>#VALUE!</v>
      </c>
      <c r="EK133" t="e">
        <f>AND(Bills!W507,"AAAAAH/+3Iw=")</f>
        <v>#VALUE!</v>
      </c>
      <c r="EL133" t="e">
        <f>AND(Bills!#REF!,"AAAAAH/+3I0=")</f>
        <v>#REF!</v>
      </c>
      <c r="EM133" t="e">
        <f>AND(Bills!#REF!,"AAAAAH/+3I4=")</f>
        <v>#REF!</v>
      </c>
      <c r="EN133" t="e">
        <f>AND(Bills!Y507,"AAAAAH/+3I8=")</f>
        <v>#VALUE!</v>
      </c>
      <c r="EO133" t="e">
        <f>AND(Bills!Z507,"AAAAAH/+3JA=")</f>
        <v>#VALUE!</v>
      </c>
      <c r="EP133" t="e">
        <f>AND(Bills!#REF!,"AAAAAH/+3JE=")</f>
        <v>#REF!</v>
      </c>
      <c r="EQ133" t="e">
        <f>AND(Bills!#REF!,"AAAAAH/+3JI=")</f>
        <v>#REF!</v>
      </c>
      <c r="ER133" t="e">
        <f>AND(Bills!#REF!,"AAAAAH/+3JM=")</f>
        <v>#REF!</v>
      </c>
      <c r="ES133" t="e">
        <f>AND(Bills!#REF!,"AAAAAH/+3JQ=")</f>
        <v>#REF!</v>
      </c>
      <c r="ET133" t="e">
        <f>AND(Bills!#REF!,"AAAAAH/+3JU=")</f>
        <v>#REF!</v>
      </c>
      <c r="EU133" t="e">
        <f>AND(Bills!#REF!,"AAAAAH/+3JY=")</f>
        <v>#REF!</v>
      </c>
      <c r="EV133" t="e">
        <f>AND(Bills!#REF!,"AAAAAH/+3Jc=")</f>
        <v>#REF!</v>
      </c>
      <c r="EW133" t="e">
        <f>AND(Bills!#REF!,"AAAAAH/+3Jg=")</f>
        <v>#REF!</v>
      </c>
      <c r="EX133" t="e">
        <f>AND(Bills!#REF!,"AAAAAH/+3Jk=")</f>
        <v>#REF!</v>
      </c>
      <c r="EY133" t="e">
        <f>AND(Bills!AA507,"AAAAAH/+3Jo=")</f>
        <v>#VALUE!</v>
      </c>
      <c r="EZ133" t="e">
        <f>AND(Bills!AB507,"AAAAAH/+3Js=")</f>
        <v>#VALUE!</v>
      </c>
      <c r="FA133" t="e">
        <f>AND(Bills!#REF!,"AAAAAH/+3Jw=")</f>
        <v>#REF!</v>
      </c>
      <c r="FB133" t="e">
        <f>AND(Bills!#REF!,"AAAAAH/+3J0=")</f>
        <v>#REF!</v>
      </c>
      <c r="FC133" t="e">
        <f>AND(Bills!#REF!,"AAAAAH/+3J4=")</f>
        <v>#REF!</v>
      </c>
      <c r="FD133" t="e">
        <f>AND(Bills!AC507,"AAAAAH/+3J8=")</f>
        <v>#VALUE!</v>
      </c>
      <c r="FE133" t="e">
        <f>AND(Bills!AD507,"AAAAAH/+3KA=")</f>
        <v>#VALUE!</v>
      </c>
      <c r="FF133" t="e">
        <f>AND(Bills!AE507,"AAAAAH/+3KE=")</f>
        <v>#VALUE!</v>
      </c>
      <c r="FG133">
        <f>IF(Bills!508:508,"AAAAAH/+3KI=",0)</f>
        <v>0</v>
      </c>
      <c r="FH133" t="e">
        <f>AND(Bills!B508,"AAAAAH/+3KM=")</f>
        <v>#VALUE!</v>
      </c>
      <c r="FI133" t="e">
        <f>AND(Bills!#REF!,"AAAAAH/+3KQ=")</f>
        <v>#REF!</v>
      </c>
      <c r="FJ133" t="e">
        <f>AND(Bills!C508,"AAAAAH/+3KU=")</f>
        <v>#VALUE!</v>
      </c>
      <c r="FK133" t="e">
        <f>AND(Bills!D508,"AAAAAH/+3KY=")</f>
        <v>#VALUE!</v>
      </c>
      <c r="FL133" t="e">
        <f>AND(Bills!E508,"AAAAAH/+3Kc=")</f>
        <v>#VALUE!</v>
      </c>
      <c r="FM133" t="e">
        <f>AND(Bills!#REF!,"AAAAAH/+3Kg=")</f>
        <v>#REF!</v>
      </c>
      <c r="FN133" t="e">
        <f>AND(Bills!#REF!,"AAAAAH/+3Kk=")</f>
        <v>#REF!</v>
      </c>
      <c r="FO133" t="e">
        <f>AND(Bills!#REF!,"AAAAAH/+3Ko=")</f>
        <v>#REF!</v>
      </c>
      <c r="FP133" t="e">
        <f>AND(Bills!F508,"AAAAAH/+3Ks=")</f>
        <v>#VALUE!</v>
      </c>
      <c r="FQ133" t="e">
        <f>AND(Bills!#REF!,"AAAAAH/+3Kw=")</f>
        <v>#REF!</v>
      </c>
      <c r="FR133" t="e">
        <f>AND(Bills!G508,"AAAAAH/+3K0=")</f>
        <v>#VALUE!</v>
      </c>
      <c r="FS133" t="e">
        <f>AND(Bills!H508,"AAAAAH/+3K4=")</f>
        <v>#VALUE!</v>
      </c>
      <c r="FT133" t="e">
        <f>AND(Bills!I508,"AAAAAH/+3K8=")</f>
        <v>#VALUE!</v>
      </c>
      <c r="FU133" t="e">
        <f>AND(Bills!J508,"AAAAAH/+3LA=")</f>
        <v>#VALUE!</v>
      </c>
      <c r="FV133" t="e">
        <f>AND(Bills!K508,"AAAAAH/+3LE=")</f>
        <v>#VALUE!</v>
      </c>
      <c r="FW133" t="e">
        <f>AND(Bills!L508,"AAAAAH/+3LI=")</f>
        <v>#VALUE!</v>
      </c>
      <c r="FX133" t="e">
        <f>AND(Bills!#REF!,"AAAAAH/+3LM=")</f>
        <v>#REF!</v>
      </c>
      <c r="FY133" t="e">
        <f>AND(Bills!M508,"AAAAAH/+3LQ=")</f>
        <v>#VALUE!</v>
      </c>
      <c r="FZ133" t="e">
        <f>AND(Bills!N508,"AAAAAH/+3LU=")</f>
        <v>#VALUE!</v>
      </c>
      <c r="GA133" t="e">
        <f>AND(Bills!O508,"AAAAAH/+3LY=")</f>
        <v>#VALUE!</v>
      </c>
      <c r="GB133" t="e">
        <f>AND(Bills!P508,"AAAAAH/+3Lc=")</f>
        <v>#VALUE!</v>
      </c>
      <c r="GC133" t="e">
        <f>AND(Bills!Q508,"AAAAAH/+3Lg=")</f>
        <v>#VALUE!</v>
      </c>
      <c r="GD133" t="e">
        <f>AND(Bills!R508,"AAAAAH/+3Lk=")</f>
        <v>#VALUE!</v>
      </c>
      <c r="GE133" t="e">
        <f>AND(Bills!S508,"AAAAAH/+3Lo=")</f>
        <v>#VALUE!</v>
      </c>
      <c r="GF133" t="e">
        <f>AND(Bills!T508,"AAAAAH/+3Ls=")</f>
        <v>#VALUE!</v>
      </c>
      <c r="GG133" t="e">
        <f>AND(Bills!#REF!,"AAAAAH/+3Lw=")</f>
        <v>#REF!</v>
      </c>
      <c r="GH133" t="e">
        <f>AND(Bills!U508,"AAAAAH/+3L0=")</f>
        <v>#VALUE!</v>
      </c>
      <c r="GI133" t="e">
        <f>AND(Bills!V508,"AAAAAH/+3L4=")</f>
        <v>#VALUE!</v>
      </c>
      <c r="GJ133" t="e">
        <f>AND(Bills!W508,"AAAAAH/+3L8=")</f>
        <v>#VALUE!</v>
      </c>
      <c r="GK133" t="e">
        <f>AND(Bills!#REF!,"AAAAAH/+3MA=")</f>
        <v>#REF!</v>
      </c>
      <c r="GL133" t="e">
        <f>AND(Bills!#REF!,"AAAAAH/+3ME=")</f>
        <v>#REF!</v>
      </c>
      <c r="GM133" t="e">
        <f>AND(Bills!Y508,"AAAAAH/+3MI=")</f>
        <v>#VALUE!</v>
      </c>
      <c r="GN133" t="e">
        <f>AND(Bills!Z508,"AAAAAH/+3MM=")</f>
        <v>#VALUE!</v>
      </c>
      <c r="GO133" t="e">
        <f>AND(Bills!#REF!,"AAAAAH/+3MQ=")</f>
        <v>#REF!</v>
      </c>
      <c r="GP133" t="e">
        <f>AND(Bills!#REF!,"AAAAAH/+3MU=")</f>
        <v>#REF!</v>
      </c>
      <c r="GQ133" t="e">
        <f>AND(Bills!#REF!,"AAAAAH/+3MY=")</f>
        <v>#REF!</v>
      </c>
      <c r="GR133" t="e">
        <f>AND(Bills!#REF!,"AAAAAH/+3Mc=")</f>
        <v>#REF!</v>
      </c>
      <c r="GS133" t="e">
        <f>AND(Bills!#REF!,"AAAAAH/+3Mg=")</f>
        <v>#REF!</v>
      </c>
      <c r="GT133" t="e">
        <f>AND(Bills!#REF!,"AAAAAH/+3Mk=")</f>
        <v>#REF!</v>
      </c>
      <c r="GU133" t="e">
        <f>AND(Bills!#REF!,"AAAAAH/+3Mo=")</f>
        <v>#REF!</v>
      </c>
      <c r="GV133" t="e">
        <f>AND(Bills!#REF!,"AAAAAH/+3Ms=")</f>
        <v>#REF!</v>
      </c>
      <c r="GW133" t="e">
        <f>AND(Bills!#REF!,"AAAAAH/+3Mw=")</f>
        <v>#REF!</v>
      </c>
      <c r="GX133" t="e">
        <f>AND(Bills!AA508,"AAAAAH/+3M0=")</f>
        <v>#VALUE!</v>
      </c>
      <c r="GY133" t="e">
        <f>AND(Bills!AB508,"AAAAAH/+3M4=")</f>
        <v>#VALUE!</v>
      </c>
      <c r="GZ133" t="e">
        <f>AND(Bills!#REF!,"AAAAAH/+3M8=")</f>
        <v>#REF!</v>
      </c>
      <c r="HA133" t="e">
        <f>AND(Bills!#REF!,"AAAAAH/+3NA=")</f>
        <v>#REF!</v>
      </c>
      <c r="HB133" t="e">
        <f>AND(Bills!#REF!,"AAAAAH/+3NE=")</f>
        <v>#REF!</v>
      </c>
      <c r="HC133" t="e">
        <f>AND(Bills!AC508,"AAAAAH/+3NI=")</f>
        <v>#VALUE!</v>
      </c>
      <c r="HD133" t="e">
        <f>AND(Bills!AD508,"AAAAAH/+3NM=")</f>
        <v>#VALUE!</v>
      </c>
      <c r="HE133" t="e">
        <f>AND(Bills!AE508,"AAAAAH/+3NQ=")</f>
        <v>#VALUE!</v>
      </c>
      <c r="HF133">
        <f>IF(Bills!509:509,"AAAAAH/+3NU=",0)</f>
        <v>0</v>
      </c>
      <c r="HG133" t="e">
        <f>AND(Bills!B509,"AAAAAH/+3NY=")</f>
        <v>#VALUE!</v>
      </c>
      <c r="HH133" t="e">
        <f>AND(Bills!#REF!,"AAAAAH/+3Nc=")</f>
        <v>#REF!</v>
      </c>
      <c r="HI133" t="e">
        <f>AND(Bills!C509,"AAAAAH/+3Ng=")</f>
        <v>#VALUE!</v>
      </c>
      <c r="HJ133" t="e">
        <f>AND(Bills!D509,"AAAAAH/+3Nk=")</f>
        <v>#VALUE!</v>
      </c>
      <c r="HK133" t="e">
        <f>AND(Bills!E509,"AAAAAH/+3No=")</f>
        <v>#VALUE!</v>
      </c>
      <c r="HL133" t="e">
        <f>AND(Bills!#REF!,"AAAAAH/+3Ns=")</f>
        <v>#REF!</v>
      </c>
      <c r="HM133" t="e">
        <f>AND(Bills!#REF!,"AAAAAH/+3Nw=")</f>
        <v>#REF!</v>
      </c>
      <c r="HN133" t="e">
        <f>AND(Bills!#REF!,"AAAAAH/+3N0=")</f>
        <v>#REF!</v>
      </c>
      <c r="HO133" t="e">
        <f>AND(Bills!F509,"AAAAAH/+3N4=")</f>
        <v>#VALUE!</v>
      </c>
      <c r="HP133" t="e">
        <f>AND(Bills!#REF!,"AAAAAH/+3N8=")</f>
        <v>#REF!</v>
      </c>
      <c r="HQ133" t="e">
        <f>AND(Bills!G509,"AAAAAH/+3OA=")</f>
        <v>#VALUE!</v>
      </c>
      <c r="HR133" t="e">
        <f>AND(Bills!H509,"AAAAAH/+3OE=")</f>
        <v>#VALUE!</v>
      </c>
      <c r="HS133" t="e">
        <f>AND(Bills!I509,"AAAAAH/+3OI=")</f>
        <v>#VALUE!</v>
      </c>
      <c r="HT133" t="e">
        <f>AND(Bills!J509,"AAAAAH/+3OM=")</f>
        <v>#VALUE!</v>
      </c>
      <c r="HU133" t="e">
        <f>AND(Bills!K509,"AAAAAH/+3OQ=")</f>
        <v>#VALUE!</v>
      </c>
      <c r="HV133" t="e">
        <f>AND(Bills!L509,"AAAAAH/+3OU=")</f>
        <v>#VALUE!</v>
      </c>
      <c r="HW133" t="e">
        <f>AND(Bills!#REF!,"AAAAAH/+3OY=")</f>
        <v>#REF!</v>
      </c>
      <c r="HX133" t="e">
        <f>AND(Bills!M509,"AAAAAH/+3Oc=")</f>
        <v>#VALUE!</v>
      </c>
      <c r="HY133" t="e">
        <f>AND(Bills!N509,"AAAAAH/+3Og=")</f>
        <v>#VALUE!</v>
      </c>
      <c r="HZ133" t="e">
        <f>AND(Bills!O509,"AAAAAH/+3Ok=")</f>
        <v>#VALUE!</v>
      </c>
      <c r="IA133" t="e">
        <f>AND(Bills!P509,"AAAAAH/+3Oo=")</f>
        <v>#VALUE!</v>
      </c>
      <c r="IB133" t="e">
        <f>AND(Bills!Q509,"AAAAAH/+3Os=")</f>
        <v>#VALUE!</v>
      </c>
      <c r="IC133" t="e">
        <f>AND(Bills!R509,"AAAAAH/+3Ow=")</f>
        <v>#VALUE!</v>
      </c>
      <c r="ID133" t="e">
        <f>AND(Bills!S509,"AAAAAH/+3O0=")</f>
        <v>#VALUE!</v>
      </c>
      <c r="IE133" t="e">
        <f>AND(Bills!T509,"AAAAAH/+3O4=")</f>
        <v>#VALUE!</v>
      </c>
      <c r="IF133" t="e">
        <f>AND(Bills!#REF!,"AAAAAH/+3O8=")</f>
        <v>#REF!</v>
      </c>
      <c r="IG133" t="e">
        <f>AND(Bills!U509,"AAAAAH/+3PA=")</f>
        <v>#VALUE!</v>
      </c>
      <c r="IH133" t="e">
        <f>AND(Bills!V509,"AAAAAH/+3PE=")</f>
        <v>#VALUE!</v>
      </c>
      <c r="II133" t="e">
        <f>AND(Bills!W509,"AAAAAH/+3PI=")</f>
        <v>#VALUE!</v>
      </c>
      <c r="IJ133" t="e">
        <f>AND(Bills!#REF!,"AAAAAH/+3PM=")</f>
        <v>#REF!</v>
      </c>
      <c r="IK133" t="e">
        <f>AND(Bills!#REF!,"AAAAAH/+3PQ=")</f>
        <v>#REF!</v>
      </c>
      <c r="IL133" t="e">
        <f>AND(Bills!Y509,"AAAAAH/+3PU=")</f>
        <v>#VALUE!</v>
      </c>
      <c r="IM133" t="e">
        <f>AND(Bills!Z509,"AAAAAH/+3PY=")</f>
        <v>#VALUE!</v>
      </c>
      <c r="IN133" t="e">
        <f>AND(Bills!#REF!,"AAAAAH/+3Pc=")</f>
        <v>#REF!</v>
      </c>
      <c r="IO133" t="e">
        <f>AND(Bills!#REF!,"AAAAAH/+3Pg=")</f>
        <v>#REF!</v>
      </c>
      <c r="IP133" t="e">
        <f>AND(Bills!#REF!,"AAAAAH/+3Pk=")</f>
        <v>#REF!</v>
      </c>
      <c r="IQ133" t="e">
        <f>AND(Bills!#REF!,"AAAAAH/+3Po=")</f>
        <v>#REF!</v>
      </c>
      <c r="IR133" t="e">
        <f>AND(Bills!#REF!,"AAAAAH/+3Ps=")</f>
        <v>#REF!</v>
      </c>
      <c r="IS133" t="e">
        <f>AND(Bills!#REF!,"AAAAAH/+3Pw=")</f>
        <v>#REF!</v>
      </c>
      <c r="IT133" t="e">
        <f>AND(Bills!#REF!,"AAAAAH/+3P0=")</f>
        <v>#REF!</v>
      </c>
      <c r="IU133" t="e">
        <f>AND(Bills!#REF!,"AAAAAH/+3P4=")</f>
        <v>#REF!</v>
      </c>
      <c r="IV133" t="e">
        <f>AND(Bills!#REF!,"AAAAAH/+3P8=")</f>
        <v>#REF!</v>
      </c>
    </row>
    <row r="134" spans="1:256" x14ac:dyDescent="0.25">
      <c r="A134" t="e">
        <f>AND(Bills!AA509,"AAAAADk9uwA=")</f>
        <v>#VALUE!</v>
      </c>
      <c r="B134" t="e">
        <f>AND(Bills!AB509,"AAAAADk9uwE=")</f>
        <v>#VALUE!</v>
      </c>
      <c r="C134" t="e">
        <f>AND(Bills!#REF!,"AAAAADk9uwI=")</f>
        <v>#REF!</v>
      </c>
      <c r="D134" t="e">
        <f>AND(Bills!#REF!,"AAAAADk9uwM=")</f>
        <v>#REF!</v>
      </c>
      <c r="E134" t="e">
        <f>AND(Bills!#REF!,"AAAAADk9uwQ=")</f>
        <v>#REF!</v>
      </c>
      <c r="F134" t="e">
        <f>AND(Bills!AC509,"AAAAADk9uwU=")</f>
        <v>#VALUE!</v>
      </c>
      <c r="G134" t="e">
        <f>AND(Bills!AD509,"AAAAADk9uwY=")</f>
        <v>#VALUE!</v>
      </c>
      <c r="H134" t="e">
        <f>AND(Bills!AE509,"AAAAADk9uwc=")</f>
        <v>#VALUE!</v>
      </c>
      <c r="I134">
        <f>IF(Bills!510:510,"AAAAADk9uwg=",0)</f>
        <v>0</v>
      </c>
      <c r="J134" t="e">
        <f>AND(Bills!B510,"AAAAADk9uwk=")</f>
        <v>#VALUE!</v>
      </c>
      <c r="K134" t="e">
        <f>AND(Bills!#REF!,"AAAAADk9uwo=")</f>
        <v>#REF!</v>
      </c>
      <c r="L134" t="e">
        <f>AND(Bills!C510,"AAAAADk9uws=")</f>
        <v>#VALUE!</v>
      </c>
      <c r="M134" t="e">
        <f>AND(Bills!D510,"AAAAADk9uww=")</f>
        <v>#VALUE!</v>
      </c>
      <c r="N134" t="e">
        <f>AND(Bills!E510,"AAAAADk9uw0=")</f>
        <v>#VALUE!</v>
      </c>
      <c r="O134" t="e">
        <f>AND(Bills!#REF!,"AAAAADk9uw4=")</f>
        <v>#REF!</v>
      </c>
      <c r="P134" t="e">
        <f>AND(Bills!#REF!,"AAAAADk9uw8=")</f>
        <v>#REF!</v>
      </c>
      <c r="Q134" t="e">
        <f>AND(Bills!#REF!,"AAAAADk9uxA=")</f>
        <v>#REF!</v>
      </c>
      <c r="R134" t="e">
        <f>AND(Bills!F510,"AAAAADk9uxE=")</f>
        <v>#VALUE!</v>
      </c>
      <c r="S134" t="e">
        <f>AND(Bills!#REF!,"AAAAADk9uxI=")</f>
        <v>#REF!</v>
      </c>
      <c r="T134" t="e">
        <f>AND(Bills!G510,"AAAAADk9uxM=")</f>
        <v>#VALUE!</v>
      </c>
      <c r="U134" t="e">
        <f>AND(Bills!H510,"AAAAADk9uxQ=")</f>
        <v>#VALUE!</v>
      </c>
      <c r="V134" t="e">
        <f>AND(Bills!I510,"AAAAADk9uxU=")</f>
        <v>#VALUE!</v>
      </c>
      <c r="W134" t="e">
        <f>AND(Bills!J510,"AAAAADk9uxY=")</f>
        <v>#VALUE!</v>
      </c>
      <c r="X134" t="e">
        <f>AND(Bills!K510,"AAAAADk9uxc=")</f>
        <v>#VALUE!</v>
      </c>
      <c r="Y134" t="e">
        <f>AND(Bills!L510,"AAAAADk9uxg=")</f>
        <v>#VALUE!</v>
      </c>
      <c r="Z134" t="e">
        <f>AND(Bills!#REF!,"AAAAADk9uxk=")</f>
        <v>#REF!</v>
      </c>
      <c r="AA134" t="e">
        <f>AND(Bills!M510,"AAAAADk9uxo=")</f>
        <v>#VALUE!</v>
      </c>
      <c r="AB134" t="e">
        <f>AND(Bills!N510,"AAAAADk9uxs=")</f>
        <v>#VALUE!</v>
      </c>
      <c r="AC134" t="e">
        <f>AND(Bills!O510,"AAAAADk9uxw=")</f>
        <v>#VALUE!</v>
      </c>
      <c r="AD134" t="e">
        <f>AND(Bills!P510,"AAAAADk9ux0=")</f>
        <v>#VALUE!</v>
      </c>
      <c r="AE134" t="e">
        <f>AND(Bills!Q510,"AAAAADk9ux4=")</f>
        <v>#VALUE!</v>
      </c>
      <c r="AF134" t="e">
        <f>AND(Bills!R510,"AAAAADk9ux8=")</f>
        <v>#VALUE!</v>
      </c>
      <c r="AG134" t="e">
        <f>AND(Bills!S510,"AAAAADk9uyA=")</f>
        <v>#VALUE!</v>
      </c>
      <c r="AH134" t="e">
        <f>AND(Bills!T510,"AAAAADk9uyE=")</f>
        <v>#VALUE!</v>
      </c>
      <c r="AI134" t="e">
        <f>AND(Bills!#REF!,"AAAAADk9uyI=")</f>
        <v>#REF!</v>
      </c>
      <c r="AJ134" t="e">
        <f>AND(Bills!U510,"AAAAADk9uyM=")</f>
        <v>#VALUE!</v>
      </c>
      <c r="AK134" t="e">
        <f>AND(Bills!V510,"AAAAADk9uyQ=")</f>
        <v>#VALUE!</v>
      </c>
      <c r="AL134" t="e">
        <f>AND(Bills!W510,"AAAAADk9uyU=")</f>
        <v>#VALUE!</v>
      </c>
      <c r="AM134" t="e">
        <f>AND(Bills!#REF!,"AAAAADk9uyY=")</f>
        <v>#REF!</v>
      </c>
      <c r="AN134" t="e">
        <f>AND(Bills!#REF!,"AAAAADk9uyc=")</f>
        <v>#REF!</v>
      </c>
      <c r="AO134" t="e">
        <f>AND(Bills!Y510,"AAAAADk9uyg=")</f>
        <v>#VALUE!</v>
      </c>
      <c r="AP134" t="e">
        <f>AND(Bills!Z510,"AAAAADk9uyk=")</f>
        <v>#VALUE!</v>
      </c>
      <c r="AQ134" t="e">
        <f>AND(Bills!#REF!,"AAAAADk9uyo=")</f>
        <v>#REF!</v>
      </c>
      <c r="AR134" t="e">
        <f>AND(Bills!#REF!,"AAAAADk9uys=")</f>
        <v>#REF!</v>
      </c>
      <c r="AS134" t="e">
        <f>AND(Bills!#REF!,"AAAAADk9uyw=")</f>
        <v>#REF!</v>
      </c>
      <c r="AT134" t="e">
        <f>AND(Bills!#REF!,"AAAAADk9uy0=")</f>
        <v>#REF!</v>
      </c>
      <c r="AU134" t="e">
        <f>AND(Bills!#REF!,"AAAAADk9uy4=")</f>
        <v>#REF!</v>
      </c>
      <c r="AV134" t="e">
        <f>AND(Bills!#REF!,"AAAAADk9uy8=")</f>
        <v>#REF!</v>
      </c>
      <c r="AW134" t="e">
        <f>AND(Bills!#REF!,"AAAAADk9uzA=")</f>
        <v>#REF!</v>
      </c>
      <c r="AX134" t="e">
        <f>AND(Bills!#REF!,"AAAAADk9uzE=")</f>
        <v>#REF!</v>
      </c>
      <c r="AY134" t="e">
        <f>AND(Bills!#REF!,"AAAAADk9uzI=")</f>
        <v>#REF!</v>
      </c>
      <c r="AZ134" t="e">
        <f>AND(Bills!AA510,"AAAAADk9uzM=")</f>
        <v>#VALUE!</v>
      </c>
      <c r="BA134" t="e">
        <f>AND(Bills!AB510,"AAAAADk9uzQ=")</f>
        <v>#VALUE!</v>
      </c>
      <c r="BB134" t="e">
        <f>AND(Bills!#REF!,"AAAAADk9uzU=")</f>
        <v>#REF!</v>
      </c>
      <c r="BC134" t="e">
        <f>AND(Bills!#REF!,"AAAAADk9uzY=")</f>
        <v>#REF!</v>
      </c>
      <c r="BD134" t="e">
        <f>AND(Bills!#REF!,"AAAAADk9uzc=")</f>
        <v>#REF!</v>
      </c>
      <c r="BE134" t="e">
        <f>AND(Bills!AC510,"AAAAADk9uzg=")</f>
        <v>#VALUE!</v>
      </c>
      <c r="BF134" t="e">
        <f>AND(Bills!AD510,"AAAAADk9uzk=")</f>
        <v>#VALUE!</v>
      </c>
      <c r="BG134" t="e">
        <f>AND(Bills!AE510,"AAAAADk9uzo=")</f>
        <v>#VALUE!</v>
      </c>
      <c r="BH134">
        <f>IF(Bills!511:511,"AAAAADk9uzs=",0)</f>
        <v>0</v>
      </c>
      <c r="BI134" t="e">
        <f>AND(Bills!B511,"AAAAADk9uzw=")</f>
        <v>#VALUE!</v>
      </c>
      <c r="BJ134" t="e">
        <f>AND(Bills!#REF!,"AAAAADk9uz0=")</f>
        <v>#REF!</v>
      </c>
      <c r="BK134" t="e">
        <f>AND(Bills!C511,"AAAAADk9uz4=")</f>
        <v>#VALUE!</v>
      </c>
      <c r="BL134" t="e">
        <f>AND(Bills!D511,"AAAAADk9uz8=")</f>
        <v>#VALUE!</v>
      </c>
      <c r="BM134" t="e">
        <f>AND(Bills!E511,"AAAAADk9u0A=")</f>
        <v>#VALUE!</v>
      </c>
      <c r="BN134" t="e">
        <f>AND(Bills!#REF!,"AAAAADk9u0E=")</f>
        <v>#REF!</v>
      </c>
      <c r="BO134" t="e">
        <f>AND(Bills!#REF!,"AAAAADk9u0I=")</f>
        <v>#REF!</v>
      </c>
      <c r="BP134" t="e">
        <f>AND(Bills!#REF!,"AAAAADk9u0M=")</f>
        <v>#REF!</v>
      </c>
      <c r="BQ134" t="e">
        <f>AND(Bills!F511,"AAAAADk9u0Q=")</f>
        <v>#VALUE!</v>
      </c>
      <c r="BR134" t="e">
        <f>AND(Bills!#REF!,"AAAAADk9u0U=")</f>
        <v>#REF!</v>
      </c>
      <c r="BS134" t="e">
        <f>AND(Bills!G511,"AAAAADk9u0Y=")</f>
        <v>#VALUE!</v>
      </c>
      <c r="BT134" t="e">
        <f>AND(Bills!H511,"AAAAADk9u0c=")</f>
        <v>#VALUE!</v>
      </c>
      <c r="BU134" t="e">
        <f>AND(Bills!I511,"AAAAADk9u0g=")</f>
        <v>#VALUE!</v>
      </c>
      <c r="BV134" t="e">
        <f>AND(Bills!J511,"AAAAADk9u0k=")</f>
        <v>#VALUE!</v>
      </c>
      <c r="BW134" t="e">
        <f>AND(Bills!K511,"AAAAADk9u0o=")</f>
        <v>#VALUE!</v>
      </c>
      <c r="BX134" t="e">
        <f>AND(Bills!L511,"AAAAADk9u0s=")</f>
        <v>#VALUE!</v>
      </c>
      <c r="BY134" t="e">
        <f>AND(Bills!#REF!,"AAAAADk9u0w=")</f>
        <v>#REF!</v>
      </c>
      <c r="BZ134" t="e">
        <f>AND(Bills!M511,"AAAAADk9u00=")</f>
        <v>#VALUE!</v>
      </c>
      <c r="CA134" t="e">
        <f>AND(Bills!N511,"AAAAADk9u04=")</f>
        <v>#VALUE!</v>
      </c>
      <c r="CB134" t="e">
        <f>AND(Bills!O511,"AAAAADk9u08=")</f>
        <v>#VALUE!</v>
      </c>
      <c r="CC134" t="e">
        <f>AND(Bills!P511,"AAAAADk9u1A=")</f>
        <v>#VALUE!</v>
      </c>
      <c r="CD134" t="e">
        <f>AND(Bills!Q511,"AAAAADk9u1E=")</f>
        <v>#VALUE!</v>
      </c>
      <c r="CE134" t="e">
        <f>AND(Bills!R511,"AAAAADk9u1I=")</f>
        <v>#VALUE!</v>
      </c>
      <c r="CF134" t="e">
        <f>AND(Bills!S511,"AAAAADk9u1M=")</f>
        <v>#VALUE!</v>
      </c>
      <c r="CG134" t="e">
        <f>AND(Bills!T511,"AAAAADk9u1Q=")</f>
        <v>#VALUE!</v>
      </c>
      <c r="CH134" t="e">
        <f>AND(Bills!#REF!,"AAAAADk9u1U=")</f>
        <v>#REF!</v>
      </c>
      <c r="CI134" t="e">
        <f>AND(Bills!U511,"AAAAADk9u1Y=")</f>
        <v>#VALUE!</v>
      </c>
      <c r="CJ134" t="e">
        <f>AND(Bills!V511,"AAAAADk9u1c=")</f>
        <v>#VALUE!</v>
      </c>
      <c r="CK134" t="e">
        <f>AND(Bills!W511,"AAAAADk9u1g=")</f>
        <v>#VALUE!</v>
      </c>
      <c r="CL134" t="e">
        <f>AND(Bills!#REF!,"AAAAADk9u1k=")</f>
        <v>#REF!</v>
      </c>
      <c r="CM134" t="e">
        <f>AND(Bills!#REF!,"AAAAADk9u1o=")</f>
        <v>#REF!</v>
      </c>
      <c r="CN134" t="e">
        <f>AND(Bills!Y511,"AAAAADk9u1s=")</f>
        <v>#VALUE!</v>
      </c>
      <c r="CO134" t="e">
        <f>AND(Bills!Z511,"AAAAADk9u1w=")</f>
        <v>#VALUE!</v>
      </c>
      <c r="CP134" t="e">
        <f>AND(Bills!#REF!,"AAAAADk9u10=")</f>
        <v>#REF!</v>
      </c>
      <c r="CQ134" t="e">
        <f>AND(Bills!#REF!,"AAAAADk9u14=")</f>
        <v>#REF!</v>
      </c>
      <c r="CR134" t="e">
        <f>AND(Bills!#REF!,"AAAAADk9u18=")</f>
        <v>#REF!</v>
      </c>
      <c r="CS134" t="e">
        <f>AND(Bills!#REF!,"AAAAADk9u2A=")</f>
        <v>#REF!</v>
      </c>
      <c r="CT134" t="e">
        <f>AND(Bills!#REF!,"AAAAADk9u2E=")</f>
        <v>#REF!</v>
      </c>
      <c r="CU134" t="e">
        <f>AND(Bills!#REF!,"AAAAADk9u2I=")</f>
        <v>#REF!</v>
      </c>
      <c r="CV134" t="e">
        <f>AND(Bills!#REF!,"AAAAADk9u2M=")</f>
        <v>#REF!</v>
      </c>
      <c r="CW134" t="e">
        <f>AND(Bills!#REF!,"AAAAADk9u2Q=")</f>
        <v>#REF!</v>
      </c>
      <c r="CX134" t="e">
        <f>AND(Bills!#REF!,"AAAAADk9u2U=")</f>
        <v>#REF!</v>
      </c>
      <c r="CY134" t="e">
        <f>AND(Bills!AA511,"AAAAADk9u2Y=")</f>
        <v>#VALUE!</v>
      </c>
      <c r="CZ134" t="e">
        <f>AND(Bills!AB511,"AAAAADk9u2c=")</f>
        <v>#VALUE!</v>
      </c>
      <c r="DA134" t="e">
        <f>AND(Bills!#REF!,"AAAAADk9u2g=")</f>
        <v>#REF!</v>
      </c>
      <c r="DB134" t="e">
        <f>AND(Bills!#REF!,"AAAAADk9u2k=")</f>
        <v>#REF!</v>
      </c>
      <c r="DC134" t="e">
        <f>AND(Bills!#REF!,"AAAAADk9u2o=")</f>
        <v>#REF!</v>
      </c>
      <c r="DD134" t="e">
        <f>AND(Bills!AC511,"AAAAADk9u2s=")</f>
        <v>#VALUE!</v>
      </c>
      <c r="DE134" t="e">
        <f>AND(Bills!AD511,"AAAAADk9u2w=")</f>
        <v>#VALUE!</v>
      </c>
      <c r="DF134" t="e">
        <f>AND(Bills!AE511,"AAAAADk9u20=")</f>
        <v>#VALUE!</v>
      </c>
      <c r="DG134">
        <f>IF(Bills!512:512,"AAAAADk9u24=",0)</f>
        <v>0</v>
      </c>
      <c r="DH134" t="e">
        <f>AND(Bills!B512,"AAAAADk9u28=")</f>
        <v>#VALUE!</v>
      </c>
      <c r="DI134" t="e">
        <f>AND(Bills!#REF!,"AAAAADk9u3A=")</f>
        <v>#REF!</v>
      </c>
      <c r="DJ134" t="e">
        <f>AND(Bills!C512,"AAAAADk9u3E=")</f>
        <v>#VALUE!</v>
      </c>
      <c r="DK134" t="e">
        <f>AND(Bills!D512,"AAAAADk9u3I=")</f>
        <v>#VALUE!</v>
      </c>
      <c r="DL134" t="e">
        <f>AND(Bills!E512,"AAAAADk9u3M=")</f>
        <v>#VALUE!</v>
      </c>
      <c r="DM134" t="e">
        <f>AND(Bills!#REF!,"AAAAADk9u3Q=")</f>
        <v>#REF!</v>
      </c>
      <c r="DN134" t="e">
        <f>AND(Bills!#REF!,"AAAAADk9u3U=")</f>
        <v>#REF!</v>
      </c>
      <c r="DO134" t="e">
        <f>AND(Bills!#REF!,"AAAAADk9u3Y=")</f>
        <v>#REF!</v>
      </c>
      <c r="DP134" t="e">
        <f>AND(Bills!F512,"AAAAADk9u3c=")</f>
        <v>#VALUE!</v>
      </c>
      <c r="DQ134" t="e">
        <f>AND(Bills!#REF!,"AAAAADk9u3g=")</f>
        <v>#REF!</v>
      </c>
      <c r="DR134" t="e">
        <f>AND(Bills!G512,"AAAAADk9u3k=")</f>
        <v>#VALUE!</v>
      </c>
      <c r="DS134" t="e">
        <f>AND(Bills!H512,"AAAAADk9u3o=")</f>
        <v>#VALUE!</v>
      </c>
      <c r="DT134" t="e">
        <f>AND(Bills!I512,"AAAAADk9u3s=")</f>
        <v>#VALUE!</v>
      </c>
      <c r="DU134" t="e">
        <f>AND(Bills!J512,"AAAAADk9u3w=")</f>
        <v>#VALUE!</v>
      </c>
      <c r="DV134" t="e">
        <f>AND(Bills!K512,"AAAAADk9u30=")</f>
        <v>#VALUE!</v>
      </c>
      <c r="DW134" t="e">
        <f>AND(Bills!L512,"AAAAADk9u34=")</f>
        <v>#VALUE!</v>
      </c>
      <c r="DX134" t="e">
        <f>AND(Bills!#REF!,"AAAAADk9u38=")</f>
        <v>#REF!</v>
      </c>
      <c r="DY134" t="e">
        <f>AND(Bills!M512,"AAAAADk9u4A=")</f>
        <v>#VALUE!</v>
      </c>
      <c r="DZ134" t="e">
        <f>AND(Bills!N512,"AAAAADk9u4E=")</f>
        <v>#VALUE!</v>
      </c>
      <c r="EA134" t="e">
        <f>AND(Bills!O512,"AAAAADk9u4I=")</f>
        <v>#VALUE!</v>
      </c>
      <c r="EB134" t="e">
        <f>AND(Bills!P512,"AAAAADk9u4M=")</f>
        <v>#VALUE!</v>
      </c>
      <c r="EC134" t="e">
        <f>AND(Bills!Q512,"AAAAADk9u4Q=")</f>
        <v>#VALUE!</v>
      </c>
      <c r="ED134" t="e">
        <f>AND(Bills!R512,"AAAAADk9u4U=")</f>
        <v>#VALUE!</v>
      </c>
      <c r="EE134" t="e">
        <f>AND(Bills!S512,"AAAAADk9u4Y=")</f>
        <v>#VALUE!</v>
      </c>
      <c r="EF134" t="e">
        <f>AND(Bills!T512,"AAAAADk9u4c=")</f>
        <v>#VALUE!</v>
      </c>
      <c r="EG134" t="e">
        <f>AND(Bills!#REF!,"AAAAADk9u4g=")</f>
        <v>#REF!</v>
      </c>
      <c r="EH134" t="e">
        <f>AND(Bills!U512,"AAAAADk9u4k=")</f>
        <v>#VALUE!</v>
      </c>
      <c r="EI134" t="e">
        <f>AND(Bills!V512,"AAAAADk9u4o=")</f>
        <v>#VALUE!</v>
      </c>
      <c r="EJ134" t="e">
        <f>AND(Bills!W512,"AAAAADk9u4s=")</f>
        <v>#VALUE!</v>
      </c>
      <c r="EK134" t="e">
        <f>AND(Bills!#REF!,"AAAAADk9u4w=")</f>
        <v>#REF!</v>
      </c>
      <c r="EL134" t="e">
        <f>AND(Bills!#REF!,"AAAAADk9u40=")</f>
        <v>#REF!</v>
      </c>
      <c r="EM134" t="e">
        <f>AND(Bills!Y512,"AAAAADk9u44=")</f>
        <v>#VALUE!</v>
      </c>
      <c r="EN134" t="e">
        <f>AND(Bills!Z512,"AAAAADk9u48=")</f>
        <v>#VALUE!</v>
      </c>
      <c r="EO134" t="e">
        <f>AND(Bills!#REF!,"AAAAADk9u5A=")</f>
        <v>#REF!</v>
      </c>
      <c r="EP134" t="e">
        <f>AND(Bills!#REF!,"AAAAADk9u5E=")</f>
        <v>#REF!</v>
      </c>
      <c r="EQ134" t="e">
        <f>AND(Bills!#REF!,"AAAAADk9u5I=")</f>
        <v>#REF!</v>
      </c>
      <c r="ER134" t="e">
        <f>AND(Bills!#REF!,"AAAAADk9u5M=")</f>
        <v>#REF!</v>
      </c>
      <c r="ES134" t="e">
        <f>AND(Bills!#REF!,"AAAAADk9u5Q=")</f>
        <v>#REF!</v>
      </c>
      <c r="ET134" t="e">
        <f>AND(Bills!#REF!,"AAAAADk9u5U=")</f>
        <v>#REF!</v>
      </c>
      <c r="EU134" t="e">
        <f>AND(Bills!#REF!,"AAAAADk9u5Y=")</f>
        <v>#REF!</v>
      </c>
      <c r="EV134" t="e">
        <f>AND(Bills!#REF!,"AAAAADk9u5c=")</f>
        <v>#REF!</v>
      </c>
      <c r="EW134" t="e">
        <f>AND(Bills!#REF!,"AAAAADk9u5g=")</f>
        <v>#REF!</v>
      </c>
      <c r="EX134" t="e">
        <f>AND(Bills!AA512,"AAAAADk9u5k=")</f>
        <v>#VALUE!</v>
      </c>
      <c r="EY134" t="e">
        <f>AND(Bills!AB512,"AAAAADk9u5o=")</f>
        <v>#VALUE!</v>
      </c>
      <c r="EZ134" t="e">
        <f>AND(Bills!#REF!,"AAAAADk9u5s=")</f>
        <v>#REF!</v>
      </c>
      <c r="FA134" t="e">
        <f>AND(Bills!#REF!,"AAAAADk9u5w=")</f>
        <v>#REF!</v>
      </c>
      <c r="FB134" t="e">
        <f>AND(Bills!#REF!,"AAAAADk9u50=")</f>
        <v>#REF!</v>
      </c>
      <c r="FC134" t="e">
        <f>AND(Bills!AC512,"AAAAADk9u54=")</f>
        <v>#VALUE!</v>
      </c>
      <c r="FD134" t="e">
        <f>AND(Bills!AD512,"AAAAADk9u58=")</f>
        <v>#VALUE!</v>
      </c>
      <c r="FE134" t="e">
        <f>AND(Bills!AE512,"AAAAADk9u6A=")</f>
        <v>#VALUE!</v>
      </c>
      <c r="FF134">
        <f>IF(Bills!513:513,"AAAAADk9u6E=",0)</f>
        <v>0</v>
      </c>
      <c r="FG134" t="e">
        <f>AND(Bills!B513,"AAAAADk9u6I=")</f>
        <v>#VALUE!</v>
      </c>
      <c r="FH134" t="e">
        <f>AND(Bills!#REF!,"AAAAADk9u6M=")</f>
        <v>#REF!</v>
      </c>
      <c r="FI134" t="e">
        <f>AND(Bills!C513,"AAAAADk9u6Q=")</f>
        <v>#VALUE!</v>
      </c>
      <c r="FJ134" t="e">
        <f>AND(Bills!D513,"AAAAADk9u6U=")</f>
        <v>#VALUE!</v>
      </c>
      <c r="FK134" t="e">
        <f>AND(Bills!E513,"AAAAADk9u6Y=")</f>
        <v>#VALUE!</v>
      </c>
      <c r="FL134" t="e">
        <f>AND(Bills!#REF!,"AAAAADk9u6c=")</f>
        <v>#REF!</v>
      </c>
      <c r="FM134" t="e">
        <f>AND(Bills!#REF!,"AAAAADk9u6g=")</f>
        <v>#REF!</v>
      </c>
      <c r="FN134" t="e">
        <f>AND(Bills!#REF!,"AAAAADk9u6k=")</f>
        <v>#REF!</v>
      </c>
      <c r="FO134" t="e">
        <f>AND(Bills!F513,"AAAAADk9u6o=")</f>
        <v>#VALUE!</v>
      </c>
      <c r="FP134" t="e">
        <f>AND(Bills!#REF!,"AAAAADk9u6s=")</f>
        <v>#REF!</v>
      </c>
      <c r="FQ134" t="e">
        <f>AND(Bills!G513,"AAAAADk9u6w=")</f>
        <v>#VALUE!</v>
      </c>
      <c r="FR134" t="e">
        <f>AND(Bills!H513,"AAAAADk9u60=")</f>
        <v>#VALUE!</v>
      </c>
      <c r="FS134" t="e">
        <f>AND(Bills!I513,"AAAAADk9u64=")</f>
        <v>#VALUE!</v>
      </c>
      <c r="FT134" t="e">
        <f>AND(Bills!J513,"AAAAADk9u68=")</f>
        <v>#VALUE!</v>
      </c>
      <c r="FU134" t="e">
        <f>AND(Bills!K513,"AAAAADk9u7A=")</f>
        <v>#VALUE!</v>
      </c>
      <c r="FV134" t="e">
        <f>AND(Bills!L513,"AAAAADk9u7E=")</f>
        <v>#VALUE!</v>
      </c>
      <c r="FW134" t="e">
        <f>AND(Bills!#REF!,"AAAAADk9u7I=")</f>
        <v>#REF!</v>
      </c>
      <c r="FX134" t="e">
        <f>AND(Bills!M513,"AAAAADk9u7M=")</f>
        <v>#VALUE!</v>
      </c>
      <c r="FY134" t="e">
        <f>AND(Bills!N513,"AAAAADk9u7Q=")</f>
        <v>#VALUE!</v>
      </c>
      <c r="FZ134" t="e">
        <f>AND(Bills!O513,"AAAAADk9u7U=")</f>
        <v>#VALUE!</v>
      </c>
      <c r="GA134" t="e">
        <f>AND(Bills!P513,"AAAAADk9u7Y=")</f>
        <v>#VALUE!</v>
      </c>
      <c r="GB134" t="e">
        <f>AND(Bills!Q513,"AAAAADk9u7c=")</f>
        <v>#VALUE!</v>
      </c>
      <c r="GC134" t="e">
        <f>AND(Bills!R513,"AAAAADk9u7g=")</f>
        <v>#VALUE!</v>
      </c>
      <c r="GD134" t="e">
        <f>AND(Bills!S513,"AAAAADk9u7k=")</f>
        <v>#VALUE!</v>
      </c>
      <c r="GE134" t="e">
        <f>AND(Bills!T513,"AAAAADk9u7o=")</f>
        <v>#VALUE!</v>
      </c>
      <c r="GF134" t="e">
        <f>AND(Bills!#REF!,"AAAAADk9u7s=")</f>
        <v>#REF!</v>
      </c>
      <c r="GG134" t="e">
        <f>AND(Bills!U513,"AAAAADk9u7w=")</f>
        <v>#VALUE!</v>
      </c>
      <c r="GH134" t="e">
        <f>AND(Bills!V513,"AAAAADk9u70=")</f>
        <v>#VALUE!</v>
      </c>
      <c r="GI134" t="e">
        <f>AND(Bills!W513,"AAAAADk9u74=")</f>
        <v>#VALUE!</v>
      </c>
      <c r="GJ134" t="e">
        <f>AND(Bills!#REF!,"AAAAADk9u78=")</f>
        <v>#REF!</v>
      </c>
      <c r="GK134" t="e">
        <f>AND(Bills!#REF!,"AAAAADk9u8A=")</f>
        <v>#REF!</v>
      </c>
      <c r="GL134" t="e">
        <f>AND(Bills!Y513,"AAAAADk9u8E=")</f>
        <v>#VALUE!</v>
      </c>
      <c r="GM134" t="e">
        <f>AND(Bills!Z513,"AAAAADk9u8I=")</f>
        <v>#VALUE!</v>
      </c>
      <c r="GN134" t="e">
        <f>AND(Bills!#REF!,"AAAAADk9u8M=")</f>
        <v>#REF!</v>
      </c>
      <c r="GO134" t="e">
        <f>AND(Bills!#REF!,"AAAAADk9u8Q=")</f>
        <v>#REF!</v>
      </c>
      <c r="GP134" t="e">
        <f>AND(Bills!#REF!,"AAAAADk9u8U=")</f>
        <v>#REF!</v>
      </c>
      <c r="GQ134" t="e">
        <f>AND(Bills!#REF!,"AAAAADk9u8Y=")</f>
        <v>#REF!</v>
      </c>
      <c r="GR134" t="e">
        <f>AND(Bills!#REF!,"AAAAADk9u8c=")</f>
        <v>#REF!</v>
      </c>
      <c r="GS134" t="e">
        <f>AND(Bills!#REF!,"AAAAADk9u8g=")</f>
        <v>#REF!</v>
      </c>
      <c r="GT134" t="e">
        <f>AND(Bills!#REF!,"AAAAADk9u8k=")</f>
        <v>#REF!</v>
      </c>
      <c r="GU134" t="e">
        <f>AND(Bills!#REF!,"AAAAADk9u8o=")</f>
        <v>#REF!</v>
      </c>
      <c r="GV134" t="e">
        <f>AND(Bills!#REF!,"AAAAADk9u8s=")</f>
        <v>#REF!</v>
      </c>
      <c r="GW134" t="e">
        <f>AND(Bills!AA513,"AAAAADk9u8w=")</f>
        <v>#VALUE!</v>
      </c>
      <c r="GX134" t="e">
        <f>AND(Bills!AB513,"AAAAADk9u80=")</f>
        <v>#VALUE!</v>
      </c>
      <c r="GY134" t="e">
        <f>AND(Bills!#REF!,"AAAAADk9u84=")</f>
        <v>#REF!</v>
      </c>
      <c r="GZ134" t="e">
        <f>AND(Bills!#REF!,"AAAAADk9u88=")</f>
        <v>#REF!</v>
      </c>
      <c r="HA134" t="e">
        <f>AND(Bills!#REF!,"AAAAADk9u9A=")</f>
        <v>#REF!</v>
      </c>
      <c r="HB134" t="e">
        <f>AND(Bills!AC513,"AAAAADk9u9E=")</f>
        <v>#VALUE!</v>
      </c>
      <c r="HC134" t="e">
        <f>AND(Bills!AD513,"AAAAADk9u9I=")</f>
        <v>#VALUE!</v>
      </c>
      <c r="HD134" t="e">
        <f>AND(Bills!AE513,"AAAAADk9u9M=")</f>
        <v>#VALUE!</v>
      </c>
      <c r="HE134">
        <f>IF(Bills!514:514,"AAAAADk9u9Q=",0)</f>
        <v>0</v>
      </c>
      <c r="HF134" t="e">
        <f>AND(Bills!B514,"AAAAADk9u9U=")</f>
        <v>#VALUE!</v>
      </c>
      <c r="HG134" t="e">
        <f>AND(Bills!#REF!,"AAAAADk9u9Y=")</f>
        <v>#REF!</v>
      </c>
      <c r="HH134" t="e">
        <f>AND(Bills!C514,"AAAAADk9u9c=")</f>
        <v>#VALUE!</v>
      </c>
      <c r="HI134" t="e">
        <f>AND(Bills!D514,"AAAAADk9u9g=")</f>
        <v>#VALUE!</v>
      </c>
      <c r="HJ134" t="e">
        <f>AND(Bills!E514,"AAAAADk9u9k=")</f>
        <v>#VALUE!</v>
      </c>
      <c r="HK134" t="e">
        <f>AND(Bills!#REF!,"AAAAADk9u9o=")</f>
        <v>#REF!</v>
      </c>
      <c r="HL134" t="e">
        <f>AND(Bills!#REF!,"AAAAADk9u9s=")</f>
        <v>#REF!</v>
      </c>
      <c r="HM134" t="e">
        <f>AND(Bills!#REF!,"AAAAADk9u9w=")</f>
        <v>#REF!</v>
      </c>
      <c r="HN134" t="e">
        <f>AND(Bills!F514,"AAAAADk9u90=")</f>
        <v>#VALUE!</v>
      </c>
      <c r="HO134" t="e">
        <f>AND(Bills!#REF!,"AAAAADk9u94=")</f>
        <v>#REF!</v>
      </c>
      <c r="HP134" t="e">
        <f>AND(Bills!G514,"AAAAADk9u98=")</f>
        <v>#VALUE!</v>
      </c>
      <c r="HQ134" t="e">
        <f>AND(Bills!H514,"AAAAADk9u+A=")</f>
        <v>#VALUE!</v>
      </c>
      <c r="HR134" t="e">
        <f>AND(Bills!I514,"AAAAADk9u+E=")</f>
        <v>#VALUE!</v>
      </c>
      <c r="HS134" t="e">
        <f>AND(Bills!J514,"AAAAADk9u+I=")</f>
        <v>#VALUE!</v>
      </c>
      <c r="HT134" t="e">
        <f>AND(Bills!K514,"AAAAADk9u+M=")</f>
        <v>#VALUE!</v>
      </c>
      <c r="HU134" t="e">
        <f>AND(Bills!L514,"AAAAADk9u+Q=")</f>
        <v>#VALUE!</v>
      </c>
      <c r="HV134" t="e">
        <f>AND(Bills!#REF!,"AAAAADk9u+U=")</f>
        <v>#REF!</v>
      </c>
      <c r="HW134" t="e">
        <f>AND(Bills!M514,"AAAAADk9u+Y=")</f>
        <v>#VALUE!</v>
      </c>
      <c r="HX134" t="e">
        <f>AND(Bills!N514,"AAAAADk9u+c=")</f>
        <v>#VALUE!</v>
      </c>
      <c r="HY134" t="e">
        <f>AND(Bills!O514,"AAAAADk9u+g=")</f>
        <v>#VALUE!</v>
      </c>
      <c r="HZ134" t="e">
        <f>AND(Bills!P514,"AAAAADk9u+k=")</f>
        <v>#VALUE!</v>
      </c>
      <c r="IA134" t="e">
        <f>AND(Bills!Q514,"AAAAADk9u+o=")</f>
        <v>#VALUE!</v>
      </c>
      <c r="IB134" t="e">
        <f>AND(Bills!R514,"AAAAADk9u+s=")</f>
        <v>#VALUE!</v>
      </c>
      <c r="IC134" t="e">
        <f>AND(Bills!S514,"AAAAADk9u+w=")</f>
        <v>#VALUE!</v>
      </c>
      <c r="ID134" t="e">
        <f>AND(Bills!T514,"AAAAADk9u+0=")</f>
        <v>#VALUE!</v>
      </c>
      <c r="IE134" t="e">
        <f>AND(Bills!#REF!,"AAAAADk9u+4=")</f>
        <v>#REF!</v>
      </c>
      <c r="IF134" t="e">
        <f>AND(Bills!U514,"AAAAADk9u+8=")</f>
        <v>#VALUE!</v>
      </c>
      <c r="IG134" t="e">
        <f>AND(Bills!V514,"AAAAADk9u/A=")</f>
        <v>#VALUE!</v>
      </c>
      <c r="IH134" t="e">
        <f>AND(Bills!W514,"AAAAADk9u/E=")</f>
        <v>#VALUE!</v>
      </c>
      <c r="II134" t="e">
        <f>AND(Bills!#REF!,"AAAAADk9u/I=")</f>
        <v>#REF!</v>
      </c>
      <c r="IJ134" t="e">
        <f>AND(Bills!#REF!,"AAAAADk9u/M=")</f>
        <v>#REF!</v>
      </c>
      <c r="IK134" t="e">
        <f>AND(Bills!Y514,"AAAAADk9u/Q=")</f>
        <v>#VALUE!</v>
      </c>
      <c r="IL134" t="e">
        <f>AND(Bills!Z514,"AAAAADk9u/U=")</f>
        <v>#VALUE!</v>
      </c>
      <c r="IM134" t="e">
        <f>AND(Bills!#REF!,"AAAAADk9u/Y=")</f>
        <v>#REF!</v>
      </c>
      <c r="IN134" t="e">
        <f>AND(Bills!#REF!,"AAAAADk9u/c=")</f>
        <v>#REF!</v>
      </c>
      <c r="IO134" t="e">
        <f>AND(Bills!#REF!,"AAAAADk9u/g=")</f>
        <v>#REF!</v>
      </c>
      <c r="IP134" t="e">
        <f>AND(Bills!#REF!,"AAAAADk9u/k=")</f>
        <v>#REF!</v>
      </c>
      <c r="IQ134" t="e">
        <f>AND(Bills!#REF!,"AAAAADk9u/o=")</f>
        <v>#REF!</v>
      </c>
      <c r="IR134" t="e">
        <f>AND(Bills!#REF!,"AAAAADk9u/s=")</f>
        <v>#REF!</v>
      </c>
      <c r="IS134" t="e">
        <f>AND(Bills!#REF!,"AAAAADk9u/w=")</f>
        <v>#REF!</v>
      </c>
      <c r="IT134" t="e">
        <f>AND(Bills!#REF!,"AAAAADk9u/0=")</f>
        <v>#REF!</v>
      </c>
      <c r="IU134" t="e">
        <f>AND(Bills!#REF!,"AAAAADk9u/4=")</f>
        <v>#REF!</v>
      </c>
      <c r="IV134" t="e">
        <f>AND(Bills!AA514,"AAAAADk9u/8=")</f>
        <v>#VALUE!</v>
      </c>
    </row>
    <row r="135" spans="1:256" x14ac:dyDescent="0.25">
      <c r="A135" t="e">
        <f>AND(Bills!AB514,"AAAAAH/c9wA=")</f>
        <v>#VALUE!</v>
      </c>
      <c r="B135" t="e">
        <f>AND(Bills!#REF!,"AAAAAH/c9wE=")</f>
        <v>#REF!</v>
      </c>
      <c r="C135" t="e">
        <f>AND(Bills!#REF!,"AAAAAH/c9wI=")</f>
        <v>#REF!</v>
      </c>
      <c r="D135" t="e">
        <f>AND(Bills!#REF!,"AAAAAH/c9wM=")</f>
        <v>#REF!</v>
      </c>
      <c r="E135" t="e">
        <f>AND(Bills!AC514,"AAAAAH/c9wQ=")</f>
        <v>#VALUE!</v>
      </c>
      <c r="F135" t="e">
        <f>AND(Bills!AD514,"AAAAAH/c9wU=")</f>
        <v>#VALUE!</v>
      </c>
      <c r="G135" t="e">
        <f>AND(Bills!AE514,"AAAAAH/c9wY=")</f>
        <v>#VALUE!</v>
      </c>
      <c r="H135">
        <f>IF(Bills!515:515,"AAAAAH/c9wc=",0)</f>
        <v>0</v>
      </c>
      <c r="I135" t="e">
        <f>AND(Bills!B515,"AAAAAH/c9wg=")</f>
        <v>#VALUE!</v>
      </c>
      <c r="J135" t="e">
        <f>AND(Bills!#REF!,"AAAAAH/c9wk=")</f>
        <v>#REF!</v>
      </c>
      <c r="K135" t="e">
        <f>AND(Bills!C515,"AAAAAH/c9wo=")</f>
        <v>#VALUE!</v>
      </c>
      <c r="L135" t="e">
        <f>AND(Bills!D515,"AAAAAH/c9ws=")</f>
        <v>#VALUE!</v>
      </c>
      <c r="M135" t="e">
        <f>AND(Bills!E515,"AAAAAH/c9ww=")</f>
        <v>#VALUE!</v>
      </c>
      <c r="N135" t="e">
        <f>AND(Bills!#REF!,"AAAAAH/c9w0=")</f>
        <v>#REF!</v>
      </c>
      <c r="O135" t="e">
        <f>AND(Bills!#REF!,"AAAAAH/c9w4=")</f>
        <v>#REF!</v>
      </c>
      <c r="P135" t="e">
        <f>AND(Bills!#REF!,"AAAAAH/c9w8=")</f>
        <v>#REF!</v>
      </c>
      <c r="Q135" t="e">
        <f>AND(Bills!F515,"AAAAAH/c9xA=")</f>
        <v>#VALUE!</v>
      </c>
      <c r="R135" t="e">
        <f>AND(Bills!#REF!,"AAAAAH/c9xE=")</f>
        <v>#REF!</v>
      </c>
      <c r="S135" t="e">
        <f>AND(Bills!G515,"AAAAAH/c9xI=")</f>
        <v>#VALUE!</v>
      </c>
      <c r="T135" t="e">
        <f>AND(Bills!H515,"AAAAAH/c9xM=")</f>
        <v>#VALUE!</v>
      </c>
      <c r="U135" t="e">
        <f>AND(Bills!I515,"AAAAAH/c9xQ=")</f>
        <v>#VALUE!</v>
      </c>
      <c r="V135" t="e">
        <f>AND(Bills!J515,"AAAAAH/c9xU=")</f>
        <v>#VALUE!</v>
      </c>
      <c r="W135" t="e">
        <f>AND(Bills!K515,"AAAAAH/c9xY=")</f>
        <v>#VALUE!</v>
      </c>
      <c r="X135" t="e">
        <f>AND(Bills!L515,"AAAAAH/c9xc=")</f>
        <v>#VALUE!</v>
      </c>
      <c r="Y135" t="e">
        <f>AND(Bills!#REF!,"AAAAAH/c9xg=")</f>
        <v>#REF!</v>
      </c>
      <c r="Z135" t="e">
        <f>AND(Bills!M515,"AAAAAH/c9xk=")</f>
        <v>#VALUE!</v>
      </c>
      <c r="AA135" t="e">
        <f>AND(Bills!N515,"AAAAAH/c9xo=")</f>
        <v>#VALUE!</v>
      </c>
      <c r="AB135" t="e">
        <f>AND(Bills!O515,"AAAAAH/c9xs=")</f>
        <v>#VALUE!</v>
      </c>
      <c r="AC135" t="e">
        <f>AND(Bills!P515,"AAAAAH/c9xw=")</f>
        <v>#VALUE!</v>
      </c>
      <c r="AD135" t="e">
        <f>AND(Bills!Q515,"AAAAAH/c9x0=")</f>
        <v>#VALUE!</v>
      </c>
      <c r="AE135" t="e">
        <f>AND(Bills!R515,"AAAAAH/c9x4=")</f>
        <v>#VALUE!</v>
      </c>
      <c r="AF135" t="e">
        <f>AND(Bills!S515,"AAAAAH/c9x8=")</f>
        <v>#VALUE!</v>
      </c>
      <c r="AG135" t="e">
        <f>AND(Bills!T515,"AAAAAH/c9yA=")</f>
        <v>#VALUE!</v>
      </c>
      <c r="AH135" t="e">
        <f>AND(Bills!#REF!,"AAAAAH/c9yE=")</f>
        <v>#REF!</v>
      </c>
      <c r="AI135" t="e">
        <f>AND(Bills!U515,"AAAAAH/c9yI=")</f>
        <v>#VALUE!</v>
      </c>
      <c r="AJ135" t="e">
        <f>AND(Bills!V515,"AAAAAH/c9yM=")</f>
        <v>#VALUE!</v>
      </c>
      <c r="AK135" t="e">
        <f>AND(Bills!W515,"AAAAAH/c9yQ=")</f>
        <v>#VALUE!</v>
      </c>
      <c r="AL135" t="e">
        <f>AND(Bills!#REF!,"AAAAAH/c9yU=")</f>
        <v>#REF!</v>
      </c>
      <c r="AM135" t="e">
        <f>AND(Bills!#REF!,"AAAAAH/c9yY=")</f>
        <v>#REF!</v>
      </c>
      <c r="AN135" t="e">
        <f>AND(Bills!Y515,"AAAAAH/c9yc=")</f>
        <v>#VALUE!</v>
      </c>
      <c r="AO135" t="e">
        <f>AND(Bills!Z515,"AAAAAH/c9yg=")</f>
        <v>#VALUE!</v>
      </c>
      <c r="AP135" t="e">
        <f>AND(Bills!#REF!,"AAAAAH/c9yk=")</f>
        <v>#REF!</v>
      </c>
      <c r="AQ135" t="e">
        <f>AND(Bills!#REF!,"AAAAAH/c9yo=")</f>
        <v>#REF!</v>
      </c>
      <c r="AR135" t="e">
        <f>AND(Bills!#REF!,"AAAAAH/c9ys=")</f>
        <v>#REF!</v>
      </c>
      <c r="AS135" t="e">
        <f>AND(Bills!#REF!,"AAAAAH/c9yw=")</f>
        <v>#REF!</v>
      </c>
      <c r="AT135" t="e">
        <f>AND(Bills!#REF!,"AAAAAH/c9y0=")</f>
        <v>#REF!</v>
      </c>
      <c r="AU135" t="e">
        <f>AND(Bills!#REF!,"AAAAAH/c9y4=")</f>
        <v>#REF!</v>
      </c>
      <c r="AV135" t="e">
        <f>AND(Bills!#REF!,"AAAAAH/c9y8=")</f>
        <v>#REF!</v>
      </c>
      <c r="AW135" t="e">
        <f>AND(Bills!#REF!,"AAAAAH/c9zA=")</f>
        <v>#REF!</v>
      </c>
      <c r="AX135" t="e">
        <f>AND(Bills!#REF!,"AAAAAH/c9zE=")</f>
        <v>#REF!</v>
      </c>
      <c r="AY135" t="e">
        <f>AND(Bills!AA515,"AAAAAH/c9zI=")</f>
        <v>#VALUE!</v>
      </c>
      <c r="AZ135" t="e">
        <f>AND(Bills!AB515,"AAAAAH/c9zM=")</f>
        <v>#VALUE!</v>
      </c>
      <c r="BA135" t="e">
        <f>AND(Bills!#REF!,"AAAAAH/c9zQ=")</f>
        <v>#REF!</v>
      </c>
      <c r="BB135" t="e">
        <f>AND(Bills!#REF!,"AAAAAH/c9zU=")</f>
        <v>#REF!</v>
      </c>
      <c r="BC135" t="e">
        <f>AND(Bills!#REF!,"AAAAAH/c9zY=")</f>
        <v>#REF!</v>
      </c>
      <c r="BD135" t="e">
        <f>AND(Bills!AC515,"AAAAAH/c9zc=")</f>
        <v>#VALUE!</v>
      </c>
      <c r="BE135" t="e">
        <f>AND(Bills!AD515,"AAAAAH/c9zg=")</f>
        <v>#VALUE!</v>
      </c>
      <c r="BF135" t="e">
        <f>AND(Bills!AE515,"AAAAAH/c9zk=")</f>
        <v>#VALUE!</v>
      </c>
      <c r="BG135">
        <f>IF(Bills!516:516,"AAAAAH/c9zo=",0)</f>
        <v>0</v>
      </c>
      <c r="BH135" t="e">
        <f>AND(Bills!B516,"AAAAAH/c9zs=")</f>
        <v>#VALUE!</v>
      </c>
      <c r="BI135" t="e">
        <f>AND(Bills!#REF!,"AAAAAH/c9zw=")</f>
        <v>#REF!</v>
      </c>
      <c r="BJ135" t="e">
        <f>AND(Bills!C516,"AAAAAH/c9z0=")</f>
        <v>#VALUE!</v>
      </c>
      <c r="BK135" t="e">
        <f>AND(Bills!D516,"AAAAAH/c9z4=")</f>
        <v>#VALUE!</v>
      </c>
      <c r="BL135" t="e">
        <f>AND(Bills!E516,"AAAAAH/c9z8=")</f>
        <v>#VALUE!</v>
      </c>
      <c r="BM135" t="e">
        <f>AND(Bills!#REF!,"AAAAAH/c90A=")</f>
        <v>#REF!</v>
      </c>
      <c r="BN135" t="e">
        <f>AND(Bills!#REF!,"AAAAAH/c90E=")</f>
        <v>#REF!</v>
      </c>
      <c r="BO135" t="e">
        <f>AND(Bills!#REF!,"AAAAAH/c90I=")</f>
        <v>#REF!</v>
      </c>
      <c r="BP135" t="e">
        <f>AND(Bills!F516,"AAAAAH/c90M=")</f>
        <v>#VALUE!</v>
      </c>
      <c r="BQ135" t="e">
        <f>AND(Bills!#REF!,"AAAAAH/c90Q=")</f>
        <v>#REF!</v>
      </c>
      <c r="BR135" t="e">
        <f>AND(Bills!G516,"AAAAAH/c90U=")</f>
        <v>#VALUE!</v>
      </c>
      <c r="BS135" t="e">
        <f>AND(Bills!H516,"AAAAAH/c90Y=")</f>
        <v>#VALUE!</v>
      </c>
      <c r="BT135" t="e">
        <f>AND(Bills!I516,"AAAAAH/c90c=")</f>
        <v>#VALUE!</v>
      </c>
      <c r="BU135" t="e">
        <f>AND(Bills!J516,"AAAAAH/c90g=")</f>
        <v>#VALUE!</v>
      </c>
      <c r="BV135" t="e">
        <f>AND(Bills!K516,"AAAAAH/c90k=")</f>
        <v>#VALUE!</v>
      </c>
      <c r="BW135" t="e">
        <f>AND(Bills!L516,"AAAAAH/c90o=")</f>
        <v>#VALUE!</v>
      </c>
      <c r="BX135" t="e">
        <f>AND(Bills!#REF!,"AAAAAH/c90s=")</f>
        <v>#REF!</v>
      </c>
      <c r="BY135" t="e">
        <f>AND(Bills!M516,"AAAAAH/c90w=")</f>
        <v>#VALUE!</v>
      </c>
      <c r="BZ135" t="e">
        <f>AND(Bills!N516,"AAAAAH/c900=")</f>
        <v>#VALUE!</v>
      </c>
      <c r="CA135" t="e">
        <f>AND(Bills!O516,"AAAAAH/c904=")</f>
        <v>#VALUE!</v>
      </c>
      <c r="CB135" t="e">
        <f>AND(Bills!P516,"AAAAAH/c908=")</f>
        <v>#VALUE!</v>
      </c>
      <c r="CC135" t="e">
        <f>AND(Bills!Q516,"AAAAAH/c91A=")</f>
        <v>#VALUE!</v>
      </c>
      <c r="CD135" t="e">
        <f>AND(Bills!R516,"AAAAAH/c91E=")</f>
        <v>#VALUE!</v>
      </c>
      <c r="CE135" t="e">
        <f>AND(Bills!S516,"AAAAAH/c91I=")</f>
        <v>#VALUE!</v>
      </c>
      <c r="CF135" t="e">
        <f>AND(Bills!T516,"AAAAAH/c91M=")</f>
        <v>#VALUE!</v>
      </c>
      <c r="CG135" t="e">
        <f>AND(Bills!#REF!,"AAAAAH/c91Q=")</f>
        <v>#REF!</v>
      </c>
      <c r="CH135" t="e">
        <f>AND(Bills!U516,"AAAAAH/c91U=")</f>
        <v>#VALUE!</v>
      </c>
      <c r="CI135" t="e">
        <f>AND(Bills!V516,"AAAAAH/c91Y=")</f>
        <v>#VALUE!</v>
      </c>
      <c r="CJ135" t="e">
        <f>AND(Bills!W516,"AAAAAH/c91c=")</f>
        <v>#VALUE!</v>
      </c>
      <c r="CK135" t="e">
        <f>AND(Bills!#REF!,"AAAAAH/c91g=")</f>
        <v>#REF!</v>
      </c>
      <c r="CL135" t="e">
        <f>AND(Bills!#REF!,"AAAAAH/c91k=")</f>
        <v>#REF!</v>
      </c>
      <c r="CM135" t="e">
        <f>AND(Bills!Y516,"AAAAAH/c91o=")</f>
        <v>#VALUE!</v>
      </c>
      <c r="CN135" t="e">
        <f>AND(Bills!Z516,"AAAAAH/c91s=")</f>
        <v>#VALUE!</v>
      </c>
      <c r="CO135" t="e">
        <f>AND(Bills!#REF!,"AAAAAH/c91w=")</f>
        <v>#REF!</v>
      </c>
      <c r="CP135" t="e">
        <f>AND(Bills!#REF!,"AAAAAH/c910=")</f>
        <v>#REF!</v>
      </c>
      <c r="CQ135" t="e">
        <f>AND(Bills!#REF!,"AAAAAH/c914=")</f>
        <v>#REF!</v>
      </c>
      <c r="CR135" t="e">
        <f>AND(Bills!#REF!,"AAAAAH/c918=")</f>
        <v>#REF!</v>
      </c>
      <c r="CS135" t="e">
        <f>AND(Bills!#REF!,"AAAAAH/c92A=")</f>
        <v>#REF!</v>
      </c>
      <c r="CT135" t="e">
        <f>AND(Bills!#REF!,"AAAAAH/c92E=")</f>
        <v>#REF!</v>
      </c>
      <c r="CU135" t="e">
        <f>AND(Bills!#REF!,"AAAAAH/c92I=")</f>
        <v>#REF!</v>
      </c>
      <c r="CV135" t="e">
        <f>AND(Bills!#REF!,"AAAAAH/c92M=")</f>
        <v>#REF!</v>
      </c>
      <c r="CW135" t="e">
        <f>AND(Bills!#REF!,"AAAAAH/c92Q=")</f>
        <v>#REF!</v>
      </c>
      <c r="CX135" t="e">
        <f>AND(Bills!AA516,"AAAAAH/c92U=")</f>
        <v>#VALUE!</v>
      </c>
      <c r="CY135" t="e">
        <f>AND(Bills!AB516,"AAAAAH/c92Y=")</f>
        <v>#VALUE!</v>
      </c>
      <c r="CZ135" t="e">
        <f>AND(Bills!#REF!,"AAAAAH/c92c=")</f>
        <v>#REF!</v>
      </c>
      <c r="DA135" t="e">
        <f>AND(Bills!#REF!,"AAAAAH/c92g=")</f>
        <v>#REF!</v>
      </c>
      <c r="DB135" t="e">
        <f>AND(Bills!#REF!,"AAAAAH/c92k=")</f>
        <v>#REF!</v>
      </c>
      <c r="DC135" t="e">
        <f>AND(Bills!AC516,"AAAAAH/c92o=")</f>
        <v>#VALUE!</v>
      </c>
      <c r="DD135" t="e">
        <f>AND(Bills!AD516,"AAAAAH/c92s=")</f>
        <v>#VALUE!</v>
      </c>
      <c r="DE135" t="e">
        <f>AND(Bills!AE516,"AAAAAH/c92w=")</f>
        <v>#VALUE!</v>
      </c>
      <c r="DF135">
        <f>IF(Bills!517:517,"AAAAAH/c920=",0)</f>
        <v>0</v>
      </c>
      <c r="DG135" t="e">
        <f>AND(Bills!B517,"AAAAAH/c924=")</f>
        <v>#VALUE!</v>
      </c>
      <c r="DH135" t="e">
        <f>AND(Bills!#REF!,"AAAAAH/c928=")</f>
        <v>#REF!</v>
      </c>
      <c r="DI135" t="e">
        <f>AND(Bills!C517,"AAAAAH/c93A=")</f>
        <v>#VALUE!</v>
      </c>
      <c r="DJ135" t="e">
        <f>AND(Bills!D517,"AAAAAH/c93E=")</f>
        <v>#VALUE!</v>
      </c>
      <c r="DK135" t="e">
        <f>AND(Bills!E517,"AAAAAH/c93I=")</f>
        <v>#VALUE!</v>
      </c>
      <c r="DL135" t="e">
        <f>AND(Bills!#REF!,"AAAAAH/c93M=")</f>
        <v>#REF!</v>
      </c>
      <c r="DM135" t="e">
        <f>AND(Bills!#REF!,"AAAAAH/c93Q=")</f>
        <v>#REF!</v>
      </c>
      <c r="DN135" t="e">
        <f>AND(Bills!#REF!,"AAAAAH/c93U=")</f>
        <v>#REF!</v>
      </c>
      <c r="DO135" t="e">
        <f>AND(Bills!F517,"AAAAAH/c93Y=")</f>
        <v>#VALUE!</v>
      </c>
      <c r="DP135" t="e">
        <f>AND(Bills!#REF!,"AAAAAH/c93c=")</f>
        <v>#REF!</v>
      </c>
      <c r="DQ135" t="e">
        <f>AND(Bills!G517,"AAAAAH/c93g=")</f>
        <v>#VALUE!</v>
      </c>
      <c r="DR135" t="e">
        <f>AND(Bills!H517,"AAAAAH/c93k=")</f>
        <v>#VALUE!</v>
      </c>
      <c r="DS135" t="e">
        <f>AND(Bills!I517,"AAAAAH/c93o=")</f>
        <v>#VALUE!</v>
      </c>
      <c r="DT135" t="e">
        <f>AND(Bills!J517,"AAAAAH/c93s=")</f>
        <v>#VALUE!</v>
      </c>
      <c r="DU135" t="e">
        <f>AND(Bills!K517,"AAAAAH/c93w=")</f>
        <v>#VALUE!</v>
      </c>
      <c r="DV135" t="e">
        <f>AND(Bills!L517,"AAAAAH/c930=")</f>
        <v>#VALUE!</v>
      </c>
      <c r="DW135" t="e">
        <f>AND(Bills!#REF!,"AAAAAH/c934=")</f>
        <v>#REF!</v>
      </c>
      <c r="DX135" t="e">
        <f>AND(Bills!M517,"AAAAAH/c938=")</f>
        <v>#VALUE!</v>
      </c>
      <c r="DY135" t="e">
        <f>AND(Bills!N517,"AAAAAH/c94A=")</f>
        <v>#VALUE!</v>
      </c>
      <c r="DZ135" t="e">
        <f>AND(Bills!O517,"AAAAAH/c94E=")</f>
        <v>#VALUE!</v>
      </c>
      <c r="EA135" t="e">
        <f>AND(Bills!P517,"AAAAAH/c94I=")</f>
        <v>#VALUE!</v>
      </c>
      <c r="EB135" t="e">
        <f>AND(Bills!Q517,"AAAAAH/c94M=")</f>
        <v>#VALUE!</v>
      </c>
      <c r="EC135" t="e">
        <f>AND(Bills!R517,"AAAAAH/c94Q=")</f>
        <v>#VALUE!</v>
      </c>
      <c r="ED135" t="e">
        <f>AND(Bills!S517,"AAAAAH/c94U=")</f>
        <v>#VALUE!</v>
      </c>
      <c r="EE135" t="e">
        <f>AND(Bills!T517,"AAAAAH/c94Y=")</f>
        <v>#VALUE!</v>
      </c>
      <c r="EF135" t="e">
        <f>AND(Bills!#REF!,"AAAAAH/c94c=")</f>
        <v>#REF!</v>
      </c>
      <c r="EG135" t="e">
        <f>AND(Bills!U517,"AAAAAH/c94g=")</f>
        <v>#VALUE!</v>
      </c>
      <c r="EH135" t="e">
        <f>AND(Bills!V517,"AAAAAH/c94k=")</f>
        <v>#VALUE!</v>
      </c>
      <c r="EI135" t="e">
        <f>AND(Bills!W517,"AAAAAH/c94o=")</f>
        <v>#VALUE!</v>
      </c>
      <c r="EJ135" t="e">
        <f>AND(Bills!#REF!,"AAAAAH/c94s=")</f>
        <v>#REF!</v>
      </c>
      <c r="EK135" t="e">
        <f>AND(Bills!#REF!,"AAAAAH/c94w=")</f>
        <v>#REF!</v>
      </c>
      <c r="EL135" t="e">
        <f>AND(Bills!Y517,"AAAAAH/c940=")</f>
        <v>#VALUE!</v>
      </c>
      <c r="EM135" t="e">
        <f>AND(Bills!Z517,"AAAAAH/c944=")</f>
        <v>#VALUE!</v>
      </c>
      <c r="EN135" t="e">
        <f>AND(Bills!#REF!,"AAAAAH/c948=")</f>
        <v>#REF!</v>
      </c>
      <c r="EO135" t="e">
        <f>AND(Bills!#REF!,"AAAAAH/c95A=")</f>
        <v>#REF!</v>
      </c>
      <c r="EP135" t="e">
        <f>AND(Bills!#REF!,"AAAAAH/c95E=")</f>
        <v>#REF!</v>
      </c>
      <c r="EQ135" t="e">
        <f>AND(Bills!#REF!,"AAAAAH/c95I=")</f>
        <v>#REF!</v>
      </c>
      <c r="ER135" t="e">
        <f>AND(Bills!#REF!,"AAAAAH/c95M=")</f>
        <v>#REF!</v>
      </c>
      <c r="ES135" t="e">
        <f>AND(Bills!#REF!,"AAAAAH/c95Q=")</f>
        <v>#REF!</v>
      </c>
      <c r="ET135" t="e">
        <f>AND(Bills!#REF!,"AAAAAH/c95U=")</f>
        <v>#REF!</v>
      </c>
      <c r="EU135" t="e">
        <f>AND(Bills!#REF!,"AAAAAH/c95Y=")</f>
        <v>#REF!</v>
      </c>
      <c r="EV135" t="e">
        <f>AND(Bills!#REF!,"AAAAAH/c95c=")</f>
        <v>#REF!</v>
      </c>
      <c r="EW135" t="e">
        <f>AND(Bills!AA517,"AAAAAH/c95g=")</f>
        <v>#VALUE!</v>
      </c>
      <c r="EX135" t="e">
        <f>AND(Bills!AB517,"AAAAAH/c95k=")</f>
        <v>#VALUE!</v>
      </c>
      <c r="EY135" t="e">
        <f>AND(Bills!#REF!,"AAAAAH/c95o=")</f>
        <v>#REF!</v>
      </c>
      <c r="EZ135" t="e">
        <f>AND(Bills!#REF!,"AAAAAH/c95s=")</f>
        <v>#REF!</v>
      </c>
      <c r="FA135" t="e">
        <f>AND(Bills!#REF!,"AAAAAH/c95w=")</f>
        <v>#REF!</v>
      </c>
      <c r="FB135" t="e">
        <f>AND(Bills!AC517,"AAAAAH/c950=")</f>
        <v>#VALUE!</v>
      </c>
      <c r="FC135" t="e">
        <f>AND(Bills!AD517,"AAAAAH/c954=")</f>
        <v>#VALUE!</v>
      </c>
      <c r="FD135" t="e">
        <f>AND(Bills!AE517,"AAAAAH/c958=")</f>
        <v>#VALUE!</v>
      </c>
      <c r="FE135">
        <f>IF(Bills!518:518,"AAAAAH/c96A=",0)</f>
        <v>0</v>
      </c>
      <c r="FF135" t="e">
        <f>AND(Bills!B518,"AAAAAH/c96E=")</f>
        <v>#VALUE!</v>
      </c>
      <c r="FG135" t="e">
        <f>AND(Bills!#REF!,"AAAAAH/c96I=")</f>
        <v>#REF!</v>
      </c>
      <c r="FH135" t="e">
        <f>AND(Bills!C518,"AAAAAH/c96M=")</f>
        <v>#VALUE!</v>
      </c>
      <c r="FI135" t="e">
        <f>AND(Bills!D518,"AAAAAH/c96Q=")</f>
        <v>#VALUE!</v>
      </c>
      <c r="FJ135" t="e">
        <f>AND(Bills!E518,"AAAAAH/c96U=")</f>
        <v>#VALUE!</v>
      </c>
      <c r="FK135" t="e">
        <f>AND(Bills!#REF!,"AAAAAH/c96Y=")</f>
        <v>#REF!</v>
      </c>
      <c r="FL135" t="e">
        <f>AND(Bills!#REF!,"AAAAAH/c96c=")</f>
        <v>#REF!</v>
      </c>
      <c r="FM135" t="e">
        <f>AND(Bills!#REF!,"AAAAAH/c96g=")</f>
        <v>#REF!</v>
      </c>
      <c r="FN135" t="e">
        <f>AND(Bills!F518,"AAAAAH/c96k=")</f>
        <v>#VALUE!</v>
      </c>
      <c r="FO135" t="e">
        <f>AND(Bills!#REF!,"AAAAAH/c96o=")</f>
        <v>#REF!</v>
      </c>
      <c r="FP135" t="e">
        <f>AND(Bills!G518,"AAAAAH/c96s=")</f>
        <v>#VALUE!</v>
      </c>
      <c r="FQ135" t="e">
        <f>AND(Bills!H518,"AAAAAH/c96w=")</f>
        <v>#VALUE!</v>
      </c>
      <c r="FR135" t="e">
        <f>AND(Bills!I518,"AAAAAH/c960=")</f>
        <v>#VALUE!</v>
      </c>
      <c r="FS135" t="e">
        <f>AND(Bills!J518,"AAAAAH/c964=")</f>
        <v>#VALUE!</v>
      </c>
      <c r="FT135" t="e">
        <f>AND(Bills!K518,"AAAAAH/c968=")</f>
        <v>#VALUE!</v>
      </c>
      <c r="FU135" t="e">
        <f>AND(Bills!L518,"AAAAAH/c97A=")</f>
        <v>#VALUE!</v>
      </c>
      <c r="FV135" t="e">
        <f>AND(Bills!#REF!,"AAAAAH/c97E=")</f>
        <v>#REF!</v>
      </c>
      <c r="FW135" t="e">
        <f>AND(Bills!M518,"AAAAAH/c97I=")</f>
        <v>#VALUE!</v>
      </c>
      <c r="FX135" t="e">
        <f>AND(Bills!N518,"AAAAAH/c97M=")</f>
        <v>#VALUE!</v>
      </c>
      <c r="FY135" t="e">
        <f>AND(Bills!O518,"AAAAAH/c97Q=")</f>
        <v>#VALUE!</v>
      </c>
      <c r="FZ135" t="e">
        <f>AND(Bills!P518,"AAAAAH/c97U=")</f>
        <v>#VALUE!</v>
      </c>
      <c r="GA135" t="e">
        <f>AND(Bills!Q518,"AAAAAH/c97Y=")</f>
        <v>#VALUE!</v>
      </c>
      <c r="GB135" t="e">
        <f>AND(Bills!R518,"AAAAAH/c97c=")</f>
        <v>#VALUE!</v>
      </c>
      <c r="GC135" t="e">
        <f>AND(Bills!S518,"AAAAAH/c97g=")</f>
        <v>#VALUE!</v>
      </c>
      <c r="GD135" t="e">
        <f>AND(Bills!T518,"AAAAAH/c97k=")</f>
        <v>#VALUE!</v>
      </c>
      <c r="GE135" t="e">
        <f>AND(Bills!#REF!,"AAAAAH/c97o=")</f>
        <v>#REF!</v>
      </c>
      <c r="GF135" t="e">
        <f>AND(Bills!U518,"AAAAAH/c97s=")</f>
        <v>#VALUE!</v>
      </c>
      <c r="GG135" t="e">
        <f>AND(Bills!V518,"AAAAAH/c97w=")</f>
        <v>#VALUE!</v>
      </c>
      <c r="GH135" t="e">
        <f>AND(Bills!W518,"AAAAAH/c970=")</f>
        <v>#VALUE!</v>
      </c>
      <c r="GI135" t="e">
        <f>AND(Bills!#REF!,"AAAAAH/c974=")</f>
        <v>#REF!</v>
      </c>
      <c r="GJ135" t="e">
        <f>AND(Bills!#REF!,"AAAAAH/c978=")</f>
        <v>#REF!</v>
      </c>
      <c r="GK135" t="e">
        <f>AND(Bills!Y518,"AAAAAH/c98A=")</f>
        <v>#VALUE!</v>
      </c>
      <c r="GL135" t="e">
        <f>AND(Bills!Z518,"AAAAAH/c98E=")</f>
        <v>#VALUE!</v>
      </c>
      <c r="GM135" t="e">
        <f>AND(Bills!#REF!,"AAAAAH/c98I=")</f>
        <v>#REF!</v>
      </c>
      <c r="GN135" t="e">
        <f>AND(Bills!#REF!,"AAAAAH/c98M=")</f>
        <v>#REF!</v>
      </c>
      <c r="GO135" t="e">
        <f>AND(Bills!#REF!,"AAAAAH/c98Q=")</f>
        <v>#REF!</v>
      </c>
      <c r="GP135" t="e">
        <f>AND(Bills!#REF!,"AAAAAH/c98U=")</f>
        <v>#REF!</v>
      </c>
      <c r="GQ135" t="e">
        <f>AND(Bills!#REF!,"AAAAAH/c98Y=")</f>
        <v>#REF!</v>
      </c>
      <c r="GR135" t="e">
        <f>AND(Bills!#REF!,"AAAAAH/c98c=")</f>
        <v>#REF!</v>
      </c>
      <c r="GS135" t="e">
        <f>AND(Bills!#REF!,"AAAAAH/c98g=")</f>
        <v>#REF!</v>
      </c>
      <c r="GT135" t="e">
        <f>AND(Bills!#REF!,"AAAAAH/c98k=")</f>
        <v>#REF!</v>
      </c>
      <c r="GU135" t="e">
        <f>AND(Bills!#REF!,"AAAAAH/c98o=")</f>
        <v>#REF!</v>
      </c>
      <c r="GV135" t="e">
        <f>AND(Bills!AA518,"AAAAAH/c98s=")</f>
        <v>#VALUE!</v>
      </c>
      <c r="GW135" t="e">
        <f>AND(Bills!AB518,"AAAAAH/c98w=")</f>
        <v>#VALUE!</v>
      </c>
      <c r="GX135" t="e">
        <f>AND(Bills!#REF!,"AAAAAH/c980=")</f>
        <v>#REF!</v>
      </c>
      <c r="GY135" t="e">
        <f>AND(Bills!#REF!,"AAAAAH/c984=")</f>
        <v>#REF!</v>
      </c>
      <c r="GZ135" t="e">
        <f>AND(Bills!#REF!,"AAAAAH/c988=")</f>
        <v>#REF!</v>
      </c>
      <c r="HA135" t="e">
        <f>AND(Bills!AC518,"AAAAAH/c99A=")</f>
        <v>#VALUE!</v>
      </c>
      <c r="HB135" t="e">
        <f>AND(Bills!AD518,"AAAAAH/c99E=")</f>
        <v>#VALUE!</v>
      </c>
      <c r="HC135" t="e">
        <f>AND(Bills!AE518,"AAAAAH/c99I=")</f>
        <v>#VALUE!</v>
      </c>
      <c r="HD135">
        <f>IF(Bills!519:519,"AAAAAH/c99M=",0)</f>
        <v>0</v>
      </c>
      <c r="HE135" t="e">
        <f>AND(Bills!B519,"AAAAAH/c99Q=")</f>
        <v>#VALUE!</v>
      </c>
      <c r="HF135" t="e">
        <f>AND(Bills!#REF!,"AAAAAH/c99U=")</f>
        <v>#REF!</v>
      </c>
      <c r="HG135" t="e">
        <f>AND(Bills!C519,"AAAAAH/c99Y=")</f>
        <v>#VALUE!</v>
      </c>
      <c r="HH135" t="e">
        <f>AND(Bills!D519,"AAAAAH/c99c=")</f>
        <v>#VALUE!</v>
      </c>
      <c r="HI135" t="e">
        <f>AND(Bills!E519,"AAAAAH/c99g=")</f>
        <v>#VALUE!</v>
      </c>
      <c r="HJ135" t="e">
        <f>AND(Bills!#REF!,"AAAAAH/c99k=")</f>
        <v>#REF!</v>
      </c>
      <c r="HK135" t="e">
        <f>AND(Bills!#REF!,"AAAAAH/c99o=")</f>
        <v>#REF!</v>
      </c>
      <c r="HL135" t="e">
        <f>AND(Bills!#REF!,"AAAAAH/c99s=")</f>
        <v>#REF!</v>
      </c>
      <c r="HM135" t="e">
        <f>AND(Bills!F519,"AAAAAH/c99w=")</f>
        <v>#VALUE!</v>
      </c>
      <c r="HN135" t="e">
        <f>AND(Bills!#REF!,"AAAAAH/c990=")</f>
        <v>#REF!</v>
      </c>
      <c r="HO135" t="e">
        <f>AND(Bills!G519,"AAAAAH/c994=")</f>
        <v>#VALUE!</v>
      </c>
      <c r="HP135" t="e">
        <f>AND(Bills!H519,"AAAAAH/c998=")</f>
        <v>#VALUE!</v>
      </c>
      <c r="HQ135" t="e">
        <f>AND(Bills!I519,"AAAAAH/c9+A=")</f>
        <v>#VALUE!</v>
      </c>
      <c r="HR135" t="e">
        <f>AND(Bills!J519,"AAAAAH/c9+E=")</f>
        <v>#VALUE!</v>
      </c>
      <c r="HS135" t="e">
        <f>AND(Bills!K519,"AAAAAH/c9+I=")</f>
        <v>#VALUE!</v>
      </c>
      <c r="HT135" t="e">
        <f>AND(Bills!L519,"AAAAAH/c9+M=")</f>
        <v>#VALUE!</v>
      </c>
      <c r="HU135" t="e">
        <f>AND(Bills!#REF!,"AAAAAH/c9+Q=")</f>
        <v>#REF!</v>
      </c>
      <c r="HV135" t="e">
        <f>AND(Bills!M519,"AAAAAH/c9+U=")</f>
        <v>#VALUE!</v>
      </c>
      <c r="HW135" t="e">
        <f>AND(Bills!N519,"AAAAAH/c9+Y=")</f>
        <v>#VALUE!</v>
      </c>
      <c r="HX135" t="e">
        <f>AND(Bills!O519,"AAAAAH/c9+c=")</f>
        <v>#VALUE!</v>
      </c>
      <c r="HY135" t="e">
        <f>AND(Bills!P519,"AAAAAH/c9+g=")</f>
        <v>#VALUE!</v>
      </c>
      <c r="HZ135" t="e">
        <f>AND(Bills!Q519,"AAAAAH/c9+k=")</f>
        <v>#VALUE!</v>
      </c>
      <c r="IA135" t="e">
        <f>AND(Bills!R519,"AAAAAH/c9+o=")</f>
        <v>#VALUE!</v>
      </c>
      <c r="IB135" t="e">
        <f>AND(Bills!S519,"AAAAAH/c9+s=")</f>
        <v>#VALUE!</v>
      </c>
      <c r="IC135" t="e">
        <f>AND(Bills!T519,"AAAAAH/c9+w=")</f>
        <v>#VALUE!</v>
      </c>
      <c r="ID135" t="e">
        <f>AND(Bills!#REF!,"AAAAAH/c9+0=")</f>
        <v>#REF!</v>
      </c>
      <c r="IE135" t="e">
        <f>AND(Bills!U519,"AAAAAH/c9+4=")</f>
        <v>#VALUE!</v>
      </c>
      <c r="IF135" t="e">
        <f>AND(Bills!V519,"AAAAAH/c9+8=")</f>
        <v>#VALUE!</v>
      </c>
      <c r="IG135" t="e">
        <f>AND(Bills!W519,"AAAAAH/c9/A=")</f>
        <v>#VALUE!</v>
      </c>
      <c r="IH135" t="e">
        <f>AND(Bills!#REF!,"AAAAAH/c9/E=")</f>
        <v>#REF!</v>
      </c>
      <c r="II135" t="e">
        <f>AND(Bills!#REF!,"AAAAAH/c9/I=")</f>
        <v>#REF!</v>
      </c>
      <c r="IJ135" t="e">
        <f>AND(Bills!Y519,"AAAAAH/c9/M=")</f>
        <v>#VALUE!</v>
      </c>
      <c r="IK135" t="e">
        <f>AND(Bills!Z519,"AAAAAH/c9/Q=")</f>
        <v>#VALUE!</v>
      </c>
      <c r="IL135" t="e">
        <f>AND(Bills!#REF!,"AAAAAH/c9/U=")</f>
        <v>#REF!</v>
      </c>
      <c r="IM135" t="e">
        <f>AND(Bills!#REF!,"AAAAAH/c9/Y=")</f>
        <v>#REF!</v>
      </c>
      <c r="IN135" t="e">
        <f>AND(Bills!#REF!,"AAAAAH/c9/c=")</f>
        <v>#REF!</v>
      </c>
      <c r="IO135" t="e">
        <f>AND(Bills!#REF!,"AAAAAH/c9/g=")</f>
        <v>#REF!</v>
      </c>
      <c r="IP135" t="e">
        <f>AND(Bills!#REF!,"AAAAAH/c9/k=")</f>
        <v>#REF!</v>
      </c>
      <c r="IQ135" t="e">
        <f>AND(Bills!#REF!,"AAAAAH/c9/o=")</f>
        <v>#REF!</v>
      </c>
      <c r="IR135" t="e">
        <f>AND(Bills!#REF!,"AAAAAH/c9/s=")</f>
        <v>#REF!</v>
      </c>
      <c r="IS135" t="e">
        <f>AND(Bills!#REF!,"AAAAAH/c9/w=")</f>
        <v>#REF!</v>
      </c>
      <c r="IT135" t="e">
        <f>AND(Bills!#REF!,"AAAAAH/c9/0=")</f>
        <v>#REF!</v>
      </c>
      <c r="IU135" t="e">
        <f>AND(Bills!AA519,"AAAAAH/c9/4=")</f>
        <v>#VALUE!</v>
      </c>
      <c r="IV135" t="e">
        <f>AND(Bills!AB519,"AAAAAH/c9/8=")</f>
        <v>#VALUE!</v>
      </c>
    </row>
    <row r="136" spans="1:256" x14ac:dyDescent="0.25">
      <c r="A136" t="e">
        <f>AND(Bills!#REF!,"AAAAAHaF/AA=")</f>
        <v>#REF!</v>
      </c>
      <c r="B136" t="e">
        <f>AND(Bills!#REF!,"AAAAAHaF/AE=")</f>
        <v>#REF!</v>
      </c>
      <c r="C136" t="e">
        <f>AND(Bills!#REF!,"AAAAAHaF/AI=")</f>
        <v>#REF!</v>
      </c>
      <c r="D136" t="e">
        <f>AND(Bills!AC519,"AAAAAHaF/AM=")</f>
        <v>#VALUE!</v>
      </c>
      <c r="E136" t="e">
        <f>AND(Bills!AD519,"AAAAAHaF/AQ=")</f>
        <v>#VALUE!</v>
      </c>
      <c r="F136" t="e">
        <f>AND(Bills!AE519,"AAAAAHaF/AU=")</f>
        <v>#VALUE!</v>
      </c>
      <c r="G136">
        <f>IF(Bills!520:520,"AAAAAHaF/AY=",0)</f>
        <v>0</v>
      </c>
      <c r="H136" t="e">
        <f>AND(Bills!B520,"AAAAAHaF/Ac=")</f>
        <v>#VALUE!</v>
      </c>
      <c r="I136" t="e">
        <f>AND(Bills!#REF!,"AAAAAHaF/Ag=")</f>
        <v>#REF!</v>
      </c>
      <c r="J136" t="e">
        <f>AND(Bills!C520,"AAAAAHaF/Ak=")</f>
        <v>#VALUE!</v>
      </c>
      <c r="K136" t="e">
        <f>AND(Bills!D520,"AAAAAHaF/Ao=")</f>
        <v>#VALUE!</v>
      </c>
      <c r="L136" t="e">
        <f>AND(Bills!E520,"AAAAAHaF/As=")</f>
        <v>#VALUE!</v>
      </c>
      <c r="M136" t="e">
        <f>AND(Bills!#REF!,"AAAAAHaF/Aw=")</f>
        <v>#REF!</v>
      </c>
      <c r="N136" t="e">
        <f>AND(Bills!#REF!,"AAAAAHaF/A0=")</f>
        <v>#REF!</v>
      </c>
      <c r="O136" t="e">
        <f>AND(Bills!#REF!,"AAAAAHaF/A4=")</f>
        <v>#REF!</v>
      </c>
      <c r="P136" t="e">
        <f>AND(Bills!F520,"AAAAAHaF/A8=")</f>
        <v>#VALUE!</v>
      </c>
      <c r="Q136" t="e">
        <f>AND(Bills!#REF!,"AAAAAHaF/BA=")</f>
        <v>#REF!</v>
      </c>
      <c r="R136" t="e">
        <f>AND(Bills!G520,"AAAAAHaF/BE=")</f>
        <v>#VALUE!</v>
      </c>
      <c r="S136" t="e">
        <f>AND(Bills!H520,"AAAAAHaF/BI=")</f>
        <v>#VALUE!</v>
      </c>
      <c r="T136" t="e">
        <f>AND(Bills!I520,"AAAAAHaF/BM=")</f>
        <v>#VALUE!</v>
      </c>
      <c r="U136" t="e">
        <f>AND(Bills!J520,"AAAAAHaF/BQ=")</f>
        <v>#VALUE!</v>
      </c>
      <c r="V136" t="e">
        <f>AND(Bills!K520,"AAAAAHaF/BU=")</f>
        <v>#VALUE!</v>
      </c>
      <c r="W136" t="e">
        <f>AND(Bills!L520,"AAAAAHaF/BY=")</f>
        <v>#VALUE!</v>
      </c>
      <c r="X136" t="e">
        <f>AND(Bills!#REF!,"AAAAAHaF/Bc=")</f>
        <v>#REF!</v>
      </c>
      <c r="Y136" t="e">
        <f>AND(Bills!M520,"AAAAAHaF/Bg=")</f>
        <v>#VALUE!</v>
      </c>
      <c r="Z136" t="e">
        <f>AND(Bills!N520,"AAAAAHaF/Bk=")</f>
        <v>#VALUE!</v>
      </c>
      <c r="AA136" t="e">
        <f>AND(Bills!O520,"AAAAAHaF/Bo=")</f>
        <v>#VALUE!</v>
      </c>
      <c r="AB136" t="e">
        <f>AND(Bills!P520,"AAAAAHaF/Bs=")</f>
        <v>#VALUE!</v>
      </c>
      <c r="AC136" t="e">
        <f>AND(Bills!Q520,"AAAAAHaF/Bw=")</f>
        <v>#VALUE!</v>
      </c>
      <c r="AD136" t="e">
        <f>AND(Bills!R520,"AAAAAHaF/B0=")</f>
        <v>#VALUE!</v>
      </c>
      <c r="AE136" t="e">
        <f>AND(Bills!S520,"AAAAAHaF/B4=")</f>
        <v>#VALUE!</v>
      </c>
      <c r="AF136" t="e">
        <f>AND(Bills!T520,"AAAAAHaF/B8=")</f>
        <v>#VALUE!</v>
      </c>
      <c r="AG136" t="e">
        <f>AND(Bills!#REF!,"AAAAAHaF/CA=")</f>
        <v>#REF!</v>
      </c>
      <c r="AH136" t="e">
        <f>AND(Bills!U520,"AAAAAHaF/CE=")</f>
        <v>#VALUE!</v>
      </c>
      <c r="AI136" t="e">
        <f>AND(Bills!V520,"AAAAAHaF/CI=")</f>
        <v>#VALUE!</v>
      </c>
      <c r="AJ136" t="e">
        <f>AND(Bills!W520,"AAAAAHaF/CM=")</f>
        <v>#VALUE!</v>
      </c>
      <c r="AK136" t="e">
        <f>AND(Bills!#REF!,"AAAAAHaF/CQ=")</f>
        <v>#REF!</v>
      </c>
      <c r="AL136" t="e">
        <f>AND(Bills!#REF!,"AAAAAHaF/CU=")</f>
        <v>#REF!</v>
      </c>
      <c r="AM136" t="e">
        <f>AND(Bills!Y520,"AAAAAHaF/CY=")</f>
        <v>#VALUE!</v>
      </c>
      <c r="AN136" t="e">
        <f>AND(Bills!Z520,"AAAAAHaF/Cc=")</f>
        <v>#VALUE!</v>
      </c>
      <c r="AO136" t="e">
        <f>AND(Bills!#REF!,"AAAAAHaF/Cg=")</f>
        <v>#REF!</v>
      </c>
      <c r="AP136" t="e">
        <f>AND(Bills!#REF!,"AAAAAHaF/Ck=")</f>
        <v>#REF!</v>
      </c>
      <c r="AQ136" t="e">
        <f>AND(Bills!#REF!,"AAAAAHaF/Co=")</f>
        <v>#REF!</v>
      </c>
      <c r="AR136" t="e">
        <f>AND(Bills!#REF!,"AAAAAHaF/Cs=")</f>
        <v>#REF!</v>
      </c>
      <c r="AS136" t="e">
        <f>AND(Bills!#REF!,"AAAAAHaF/Cw=")</f>
        <v>#REF!</v>
      </c>
      <c r="AT136" t="e">
        <f>AND(Bills!#REF!,"AAAAAHaF/C0=")</f>
        <v>#REF!</v>
      </c>
      <c r="AU136" t="e">
        <f>AND(Bills!#REF!,"AAAAAHaF/C4=")</f>
        <v>#REF!</v>
      </c>
      <c r="AV136" t="e">
        <f>AND(Bills!#REF!,"AAAAAHaF/C8=")</f>
        <v>#REF!</v>
      </c>
      <c r="AW136" t="e">
        <f>AND(Bills!#REF!,"AAAAAHaF/DA=")</f>
        <v>#REF!</v>
      </c>
      <c r="AX136" t="e">
        <f>AND(Bills!AA520,"AAAAAHaF/DE=")</f>
        <v>#VALUE!</v>
      </c>
      <c r="AY136" t="e">
        <f>AND(Bills!AB520,"AAAAAHaF/DI=")</f>
        <v>#VALUE!</v>
      </c>
      <c r="AZ136" t="e">
        <f>AND(Bills!#REF!,"AAAAAHaF/DM=")</f>
        <v>#REF!</v>
      </c>
      <c r="BA136" t="e">
        <f>AND(Bills!#REF!,"AAAAAHaF/DQ=")</f>
        <v>#REF!</v>
      </c>
      <c r="BB136" t="e">
        <f>AND(Bills!#REF!,"AAAAAHaF/DU=")</f>
        <v>#REF!</v>
      </c>
      <c r="BC136" t="e">
        <f>AND(Bills!AC520,"AAAAAHaF/DY=")</f>
        <v>#VALUE!</v>
      </c>
      <c r="BD136" t="e">
        <f>AND(Bills!AD520,"AAAAAHaF/Dc=")</f>
        <v>#VALUE!</v>
      </c>
      <c r="BE136" t="e">
        <f>AND(Bills!AE520,"AAAAAHaF/Dg=")</f>
        <v>#VALUE!</v>
      </c>
      <c r="BF136">
        <f>IF(Bills!521:521,"AAAAAHaF/Dk=",0)</f>
        <v>0</v>
      </c>
      <c r="BG136" t="e">
        <f>AND(Bills!B521,"AAAAAHaF/Do=")</f>
        <v>#VALUE!</v>
      </c>
      <c r="BH136" t="e">
        <f>AND(Bills!#REF!,"AAAAAHaF/Ds=")</f>
        <v>#REF!</v>
      </c>
      <c r="BI136" t="e">
        <f>AND(Bills!C521,"AAAAAHaF/Dw=")</f>
        <v>#VALUE!</v>
      </c>
      <c r="BJ136" t="e">
        <f>AND(Bills!D521,"AAAAAHaF/D0=")</f>
        <v>#VALUE!</v>
      </c>
      <c r="BK136" t="e">
        <f>AND(Bills!E521,"AAAAAHaF/D4=")</f>
        <v>#VALUE!</v>
      </c>
      <c r="BL136" t="e">
        <f>AND(Bills!#REF!,"AAAAAHaF/D8=")</f>
        <v>#REF!</v>
      </c>
      <c r="BM136" t="e">
        <f>AND(Bills!#REF!,"AAAAAHaF/EA=")</f>
        <v>#REF!</v>
      </c>
      <c r="BN136" t="e">
        <f>AND(Bills!#REF!,"AAAAAHaF/EE=")</f>
        <v>#REF!</v>
      </c>
      <c r="BO136" t="e">
        <f>AND(Bills!F521,"AAAAAHaF/EI=")</f>
        <v>#VALUE!</v>
      </c>
      <c r="BP136" t="e">
        <f>AND(Bills!#REF!,"AAAAAHaF/EM=")</f>
        <v>#REF!</v>
      </c>
      <c r="BQ136" t="e">
        <f>AND(Bills!G521,"AAAAAHaF/EQ=")</f>
        <v>#VALUE!</v>
      </c>
      <c r="BR136" t="e">
        <f>AND(Bills!H521,"AAAAAHaF/EU=")</f>
        <v>#VALUE!</v>
      </c>
      <c r="BS136" t="e">
        <f>AND(Bills!I521,"AAAAAHaF/EY=")</f>
        <v>#VALUE!</v>
      </c>
      <c r="BT136" t="e">
        <f>AND(Bills!J521,"AAAAAHaF/Ec=")</f>
        <v>#VALUE!</v>
      </c>
      <c r="BU136" t="e">
        <f>AND(Bills!K521,"AAAAAHaF/Eg=")</f>
        <v>#VALUE!</v>
      </c>
      <c r="BV136" t="e">
        <f>AND(Bills!L521,"AAAAAHaF/Ek=")</f>
        <v>#VALUE!</v>
      </c>
      <c r="BW136" t="e">
        <f>AND(Bills!#REF!,"AAAAAHaF/Eo=")</f>
        <v>#REF!</v>
      </c>
      <c r="BX136" t="e">
        <f>AND(Bills!M521,"AAAAAHaF/Es=")</f>
        <v>#VALUE!</v>
      </c>
      <c r="BY136" t="e">
        <f>AND(Bills!N521,"AAAAAHaF/Ew=")</f>
        <v>#VALUE!</v>
      </c>
      <c r="BZ136" t="e">
        <f>AND(Bills!O521,"AAAAAHaF/E0=")</f>
        <v>#VALUE!</v>
      </c>
      <c r="CA136" t="e">
        <f>AND(Bills!P521,"AAAAAHaF/E4=")</f>
        <v>#VALUE!</v>
      </c>
      <c r="CB136" t="e">
        <f>AND(Bills!Q521,"AAAAAHaF/E8=")</f>
        <v>#VALUE!</v>
      </c>
      <c r="CC136" t="e">
        <f>AND(Bills!R521,"AAAAAHaF/FA=")</f>
        <v>#VALUE!</v>
      </c>
      <c r="CD136" t="e">
        <f>AND(Bills!S521,"AAAAAHaF/FE=")</f>
        <v>#VALUE!</v>
      </c>
      <c r="CE136" t="e">
        <f>AND(Bills!T521,"AAAAAHaF/FI=")</f>
        <v>#VALUE!</v>
      </c>
      <c r="CF136" t="e">
        <f>AND(Bills!#REF!,"AAAAAHaF/FM=")</f>
        <v>#REF!</v>
      </c>
      <c r="CG136" t="e">
        <f>AND(Bills!U521,"AAAAAHaF/FQ=")</f>
        <v>#VALUE!</v>
      </c>
      <c r="CH136" t="e">
        <f>AND(Bills!V521,"AAAAAHaF/FU=")</f>
        <v>#VALUE!</v>
      </c>
      <c r="CI136" t="e">
        <f>AND(Bills!W521,"AAAAAHaF/FY=")</f>
        <v>#VALUE!</v>
      </c>
      <c r="CJ136" t="e">
        <f>AND(Bills!#REF!,"AAAAAHaF/Fc=")</f>
        <v>#REF!</v>
      </c>
      <c r="CK136" t="e">
        <f>AND(Bills!#REF!,"AAAAAHaF/Fg=")</f>
        <v>#REF!</v>
      </c>
      <c r="CL136" t="e">
        <f>AND(Bills!Y521,"AAAAAHaF/Fk=")</f>
        <v>#VALUE!</v>
      </c>
      <c r="CM136" t="e">
        <f>AND(Bills!Z521,"AAAAAHaF/Fo=")</f>
        <v>#VALUE!</v>
      </c>
      <c r="CN136" t="e">
        <f>AND(Bills!#REF!,"AAAAAHaF/Fs=")</f>
        <v>#REF!</v>
      </c>
      <c r="CO136" t="e">
        <f>AND(Bills!#REF!,"AAAAAHaF/Fw=")</f>
        <v>#REF!</v>
      </c>
      <c r="CP136" t="e">
        <f>AND(Bills!#REF!,"AAAAAHaF/F0=")</f>
        <v>#REF!</v>
      </c>
      <c r="CQ136" t="e">
        <f>AND(Bills!#REF!,"AAAAAHaF/F4=")</f>
        <v>#REF!</v>
      </c>
      <c r="CR136" t="e">
        <f>AND(Bills!#REF!,"AAAAAHaF/F8=")</f>
        <v>#REF!</v>
      </c>
      <c r="CS136" t="e">
        <f>AND(Bills!#REF!,"AAAAAHaF/GA=")</f>
        <v>#REF!</v>
      </c>
      <c r="CT136" t="e">
        <f>AND(Bills!#REF!,"AAAAAHaF/GE=")</f>
        <v>#REF!</v>
      </c>
      <c r="CU136" t="e">
        <f>AND(Bills!#REF!,"AAAAAHaF/GI=")</f>
        <v>#REF!</v>
      </c>
      <c r="CV136" t="e">
        <f>AND(Bills!#REF!,"AAAAAHaF/GM=")</f>
        <v>#REF!</v>
      </c>
      <c r="CW136" t="e">
        <f>AND(Bills!AA521,"AAAAAHaF/GQ=")</f>
        <v>#VALUE!</v>
      </c>
      <c r="CX136" t="e">
        <f>AND(Bills!AB521,"AAAAAHaF/GU=")</f>
        <v>#VALUE!</v>
      </c>
      <c r="CY136" t="e">
        <f>AND(Bills!#REF!,"AAAAAHaF/GY=")</f>
        <v>#REF!</v>
      </c>
      <c r="CZ136" t="e">
        <f>AND(Bills!#REF!,"AAAAAHaF/Gc=")</f>
        <v>#REF!</v>
      </c>
      <c r="DA136" t="e">
        <f>AND(Bills!#REF!,"AAAAAHaF/Gg=")</f>
        <v>#REF!</v>
      </c>
      <c r="DB136" t="e">
        <f>AND(Bills!AC521,"AAAAAHaF/Gk=")</f>
        <v>#VALUE!</v>
      </c>
      <c r="DC136" t="e">
        <f>AND(Bills!AD521,"AAAAAHaF/Go=")</f>
        <v>#VALUE!</v>
      </c>
      <c r="DD136" t="e">
        <f>AND(Bills!AE521,"AAAAAHaF/Gs=")</f>
        <v>#VALUE!</v>
      </c>
      <c r="DE136">
        <f>IF(Bills!522:522,"AAAAAHaF/Gw=",0)</f>
        <v>0</v>
      </c>
      <c r="DF136" t="e">
        <f>AND(Bills!B522,"AAAAAHaF/G0=")</f>
        <v>#VALUE!</v>
      </c>
      <c r="DG136" t="e">
        <f>AND(Bills!#REF!,"AAAAAHaF/G4=")</f>
        <v>#REF!</v>
      </c>
      <c r="DH136" t="e">
        <f>AND(Bills!C522,"AAAAAHaF/G8=")</f>
        <v>#VALUE!</v>
      </c>
      <c r="DI136" t="e">
        <f>AND(Bills!D522,"AAAAAHaF/HA=")</f>
        <v>#VALUE!</v>
      </c>
      <c r="DJ136" t="e">
        <f>AND(Bills!E522,"AAAAAHaF/HE=")</f>
        <v>#VALUE!</v>
      </c>
      <c r="DK136" t="e">
        <f>AND(Bills!#REF!,"AAAAAHaF/HI=")</f>
        <v>#REF!</v>
      </c>
      <c r="DL136" t="e">
        <f>AND(Bills!#REF!,"AAAAAHaF/HM=")</f>
        <v>#REF!</v>
      </c>
      <c r="DM136" t="e">
        <f>AND(Bills!#REF!,"AAAAAHaF/HQ=")</f>
        <v>#REF!</v>
      </c>
      <c r="DN136" t="e">
        <f>AND(Bills!F522,"AAAAAHaF/HU=")</f>
        <v>#VALUE!</v>
      </c>
      <c r="DO136" t="e">
        <f>AND(Bills!#REF!,"AAAAAHaF/HY=")</f>
        <v>#REF!</v>
      </c>
      <c r="DP136" t="e">
        <f>AND(Bills!G522,"AAAAAHaF/Hc=")</f>
        <v>#VALUE!</v>
      </c>
      <c r="DQ136" t="e">
        <f>AND(Bills!H522,"AAAAAHaF/Hg=")</f>
        <v>#VALUE!</v>
      </c>
      <c r="DR136" t="e">
        <f>AND(Bills!I522,"AAAAAHaF/Hk=")</f>
        <v>#VALUE!</v>
      </c>
      <c r="DS136" t="e">
        <f>AND(Bills!J522,"AAAAAHaF/Ho=")</f>
        <v>#VALUE!</v>
      </c>
      <c r="DT136" t="e">
        <f>AND(Bills!K522,"AAAAAHaF/Hs=")</f>
        <v>#VALUE!</v>
      </c>
      <c r="DU136" t="e">
        <f>AND(Bills!L522,"AAAAAHaF/Hw=")</f>
        <v>#VALUE!</v>
      </c>
      <c r="DV136" t="e">
        <f>AND(Bills!#REF!,"AAAAAHaF/H0=")</f>
        <v>#REF!</v>
      </c>
      <c r="DW136" t="e">
        <f>AND(Bills!M522,"AAAAAHaF/H4=")</f>
        <v>#VALUE!</v>
      </c>
      <c r="DX136" t="e">
        <f>AND(Bills!N522,"AAAAAHaF/H8=")</f>
        <v>#VALUE!</v>
      </c>
      <c r="DY136" t="e">
        <f>AND(Bills!O522,"AAAAAHaF/IA=")</f>
        <v>#VALUE!</v>
      </c>
      <c r="DZ136" t="e">
        <f>AND(Bills!P522,"AAAAAHaF/IE=")</f>
        <v>#VALUE!</v>
      </c>
      <c r="EA136" t="e">
        <f>AND(Bills!Q522,"AAAAAHaF/II=")</f>
        <v>#VALUE!</v>
      </c>
      <c r="EB136" t="e">
        <f>AND(Bills!R522,"AAAAAHaF/IM=")</f>
        <v>#VALUE!</v>
      </c>
      <c r="EC136" t="e">
        <f>AND(Bills!S522,"AAAAAHaF/IQ=")</f>
        <v>#VALUE!</v>
      </c>
      <c r="ED136" t="e">
        <f>AND(Bills!T522,"AAAAAHaF/IU=")</f>
        <v>#VALUE!</v>
      </c>
      <c r="EE136" t="e">
        <f>AND(Bills!#REF!,"AAAAAHaF/IY=")</f>
        <v>#REF!</v>
      </c>
      <c r="EF136" t="e">
        <f>AND(Bills!U522,"AAAAAHaF/Ic=")</f>
        <v>#VALUE!</v>
      </c>
      <c r="EG136" t="e">
        <f>AND(Bills!V522,"AAAAAHaF/Ig=")</f>
        <v>#VALUE!</v>
      </c>
      <c r="EH136" t="e">
        <f>AND(Bills!W522,"AAAAAHaF/Ik=")</f>
        <v>#VALUE!</v>
      </c>
      <c r="EI136" t="e">
        <f>AND(Bills!#REF!,"AAAAAHaF/Io=")</f>
        <v>#REF!</v>
      </c>
      <c r="EJ136" t="e">
        <f>AND(Bills!#REF!,"AAAAAHaF/Is=")</f>
        <v>#REF!</v>
      </c>
      <c r="EK136" t="e">
        <f>AND(Bills!Y522,"AAAAAHaF/Iw=")</f>
        <v>#VALUE!</v>
      </c>
      <c r="EL136" t="e">
        <f>AND(Bills!Z522,"AAAAAHaF/I0=")</f>
        <v>#VALUE!</v>
      </c>
      <c r="EM136" t="e">
        <f>AND(Bills!#REF!,"AAAAAHaF/I4=")</f>
        <v>#REF!</v>
      </c>
      <c r="EN136" t="e">
        <f>AND(Bills!#REF!,"AAAAAHaF/I8=")</f>
        <v>#REF!</v>
      </c>
      <c r="EO136" t="e">
        <f>AND(Bills!#REF!,"AAAAAHaF/JA=")</f>
        <v>#REF!</v>
      </c>
      <c r="EP136" t="e">
        <f>AND(Bills!#REF!,"AAAAAHaF/JE=")</f>
        <v>#REF!</v>
      </c>
      <c r="EQ136" t="e">
        <f>AND(Bills!#REF!,"AAAAAHaF/JI=")</f>
        <v>#REF!</v>
      </c>
      <c r="ER136" t="e">
        <f>AND(Bills!#REF!,"AAAAAHaF/JM=")</f>
        <v>#REF!</v>
      </c>
      <c r="ES136" t="e">
        <f>AND(Bills!#REF!,"AAAAAHaF/JQ=")</f>
        <v>#REF!</v>
      </c>
      <c r="ET136" t="e">
        <f>AND(Bills!#REF!,"AAAAAHaF/JU=")</f>
        <v>#REF!</v>
      </c>
      <c r="EU136" t="e">
        <f>AND(Bills!#REF!,"AAAAAHaF/JY=")</f>
        <v>#REF!</v>
      </c>
      <c r="EV136" t="e">
        <f>AND(Bills!AA522,"AAAAAHaF/Jc=")</f>
        <v>#VALUE!</v>
      </c>
      <c r="EW136" t="e">
        <f>AND(Bills!AB522,"AAAAAHaF/Jg=")</f>
        <v>#VALUE!</v>
      </c>
      <c r="EX136" t="e">
        <f>AND(Bills!#REF!,"AAAAAHaF/Jk=")</f>
        <v>#REF!</v>
      </c>
      <c r="EY136" t="e">
        <f>AND(Bills!#REF!,"AAAAAHaF/Jo=")</f>
        <v>#REF!</v>
      </c>
      <c r="EZ136" t="e">
        <f>AND(Bills!#REF!,"AAAAAHaF/Js=")</f>
        <v>#REF!</v>
      </c>
      <c r="FA136" t="e">
        <f>AND(Bills!AC522,"AAAAAHaF/Jw=")</f>
        <v>#VALUE!</v>
      </c>
      <c r="FB136" t="e">
        <f>AND(Bills!AD522,"AAAAAHaF/J0=")</f>
        <v>#VALUE!</v>
      </c>
      <c r="FC136" t="e">
        <f>AND(Bills!AE522,"AAAAAHaF/J4=")</f>
        <v>#VALUE!</v>
      </c>
      <c r="FD136">
        <f>IF(Bills!523:523,"AAAAAHaF/J8=",0)</f>
        <v>0</v>
      </c>
      <c r="FE136" t="e">
        <f>AND(Bills!B523,"AAAAAHaF/KA=")</f>
        <v>#VALUE!</v>
      </c>
      <c r="FF136" t="e">
        <f>AND(Bills!#REF!,"AAAAAHaF/KE=")</f>
        <v>#REF!</v>
      </c>
      <c r="FG136" t="e">
        <f>AND(Bills!C523,"AAAAAHaF/KI=")</f>
        <v>#VALUE!</v>
      </c>
      <c r="FH136" t="e">
        <f>AND(Bills!D523,"AAAAAHaF/KM=")</f>
        <v>#VALUE!</v>
      </c>
      <c r="FI136" t="e">
        <f>AND(Bills!E523,"AAAAAHaF/KQ=")</f>
        <v>#VALUE!</v>
      </c>
      <c r="FJ136" t="e">
        <f>AND(Bills!#REF!,"AAAAAHaF/KU=")</f>
        <v>#REF!</v>
      </c>
      <c r="FK136" t="e">
        <f>AND(Bills!#REF!,"AAAAAHaF/KY=")</f>
        <v>#REF!</v>
      </c>
      <c r="FL136" t="e">
        <f>AND(Bills!#REF!,"AAAAAHaF/Kc=")</f>
        <v>#REF!</v>
      </c>
      <c r="FM136" t="e">
        <f>AND(Bills!F523,"AAAAAHaF/Kg=")</f>
        <v>#VALUE!</v>
      </c>
      <c r="FN136" t="e">
        <f>AND(Bills!#REF!,"AAAAAHaF/Kk=")</f>
        <v>#REF!</v>
      </c>
      <c r="FO136" t="e">
        <f>AND(Bills!G523,"AAAAAHaF/Ko=")</f>
        <v>#VALUE!</v>
      </c>
      <c r="FP136" t="e">
        <f>AND(Bills!H523,"AAAAAHaF/Ks=")</f>
        <v>#VALUE!</v>
      </c>
      <c r="FQ136" t="e">
        <f>AND(Bills!I523,"AAAAAHaF/Kw=")</f>
        <v>#VALUE!</v>
      </c>
      <c r="FR136" t="e">
        <f>AND(Bills!J523,"AAAAAHaF/K0=")</f>
        <v>#VALUE!</v>
      </c>
      <c r="FS136" t="e">
        <f>AND(Bills!K523,"AAAAAHaF/K4=")</f>
        <v>#VALUE!</v>
      </c>
      <c r="FT136" t="e">
        <f>AND(Bills!L523,"AAAAAHaF/K8=")</f>
        <v>#VALUE!</v>
      </c>
      <c r="FU136" t="e">
        <f>AND(Bills!#REF!,"AAAAAHaF/LA=")</f>
        <v>#REF!</v>
      </c>
      <c r="FV136" t="e">
        <f>AND(Bills!M523,"AAAAAHaF/LE=")</f>
        <v>#VALUE!</v>
      </c>
      <c r="FW136" t="e">
        <f>AND(Bills!N523,"AAAAAHaF/LI=")</f>
        <v>#VALUE!</v>
      </c>
      <c r="FX136" t="e">
        <f>AND(Bills!O523,"AAAAAHaF/LM=")</f>
        <v>#VALUE!</v>
      </c>
      <c r="FY136" t="e">
        <f>AND(Bills!P523,"AAAAAHaF/LQ=")</f>
        <v>#VALUE!</v>
      </c>
      <c r="FZ136" t="e">
        <f>AND(Bills!Q523,"AAAAAHaF/LU=")</f>
        <v>#VALUE!</v>
      </c>
      <c r="GA136" t="e">
        <f>AND(Bills!R523,"AAAAAHaF/LY=")</f>
        <v>#VALUE!</v>
      </c>
      <c r="GB136" t="e">
        <f>AND(Bills!S523,"AAAAAHaF/Lc=")</f>
        <v>#VALUE!</v>
      </c>
      <c r="GC136" t="e">
        <f>AND(Bills!T523,"AAAAAHaF/Lg=")</f>
        <v>#VALUE!</v>
      </c>
      <c r="GD136" t="e">
        <f>AND(Bills!#REF!,"AAAAAHaF/Lk=")</f>
        <v>#REF!</v>
      </c>
      <c r="GE136" t="e">
        <f>AND(Bills!U523,"AAAAAHaF/Lo=")</f>
        <v>#VALUE!</v>
      </c>
      <c r="GF136" t="e">
        <f>AND(Bills!V523,"AAAAAHaF/Ls=")</f>
        <v>#VALUE!</v>
      </c>
      <c r="GG136" t="e">
        <f>AND(Bills!W523,"AAAAAHaF/Lw=")</f>
        <v>#VALUE!</v>
      </c>
      <c r="GH136" t="e">
        <f>AND(Bills!#REF!,"AAAAAHaF/L0=")</f>
        <v>#REF!</v>
      </c>
      <c r="GI136" t="e">
        <f>AND(Bills!#REF!,"AAAAAHaF/L4=")</f>
        <v>#REF!</v>
      </c>
      <c r="GJ136" t="e">
        <f>AND(Bills!Y523,"AAAAAHaF/L8=")</f>
        <v>#VALUE!</v>
      </c>
      <c r="GK136" t="e">
        <f>AND(Bills!Z523,"AAAAAHaF/MA=")</f>
        <v>#VALUE!</v>
      </c>
      <c r="GL136" t="e">
        <f>AND(Bills!#REF!,"AAAAAHaF/ME=")</f>
        <v>#REF!</v>
      </c>
      <c r="GM136" t="e">
        <f>AND(Bills!#REF!,"AAAAAHaF/MI=")</f>
        <v>#REF!</v>
      </c>
      <c r="GN136" t="e">
        <f>AND(Bills!#REF!,"AAAAAHaF/MM=")</f>
        <v>#REF!</v>
      </c>
      <c r="GO136" t="e">
        <f>AND(Bills!#REF!,"AAAAAHaF/MQ=")</f>
        <v>#REF!</v>
      </c>
      <c r="GP136" t="e">
        <f>AND(Bills!#REF!,"AAAAAHaF/MU=")</f>
        <v>#REF!</v>
      </c>
      <c r="GQ136" t="e">
        <f>AND(Bills!#REF!,"AAAAAHaF/MY=")</f>
        <v>#REF!</v>
      </c>
      <c r="GR136" t="e">
        <f>AND(Bills!#REF!,"AAAAAHaF/Mc=")</f>
        <v>#REF!</v>
      </c>
      <c r="GS136" t="e">
        <f>AND(Bills!#REF!,"AAAAAHaF/Mg=")</f>
        <v>#REF!</v>
      </c>
      <c r="GT136" t="e">
        <f>AND(Bills!#REF!,"AAAAAHaF/Mk=")</f>
        <v>#REF!</v>
      </c>
      <c r="GU136" t="e">
        <f>AND(Bills!AA523,"AAAAAHaF/Mo=")</f>
        <v>#VALUE!</v>
      </c>
      <c r="GV136" t="e">
        <f>AND(Bills!AB523,"AAAAAHaF/Ms=")</f>
        <v>#VALUE!</v>
      </c>
      <c r="GW136" t="e">
        <f>AND(Bills!#REF!,"AAAAAHaF/Mw=")</f>
        <v>#REF!</v>
      </c>
      <c r="GX136" t="e">
        <f>AND(Bills!#REF!,"AAAAAHaF/M0=")</f>
        <v>#REF!</v>
      </c>
      <c r="GY136" t="e">
        <f>AND(Bills!#REF!,"AAAAAHaF/M4=")</f>
        <v>#REF!</v>
      </c>
      <c r="GZ136" t="e">
        <f>AND(Bills!AC523,"AAAAAHaF/M8=")</f>
        <v>#VALUE!</v>
      </c>
      <c r="HA136" t="e">
        <f>AND(Bills!AD523,"AAAAAHaF/NA=")</f>
        <v>#VALUE!</v>
      </c>
      <c r="HB136" t="e">
        <f>AND(Bills!AE523,"AAAAAHaF/NE=")</f>
        <v>#VALUE!</v>
      </c>
      <c r="HC136">
        <f>IF(Bills!524:524,"AAAAAHaF/NI=",0)</f>
        <v>0</v>
      </c>
      <c r="HD136" t="e">
        <f>AND(Bills!B524,"AAAAAHaF/NM=")</f>
        <v>#VALUE!</v>
      </c>
      <c r="HE136" t="e">
        <f>AND(Bills!#REF!,"AAAAAHaF/NQ=")</f>
        <v>#REF!</v>
      </c>
      <c r="HF136" t="e">
        <f>AND(Bills!C524,"AAAAAHaF/NU=")</f>
        <v>#VALUE!</v>
      </c>
      <c r="HG136" t="e">
        <f>AND(Bills!D524,"AAAAAHaF/NY=")</f>
        <v>#VALUE!</v>
      </c>
      <c r="HH136" t="e">
        <f>AND(Bills!E524,"AAAAAHaF/Nc=")</f>
        <v>#VALUE!</v>
      </c>
      <c r="HI136" t="e">
        <f>AND(Bills!#REF!,"AAAAAHaF/Ng=")</f>
        <v>#REF!</v>
      </c>
      <c r="HJ136" t="e">
        <f>AND(Bills!#REF!,"AAAAAHaF/Nk=")</f>
        <v>#REF!</v>
      </c>
      <c r="HK136" t="e">
        <f>AND(Bills!#REF!,"AAAAAHaF/No=")</f>
        <v>#REF!</v>
      </c>
      <c r="HL136" t="e">
        <f>AND(Bills!F524,"AAAAAHaF/Ns=")</f>
        <v>#VALUE!</v>
      </c>
      <c r="HM136" t="e">
        <f>AND(Bills!#REF!,"AAAAAHaF/Nw=")</f>
        <v>#REF!</v>
      </c>
      <c r="HN136" t="e">
        <f>AND(Bills!G524,"AAAAAHaF/N0=")</f>
        <v>#VALUE!</v>
      </c>
      <c r="HO136" t="e">
        <f>AND(Bills!H524,"AAAAAHaF/N4=")</f>
        <v>#VALUE!</v>
      </c>
      <c r="HP136" t="e">
        <f>AND(Bills!I524,"AAAAAHaF/N8=")</f>
        <v>#VALUE!</v>
      </c>
      <c r="HQ136" t="e">
        <f>AND(Bills!J524,"AAAAAHaF/OA=")</f>
        <v>#VALUE!</v>
      </c>
      <c r="HR136" t="e">
        <f>AND(Bills!K524,"AAAAAHaF/OE=")</f>
        <v>#VALUE!</v>
      </c>
      <c r="HS136" t="e">
        <f>AND(Bills!L524,"AAAAAHaF/OI=")</f>
        <v>#VALUE!</v>
      </c>
      <c r="HT136" t="e">
        <f>AND(Bills!#REF!,"AAAAAHaF/OM=")</f>
        <v>#REF!</v>
      </c>
      <c r="HU136" t="e">
        <f>AND(Bills!M524,"AAAAAHaF/OQ=")</f>
        <v>#VALUE!</v>
      </c>
      <c r="HV136" t="e">
        <f>AND(Bills!N524,"AAAAAHaF/OU=")</f>
        <v>#VALUE!</v>
      </c>
      <c r="HW136" t="e">
        <f>AND(Bills!O524,"AAAAAHaF/OY=")</f>
        <v>#VALUE!</v>
      </c>
      <c r="HX136" t="e">
        <f>AND(Bills!P524,"AAAAAHaF/Oc=")</f>
        <v>#VALUE!</v>
      </c>
      <c r="HY136" t="e">
        <f>AND(Bills!Q524,"AAAAAHaF/Og=")</f>
        <v>#VALUE!</v>
      </c>
      <c r="HZ136" t="e">
        <f>AND(Bills!R524,"AAAAAHaF/Ok=")</f>
        <v>#VALUE!</v>
      </c>
      <c r="IA136" t="e">
        <f>AND(Bills!S524,"AAAAAHaF/Oo=")</f>
        <v>#VALUE!</v>
      </c>
      <c r="IB136" t="e">
        <f>AND(Bills!T524,"AAAAAHaF/Os=")</f>
        <v>#VALUE!</v>
      </c>
      <c r="IC136" t="e">
        <f>AND(Bills!#REF!,"AAAAAHaF/Ow=")</f>
        <v>#REF!</v>
      </c>
      <c r="ID136" t="e">
        <f>AND(Bills!U524,"AAAAAHaF/O0=")</f>
        <v>#VALUE!</v>
      </c>
      <c r="IE136" t="e">
        <f>AND(Bills!V524,"AAAAAHaF/O4=")</f>
        <v>#VALUE!</v>
      </c>
      <c r="IF136" t="e">
        <f>AND(Bills!W524,"AAAAAHaF/O8=")</f>
        <v>#VALUE!</v>
      </c>
      <c r="IG136" t="e">
        <f>AND(Bills!#REF!,"AAAAAHaF/PA=")</f>
        <v>#REF!</v>
      </c>
      <c r="IH136" t="e">
        <f>AND(Bills!#REF!,"AAAAAHaF/PE=")</f>
        <v>#REF!</v>
      </c>
      <c r="II136" t="e">
        <f>AND(Bills!Y524,"AAAAAHaF/PI=")</f>
        <v>#VALUE!</v>
      </c>
      <c r="IJ136" t="e">
        <f>AND(Bills!Z524,"AAAAAHaF/PM=")</f>
        <v>#VALUE!</v>
      </c>
      <c r="IK136" t="e">
        <f>AND(Bills!#REF!,"AAAAAHaF/PQ=")</f>
        <v>#REF!</v>
      </c>
      <c r="IL136" t="e">
        <f>AND(Bills!#REF!,"AAAAAHaF/PU=")</f>
        <v>#REF!</v>
      </c>
      <c r="IM136" t="e">
        <f>AND(Bills!#REF!,"AAAAAHaF/PY=")</f>
        <v>#REF!</v>
      </c>
      <c r="IN136" t="e">
        <f>AND(Bills!#REF!,"AAAAAHaF/Pc=")</f>
        <v>#REF!</v>
      </c>
      <c r="IO136" t="e">
        <f>AND(Bills!#REF!,"AAAAAHaF/Pg=")</f>
        <v>#REF!</v>
      </c>
      <c r="IP136" t="e">
        <f>AND(Bills!#REF!,"AAAAAHaF/Pk=")</f>
        <v>#REF!</v>
      </c>
      <c r="IQ136" t="e">
        <f>AND(Bills!#REF!,"AAAAAHaF/Po=")</f>
        <v>#REF!</v>
      </c>
      <c r="IR136" t="e">
        <f>AND(Bills!#REF!,"AAAAAHaF/Ps=")</f>
        <v>#REF!</v>
      </c>
      <c r="IS136" t="e">
        <f>AND(Bills!#REF!,"AAAAAHaF/Pw=")</f>
        <v>#REF!</v>
      </c>
      <c r="IT136" t="e">
        <f>AND(Bills!AA524,"AAAAAHaF/P0=")</f>
        <v>#VALUE!</v>
      </c>
      <c r="IU136" t="e">
        <f>AND(Bills!AB524,"AAAAAHaF/P4=")</f>
        <v>#VALUE!</v>
      </c>
      <c r="IV136" t="e">
        <f>AND(Bills!#REF!,"AAAAAHaF/P8=")</f>
        <v>#REF!</v>
      </c>
    </row>
    <row r="137" spans="1:256" x14ac:dyDescent="0.25">
      <c r="A137" t="e">
        <f>AND(Bills!#REF!,"AAAAAEf8+wA=")</f>
        <v>#REF!</v>
      </c>
      <c r="B137" t="e">
        <f>AND(Bills!#REF!,"AAAAAEf8+wE=")</f>
        <v>#REF!</v>
      </c>
      <c r="C137" t="e">
        <f>AND(Bills!AC524,"AAAAAEf8+wI=")</f>
        <v>#VALUE!</v>
      </c>
      <c r="D137" t="e">
        <f>AND(Bills!AD524,"AAAAAEf8+wM=")</f>
        <v>#VALUE!</v>
      </c>
      <c r="E137" t="e">
        <f>AND(Bills!AE524,"AAAAAEf8+wQ=")</f>
        <v>#VALUE!</v>
      </c>
      <c r="F137">
        <f>IF(Bills!525:525,"AAAAAEf8+wU=",0)</f>
        <v>0</v>
      </c>
      <c r="G137" t="e">
        <f>AND(Bills!B525,"AAAAAEf8+wY=")</f>
        <v>#VALUE!</v>
      </c>
      <c r="H137" t="e">
        <f>AND(Bills!#REF!,"AAAAAEf8+wc=")</f>
        <v>#REF!</v>
      </c>
      <c r="I137" t="e">
        <f>AND(Bills!C525,"AAAAAEf8+wg=")</f>
        <v>#VALUE!</v>
      </c>
      <c r="J137" t="e">
        <f>AND(Bills!D525,"AAAAAEf8+wk=")</f>
        <v>#VALUE!</v>
      </c>
      <c r="K137" t="e">
        <f>AND(Bills!E525,"AAAAAEf8+wo=")</f>
        <v>#VALUE!</v>
      </c>
      <c r="L137" t="e">
        <f>AND(Bills!#REF!,"AAAAAEf8+ws=")</f>
        <v>#REF!</v>
      </c>
      <c r="M137" t="e">
        <f>AND(Bills!#REF!,"AAAAAEf8+ww=")</f>
        <v>#REF!</v>
      </c>
      <c r="N137" t="e">
        <f>AND(Bills!#REF!,"AAAAAEf8+w0=")</f>
        <v>#REF!</v>
      </c>
      <c r="O137" t="e">
        <f>AND(Bills!F525,"AAAAAEf8+w4=")</f>
        <v>#VALUE!</v>
      </c>
      <c r="P137" t="e">
        <f>AND(Bills!#REF!,"AAAAAEf8+w8=")</f>
        <v>#REF!</v>
      </c>
      <c r="Q137" t="e">
        <f>AND(Bills!G525,"AAAAAEf8+xA=")</f>
        <v>#VALUE!</v>
      </c>
      <c r="R137" t="e">
        <f>AND(Bills!H525,"AAAAAEf8+xE=")</f>
        <v>#VALUE!</v>
      </c>
      <c r="S137" t="e">
        <f>AND(Bills!I525,"AAAAAEf8+xI=")</f>
        <v>#VALUE!</v>
      </c>
      <c r="T137" t="e">
        <f>AND(Bills!J525,"AAAAAEf8+xM=")</f>
        <v>#VALUE!</v>
      </c>
      <c r="U137" t="e">
        <f>AND(Bills!K525,"AAAAAEf8+xQ=")</f>
        <v>#VALUE!</v>
      </c>
      <c r="V137" t="e">
        <f>AND(Bills!L525,"AAAAAEf8+xU=")</f>
        <v>#VALUE!</v>
      </c>
      <c r="W137" t="e">
        <f>AND(Bills!#REF!,"AAAAAEf8+xY=")</f>
        <v>#REF!</v>
      </c>
      <c r="X137" t="e">
        <f>AND(Bills!M525,"AAAAAEf8+xc=")</f>
        <v>#VALUE!</v>
      </c>
      <c r="Y137" t="e">
        <f>AND(Bills!N525,"AAAAAEf8+xg=")</f>
        <v>#VALUE!</v>
      </c>
      <c r="Z137" t="e">
        <f>AND(Bills!O525,"AAAAAEf8+xk=")</f>
        <v>#VALUE!</v>
      </c>
      <c r="AA137" t="e">
        <f>AND(Bills!P525,"AAAAAEf8+xo=")</f>
        <v>#VALUE!</v>
      </c>
      <c r="AB137" t="e">
        <f>AND(Bills!Q525,"AAAAAEf8+xs=")</f>
        <v>#VALUE!</v>
      </c>
      <c r="AC137" t="e">
        <f>AND(Bills!R525,"AAAAAEf8+xw=")</f>
        <v>#VALUE!</v>
      </c>
      <c r="AD137" t="e">
        <f>AND(Bills!S525,"AAAAAEf8+x0=")</f>
        <v>#VALUE!</v>
      </c>
      <c r="AE137" t="e">
        <f>AND(Bills!T525,"AAAAAEf8+x4=")</f>
        <v>#VALUE!</v>
      </c>
      <c r="AF137" t="e">
        <f>AND(Bills!#REF!,"AAAAAEf8+x8=")</f>
        <v>#REF!</v>
      </c>
      <c r="AG137" t="e">
        <f>AND(Bills!U525,"AAAAAEf8+yA=")</f>
        <v>#VALUE!</v>
      </c>
      <c r="AH137" t="e">
        <f>AND(Bills!V525,"AAAAAEf8+yE=")</f>
        <v>#VALUE!</v>
      </c>
      <c r="AI137" t="e">
        <f>AND(Bills!W525,"AAAAAEf8+yI=")</f>
        <v>#VALUE!</v>
      </c>
      <c r="AJ137" t="e">
        <f>AND(Bills!#REF!,"AAAAAEf8+yM=")</f>
        <v>#REF!</v>
      </c>
      <c r="AK137" t="e">
        <f>AND(Bills!#REF!,"AAAAAEf8+yQ=")</f>
        <v>#REF!</v>
      </c>
      <c r="AL137" t="e">
        <f>AND(Bills!Y525,"AAAAAEf8+yU=")</f>
        <v>#VALUE!</v>
      </c>
      <c r="AM137" t="e">
        <f>AND(Bills!Z525,"AAAAAEf8+yY=")</f>
        <v>#VALUE!</v>
      </c>
      <c r="AN137" t="e">
        <f>AND(Bills!#REF!,"AAAAAEf8+yc=")</f>
        <v>#REF!</v>
      </c>
      <c r="AO137" t="e">
        <f>AND(Bills!#REF!,"AAAAAEf8+yg=")</f>
        <v>#REF!</v>
      </c>
      <c r="AP137" t="e">
        <f>AND(Bills!#REF!,"AAAAAEf8+yk=")</f>
        <v>#REF!</v>
      </c>
      <c r="AQ137" t="e">
        <f>AND(Bills!#REF!,"AAAAAEf8+yo=")</f>
        <v>#REF!</v>
      </c>
      <c r="AR137" t="e">
        <f>AND(Bills!#REF!,"AAAAAEf8+ys=")</f>
        <v>#REF!</v>
      </c>
      <c r="AS137" t="e">
        <f>AND(Bills!#REF!,"AAAAAEf8+yw=")</f>
        <v>#REF!</v>
      </c>
      <c r="AT137" t="e">
        <f>AND(Bills!#REF!,"AAAAAEf8+y0=")</f>
        <v>#REF!</v>
      </c>
      <c r="AU137" t="e">
        <f>AND(Bills!#REF!,"AAAAAEf8+y4=")</f>
        <v>#REF!</v>
      </c>
      <c r="AV137" t="e">
        <f>AND(Bills!#REF!,"AAAAAEf8+y8=")</f>
        <v>#REF!</v>
      </c>
      <c r="AW137" t="e">
        <f>AND(Bills!AA525,"AAAAAEf8+zA=")</f>
        <v>#VALUE!</v>
      </c>
      <c r="AX137" t="e">
        <f>AND(Bills!AB525,"AAAAAEf8+zE=")</f>
        <v>#VALUE!</v>
      </c>
      <c r="AY137" t="e">
        <f>AND(Bills!#REF!,"AAAAAEf8+zI=")</f>
        <v>#REF!</v>
      </c>
      <c r="AZ137" t="e">
        <f>AND(Bills!#REF!,"AAAAAEf8+zM=")</f>
        <v>#REF!</v>
      </c>
      <c r="BA137" t="e">
        <f>AND(Bills!#REF!,"AAAAAEf8+zQ=")</f>
        <v>#REF!</v>
      </c>
      <c r="BB137" t="e">
        <f>AND(Bills!AC525,"AAAAAEf8+zU=")</f>
        <v>#VALUE!</v>
      </c>
      <c r="BC137" t="e">
        <f>AND(Bills!AD525,"AAAAAEf8+zY=")</f>
        <v>#VALUE!</v>
      </c>
      <c r="BD137" t="e">
        <f>AND(Bills!AE525,"AAAAAEf8+zc=")</f>
        <v>#VALUE!</v>
      </c>
      <c r="BE137">
        <f>IF(Bills!526:526,"AAAAAEf8+zg=",0)</f>
        <v>0</v>
      </c>
      <c r="BF137" t="e">
        <f>AND(Bills!B526,"AAAAAEf8+zk=")</f>
        <v>#VALUE!</v>
      </c>
      <c r="BG137" t="e">
        <f>AND(Bills!#REF!,"AAAAAEf8+zo=")</f>
        <v>#REF!</v>
      </c>
      <c r="BH137" t="e">
        <f>AND(Bills!C526,"AAAAAEf8+zs=")</f>
        <v>#VALUE!</v>
      </c>
      <c r="BI137" t="e">
        <f>AND(Bills!D526,"AAAAAEf8+zw=")</f>
        <v>#VALUE!</v>
      </c>
      <c r="BJ137" t="e">
        <f>AND(Bills!E526,"AAAAAEf8+z0=")</f>
        <v>#VALUE!</v>
      </c>
      <c r="BK137" t="e">
        <f>AND(Bills!#REF!,"AAAAAEf8+z4=")</f>
        <v>#REF!</v>
      </c>
      <c r="BL137" t="e">
        <f>AND(Bills!#REF!,"AAAAAEf8+z8=")</f>
        <v>#REF!</v>
      </c>
      <c r="BM137" t="e">
        <f>AND(Bills!#REF!,"AAAAAEf8+0A=")</f>
        <v>#REF!</v>
      </c>
      <c r="BN137" t="e">
        <f>AND(Bills!F526,"AAAAAEf8+0E=")</f>
        <v>#VALUE!</v>
      </c>
      <c r="BO137" t="e">
        <f>AND(Bills!#REF!,"AAAAAEf8+0I=")</f>
        <v>#REF!</v>
      </c>
      <c r="BP137" t="e">
        <f>AND(Bills!G526,"AAAAAEf8+0M=")</f>
        <v>#VALUE!</v>
      </c>
      <c r="BQ137" t="e">
        <f>AND(Bills!H526,"AAAAAEf8+0Q=")</f>
        <v>#VALUE!</v>
      </c>
      <c r="BR137" t="e">
        <f>AND(Bills!I526,"AAAAAEf8+0U=")</f>
        <v>#VALUE!</v>
      </c>
      <c r="BS137" t="e">
        <f>AND(Bills!J526,"AAAAAEf8+0Y=")</f>
        <v>#VALUE!</v>
      </c>
      <c r="BT137" t="e">
        <f>AND(Bills!K526,"AAAAAEf8+0c=")</f>
        <v>#VALUE!</v>
      </c>
      <c r="BU137" t="e">
        <f>AND(Bills!L526,"AAAAAEf8+0g=")</f>
        <v>#VALUE!</v>
      </c>
      <c r="BV137" t="e">
        <f>AND(Bills!#REF!,"AAAAAEf8+0k=")</f>
        <v>#REF!</v>
      </c>
      <c r="BW137" t="e">
        <f>AND(Bills!M526,"AAAAAEf8+0o=")</f>
        <v>#VALUE!</v>
      </c>
      <c r="BX137" t="e">
        <f>AND(Bills!N526,"AAAAAEf8+0s=")</f>
        <v>#VALUE!</v>
      </c>
      <c r="BY137" t="e">
        <f>AND(Bills!O526,"AAAAAEf8+0w=")</f>
        <v>#VALUE!</v>
      </c>
      <c r="BZ137" t="e">
        <f>AND(Bills!P526,"AAAAAEf8+00=")</f>
        <v>#VALUE!</v>
      </c>
      <c r="CA137" t="e">
        <f>AND(Bills!Q526,"AAAAAEf8+04=")</f>
        <v>#VALUE!</v>
      </c>
      <c r="CB137" t="e">
        <f>AND(Bills!R526,"AAAAAEf8+08=")</f>
        <v>#VALUE!</v>
      </c>
      <c r="CC137" t="e">
        <f>AND(Bills!S526,"AAAAAEf8+1A=")</f>
        <v>#VALUE!</v>
      </c>
      <c r="CD137" t="e">
        <f>AND(Bills!T526,"AAAAAEf8+1E=")</f>
        <v>#VALUE!</v>
      </c>
      <c r="CE137" t="e">
        <f>AND(Bills!#REF!,"AAAAAEf8+1I=")</f>
        <v>#REF!</v>
      </c>
      <c r="CF137" t="e">
        <f>AND(Bills!U526,"AAAAAEf8+1M=")</f>
        <v>#VALUE!</v>
      </c>
      <c r="CG137" t="e">
        <f>AND(Bills!V526,"AAAAAEf8+1Q=")</f>
        <v>#VALUE!</v>
      </c>
      <c r="CH137" t="e">
        <f>AND(Bills!W526,"AAAAAEf8+1U=")</f>
        <v>#VALUE!</v>
      </c>
      <c r="CI137" t="e">
        <f>AND(Bills!#REF!,"AAAAAEf8+1Y=")</f>
        <v>#REF!</v>
      </c>
      <c r="CJ137" t="e">
        <f>AND(Bills!#REF!,"AAAAAEf8+1c=")</f>
        <v>#REF!</v>
      </c>
      <c r="CK137" t="e">
        <f>AND(Bills!Y526,"AAAAAEf8+1g=")</f>
        <v>#VALUE!</v>
      </c>
      <c r="CL137" t="e">
        <f>AND(Bills!Z526,"AAAAAEf8+1k=")</f>
        <v>#VALUE!</v>
      </c>
      <c r="CM137" t="e">
        <f>AND(Bills!#REF!,"AAAAAEf8+1o=")</f>
        <v>#REF!</v>
      </c>
      <c r="CN137" t="e">
        <f>AND(Bills!#REF!,"AAAAAEf8+1s=")</f>
        <v>#REF!</v>
      </c>
      <c r="CO137" t="e">
        <f>AND(Bills!#REF!,"AAAAAEf8+1w=")</f>
        <v>#REF!</v>
      </c>
      <c r="CP137" t="e">
        <f>AND(Bills!#REF!,"AAAAAEf8+10=")</f>
        <v>#REF!</v>
      </c>
      <c r="CQ137" t="e">
        <f>AND(Bills!#REF!,"AAAAAEf8+14=")</f>
        <v>#REF!</v>
      </c>
      <c r="CR137" t="e">
        <f>AND(Bills!#REF!,"AAAAAEf8+18=")</f>
        <v>#REF!</v>
      </c>
      <c r="CS137" t="e">
        <f>AND(Bills!#REF!,"AAAAAEf8+2A=")</f>
        <v>#REF!</v>
      </c>
      <c r="CT137" t="e">
        <f>AND(Bills!#REF!,"AAAAAEf8+2E=")</f>
        <v>#REF!</v>
      </c>
      <c r="CU137" t="e">
        <f>AND(Bills!#REF!,"AAAAAEf8+2I=")</f>
        <v>#REF!</v>
      </c>
      <c r="CV137" t="e">
        <f>AND(Bills!AA526,"AAAAAEf8+2M=")</f>
        <v>#VALUE!</v>
      </c>
      <c r="CW137" t="e">
        <f>AND(Bills!AB526,"AAAAAEf8+2Q=")</f>
        <v>#VALUE!</v>
      </c>
      <c r="CX137" t="e">
        <f>AND(Bills!#REF!,"AAAAAEf8+2U=")</f>
        <v>#REF!</v>
      </c>
      <c r="CY137" t="e">
        <f>AND(Bills!#REF!,"AAAAAEf8+2Y=")</f>
        <v>#REF!</v>
      </c>
      <c r="CZ137" t="e">
        <f>AND(Bills!#REF!,"AAAAAEf8+2c=")</f>
        <v>#REF!</v>
      </c>
      <c r="DA137" t="e">
        <f>AND(Bills!AC526,"AAAAAEf8+2g=")</f>
        <v>#VALUE!</v>
      </c>
      <c r="DB137" t="e">
        <f>AND(Bills!AD526,"AAAAAEf8+2k=")</f>
        <v>#VALUE!</v>
      </c>
      <c r="DC137" t="e">
        <f>AND(Bills!AE526,"AAAAAEf8+2o=")</f>
        <v>#VALUE!</v>
      </c>
      <c r="DD137">
        <f>IF(Bills!527:527,"AAAAAEf8+2s=",0)</f>
        <v>0</v>
      </c>
      <c r="DE137" t="e">
        <f>AND(Bills!B527,"AAAAAEf8+2w=")</f>
        <v>#VALUE!</v>
      </c>
      <c r="DF137" t="e">
        <f>AND(Bills!#REF!,"AAAAAEf8+20=")</f>
        <v>#REF!</v>
      </c>
      <c r="DG137" t="e">
        <f>AND(Bills!C527,"AAAAAEf8+24=")</f>
        <v>#VALUE!</v>
      </c>
      <c r="DH137" t="e">
        <f>AND(Bills!D527,"AAAAAEf8+28=")</f>
        <v>#VALUE!</v>
      </c>
      <c r="DI137" t="e">
        <f>AND(Bills!E527,"AAAAAEf8+3A=")</f>
        <v>#VALUE!</v>
      </c>
      <c r="DJ137" t="e">
        <f>AND(Bills!#REF!,"AAAAAEf8+3E=")</f>
        <v>#REF!</v>
      </c>
      <c r="DK137" t="e">
        <f>AND(Bills!#REF!,"AAAAAEf8+3I=")</f>
        <v>#REF!</v>
      </c>
      <c r="DL137" t="e">
        <f>AND(Bills!#REF!,"AAAAAEf8+3M=")</f>
        <v>#REF!</v>
      </c>
      <c r="DM137" t="e">
        <f>AND(Bills!F527,"AAAAAEf8+3Q=")</f>
        <v>#VALUE!</v>
      </c>
      <c r="DN137" t="e">
        <f>AND(Bills!#REF!,"AAAAAEf8+3U=")</f>
        <v>#REF!</v>
      </c>
      <c r="DO137" t="e">
        <f>AND(Bills!G527,"AAAAAEf8+3Y=")</f>
        <v>#VALUE!</v>
      </c>
      <c r="DP137" t="e">
        <f>AND(Bills!H527,"AAAAAEf8+3c=")</f>
        <v>#VALUE!</v>
      </c>
      <c r="DQ137" t="e">
        <f>AND(Bills!I527,"AAAAAEf8+3g=")</f>
        <v>#VALUE!</v>
      </c>
      <c r="DR137" t="e">
        <f>AND(Bills!J527,"AAAAAEf8+3k=")</f>
        <v>#VALUE!</v>
      </c>
      <c r="DS137" t="e">
        <f>AND(Bills!K527,"AAAAAEf8+3o=")</f>
        <v>#VALUE!</v>
      </c>
      <c r="DT137" t="e">
        <f>AND(Bills!L527,"AAAAAEf8+3s=")</f>
        <v>#VALUE!</v>
      </c>
      <c r="DU137" t="e">
        <f>AND(Bills!#REF!,"AAAAAEf8+3w=")</f>
        <v>#REF!</v>
      </c>
      <c r="DV137" t="e">
        <f>AND(Bills!M527,"AAAAAEf8+30=")</f>
        <v>#VALUE!</v>
      </c>
      <c r="DW137" t="e">
        <f>AND(Bills!N527,"AAAAAEf8+34=")</f>
        <v>#VALUE!</v>
      </c>
      <c r="DX137" t="e">
        <f>AND(Bills!O527,"AAAAAEf8+38=")</f>
        <v>#VALUE!</v>
      </c>
      <c r="DY137" t="e">
        <f>AND(Bills!P527,"AAAAAEf8+4A=")</f>
        <v>#VALUE!</v>
      </c>
      <c r="DZ137" t="e">
        <f>AND(Bills!Q527,"AAAAAEf8+4E=")</f>
        <v>#VALUE!</v>
      </c>
      <c r="EA137" t="e">
        <f>AND(Bills!R527,"AAAAAEf8+4I=")</f>
        <v>#VALUE!</v>
      </c>
      <c r="EB137" t="e">
        <f>AND(Bills!S527,"AAAAAEf8+4M=")</f>
        <v>#VALUE!</v>
      </c>
      <c r="EC137" t="e">
        <f>AND(Bills!T527,"AAAAAEf8+4Q=")</f>
        <v>#VALUE!</v>
      </c>
      <c r="ED137" t="e">
        <f>AND(Bills!#REF!,"AAAAAEf8+4U=")</f>
        <v>#REF!</v>
      </c>
      <c r="EE137" t="e">
        <f>AND(Bills!U527,"AAAAAEf8+4Y=")</f>
        <v>#VALUE!</v>
      </c>
      <c r="EF137" t="e">
        <f>AND(Bills!V527,"AAAAAEf8+4c=")</f>
        <v>#VALUE!</v>
      </c>
      <c r="EG137" t="e">
        <f>AND(Bills!W527,"AAAAAEf8+4g=")</f>
        <v>#VALUE!</v>
      </c>
      <c r="EH137" t="e">
        <f>AND(Bills!#REF!,"AAAAAEf8+4k=")</f>
        <v>#REF!</v>
      </c>
      <c r="EI137" t="e">
        <f>AND(Bills!#REF!,"AAAAAEf8+4o=")</f>
        <v>#REF!</v>
      </c>
      <c r="EJ137" t="e">
        <f>AND(Bills!Y527,"AAAAAEf8+4s=")</f>
        <v>#VALUE!</v>
      </c>
      <c r="EK137" t="e">
        <f>AND(Bills!Z527,"AAAAAEf8+4w=")</f>
        <v>#VALUE!</v>
      </c>
      <c r="EL137" t="e">
        <f>AND(Bills!#REF!,"AAAAAEf8+40=")</f>
        <v>#REF!</v>
      </c>
      <c r="EM137" t="e">
        <f>AND(Bills!#REF!,"AAAAAEf8+44=")</f>
        <v>#REF!</v>
      </c>
      <c r="EN137" t="e">
        <f>AND(Bills!#REF!,"AAAAAEf8+48=")</f>
        <v>#REF!</v>
      </c>
      <c r="EO137" t="e">
        <f>AND(Bills!#REF!,"AAAAAEf8+5A=")</f>
        <v>#REF!</v>
      </c>
      <c r="EP137" t="e">
        <f>AND(Bills!#REF!,"AAAAAEf8+5E=")</f>
        <v>#REF!</v>
      </c>
      <c r="EQ137" t="e">
        <f>AND(Bills!#REF!,"AAAAAEf8+5I=")</f>
        <v>#REF!</v>
      </c>
      <c r="ER137" t="e">
        <f>AND(Bills!#REF!,"AAAAAEf8+5M=")</f>
        <v>#REF!</v>
      </c>
      <c r="ES137" t="e">
        <f>AND(Bills!#REF!,"AAAAAEf8+5Q=")</f>
        <v>#REF!</v>
      </c>
      <c r="ET137" t="e">
        <f>AND(Bills!#REF!,"AAAAAEf8+5U=")</f>
        <v>#REF!</v>
      </c>
      <c r="EU137" t="e">
        <f>AND(Bills!AA527,"AAAAAEf8+5Y=")</f>
        <v>#VALUE!</v>
      </c>
      <c r="EV137" t="e">
        <f>AND(Bills!AB527,"AAAAAEf8+5c=")</f>
        <v>#VALUE!</v>
      </c>
      <c r="EW137" t="e">
        <f>AND(Bills!#REF!,"AAAAAEf8+5g=")</f>
        <v>#REF!</v>
      </c>
      <c r="EX137" t="e">
        <f>AND(Bills!#REF!,"AAAAAEf8+5k=")</f>
        <v>#REF!</v>
      </c>
      <c r="EY137" t="e">
        <f>AND(Bills!#REF!,"AAAAAEf8+5o=")</f>
        <v>#REF!</v>
      </c>
      <c r="EZ137" t="e">
        <f>AND(Bills!AC527,"AAAAAEf8+5s=")</f>
        <v>#VALUE!</v>
      </c>
      <c r="FA137" t="e">
        <f>AND(Bills!AD527,"AAAAAEf8+5w=")</f>
        <v>#VALUE!</v>
      </c>
      <c r="FB137" t="e">
        <f>AND(Bills!AE527,"AAAAAEf8+50=")</f>
        <v>#VALUE!</v>
      </c>
      <c r="FC137">
        <f>IF(Bills!528:528,"AAAAAEf8+54=",0)</f>
        <v>0</v>
      </c>
      <c r="FD137" t="e">
        <f>AND(Bills!B528,"AAAAAEf8+58=")</f>
        <v>#VALUE!</v>
      </c>
      <c r="FE137" t="e">
        <f>AND(Bills!#REF!,"AAAAAEf8+6A=")</f>
        <v>#REF!</v>
      </c>
      <c r="FF137" t="e">
        <f>AND(Bills!C528,"AAAAAEf8+6E=")</f>
        <v>#VALUE!</v>
      </c>
      <c r="FG137" t="e">
        <f>AND(Bills!D528,"AAAAAEf8+6I=")</f>
        <v>#VALUE!</v>
      </c>
      <c r="FH137" t="e">
        <f>AND(Bills!E528,"AAAAAEf8+6M=")</f>
        <v>#VALUE!</v>
      </c>
      <c r="FI137" t="e">
        <f>AND(Bills!#REF!,"AAAAAEf8+6Q=")</f>
        <v>#REF!</v>
      </c>
      <c r="FJ137" t="e">
        <f>AND(Bills!#REF!,"AAAAAEf8+6U=")</f>
        <v>#REF!</v>
      </c>
      <c r="FK137" t="e">
        <f>AND(Bills!#REF!,"AAAAAEf8+6Y=")</f>
        <v>#REF!</v>
      </c>
      <c r="FL137" t="e">
        <f>AND(Bills!F528,"AAAAAEf8+6c=")</f>
        <v>#VALUE!</v>
      </c>
      <c r="FM137" t="e">
        <f>AND(Bills!#REF!,"AAAAAEf8+6g=")</f>
        <v>#REF!</v>
      </c>
      <c r="FN137" t="e">
        <f>AND(Bills!G528,"AAAAAEf8+6k=")</f>
        <v>#VALUE!</v>
      </c>
      <c r="FO137" t="e">
        <f>AND(Bills!H528,"AAAAAEf8+6o=")</f>
        <v>#VALUE!</v>
      </c>
      <c r="FP137" t="e">
        <f>AND(Bills!I528,"AAAAAEf8+6s=")</f>
        <v>#VALUE!</v>
      </c>
      <c r="FQ137" t="e">
        <f>AND(Bills!J528,"AAAAAEf8+6w=")</f>
        <v>#VALUE!</v>
      </c>
      <c r="FR137" t="e">
        <f>AND(Bills!K528,"AAAAAEf8+60=")</f>
        <v>#VALUE!</v>
      </c>
      <c r="FS137" t="e">
        <f>AND(Bills!L528,"AAAAAEf8+64=")</f>
        <v>#VALUE!</v>
      </c>
      <c r="FT137" t="e">
        <f>AND(Bills!#REF!,"AAAAAEf8+68=")</f>
        <v>#REF!</v>
      </c>
      <c r="FU137" t="e">
        <f>AND(Bills!M528,"AAAAAEf8+7A=")</f>
        <v>#VALUE!</v>
      </c>
      <c r="FV137" t="e">
        <f>AND(Bills!N528,"AAAAAEf8+7E=")</f>
        <v>#VALUE!</v>
      </c>
      <c r="FW137" t="e">
        <f>AND(Bills!O528,"AAAAAEf8+7I=")</f>
        <v>#VALUE!</v>
      </c>
      <c r="FX137" t="e">
        <f>AND(Bills!P528,"AAAAAEf8+7M=")</f>
        <v>#VALUE!</v>
      </c>
      <c r="FY137" t="e">
        <f>AND(Bills!Q528,"AAAAAEf8+7Q=")</f>
        <v>#VALUE!</v>
      </c>
      <c r="FZ137" t="e">
        <f>AND(Bills!R528,"AAAAAEf8+7U=")</f>
        <v>#VALUE!</v>
      </c>
      <c r="GA137" t="e">
        <f>AND(Bills!S528,"AAAAAEf8+7Y=")</f>
        <v>#VALUE!</v>
      </c>
      <c r="GB137" t="e">
        <f>AND(Bills!T528,"AAAAAEf8+7c=")</f>
        <v>#VALUE!</v>
      </c>
      <c r="GC137" t="e">
        <f>AND(Bills!#REF!,"AAAAAEf8+7g=")</f>
        <v>#REF!</v>
      </c>
      <c r="GD137" t="e">
        <f>AND(Bills!U528,"AAAAAEf8+7k=")</f>
        <v>#VALUE!</v>
      </c>
      <c r="GE137" t="e">
        <f>AND(Bills!V528,"AAAAAEf8+7o=")</f>
        <v>#VALUE!</v>
      </c>
      <c r="GF137" t="e">
        <f>AND(Bills!W528,"AAAAAEf8+7s=")</f>
        <v>#VALUE!</v>
      </c>
      <c r="GG137" t="e">
        <f>AND(Bills!#REF!,"AAAAAEf8+7w=")</f>
        <v>#REF!</v>
      </c>
      <c r="GH137" t="e">
        <f>AND(Bills!#REF!,"AAAAAEf8+70=")</f>
        <v>#REF!</v>
      </c>
      <c r="GI137" t="e">
        <f>AND(Bills!Y528,"AAAAAEf8+74=")</f>
        <v>#VALUE!</v>
      </c>
      <c r="GJ137" t="e">
        <f>AND(Bills!Z528,"AAAAAEf8+78=")</f>
        <v>#VALUE!</v>
      </c>
      <c r="GK137" t="e">
        <f>AND(Bills!#REF!,"AAAAAEf8+8A=")</f>
        <v>#REF!</v>
      </c>
      <c r="GL137" t="e">
        <f>AND(Bills!#REF!,"AAAAAEf8+8E=")</f>
        <v>#REF!</v>
      </c>
      <c r="GM137" t="e">
        <f>AND(Bills!#REF!,"AAAAAEf8+8I=")</f>
        <v>#REF!</v>
      </c>
      <c r="GN137" t="e">
        <f>AND(Bills!#REF!,"AAAAAEf8+8M=")</f>
        <v>#REF!</v>
      </c>
      <c r="GO137" t="e">
        <f>AND(Bills!#REF!,"AAAAAEf8+8Q=")</f>
        <v>#REF!</v>
      </c>
      <c r="GP137" t="e">
        <f>AND(Bills!#REF!,"AAAAAEf8+8U=")</f>
        <v>#REF!</v>
      </c>
      <c r="GQ137" t="e">
        <f>AND(Bills!#REF!,"AAAAAEf8+8Y=")</f>
        <v>#REF!</v>
      </c>
      <c r="GR137" t="e">
        <f>AND(Bills!#REF!,"AAAAAEf8+8c=")</f>
        <v>#REF!</v>
      </c>
      <c r="GS137" t="e">
        <f>AND(Bills!#REF!,"AAAAAEf8+8g=")</f>
        <v>#REF!</v>
      </c>
      <c r="GT137" t="e">
        <f>AND(Bills!AA528,"AAAAAEf8+8k=")</f>
        <v>#VALUE!</v>
      </c>
      <c r="GU137" t="e">
        <f>AND(Bills!AB528,"AAAAAEf8+8o=")</f>
        <v>#VALUE!</v>
      </c>
      <c r="GV137" t="e">
        <f>AND(Bills!#REF!,"AAAAAEf8+8s=")</f>
        <v>#REF!</v>
      </c>
      <c r="GW137" t="e">
        <f>AND(Bills!#REF!,"AAAAAEf8+8w=")</f>
        <v>#REF!</v>
      </c>
      <c r="GX137" t="e">
        <f>AND(Bills!#REF!,"AAAAAEf8+80=")</f>
        <v>#REF!</v>
      </c>
      <c r="GY137" t="e">
        <f>AND(Bills!AC528,"AAAAAEf8+84=")</f>
        <v>#VALUE!</v>
      </c>
      <c r="GZ137" t="e">
        <f>AND(Bills!AD528,"AAAAAEf8+88=")</f>
        <v>#VALUE!</v>
      </c>
      <c r="HA137" t="e">
        <f>AND(Bills!AE528,"AAAAAEf8+9A=")</f>
        <v>#VALUE!</v>
      </c>
      <c r="HB137">
        <f>IF(Bills!529:529,"AAAAAEf8+9E=",0)</f>
        <v>0</v>
      </c>
      <c r="HC137" t="e">
        <f>AND(Bills!B529,"AAAAAEf8+9I=")</f>
        <v>#VALUE!</v>
      </c>
      <c r="HD137" t="e">
        <f>AND(Bills!#REF!,"AAAAAEf8+9M=")</f>
        <v>#REF!</v>
      </c>
      <c r="HE137" t="e">
        <f>AND(Bills!C529,"AAAAAEf8+9Q=")</f>
        <v>#VALUE!</v>
      </c>
      <c r="HF137" t="e">
        <f>AND(Bills!D529,"AAAAAEf8+9U=")</f>
        <v>#VALUE!</v>
      </c>
      <c r="HG137" t="e">
        <f>AND(Bills!E529,"AAAAAEf8+9Y=")</f>
        <v>#VALUE!</v>
      </c>
      <c r="HH137" t="e">
        <f>AND(Bills!#REF!,"AAAAAEf8+9c=")</f>
        <v>#REF!</v>
      </c>
      <c r="HI137" t="e">
        <f>AND(Bills!#REF!,"AAAAAEf8+9g=")</f>
        <v>#REF!</v>
      </c>
      <c r="HJ137" t="e">
        <f>AND(Bills!#REF!,"AAAAAEf8+9k=")</f>
        <v>#REF!</v>
      </c>
      <c r="HK137" t="e">
        <f>AND(Bills!F529,"AAAAAEf8+9o=")</f>
        <v>#VALUE!</v>
      </c>
      <c r="HL137" t="e">
        <f>AND(Bills!#REF!,"AAAAAEf8+9s=")</f>
        <v>#REF!</v>
      </c>
      <c r="HM137" t="e">
        <f>AND(Bills!G529,"AAAAAEf8+9w=")</f>
        <v>#VALUE!</v>
      </c>
      <c r="HN137" t="e">
        <f>AND(Bills!H529,"AAAAAEf8+90=")</f>
        <v>#VALUE!</v>
      </c>
      <c r="HO137" t="e">
        <f>AND(Bills!I529,"AAAAAEf8+94=")</f>
        <v>#VALUE!</v>
      </c>
      <c r="HP137" t="e">
        <f>AND(Bills!J529,"AAAAAEf8+98=")</f>
        <v>#VALUE!</v>
      </c>
      <c r="HQ137" t="e">
        <f>AND(Bills!K529,"AAAAAEf8++A=")</f>
        <v>#VALUE!</v>
      </c>
      <c r="HR137" t="e">
        <f>AND(Bills!L529,"AAAAAEf8++E=")</f>
        <v>#VALUE!</v>
      </c>
      <c r="HS137" t="e">
        <f>AND(Bills!#REF!,"AAAAAEf8++I=")</f>
        <v>#REF!</v>
      </c>
      <c r="HT137" t="e">
        <f>AND(Bills!M529,"AAAAAEf8++M=")</f>
        <v>#VALUE!</v>
      </c>
      <c r="HU137" t="e">
        <f>AND(Bills!N529,"AAAAAEf8++Q=")</f>
        <v>#VALUE!</v>
      </c>
      <c r="HV137" t="e">
        <f>AND(Bills!O529,"AAAAAEf8++U=")</f>
        <v>#VALUE!</v>
      </c>
      <c r="HW137" t="e">
        <f>AND(Bills!P529,"AAAAAEf8++Y=")</f>
        <v>#VALUE!</v>
      </c>
      <c r="HX137" t="e">
        <f>AND(Bills!Q529,"AAAAAEf8++c=")</f>
        <v>#VALUE!</v>
      </c>
      <c r="HY137" t="e">
        <f>AND(Bills!R529,"AAAAAEf8++g=")</f>
        <v>#VALUE!</v>
      </c>
      <c r="HZ137" t="e">
        <f>AND(Bills!S529,"AAAAAEf8++k=")</f>
        <v>#VALUE!</v>
      </c>
      <c r="IA137" t="e">
        <f>AND(Bills!T529,"AAAAAEf8++o=")</f>
        <v>#VALUE!</v>
      </c>
      <c r="IB137" t="e">
        <f>AND(Bills!#REF!,"AAAAAEf8++s=")</f>
        <v>#REF!</v>
      </c>
      <c r="IC137" t="e">
        <f>AND(Bills!U529,"AAAAAEf8++w=")</f>
        <v>#VALUE!</v>
      </c>
      <c r="ID137" t="e">
        <f>AND(Bills!V529,"AAAAAEf8++0=")</f>
        <v>#VALUE!</v>
      </c>
      <c r="IE137" t="e">
        <f>AND(Bills!W529,"AAAAAEf8++4=")</f>
        <v>#VALUE!</v>
      </c>
      <c r="IF137" t="e">
        <f>AND(Bills!#REF!,"AAAAAEf8++8=")</f>
        <v>#REF!</v>
      </c>
      <c r="IG137" t="e">
        <f>AND(Bills!#REF!,"AAAAAEf8+/A=")</f>
        <v>#REF!</v>
      </c>
      <c r="IH137" t="e">
        <f>AND(Bills!Y529,"AAAAAEf8+/E=")</f>
        <v>#VALUE!</v>
      </c>
      <c r="II137" t="e">
        <f>AND(Bills!Z529,"AAAAAEf8+/I=")</f>
        <v>#VALUE!</v>
      </c>
      <c r="IJ137" t="e">
        <f>AND(Bills!#REF!,"AAAAAEf8+/M=")</f>
        <v>#REF!</v>
      </c>
      <c r="IK137" t="e">
        <f>AND(Bills!#REF!,"AAAAAEf8+/Q=")</f>
        <v>#REF!</v>
      </c>
      <c r="IL137" t="e">
        <f>AND(Bills!#REF!,"AAAAAEf8+/U=")</f>
        <v>#REF!</v>
      </c>
      <c r="IM137" t="e">
        <f>AND(Bills!#REF!,"AAAAAEf8+/Y=")</f>
        <v>#REF!</v>
      </c>
      <c r="IN137" t="e">
        <f>AND(Bills!#REF!,"AAAAAEf8+/c=")</f>
        <v>#REF!</v>
      </c>
      <c r="IO137" t="e">
        <f>AND(Bills!#REF!,"AAAAAEf8+/g=")</f>
        <v>#REF!</v>
      </c>
      <c r="IP137" t="e">
        <f>AND(Bills!#REF!,"AAAAAEf8+/k=")</f>
        <v>#REF!</v>
      </c>
      <c r="IQ137" t="e">
        <f>AND(Bills!#REF!,"AAAAAEf8+/o=")</f>
        <v>#REF!</v>
      </c>
      <c r="IR137" t="e">
        <f>AND(Bills!#REF!,"AAAAAEf8+/s=")</f>
        <v>#REF!</v>
      </c>
      <c r="IS137" t="e">
        <f>AND(Bills!AA529,"AAAAAEf8+/w=")</f>
        <v>#VALUE!</v>
      </c>
      <c r="IT137" t="e">
        <f>AND(Bills!AB529,"AAAAAEf8+/0=")</f>
        <v>#VALUE!</v>
      </c>
      <c r="IU137" t="e">
        <f>AND(Bills!#REF!,"AAAAAEf8+/4=")</f>
        <v>#REF!</v>
      </c>
      <c r="IV137" t="e">
        <f>AND(Bills!#REF!,"AAAAAEf8+/8=")</f>
        <v>#REF!</v>
      </c>
    </row>
    <row r="138" spans="1:256" x14ac:dyDescent="0.25">
      <c r="A138" t="e">
        <f>AND(Bills!#REF!,"AAAAAHz/XwA=")</f>
        <v>#REF!</v>
      </c>
      <c r="B138" t="e">
        <f>AND(Bills!AC529,"AAAAAHz/XwE=")</f>
        <v>#VALUE!</v>
      </c>
      <c r="C138" t="e">
        <f>AND(Bills!AD529,"AAAAAHz/XwI=")</f>
        <v>#VALUE!</v>
      </c>
      <c r="D138" t="e">
        <f>AND(Bills!AE529,"AAAAAHz/XwM=")</f>
        <v>#VALUE!</v>
      </c>
      <c r="E138">
        <f>IF(Bills!530:530,"AAAAAHz/XwQ=",0)</f>
        <v>0</v>
      </c>
      <c r="F138" t="e">
        <f>AND(Bills!B530,"AAAAAHz/XwU=")</f>
        <v>#VALUE!</v>
      </c>
      <c r="G138" t="e">
        <f>AND(Bills!#REF!,"AAAAAHz/XwY=")</f>
        <v>#REF!</v>
      </c>
      <c r="H138" t="e">
        <f>AND(Bills!C530,"AAAAAHz/Xwc=")</f>
        <v>#VALUE!</v>
      </c>
      <c r="I138" t="e">
        <f>AND(Bills!D530,"AAAAAHz/Xwg=")</f>
        <v>#VALUE!</v>
      </c>
      <c r="J138" t="e">
        <f>AND(Bills!E530,"AAAAAHz/Xwk=")</f>
        <v>#VALUE!</v>
      </c>
      <c r="K138" t="e">
        <f>AND(Bills!#REF!,"AAAAAHz/Xwo=")</f>
        <v>#REF!</v>
      </c>
      <c r="L138" t="e">
        <f>AND(Bills!#REF!,"AAAAAHz/Xws=")</f>
        <v>#REF!</v>
      </c>
      <c r="M138" t="e">
        <f>AND(Bills!#REF!,"AAAAAHz/Xww=")</f>
        <v>#REF!</v>
      </c>
      <c r="N138" t="e">
        <f>AND(Bills!F530,"AAAAAHz/Xw0=")</f>
        <v>#VALUE!</v>
      </c>
      <c r="O138" t="e">
        <f>AND(Bills!#REF!,"AAAAAHz/Xw4=")</f>
        <v>#REF!</v>
      </c>
      <c r="P138" t="e">
        <f>AND(Bills!G530,"AAAAAHz/Xw8=")</f>
        <v>#VALUE!</v>
      </c>
      <c r="Q138" t="e">
        <f>AND(Bills!H530,"AAAAAHz/XxA=")</f>
        <v>#VALUE!</v>
      </c>
      <c r="R138" t="e">
        <f>AND(Bills!I530,"AAAAAHz/XxE=")</f>
        <v>#VALUE!</v>
      </c>
      <c r="S138" t="e">
        <f>AND(Bills!J530,"AAAAAHz/XxI=")</f>
        <v>#VALUE!</v>
      </c>
      <c r="T138" t="e">
        <f>AND(Bills!K530,"AAAAAHz/XxM=")</f>
        <v>#VALUE!</v>
      </c>
      <c r="U138" t="e">
        <f>AND(Bills!L530,"AAAAAHz/XxQ=")</f>
        <v>#VALUE!</v>
      </c>
      <c r="V138" t="e">
        <f>AND(Bills!#REF!,"AAAAAHz/XxU=")</f>
        <v>#REF!</v>
      </c>
      <c r="W138" t="e">
        <f>AND(Bills!M530,"AAAAAHz/XxY=")</f>
        <v>#VALUE!</v>
      </c>
      <c r="X138" t="e">
        <f>AND(Bills!N530,"AAAAAHz/Xxc=")</f>
        <v>#VALUE!</v>
      </c>
      <c r="Y138" t="e">
        <f>AND(Bills!O530,"AAAAAHz/Xxg=")</f>
        <v>#VALUE!</v>
      </c>
      <c r="Z138" t="e">
        <f>AND(Bills!P530,"AAAAAHz/Xxk=")</f>
        <v>#VALUE!</v>
      </c>
      <c r="AA138" t="e">
        <f>AND(Bills!Q530,"AAAAAHz/Xxo=")</f>
        <v>#VALUE!</v>
      </c>
      <c r="AB138" t="e">
        <f>AND(Bills!R530,"AAAAAHz/Xxs=")</f>
        <v>#VALUE!</v>
      </c>
      <c r="AC138" t="e">
        <f>AND(Bills!S530,"AAAAAHz/Xxw=")</f>
        <v>#VALUE!</v>
      </c>
      <c r="AD138" t="e">
        <f>AND(Bills!T530,"AAAAAHz/Xx0=")</f>
        <v>#VALUE!</v>
      </c>
      <c r="AE138" t="e">
        <f>AND(Bills!#REF!,"AAAAAHz/Xx4=")</f>
        <v>#REF!</v>
      </c>
      <c r="AF138" t="e">
        <f>AND(Bills!U530,"AAAAAHz/Xx8=")</f>
        <v>#VALUE!</v>
      </c>
      <c r="AG138" t="e">
        <f>AND(Bills!V530,"AAAAAHz/XyA=")</f>
        <v>#VALUE!</v>
      </c>
      <c r="AH138" t="e">
        <f>AND(Bills!W530,"AAAAAHz/XyE=")</f>
        <v>#VALUE!</v>
      </c>
      <c r="AI138" t="e">
        <f>AND(Bills!#REF!,"AAAAAHz/XyI=")</f>
        <v>#REF!</v>
      </c>
      <c r="AJ138" t="e">
        <f>AND(Bills!#REF!,"AAAAAHz/XyM=")</f>
        <v>#REF!</v>
      </c>
      <c r="AK138" t="e">
        <f>AND(Bills!Y530,"AAAAAHz/XyQ=")</f>
        <v>#VALUE!</v>
      </c>
      <c r="AL138" t="e">
        <f>AND(Bills!Z530,"AAAAAHz/XyU=")</f>
        <v>#VALUE!</v>
      </c>
      <c r="AM138" t="e">
        <f>AND(Bills!#REF!,"AAAAAHz/XyY=")</f>
        <v>#REF!</v>
      </c>
      <c r="AN138" t="e">
        <f>AND(Bills!#REF!,"AAAAAHz/Xyc=")</f>
        <v>#REF!</v>
      </c>
      <c r="AO138" t="e">
        <f>AND(Bills!#REF!,"AAAAAHz/Xyg=")</f>
        <v>#REF!</v>
      </c>
      <c r="AP138" t="e">
        <f>AND(Bills!#REF!,"AAAAAHz/Xyk=")</f>
        <v>#REF!</v>
      </c>
      <c r="AQ138" t="e">
        <f>AND(Bills!#REF!,"AAAAAHz/Xyo=")</f>
        <v>#REF!</v>
      </c>
      <c r="AR138" t="e">
        <f>AND(Bills!#REF!,"AAAAAHz/Xys=")</f>
        <v>#REF!</v>
      </c>
      <c r="AS138" t="e">
        <f>AND(Bills!#REF!,"AAAAAHz/Xyw=")</f>
        <v>#REF!</v>
      </c>
      <c r="AT138" t="e">
        <f>AND(Bills!#REF!,"AAAAAHz/Xy0=")</f>
        <v>#REF!</v>
      </c>
      <c r="AU138" t="e">
        <f>AND(Bills!#REF!,"AAAAAHz/Xy4=")</f>
        <v>#REF!</v>
      </c>
      <c r="AV138" t="e">
        <f>AND(Bills!AA530,"AAAAAHz/Xy8=")</f>
        <v>#VALUE!</v>
      </c>
      <c r="AW138" t="e">
        <f>AND(Bills!AB530,"AAAAAHz/XzA=")</f>
        <v>#VALUE!</v>
      </c>
      <c r="AX138" t="e">
        <f>AND(Bills!#REF!,"AAAAAHz/XzE=")</f>
        <v>#REF!</v>
      </c>
      <c r="AY138" t="e">
        <f>AND(Bills!#REF!,"AAAAAHz/XzI=")</f>
        <v>#REF!</v>
      </c>
      <c r="AZ138" t="e">
        <f>AND(Bills!#REF!,"AAAAAHz/XzM=")</f>
        <v>#REF!</v>
      </c>
      <c r="BA138" t="e">
        <f>AND(Bills!AC530,"AAAAAHz/XzQ=")</f>
        <v>#VALUE!</v>
      </c>
      <c r="BB138" t="e">
        <f>AND(Bills!AD530,"AAAAAHz/XzU=")</f>
        <v>#VALUE!</v>
      </c>
      <c r="BC138" t="e">
        <f>AND(Bills!AE530,"AAAAAHz/XzY=")</f>
        <v>#VALUE!</v>
      </c>
      <c r="BD138">
        <f>IF(Bills!531:531,"AAAAAHz/Xzc=",0)</f>
        <v>0</v>
      </c>
      <c r="BE138" t="e">
        <f>AND(Bills!B531,"AAAAAHz/Xzg=")</f>
        <v>#VALUE!</v>
      </c>
      <c r="BF138" t="e">
        <f>AND(Bills!#REF!,"AAAAAHz/Xzk=")</f>
        <v>#REF!</v>
      </c>
      <c r="BG138" t="e">
        <f>AND(Bills!C531,"AAAAAHz/Xzo=")</f>
        <v>#VALUE!</v>
      </c>
      <c r="BH138" t="e">
        <f>AND(Bills!D531,"AAAAAHz/Xzs=")</f>
        <v>#VALUE!</v>
      </c>
      <c r="BI138" t="e">
        <f>AND(Bills!E531,"AAAAAHz/Xzw=")</f>
        <v>#VALUE!</v>
      </c>
      <c r="BJ138" t="e">
        <f>AND(Bills!#REF!,"AAAAAHz/Xz0=")</f>
        <v>#REF!</v>
      </c>
      <c r="BK138" t="e">
        <f>AND(Bills!#REF!,"AAAAAHz/Xz4=")</f>
        <v>#REF!</v>
      </c>
      <c r="BL138" t="e">
        <f>AND(Bills!#REF!,"AAAAAHz/Xz8=")</f>
        <v>#REF!</v>
      </c>
      <c r="BM138" t="e">
        <f>AND(Bills!F531,"AAAAAHz/X0A=")</f>
        <v>#VALUE!</v>
      </c>
      <c r="BN138" t="e">
        <f>AND(Bills!#REF!,"AAAAAHz/X0E=")</f>
        <v>#REF!</v>
      </c>
      <c r="BO138" t="e">
        <f>AND(Bills!G531,"AAAAAHz/X0I=")</f>
        <v>#VALUE!</v>
      </c>
      <c r="BP138" t="e">
        <f>AND(Bills!H531,"AAAAAHz/X0M=")</f>
        <v>#VALUE!</v>
      </c>
      <c r="BQ138" t="e">
        <f>AND(Bills!I531,"AAAAAHz/X0Q=")</f>
        <v>#VALUE!</v>
      </c>
      <c r="BR138" t="e">
        <f>AND(Bills!J531,"AAAAAHz/X0U=")</f>
        <v>#VALUE!</v>
      </c>
      <c r="BS138" t="e">
        <f>AND(Bills!K531,"AAAAAHz/X0Y=")</f>
        <v>#VALUE!</v>
      </c>
      <c r="BT138" t="e">
        <f>AND(Bills!L531,"AAAAAHz/X0c=")</f>
        <v>#VALUE!</v>
      </c>
      <c r="BU138" t="e">
        <f>AND(Bills!#REF!,"AAAAAHz/X0g=")</f>
        <v>#REF!</v>
      </c>
      <c r="BV138" t="e">
        <f>AND(Bills!M531,"AAAAAHz/X0k=")</f>
        <v>#VALUE!</v>
      </c>
      <c r="BW138" t="e">
        <f>AND(Bills!N531,"AAAAAHz/X0o=")</f>
        <v>#VALUE!</v>
      </c>
      <c r="BX138" t="e">
        <f>AND(Bills!O531,"AAAAAHz/X0s=")</f>
        <v>#VALUE!</v>
      </c>
      <c r="BY138" t="e">
        <f>AND(Bills!P531,"AAAAAHz/X0w=")</f>
        <v>#VALUE!</v>
      </c>
      <c r="BZ138" t="e">
        <f>AND(Bills!Q531,"AAAAAHz/X00=")</f>
        <v>#VALUE!</v>
      </c>
      <c r="CA138" t="e">
        <f>AND(Bills!R531,"AAAAAHz/X04=")</f>
        <v>#VALUE!</v>
      </c>
      <c r="CB138" t="e">
        <f>AND(Bills!S531,"AAAAAHz/X08=")</f>
        <v>#VALUE!</v>
      </c>
      <c r="CC138" t="e">
        <f>AND(Bills!T531,"AAAAAHz/X1A=")</f>
        <v>#VALUE!</v>
      </c>
      <c r="CD138" t="e">
        <f>AND(Bills!#REF!,"AAAAAHz/X1E=")</f>
        <v>#REF!</v>
      </c>
      <c r="CE138" t="e">
        <f>AND(Bills!U531,"AAAAAHz/X1I=")</f>
        <v>#VALUE!</v>
      </c>
      <c r="CF138" t="e">
        <f>AND(Bills!V531,"AAAAAHz/X1M=")</f>
        <v>#VALUE!</v>
      </c>
      <c r="CG138" t="e">
        <f>AND(Bills!W531,"AAAAAHz/X1Q=")</f>
        <v>#VALUE!</v>
      </c>
      <c r="CH138" t="e">
        <f>AND(Bills!#REF!,"AAAAAHz/X1U=")</f>
        <v>#REF!</v>
      </c>
      <c r="CI138" t="e">
        <f>AND(Bills!#REF!,"AAAAAHz/X1Y=")</f>
        <v>#REF!</v>
      </c>
      <c r="CJ138" t="e">
        <f>AND(Bills!Y531,"AAAAAHz/X1c=")</f>
        <v>#VALUE!</v>
      </c>
      <c r="CK138" t="e">
        <f>AND(Bills!Z531,"AAAAAHz/X1g=")</f>
        <v>#VALUE!</v>
      </c>
      <c r="CL138" t="e">
        <f>AND(Bills!#REF!,"AAAAAHz/X1k=")</f>
        <v>#REF!</v>
      </c>
      <c r="CM138" t="e">
        <f>AND(Bills!#REF!,"AAAAAHz/X1o=")</f>
        <v>#REF!</v>
      </c>
      <c r="CN138" t="e">
        <f>AND(Bills!#REF!,"AAAAAHz/X1s=")</f>
        <v>#REF!</v>
      </c>
      <c r="CO138" t="e">
        <f>AND(Bills!#REF!,"AAAAAHz/X1w=")</f>
        <v>#REF!</v>
      </c>
      <c r="CP138" t="e">
        <f>AND(Bills!#REF!,"AAAAAHz/X10=")</f>
        <v>#REF!</v>
      </c>
      <c r="CQ138" t="e">
        <f>AND(Bills!#REF!,"AAAAAHz/X14=")</f>
        <v>#REF!</v>
      </c>
      <c r="CR138" t="e">
        <f>AND(Bills!#REF!,"AAAAAHz/X18=")</f>
        <v>#REF!</v>
      </c>
      <c r="CS138" t="e">
        <f>AND(Bills!#REF!,"AAAAAHz/X2A=")</f>
        <v>#REF!</v>
      </c>
      <c r="CT138" t="e">
        <f>AND(Bills!#REF!,"AAAAAHz/X2E=")</f>
        <v>#REF!</v>
      </c>
      <c r="CU138" t="e">
        <f>AND(Bills!AA531,"AAAAAHz/X2I=")</f>
        <v>#VALUE!</v>
      </c>
      <c r="CV138" t="e">
        <f>AND(Bills!AB531,"AAAAAHz/X2M=")</f>
        <v>#VALUE!</v>
      </c>
      <c r="CW138" t="e">
        <f>AND(Bills!#REF!,"AAAAAHz/X2Q=")</f>
        <v>#REF!</v>
      </c>
      <c r="CX138" t="e">
        <f>AND(Bills!#REF!,"AAAAAHz/X2U=")</f>
        <v>#REF!</v>
      </c>
      <c r="CY138" t="e">
        <f>AND(Bills!#REF!,"AAAAAHz/X2Y=")</f>
        <v>#REF!</v>
      </c>
      <c r="CZ138" t="e">
        <f>AND(Bills!AC531,"AAAAAHz/X2c=")</f>
        <v>#VALUE!</v>
      </c>
      <c r="DA138" t="e">
        <f>AND(Bills!AD531,"AAAAAHz/X2g=")</f>
        <v>#VALUE!</v>
      </c>
      <c r="DB138" t="e">
        <f>AND(Bills!AE531,"AAAAAHz/X2k=")</f>
        <v>#VALUE!</v>
      </c>
      <c r="DC138">
        <f>IF(Bills!532:532,"AAAAAHz/X2o=",0)</f>
        <v>0</v>
      </c>
      <c r="DD138" t="e">
        <f>AND(Bills!B532,"AAAAAHz/X2s=")</f>
        <v>#VALUE!</v>
      </c>
      <c r="DE138" t="e">
        <f>AND(Bills!#REF!,"AAAAAHz/X2w=")</f>
        <v>#REF!</v>
      </c>
      <c r="DF138" t="e">
        <f>AND(Bills!C532,"AAAAAHz/X20=")</f>
        <v>#VALUE!</v>
      </c>
      <c r="DG138" t="e">
        <f>AND(Bills!D532,"AAAAAHz/X24=")</f>
        <v>#VALUE!</v>
      </c>
      <c r="DH138" t="e">
        <f>AND(Bills!E532,"AAAAAHz/X28=")</f>
        <v>#VALUE!</v>
      </c>
      <c r="DI138" t="e">
        <f>AND(Bills!#REF!,"AAAAAHz/X3A=")</f>
        <v>#REF!</v>
      </c>
      <c r="DJ138" t="e">
        <f>AND(Bills!#REF!,"AAAAAHz/X3E=")</f>
        <v>#REF!</v>
      </c>
      <c r="DK138" t="e">
        <f>AND(Bills!#REF!,"AAAAAHz/X3I=")</f>
        <v>#REF!</v>
      </c>
      <c r="DL138" t="e">
        <f>AND(Bills!F532,"AAAAAHz/X3M=")</f>
        <v>#VALUE!</v>
      </c>
      <c r="DM138" t="e">
        <f>AND(Bills!#REF!,"AAAAAHz/X3Q=")</f>
        <v>#REF!</v>
      </c>
      <c r="DN138" t="e">
        <f>AND(Bills!G532,"AAAAAHz/X3U=")</f>
        <v>#VALUE!</v>
      </c>
      <c r="DO138" t="e">
        <f>AND(Bills!H532,"AAAAAHz/X3Y=")</f>
        <v>#VALUE!</v>
      </c>
      <c r="DP138" t="e">
        <f>AND(Bills!I532,"AAAAAHz/X3c=")</f>
        <v>#VALUE!</v>
      </c>
      <c r="DQ138" t="e">
        <f>AND(Bills!J532,"AAAAAHz/X3g=")</f>
        <v>#VALUE!</v>
      </c>
      <c r="DR138" t="e">
        <f>AND(Bills!K532,"AAAAAHz/X3k=")</f>
        <v>#VALUE!</v>
      </c>
      <c r="DS138" t="e">
        <f>AND(Bills!L532,"AAAAAHz/X3o=")</f>
        <v>#VALUE!</v>
      </c>
      <c r="DT138" t="e">
        <f>AND(Bills!#REF!,"AAAAAHz/X3s=")</f>
        <v>#REF!</v>
      </c>
      <c r="DU138" t="e">
        <f>AND(Bills!M532,"AAAAAHz/X3w=")</f>
        <v>#VALUE!</v>
      </c>
      <c r="DV138" t="e">
        <f>AND(Bills!N532,"AAAAAHz/X30=")</f>
        <v>#VALUE!</v>
      </c>
      <c r="DW138" t="e">
        <f>AND(Bills!O532,"AAAAAHz/X34=")</f>
        <v>#VALUE!</v>
      </c>
      <c r="DX138" t="e">
        <f>AND(Bills!P532,"AAAAAHz/X38=")</f>
        <v>#VALUE!</v>
      </c>
      <c r="DY138" t="e">
        <f>AND(Bills!Q532,"AAAAAHz/X4A=")</f>
        <v>#VALUE!</v>
      </c>
      <c r="DZ138" t="e">
        <f>AND(Bills!R532,"AAAAAHz/X4E=")</f>
        <v>#VALUE!</v>
      </c>
      <c r="EA138" t="e">
        <f>AND(Bills!S532,"AAAAAHz/X4I=")</f>
        <v>#VALUE!</v>
      </c>
      <c r="EB138" t="e">
        <f>AND(Bills!T532,"AAAAAHz/X4M=")</f>
        <v>#VALUE!</v>
      </c>
      <c r="EC138" t="e">
        <f>AND(Bills!#REF!,"AAAAAHz/X4Q=")</f>
        <v>#REF!</v>
      </c>
      <c r="ED138" t="e">
        <f>AND(Bills!U532,"AAAAAHz/X4U=")</f>
        <v>#VALUE!</v>
      </c>
      <c r="EE138" t="e">
        <f>AND(Bills!V532,"AAAAAHz/X4Y=")</f>
        <v>#VALUE!</v>
      </c>
      <c r="EF138" t="e">
        <f>AND(Bills!W532,"AAAAAHz/X4c=")</f>
        <v>#VALUE!</v>
      </c>
      <c r="EG138" t="e">
        <f>AND(Bills!#REF!,"AAAAAHz/X4g=")</f>
        <v>#REF!</v>
      </c>
      <c r="EH138" t="e">
        <f>AND(Bills!#REF!,"AAAAAHz/X4k=")</f>
        <v>#REF!</v>
      </c>
      <c r="EI138" t="e">
        <f>AND(Bills!Y532,"AAAAAHz/X4o=")</f>
        <v>#VALUE!</v>
      </c>
      <c r="EJ138" t="e">
        <f>AND(Bills!Z532,"AAAAAHz/X4s=")</f>
        <v>#VALUE!</v>
      </c>
      <c r="EK138" t="e">
        <f>AND(Bills!#REF!,"AAAAAHz/X4w=")</f>
        <v>#REF!</v>
      </c>
      <c r="EL138" t="e">
        <f>AND(Bills!#REF!,"AAAAAHz/X40=")</f>
        <v>#REF!</v>
      </c>
      <c r="EM138" t="e">
        <f>AND(Bills!#REF!,"AAAAAHz/X44=")</f>
        <v>#REF!</v>
      </c>
      <c r="EN138" t="e">
        <f>AND(Bills!#REF!,"AAAAAHz/X48=")</f>
        <v>#REF!</v>
      </c>
      <c r="EO138" t="e">
        <f>AND(Bills!#REF!,"AAAAAHz/X5A=")</f>
        <v>#REF!</v>
      </c>
      <c r="EP138" t="e">
        <f>AND(Bills!#REF!,"AAAAAHz/X5E=")</f>
        <v>#REF!</v>
      </c>
      <c r="EQ138" t="e">
        <f>AND(Bills!#REF!,"AAAAAHz/X5I=")</f>
        <v>#REF!</v>
      </c>
      <c r="ER138" t="e">
        <f>AND(Bills!#REF!,"AAAAAHz/X5M=")</f>
        <v>#REF!</v>
      </c>
      <c r="ES138" t="e">
        <f>AND(Bills!#REF!,"AAAAAHz/X5Q=")</f>
        <v>#REF!</v>
      </c>
      <c r="ET138" t="e">
        <f>AND(Bills!AA532,"AAAAAHz/X5U=")</f>
        <v>#VALUE!</v>
      </c>
      <c r="EU138" t="e">
        <f>AND(Bills!AB532,"AAAAAHz/X5Y=")</f>
        <v>#VALUE!</v>
      </c>
      <c r="EV138" t="e">
        <f>AND(Bills!#REF!,"AAAAAHz/X5c=")</f>
        <v>#REF!</v>
      </c>
      <c r="EW138" t="e">
        <f>AND(Bills!#REF!,"AAAAAHz/X5g=")</f>
        <v>#REF!</v>
      </c>
      <c r="EX138" t="e">
        <f>AND(Bills!#REF!,"AAAAAHz/X5k=")</f>
        <v>#REF!</v>
      </c>
      <c r="EY138" t="e">
        <f>AND(Bills!AC532,"AAAAAHz/X5o=")</f>
        <v>#VALUE!</v>
      </c>
      <c r="EZ138" t="e">
        <f>AND(Bills!AD532,"AAAAAHz/X5s=")</f>
        <v>#VALUE!</v>
      </c>
      <c r="FA138" t="e">
        <f>AND(Bills!AE532,"AAAAAHz/X5w=")</f>
        <v>#VALUE!</v>
      </c>
      <c r="FB138">
        <f>IF(Bills!533:533,"AAAAAHz/X50=",0)</f>
        <v>0</v>
      </c>
      <c r="FC138" t="e">
        <f>AND(Bills!B533,"AAAAAHz/X54=")</f>
        <v>#VALUE!</v>
      </c>
      <c r="FD138" t="e">
        <f>AND(Bills!#REF!,"AAAAAHz/X58=")</f>
        <v>#REF!</v>
      </c>
      <c r="FE138" t="e">
        <f>AND(Bills!C533,"AAAAAHz/X6A=")</f>
        <v>#VALUE!</v>
      </c>
      <c r="FF138" t="e">
        <f>AND(Bills!D533,"AAAAAHz/X6E=")</f>
        <v>#VALUE!</v>
      </c>
      <c r="FG138" t="e">
        <f>AND(Bills!E533,"AAAAAHz/X6I=")</f>
        <v>#VALUE!</v>
      </c>
      <c r="FH138" t="e">
        <f>AND(Bills!#REF!,"AAAAAHz/X6M=")</f>
        <v>#REF!</v>
      </c>
      <c r="FI138" t="e">
        <f>AND(Bills!#REF!,"AAAAAHz/X6Q=")</f>
        <v>#REF!</v>
      </c>
      <c r="FJ138" t="e">
        <f>AND(Bills!#REF!,"AAAAAHz/X6U=")</f>
        <v>#REF!</v>
      </c>
      <c r="FK138" t="e">
        <f>AND(Bills!F533,"AAAAAHz/X6Y=")</f>
        <v>#VALUE!</v>
      </c>
      <c r="FL138" t="e">
        <f>AND(Bills!#REF!,"AAAAAHz/X6c=")</f>
        <v>#REF!</v>
      </c>
      <c r="FM138" t="e">
        <f>AND(Bills!G533,"AAAAAHz/X6g=")</f>
        <v>#VALUE!</v>
      </c>
      <c r="FN138" t="e">
        <f>AND(Bills!H533,"AAAAAHz/X6k=")</f>
        <v>#VALUE!</v>
      </c>
      <c r="FO138" t="e">
        <f>AND(Bills!I533,"AAAAAHz/X6o=")</f>
        <v>#VALUE!</v>
      </c>
      <c r="FP138" t="e">
        <f>AND(Bills!J533,"AAAAAHz/X6s=")</f>
        <v>#VALUE!</v>
      </c>
      <c r="FQ138" t="e">
        <f>AND(Bills!K533,"AAAAAHz/X6w=")</f>
        <v>#VALUE!</v>
      </c>
      <c r="FR138" t="e">
        <f>AND(Bills!L533,"AAAAAHz/X60=")</f>
        <v>#VALUE!</v>
      </c>
      <c r="FS138" t="e">
        <f>AND(Bills!#REF!,"AAAAAHz/X64=")</f>
        <v>#REF!</v>
      </c>
      <c r="FT138" t="e">
        <f>AND(Bills!M533,"AAAAAHz/X68=")</f>
        <v>#VALUE!</v>
      </c>
      <c r="FU138" t="e">
        <f>AND(Bills!N533,"AAAAAHz/X7A=")</f>
        <v>#VALUE!</v>
      </c>
      <c r="FV138" t="e">
        <f>AND(Bills!O533,"AAAAAHz/X7E=")</f>
        <v>#VALUE!</v>
      </c>
      <c r="FW138" t="e">
        <f>AND(Bills!P533,"AAAAAHz/X7I=")</f>
        <v>#VALUE!</v>
      </c>
      <c r="FX138" t="e">
        <f>AND(Bills!Q533,"AAAAAHz/X7M=")</f>
        <v>#VALUE!</v>
      </c>
      <c r="FY138" t="e">
        <f>AND(Bills!R533,"AAAAAHz/X7Q=")</f>
        <v>#VALUE!</v>
      </c>
      <c r="FZ138" t="e">
        <f>AND(Bills!S533,"AAAAAHz/X7U=")</f>
        <v>#VALUE!</v>
      </c>
      <c r="GA138" t="e">
        <f>AND(Bills!T533,"AAAAAHz/X7Y=")</f>
        <v>#VALUE!</v>
      </c>
      <c r="GB138" t="e">
        <f>AND(Bills!#REF!,"AAAAAHz/X7c=")</f>
        <v>#REF!</v>
      </c>
      <c r="GC138" t="e">
        <f>AND(Bills!U533,"AAAAAHz/X7g=")</f>
        <v>#VALUE!</v>
      </c>
      <c r="GD138" t="e">
        <f>AND(Bills!V533,"AAAAAHz/X7k=")</f>
        <v>#VALUE!</v>
      </c>
      <c r="GE138" t="e">
        <f>AND(Bills!W533,"AAAAAHz/X7o=")</f>
        <v>#VALUE!</v>
      </c>
      <c r="GF138" t="e">
        <f>AND(Bills!#REF!,"AAAAAHz/X7s=")</f>
        <v>#REF!</v>
      </c>
      <c r="GG138" t="e">
        <f>AND(Bills!#REF!,"AAAAAHz/X7w=")</f>
        <v>#REF!</v>
      </c>
      <c r="GH138" t="e">
        <f>AND(Bills!Y533,"AAAAAHz/X70=")</f>
        <v>#VALUE!</v>
      </c>
      <c r="GI138" t="e">
        <f>AND(Bills!Z533,"AAAAAHz/X74=")</f>
        <v>#VALUE!</v>
      </c>
      <c r="GJ138" t="e">
        <f>AND(Bills!#REF!,"AAAAAHz/X78=")</f>
        <v>#REF!</v>
      </c>
      <c r="GK138" t="e">
        <f>AND(Bills!#REF!,"AAAAAHz/X8A=")</f>
        <v>#REF!</v>
      </c>
      <c r="GL138" t="e">
        <f>AND(Bills!#REF!,"AAAAAHz/X8E=")</f>
        <v>#REF!</v>
      </c>
      <c r="GM138" t="e">
        <f>AND(Bills!#REF!,"AAAAAHz/X8I=")</f>
        <v>#REF!</v>
      </c>
      <c r="GN138" t="e">
        <f>AND(Bills!#REF!,"AAAAAHz/X8M=")</f>
        <v>#REF!</v>
      </c>
      <c r="GO138" t="e">
        <f>AND(Bills!#REF!,"AAAAAHz/X8Q=")</f>
        <v>#REF!</v>
      </c>
      <c r="GP138" t="e">
        <f>AND(Bills!#REF!,"AAAAAHz/X8U=")</f>
        <v>#REF!</v>
      </c>
      <c r="GQ138" t="e">
        <f>AND(Bills!#REF!,"AAAAAHz/X8Y=")</f>
        <v>#REF!</v>
      </c>
      <c r="GR138" t="e">
        <f>AND(Bills!#REF!,"AAAAAHz/X8c=")</f>
        <v>#REF!</v>
      </c>
      <c r="GS138" t="e">
        <f>AND(Bills!AA533,"AAAAAHz/X8g=")</f>
        <v>#VALUE!</v>
      </c>
      <c r="GT138" t="e">
        <f>AND(Bills!AB533,"AAAAAHz/X8k=")</f>
        <v>#VALUE!</v>
      </c>
      <c r="GU138" t="e">
        <f>AND(Bills!#REF!,"AAAAAHz/X8o=")</f>
        <v>#REF!</v>
      </c>
      <c r="GV138" t="e">
        <f>AND(Bills!#REF!,"AAAAAHz/X8s=")</f>
        <v>#REF!</v>
      </c>
      <c r="GW138" t="e">
        <f>AND(Bills!#REF!,"AAAAAHz/X8w=")</f>
        <v>#REF!</v>
      </c>
      <c r="GX138" t="e">
        <f>AND(Bills!AC533,"AAAAAHz/X80=")</f>
        <v>#VALUE!</v>
      </c>
      <c r="GY138" t="e">
        <f>AND(Bills!AD533,"AAAAAHz/X84=")</f>
        <v>#VALUE!</v>
      </c>
      <c r="GZ138" t="e">
        <f>AND(Bills!AE533,"AAAAAHz/X88=")</f>
        <v>#VALUE!</v>
      </c>
      <c r="HA138">
        <f>IF(Bills!534:534,"AAAAAHz/X9A=",0)</f>
        <v>0</v>
      </c>
      <c r="HB138" t="e">
        <f>AND(Bills!B534,"AAAAAHz/X9E=")</f>
        <v>#VALUE!</v>
      </c>
      <c r="HC138" t="e">
        <f>AND(Bills!#REF!,"AAAAAHz/X9I=")</f>
        <v>#REF!</v>
      </c>
      <c r="HD138" t="e">
        <f>AND(Bills!C534,"AAAAAHz/X9M=")</f>
        <v>#VALUE!</v>
      </c>
      <c r="HE138" t="e">
        <f>AND(Bills!D534,"AAAAAHz/X9Q=")</f>
        <v>#VALUE!</v>
      </c>
      <c r="HF138" t="e">
        <f>AND(Bills!E534,"AAAAAHz/X9U=")</f>
        <v>#VALUE!</v>
      </c>
      <c r="HG138" t="e">
        <f>AND(Bills!#REF!,"AAAAAHz/X9Y=")</f>
        <v>#REF!</v>
      </c>
      <c r="HH138" t="e">
        <f>AND(Bills!#REF!,"AAAAAHz/X9c=")</f>
        <v>#REF!</v>
      </c>
      <c r="HI138" t="e">
        <f>AND(Bills!#REF!,"AAAAAHz/X9g=")</f>
        <v>#REF!</v>
      </c>
      <c r="HJ138" t="e">
        <f>AND(Bills!F534,"AAAAAHz/X9k=")</f>
        <v>#VALUE!</v>
      </c>
      <c r="HK138" t="e">
        <f>AND(Bills!#REF!,"AAAAAHz/X9o=")</f>
        <v>#REF!</v>
      </c>
      <c r="HL138" t="e">
        <f>AND(Bills!G534,"AAAAAHz/X9s=")</f>
        <v>#VALUE!</v>
      </c>
      <c r="HM138" t="e">
        <f>AND(Bills!H534,"AAAAAHz/X9w=")</f>
        <v>#VALUE!</v>
      </c>
      <c r="HN138" t="e">
        <f>AND(Bills!I534,"AAAAAHz/X90=")</f>
        <v>#VALUE!</v>
      </c>
      <c r="HO138" t="e">
        <f>AND(Bills!J534,"AAAAAHz/X94=")</f>
        <v>#VALUE!</v>
      </c>
      <c r="HP138" t="e">
        <f>AND(Bills!K534,"AAAAAHz/X98=")</f>
        <v>#VALUE!</v>
      </c>
      <c r="HQ138" t="e">
        <f>AND(Bills!L534,"AAAAAHz/X+A=")</f>
        <v>#VALUE!</v>
      </c>
      <c r="HR138" t="e">
        <f>AND(Bills!#REF!,"AAAAAHz/X+E=")</f>
        <v>#REF!</v>
      </c>
      <c r="HS138" t="e">
        <f>AND(Bills!M534,"AAAAAHz/X+I=")</f>
        <v>#VALUE!</v>
      </c>
      <c r="HT138" t="e">
        <f>AND(Bills!N534,"AAAAAHz/X+M=")</f>
        <v>#VALUE!</v>
      </c>
      <c r="HU138" t="e">
        <f>AND(Bills!O534,"AAAAAHz/X+Q=")</f>
        <v>#VALUE!</v>
      </c>
      <c r="HV138" t="e">
        <f>AND(Bills!P534,"AAAAAHz/X+U=")</f>
        <v>#VALUE!</v>
      </c>
      <c r="HW138" t="e">
        <f>AND(Bills!Q534,"AAAAAHz/X+Y=")</f>
        <v>#VALUE!</v>
      </c>
      <c r="HX138" t="e">
        <f>AND(Bills!R534,"AAAAAHz/X+c=")</f>
        <v>#VALUE!</v>
      </c>
      <c r="HY138" t="e">
        <f>AND(Bills!S534,"AAAAAHz/X+g=")</f>
        <v>#VALUE!</v>
      </c>
      <c r="HZ138" t="e">
        <f>AND(Bills!T534,"AAAAAHz/X+k=")</f>
        <v>#VALUE!</v>
      </c>
      <c r="IA138" t="e">
        <f>AND(Bills!#REF!,"AAAAAHz/X+o=")</f>
        <v>#REF!</v>
      </c>
      <c r="IB138" t="e">
        <f>AND(Bills!U534,"AAAAAHz/X+s=")</f>
        <v>#VALUE!</v>
      </c>
      <c r="IC138" t="e">
        <f>AND(Bills!V534,"AAAAAHz/X+w=")</f>
        <v>#VALUE!</v>
      </c>
      <c r="ID138" t="e">
        <f>AND(Bills!W534,"AAAAAHz/X+0=")</f>
        <v>#VALUE!</v>
      </c>
      <c r="IE138" t="e">
        <f>AND(Bills!#REF!,"AAAAAHz/X+4=")</f>
        <v>#REF!</v>
      </c>
      <c r="IF138" t="e">
        <f>AND(Bills!#REF!,"AAAAAHz/X+8=")</f>
        <v>#REF!</v>
      </c>
      <c r="IG138" t="e">
        <f>AND(Bills!Y534,"AAAAAHz/X/A=")</f>
        <v>#VALUE!</v>
      </c>
      <c r="IH138" t="e">
        <f>AND(Bills!Z534,"AAAAAHz/X/E=")</f>
        <v>#VALUE!</v>
      </c>
      <c r="II138" t="e">
        <f>AND(Bills!#REF!,"AAAAAHz/X/I=")</f>
        <v>#REF!</v>
      </c>
      <c r="IJ138" t="e">
        <f>AND(Bills!#REF!,"AAAAAHz/X/M=")</f>
        <v>#REF!</v>
      </c>
      <c r="IK138" t="e">
        <f>AND(Bills!#REF!,"AAAAAHz/X/Q=")</f>
        <v>#REF!</v>
      </c>
      <c r="IL138" t="e">
        <f>AND(Bills!#REF!,"AAAAAHz/X/U=")</f>
        <v>#REF!</v>
      </c>
      <c r="IM138" t="e">
        <f>AND(Bills!#REF!,"AAAAAHz/X/Y=")</f>
        <v>#REF!</v>
      </c>
      <c r="IN138" t="e">
        <f>AND(Bills!#REF!,"AAAAAHz/X/c=")</f>
        <v>#REF!</v>
      </c>
      <c r="IO138" t="e">
        <f>AND(Bills!#REF!,"AAAAAHz/X/g=")</f>
        <v>#REF!</v>
      </c>
      <c r="IP138" t="e">
        <f>AND(Bills!#REF!,"AAAAAHz/X/k=")</f>
        <v>#REF!</v>
      </c>
      <c r="IQ138" t="e">
        <f>AND(Bills!#REF!,"AAAAAHz/X/o=")</f>
        <v>#REF!</v>
      </c>
      <c r="IR138" t="e">
        <f>AND(Bills!AA534,"AAAAAHz/X/s=")</f>
        <v>#VALUE!</v>
      </c>
      <c r="IS138" t="e">
        <f>AND(Bills!AB534,"AAAAAHz/X/w=")</f>
        <v>#VALUE!</v>
      </c>
      <c r="IT138" t="e">
        <f>AND(Bills!#REF!,"AAAAAHz/X/0=")</f>
        <v>#REF!</v>
      </c>
      <c r="IU138" t="e">
        <f>AND(Bills!#REF!,"AAAAAHz/X/4=")</f>
        <v>#REF!</v>
      </c>
      <c r="IV138" t="e">
        <f>AND(Bills!#REF!,"AAAAAHz/X/8=")</f>
        <v>#REF!</v>
      </c>
    </row>
    <row r="139" spans="1:256" x14ac:dyDescent="0.25">
      <c r="A139" t="e">
        <f>AND(Bills!AC534,"AAAAAFf99wA=")</f>
        <v>#VALUE!</v>
      </c>
      <c r="B139" t="e">
        <f>AND(Bills!AD534,"AAAAAFf99wE=")</f>
        <v>#VALUE!</v>
      </c>
      <c r="C139" t="e">
        <f>AND(Bills!AE534,"AAAAAFf99wI=")</f>
        <v>#VALUE!</v>
      </c>
      <c r="D139">
        <f>IF(Bills!535:535,"AAAAAFf99wM=",0)</f>
        <v>0</v>
      </c>
      <c r="E139" t="e">
        <f>AND(Bills!B535,"AAAAAFf99wQ=")</f>
        <v>#VALUE!</v>
      </c>
      <c r="F139" t="e">
        <f>AND(Bills!#REF!,"AAAAAFf99wU=")</f>
        <v>#REF!</v>
      </c>
      <c r="G139" t="e">
        <f>AND(Bills!C535,"AAAAAFf99wY=")</f>
        <v>#VALUE!</v>
      </c>
      <c r="H139" t="e">
        <f>AND(Bills!D535,"AAAAAFf99wc=")</f>
        <v>#VALUE!</v>
      </c>
      <c r="I139" t="e">
        <f>AND(Bills!E535,"AAAAAFf99wg=")</f>
        <v>#VALUE!</v>
      </c>
      <c r="J139" t="e">
        <f>AND(Bills!#REF!,"AAAAAFf99wk=")</f>
        <v>#REF!</v>
      </c>
      <c r="K139" t="e">
        <f>AND(Bills!#REF!,"AAAAAFf99wo=")</f>
        <v>#REF!</v>
      </c>
      <c r="L139" t="e">
        <f>AND(Bills!#REF!,"AAAAAFf99ws=")</f>
        <v>#REF!</v>
      </c>
      <c r="M139" t="e">
        <f>AND(Bills!F535,"AAAAAFf99ww=")</f>
        <v>#VALUE!</v>
      </c>
      <c r="N139" t="e">
        <f>AND(Bills!#REF!,"AAAAAFf99w0=")</f>
        <v>#REF!</v>
      </c>
      <c r="O139" t="e">
        <f>AND(Bills!G535,"AAAAAFf99w4=")</f>
        <v>#VALUE!</v>
      </c>
      <c r="P139" t="e">
        <f>AND(Bills!H535,"AAAAAFf99w8=")</f>
        <v>#VALUE!</v>
      </c>
      <c r="Q139" t="e">
        <f>AND(Bills!I535,"AAAAAFf99xA=")</f>
        <v>#VALUE!</v>
      </c>
      <c r="R139" t="e">
        <f>AND(Bills!J535,"AAAAAFf99xE=")</f>
        <v>#VALUE!</v>
      </c>
      <c r="S139" t="e">
        <f>AND(Bills!K535,"AAAAAFf99xI=")</f>
        <v>#VALUE!</v>
      </c>
      <c r="T139" t="e">
        <f>AND(Bills!L535,"AAAAAFf99xM=")</f>
        <v>#VALUE!</v>
      </c>
      <c r="U139" t="e">
        <f>AND(Bills!#REF!,"AAAAAFf99xQ=")</f>
        <v>#REF!</v>
      </c>
      <c r="V139" t="e">
        <f>AND(Bills!M535,"AAAAAFf99xU=")</f>
        <v>#VALUE!</v>
      </c>
      <c r="W139" t="e">
        <f>AND(Bills!N535,"AAAAAFf99xY=")</f>
        <v>#VALUE!</v>
      </c>
      <c r="X139" t="e">
        <f>AND(Bills!O535,"AAAAAFf99xc=")</f>
        <v>#VALUE!</v>
      </c>
      <c r="Y139" t="e">
        <f>AND(Bills!P535,"AAAAAFf99xg=")</f>
        <v>#VALUE!</v>
      </c>
      <c r="Z139" t="e">
        <f>AND(Bills!Q535,"AAAAAFf99xk=")</f>
        <v>#VALUE!</v>
      </c>
      <c r="AA139" t="e">
        <f>AND(Bills!R535,"AAAAAFf99xo=")</f>
        <v>#VALUE!</v>
      </c>
      <c r="AB139" t="e">
        <f>AND(Bills!S535,"AAAAAFf99xs=")</f>
        <v>#VALUE!</v>
      </c>
      <c r="AC139" t="e">
        <f>AND(Bills!T535,"AAAAAFf99xw=")</f>
        <v>#VALUE!</v>
      </c>
      <c r="AD139" t="e">
        <f>AND(Bills!#REF!,"AAAAAFf99x0=")</f>
        <v>#REF!</v>
      </c>
      <c r="AE139" t="e">
        <f>AND(Bills!U535,"AAAAAFf99x4=")</f>
        <v>#VALUE!</v>
      </c>
      <c r="AF139" t="e">
        <f>AND(Bills!V535,"AAAAAFf99x8=")</f>
        <v>#VALUE!</v>
      </c>
      <c r="AG139" t="e">
        <f>AND(Bills!W535,"AAAAAFf99yA=")</f>
        <v>#VALUE!</v>
      </c>
      <c r="AH139" t="e">
        <f>AND(Bills!#REF!,"AAAAAFf99yE=")</f>
        <v>#REF!</v>
      </c>
      <c r="AI139" t="e">
        <f>AND(Bills!#REF!,"AAAAAFf99yI=")</f>
        <v>#REF!</v>
      </c>
      <c r="AJ139" t="e">
        <f>AND(Bills!Y535,"AAAAAFf99yM=")</f>
        <v>#VALUE!</v>
      </c>
      <c r="AK139" t="e">
        <f>AND(Bills!Z535,"AAAAAFf99yQ=")</f>
        <v>#VALUE!</v>
      </c>
      <c r="AL139" t="e">
        <f>AND(Bills!#REF!,"AAAAAFf99yU=")</f>
        <v>#REF!</v>
      </c>
      <c r="AM139" t="e">
        <f>AND(Bills!#REF!,"AAAAAFf99yY=")</f>
        <v>#REF!</v>
      </c>
      <c r="AN139" t="e">
        <f>AND(Bills!#REF!,"AAAAAFf99yc=")</f>
        <v>#REF!</v>
      </c>
      <c r="AO139" t="e">
        <f>AND(Bills!#REF!,"AAAAAFf99yg=")</f>
        <v>#REF!</v>
      </c>
      <c r="AP139" t="e">
        <f>AND(Bills!#REF!,"AAAAAFf99yk=")</f>
        <v>#REF!</v>
      </c>
      <c r="AQ139" t="e">
        <f>AND(Bills!#REF!,"AAAAAFf99yo=")</f>
        <v>#REF!</v>
      </c>
      <c r="AR139" t="e">
        <f>AND(Bills!#REF!,"AAAAAFf99ys=")</f>
        <v>#REF!</v>
      </c>
      <c r="AS139" t="e">
        <f>AND(Bills!#REF!,"AAAAAFf99yw=")</f>
        <v>#REF!</v>
      </c>
      <c r="AT139" t="e">
        <f>AND(Bills!#REF!,"AAAAAFf99y0=")</f>
        <v>#REF!</v>
      </c>
      <c r="AU139" t="e">
        <f>AND(Bills!AA535,"AAAAAFf99y4=")</f>
        <v>#VALUE!</v>
      </c>
      <c r="AV139" t="e">
        <f>AND(Bills!AB535,"AAAAAFf99y8=")</f>
        <v>#VALUE!</v>
      </c>
      <c r="AW139" t="e">
        <f>AND(Bills!#REF!,"AAAAAFf99zA=")</f>
        <v>#REF!</v>
      </c>
      <c r="AX139" t="e">
        <f>AND(Bills!#REF!,"AAAAAFf99zE=")</f>
        <v>#REF!</v>
      </c>
      <c r="AY139" t="e">
        <f>AND(Bills!#REF!,"AAAAAFf99zI=")</f>
        <v>#REF!</v>
      </c>
      <c r="AZ139" t="e">
        <f>AND(Bills!AC535,"AAAAAFf99zM=")</f>
        <v>#VALUE!</v>
      </c>
      <c r="BA139" t="e">
        <f>AND(Bills!AD535,"AAAAAFf99zQ=")</f>
        <v>#VALUE!</v>
      </c>
      <c r="BB139" t="e">
        <f>AND(Bills!AE535,"AAAAAFf99zU=")</f>
        <v>#VALUE!</v>
      </c>
      <c r="BC139">
        <f>IF(Bills!536:536,"AAAAAFf99zY=",0)</f>
        <v>0</v>
      </c>
      <c r="BD139" t="e">
        <f>AND(Bills!B536,"AAAAAFf99zc=")</f>
        <v>#VALUE!</v>
      </c>
      <c r="BE139" t="e">
        <f>AND(Bills!#REF!,"AAAAAFf99zg=")</f>
        <v>#REF!</v>
      </c>
      <c r="BF139" t="e">
        <f>AND(Bills!C536,"AAAAAFf99zk=")</f>
        <v>#VALUE!</v>
      </c>
      <c r="BG139" t="e">
        <f>AND(Bills!D536,"AAAAAFf99zo=")</f>
        <v>#VALUE!</v>
      </c>
      <c r="BH139" t="e">
        <f>AND(Bills!E536,"AAAAAFf99zs=")</f>
        <v>#VALUE!</v>
      </c>
      <c r="BI139" t="e">
        <f>AND(Bills!#REF!,"AAAAAFf99zw=")</f>
        <v>#REF!</v>
      </c>
      <c r="BJ139" t="e">
        <f>AND(Bills!#REF!,"AAAAAFf99z0=")</f>
        <v>#REF!</v>
      </c>
      <c r="BK139" t="e">
        <f>AND(Bills!#REF!,"AAAAAFf99z4=")</f>
        <v>#REF!</v>
      </c>
      <c r="BL139" t="e">
        <f>AND(Bills!F536,"AAAAAFf99z8=")</f>
        <v>#VALUE!</v>
      </c>
      <c r="BM139" t="e">
        <f>AND(Bills!#REF!,"AAAAAFf990A=")</f>
        <v>#REF!</v>
      </c>
      <c r="BN139" t="e">
        <f>AND(Bills!G536,"AAAAAFf990E=")</f>
        <v>#VALUE!</v>
      </c>
      <c r="BO139" t="e">
        <f>AND(Bills!H536,"AAAAAFf990I=")</f>
        <v>#VALUE!</v>
      </c>
      <c r="BP139" t="e">
        <f>AND(Bills!I536,"AAAAAFf990M=")</f>
        <v>#VALUE!</v>
      </c>
      <c r="BQ139" t="e">
        <f>AND(Bills!J536,"AAAAAFf990Q=")</f>
        <v>#VALUE!</v>
      </c>
      <c r="BR139" t="e">
        <f>AND(Bills!K536,"AAAAAFf990U=")</f>
        <v>#VALUE!</v>
      </c>
      <c r="BS139" t="e">
        <f>AND(Bills!L536,"AAAAAFf990Y=")</f>
        <v>#VALUE!</v>
      </c>
      <c r="BT139" t="e">
        <f>AND(Bills!#REF!,"AAAAAFf990c=")</f>
        <v>#REF!</v>
      </c>
      <c r="BU139" t="e">
        <f>AND(Bills!M536,"AAAAAFf990g=")</f>
        <v>#VALUE!</v>
      </c>
      <c r="BV139" t="e">
        <f>AND(Bills!N536,"AAAAAFf990k=")</f>
        <v>#VALUE!</v>
      </c>
      <c r="BW139" t="e">
        <f>AND(Bills!O536,"AAAAAFf990o=")</f>
        <v>#VALUE!</v>
      </c>
      <c r="BX139" t="e">
        <f>AND(Bills!P536,"AAAAAFf990s=")</f>
        <v>#VALUE!</v>
      </c>
      <c r="BY139" t="e">
        <f>AND(Bills!Q536,"AAAAAFf990w=")</f>
        <v>#VALUE!</v>
      </c>
      <c r="BZ139" t="e">
        <f>AND(Bills!R536,"AAAAAFf9900=")</f>
        <v>#VALUE!</v>
      </c>
      <c r="CA139" t="e">
        <f>AND(Bills!S536,"AAAAAFf9904=")</f>
        <v>#VALUE!</v>
      </c>
      <c r="CB139" t="e">
        <f>AND(Bills!T536,"AAAAAFf9908=")</f>
        <v>#VALUE!</v>
      </c>
      <c r="CC139" t="e">
        <f>AND(Bills!#REF!,"AAAAAFf991A=")</f>
        <v>#REF!</v>
      </c>
      <c r="CD139" t="e">
        <f>AND(Bills!U536,"AAAAAFf991E=")</f>
        <v>#VALUE!</v>
      </c>
      <c r="CE139" t="e">
        <f>AND(Bills!V536,"AAAAAFf991I=")</f>
        <v>#VALUE!</v>
      </c>
      <c r="CF139" t="e">
        <f>AND(Bills!W536,"AAAAAFf991M=")</f>
        <v>#VALUE!</v>
      </c>
      <c r="CG139" t="e">
        <f>AND(Bills!#REF!,"AAAAAFf991Q=")</f>
        <v>#REF!</v>
      </c>
      <c r="CH139" t="e">
        <f>AND(Bills!#REF!,"AAAAAFf991U=")</f>
        <v>#REF!</v>
      </c>
      <c r="CI139" t="e">
        <f>AND(Bills!Y536,"AAAAAFf991Y=")</f>
        <v>#VALUE!</v>
      </c>
      <c r="CJ139" t="e">
        <f>AND(Bills!Z536,"AAAAAFf991c=")</f>
        <v>#VALUE!</v>
      </c>
      <c r="CK139" t="e">
        <f>AND(Bills!#REF!,"AAAAAFf991g=")</f>
        <v>#REF!</v>
      </c>
      <c r="CL139" t="e">
        <f>AND(Bills!#REF!,"AAAAAFf991k=")</f>
        <v>#REF!</v>
      </c>
      <c r="CM139" t="e">
        <f>AND(Bills!#REF!,"AAAAAFf991o=")</f>
        <v>#REF!</v>
      </c>
      <c r="CN139" t="e">
        <f>AND(Bills!#REF!,"AAAAAFf991s=")</f>
        <v>#REF!</v>
      </c>
      <c r="CO139" t="e">
        <f>AND(Bills!#REF!,"AAAAAFf991w=")</f>
        <v>#REF!</v>
      </c>
      <c r="CP139" t="e">
        <f>AND(Bills!#REF!,"AAAAAFf9910=")</f>
        <v>#REF!</v>
      </c>
      <c r="CQ139" t="e">
        <f>AND(Bills!#REF!,"AAAAAFf9914=")</f>
        <v>#REF!</v>
      </c>
      <c r="CR139" t="e">
        <f>AND(Bills!#REF!,"AAAAAFf9918=")</f>
        <v>#REF!</v>
      </c>
      <c r="CS139" t="e">
        <f>AND(Bills!#REF!,"AAAAAFf992A=")</f>
        <v>#REF!</v>
      </c>
      <c r="CT139" t="e">
        <f>AND(Bills!AA536,"AAAAAFf992E=")</f>
        <v>#VALUE!</v>
      </c>
      <c r="CU139" t="e">
        <f>AND(Bills!AB536,"AAAAAFf992I=")</f>
        <v>#VALUE!</v>
      </c>
      <c r="CV139" t="e">
        <f>AND(Bills!#REF!,"AAAAAFf992M=")</f>
        <v>#REF!</v>
      </c>
      <c r="CW139" t="e">
        <f>AND(Bills!#REF!,"AAAAAFf992Q=")</f>
        <v>#REF!</v>
      </c>
      <c r="CX139" t="e">
        <f>AND(Bills!#REF!,"AAAAAFf992U=")</f>
        <v>#REF!</v>
      </c>
      <c r="CY139" t="e">
        <f>AND(Bills!AC536,"AAAAAFf992Y=")</f>
        <v>#VALUE!</v>
      </c>
      <c r="CZ139" t="e">
        <f>AND(Bills!AD536,"AAAAAFf992c=")</f>
        <v>#VALUE!</v>
      </c>
      <c r="DA139" t="e">
        <f>AND(Bills!AE536,"AAAAAFf992g=")</f>
        <v>#VALUE!</v>
      </c>
      <c r="DB139">
        <f>IF(Bills!537:537,"AAAAAFf992k=",0)</f>
        <v>0</v>
      </c>
      <c r="DC139" t="e">
        <f>AND(Bills!B537,"AAAAAFf992o=")</f>
        <v>#VALUE!</v>
      </c>
      <c r="DD139" t="e">
        <f>AND(Bills!#REF!,"AAAAAFf992s=")</f>
        <v>#REF!</v>
      </c>
      <c r="DE139" t="e">
        <f>AND(Bills!C537,"AAAAAFf992w=")</f>
        <v>#VALUE!</v>
      </c>
      <c r="DF139" t="e">
        <f>AND(Bills!D537,"AAAAAFf9920=")</f>
        <v>#VALUE!</v>
      </c>
      <c r="DG139" t="e">
        <f>AND(Bills!E537,"AAAAAFf9924=")</f>
        <v>#VALUE!</v>
      </c>
      <c r="DH139" t="e">
        <f>AND(Bills!#REF!,"AAAAAFf9928=")</f>
        <v>#REF!</v>
      </c>
      <c r="DI139" t="e">
        <f>AND(Bills!#REF!,"AAAAAFf993A=")</f>
        <v>#REF!</v>
      </c>
      <c r="DJ139" t="e">
        <f>AND(Bills!#REF!,"AAAAAFf993E=")</f>
        <v>#REF!</v>
      </c>
      <c r="DK139" t="e">
        <f>AND(Bills!F537,"AAAAAFf993I=")</f>
        <v>#VALUE!</v>
      </c>
      <c r="DL139" t="e">
        <f>AND(Bills!#REF!,"AAAAAFf993M=")</f>
        <v>#REF!</v>
      </c>
      <c r="DM139" t="e">
        <f>AND(Bills!G537,"AAAAAFf993Q=")</f>
        <v>#VALUE!</v>
      </c>
      <c r="DN139" t="e">
        <f>AND(Bills!H537,"AAAAAFf993U=")</f>
        <v>#VALUE!</v>
      </c>
      <c r="DO139" t="e">
        <f>AND(Bills!I537,"AAAAAFf993Y=")</f>
        <v>#VALUE!</v>
      </c>
      <c r="DP139" t="e">
        <f>AND(Bills!J537,"AAAAAFf993c=")</f>
        <v>#VALUE!</v>
      </c>
      <c r="DQ139" t="e">
        <f>AND(Bills!K537,"AAAAAFf993g=")</f>
        <v>#VALUE!</v>
      </c>
      <c r="DR139" t="e">
        <f>AND(Bills!L537,"AAAAAFf993k=")</f>
        <v>#VALUE!</v>
      </c>
      <c r="DS139" t="e">
        <f>AND(Bills!#REF!,"AAAAAFf993o=")</f>
        <v>#REF!</v>
      </c>
      <c r="DT139" t="e">
        <f>AND(Bills!M537,"AAAAAFf993s=")</f>
        <v>#VALUE!</v>
      </c>
      <c r="DU139" t="e">
        <f>AND(Bills!N537,"AAAAAFf993w=")</f>
        <v>#VALUE!</v>
      </c>
      <c r="DV139" t="e">
        <f>AND(Bills!O537,"AAAAAFf9930=")</f>
        <v>#VALUE!</v>
      </c>
      <c r="DW139" t="e">
        <f>AND(Bills!P537,"AAAAAFf9934=")</f>
        <v>#VALUE!</v>
      </c>
      <c r="DX139" t="e">
        <f>AND(Bills!Q537,"AAAAAFf9938=")</f>
        <v>#VALUE!</v>
      </c>
      <c r="DY139" t="e">
        <f>AND(Bills!R537,"AAAAAFf994A=")</f>
        <v>#VALUE!</v>
      </c>
      <c r="DZ139" t="e">
        <f>AND(Bills!S537,"AAAAAFf994E=")</f>
        <v>#VALUE!</v>
      </c>
      <c r="EA139" t="e">
        <f>AND(Bills!T537,"AAAAAFf994I=")</f>
        <v>#VALUE!</v>
      </c>
      <c r="EB139" t="e">
        <f>AND(Bills!#REF!,"AAAAAFf994M=")</f>
        <v>#REF!</v>
      </c>
      <c r="EC139" t="e">
        <f>AND(Bills!U537,"AAAAAFf994Q=")</f>
        <v>#VALUE!</v>
      </c>
      <c r="ED139" t="e">
        <f>AND(Bills!V537,"AAAAAFf994U=")</f>
        <v>#VALUE!</v>
      </c>
      <c r="EE139" t="e">
        <f>AND(Bills!W537,"AAAAAFf994Y=")</f>
        <v>#VALUE!</v>
      </c>
      <c r="EF139" t="e">
        <f>AND(Bills!#REF!,"AAAAAFf994c=")</f>
        <v>#REF!</v>
      </c>
      <c r="EG139" t="e">
        <f>AND(Bills!#REF!,"AAAAAFf994g=")</f>
        <v>#REF!</v>
      </c>
      <c r="EH139" t="e">
        <f>AND(Bills!Y537,"AAAAAFf994k=")</f>
        <v>#VALUE!</v>
      </c>
      <c r="EI139" t="e">
        <f>AND(Bills!Z537,"AAAAAFf994o=")</f>
        <v>#VALUE!</v>
      </c>
      <c r="EJ139" t="e">
        <f>AND(Bills!#REF!,"AAAAAFf994s=")</f>
        <v>#REF!</v>
      </c>
      <c r="EK139" t="e">
        <f>AND(Bills!#REF!,"AAAAAFf994w=")</f>
        <v>#REF!</v>
      </c>
      <c r="EL139" t="e">
        <f>AND(Bills!#REF!,"AAAAAFf9940=")</f>
        <v>#REF!</v>
      </c>
      <c r="EM139" t="e">
        <f>AND(Bills!#REF!,"AAAAAFf9944=")</f>
        <v>#REF!</v>
      </c>
      <c r="EN139" t="e">
        <f>AND(Bills!#REF!,"AAAAAFf9948=")</f>
        <v>#REF!</v>
      </c>
      <c r="EO139" t="e">
        <f>AND(Bills!#REF!,"AAAAAFf995A=")</f>
        <v>#REF!</v>
      </c>
      <c r="EP139" t="e">
        <f>AND(Bills!#REF!,"AAAAAFf995E=")</f>
        <v>#REF!</v>
      </c>
      <c r="EQ139" t="e">
        <f>AND(Bills!#REF!,"AAAAAFf995I=")</f>
        <v>#REF!</v>
      </c>
      <c r="ER139" t="e">
        <f>AND(Bills!#REF!,"AAAAAFf995M=")</f>
        <v>#REF!</v>
      </c>
      <c r="ES139" t="e">
        <f>AND(Bills!AA537,"AAAAAFf995Q=")</f>
        <v>#VALUE!</v>
      </c>
      <c r="ET139" t="e">
        <f>AND(Bills!AB537,"AAAAAFf995U=")</f>
        <v>#VALUE!</v>
      </c>
      <c r="EU139" t="e">
        <f>AND(Bills!#REF!,"AAAAAFf995Y=")</f>
        <v>#REF!</v>
      </c>
      <c r="EV139" t="e">
        <f>AND(Bills!#REF!,"AAAAAFf995c=")</f>
        <v>#REF!</v>
      </c>
      <c r="EW139" t="e">
        <f>AND(Bills!#REF!,"AAAAAFf995g=")</f>
        <v>#REF!</v>
      </c>
      <c r="EX139" t="e">
        <f>AND(Bills!AC537,"AAAAAFf995k=")</f>
        <v>#VALUE!</v>
      </c>
      <c r="EY139" t="e">
        <f>AND(Bills!AD537,"AAAAAFf995o=")</f>
        <v>#VALUE!</v>
      </c>
      <c r="EZ139" t="e">
        <f>AND(Bills!AE537,"AAAAAFf995s=")</f>
        <v>#VALUE!</v>
      </c>
      <c r="FA139">
        <f>IF(Bills!538:538,"AAAAAFf995w=",0)</f>
        <v>0</v>
      </c>
      <c r="FB139" t="e">
        <f>AND(Bills!B538,"AAAAAFf9950=")</f>
        <v>#VALUE!</v>
      </c>
      <c r="FC139" t="e">
        <f>AND(Bills!#REF!,"AAAAAFf9954=")</f>
        <v>#REF!</v>
      </c>
      <c r="FD139" t="e">
        <f>AND(Bills!C538,"AAAAAFf9958=")</f>
        <v>#VALUE!</v>
      </c>
      <c r="FE139" t="e">
        <f>AND(Bills!D538,"AAAAAFf996A=")</f>
        <v>#VALUE!</v>
      </c>
      <c r="FF139" t="e">
        <f>AND(Bills!E538,"AAAAAFf996E=")</f>
        <v>#VALUE!</v>
      </c>
      <c r="FG139" t="e">
        <f>AND(Bills!#REF!,"AAAAAFf996I=")</f>
        <v>#REF!</v>
      </c>
      <c r="FH139" t="e">
        <f>AND(Bills!#REF!,"AAAAAFf996M=")</f>
        <v>#REF!</v>
      </c>
      <c r="FI139" t="e">
        <f>AND(Bills!#REF!,"AAAAAFf996Q=")</f>
        <v>#REF!</v>
      </c>
      <c r="FJ139" t="e">
        <f>AND(Bills!F538,"AAAAAFf996U=")</f>
        <v>#VALUE!</v>
      </c>
      <c r="FK139" t="e">
        <f>AND(Bills!#REF!,"AAAAAFf996Y=")</f>
        <v>#REF!</v>
      </c>
      <c r="FL139" t="e">
        <f>AND(Bills!G538,"AAAAAFf996c=")</f>
        <v>#VALUE!</v>
      </c>
      <c r="FM139" t="e">
        <f>AND(Bills!H538,"AAAAAFf996g=")</f>
        <v>#VALUE!</v>
      </c>
      <c r="FN139" t="e">
        <f>AND(Bills!I538,"AAAAAFf996k=")</f>
        <v>#VALUE!</v>
      </c>
      <c r="FO139" t="e">
        <f>AND(Bills!J538,"AAAAAFf996o=")</f>
        <v>#VALUE!</v>
      </c>
      <c r="FP139" t="e">
        <f>AND(Bills!K538,"AAAAAFf996s=")</f>
        <v>#VALUE!</v>
      </c>
      <c r="FQ139" t="e">
        <f>AND(Bills!L538,"AAAAAFf996w=")</f>
        <v>#VALUE!</v>
      </c>
      <c r="FR139" t="e">
        <f>AND(Bills!#REF!,"AAAAAFf9960=")</f>
        <v>#REF!</v>
      </c>
      <c r="FS139" t="e">
        <f>AND(Bills!M538,"AAAAAFf9964=")</f>
        <v>#VALUE!</v>
      </c>
      <c r="FT139" t="e">
        <f>AND(Bills!N538,"AAAAAFf9968=")</f>
        <v>#VALUE!</v>
      </c>
      <c r="FU139" t="e">
        <f>AND(Bills!O538,"AAAAAFf997A=")</f>
        <v>#VALUE!</v>
      </c>
      <c r="FV139" t="e">
        <f>AND(Bills!P538,"AAAAAFf997E=")</f>
        <v>#VALUE!</v>
      </c>
      <c r="FW139" t="e">
        <f>AND(Bills!Q538,"AAAAAFf997I=")</f>
        <v>#VALUE!</v>
      </c>
      <c r="FX139" t="e">
        <f>AND(Bills!R538,"AAAAAFf997M=")</f>
        <v>#VALUE!</v>
      </c>
      <c r="FY139" t="e">
        <f>AND(Bills!S538,"AAAAAFf997Q=")</f>
        <v>#VALUE!</v>
      </c>
      <c r="FZ139" t="e">
        <f>AND(Bills!T538,"AAAAAFf997U=")</f>
        <v>#VALUE!</v>
      </c>
      <c r="GA139" t="e">
        <f>AND(Bills!#REF!,"AAAAAFf997Y=")</f>
        <v>#REF!</v>
      </c>
      <c r="GB139" t="e">
        <f>AND(Bills!U538,"AAAAAFf997c=")</f>
        <v>#VALUE!</v>
      </c>
      <c r="GC139" t="e">
        <f>AND(Bills!V538,"AAAAAFf997g=")</f>
        <v>#VALUE!</v>
      </c>
      <c r="GD139" t="e">
        <f>AND(Bills!W538,"AAAAAFf997k=")</f>
        <v>#VALUE!</v>
      </c>
      <c r="GE139" t="e">
        <f>AND(Bills!#REF!,"AAAAAFf997o=")</f>
        <v>#REF!</v>
      </c>
      <c r="GF139" t="e">
        <f>AND(Bills!#REF!,"AAAAAFf997s=")</f>
        <v>#REF!</v>
      </c>
      <c r="GG139" t="e">
        <f>AND(Bills!Y538,"AAAAAFf997w=")</f>
        <v>#VALUE!</v>
      </c>
      <c r="GH139" t="e">
        <f>AND(Bills!Z538,"AAAAAFf9970=")</f>
        <v>#VALUE!</v>
      </c>
      <c r="GI139" t="e">
        <f>AND(Bills!#REF!,"AAAAAFf9974=")</f>
        <v>#REF!</v>
      </c>
      <c r="GJ139" t="e">
        <f>AND(Bills!#REF!,"AAAAAFf9978=")</f>
        <v>#REF!</v>
      </c>
      <c r="GK139" t="e">
        <f>AND(Bills!#REF!,"AAAAAFf998A=")</f>
        <v>#REF!</v>
      </c>
      <c r="GL139" t="e">
        <f>AND(Bills!#REF!,"AAAAAFf998E=")</f>
        <v>#REF!</v>
      </c>
      <c r="GM139" t="e">
        <f>AND(Bills!#REF!,"AAAAAFf998I=")</f>
        <v>#REF!</v>
      </c>
      <c r="GN139" t="e">
        <f>AND(Bills!#REF!,"AAAAAFf998M=")</f>
        <v>#REF!</v>
      </c>
      <c r="GO139" t="e">
        <f>AND(Bills!#REF!,"AAAAAFf998Q=")</f>
        <v>#REF!</v>
      </c>
      <c r="GP139" t="e">
        <f>AND(Bills!#REF!,"AAAAAFf998U=")</f>
        <v>#REF!</v>
      </c>
      <c r="GQ139" t="e">
        <f>AND(Bills!#REF!,"AAAAAFf998Y=")</f>
        <v>#REF!</v>
      </c>
      <c r="GR139" t="e">
        <f>AND(Bills!AA538,"AAAAAFf998c=")</f>
        <v>#VALUE!</v>
      </c>
      <c r="GS139" t="e">
        <f>AND(Bills!AB538,"AAAAAFf998g=")</f>
        <v>#VALUE!</v>
      </c>
      <c r="GT139" t="e">
        <f>AND(Bills!#REF!,"AAAAAFf998k=")</f>
        <v>#REF!</v>
      </c>
      <c r="GU139" t="e">
        <f>AND(Bills!#REF!,"AAAAAFf998o=")</f>
        <v>#REF!</v>
      </c>
      <c r="GV139" t="e">
        <f>AND(Bills!#REF!,"AAAAAFf998s=")</f>
        <v>#REF!</v>
      </c>
      <c r="GW139" t="e">
        <f>AND(Bills!AC538,"AAAAAFf998w=")</f>
        <v>#VALUE!</v>
      </c>
      <c r="GX139" t="e">
        <f>AND(Bills!AD538,"AAAAAFf9980=")</f>
        <v>#VALUE!</v>
      </c>
      <c r="GY139" t="e">
        <f>AND(Bills!AE538,"AAAAAFf9984=")</f>
        <v>#VALUE!</v>
      </c>
      <c r="GZ139">
        <f>IF(Bills!539:539,"AAAAAFf9988=",0)</f>
        <v>0</v>
      </c>
      <c r="HA139" t="e">
        <f>AND(Bills!B539,"AAAAAFf999A=")</f>
        <v>#VALUE!</v>
      </c>
      <c r="HB139" t="e">
        <f>AND(Bills!#REF!,"AAAAAFf999E=")</f>
        <v>#REF!</v>
      </c>
      <c r="HC139" t="e">
        <f>AND(Bills!C539,"AAAAAFf999I=")</f>
        <v>#VALUE!</v>
      </c>
      <c r="HD139" t="e">
        <f>AND(Bills!D539,"AAAAAFf999M=")</f>
        <v>#VALUE!</v>
      </c>
      <c r="HE139" t="e">
        <f>AND(Bills!E539,"AAAAAFf999Q=")</f>
        <v>#VALUE!</v>
      </c>
      <c r="HF139" t="e">
        <f>AND(Bills!#REF!,"AAAAAFf999U=")</f>
        <v>#REF!</v>
      </c>
      <c r="HG139" t="e">
        <f>AND(Bills!#REF!,"AAAAAFf999Y=")</f>
        <v>#REF!</v>
      </c>
      <c r="HH139" t="e">
        <f>AND(Bills!#REF!,"AAAAAFf999c=")</f>
        <v>#REF!</v>
      </c>
      <c r="HI139" t="e">
        <f>AND(Bills!F539,"AAAAAFf999g=")</f>
        <v>#VALUE!</v>
      </c>
      <c r="HJ139" t="e">
        <f>AND(Bills!#REF!,"AAAAAFf999k=")</f>
        <v>#REF!</v>
      </c>
      <c r="HK139" t="e">
        <f>AND(Bills!G539,"AAAAAFf999o=")</f>
        <v>#VALUE!</v>
      </c>
      <c r="HL139" t="e">
        <f>AND(Bills!H539,"AAAAAFf999s=")</f>
        <v>#VALUE!</v>
      </c>
      <c r="HM139" t="e">
        <f>AND(Bills!I539,"AAAAAFf999w=")</f>
        <v>#VALUE!</v>
      </c>
      <c r="HN139" t="e">
        <f>AND(Bills!J539,"AAAAAFf9990=")</f>
        <v>#VALUE!</v>
      </c>
      <c r="HO139" t="e">
        <f>AND(Bills!K539,"AAAAAFf9994=")</f>
        <v>#VALUE!</v>
      </c>
      <c r="HP139" t="e">
        <f>AND(Bills!L539,"AAAAAFf9998=")</f>
        <v>#VALUE!</v>
      </c>
      <c r="HQ139" t="e">
        <f>AND(Bills!#REF!,"AAAAAFf99+A=")</f>
        <v>#REF!</v>
      </c>
      <c r="HR139" t="e">
        <f>AND(Bills!M539,"AAAAAFf99+E=")</f>
        <v>#VALUE!</v>
      </c>
      <c r="HS139" t="e">
        <f>AND(Bills!N539,"AAAAAFf99+I=")</f>
        <v>#VALUE!</v>
      </c>
      <c r="HT139" t="e">
        <f>AND(Bills!O539,"AAAAAFf99+M=")</f>
        <v>#VALUE!</v>
      </c>
      <c r="HU139" t="e">
        <f>AND(Bills!P539,"AAAAAFf99+Q=")</f>
        <v>#VALUE!</v>
      </c>
      <c r="HV139" t="e">
        <f>AND(Bills!Q539,"AAAAAFf99+U=")</f>
        <v>#VALUE!</v>
      </c>
      <c r="HW139" t="e">
        <f>AND(Bills!R539,"AAAAAFf99+Y=")</f>
        <v>#VALUE!</v>
      </c>
      <c r="HX139" t="e">
        <f>AND(Bills!S539,"AAAAAFf99+c=")</f>
        <v>#VALUE!</v>
      </c>
      <c r="HY139" t="e">
        <f>AND(Bills!T539,"AAAAAFf99+g=")</f>
        <v>#VALUE!</v>
      </c>
      <c r="HZ139" t="e">
        <f>AND(Bills!#REF!,"AAAAAFf99+k=")</f>
        <v>#REF!</v>
      </c>
      <c r="IA139" t="e">
        <f>AND(Bills!U539,"AAAAAFf99+o=")</f>
        <v>#VALUE!</v>
      </c>
      <c r="IB139" t="e">
        <f>AND(Bills!V539,"AAAAAFf99+s=")</f>
        <v>#VALUE!</v>
      </c>
      <c r="IC139" t="e">
        <f>AND(Bills!W539,"AAAAAFf99+w=")</f>
        <v>#VALUE!</v>
      </c>
      <c r="ID139" t="e">
        <f>AND(Bills!#REF!,"AAAAAFf99+0=")</f>
        <v>#REF!</v>
      </c>
      <c r="IE139" t="e">
        <f>AND(Bills!#REF!,"AAAAAFf99+4=")</f>
        <v>#REF!</v>
      </c>
      <c r="IF139" t="e">
        <f>AND(Bills!Y539,"AAAAAFf99+8=")</f>
        <v>#VALUE!</v>
      </c>
      <c r="IG139" t="e">
        <f>AND(Bills!Z539,"AAAAAFf99/A=")</f>
        <v>#VALUE!</v>
      </c>
      <c r="IH139" t="e">
        <f>AND(Bills!#REF!,"AAAAAFf99/E=")</f>
        <v>#REF!</v>
      </c>
      <c r="II139" t="e">
        <f>AND(Bills!#REF!,"AAAAAFf99/I=")</f>
        <v>#REF!</v>
      </c>
      <c r="IJ139" t="e">
        <f>AND(Bills!#REF!,"AAAAAFf99/M=")</f>
        <v>#REF!</v>
      </c>
      <c r="IK139" t="e">
        <f>AND(Bills!#REF!,"AAAAAFf99/Q=")</f>
        <v>#REF!</v>
      </c>
      <c r="IL139" t="e">
        <f>AND(Bills!#REF!,"AAAAAFf99/U=")</f>
        <v>#REF!</v>
      </c>
      <c r="IM139" t="e">
        <f>AND(Bills!#REF!,"AAAAAFf99/Y=")</f>
        <v>#REF!</v>
      </c>
      <c r="IN139" t="e">
        <f>AND(Bills!#REF!,"AAAAAFf99/c=")</f>
        <v>#REF!</v>
      </c>
      <c r="IO139" t="e">
        <f>AND(Bills!#REF!,"AAAAAFf99/g=")</f>
        <v>#REF!</v>
      </c>
      <c r="IP139" t="e">
        <f>AND(Bills!#REF!,"AAAAAFf99/k=")</f>
        <v>#REF!</v>
      </c>
      <c r="IQ139" t="e">
        <f>AND(Bills!AA539,"AAAAAFf99/o=")</f>
        <v>#VALUE!</v>
      </c>
      <c r="IR139" t="e">
        <f>AND(Bills!AB539,"AAAAAFf99/s=")</f>
        <v>#VALUE!</v>
      </c>
      <c r="IS139" t="e">
        <f>AND(Bills!#REF!,"AAAAAFf99/w=")</f>
        <v>#REF!</v>
      </c>
      <c r="IT139" t="e">
        <f>AND(Bills!#REF!,"AAAAAFf99/0=")</f>
        <v>#REF!</v>
      </c>
      <c r="IU139" t="e">
        <f>AND(Bills!#REF!,"AAAAAFf99/4=")</f>
        <v>#REF!</v>
      </c>
      <c r="IV139" t="e">
        <f>AND(Bills!AC539,"AAAAAFf99/8=")</f>
        <v>#VALUE!</v>
      </c>
    </row>
    <row r="140" spans="1:256" x14ac:dyDescent="0.25">
      <c r="A140" t="e">
        <f>AND(Bills!AD539,"AAAAAA/PbQA=")</f>
        <v>#VALUE!</v>
      </c>
      <c r="B140" t="e">
        <f>AND(Bills!AE539,"AAAAAA/PbQE=")</f>
        <v>#VALUE!</v>
      </c>
      <c r="C140">
        <f>IF(Bills!540:540,"AAAAAA/PbQI=",0)</f>
        <v>0</v>
      </c>
      <c r="D140" t="e">
        <f>AND(Bills!B540,"AAAAAA/PbQM=")</f>
        <v>#VALUE!</v>
      </c>
      <c r="E140" t="e">
        <f>AND(Bills!#REF!,"AAAAAA/PbQQ=")</f>
        <v>#REF!</v>
      </c>
      <c r="F140" t="e">
        <f>AND(Bills!C540,"AAAAAA/PbQU=")</f>
        <v>#VALUE!</v>
      </c>
      <c r="G140" t="e">
        <f>AND(Bills!D540,"AAAAAA/PbQY=")</f>
        <v>#VALUE!</v>
      </c>
      <c r="H140" t="e">
        <f>AND(Bills!E540,"AAAAAA/PbQc=")</f>
        <v>#VALUE!</v>
      </c>
      <c r="I140" t="e">
        <f>AND(Bills!#REF!,"AAAAAA/PbQg=")</f>
        <v>#REF!</v>
      </c>
      <c r="J140" t="e">
        <f>AND(Bills!#REF!,"AAAAAA/PbQk=")</f>
        <v>#REF!</v>
      </c>
      <c r="K140" t="e">
        <f>AND(Bills!#REF!,"AAAAAA/PbQo=")</f>
        <v>#REF!</v>
      </c>
      <c r="L140" t="e">
        <f>AND(Bills!F540,"AAAAAA/PbQs=")</f>
        <v>#VALUE!</v>
      </c>
      <c r="M140" t="e">
        <f>AND(Bills!#REF!,"AAAAAA/PbQw=")</f>
        <v>#REF!</v>
      </c>
      <c r="N140" t="e">
        <f>AND(Bills!G540,"AAAAAA/PbQ0=")</f>
        <v>#VALUE!</v>
      </c>
      <c r="O140" t="e">
        <f>AND(Bills!H540,"AAAAAA/PbQ4=")</f>
        <v>#VALUE!</v>
      </c>
      <c r="P140" t="e">
        <f>AND(Bills!I540,"AAAAAA/PbQ8=")</f>
        <v>#VALUE!</v>
      </c>
      <c r="Q140" t="e">
        <f>AND(Bills!J540,"AAAAAA/PbRA=")</f>
        <v>#VALUE!</v>
      </c>
      <c r="R140" t="e">
        <f>AND(Bills!K540,"AAAAAA/PbRE=")</f>
        <v>#VALUE!</v>
      </c>
      <c r="S140" t="e">
        <f>AND(Bills!L540,"AAAAAA/PbRI=")</f>
        <v>#VALUE!</v>
      </c>
      <c r="T140" t="e">
        <f>AND(Bills!#REF!,"AAAAAA/PbRM=")</f>
        <v>#REF!</v>
      </c>
      <c r="U140" t="e">
        <f>AND(Bills!M540,"AAAAAA/PbRQ=")</f>
        <v>#VALUE!</v>
      </c>
      <c r="V140" t="e">
        <f>AND(Bills!N540,"AAAAAA/PbRU=")</f>
        <v>#VALUE!</v>
      </c>
      <c r="W140" t="e">
        <f>AND(Bills!O540,"AAAAAA/PbRY=")</f>
        <v>#VALUE!</v>
      </c>
      <c r="X140" t="e">
        <f>AND(Bills!P540,"AAAAAA/PbRc=")</f>
        <v>#VALUE!</v>
      </c>
      <c r="Y140" t="e">
        <f>AND(Bills!Q540,"AAAAAA/PbRg=")</f>
        <v>#VALUE!</v>
      </c>
      <c r="Z140" t="e">
        <f>AND(Bills!R540,"AAAAAA/PbRk=")</f>
        <v>#VALUE!</v>
      </c>
      <c r="AA140" t="e">
        <f>AND(Bills!S540,"AAAAAA/PbRo=")</f>
        <v>#VALUE!</v>
      </c>
      <c r="AB140" t="e">
        <f>AND(Bills!T540,"AAAAAA/PbRs=")</f>
        <v>#VALUE!</v>
      </c>
      <c r="AC140" t="e">
        <f>AND(Bills!#REF!,"AAAAAA/PbRw=")</f>
        <v>#REF!</v>
      </c>
      <c r="AD140" t="e">
        <f>AND(Bills!U540,"AAAAAA/PbR0=")</f>
        <v>#VALUE!</v>
      </c>
      <c r="AE140" t="e">
        <f>AND(Bills!V540,"AAAAAA/PbR4=")</f>
        <v>#VALUE!</v>
      </c>
      <c r="AF140" t="e">
        <f>AND(Bills!W540,"AAAAAA/PbR8=")</f>
        <v>#VALUE!</v>
      </c>
      <c r="AG140" t="e">
        <f>AND(Bills!#REF!,"AAAAAA/PbSA=")</f>
        <v>#REF!</v>
      </c>
      <c r="AH140" t="e">
        <f>AND(Bills!#REF!,"AAAAAA/PbSE=")</f>
        <v>#REF!</v>
      </c>
      <c r="AI140" t="e">
        <f>AND(Bills!Y540,"AAAAAA/PbSI=")</f>
        <v>#VALUE!</v>
      </c>
      <c r="AJ140" t="e">
        <f>AND(Bills!Z540,"AAAAAA/PbSM=")</f>
        <v>#VALUE!</v>
      </c>
      <c r="AK140" t="e">
        <f>AND(Bills!#REF!,"AAAAAA/PbSQ=")</f>
        <v>#REF!</v>
      </c>
      <c r="AL140" t="e">
        <f>AND(Bills!#REF!,"AAAAAA/PbSU=")</f>
        <v>#REF!</v>
      </c>
      <c r="AM140" t="e">
        <f>AND(Bills!#REF!,"AAAAAA/PbSY=")</f>
        <v>#REF!</v>
      </c>
      <c r="AN140" t="e">
        <f>AND(Bills!#REF!,"AAAAAA/PbSc=")</f>
        <v>#REF!</v>
      </c>
      <c r="AO140" t="e">
        <f>AND(Bills!#REF!,"AAAAAA/PbSg=")</f>
        <v>#REF!</v>
      </c>
      <c r="AP140" t="e">
        <f>AND(Bills!#REF!,"AAAAAA/PbSk=")</f>
        <v>#REF!</v>
      </c>
      <c r="AQ140" t="e">
        <f>AND(Bills!#REF!,"AAAAAA/PbSo=")</f>
        <v>#REF!</v>
      </c>
      <c r="AR140" t="e">
        <f>AND(Bills!#REF!,"AAAAAA/PbSs=")</f>
        <v>#REF!</v>
      </c>
      <c r="AS140" t="e">
        <f>AND(Bills!#REF!,"AAAAAA/PbSw=")</f>
        <v>#REF!</v>
      </c>
      <c r="AT140" t="e">
        <f>AND(Bills!AA540,"AAAAAA/PbS0=")</f>
        <v>#VALUE!</v>
      </c>
      <c r="AU140" t="e">
        <f>AND(Bills!AB540,"AAAAAA/PbS4=")</f>
        <v>#VALUE!</v>
      </c>
      <c r="AV140" t="e">
        <f>AND(Bills!#REF!,"AAAAAA/PbS8=")</f>
        <v>#REF!</v>
      </c>
      <c r="AW140" t="e">
        <f>AND(Bills!#REF!,"AAAAAA/PbTA=")</f>
        <v>#REF!</v>
      </c>
      <c r="AX140" t="e">
        <f>AND(Bills!#REF!,"AAAAAA/PbTE=")</f>
        <v>#REF!</v>
      </c>
      <c r="AY140" t="e">
        <f>AND(Bills!AC540,"AAAAAA/PbTI=")</f>
        <v>#VALUE!</v>
      </c>
      <c r="AZ140" t="e">
        <f>AND(Bills!AD540,"AAAAAA/PbTM=")</f>
        <v>#VALUE!</v>
      </c>
      <c r="BA140" t="e">
        <f>AND(Bills!AE540,"AAAAAA/PbTQ=")</f>
        <v>#VALUE!</v>
      </c>
      <c r="BB140">
        <f>IF(Bills!541:541,"AAAAAA/PbTU=",0)</f>
        <v>0</v>
      </c>
      <c r="BC140" t="e">
        <f>AND(Bills!B541,"AAAAAA/PbTY=")</f>
        <v>#VALUE!</v>
      </c>
      <c r="BD140" t="e">
        <f>AND(Bills!#REF!,"AAAAAA/PbTc=")</f>
        <v>#REF!</v>
      </c>
      <c r="BE140" t="e">
        <f>AND(Bills!C541,"AAAAAA/PbTg=")</f>
        <v>#VALUE!</v>
      </c>
      <c r="BF140" t="e">
        <f>AND(Bills!D541,"AAAAAA/PbTk=")</f>
        <v>#VALUE!</v>
      </c>
      <c r="BG140" t="e">
        <f>AND(Bills!E541,"AAAAAA/PbTo=")</f>
        <v>#VALUE!</v>
      </c>
      <c r="BH140" t="e">
        <f>AND(Bills!#REF!,"AAAAAA/PbTs=")</f>
        <v>#REF!</v>
      </c>
      <c r="BI140" t="e">
        <f>AND(Bills!#REF!,"AAAAAA/PbTw=")</f>
        <v>#REF!</v>
      </c>
      <c r="BJ140" t="e">
        <f>AND(Bills!#REF!,"AAAAAA/PbT0=")</f>
        <v>#REF!</v>
      </c>
      <c r="BK140" t="e">
        <f>AND(Bills!F541,"AAAAAA/PbT4=")</f>
        <v>#VALUE!</v>
      </c>
      <c r="BL140" t="e">
        <f>AND(Bills!#REF!,"AAAAAA/PbT8=")</f>
        <v>#REF!</v>
      </c>
      <c r="BM140" t="e">
        <f>AND(Bills!G541,"AAAAAA/PbUA=")</f>
        <v>#VALUE!</v>
      </c>
      <c r="BN140" t="e">
        <f>AND(Bills!H541,"AAAAAA/PbUE=")</f>
        <v>#VALUE!</v>
      </c>
      <c r="BO140" t="e">
        <f>AND(Bills!I541,"AAAAAA/PbUI=")</f>
        <v>#VALUE!</v>
      </c>
      <c r="BP140" t="e">
        <f>AND(Bills!J541,"AAAAAA/PbUM=")</f>
        <v>#VALUE!</v>
      </c>
      <c r="BQ140" t="e">
        <f>AND(Bills!K541,"AAAAAA/PbUQ=")</f>
        <v>#VALUE!</v>
      </c>
      <c r="BR140" t="e">
        <f>AND(Bills!L541,"AAAAAA/PbUU=")</f>
        <v>#VALUE!</v>
      </c>
      <c r="BS140" t="e">
        <f>AND(Bills!#REF!,"AAAAAA/PbUY=")</f>
        <v>#REF!</v>
      </c>
      <c r="BT140" t="e">
        <f>AND(Bills!M541,"AAAAAA/PbUc=")</f>
        <v>#VALUE!</v>
      </c>
      <c r="BU140" t="e">
        <f>AND(Bills!N541,"AAAAAA/PbUg=")</f>
        <v>#VALUE!</v>
      </c>
      <c r="BV140" t="e">
        <f>AND(Bills!O541,"AAAAAA/PbUk=")</f>
        <v>#VALUE!</v>
      </c>
      <c r="BW140" t="e">
        <f>AND(Bills!P541,"AAAAAA/PbUo=")</f>
        <v>#VALUE!</v>
      </c>
      <c r="BX140" t="e">
        <f>AND(Bills!Q541,"AAAAAA/PbUs=")</f>
        <v>#VALUE!</v>
      </c>
      <c r="BY140" t="e">
        <f>AND(Bills!R541,"AAAAAA/PbUw=")</f>
        <v>#VALUE!</v>
      </c>
      <c r="BZ140" t="e">
        <f>AND(Bills!S541,"AAAAAA/PbU0=")</f>
        <v>#VALUE!</v>
      </c>
      <c r="CA140" t="e">
        <f>AND(Bills!T541,"AAAAAA/PbU4=")</f>
        <v>#VALUE!</v>
      </c>
      <c r="CB140" t="e">
        <f>AND(Bills!#REF!,"AAAAAA/PbU8=")</f>
        <v>#REF!</v>
      </c>
      <c r="CC140" t="e">
        <f>AND(Bills!U541,"AAAAAA/PbVA=")</f>
        <v>#VALUE!</v>
      </c>
      <c r="CD140" t="e">
        <f>AND(Bills!V541,"AAAAAA/PbVE=")</f>
        <v>#VALUE!</v>
      </c>
      <c r="CE140" t="e">
        <f>AND(Bills!W541,"AAAAAA/PbVI=")</f>
        <v>#VALUE!</v>
      </c>
      <c r="CF140" t="e">
        <f>AND(Bills!#REF!,"AAAAAA/PbVM=")</f>
        <v>#REF!</v>
      </c>
      <c r="CG140" t="e">
        <f>AND(Bills!#REF!,"AAAAAA/PbVQ=")</f>
        <v>#REF!</v>
      </c>
      <c r="CH140" t="e">
        <f>AND(Bills!Y541,"AAAAAA/PbVU=")</f>
        <v>#VALUE!</v>
      </c>
      <c r="CI140" t="e">
        <f>AND(Bills!Z541,"AAAAAA/PbVY=")</f>
        <v>#VALUE!</v>
      </c>
      <c r="CJ140" t="e">
        <f>AND(Bills!#REF!,"AAAAAA/PbVc=")</f>
        <v>#REF!</v>
      </c>
      <c r="CK140" t="e">
        <f>AND(Bills!#REF!,"AAAAAA/PbVg=")</f>
        <v>#REF!</v>
      </c>
      <c r="CL140" t="e">
        <f>AND(Bills!#REF!,"AAAAAA/PbVk=")</f>
        <v>#REF!</v>
      </c>
      <c r="CM140" t="e">
        <f>AND(Bills!#REF!,"AAAAAA/PbVo=")</f>
        <v>#REF!</v>
      </c>
      <c r="CN140" t="e">
        <f>AND(Bills!#REF!,"AAAAAA/PbVs=")</f>
        <v>#REF!</v>
      </c>
      <c r="CO140" t="e">
        <f>AND(Bills!#REF!,"AAAAAA/PbVw=")</f>
        <v>#REF!</v>
      </c>
      <c r="CP140" t="e">
        <f>AND(Bills!#REF!,"AAAAAA/PbV0=")</f>
        <v>#REF!</v>
      </c>
      <c r="CQ140" t="e">
        <f>AND(Bills!#REF!,"AAAAAA/PbV4=")</f>
        <v>#REF!</v>
      </c>
      <c r="CR140" t="e">
        <f>AND(Bills!#REF!,"AAAAAA/PbV8=")</f>
        <v>#REF!</v>
      </c>
      <c r="CS140" t="e">
        <f>AND(Bills!AA541,"AAAAAA/PbWA=")</f>
        <v>#VALUE!</v>
      </c>
      <c r="CT140" t="e">
        <f>AND(Bills!AB541,"AAAAAA/PbWE=")</f>
        <v>#VALUE!</v>
      </c>
      <c r="CU140" t="e">
        <f>AND(Bills!#REF!,"AAAAAA/PbWI=")</f>
        <v>#REF!</v>
      </c>
      <c r="CV140" t="e">
        <f>AND(Bills!#REF!,"AAAAAA/PbWM=")</f>
        <v>#REF!</v>
      </c>
      <c r="CW140" t="e">
        <f>AND(Bills!#REF!,"AAAAAA/PbWQ=")</f>
        <v>#REF!</v>
      </c>
      <c r="CX140" t="e">
        <f>AND(Bills!AC541,"AAAAAA/PbWU=")</f>
        <v>#VALUE!</v>
      </c>
      <c r="CY140" t="e">
        <f>AND(Bills!AD541,"AAAAAA/PbWY=")</f>
        <v>#VALUE!</v>
      </c>
      <c r="CZ140" t="e">
        <f>AND(Bills!AE541,"AAAAAA/PbWc=")</f>
        <v>#VALUE!</v>
      </c>
      <c r="DA140">
        <f>IF(Bills!542:542,"AAAAAA/PbWg=",0)</f>
        <v>0</v>
      </c>
      <c r="DB140" t="e">
        <f>AND(Bills!B542,"AAAAAA/PbWk=")</f>
        <v>#VALUE!</v>
      </c>
      <c r="DC140" t="e">
        <f>AND(Bills!#REF!,"AAAAAA/PbWo=")</f>
        <v>#REF!</v>
      </c>
      <c r="DD140" t="e">
        <f>AND(Bills!C542,"AAAAAA/PbWs=")</f>
        <v>#VALUE!</v>
      </c>
      <c r="DE140" t="e">
        <f>AND(Bills!D542,"AAAAAA/PbWw=")</f>
        <v>#VALUE!</v>
      </c>
      <c r="DF140" t="e">
        <f>AND(Bills!E542,"AAAAAA/PbW0=")</f>
        <v>#VALUE!</v>
      </c>
      <c r="DG140" t="e">
        <f>AND(Bills!#REF!,"AAAAAA/PbW4=")</f>
        <v>#REF!</v>
      </c>
      <c r="DH140" t="e">
        <f>AND(Bills!#REF!,"AAAAAA/PbW8=")</f>
        <v>#REF!</v>
      </c>
      <c r="DI140" t="e">
        <f>AND(Bills!#REF!,"AAAAAA/PbXA=")</f>
        <v>#REF!</v>
      </c>
      <c r="DJ140" t="e">
        <f>AND(Bills!F542,"AAAAAA/PbXE=")</f>
        <v>#VALUE!</v>
      </c>
      <c r="DK140" t="e">
        <f>AND(Bills!#REF!,"AAAAAA/PbXI=")</f>
        <v>#REF!</v>
      </c>
      <c r="DL140" t="e">
        <f>AND(Bills!G542,"AAAAAA/PbXM=")</f>
        <v>#VALUE!</v>
      </c>
      <c r="DM140" t="e">
        <f>AND(Bills!H542,"AAAAAA/PbXQ=")</f>
        <v>#VALUE!</v>
      </c>
      <c r="DN140" t="e">
        <f>AND(Bills!I542,"AAAAAA/PbXU=")</f>
        <v>#VALUE!</v>
      </c>
      <c r="DO140" t="e">
        <f>AND(Bills!J542,"AAAAAA/PbXY=")</f>
        <v>#VALUE!</v>
      </c>
      <c r="DP140" t="e">
        <f>AND(Bills!K542,"AAAAAA/PbXc=")</f>
        <v>#VALUE!</v>
      </c>
      <c r="DQ140" t="e">
        <f>AND(Bills!L542,"AAAAAA/PbXg=")</f>
        <v>#VALUE!</v>
      </c>
      <c r="DR140" t="e">
        <f>AND(Bills!#REF!,"AAAAAA/PbXk=")</f>
        <v>#REF!</v>
      </c>
      <c r="DS140" t="e">
        <f>AND(Bills!M542,"AAAAAA/PbXo=")</f>
        <v>#VALUE!</v>
      </c>
      <c r="DT140" t="e">
        <f>AND(Bills!N542,"AAAAAA/PbXs=")</f>
        <v>#VALUE!</v>
      </c>
      <c r="DU140" t="e">
        <f>AND(Bills!O542,"AAAAAA/PbXw=")</f>
        <v>#VALUE!</v>
      </c>
      <c r="DV140" t="e">
        <f>AND(Bills!P542,"AAAAAA/PbX0=")</f>
        <v>#VALUE!</v>
      </c>
      <c r="DW140" t="e">
        <f>AND(Bills!Q542,"AAAAAA/PbX4=")</f>
        <v>#VALUE!</v>
      </c>
      <c r="DX140" t="e">
        <f>AND(Bills!R542,"AAAAAA/PbX8=")</f>
        <v>#VALUE!</v>
      </c>
      <c r="DY140" t="e">
        <f>AND(Bills!S542,"AAAAAA/PbYA=")</f>
        <v>#VALUE!</v>
      </c>
      <c r="DZ140" t="e">
        <f>AND(Bills!T542,"AAAAAA/PbYE=")</f>
        <v>#VALUE!</v>
      </c>
      <c r="EA140" t="e">
        <f>AND(Bills!#REF!,"AAAAAA/PbYI=")</f>
        <v>#REF!</v>
      </c>
      <c r="EB140" t="e">
        <f>AND(Bills!U542,"AAAAAA/PbYM=")</f>
        <v>#VALUE!</v>
      </c>
      <c r="EC140" t="e">
        <f>AND(Bills!V542,"AAAAAA/PbYQ=")</f>
        <v>#VALUE!</v>
      </c>
      <c r="ED140" t="e">
        <f>AND(Bills!W542,"AAAAAA/PbYU=")</f>
        <v>#VALUE!</v>
      </c>
      <c r="EE140" t="e">
        <f>AND(Bills!#REF!,"AAAAAA/PbYY=")</f>
        <v>#REF!</v>
      </c>
      <c r="EF140" t="e">
        <f>AND(Bills!#REF!,"AAAAAA/PbYc=")</f>
        <v>#REF!</v>
      </c>
      <c r="EG140" t="e">
        <f>AND(Bills!Y542,"AAAAAA/PbYg=")</f>
        <v>#VALUE!</v>
      </c>
      <c r="EH140" t="e">
        <f>AND(Bills!Z542,"AAAAAA/PbYk=")</f>
        <v>#VALUE!</v>
      </c>
      <c r="EI140" t="e">
        <f>AND(Bills!#REF!,"AAAAAA/PbYo=")</f>
        <v>#REF!</v>
      </c>
      <c r="EJ140" t="e">
        <f>AND(Bills!#REF!,"AAAAAA/PbYs=")</f>
        <v>#REF!</v>
      </c>
      <c r="EK140" t="e">
        <f>AND(Bills!#REF!,"AAAAAA/PbYw=")</f>
        <v>#REF!</v>
      </c>
      <c r="EL140" t="e">
        <f>AND(Bills!#REF!,"AAAAAA/PbY0=")</f>
        <v>#REF!</v>
      </c>
      <c r="EM140" t="e">
        <f>AND(Bills!#REF!,"AAAAAA/PbY4=")</f>
        <v>#REF!</v>
      </c>
      <c r="EN140" t="e">
        <f>AND(Bills!#REF!,"AAAAAA/PbY8=")</f>
        <v>#REF!</v>
      </c>
      <c r="EO140" t="e">
        <f>AND(Bills!#REF!,"AAAAAA/PbZA=")</f>
        <v>#REF!</v>
      </c>
      <c r="EP140" t="e">
        <f>AND(Bills!#REF!,"AAAAAA/PbZE=")</f>
        <v>#REF!</v>
      </c>
      <c r="EQ140" t="e">
        <f>AND(Bills!#REF!,"AAAAAA/PbZI=")</f>
        <v>#REF!</v>
      </c>
      <c r="ER140" t="e">
        <f>AND(Bills!AA542,"AAAAAA/PbZM=")</f>
        <v>#VALUE!</v>
      </c>
      <c r="ES140" t="e">
        <f>AND(Bills!AB542,"AAAAAA/PbZQ=")</f>
        <v>#VALUE!</v>
      </c>
      <c r="ET140" t="e">
        <f>AND(Bills!#REF!,"AAAAAA/PbZU=")</f>
        <v>#REF!</v>
      </c>
      <c r="EU140" t="e">
        <f>AND(Bills!#REF!,"AAAAAA/PbZY=")</f>
        <v>#REF!</v>
      </c>
      <c r="EV140" t="e">
        <f>AND(Bills!#REF!,"AAAAAA/PbZc=")</f>
        <v>#REF!</v>
      </c>
      <c r="EW140" t="e">
        <f>AND(Bills!AC542,"AAAAAA/PbZg=")</f>
        <v>#VALUE!</v>
      </c>
      <c r="EX140" t="e">
        <f>AND(Bills!AD542,"AAAAAA/PbZk=")</f>
        <v>#VALUE!</v>
      </c>
      <c r="EY140" t="e">
        <f>AND(Bills!AE542,"AAAAAA/PbZo=")</f>
        <v>#VALUE!</v>
      </c>
      <c r="EZ140">
        <f>IF(Bills!543:543,"AAAAAA/PbZs=",0)</f>
        <v>0</v>
      </c>
      <c r="FA140" t="e">
        <f>AND(Bills!B543,"AAAAAA/PbZw=")</f>
        <v>#VALUE!</v>
      </c>
      <c r="FB140" t="e">
        <f>AND(Bills!#REF!,"AAAAAA/PbZ0=")</f>
        <v>#REF!</v>
      </c>
      <c r="FC140" t="e">
        <f>AND(Bills!C543,"AAAAAA/PbZ4=")</f>
        <v>#VALUE!</v>
      </c>
      <c r="FD140" t="e">
        <f>AND(Bills!D543,"AAAAAA/PbZ8=")</f>
        <v>#VALUE!</v>
      </c>
      <c r="FE140" t="e">
        <f>AND(Bills!E543,"AAAAAA/PbaA=")</f>
        <v>#VALUE!</v>
      </c>
      <c r="FF140" t="e">
        <f>AND(Bills!#REF!,"AAAAAA/PbaE=")</f>
        <v>#REF!</v>
      </c>
      <c r="FG140" t="e">
        <f>AND(Bills!#REF!,"AAAAAA/PbaI=")</f>
        <v>#REF!</v>
      </c>
      <c r="FH140" t="e">
        <f>AND(Bills!#REF!,"AAAAAA/PbaM=")</f>
        <v>#REF!</v>
      </c>
      <c r="FI140" t="e">
        <f>AND(Bills!F543,"AAAAAA/PbaQ=")</f>
        <v>#VALUE!</v>
      </c>
      <c r="FJ140" t="e">
        <f>AND(Bills!#REF!,"AAAAAA/PbaU=")</f>
        <v>#REF!</v>
      </c>
      <c r="FK140" t="e">
        <f>AND(Bills!G543,"AAAAAA/PbaY=")</f>
        <v>#VALUE!</v>
      </c>
      <c r="FL140" t="e">
        <f>AND(Bills!H543,"AAAAAA/Pbac=")</f>
        <v>#VALUE!</v>
      </c>
      <c r="FM140" t="e">
        <f>AND(Bills!I543,"AAAAAA/Pbag=")</f>
        <v>#VALUE!</v>
      </c>
      <c r="FN140" t="e">
        <f>AND(Bills!J543,"AAAAAA/Pbak=")</f>
        <v>#VALUE!</v>
      </c>
      <c r="FO140" t="e">
        <f>AND(Bills!K543,"AAAAAA/Pbao=")</f>
        <v>#VALUE!</v>
      </c>
      <c r="FP140" t="e">
        <f>AND(Bills!L543,"AAAAAA/Pbas=")</f>
        <v>#VALUE!</v>
      </c>
      <c r="FQ140" t="e">
        <f>AND(Bills!#REF!,"AAAAAA/Pbaw=")</f>
        <v>#REF!</v>
      </c>
      <c r="FR140" t="e">
        <f>AND(Bills!M543,"AAAAAA/Pba0=")</f>
        <v>#VALUE!</v>
      </c>
      <c r="FS140" t="e">
        <f>AND(Bills!N543,"AAAAAA/Pba4=")</f>
        <v>#VALUE!</v>
      </c>
      <c r="FT140" t="e">
        <f>AND(Bills!O543,"AAAAAA/Pba8=")</f>
        <v>#VALUE!</v>
      </c>
      <c r="FU140" t="e">
        <f>AND(Bills!P543,"AAAAAA/PbbA=")</f>
        <v>#VALUE!</v>
      </c>
      <c r="FV140" t="e">
        <f>AND(Bills!Q543,"AAAAAA/PbbE=")</f>
        <v>#VALUE!</v>
      </c>
      <c r="FW140" t="e">
        <f>AND(Bills!R543,"AAAAAA/PbbI=")</f>
        <v>#VALUE!</v>
      </c>
      <c r="FX140" t="e">
        <f>AND(Bills!S543,"AAAAAA/PbbM=")</f>
        <v>#VALUE!</v>
      </c>
      <c r="FY140" t="e">
        <f>AND(Bills!T543,"AAAAAA/PbbQ=")</f>
        <v>#VALUE!</v>
      </c>
      <c r="FZ140" t="e">
        <f>AND(Bills!#REF!,"AAAAAA/PbbU=")</f>
        <v>#REF!</v>
      </c>
      <c r="GA140" t="e">
        <f>AND(Bills!U543,"AAAAAA/PbbY=")</f>
        <v>#VALUE!</v>
      </c>
      <c r="GB140" t="e">
        <f>AND(Bills!V543,"AAAAAA/Pbbc=")</f>
        <v>#VALUE!</v>
      </c>
      <c r="GC140" t="e">
        <f>AND(Bills!W543,"AAAAAA/Pbbg=")</f>
        <v>#VALUE!</v>
      </c>
      <c r="GD140" t="e">
        <f>AND(Bills!#REF!,"AAAAAA/Pbbk=")</f>
        <v>#REF!</v>
      </c>
      <c r="GE140" t="e">
        <f>AND(Bills!#REF!,"AAAAAA/Pbbo=")</f>
        <v>#REF!</v>
      </c>
      <c r="GF140" t="e">
        <f>AND(Bills!Y543,"AAAAAA/Pbbs=")</f>
        <v>#VALUE!</v>
      </c>
      <c r="GG140" t="e">
        <f>AND(Bills!Z543,"AAAAAA/Pbbw=")</f>
        <v>#VALUE!</v>
      </c>
      <c r="GH140" t="e">
        <f>AND(Bills!#REF!,"AAAAAA/Pbb0=")</f>
        <v>#REF!</v>
      </c>
      <c r="GI140" t="e">
        <f>AND(Bills!#REF!,"AAAAAA/Pbb4=")</f>
        <v>#REF!</v>
      </c>
      <c r="GJ140" t="e">
        <f>AND(Bills!#REF!,"AAAAAA/Pbb8=")</f>
        <v>#REF!</v>
      </c>
      <c r="GK140" t="e">
        <f>AND(Bills!#REF!,"AAAAAA/PbcA=")</f>
        <v>#REF!</v>
      </c>
      <c r="GL140" t="e">
        <f>AND(Bills!#REF!,"AAAAAA/PbcE=")</f>
        <v>#REF!</v>
      </c>
      <c r="GM140" t="e">
        <f>AND(Bills!#REF!,"AAAAAA/PbcI=")</f>
        <v>#REF!</v>
      </c>
      <c r="GN140" t="e">
        <f>AND(Bills!#REF!,"AAAAAA/PbcM=")</f>
        <v>#REF!</v>
      </c>
      <c r="GO140" t="e">
        <f>AND(Bills!#REF!,"AAAAAA/PbcQ=")</f>
        <v>#REF!</v>
      </c>
      <c r="GP140" t="e">
        <f>AND(Bills!#REF!,"AAAAAA/PbcU=")</f>
        <v>#REF!</v>
      </c>
      <c r="GQ140" t="e">
        <f>AND(Bills!AA543,"AAAAAA/PbcY=")</f>
        <v>#VALUE!</v>
      </c>
      <c r="GR140" t="e">
        <f>AND(Bills!AB543,"AAAAAA/Pbcc=")</f>
        <v>#VALUE!</v>
      </c>
      <c r="GS140" t="e">
        <f>AND(Bills!#REF!,"AAAAAA/Pbcg=")</f>
        <v>#REF!</v>
      </c>
      <c r="GT140" t="e">
        <f>AND(Bills!#REF!,"AAAAAA/Pbck=")</f>
        <v>#REF!</v>
      </c>
      <c r="GU140" t="e">
        <f>AND(Bills!#REF!,"AAAAAA/Pbco=")</f>
        <v>#REF!</v>
      </c>
      <c r="GV140" t="e">
        <f>AND(Bills!AC543,"AAAAAA/Pbcs=")</f>
        <v>#VALUE!</v>
      </c>
      <c r="GW140" t="e">
        <f>AND(Bills!AD543,"AAAAAA/Pbcw=")</f>
        <v>#VALUE!</v>
      </c>
      <c r="GX140" t="e">
        <f>AND(Bills!AE543,"AAAAAA/Pbc0=")</f>
        <v>#VALUE!</v>
      </c>
      <c r="GY140">
        <f>IF(Bills!544:544,"AAAAAA/Pbc4=",0)</f>
        <v>0</v>
      </c>
      <c r="GZ140" t="e">
        <f>AND(Bills!B544,"AAAAAA/Pbc8=")</f>
        <v>#VALUE!</v>
      </c>
      <c r="HA140" t="e">
        <f>AND(Bills!#REF!,"AAAAAA/PbdA=")</f>
        <v>#REF!</v>
      </c>
      <c r="HB140" t="e">
        <f>AND(Bills!C544,"AAAAAA/PbdE=")</f>
        <v>#VALUE!</v>
      </c>
      <c r="HC140" t="e">
        <f>AND(Bills!D544,"AAAAAA/PbdI=")</f>
        <v>#VALUE!</v>
      </c>
      <c r="HD140" t="e">
        <f>AND(Bills!E544,"AAAAAA/PbdM=")</f>
        <v>#VALUE!</v>
      </c>
      <c r="HE140" t="e">
        <f>AND(Bills!#REF!,"AAAAAA/PbdQ=")</f>
        <v>#REF!</v>
      </c>
      <c r="HF140" t="e">
        <f>AND(Bills!#REF!,"AAAAAA/PbdU=")</f>
        <v>#REF!</v>
      </c>
      <c r="HG140" t="e">
        <f>AND(Bills!#REF!,"AAAAAA/PbdY=")</f>
        <v>#REF!</v>
      </c>
      <c r="HH140" t="e">
        <f>AND(Bills!F544,"AAAAAA/Pbdc=")</f>
        <v>#VALUE!</v>
      </c>
      <c r="HI140" t="e">
        <f>AND(Bills!#REF!,"AAAAAA/Pbdg=")</f>
        <v>#REF!</v>
      </c>
      <c r="HJ140" t="e">
        <f>AND(Bills!G544,"AAAAAA/Pbdk=")</f>
        <v>#VALUE!</v>
      </c>
      <c r="HK140" t="e">
        <f>AND(Bills!H544,"AAAAAA/Pbdo=")</f>
        <v>#VALUE!</v>
      </c>
      <c r="HL140" t="e">
        <f>AND(Bills!I544,"AAAAAA/Pbds=")</f>
        <v>#VALUE!</v>
      </c>
      <c r="HM140" t="e">
        <f>AND(Bills!J544,"AAAAAA/Pbdw=")</f>
        <v>#VALUE!</v>
      </c>
      <c r="HN140" t="e">
        <f>AND(Bills!K544,"AAAAAA/Pbd0=")</f>
        <v>#VALUE!</v>
      </c>
      <c r="HO140" t="e">
        <f>AND(Bills!L544,"AAAAAA/Pbd4=")</f>
        <v>#VALUE!</v>
      </c>
      <c r="HP140" t="e">
        <f>AND(Bills!#REF!,"AAAAAA/Pbd8=")</f>
        <v>#REF!</v>
      </c>
      <c r="HQ140" t="e">
        <f>AND(Bills!M544,"AAAAAA/PbeA=")</f>
        <v>#VALUE!</v>
      </c>
      <c r="HR140" t="e">
        <f>AND(Bills!N544,"AAAAAA/PbeE=")</f>
        <v>#VALUE!</v>
      </c>
      <c r="HS140" t="e">
        <f>AND(Bills!O544,"AAAAAA/PbeI=")</f>
        <v>#VALUE!</v>
      </c>
      <c r="HT140" t="e">
        <f>AND(Bills!P544,"AAAAAA/PbeM=")</f>
        <v>#VALUE!</v>
      </c>
      <c r="HU140" t="e">
        <f>AND(Bills!Q544,"AAAAAA/PbeQ=")</f>
        <v>#VALUE!</v>
      </c>
      <c r="HV140" t="e">
        <f>AND(Bills!R544,"AAAAAA/PbeU=")</f>
        <v>#VALUE!</v>
      </c>
      <c r="HW140" t="e">
        <f>AND(Bills!S544,"AAAAAA/PbeY=")</f>
        <v>#VALUE!</v>
      </c>
      <c r="HX140" t="e">
        <f>AND(Bills!T544,"AAAAAA/Pbec=")</f>
        <v>#VALUE!</v>
      </c>
      <c r="HY140" t="e">
        <f>AND(Bills!#REF!,"AAAAAA/Pbeg=")</f>
        <v>#REF!</v>
      </c>
      <c r="HZ140" t="e">
        <f>AND(Bills!U544,"AAAAAA/Pbek=")</f>
        <v>#VALUE!</v>
      </c>
      <c r="IA140" t="e">
        <f>AND(Bills!V544,"AAAAAA/Pbeo=")</f>
        <v>#VALUE!</v>
      </c>
      <c r="IB140" t="e">
        <f>AND(Bills!W544,"AAAAAA/Pbes=")</f>
        <v>#VALUE!</v>
      </c>
      <c r="IC140" t="e">
        <f>AND(Bills!#REF!,"AAAAAA/Pbew=")</f>
        <v>#REF!</v>
      </c>
      <c r="ID140" t="e">
        <f>AND(Bills!#REF!,"AAAAAA/Pbe0=")</f>
        <v>#REF!</v>
      </c>
      <c r="IE140" t="e">
        <f>AND(Bills!Y544,"AAAAAA/Pbe4=")</f>
        <v>#VALUE!</v>
      </c>
      <c r="IF140" t="e">
        <f>AND(Bills!Z544,"AAAAAA/Pbe8=")</f>
        <v>#VALUE!</v>
      </c>
      <c r="IG140" t="e">
        <f>AND(Bills!#REF!,"AAAAAA/PbfA=")</f>
        <v>#REF!</v>
      </c>
      <c r="IH140" t="e">
        <f>AND(Bills!#REF!,"AAAAAA/PbfE=")</f>
        <v>#REF!</v>
      </c>
      <c r="II140" t="e">
        <f>AND(Bills!#REF!,"AAAAAA/PbfI=")</f>
        <v>#REF!</v>
      </c>
      <c r="IJ140" t="e">
        <f>AND(Bills!#REF!,"AAAAAA/PbfM=")</f>
        <v>#REF!</v>
      </c>
      <c r="IK140" t="e">
        <f>AND(Bills!#REF!,"AAAAAA/PbfQ=")</f>
        <v>#REF!</v>
      </c>
      <c r="IL140" t="e">
        <f>AND(Bills!#REF!,"AAAAAA/PbfU=")</f>
        <v>#REF!</v>
      </c>
      <c r="IM140" t="e">
        <f>AND(Bills!#REF!,"AAAAAA/PbfY=")</f>
        <v>#REF!</v>
      </c>
      <c r="IN140" t="e">
        <f>AND(Bills!#REF!,"AAAAAA/Pbfc=")</f>
        <v>#REF!</v>
      </c>
      <c r="IO140" t="e">
        <f>AND(Bills!#REF!,"AAAAAA/Pbfg=")</f>
        <v>#REF!</v>
      </c>
      <c r="IP140" t="e">
        <f>AND(Bills!AA544,"AAAAAA/Pbfk=")</f>
        <v>#VALUE!</v>
      </c>
      <c r="IQ140" t="e">
        <f>AND(Bills!AB544,"AAAAAA/Pbfo=")</f>
        <v>#VALUE!</v>
      </c>
      <c r="IR140" t="e">
        <f>AND(Bills!#REF!,"AAAAAA/Pbfs=")</f>
        <v>#REF!</v>
      </c>
      <c r="IS140" t="e">
        <f>AND(Bills!#REF!,"AAAAAA/Pbfw=")</f>
        <v>#REF!</v>
      </c>
      <c r="IT140" t="e">
        <f>AND(Bills!#REF!,"AAAAAA/Pbf0=")</f>
        <v>#REF!</v>
      </c>
      <c r="IU140" t="e">
        <f>AND(Bills!AC544,"AAAAAA/Pbf4=")</f>
        <v>#VALUE!</v>
      </c>
      <c r="IV140" t="e">
        <f>AND(Bills!AD544,"AAAAAA/Pbf8=")</f>
        <v>#VALUE!</v>
      </c>
    </row>
    <row r="141" spans="1:256" x14ac:dyDescent="0.25">
      <c r="A141" t="e">
        <f>AND(Bills!AE544,"AAAAAH77+wA=")</f>
        <v>#VALUE!</v>
      </c>
      <c r="B141">
        <f>IF(Bills!545:545,"AAAAAH77+wE=",0)</f>
        <v>0</v>
      </c>
      <c r="C141" t="e">
        <f>AND(Bills!B545,"AAAAAH77+wI=")</f>
        <v>#VALUE!</v>
      </c>
      <c r="D141" t="e">
        <f>AND(Bills!#REF!,"AAAAAH77+wM=")</f>
        <v>#REF!</v>
      </c>
      <c r="E141" t="e">
        <f>AND(Bills!C545,"AAAAAH77+wQ=")</f>
        <v>#VALUE!</v>
      </c>
      <c r="F141" t="e">
        <f>AND(Bills!D545,"AAAAAH77+wU=")</f>
        <v>#VALUE!</v>
      </c>
      <c r="G141" t="e">
        <f>AND(Bills!E545,"AAAAAH77+wY=")</f>
        <v>#VALUE!</v>
      </c>
      <c r="H141" t="e">
        <f>AND(Bills!#REF!,"AAAAAH77+wc=")</f>
        <v>#REF!</v>
      </c>
      <c r="I141" t="e">
        <f>AND(Bills!#REF!,"AAAAAH77+wg=")</f>
        <v>#REF!</v>
      </c>
      <c r="J141" t="e">
        <f>AND(Bills!#REF!,"AAAAAH77+wk=")</f>
        <v>#REF!</v>
      </c>
      <c r="K141" t="e">
        <f>AND(Bills!F545,"AAAAAH77+wo=")</f>
        <v>#VALUE!</v>
      </c>
      <c r="L141" t="e">
        <f>AND(Bills!#REF!,"AAAAAH77+ws=")</f>
        <v>#REF!</v>
      </c>
      <c r="M141" t="e">
        <f>AND(Bills!G545,"AAAAAH77+ww=")</f>
        <v>#VALUE!</v>
      </c>
      <c r="N141" t="e">
        <f>AND(Bills!H545,"AAAAAH77+w0=")</f>
        <v>#VALUE!</v>
      </c>
      <c r="O141" t="e">
        <f>AND(Bills!I545,"AAAAAH77+w4=")</f>
        <v>#VALUE!</v>
      </c>
      <c r="P141" t="e">
        <f>AND(Bills!J545,"AAAAAH77+w8=")</f>
        <v>#VALUE!</v>
      </c>
      <c r="Q141" t="e">
        <f>AND(Bills!K545,"AAAAAH77+xA=")</f>
        <v>#VALUE!</v>
      </c>
      <c r="R141" t="e">
        <f>AND(Bills!L545,"AAAAAH77+xE=")</f>
        <v>#VALUE!</v>
      </c>
      <c r="S141" t="e">
        <f>AND(Bills!#REF!,"AAAAAH77+xI=")</f>
        <v>#REF!</v>
      </c>
      <c r="T141" t="e">
        <f>AND(Bills!M545,"AAAAAH77+xM=")</f>
        <v>#VALUE!</v>
      </c>
      <c r="U141" t="e">
        <f>AND(Bills!N545,"AAAAAH77+xQ=")</f>
        <v>#VALUE!</v>
      </c>
      <c r="V141" t="e">
        <f>AND(Bills!O545,"AAAAAH77+xU=")</f>
        <v>#VALUE!</v>
      </c>
      <c r="W141" t="e">
        <f>AND(Bills!P545,"AAAAAH77+xY=")</f>
        <v>#VALUE!</v>
      </c>
      <c r="X141" t="e">
        <f>AND(Bills!Q545,"AAAAAH77+xc=")</f>
        <v>#VALUE!</v>
      </c>
      <c r="Y141" t="e">
        <f>AND(Bills!R545,"AAAAAH77+xg=")</f>
        <v>#VALUE!</v>
      </c>
      <c r="Z141" t="e">
        <f>AND(Bills!S545,"AAAAAH77+xk=")</f>
        <v>#VALUE!</v>
      </c>
      <c r="AA141" t="e">
        <f>AND(Bills!T545,"AAAAAH77+xo=")</f>
        <v>#VALUE!</v>
      </c>
      <c r="AB141" t="e">
        <f>AND(Bills!#REF!,"AAAAAH77+xs=")</f>
        <v>#REF!</v>
      </c>
      <c r="AC141" t="e">
        <f>AND(Bills!U545,"AAAAAH77+xw=")</f>
        <v>#VALUE!</v>
      </c>
      <c r="AD141" t="e">
        <f>AND(Bills!V545,"AAAAAH77+x0=")</f>
        <v>#VALUE!</v>
      </c>
      <c r="AE141" t="e">
        <f>AND(Bills!W545,"AAAAAH77+x4=")</f>
        <v>#VALUE!</v>
      </c>
      <c r="AF141" t="e">
        <f>AND(Bills!#REF!,"AAAAAH77+x8=")</f>
        <v>#REF!</v>
      </c>
      <c r="AG141" t="e">
        <f>AND(Bills!#REF!,"AAAAAH77+yA=")</f>
        <v>#REF!</v>
      </c>
      <c r="AH141" t="e">
        <f>AND(Bills!Y545,"AAAAAH77+yE=")</f>
        <v>#VALUE!</v>
      </c>
      <c r="AI141" t="e">
        <f>AND(Bills!Z545,"AAAAAH77+yI=")</f>
        <v>#VALUE!</v>
      </c>
      <c r="AJ141" t="e">
        <f>AND(Bills!#REF!,"AAAAAH77+yM=")</f>
        <v>#REF!</v>
      </c>
      <c r="AK141" t="e">
        <f>AND(Bills!#REF!,"AAAAAH77+yQ=")</f>
        <v>#REF!</v>
      </c>
      <c r="AL141" t="e">
        <f>AND(Bills!#REF!,"AAAAAH77+yU=")</f>
        <v>#REF!</v>
      </c>
      <c r="AM141" t="e">
        <f>AND(Bills!#REF!,"AAAAAH77+yY=")</f>
        <v>#REF!</v>
      </c>
      <c r="AN141" t="e">
        <f>AND(Bills!#REF!,"AAAAAH77+yc=")</f>
        <v>#REF!</v>
      </c>
      <c r="AO141" t="e">
        <f>AND(Bills!#REF!,"AAAAAH77+yg=")</f>
        <v>#REF!</v>
      </c>
      <c r="AP141" t="e">
        <f>AND(Bills!#REF!,"AAAAAH77+yk=")</f>
        <v>#REF!</v>
      </c>
      <c r="AQ141" t="e">
        <f>AND(Bills!#REF!,"AAAAAH77+yo=")</f>
        <v>#REF!</v>
      </c>
      <c r="AR141" t="e">
        <f>AND(Bills!#REF!,"AAAAAH77+ys=")</f>
        <v>#REF!</v>
      </c>
      <c r="AS141" t="e">
        <f>AND(Bills!AA545,"AAAAAH77+yw=")</f>
        <v>#VALUE!</v>
      </c>
      <c r="AT141" t="e">
        <f>AND(Bills!AB545,"AAAAAH77+y0=")</f>
        <v>#VALUE!</v>
      </c>
      <c r="AU141" t="e">
        <f>AND(Bills!#REF!,"AAAAAH77+y4=")</f>
        <v>#REF!</v>
      </c>
      <c r="AV141" t="e">
        <f>AND(Bills!#REF!,"AAAAAH77+y8=")</f>
        <v>#REF!</v>
      </c>
      <c r="AW141" t="e">
        <f>AND(Bills!#REF!,"AAAAAH77+zA=")</f>
        <v>#REF!</v>
      </c>
      <c r="AX141" t="e">
        <f>AND(Bills!AC545,"AAAAAH77+zE=")</f>
        <v>#VALUE!</v>
      </c>
      <c r="AY141" t="e">
        <f>AND(Bills!AD545,"AAAAAH77+zI=")</f>
        <v>#VALUE!</v>
      </c>
      <c r="AZ141" t="e">
        <f>AND(Bills!AE545,"AAAAAH77+zM=")</f>
        <v>#VALUE!</v>
      </c>
      <c r="BA141">
        <f>IF(Bills!546:546,"AAAAAH77+zQ=",0)</f>
        <v>0</v>
      </c>
      <c r="BB141" t="e">
        <f>AND(Bills!B546,"AAAAAH77+zU=")</f>
        <v>#VALUE!</v>
      </c>
      <c r="BC141" t="e">
        <f>AND(Bills!#REF!,"AAAAAH77+zY=")</f>
        <v>#REF!</v>
      </c>
      <c r="BD141" t="e">
        <f>AND(Bills!C546,"AAAAAH77+zc=")</f>
        <v>#VALUE!</v>
      </c>
      <c r="BE141" t="e">
        <f>AND(Bills!D546,"AAAAAH77+zg=")</f>
        <v>#VALUE!</v>
      </c>
      <c r="BF141" t="e">
        <f>AND(Bills!E546,"AAAAAH77+zk=")</f>
        <v>#VALUE!</v>
      </c>
      <c r="BG141" t="e">
        <f>AND(Bills!#REF!,"AAAAAH77+zo=")</f>
        <v>#REF!</v>
      </c>
      <c r="BH141" t="e">
        <f>AND(Bills!#REF!,"AAAAAH77+zs=")</f>
        <v>#REF!</v>
      </c>
      <c r="BI141" t="e">
        <f>AND(Bills!#REF!,"AAAAAH77+zw=")</f>
        <v>#REF!</v>
      </c>
      <c r="BJ141" t="e">
        <f>AND(Bills!F546,"AAAAAH77+z0=")</f>
        <v>#VALUE!</v>
      </c>
      <c r="BK141" t="e">
        <f>AND(Bills!#REF!,"AAAAAH77+z4=")</f>
        <v>#REF!</v>
      </c>
      <c r="BL141" t="e">
        <f>AND(Bills!G546,"AAAAAH77+z8=")</f>
        <v>#VALUE!</v>
      </c>
      <c r="BM141" t="e">
        <f>AND(Bills!H546,"AAAAAH77+0A=")</f>
        <v>#VALUE!</v>
      </c>
      <c r="BN141" t="e">
        <f>AND(Bills!I546,"AAAAAH77+0E=")</f>
        <v>#VALUE!</v>
      </c>
      <c r="BO141" t="e">
        <f>AND(Bills!J546,"AAAAAH77+0I=")</f>
        <v>#VALUE!</v>
      </c>
      <c r="BP141" t="e">
        <f>AND(Bills!K546,"AAAAAH77+0M=")</f>
        <v>#VALUE!</v>
      </c>
      <c r="BQ141" t="e">
        <f>AND(Bills!L546,"AAAAAH77+0Q=")</f>
        <v>#VALUE!</v>
      </c>
      <c r="BR141" t="e">
        <f>AND(Bills!#REF!,"AAAAAH77+0U=")</f>
        <v>#REF!</v>
      </c>
      <c r="BS141" t="e">
        <f>AND(Bills!M546,"AAAAAH77+0Y=")</f>
        <v>#VALUE!</v>
      </c>
      <c r="BT141" t="e">
        <f>AND(Bills!N546,"AAAAAH77+0c=")</f>
        <v>#VALUE!</v>
      </c>
      <c r="BU141" t="e">
        <f>AND(Bills!O546,"AAAAAH77+0g=")</f>
        <v>#VALUE!</v>
      </c>
      <c r="BV141" t="e">
        <f>AND(Bills!P546,"AAAAAH77+0k=")</f>
        <v>#VALUE!</v>
      </c>
      <c r="BW141" t="e">
        <f>AND(Bills!Q546,"AAAAAH77+0o=")</f>
        <v>#VALUE!</v>
      </c>
      <c r="BX141" t="e">
        <f>AND(Bills!R546,"AAAAAH77+0s=")</f>
        <v>#VALUE!</v>
      </c>
      <c r="BY141" t="e">
        <f>AND(Bills!S546,"AAAAAH77+0w=")</f>
        <v>#VALUE!</v>
      </c>
      <c r="BZ141" t="e">
        <f>AND(Bills!T546,"AAAAAH77+00=")</f>
        <v>#VALUE!</v>
      </c>
      <c r="CA141" t="e">
        <f>AND(Bills!#REF!,"AAAAAH77+04=")</f>
        <v>#REF!</v>
      </c>
      <c r="CB141" t="e">
        <f>AND(Bills!U546,"AAAAAH77+08=")</f>
        <v>#VALUE!</v>
      </c>
      <c r="CC141" t="e">
        <f>AND(Bills!V546,"AAAAAH77+1A=")</f>
        <v>#VALUE!</v>
      </c>
      <c r="CD141" t="e">
        <f>AND(Bills!W546,"AAAAAH77+1E=")</f>
        <v>#VALUE!</v>
      </c>
      <c r="CE141" t="e">
        <f>AND(Bills!#REF!,"AAAAAH77+1I=")</f>
        <v>#REF!</v>
      </c>
      <c r="CF141" t="e">
        <f>AND(Bills!#REF!,"AAAAAH77+1M=")</f>
        <v>#REF!</v>
      </c>
      <c r="CG141" t="e">
        <f>AND(Bills!Y546,"AAAAAH77+1Q=")</f>
        <v>#VALUE!</v>
      </c>
      <c r="CH141" t="e">
        <f>AND(Bills!Z546,"AAAAAH77+1U=")</f>
        <v>#VALUE!</v>
      </c>
      <c r="CI141" t="e">
        <f>AND(Bills!#REF!,"AAAAAH77+1Y=")</f>
        <v>#REF!</v>
      </c>
      <c r="CJ141" t="e">
        <f>AND(Bills!#REF!,"AAAAAH77+1c=")</f>
        <v>#REF!</v>
      </c>
      <c r="CK141" t="e">
        <f>AND(Bills!#REF!,"AAAAAH77+1g=")</f>
        <v>#REF!</v>
      </c>
      <c r="CL141" t="e">
        <f>AND(Bills!#REF!,"AAAAAH77+1k=")</f>
        <v>#REF!</v>
      </c>
      <c r="CM141" t="e">
        <f>AND(Bills!#REF!,"AAAAAH77+1o=")</f>
        <v>#REF!</v>
      </c>
      <c r="CN141" t="e">
        <f>AND(Bills!#REF!,"AAAAAH77+1s=")</f>
        <v>#REF!</v>
      </c>
      <c r="CO141" t="e">
        <f>AND(Bills!#REF!,"AAAAAH77+1w=")</f>
        <v>#REF!</v>
      </c>
      <c r="CP141" t="e">
        <f>AND(Bills!#REF!,"AAAAAH77+10=")</f>
        <v>#REF!</v>
      </c>
      <c r="CQ141" t="e">
        <f>AND(Bills!#REF!,"AAAAAH77+14=")</f>
        <v>#REF!</v>
      </c>
      <c r="CR141" t="e">
        <f>AND(Bills!AA546,"AAAAAH77+18=")</f>
        <v>#VALUE!</v>
      </c>
      <c r="CS141" t="e">
        <f>AND(Bills!AB546,"AAAAAH77+2A=")</f>
        <v>#VALUE!</v>
      </c>
      <c r="CT141" t="e">
        <f>AND(Bills!#REF!,"AAAAAH77+2E=")</f>
        <v>#REF!</v>
      </c>
      <c r="CU141" t="e">
        <f>AND(Bills!#REF!,"AAAAAH77+2I=")</f>
        <v>#REF!</v>
      </c>
      <c r="CV141" t="e">
        <f>AND(Bills!#REF!,"AAAAAH77+2M=")</f>
        <v>#REF!</v>
      </c>
      <c r="CW141" t="e">
        <f>AND(Bills!AC546,"AAAAAH77+2Q=")</f>
        <v>#VALUE!</v>
      </c>
      <c r="CX141" t="e">
        <f>AND(Bills!AD546,"AAAAAH77+2U=")</f>
        <v>#VALUE!</v>
      </c>
      <c r="CY141" t="e">
        <f>AND(Bills!AE546,"AAAAAH77+2Y=")</f>
        <v>#VALUE!</v>
      </c>
      <c r="CZ141">
        <f>IF(Bills!547:547,"AAAAAH77+2c=",0)</f>
        <v>0</v>
      </c>
      <c r="DA141" t="e">
        <f>AND(Bills!B547,"AAAAAH77+2g=")</f>
        <v>#VALUE!</v>
      </c>
      <c r="DB141" t="e">
        <f>AND(Bills!#REF!,"AAAAAH77+2k=")</f>
        <v>#REF!</v>
      </c>
      <c r="DC141" t="e">
        <f>AND(Bills!C547,"AAAAAH77+2o=")</f>
        <v>#VALUE!</v>
      </c>
      <c r="DD141" t="e">
        <f>AND(Bills!D547,"AAAAAH77+2s=")</f>
        <v>#VALUE!</v>
      </c>
      <c r="DE141" t="e">
        <f>AND(Bills!E547,"AAAAAH77+2w=")</f>
        <v>#VALUE!</v>
      </c>
      <c r="DF141" t="e">
        <f>AND(Bills!#REF!,"AAAAAH77+20=")</f>
        <v>#REF!</v>
      </c>
      <c r="DG141" t="e">
        <f>AND(Bills!#REF!,"AAAAAH77+24=")</f>
        <v>#REF!</v>
      </c>
      <c r="DH141" t="e">
        <f>AND(Bills!#REF!,"AAAAAH77+28=")</f>
        <v>#REF!</v>
      </c>
      <c r="DI141" t="e">
        <f>AND(Bills!F547,"AAAAAH77+3A=")</f>
        <v>#VALUE!</v>
      </c>
      <c r="DJ141" t="e">
        <f>AND(Bills!#REF!,"AAAAAH77+3E=")</f>
        <v>#REF!</v>
      </c>
      <c r="DK141" t="e">
        <f>AND(Bills!G547,"AAAAAH77+3I=")</f>
        <v>#VALUE!</v>
      </c>
      <c r="DL141" t="e">
        <f>AND(Bills!H547,"AAAAAH77+3M=")</f>
        <v>#VALUE!</v>
      </c>
      <c r="DM141" t="e">
        <f>AND(Bills!I547,"AAAAAH77+3Q=")</f>
        <v>#VALUE!</v>
      </c>
      <c r="DN141" t="e">
        <f>AND(Bills!J547,"AAAAAH77+3U=")</f>
        <v>#VALUE!</v>
      </c>
      <c r="DO141" t="e">
        <f>AND(Bills!K547,"AAAAAH77+3Y=")</f>
        <v>#VALUE!</v>
      </c>
      <c r="DP141" t="e">
        <f>AND(Bills!L547,"AAAAAH77+3c=")</f>
        <v>#VALUE!</v>
      </c>
      <c r="DQ141" t="e">
        <f>AND(Bills!#REF!,"AAAAAH77+3g=")</f>
        <v>#REF!</v>
      </c>
      <c r="DR141" t="e">
        <f>AND(Bills!M547,"AAAAAH77+3k=")</f>
        <v>#VALUE!</v>
      </c>
      <c r="DS141" t="e">
        <f>AND(Bills!N547,"AAAAAH77+3o=")</f>
        <v>#VALUE!</v>
      </c>
      <c r="DT141" t="e">
        <f>AND(Bills!O547,"AAAAAH77+3s=")</f>
        <v>#VALUE!</v>
      </c>
      <c r="DU141" t="e">
        <f>AND(Bills!P547,"AAAAAH77+3w=")</f>
        <v>#VALUE!</v>
      </c>
      <c r="DV141" t="e">
        <f>AND(Bills!Q547,"AAAAAH77+30=")</f>
        <v>#VALUE!</v>
      </c>
      <c r="DW141" t="e">
        <f>AND(Bills!R547,"AAAAAH77+34=")</f>
        <v>#VALUE!</v>
      </c>
      <c r="DX141" t="e">
        <f>AND(Bills!S547,"AAAAAH77+38=")</f>
        <v>#VALUE!</v>
      </c>
      <c r="DY141" t="e">
        <f>AND(Bills!T547,"AAAAAH77+4A=")</f>
        <v>#VALUE!</v>
      </c>
      <c r="DZ141" t="e">
        <f>AND(Bills!#REF!,"AAAAAH77+4E=")</f>
        <v>#REF!</v>
      </c>
      <c r="EA141" t="e">
        <f>AND(Bills!U547,"AAAAAH77+4I=")</f>
        <v>#VALUE!</v>
      </c>
      <c r="EB141" t="e">
        <f>AND(Bills!V547,"AAAAAH77+4M=")</f>
        <v>#VALUE!</v>
      </c>
      <c r="EC141" t="e">
        <f>AND(Bills!W547,"AAAAAH77+4Q=")</f>
        <v>#VALUE!</v>
      </c>
      <c r="ED141" t="e">
        <f>AND(Bills!#REF!,"AAAAAH77+4U=")</f>
        <v>#REF!</v>
      </c>
      <c r="EE141" t="e">
        <f>AND(Bills!#REF!,"AAAAAH77+4Y=")</f>
        <v>#REF!</v>
      </c>
      <c r="EF141" t="e">
        <f>AND(Bills!Y547,"AAAAAH77+4c=")</f>
        <v>#VALUE!</v>
      </c>
      <c r="EG141" t="e">
        <f>AND(Bills!Z547,"AAAAAH77+4g=")</f>
        <v>#VALUE!</v>
      </c>
      <c r="EH141" t="e">
        <f>AND(Bills!#REF!,"AAAAAH77+4k=")</f>
        <v>#REF!</v>
      </c>
      <c r="EI141" t="e">
        <f>AND(Bills!#REF!,"AAAAAH77+4o=")</f>
        <v>#REF!</v>
      </c>
      <c r="EJ141" t="e">
        <f>AND(Bills!#REF!,"AAAAAH77+4s=")</f>
        <v>#REF!</v>
      </c>
      <c r="EK141" t="e">
        <f>AND(Bills!#REF!,"AAAAAH77+4w=")</f>
        <v>#REF!</v>
      </c>
      <c r="EL141" t="e">
        <f>AND(Bills!#REF!,"AAAAAH77+40=")</f>
        <v>#REF!</v>
      </c>
      <c r="EM141" t="e">
        <f>AND(Bills!#REF!,"AAAAAH77+44=")</f>
        <v>#REF!</v>
      </c>
      <c r="EN141" t="e">
        <f>AND(Bills!#REF!,"AAAAAH77+48=")</f>
        <v>#REF!</v>
      </c>
      <c r="EO141" t="e">
        <f>AND(Bills!#REF!,"AAAAAH77+5A=")</f>
        <v>#REF!</v>
      </c>
      <c r="EP141" t="e">
        <f>AND(Bills!#REF!,"AAAAAH77+5E=")</f>
        <v>#REF!</v>
      </c>
      <c r="EQ141" t="e">
        <f>AND(Bills!AA547,"AAAAAH77+5I=")</f>
        <v>#VALUE!</v>
      </c>
      <c r="ER141" t="e">
        <f>AND(Bills!AB547,"AAAAAH77+5M=")</f>
        <v>#VALUE!</v>
      </c>
      <c r="ES141" t="e">
        <f>AND(Bills!#REF!,"AAAAAH77+5Q=")</f>
        <v>#REF!</v>
      </c>
      <c r="ET141" t="e">
        <f>AND(Bills!#REF!,"AAAAAH77+5U=")</f>
        <v>#REF!</v>
      </c>
      <c r="EU141" t="e">
        <f>AND(Bills!#REF!,"AAAAAH77+5Y=")</f>
        <v>#REF!</v>
      </c>
      <c r="EV141" t="e">
        <f>AND(Bills!AC547,"AAAAAH77+5c=")</f>
        <v>#VALUE!</v>
      </c>
      <c r="EW141" t="e">
        <f>AND(Bills!AD547,"AAAAAH77+5g=")</f>
        <v>#VALUE!</v>
      </c>
      <c r="EX141" t="e">
        <f>AND(Bills!AE547,"AAAAAH77+5k=")</f>
        <v>#VALUE!</v>
      </c>
      <c r="EY141">
        <f>IF(Bills!548:548,"AAAAAH77+5o=",0)</f>
        <v>0</v>
      </c>
      <c r="EZ141" t="e">
        <f>AND(Bills!B548,"AAAAAH77+5s=")</f>
        <v>#VALUE!</v>
      </c>
      <c r="FA141" t="e">
        <f>AND(Bills!#REF!,"AAAAAH77+5w=")</f>
        <v>#REF!</v>
      </c>
      <c r="FB141" t="e">
        <f>AND(Bills!C548,"AAAAAH77+50=")</f>
        <v>#VALUE!</v>
      </c>
      <c r="FC141" t="e">
        <f>AND(Bills!D548,"AAAAAH77+54=")</f>
        <v>#VALUE!</v>
      </c>
      <c r="FD141" t="e">
        <f>AND(Bills!E548,"AAAAAH77+58=")</f>
        <v>#VALUE!</v>
      </c>
      <c r="FE141" t="e">
        <f>AND(Bills!#REF!,"AAAAAH77+6A=")</f>
        <v>#REF!</v>
      </c>
      <c r="FF141" t="e">
        <f>AND(Bills!#REF!,"AAAAAH77+6E=")</f>
        <v>#REF!</v>
      </c>
      <c r="FG141" t="e">
        <f>AND(Bills!#REF!,"AAAAAH77+6I=")</f>
        <v>#REF!</v>
      </c>
      <c r="FH141" t="e">
        <f>AND(Bills!F548,"AAAAAH77+6M=")</f>
        <v>#VALUE!</v>
      </c>
      <c r="FI141" t="e">
        <f>AND(Bills!#REF!,"AAAAAH77+6Q=")</f>
        <v>#REF!</v>
      </c>
      <c r="FJ141" t="e">
        <f>AND(Bills!G548,"AAAAAH77+6U=")</f>
        <v>#VALUE!</v>
      </c>
      <c r="FK141" t="e">
        <f>AND(Bills!H548,"AAAAAH77+6Y=")</f>
        <v>#VALUE!</v>
      </c>
      <c r="FL141" t="e">
        <f>AND(Bills!I548,"AAAAAH77+6c=")</f>
        <v>#VALUE!</v>
      </c>
      <c r="FM141" t="e">
        <f>AND(Bills!J548,"AAAAAH77+6g=")</f>
        <v>#VALUE!</v>
      </c>
      <c r="FN141" t="e">
        <f>AND(Bills!K548,"AAAAAH77+6k=")</f>
        <v>#VALUE!</v>
      </c>
      <c r="FO141" t="e">
        <f>AND(Bills!L548,"AAAAAH77+6o=")</f>
        <v>#VALUE!</v>
      </c>
      <c r="FP141" t="e">
        <f>AND(Bills!#REF!,"AAAAAH77+6s=")</f>
        <v>#REF!</v>
      </c>
      <c r="FQ141" t="e">
        <f>AND(Bills!M548,"AAAAAH77+6w=")</f>
        <v>#VALUE!</v>
      </c>
      <c r="FR141" t="e">
        <f>AND(Bills!N548,"AAAAAH77+60=")</f>
        <v>#VALUE!</v>
      </c>
      <c r="FS141" t="e">
        <f>AND(Bills!O548,"AAAAAH77+64=")</f>
        <v>#VALUE!</v>
      </c>
      <c r="FT141" t="e">
        <f>AND(Bills!P548,"AAAAAH77+68=")</f>
        <v>#VALUE!</v>
      </c>
      <c r="FU141" t="e">
        <f>AND(Bills!Q548,"AAAAAH77+7A=")</f>
        <v>#VALUE!</v>
      </c>
      <c r="FV141" t="e">
        <f>AND(Bills!R548,"AAAAAH77+7E=")</f>
        <v>#VALUE!</v>
      </c>
      <c r="FW141" t="e">
        <f>AND(Bills!S548,"AAAAAH77+7I=")</f>
        <v>#VALUE!</v>
      </c>
      <c r="FX141" t="e">
        <f>AND(Bills!T548,"AAAAAH77+7M=")</f>
        <v>#VALUE!</v>
      </c>
      <c r="FY141" t="e">
        <f>AND(Bills!#REF!,"AAAAAH77+7Q=")</f>
        <v>#REF!</v>
      </c>
      <c r="FZ141" t="e">
        <f>AND(Bills!U548,"AAAAAH77+7U=")</f>
        <v>#VALUE!</v>
      </c>
      <c r="GA141" t="e">
        <f>AND(Bills!V548,"AAAAAH77+7Y=")</f>
        <v>#VALUE!</v>
      </c>
      <c r="GB141" t="e">
        <f>AND(Bills!W548,"AAAAAH77+7c=")</f>
        <v>#VALUE!</v>
      </c>
      <c r="GC141" t="e">
        <f>AND(Bills!#REF!,"AAAAAH77+7g=")</f>
        <v>#REF!</v>
      </c>
      <c r="GD141" t="e">
        <f>AND(Bills!#REF!,"AAAAAH77+7k=")</f>
        <v>#REF!</v>
      </c>
      <c r="GE141" t="e">
        <f>AND(Bills!Y548,"AAAAAH77+7o=")</f>
        <v>#VALUE!</v>
      </c>
      <c r="GF141" t="e">
        <f>AND(Bills!Z548,"AAAAAH77+7s=")</f>
        <v>#VALUE!</v>
      </c>
      <c r="GG141" t="e">
        <f>AND(Bills!#REF!,"AAAAAH77+7w=")</f>
        <v>#REF!</v>
      </c>
      <c r="GH141" t="e">
        <f>AND(Bills!#REF!,"AAAAAH77+70=")</f>
        <v>#REF!</v>
      </c>
      <c r="GI141" t="e">
        <f>AND(Bills!#REF!,"AAAAAH77+74=")</f>
        <v>#REF!</v>
      </c>
      <c r="GJ141" t="e">
        <f>AND(Bills!#REF!,"AAAAAH77+78=")</f>
        <v>#REF!</v>
      </c>
      <c r="GK141" t="e">
        <f>AND(Bills!#REF!,"AAAAAH77+8A=")</f>
        <v>#REF!</v>
      </c>
      <c r="GL141" t="e">
        <f>AND(Bills!#REF!,"AAAAAH77+8E=")</f>
        <v>#REF!</v>
      </c>
      <c r="GM141" t="e">
        <f>AND(Bills!#REF!,"AAAAAH77+8I=")</f>
        <v>#REF!</v>
      </c>
      <c r="GN141" t="e">
        <f>AND(Bills!#REF!,"AAAAAH77+8M=")</f>
        <v>#REF!</v>
      </c>
      <c r="GO141" t="e">
        <f>AND(Bills!#REF!,"AAAAAH77+8Q=")</f>
        <v>#REF!</v>
      </c>
      <c r="GP141" t="e">
        <f>AND(Bills!AA548,"AAAAAH77+8U=")</f>
        <v>#VALUE!</v>
      </c>
      <c r="GQ141" t="e">
        <f>AND(Bills!AB548,"AAAAAH77+8Y=")</f>
        <v>#VALUE!</v>
      </c>
      <c r="GR141" t="e">
        <f>AND(Bills!#REF!,"AAAAAH77+8c=")</f>
        <v>#REF!</v>
      </c>
      <c r="GS141" t="e">
        <f>AND(Bills!#REF!,"AAAAAH77+8g=")</f>
        <v>#REF!</v>
      </c>
      <c r="GT141" t="e">
        <f>AND(Bills!#REF!,"AAAAAH77+8k=")</f>
        <v>#REF!</v>
      </c>
      <c r="GU141" t="e">
        <f>AND(Bills!AC548,"AAAAAH77+8o=")</f>
        <v>#VALUE!</v>
      </c>
      <c r="GV141" t="e">
        <f>AND(Bills!AD548,"AAAAAH77+8s=")</f>
        <v>#VALUE!</v>
      </c>
      <c r="GW141" t="e">
        <f>AND(Bills!AE548,"AAAAAH77+8w=")</f>
        <v>#VALUE!</v>
      </c>
      <c r="GX141">
        <f>IF(Bills!549:549,"AAAAAH77+80=",0)</f>
        <v>0</v>
      </c>
      <c r="GY141" t="e">
        <f>AND(Bills!B549,"AAAAAH77+84=")</f>
        <v>#VALUE!</v>
      </c>
      <c r="GZ141" t="e">
        <f>AND(Bills!#REF!,"AAAAAH77+88=")</f>
        <v>#REF!</v>
      </c>
      <c r="HA141" t="e">
        <f>AND(Bills!C549,"AAAAAH77+9A=")</f>
        <v>#VALUE!</v>
      </c>
      <c r="HB141" t="e">
        <f>AND(Bills!D549,"AAAAAH77+9E=")</f>
        <v>#VALUE!</v>
      </c>
      <c r="HC141" t="e">
        <f>AND(Bills!E549,"AAAAAH77+9I=")</f>
        <v>#VALUE!</v>
      </c>
      <c r="HD141" t="e">
        <f>AND(Bills!#REF!,"AAAAAH77+9M=")</f>
        <v>#REF!</v>
      </c>
      <c r="HE141" t="e">
        <f>AND(Bills!#REF!,"AAAAAH77+9Q=")</f>
        <v>#REF!</v>
      </c>
      <c r="HF141" t="e">
        <f>AND(Bills!#REF!,"AAAAAH77+9U=")</f>
        <v>#REF!</v>
      </c>
      <c r="HG141" t="e">
        <f>AND(Bills!F549,"AAAAAH77+9Y=")</f>
        <v>#VALUE!</v>
      </c>
      <c r="HH141" t="e">
        <f>AND(Bills!#REF!,"AAAAAH77+9c=")</f>
        <v>#REF!</v>
      </c>
      <c r="HI141" t="e">
        <f>AND(Bills!G549,"AAAAAH77+9g=")</f>
        <v>#VALUE!</v>
      </c>
      <c r="HJ141" t="e">
        <f>AND(Bills!H549,"AAAAAH77+9k=")</f>
        <v>#VALUE!</v>
      </c>
      <c r="HK141" t="e">
        <f>AND(Bills!I549,"AAAAAH77+9o=")</f>
        <v>#VALUE!</v>
      </c>
      <c r="HL141" t="e">
        <f>AND(Bills!J549,"AAAAAH77+9s=")</f>
        <v>#VALUE!</v>
      </c>
      <c r="HM141" t="e">
        <f>AND(Bills!K549,"AAAAAH77+9w=")</f>
        <v>#VALUE!</v>
      </c>
      <c r="HN141" t="e">
        <f>AND(Bills!L549,"AAAAAH77+90=")</f>
        <v>#VALUE!</v>
      </c>
      <c r="HO141" t="e">
        <f>AND(Bills!#REF!,"AAAAAH77+94=")</f>
        <v>#REF!</v>
      </c>
      <c r="HP141" t="e">
        <f>AND(Bills!M549,"AAAAAH77+98=")</f>
        <v>#VALUE!</v>
      </c>
      <c r="HQ141" t="e">
        <f>AND(Bills!N549,"AAAAAH77++A=")</f>
        <v>#VALUE!</v>
      </c>
      <c r="HR141" t="e">
        <f>AND(Bills!O549,"AAAAAH77++E=")</f>
        <v>#VALUE!</v>
      </c>
      <c r="HS141" t="e">
        <f>AND(Bills!P549,"AAAAAH77++I=")</f>
        <v>#VALUE!</v>
      </c>
      <c r="HT141" t="e">
        <f>AND(Bills!Q549,"AAAAAH77++M=")</f>
        <v>#VALUE!</v>
      </c>
      <c r="HU141" t="e">
        <f>AND(Bills!R549,"AAAAAH77++Q=")</f>
        <v>#VALUE!</v>
      </c>
      <c r="HV141" t="e">
        <f>AND(Bills!S549,"AAAAAH77++U=")</f>
        <v>#VALUE!</v>
      </c>
      <c r="HW141" t="e">
        <f>AND(Bills!T549,"AAAAAH77++Y=")</f>
        <v>#VALUE!</v>
      </c>
      <c r="HX141" t="e">
        <f>AND(Bills!#REF!,"AAAAAH77++c=")</f>
        <v>#REF!</v>
      </c>
      <c r="HY141" t="e">
        <f>AND(Bills!U549,"AAAAAH77++g=")</f>
        <v>#VALUE!</v>
      </c>
      <c r="HZ141" t="e">
        <f>AND(Bills!V549,"AAAAAH77++k=")</f>
        <v>#VALUE!</v>
      </c>
      <c r="IA141" t="e">
        <f>AND(Bills!W549,"AAAAAH77++o=")</f>
        <v>#VALUE!</v>
      </c>
      <c r="IB141" t="e">
        <f>AND(Bills!#REF!,"AAAAAH77++s=")</f>
        <v>#REF!</v>
      </c>
      <c r="IC141" t="e">
        <f>AND(Bills!#REF!,"AAAAAH77++w=")</f>
        <v>#REF!</v>
      </c>
      <c r="ID141" t="e">
        <f>AND(Bills!Y549,"AAAAAH77++0=")</f>
        <v>#VALUE!</v>
      </c>
      <c r="IE141" t="e">
        <f>AND(Bills!Z549,"AAAAAH77++4=")</f>
        <v>#VALUE!</v>
      </c>
      <c r="IF141" t="e">
        <f>AND(Bills!#REF!,"AAAAAH77++8=")</f>
        <v>#REF!</v>
      </c>
      <c r="IG141" t="e">
        <f>AND(Bills!#REF!,"AAAAAH77+/A=")</f>
        <v>#REF!</v>
      </c>
      <c r="IH141" t="e">
        <f>AND(Bills!#REF!,"AAAAAH77+/E=")</f>
        <v>#REF!</v>
      </c>
      <c r="II141" t="e">
        <f>AND(Bills!#REF!,"AAAAAH77+/I=")</f>
        <v>#REF!</v>
      </c>
      <c r="IJ141" t="e">
        <f>AND(Bills!#REF!,"AAAAAH77+/M=")</f>
        <v>#REF!</v>
      </c>
      <c r="IK141" t="e">
        <f>AND(Bills!#REF!,"AAAAAH77+/Q=")</f>
        <v>#REF!</v>
      </c>
      <c r="IL141" t="e">
        <f>AND(Bills!#REF!,"AAAAAH77+/U=")</f>
        <v>#REF!</v>
      </c>
      <c r="IM141" t="e">
        <f>AND(Bills!#REF!,"AAAAAH77+/Y=")</f>
        <v>#REF!</v>
      </c>
      <c r="IN141" t="e">
        <f>AND(Bills!#REF!,"AAAAAH77+/c=")</f>
        <v>#REF!</v>
      </c>
      <c r="IO141" t="e">
        <f>AND(Bills!AA549,"AAAAAH77+/g=")</f>
        <v>#VALUE!</v>
      </c>
      <c r="IP141" t="e">
        <f>AND(Bills!AB549,"AAAAAH77+/k=")</f>
        <v>#VALUE!</v>
      </c>
      <c r="IQ141" t="e">
        <f>AND(Bills!#REF!,"AAAAAH77+/o=")</f>
        <v>#REF!</v>
      </c>
      <c r="IR141" t="e">
        <f>AND(Bills!#REF!,"AAAAAH77+/s=")</f>
        <v>#REF!</v>
      </c>
      <c r="IS141" t="e">
        <f>AND(Bills!#REF!,"AAAAAH77+/w=")</f>
        <v>#REF!</v>
      </c>
      <c r="IT141" t="e">
        <f>AND(Bills!AC549,"AAAAAH77+/0=")</f>
        <v>#VALUE!</v>
      </c>
      <c r="IU141" t="e">
        <f>AND(Bills!AD549,"AAAAAH77+/4=")</f>
        <v>#VALUE!</v>
      </c>
      <c r="IV141" t="e">
        <f>AND(Bills!AE549,"AAAAAH77+/8=")</f>
        <v>#VALUE!</v>
      </c>
    </row>
    <row r="142" spans="1:256" x14ac:dyDescent="0.25">
      <c r="A142">
        <f>IF(Bills!550:550,"AAAAAE3+9gA=",0)</f>
        <v>0</v>
      </c>
      <c r="B142" t="e">
        <f>AND(Bills!B550,"AAAAAE3+9gE=")</f>
        <v>#VALUE!</v>
      </c>
      <c r="C142" t="e">
        <f>AND(Bills!#REF!,"AAAAAE3+9gI=")</f>
        <v>#REF!</v>
      </c>
      <c r="D142" t="e">
        <f>AND(Bills!C550,"AAAAAE3+9gM=")</f>
        <v>#VALUE!</v>
      </c>
      <c r="E142" t="e">
        <f>AND(Bills!D550,"AAAAAE3+9gQ=")</f>
        <v>#VALUE!</v>
      </c>
      <c r="F142" t="e">
        <f>AND(Bills!E550,"AAAAAE3+9gU=")</f>
        <v>#VALUE!</v>
      </c>
      <c r="G142" t="e">
        <f>AND(Bills!#REF!,"AAAAAE3+9gY=")</f>
        <v>#REF!</v>
      </c>
      <c r="H142" t="e">
        <f>AND(Bills!#REF!,"AAAAAE3+9gc=")</f>
        <v>#REF!</v>
      </c>
      <c r="I142" t="e">
        <f>AND(Bills!#REF!,"AAAAAE3+9gg=")</f>
        <v>#REF!</v>
      </c>
      <c r="J142" t="e">
        <f>AND(Bills!F550,"AAAAAE3+9gk=")</f>
        <v>#VALUE!</v>
      </c>
      <c r="K142" t="e">
        <f>AND(Bills!#REF!,"AAAAAE3+9go=")</f>
        <v>#REF!</v>
      </c>
      <c r="L142" t="e">
        <f>AND(Bills!G550,"AAAAAE3+9gs=")</f>
        <v>#VALUE!</v>
      </c>
      <c r="M142" t="e">
        <f>AND(Bills!H550,"AAAAAE3+9gw=")</f>
        <v>#VALUE!</v>
      </c>
      <c r="N142" t="e">
        <f>AND(Bills!I550,"AAAAAE3+9g0=")</f>
        <v>#VALUE!</v>
      </c>
      <c r="O142" t="e">
        <f>AND(Bills!J550,"AAAAAE3+9g4=")</f>
        <v>#VALUE!</v>
      </c>
      <c r="P142" t="e">
        <f>AND(Bills!K550,"AAAAAE3+9g8=")</f>
        <v>#VALUE!</v>
      </c>
      <c r="Q142" t="e">
        <f>AND(Bills!L550,"AAAAAE3+9hA=")</f>
        <v>#VALUE!</v>
      </c>
      <c r="R142" t="e">
        <f>AND(Bills!#REF!,"AAAAAE3+9hE=")</f>
        <v>#REF!</v>
      </c>
      <c r="S142" t="e">
        <f>AND(Bills!M550,"AAAAAE3+9hI=")</f>
        <v>#VALUE!</v>
      </c>
      <c r="T142" t="e">
        <f>AND(Bills!N550,"AAAAAE3+9hM=")</f>
        <v>#VALUE!</v>
      </c>
      <c r="U142" t="e">
        <f>AND(Bills!O550,"AAAAAE3+9hQ=")</f>
        <v>#VALUE!</v>
      </c>
      <c r="V142" t="e">
        <f>AND(Bills!P550,"AAAAAE3+9hU=")</f>
        <v>#VALUE!</v>
      </c>
      <c r="W142" t="e">
        <f>AND(Bills!Q550,"AAAAAE3+9hY=")</f>
        <v>#VALUE!</v>
      </c>
      <c r="X142" t="e">
        <f>AND(Bills!R550,"AAAAAE3+9hc=")</f>
        <v>#VALUE!</v>
      </c>
      <c r="Y142" t="e">
        <f>AND(Bills!S550,"AAAAAE3+9hg=")</f>
        <v>#VALUE!</v>
      </c>
      <c r="Z142" t="e">
        <f>AND(Bills!T550,"AAAAAE3+9hk=")</f>
        <v>#VALUE!</v>
      </c>
      <c r="AA142" t="e">
        <f>AND(Bills!#REF!,"AAAAAE3+9ho=")</f>
        <v>#REF!</v>
      </c>
      <c r="AB142" t="e">
        <f>AND(Bills!U550,"AAAAAE3+9hs=")</f>
        <v>#VALUE!</v>
      </c>
      <c r="AC142" t="e">
        <f>AND(Bills!V550,"AAAAAE3+9hw=")</f>
        <v>#VALUE!</v>
      </c>
      <c r="AD142" t="e">
        <f>AND(Bills!W550,"AAAAAE3+9h0=")</f>
        <v>#VALUE!</v>
      </c>
      <c r="AE142" t="e">
        <f>AND(Bills!#REF!,"AAAAAE3+9h4=")</f>
        <v>#REF!</v>
      </c>
      <c r="AF142" t="e">
        <f>AND(Bills!#REF!,"AAAAAE3+9h8=")</f>
        <v>#REF!</v>
      </c>
      <c r="AG142" t="e">
        <f>AND(Bills!Y550,"AAAAAE3+9iA=")</f>
        <v>#VALUE!</v>
      </c>
      <c r="AH142" t="e">
        <f>AND(Bills!Z550,"AAAAAE3+9iE=")</f>
        <v>#VALUE!</v>
      </c>
      <c r="AI142" t="e">
        <f>AND(Bills!#REF!,"AAAAAE3+9iI=")</f>
        <v>#REF!</v>
      </c>
      <c r="AJ142" t="e">
        <f>AND(Bills!#REF!,"AAAAAE3+9iM=")</f>
        <v>#REF!</v>
      </c>
      <c r="AK142" t="e">
        <f>AND(Bills!#REF!,"AAAAAE3+9iQ=")</f>
        <v>#REF!</v>
      </c>
      <c r="AL142" t="e">
        <f>AND(Bills!#REF!,"AAAAAE3+9iU=")</f>
        <v>#REF!</v>
      </c>
      <c r="AM142" t="e">
        <f>AND(Bills!#REF!,"AAAAAE3+9iY=")</f>
        <v>#REF!</v>
      </c>
      <c r="AN142" t="e">
        <f>AND(Bills!#REF!,"AAAAAE3+9ic=")</f>
        <v>#REF!</v>
      </c>
      <c r="AO142" t="e">
        <f>AND(Bills!#REF!,"AAAAAE3+9ig=")</f>
        <v>#REF!</v>
      </c>
      <c r="AP142" t="e">
        <f>AND(Bills!#REF!,"AAAAAE3+9ik=")</f>
        <v>#REF!</v>
      </c>
      <c r="AQ142" t="e">
        <f>AND(Bills!#REF!,"AAAAAE3+9io=")</f>
        <v>#REF!</v>
      </c>
      <c r="AR142" t="e">
        <f>AND(Bills!AA550,"AAAAAE3+9is=")</f>
        <v>#VALUE!</v>
      </c>
      <c r="AS142" t="e">
        <f>AND(Bills!AB550,"AAAAAE3+9iw=")</f>
        <v>#VALUE!</v>
      </c>
      <c r="AT142" t="e">
        <f>AND(Bills!#REF!,"AAAAAE3+9i0=")</f>
        <v>#REF!</v>
      </c>
      <c r="AU142" t="e">
        <f>AND(Bills!#REF!,"AAAAAE3+9i4=")</f>
        <v>#REF!</v>
      </c>
      <c r="AV142" t="e">
        <f>AND(Bills!#REF!,"AAAAAE3+9i8=")</f>
        <v>#REF!</v>
      </c>
      <c r="AW142" t="e">
        <f>AND(Bills!AC550,"AAAAAE3+9jA=")</f>
        <v>#VALUE!</v>
      </c>
      <c r="AX142" t="e">
        <f>AND(Bills!AD550,"AAAAAE3+9jE=")</f>
        <v>#VALUE!</v>
      </c>
      <c r="AY142" t="e">
        <f>AND(Bills!AE550,"AAAAAE3+9jI=")</f>
        <v>#VALUE!</v>
      </c>
      <c r="AZ142">
        <f>IF(Bills!551:551,"AAAAAE3+9jM=",0)</f>
        <v>0</v>
      </c>
      <c r="BA142" t="e">
        <f>AND(Bills!B551,"AAAAAE3+9jQ=")</f>
        <v>#VALUE!</v>
      </c>
      <c r="BB142" t="e">
        <f>AND(Bills!#REF!,"AAAAAE3+9jU=")</f>
        <v>#REF!</v>
      </c>
      <c r="BC142" t="e">
        <f>AND(Bills!C551,"AAAAAE3+9jY=")</f>
        <v>#VALUE!</v>
      </c>
      <c r="BD142" t="e">
        <f>AND(Bills!D551,"AAAAAE3+9jc=")</f>
        <v>#VALUE!</v>
      </c>
      <c r="BE142" t="e">
        <f>AND(Bills!E551,"AAAAAE3+9jg=")</f>
        <v>#VALUE!</v>
      </c>
      <c r="BF142" t="e">
        <f>AND(Bills!#REF!,"AAAAAE3+9jk=")</f>
        <v>#REF!</v>
      </c>
      <c r="BG142" t="e">
        <f>AND(Bills!#REF!,"AAAAAE3+9jo=")</f>
        <v>#REF!</v>
      </c>
      <c r="BH142" t="e">
        <f>AND(Bills!#REF!,"AAAAAE3+9js=")</f>
        <v>#REF!</v>
      </c>
      <c r="BI142" t="e">
        <f>AND(Bills!F551,"AAAAAE3+9jw=")</f>
        <v>#VALUE!</v>
      </c>
      <c r="BJ142" t="e">
        <f>AND(Bills!#REF!,"AAAAAE3+9j0=")</f>
        <v>#REF!</v>
      </c>
      <c r="BK142" t="e">
        <f>AND(Bills!G551,"AAAAAE3+9j4=")</f>
        <v>#VALUE!</v>
      </c>
      <c r="BL142" t="e">
        <f>AND(Bills!H551,"AAAAAE3+9j8=")</f>
        <v>#VALUE!</v>
      </c>
      <c r="BM142" t="e">
        <f>AND(Bills!I551,"AAAAAE3+9kA=")</f>
        <v>#VALUE!</v>
      </c>
      <c r="BN142" t="e">
        <f>AND(Bills!J551,"AAAAAE3+9kE=")</f>
        <v>#VALUE!</v>
      </c>
      <c r="BO142" t="e">
        <f>AND(Bills!K551,"AAAAAE3+9kI=")</f>
        <v>#VALUE!</v>
      </c>
      <c r="BP142" t="e">
        <f>AND(Bills!L551,"AAAAAE3+9kM=")</f>
        <v>#VALUE!</v>
      </c>
      <c r="BQ142" t="e">
        <f>AND(Bills!#REF!,"AAAAAE3+9kQ=")</f>
        <v>#REF!</v>
      </c>
      <c r="BR142" t="e">
        <f>AND(Bills!M551,"AAAAAE3+9kU=")</f>
        <v>#VALUE!</v>
      </c>
      <c r="BS142" t="e">
        <f>AND(Bills!N551,"AAAAAE3+9kY=")</f>
        <v>#VALUE!</v>
      </c>
      <c r="BT142" t="e">
        <f>AND(Bills!O551,"AAAAAE3+9kc=")</f>
        <v>#VALUE!</v>
      </c>
      <c r="BU142" t="e">
        <f>AND(Bills!P551,"AAAAAE3+9kg=")</f>
        <v>#VALUE!</v>
      </c>
      <c r="BV142" t="e">
        <f>AND(Bills!Q551,"AAAAAE3+9kk=")</f>
        <v>#VALUE!</v>
      </c>
      <c r="BW142" t="e">
        <f>AND(Bills!R551,"AAAAAE3+9ko=")</f>
        <v>#VALUE!</v>
      </c>
      <c r="BX142" t="e">
        <f>AND(Bills!S551,"AAAAAE3+9ks=")</f>
        <v>#VALUE!</v>
      </c>
      <c r="BY142" t="e">
        <f>AND(Bills!T551,"AAAAAE3+9kw=")</f>
        <v>#VALUE!</v>
      </c>
      <c r="BZ142" t="e">
        <f>AND(Bills!#REF!,"AAAAAE3+9k0=")</f>
        <v>#REF!</v>
      </c>
      <c r="CA142" t="e">
        <f>AND(Bills!U551,"AAAAAE3+9k4=")</f>
        <v>#VALUE!</v>
      </c>
      <c r="CB142" t="e">
        <f>AND(Bills!V551,"AAAAAE3+9k8=")</f>
        <v>#VALUE!</v>
      </c>
      <c r="CC142" t="e">
        <f>AND(Bills!W551,"AAAAAE3+9lA=")</f>
        <v>#VALUE!</v>
      </c>
      <c r="CD142" t="e">
        <f>AND(Bills!#REF!,"AAAAAE3+9lE=")</f>
        <v>#REF!</v>
      </c>
      <c r="CE142" t="e">
        <f>AND(Bills!#REF!,"AAAAAE3+9lI=")</f>
        <v>#REF!</v>
      </c>
      <c r="CF142" t="e">
        <f>AND(Bills!Y551,"AAAAAE3+9lM=")</f>
        <v>#VALUE!</v>
      </c>
      <c r="CG142" t="e">
        <f>AND(Bills!Z551,"AAAAAE3+9lQ=")</f>
        <v>#VALUE!</v>
      </c>
      <c r="CH142" t="e">
        <f>AND(Bills!#REF!,"AAAAAE3+9lU=")</f>
        <v>#REF!</v>
      </c>
      <c r="CI142" t="e">
        <f>AND(Bills!#REF!,"AAAAAE3+9lY=")</f>
        <v>#REF!</v>
      </c>
      <c r="CJ142" t="e">
        <f>AND(Bills!#REF!,"AAAAAE3+9lc=")</f>
        <v>#REF!</v>
      </c>
      <c r="CK142" t="e">
        <f>AND(Bills!#REF!,"AAAAAE3+9lg=")</f>
        <v>#REF!</v>
      </c>
      <c r="CL142" t="e">
        <f>AND(Bills!#REF!,"AAAAAE3+9lk=")</f>
        <v>#REF!</v>
      </c>
      <c r="CM142" t="e">
        <f>AND(Bills!#REF!,"AAAAAE3+9lo=")</f>
        <v>#REF!</v>
      </c>
      <c r="CN142" t="e">
        <f>AND(Bills!#REF!,"AAAAAE3+9ls=")</f>
        <v>#REF!</v>
      </c>
      <c r="CO142" t="e">
        <f>AND(Bills!#REF!,"AAAAAE3+9lw=")</f>
        <v>#REF!</v>
      </c>
      <c r="CP142" t="e">
        <f>AND(Bills!#REF!,"AAAAAE3+9l0=")</f>
        <v>#REF!</v>
      </c>
      <c r="CQ142" t="e">
        <f>AND(Bills!AA551,"AAAAAE3+9l4=")</f>
        <v>#VALUE!</v>
      </c>
      <c r="CR142" t="e">
        <f>AND(Bills!AB551,"AAAAAE3+9l8=")</f>
        <v>#VALUE!</v>
      </c>
      <c r="CS142" t="e">
        <f>AND(Bills!#REF!,"AAAAAE3+9mA=")</f>
        <v>#REF!</v>
      </c>
      <c r="CT142" t="e">
        <f>AND(Bills!#REF!,"AAAAAE3+9mE=")</f>
        <v>#REF!</v>
      </c>
      <c r="CU142" t="e">
        <f>AND(Bills!#REF!,"AAAAAE3+9mI=")</f>
        <v>#REF!</v>
      </c>
      <c r="CV142" t="e">
        <f>AND(Bills!AC551,"AAAAAE3+9mM=")</f>
        <v>#VALUE!</v>
      </c>
      <c r="CW142" t="e">
        <f>AND(Bills!AD551,"AAAAAE3+9mQ=")</f>
        <v>#VALUE!</v>
      </c>
      <c r="CX142" t="e">
        <f>AND(Bills!AE551,"AAAAAE3+9mU=")</f>
        <v>#VALUE!</v>
      </c>
      <c r="CY142">
        <f>IF(Bills!552:552,"AAAAAE3+9mY=",0)</f>
        <v>0</v>
      </c>
      <c r="CZ142" t="e">
        <f>AND(Bills!B552,"AAAAAE3+9mc=")</f>
        <v>#VALUE!</v>
      </c>
      <c r="DA142" t="e">
        <f>AND(Bills!#REF!,"AAAAAE3+9mg=")</f>
        <v>#REF!</v>
      </c>
      <c r="DB142" t="e">
        <f>AND(Bills!C552,"AAAAAE3+9mk=")</f>
        <v>#VALUE!</v>
      </c>
      <c r="DC142" t="e">
        <f>AND(Bills!D552,"AAAAAE3+9mo=")</f>
        <v>#VALUE!</v>
      </c>
      <c r="DD142" t="e">
        <f>AND(Bills!E552,"AAAAAE3+9ms=")</f>
        <v>#VALUE!</v>
      </c>
      <c r="DE142" t="e">
        <f>AND(Bills!#REF!,"AAAAAE3+9mw=")</f>
        <v>#REF!</v>
      </c>
      <c r="DF142" t="e">
        <f>AND(Bills!#REF!,"AAAAAE3+9m0=")</f>
        <v>#REF!</v>
      </c>
      <c r="DG142" t="e">
        <f>AND(Bills!#REF!,"AAAAAE3+9m4=")</f>
        <v>#REF!</v>
      </c>
      <c r="DH142" t="e">
        <f>AND(Bills!F552,"AAAAAE3+9m8=")</f>
        <v>#VALUE!</v>
      </c>
      <c r="DI142" t="e">
        <f>AND(Bills!#REF!,"AAAAAE3+9nA=")</f>
        <v>#REF!</v>
      </c>
      <c r="DJ142" t="e">
        <f>AND(Bills!G552,"AAAAAE3+9nE=")</f>
        <v>#VALUE!</v>
      </c>
      <c r="DK142" t="e">
        <f>AND(Bills!H552,"AAAAAE3+9nI=")</f>
        <v>#VALUE!</v>
      </c>
      <c r="DL142" t="e">
        <f>AND(Bills!I552,"AAAAAE3+9nM=")</f>
        <v>#VALUE!</v>
      </c>
      <c r="DM142" t="e">
        <f>AND(Bills!J552,"AAAAAE3+9nQ=")</f>
        <v>#VALUE!</v>
      </c>
      <c r="DN142" t="e">
        <f>AND(Bills!K552,"AAAAAE3+9nU=")</f>
        <v>#VALUE!</v>
      </c>
      <c r="DO142" t="e">
        <f>AND(Bills!L552,"AAAAAE3+9nY=")</f>
        <v>#VALUE!</v>
      </c>
      <c r="DP142" t="e">
        <f>AND(Bills!#REF!,"AAAAAE3+9nc=")</f>
        <v>#REF!</v>
      </c>
      <c r="DQ142" t="e">
        <f>AND(Bills!M552,"AAAAAE3+9ng=")</f>
        <v>#VALUE!</v>
      </c>
      <c r="DR142" t="e">
        <f>AND(Bills!N552,"AAAAAE3+9nk=")</f>
        <v>#VALUE!</v>
      </c>
      <c r="DS142" t="e">
        <f>AND(Bills!O552,"AAAAAE3+9no=")</f>
        <v>#VALUE!</v>
      </c>
      <c r="DT142" t="e">
        <f>AND(Bills!P552,"AAAAAE3+9ns=")</f>
        <v>#VALUE!</v>
      </c>
      <c r="DU142" t="e">
        <f>AND(Bills!Q552,"AAAAAE3+9nw=")</f>
        <v>#VALUE!</v>
      </c>
      <c r="DV142" t="e">
        <f>AND(Bills!R552,"AAAAAE3+9n0=")</f>
        <v>#VALUE!</v>
      </c>
      <c r="DW142" t="e">
        <f>AND(Bills!S552,"AAAAAE3+9n4=")</f>
        <v>#VALUE!</v>
      </c>
      <c r="DX142" t="e">
        <f>AND(Bills!T552,"AAAAAE3+9n8=")</f>
        <v>#VALUE!</v>
      </c>
      <c r="DY142" t="e">
        <f>AND(Bills!#REF!,"AAAAAE3+9oA=")</f>
        <v>#REF!</v>
      </c>
      <c r="DZ142" t="e">
        <f>AND(Bills!U552,"AAAAAE3+9oE=")</f>
        <v>#VALUE!</v>
      </c>
      <c r="EA142" t="e">
        <f>AND(Bills!V552,"AAAAAE3+9oI=")</f>
        <v>#VALUE!</v>
      </c>
      <c r="EB142" t="e">
        <f>AND(Bills!W552,"AAAAAE3+9oM=")</f>
        <v>#VALUE!</v>
      </c>
      <c r="EC142" t="e">
        <f>AND(Bills!#REF!,"AAAAAE3+9oQ=")</f>
        <v>#REF!</v>
      </c>
      <c r="ED142" t="e">
        <f>AND(Bills!#REF!,"AAAAAE3+9oU=")</f>
        <v>#REF!</v>
      </c>
      <c r="EE142" t="e">
        <f>AND(Bills!Y552,"AAAAAE3+9oY=")</f>
        <v>#VALUE!</v>
      </c>
      <c r="EF142" t="e">
        <f>AND(Bills!Z552,"AAAAAE3+9oc=")</f>
        <v>#VALUE!</v>
      </c>
      <c r="EG142" t="e">
        <f>AND(Bills!#REF!,"AAAAAE3+9og=")</f>
        <v>#REF!</v>
      </c>
      <c r="EH142" t="e">
        <f>AND(Bills!#REF!,"AAAAAE3+9ok=")</f>
        <v>#REF!</v>
      </c>
      <c r="EI142" t="e">
        <f>AND(Bills!#REF!,"AAAAAE3+9oo=")</f>
        <v>#REF!</v>
      </c>
      <c r="EJ142" t="e">
        <f>AND(Bills!#REF!,"AAAAAE3+9os=")</f>
        <v>#REF!</v>
      </c>
      <c r="EK142" t="e">
        <f>AND(Bills!#REF!,"AAAAAE3+9ow=")</f>
        <v>#REF!</v>
      </c>
      <c r="EL142" t="e">
        <f>AND(Bills!#REF!,"AAAAAE3+9o0=")</f>
        <v>#REF!</v>
      </c>
      <c r="EM142" t="e">
        <f>AND(Bills!#REF!,"AAAAAE3+9o4=")</f>
        <v>#REF!</v>
      </c>
      <c r="EN142" t="e">
        <f>AND(Bills!#REF!,"AAAAAE3+9o8=")</f>
        <v>#REF!</v>
      </c>
      <c r="EO142" t="e">
        <f>AND(Bills!#REF!,"AAAAAE3+9pA=")</f>
        <v>#REF!</v>
      </c>
      <c r="EP142" t="e">
        <f>AND(Bills!AA552,"AAAAAE3+9pE=")</f>
        <v>#VALUE!</v>
      </c>
      <c r="EQ142" t="e">
        <f>AND(Bills!AB552,"AAAAAE3+9pI=")</f>
        <v>#VALUE!</v>
      </c>
      <c r="ER142" t="e">
        <f>AND(Bills!#REF!,"AAAAAE3+9pM=")</f>
        <v>#REF!</v>
      </c>
      <c r="ES142" t="e">
        <f>AND(Bills!#REF!,"AAAAAE3+9pQ=")</f>
        <v>#REF!</v>
      </c>
      <c r="ET142" t="e">
        <f>AND(Bills!#REF!,"AAAAAE3+9pU=")</f>
        <v>#REF!</v>
      </c>
      <c r="EU142" t="e">
        <f>AND(Bills!AC552,"AAAAAE3+9pY=")</f>
        <v>#VALUE!</v>
      </c>
      <c r="EV142" t="e">
        <f>AND(Bills!AD552,"AAAAAE3+9pc=")</f>
        <v>#VALUE!</v>
      </c>
      <c r="EW142" t="e">
        <f>AND(Bills!AE552,"AAAAAE3+9pg=")</f>
        <v>#VALUE!</v>
      </c>
      <c r="EX142">
        <f>IF(Bills!553:553,"AAAAAE3+9pk=",0)</f>
        <v>0</v>
      </c>
      <c r="EY142" t="e">
        <f>AND(Bills!B553,"AAAAAE3+9po=")</f>
        <v>#VALUE!</v>
      </c>
      <c r="EZ142" t="e">
        <f>AND(Bills!#REF!,"AAAAAE3+9ps=")</f>
        <v>#REF!</v>
      </c>
      <c r="FA142" t="e">
        <f>AND(Bills!C553,"AAAAAE3+9pw=")</f>
        <v>#VALUE!</v>
      </c>
      <c r="FB142" t="e">
        <f>AND(Bills!D553,"AAAAAE3+9p0=")</f>
        <v>#VALUE!</v>
      </c>
      <c r="FC142" t="e">
        <f>AND(Bills!E553,"AAAAAE3+9p4=")</f>
        <v>#VALUE!</v>
      </c>
      <c r="FD142" t="e">
        <f>AND(Bills!#REF!,"AAAAAE3+9p8=")</f>
        <v>#REF!</v>
      </c>
      <c r="FE142" t="e">
        <f>AND(Bills!#REF!,"AAAAAE3+9qA=")</f>
        <v>#REF!</v>
      </c>
      <c r="FF142" t="e">
        <f>AND(Bills!#REF!,"AAAAAE3+9qE=")</f>
        <v>#REF!</v>
      </c>
      <c r="FG142" t="e">
        <f>AND(Bills!F553,"AAAAAE3+9qI=")</f>
        <v>#VALUE!</v>
      </c>
      <c r="FH142" t="e">
        <f>AND(Bills!#REF!,"AAAAAE3+9qM=")</f>
        <v>#REF!</v>
      </c>
      <c r="FI142" t="e">
        <f>AND(Bills!G553,"AAAAAE3+9qQ=")</f>
        <v>#VALUE!</v>
      </c>
      <c r="FJ142" t="e">
        <f>AND(Bills!H553,"AAAAAE3+9qU=")</f>
        <v>#VALUE!</v>
      </c>
      <c r="FK142" t="e">
        <f>AND(Bills!I553,"AAAAAE3+9qY=")</f>
        <v>#VALUE!</v>
      </c>
      <c r="FL142" t="e">
        <f>AND(Bills!J553,"AAAAAE3+9qc=")</f>
        <v>#VALUE!</v>
      </c>
      <c r="FM142" t="e">
        <f>AND(Bills!K553,"AAAAAE3+9qg=")</f>
        <v>#VALUE!</v>
      </c>
      <c r="FN142" t="e">
        <f>AND(Bills!L553,"AAAAAE3+9qk=")</f>
        <v>#VALUE!</v>
      </c>
      <c r="FO142" t="e">
        <f>AND(Bills!#REF!,"AAAAAE3+9qo=")</f>
        <v>#REF!</v>
      </c>
      <c r="FP142" t="e">
        <f>AND(Bills!M553,"AAAAAE3+9qs=")</f>
        <v>#VALUE!</v>
      </c>
      <c r="FQ142" t="e">
        <f>AND(Bills!N553,"AAAAAE3+9qw=")</f>
        <v>#VALUE!</v>
      </c>
      <c r="FR142" t="e">
        <f>AND(Bills!O553,"AAAAAE3+9q0=")</f>
        <v>#VALUE!</v>
      </c>
      <c r="FS142" t="e">
        <f>AND(Bills!P553,"AAAAAE3+9q4=")</f>
        <v>#VALUE!</v>
      </c>
      <c r="FT142" t="e">
        <f>AND(Bills!Q553,"AAAAAE3+9q8=")</f>
        <v>#VALUE!</v>
      </c>
      <c r="FU142" t="e">
        <f>AND(Bills!R553,"AAAAAE3+9rA=")</f>
        <v>#VALUE!</v>
      </c>
      <c r="FV142" t="e">
        <f>AND(Bills!S553,"AAAAAE3+9rE=")</f>
        <v>#VALUE!</v>
      </c>
      <c r="FW142" t="e">
        <f>AND(Bills!T553,"AAAAAE3+9rI=")</f>
        <v>#VALUE!</v>
      </c>
      <c r="FX142" t="e">
        <f>AND(Bills!#REF!,"AAAAAE3+9rM=")</f>
        <v>#REF!</v>
      </c>
      <c r="FY142" t="e">
        <f>AND(Bills!U553,"AAAAAE3+9rQ=")</f>
        <v>#VALUE!</v>
      </c>
      <c r="FZ142" t="e">
        <f>AND(Bills!V553,"AAAAAE3+9rU=")</f>
        <v>#VALUE!</v>
      </c>
      <c r="GA142" t="e">
        <f>AND(Bills!W553,"AAAAAE3+9rY=")</f>
        <v>#VALUE!</v>
      </c>
      <c r="GB142" t="e">
        <f>AND(Bills!#REF!,"AAAAAE3+9rc=")</f>
        <v>#REF!</v>
      </c>
      <c r="GC142" t="e">
        <f>AND(Bills!#REF!,"AAAAAE3+9rg=")</f>
        <v>#REF!</v>
      </c>
      <c r="GD142" t="e">
        <f>AND(Bills!Y553,"AAAAAE3+9rk=")</f>
        <v>#VALUE!</v>
      </c>
      <c r="GE142" t="e">
        <f>AND(Bills!Z553,"AAAAAE3+9ro=")</f>
        <v>#VALUE!</v>
      </c>
      <c r="GF142" t="e">
        <f>AND(Bills!#REF!,"AAAAAE3+9rs=")</f>
        <v>#REF!</v>
      </c>
      <c r="GG142" t="e">
        <f>AND(Bills!#REF!,"AAAAAE3+9rw=")</f>
        <v>#REF!</v>
      </c>
      <c r="GH142" t="e">
        <f>AND(Bills!#REF!,"AAAAAE3+9r0=")</f>
        <v>#REF!</v>
      </c>
      <c r="GI142" t="e">
        <f>AND(Bills!#REF!,"AAAAAE3+9r4=")</f>
        <v>#REF!</v>
      </c>
      <c r="GJ142" t="e">
        <f>AND(Bills!#REF!,"AAAAAE3+9r8=")</f>
        <v>#REF!</v>
      </c>
      <c r="GK142" t="e">
        <f>AND(Bills!#REF!,"AAAAAE3+9sA=")</f>
        <v>#REF!</v>
      </c>
      <c r="GL142" t="e">
        <f>AND(Bills!#REF!,"AAAAAE3+9sE=")</f>
        <v>#REF!</v>
      </c>
      <c r="GM142" t="e">
        <f>AND(Bills!#REF!,"AAAAAE3+9sI=")</f>
        <v>#REF!</v>
      </c>
      <c r="GN142" t="e">
        <f>AND(Bills!#REF!,"AAAAAE3+9sM=")</f>
        <v>#REF!</v>
      </c>
      <c r="GO142" t="e">
        <f>AND(Bills!AA553,"AAAAAE3+9sQ=")</f>
        <v>#VALUE!</v>
      </c>
      <c r="GP142" t="e">
        <f>AND(Bills!AB553,"AAAAAE3+9sU=")</f>
        <v>#VALUE!</v>
      </c>
      <c r="GQ142" t="e">
        <f>AND(Bills!#REF!,"AAAAAE3+9sY=")</f>
        <v>#REF!</v>
      </c>
      <c r="GR142" t="e">
        <f>AND(Bills!#REF!,"AAAAAE3+9sc=")</f>
        <v>#REF!</v>
      </c>
      <c r="GS142" t="e">
        <f>AND(Bills!#REF!,"AAAAAE3+9sg=")</f>
        <v>#REF!</v>
      </c>
      <c r="GT142" t="e">
        <f>AND(Bills!AC553,"AAAAAE3+9sk=")</f>
        <v>#VALUE!</v>
      </c>
      <c r="GU142" t="e">
        <f>AND(Bills!AD553,"AAAAAE3+9so=")</f>
        <v>#VALUE!</v>
      </c>
      <c r="GV142" t="e">
        <f>AND(Bills!AE553,"AAAAAE3+9ss=")</f>
        <v>#VALUE!</v>
      </c>
      <c r="GW142">
        <f>IF(Bills!554:554,"AAAAAE3+9sw=",0)</f>
        <v>0</v>
      </c>
      <c r="GX142" t="e">
        <f>AND(Bills!B554,"AAAAAE3+9s0=")</f>
        <v>#VALUE!</v>
      </c>
      <c r="GY142" t="e">
        <f>AND(Bills!#REF!,"AAAAAE3+9s4=")</f>
        <v>#REF!</v>
      </c>
      <c r="GZ142" t="e">
        <f>AND(Bills!C554,"AAAAAE3+9s8=")</f>
        <v>#VALUE!</v>
      </c>
      <c r="HA142" t="e">
        <f>AND(Bills!D554,"AAAAAE3+9tA=")</f>
        <v>#VALUE!</v>
      </c>
      <c r="HB142" t="e">
        <f>AND(Bills!E554,"AAAAAE3+9tE=")</f>
        <v>#VALUE!</v>
      </c>
      <c r="HC142" t="e">
        <f>AND(Bills!#REF!,"AAAAAE3+9tI=")</f>
        <v>#REF!</v>
      </c>
      <c r="HD142" t="e">
        <f>AND(Bills!#REF!,"AAAAAE3+9tM=")</f>
        <v>#REF!</v>
      </c>
      <c r="HE142" t="e">
        <f>AND(Bills!#REF!,"AAAAAE3+9tQ=")</f>
        <v>#REF!</v>
      </c>
      <c r="HF142" t="e">
        <f>AND(Bills!F554,"AAAAAE3+9tU=")</f>
        <v>#VALUE!</v>
      </c>
      <c r="HG142" t="e">
        <f>AND(Bills!#REF!,"AAAAAE3+9tY=")</f>
        <v>#REF!</v>
      </c>
      <c r="HH142" t="e">
        <f>AND(Bills!G554,"AAAAAE3+9tc=")</f>
        <v>#VALUE!</v>
      </c>
      <c r="HI142" t="e">
        <f>AND(Bills!H554,"AAAAAE3+9tg=")</f>
        <v>#VALUE!</v>
      </c>
      <c r="HJ142" t="e">
        <f>AND(Bills!I554,"AAAAAE3+9tk=")</f>
        <v>#VALUE!</v>
      </c>
      <c r="HK142" t="e">
        <f>AND(Bills!J554,"AAAAAE3+9to=")</f>
        <v>#VALUE!</v>
      </c>
      <c r="HL142" t="e">
        <f>AND(Bills!K554,"AAAAAE3+9ts=")</f>
        <v>#VALUE!</v>
      </c>
      <c r="HM142" t="e">
        <f>AND(Bills!L554,"AAAAAE3+9tw=")</f>
        <v>#VALUE!</v>
      </c>
      <c r="HN142" t="e">
        <f>AND(Bills!#REF!,"AAAAAE3+9t0=")</f>
        <v>#REF!</v>
      </c>
      <c r="HO142" t="e">
        <f>AND(Bills!M554,"AAAAAE3+9t4=")</f>
        <v>#VALUE!</v>
      </c>
      <c r="HP142" t="e">
        <f>AND(Bills!N554,"AAAAAE3+9t8=")</f>
        <v>#VALUE!</v>
      </c>
      <c r="HQ142" t="e">
        <f>AND(Bills!O554,"AAAAAE3+9uA=")</f>
        <v>#VALUE!</v>
      </c>
      <c r="HR142" t="e">
        <f>AND(Bills!P554,"AAAAAE3+9uE=")</f>
        <v>#VALUE!</v>
      </c>
      <c r="HS142" t="e">
        <f>AND(Bills!Q554,"AAAAAE3+9uI=")</f>
        <v>#VALUE!</v>
      </c>
      <c r="HT142" t="e">
        <f>AND(Bills!R554,"AAAAAE3+9uM=")</f>
        <v>#VALUE!</v>
      </c>
      <c r="HU142" t="e">
        <f>AND(Bills!S554,"AAAAAE3+9uQ=")</f>
        <v>#VALUE!</v>
      </c>
      <c r="HV142" t="e">
        <f>AND(Bills!T554,"AAAAAE3+9uU=")</f>
        <v>#VALUE!</v>
      </c>
      <c r="HW142" t="e">
        <f>AND(Bills!#REF!,"AAAAAE3+9uY=")</f>
        <v>#REF!</v>
      </c>
      <c r="HX142" t="e">
        <f>AND(Bills!U554,"AAAAAE3+9uc=")</f>
        <v>#VALUE!</v>
      </c>
      <c r="HY142" t="e">
        <f>AND(Bills!V554,"AAAAAE3+9ug=")</f>
        <v>#VALUE!</v>
      </c>
      <c r="HZ142" t="e">
        <f>AND(Bills!W554,"AAAAAE3+9uk=")</f>
        <v>#VALUE!</v>
      </c>
      <c r="IA142" t="e">
        <f>AND(Bills!#REF!,"AAAAAE3+9uo=")</f>
        <v>#REF!</v>
      </c>
      <c r="IB142" t="e">
        <f>AND(Bills!#REF!,"AAAAAE3+9us=")</f>
        <v>#REF!</v>
      </c>
      <c r="IC142" t="e">
        <f>AND(Bills!Y554,"AAAAAE3+9uw=")</f>
        <v>#VALUE!</v>
      </c>
      <c r="ID142" t="e">
        <f>AND(Bills!Z554,"AAAAAE3+9u0=")</f>
        <v>#VALUE!</v>
      </c>
      <c r="IE142" t="e">
        <f>AND(Bills!#REF!,"AAAAAE3+9u4=")</f>
        <v>#REF!</v>
      </c>
      <c r="IF142" t="e">
        <f>AND(Bills!#REF!,"AAAAAE3+9u8=")</f>
        <v>#REF!</v>
      </c>
      <c r="IG142" t="e">
        <f>AND(Bills!#REF!,"AAAAAE3+9vA=")</f>
        <v>#REF!</v>
      </c>
      <c r="IH142" t="e">
        <f>AND(Bills!#REF!,"AAAAAE3+9vE=")</f>
        <v>#REF!</v>
      </c>
      <c r="II142" t="e">
        <f>AND(Bills!#REF!,"AAAAAE3+9vI=")</f>
        <v>#REF!</v>
      </c>
      <c r="IJ142" t="e">
        <f>AND(Bills!#REF!,"AAAAAE3+9vM=")</f>
        <v>#REF!</v>
      </c>
      <c r="IK142" t="e">
        <f>AND(Bills!#REF!,"AAAAAE3+9vQ=")</f>
        <v>#REF!</v>
      </c>
      <c r="IL142" t="e">
        <f>AND(Bills!#REF!,"AAAAAE3+9vU=")</f>
        <v>#REF!</v>
      </c>
      <c r="IM142" t="e">
        <f>AND(Bills!#REF!,"AAAAAE3+9vY=")</f>
        <v>#REF!</v>
      </c>
      <c r="IN142" t="e">
        <f>AND(Bills!AA554,"AAAAAE3+9vc=")</f>
        <v>#VALUE!</v>
      </c>
      <c r="IO142" t="e">
        <f>AND(Bills!AB554,"AAAAAE3+9vg=")</f>
        <v>#VALUE!</v>
      </c>
      <c r="IP142" t="e">
        <f>AND(Bills!#REF!,"AAAAAE3+9vk=")</f>
        <v>#REF!</v>
      </c>
      <c r="IQ142" t="e">
        <f>AND(Bills!#REF!,"AAAAAE3+9vo=")</f>
        <v>#REF!</v>
      </c>
      <c r="IR142" t="e">
        <f>AND(Bills!#REF!,"AAAAAE3+9vs=")</f>
        <v>#REF!</v>
      </c>
      <c r="IS142" t="e">
        <f>AND(Bills!AC554,"AAAAAE3+9vw=")</f>
        <v>#VALUE!</v>
      </c>
      <c r="IT142" t="e">
        <f>AND(Bills!AD554,"AAAAAE3+9v0=")</f>
        <v>#VALUE!</v>
      </c>
      <c r="IU142" t="e">
        <f>AND(Bills!AE554,"AAAAAE3+9v4=")</f>
        <v>#VALUE!</v>
      </c>
      <c r="IV142">
        <f>IF(Bills!555:555,"AAAAAE3+9v8=",0)</f>
        <v>0</v>
      </c>
    </row>
    <row r="143" spans="1:256" x14ac:dyDescent="0.25">
      <c r="A143" t="e">
        <f>AND(Bills!B555,"AAAAADn7swA=")</f>
        <v>#VALUE!</v>
      </c>
      <c r="B143" t="e">
        <f>AND(Bills!#REF!,"AAAAADn7swE=")</f>
        <v>#REF!</v>
      </c>
      <c r="C143" t="e">
        <f>AND(Bills!C555,"AAAAADn7swI=")</f>
        <v>#VALUE!</v>
      </c>
      <c r="D143" t="e">
        <f>AND(Bills!D555,"AAAAADn7swM=")</f>
        <v>#VALUE!</v>
      </c>
      <c r="E143" t="e">
        <f>AND(Bills!E555,"AAAAADn7swQ=")</f>
        <v>#VALUE!</v>
      </c>
      <c r="F143" t="e">
        <f>AND(Bills!#REF!,"AAAAADn7swU=")</f>
        <v>#REF!</v>
      </c>
      <c r="G143" t="e">
        <f>AND(Bills!#REF!,"AAAAADn7swY=")</f>
        <v>#REF!</v>
      </c>
      <c r="H143" t="e">
        <f>AND(Bills!#REF!,"AAAAADn7swc=")</f>
        <v>#REF!</v>
      </c>
      <c r="I143" t="e">
        <f>AND(Bills!F555,"AAAAADn7swg=")</f>
        <v>#VALUE!</v>
      </c>
      <c r="J143" t="e">
        <f>AND(Bills!#REF!,"AAAAADn7swk=")</f>
        <v>#REF!</v>
      </c>
      <c r="K143" t="e">
        <f>AND(Bills!G555,"AAAAADn7swo=")</f>
        <v>#VALUE!</v>
      </c>
      <c r="L143" t="e">
        <f>AND(Bills!H555,"AAAAADn7sws=")</f>
        <v>#VALUE!</v>
      </c>
      <c r="M143" t="e">
        <f>AND(Bills!I555,"AAAAADn7sww=")</f>
        <v>#VALUE!</v>
      </c>
      <c r="N143" t="e">
        <f>AND(Bills!J555,"AAAAADn7sw0=")</f>
        <v>#VALUE!</v>
      </c>
      <c r="O143" t="e">
        <f>AND(Bills!K555,"AAAAADn7sw4=")</f>
        <v>#VALUE!</v>
      </c>
      <c r="P143" t="e">
        <f>AND(Bills!L555,"AAAAADn7sw8=")</f>
        <v>#VALUE!</v>
      </c>
      <c r="Q143" t="e">
        <f>AND(Bills!#REF!,"AAAAADn7sxA=")</f>
        <v>#REF!</v>
      </c>
      <c r="R143" t="e">
        <f>AND(Bills!M555,"AAAAADn7sxE=")</f>
        <v>#VALUE!</v>
      </c>
      <c r="S143" t="e">
        <f>AND(Bills!N555,"AAAAADn7sxI=")</f>
        <v>#VALUE!</v>
      </c>
      <c r="T143" t="e">
        <f>AND(Bills!O555,"AAAAADn7sxM=")</f>
        <v>#VALUE!</v>
      </c>
      <c r="U143" t="e">
        <f>AND(Bills!P555,"AAAAADn7sxQ=")</f>
        <v>#VALUE!</v>
      </c>
      <c r="V143" t="e">
        <f>AND(Bills!Q555,"AAAAADn7sxU=")</f>
        <v>#VALUE!</v>
      </c>
      <c r="W143" t="e">
        <f>AND(Bills!R555,"AAAAADn7sxY=")</f>
        <v>#VALUE!</v>
      </c>
      <c r="X143" t="e">
        <f>AND(Bills!S555,"AAAAADn7sxc=")</f>
        <v>#VALUE!</v>
      </c>
      <c r="Y143" t="e">
        <f>AND(Bills!T555,"AAAAADn7sxg=")</f>
        <v>#VALUE!</v>
      </c>
      <c r="Z143" t="e">
        <f>AND(Bills!#REF!,"AAAAADn7sxk=")</f>
        <v>#REF!</v>
      </c>
      <c r="AA143" t="e">
        <f>AND(Bills!U555,"AAAAADn7sxo=")</f>
        <v>#VALUE!</v>
      </c>
      <c r="AB143" t="e">
        <f>AND(Bills!V555,"AAAAADn7sxs=")</f>
        <v>#VALUE!</v>
      </c>
      <c r="AC143" t="e">
        <f>AND(Bills!W555,"AAAAADn7sxw=")</f>
        <v>#VALUE!</v>
      </c>
      <c r="AD143" t="e">
        <f>AND(Bills!#REF!,"AAAAADn7sx0=")</f>
        <v>#REF!</v>
      </c>
      <c r="AE143" t="e">
        <f>AND(Bills!#REF!,"AAAAADn7sx4=")</f>
        <v>#REF!</v>
      </c>
      <c r="AF143" t="e">
        <f>AND(Bills!Y555,"AAAAADn7sx8=")</f>
        <v>#VALUE!</v>
      </c>
      <c r="AG143" t="e">
        <f>AND(Bills!Z555,"AAAAADn7syA=")</f>
        <v>#VALUE!</v>
      </c>
      <c r="AH143" t="e">
        <f>AND(Bills!#REF!,"AAAAADn7syE=")</f>
        <v>#REF!</v>
      </c>
      <c r="AI143" t="e">
        <f>AND(Bills!#REF!,"AAAAADn7syI=")</f>
        <v>#REF!</v>
      </c>
      <c r="AJ143" t="e">
        <f>AND(Bills!#REF!,"AAAAADn7syM=")</f>
        <v>#REF!</v>
      </c>
      <c r="AK143" t="e">
        <f>AND(Bills!#REF!,"AAAAADn7syQ=")</f>
        <v>#REF!</v>
      </c>
      <c r="AL143" t="e">
        <f>AND(Bills!#REF!,"AAAAADn7syU=")</f>
        <v>#REF!</v>
      </c>
      <c r="AM143" t="e">
        <f>AND(Bills!#REF!,"AAAAADn7syY=")</f>
        <v>#REF!</v>
      </c>
      <c r="AN143" t="e">
        <f>AND(Bills!#REF!,"AAAAADn7syc=")</f>
        <v>#REF!</v>
      </c>
      <c r="AO143" t="e">
        <f>AND(Bills!#REF!,"AAAAADn7syg=")</f>
        <v>#REF!</v>
      </c>
      <c r="AP143" t="e">
        <f>AND(Bills!#REF!,"AAAAADn7syk=")</f>
        <v>#REF!</v>
      </c>
      <c r="AQ143" t="e">
        <f>AND(Bills!AA555,"AAAAADn7syo=")</f>
        <v>#VALUE!</v>
      </c>
      <c r="AR143" t="e">
        <f>AND(Bills!AB555,"AAAAADn7sys=")</f>
        <v>#VALUE!</v>
      </c>
      <c r="AS143" t="e">
        <f>AND(Bills!#REF!,"AAAAADn7syw=")</f>
        <v>#REF!</v>
      </c>
      <c r="AT143" t="e">
        <f>AND(Bills!#REF!,"AAAAADn7sy0=")</f>
        <v>#REF!</v>
      </c>
      <c r="AU143" t="e">
        <f>AND(Bills!#REF!,"AAAAADn7sy4=")</f>
        <v>#REF!</v>
      </c>
      <c r="AV143" t="e">
        <f>AND(Bills!AC555,"AAAAADn7sy8=")</f>
        <v>#VALUE!</v>
      </c>
      <c r="AW143" t="e">
        <f>AND(Bills!AD555,"AAAAADn7szA=")</f>
        <v>#VALUE!</v>
      </c>
      <c r="AX143" t="e">
        <f>AND(Bills!AE555,"AAAAADn7szE=")</f>
        <v>#VALUE!</v>
      </c>
      <c r="AY143">
        <f>IF(Bills!556:556,"AAAAADn7szI=",0)</f>
        <v>0</v>
      </c>
      <c r="AZ143" t="e">
        <f>AND(Bills!B556,"AAAAADn7szM=")</f>
        <v>#VALUE!</v>
      </c>
      <c r="BA143" t="e">
        <f>AND(Bills!#REF!,"AAAAADn7szQ=")</f>
        <v>#REF!</v>
      </c>
      <c r="BB143" t="e">
        <f>AND(Bills!C556,"AAAAADn7szU=")</f>
        <v>#VALUE!</v>
      </c>
      <c r="BC143" t="e">
        <f>AND(Bills!D556,"AAAAADn7szY=")</f>
        <v>#VALUE!</v>
      </c>
      <c r="BD143" t="e">
        <f>AND(Bills!E556,"AAAAADn7szc=")</f>
        <v>#VALUE!</v>
      </c>
      <c r="BE143" t="e">
        <f>AND(Bills!#REF!,"AAAAADn7szg=")</f>
        <v>#REF!</v>
      </c>
      <c r="BF143" t="e">
        <f>AND(Bills!#REF!,"AAAAADn7szk=")</f>
        <v>#REF!</v>
      </c>
      <c r="BG143" t="e">
        <f>AND(Bills!#REF!,"AAAAADn7szo=")</f>
        <v>#REF!</v>
      </c>
      <c r="BH143" t="e">
        <f>AND(Bills!F556,"AAAAADn7szs=")</f>
        <v>#VALUE!</v>
      </c>
      <c r="BI143" t="e">
        <f>AND(Bills!#REF!,"AAAAADn7szw=")</f>
        <v>#REF!</v>
      </c>
      <c r="BJ143" t="e">
        <f>AND(Bills!G556,"AAAAADn7sz0=")</f>
        <v>#VALUE!</v>
      </c>
      <c r="BK143" t="e">
        <f>AND(Bills!H556,"AAAAADn7sz4=")</f>
        <v>#VALUE!</v>
      </c>
      <c r="BL143" t="e">
        <f>AND(Bills!I556,"AAAAADn7sz8=")</f>
        <v>#VALUE!</v>
      </c>
      <c r="BM143" t="e">
        <f>AND(Bills!J556,"AAAAADn7s0A=")</f>
        <v>#VALUE!</v>
      </c>
      <c r="BN143" t="e">
        <f>AND(Bills!K556,"AAAAADn7s0E=")</f>
        <v>#VALUE!</v>
      </c>
      <c r="BO143" t="e">
        <f>AND(Bills!L556,"AAAAADn7s0I=")</f>
        <v>#VALUE!</v>
      </c>
      <c r="BP143" t="e">
        <f>AND(Bills!#REF!,"AAAAADn7s0M=")</f>
        <v>#REF!</v>
      </c>
      <c r="BQ143" t="e">
        <f>AND(Bills!M556,"AAAAADn7s0Q=")</f>
        <v>#VALUE!</v>
      </c>
      <c r="BR143" t="e">
        <f>AND(Bills!N556,"AAAAADn7s0U=")</f>
        <v>#VALUE!</v>
      </c>
      <c r="BS143" t="e">
        <f>AND(Bills!O556,"AAAAADn7s0Y=")</f>
        <v>#VALUE!</v>
      </c>
      <c r="BT143" t="e">
        <f>AND(Bills!P556,"AAAAADn7s0c=")</f>
        <v>#VALUE!</v>
      </c>
      <c r="BU143" t="e">
        <f>AND(Bills!Q556,"AAAAADn7s0g=")</f>
        <v>#VALUE!</v>
      </c>
      <c r="BV143" t="e">
        <f>AND(Bills!R556,"AAAAADn7s0k=")</f>
        <v>#VALUE!</v>
      </c>
      <c r="BW143" t="e">
        <f>AND(Bills!S556,"AAAAADn7s0o=")</f>
        <v>#VALUE!</v>
      </c>
      <c r="BX143" t="e">
        <f>AND(Bills!T556,"AAAAADn7s0s=")</f>
        <v>#VALUE!</v>
      </c>
      <c r="BY143" t="e">
        <f>AND(Bills!#REF!,"AAAAADn7s0w=")</f>
        <v>#REF!</v>
      </c>
      <c r="BZ143" t="e">
        <f>AND(Bills!U556,"AAAAADn7s00=")</f>
        <v>#VALUE!</v>
      </c>
      <c r="CA143" t="e">
        <f>AND(Bills!V556,"AAAAADn7s04=")</f>
        <v>#VALUE!</v>
      </c>
      <c r="CB143" t="e">
        <f>AND(Bills!W556,"AAAAADn7s08=")</f>
        <v>#VALUE!</v>
      </c>
      <c r="CC143" t="e">
        <f>AND(Bills!#REF!,"AAAAADn7s1A=")</f>
        <v>#REF!</v>
      </c>
      <c r="CD143" t="e">
        <f>AND(Bills!#REF!,"AAAAADn7s1E=")</f>
        <v>#REF!</v>
      </c>
      <c r="CE143" t="e">
        <f>AND(Bills!Y556,"AAAAADn7s1I=")</f>
        <v>#VALUE!</v>
      </c>
      <c r="CF143" t="e">
        <f>AND(Bills!Z556,"AAAAADn7s1M=")</f>
        <v>#VALUE!</v>
      </c>
      <c r="CG143" t="e">
        <f>AND(Bills!#REF!,"AAAAADn7s1Q=")</f>
        <v>#REF!</v>
      </c>
      <c r="CH143" t="e">
        <f>AND(Bills!#REF!,"AAAAADn7s1U=")</f>
        <v>#REF!</v>
      </c>
      <c r="CI143" t="e">
        <f>AND(Bills!#REF!,"AAAAADn7s1Y=")</f>
        <v>#REF!</v>
      </c>
      <c r="CJ143" t="e">
        <f>AND(Bills!#REF!,"AAAAADn7s1c=")</f>
        <v>#REF!</v>
      </c>
      <c r="CK143" t="e">
        <f>AND(Bills!#REF!,"AAAAADn7s1g=")</f>
        <v>#REF!</v>
      </c>
      <c r="CL143" t="e">
        <f>AND(Bills!#REF!,"AAAAADn7s1k=")</f>
        <v>#REF!</v>
      </c>
      <c r="CM143" t="e">
        <f>AND(Bills!#REF!,"AAAAADn7s1o=")</f>
        <v>#REF!</v>
      </c>
      <c r="CN143" t="e">
        <f>AND(Bills!#REF!,"AAAAADn7s1s=")</f>
        <v>#REF!</v>
      </c>
      <c r="CO143" t="e">
        <f>AND(Bills!#REF!,"AAAAADn7s1w=")</f>
        <v>#REF!</v>
      </c>
      <c r="CP143" t="e">
        <f>AND(Bills!AA556,"AAAAADn7s10=")</f>
        <v>#VALUE!</v>
      </c>
      <c r="CQ143" t="e">
        <f>AND(Bills!AB556,"AAAAADn7s14=")</f>
        <v>#VALUE!</v>
      </c>
      <c r="CR143" t="e">
        <f>AND(Bills!#REF!,"AAAAADn7s18=")</f>
        <v>#REF!</v>
      </c>
      <c r="CS143" t="e">
        <f>AND(Bills!#REF!,"AAAAADn7s2A=")</f>
        <v>#REF!</v>
      </c>
      <c r="CT143" t="e">
        <f>AND(Bills!#REF!,"AAAAADn7s2E=")</f>
        <v>#REF!</v>
      </c>
      <c r="CU143" t="e">
        <f>AND(Bills!AC556,"AAAAADn7s2I=")</f>
        <v>#VALUE!</v>
      </c>
      <c r="CV143" t="e">
        <f>AND(Bills!AD556,"AAAAADn7s2M=")</f>
        <v>#VALUE!</v>
      </c>
      <c r="CW143" t="e">
        <f>AND(Bills!AE556,"AAAAADn7s2Q=")</f>
        <v>#VALUE!</v>
      </c>
      <c r="CX143">
        <f>IF(Bills!557:557,"AAAAADn7s2U=",0)</f>
        <v>0</v>
      </c>
      <c r="CY143" t="e">
        <f>AND(Bills!B557,"AAAAADn7s2Y=")</f>
        <v>#VALUE!</v>
      </c>
      <c r="CZ143" t="e">
        <f>AND(Bills!#REF!,"AAAAADn7s2c=")</f>
        <v>#REF!</v>
      </c>
      <c r="DA143" t="e">
        <f>AND(Bills!C557,"AAAAADn7s2g=")</f>
        <v>#VALUE!</v>
      </c>
      <c r="DB143" t="e">
        <f>AND(Bills!D557,"AAAAADn7s2k=")</f>
        <v>#VALUE!</v>
      </c>
      <c r="DC143" t="e">
        <f>AND(Bills!E557,"AAAAADn7s2o=")</f>
        <v>#VALUE!</v>
      </c>
      <c r="DD143" t="e">
        <f>AND(Bills!#REF!,"AAAAADn7s2s=")</f>
        <v>#REF!</v>
      </c>
      <c r="DE143" t="e">
        <f>AND(Bills!#REF!,"AAAAADn7s2w=")</f>
        <v>#REF!</v>
      </c>
      <c r="DF143" t="e">
        <f>AND(Bills!#REF!,"AAAAADn7s20=")</f>
        <v>#REF!</v>
      </c>
      <c r="DG143" t="e">
        <f>AND(Bills!F557,"AAAAADn7s24=")</f>
        <v>#VALUE!</v>
      </c>
      <c r="DH143" t="e">
        <f>AND(Bills!#REF!,"AAAAADn7s28=")</f>
        <v>#REF!</v>
      </c>
      <c r="DI143" t="e">
        <f>AND(Bills!G557,"AAAAADn7s3A=")</f>
        <v>#VALUE!</v>
      </c>
      <c r="DJ143" t="e">
        <f>AND(Bills!H557,"AAAAADn7s3E=")</f>
        <v>#VALUE!</v>
      </c>
      <c r="DK143" t="e">
        <f>AND(Bills!I557,"AAAAADn7s3I=")</f>
        <v>#VALUE!</v>
      </c>
      <c r="DL143" t="e">
        <f>AND(Bills!J557,"AAAAADn7s3M=")</f>
        <v>#VALUE!</v>
      </c>
      <c r="DM143" t="e">
        <f>AND(Bills!K557,"AAAAADn7s3Q=")</f>
        <v>#VALUE!</v>
      </c>
      <c r="DN143" t="e">
        <f>AND(Bills!L557,"AAAAADn7s3U=")</f>
        <v>#VALUE!</v>
      </c>
      <c r="DO143" t="e">
        <f>AND(Bills!#REF!,"AAAAADn7s3Y=")</f>
        <v>#REF!</v>
      </c>
      <c r="DP143" t="e">
        <f>AND(Bills!M557,"AAAAADn7s3c=")</f>
        <v>#VALUE!</v>
      </c>
      <c r="DQ143" t="e">
        <f>AND(Bills!N557,"AAAAADn7s3g=")</f>
        <v>#VALUE!</v>
      </c>
      <c r="DR143" t="e">
        <f>AND(Bills!O557,"AAAAADn7s3k=")</f>
        <v>#VALUE!</v>
      </c>
      <c r="DS143" t="e">
        <f>AND(Bills!P557,"AAAAADn7s3o=")</f>
        <v>#VALUE!</v>
      </c>
      <c r="DT143" t="e">
        <f>AND(Bills!Q557,"AAAAADn7s3s=")</f>
        <v>#VALUE!</v>
      </c>
      <c r="DU143" t="e">
        <f>AND(Bills!R557,"AAAAADn7s3w=")</f>
        <v>#VALUE!</v>
      </c>
      <c r="DV143" t="e">
        <f>AND(Bills!S557,"AAAAADn7s30=")</f>
        <v>#VALUE!</v>
      </c>
      <c r="DW143" t="e">
        <f>AND(Bills!T557,"AAAAADn7s34=")</f>
        <v>#VALUE!</v>
      </c>
      <c r="DX143" t="e">
        <f>AND(Bills!#REF!,"AAAAADn7s38=")</f>
        <v>#REF!</v>
      </c>
      <c r="DY143" t="e">
        <f>AND(Bills!U557,"AAAAADn7s4A=")</f>
        <v>#VALUE!</v>
      </c>
      <c r="DZ143" t="e">
        <f>AND(Bills!V557,"AAAAADn7s4E=")</f>
        <v>#VALUE!</v>
      </c>
      <c r="EA143" t="e">
        <f>AND(Bills!W557,"AAAAADn7s4I=")</f>
        <v>#VALUE!</v>
      </c>
      <c r="EB143" t="e">
        <f>AND(Bills!#REF!,"AAAAADn7s4M=")</f>
        <v>#REF!</v>
      </c>
      <c r="EC143" t="e">
        <f>AND(Bills!#REF!,"AAAAADn7s4Q=")</f>
        <v>#REF!</v>
      </c>
      <c r="ED143" t="e">
        <f>AND(Bills!Y557,"AAAAADn7s4U=")</f>
        <v>#VALUE!</v>
      </c>
      <c r="EE143" t="e">
        <f>AND(Bills!Z557,"AAAAADn7s4Y=")</f>
        <v>#VALUE!</v>
      </c>
      <c r="EF143" t="e">
        <f>AND(Bills!#REF!,"AAAAADn7s4c=")</f>
        <v>#REF!</v>
      </c>
      <c r="EG143" t="e">
        <f>AND(Bills!#REF!,"AAAAADn7s4g=")</f>
        <v>#REF!</v>
      </c>
      <c r="EH143" t="e">
        <f>AND(Bills!#REF!,"AAAAADn7s4k=")</f>
        <v>#REF!</v>
      </c>
      <c r="EI143" t="e">
        <f>AND(Bills!#REF!,"AAAAADn7s4o=")</f>
        <v>#REF!</v>
      </c>
      <c r="EJ143" t="e">
        <f>AND(Bills!#REF!,"AAAAADn7s4s=")</f>
        <v>#REF!</v>
      </c>
      <c r="EK143" t="e">
        <f>AND(Bills!#REF!,"AAAAADn7s4w=")</f>
        <v>#REF!</v>
      </c>
      <c r="EL143" t="e">
        <f>AND(Bills!#REF!,"AAAAADn7s40=")</f>
        <v>#REF!</v>
      </c>
      <c r="EM143" t="e">
        <f>AND(Bills!#REF!,"AAAAADn7s44=")</f>
        <v>#REF!</v>
      </c>
      <c r="EN143" t="e">
        <f>AND(Bills!#REF!,"AAAAADn7s48=")</f>
        <v>#REF!</v>
      </c>
      <c r="EO143" t="e">
        <f>AND(Bills!AA557,"AAAAADn7s5A=")</f>
        <v>#VALUE!</v>
      </c>
      <c r="EP143" t="e">
        <f>AND(Bills!AB557,"AAAAADn7s5E=")</f>
        <v>#VALUE!</v>
      </c>
      <c r="EQ143" t="e">
        <f>AND(Bills!#REF!,"AAAAADn7s5I=")</f>
        <v>#REF!</v>
      </c>
      <c r="ER143" t="e">
        <f>AND(Bills!#REF!,"AAAAADn7s5M=")</f>
        <v>#REF!</v>
      </c>
      <c r="ES143" t="e">
        <f>AND(Bills!#REF!,"AAAAADn7s5Q=")</f>
        <v>#REF!</v>
      </c>
      <c r="ET143" t="e">
        <f>AND(Bills!AC557,"AAAAADn7s5U=")</f>
        <v>#VALUE!</v>
      </c>
      <c r="EU143" t="e">
        <f>AND(Bills!AD557,"AAAAADn7s5Y=")</f>
        <v>#VALUE!</v>
      </c>
      <c r="EV143" t="e">
        <f>AND(Bills!AE557,"AAAAADn7s5c=")</f>
        <v>#VALUE!</v>
      </c>
      <c r="EW143">
        <f>IF(Bills!558:558,"AAAAADn7s5g=",0)</f>
        <v>0</v>
      </c>
      <c r="EX143" t="e">
        <f>AND(Bills!B558,"AAAAADn7s5k=")</f>
        <v>#VALUE!</v>
      </c>
      <c r="EY143" t="e">
        <f>AND(Bills!#REF!,"AAAAADn7s5o=")</f>
        <v>#REF!</v>
      </c>
      <c r="EZ143" t="e">
        <f>AND(Bills!C558,"AAAAADn7s5s=")</f>
        <v>#VALUE!</v>
      </c>
      <c r="FA143" t="e">
        <f>AND(Bills!D558,"AAAAADn7s5w=")</f>
        <v>#VALUE!</v>
      </c>
      <c r="FB143" t="e">
        <f>AND(Bills!E558,"AAAAADn7s50=")</f>
        <v>#VALUE!</v>
      </c>
      <c r="FC143" t="e">
        <f>AND(Bills!#REF!,"AAAAADn7s54=")</f>
        <v>#REF!</v>
      </c>
      <c r="FD143" t="e">
        <f>AND(Bills!#REF!,"AAAAADn7s58=")</f>
        <v>#REF!</v>
      </c>
      <c r="FE143" t="e">
        <f>AND(Bills!#REF!,"AAAAADn7s6A=")</f>
        <v>#REF!</v>
      </c>
      <c r="FF143" t="e">
        <f>AND(Bills!F558,"AAAAADn7s6E=")</f>
        <v>#VALUE!</v>
      </c>
      <c r="FG143" t="e">
        <f>AND(Bills!#REF!,"AAAAADn7s6I=")</f>
        <v>#REF!</v>
      </c>
      <c r="FH143" t="e">
        <f>AND(Bills!G558,"AAAAADn7s6M=")</f>
        <v>#VALUE!</v>
      </c>
      <c r="FI143" t="e">
        <f>AND(Bills!H558,"AAAAADn7s6Q=")</f>
        <v>#VALUE!</v>
      </c>
      <c r="FJ143" t="e">
        <f>AND(Bills!I558,"AAAAADn7s6U=")</f>
        <v>#VALUE!</v>
      </c>
      <c r="FK143" t="e">
        <f>AND(Bills!J558,"AAAAADn7s6Y=")</f>
        <v>#VALUE!</v>
      </c>
      <c r="FL143" t="e">
        <f>AND(Bills!K558,"AAAAADn7s6c=")</f>
        <v>#VALUE!</v>
      </c>
      <c r="FM143" t="e">
        <f>AND(Bills!L558,"AAAAADn7s6g=")</f>
        <v>#VALUE!</v>
      </c>
      <c r="FN143" t="e">
        <f>AND(Bills!#REF!,"AAAAADn7s6k=")</f>
        <v>#REF!</v>
      </c>
      <c r="FO143" t="e">
        <f>AND(Bills!M558,"AAAAADn7s6o=")</f>
        <v>#VALUE!</v>
      </c>
      <c r="FP143" t="e">
        <f>AND(Bills!N558,"AAAAADn7s6s=")</f>
        <v>#VALUE!</v>
      </c>
      <c r="FQ143" t="e">
        <f>AND(Bills!O558,"AAAAADn7s6w=")</f>
        <v>#VALUE!</v>
      </c>
      <c r="FR143" t="e">
        <f>AND(Bills!P558,"AAAAADn7s60=")</f>
        <v>#VALUE!</v>
      </c>
      <c r="FS143" t="e">
        <f>AND(Bills!Q558,"AAAAADn7s64=")</f>
        <v>#VALUE!</v>
      </c>
      <c r="FT143" t="e">
        <f>AND(Bills!R558,"AAAAADn7s68=")</f>
        <v>#VALUE!</v>
      </c>
      <c r="FU143" t="e">
        <f>AND(Bills!S558,"AAAAADn7s7A=")</f>
        <v>#VALUE!</v>
      </c>
      <c r="FV143" t="e">
        <f>AND(Bills!T558,"AAAAADn7s7E=")</f>
        <v>#VALUE!</v>
      </c>
      <c r="FW143" t="e">
        <f>AND(Bills!#REF!,"AAAAADn7s7I=")</f>
        <v>#REF!</v>
      </c>
      <c r="FX143" t="e">
        <f>AND(Bills!U558,"AAAAADn7s7M=")</f>
        <v>#VALUE!</v>
      </c>
      <c r="FY143" t="e">
        <f>AND(Bills!V558,"AAAAADn7s7Q=")</f>
        <v>#VALUE!</v>
      </c>
      <c r="FZ143" t="e">
        <f>AND(Bills!W558,"AAAAADn7s7U=")</f>
        <v>#VALUE!</v>
      </c>
      <c r="GA143" t="e">
        <f>AND(Bills!#REF!,"AAAAADn7s7Y=")</f>
        <v>#REF!</v>
      </c>
      <c r="GB143" t="e">
        <f>AND(Bills!#REF!,"AAAAADn7s7c=")</f>
        <v>#REF!</v>
      </c>
      <c r="GC143" t="e">
        <f>AND(Bills!Y558,"AAAAADn7s7g=")</f>
        <v>#VALUE!</v>
      </c>
      <c r="GD143" t="e">
        <f>AND(Bills!Z558,"AAAAADn7s7k=")</f>
        <v>#VALUE!</v>
      </c>
      <c r="GE143" t="e">
        <f>AND(Bills!#REF!,"AAAAADn7s7o=")</f>
        <v>#REF!</v>
      </c>
      <c r="GF143" t="e">
        <f>AND(Bills!#REF!,"AAAAADn7s7s=")</f>
        <v>#REF!</v>
      </c>
      <c r="GG143" t="e">
        <f>AND(Bills!#REF!,"AAAAADn7s7w=")</f>
        <v>#REF!</v>
      </c>
      <c r="GH143" t="e">
        <f>AND(Bills!#REF!,"AAAAADn7s70=")</f>
        <v>#REF!</v>
      </c>
      <c r="GI143" t="e">
        <f>AND(Bills!#REF!,"AAAAADn7s74=")</f>
        <v>#REF!</v>
      </c>
      <c r="GJ143" t="e">
        <f>AND(Bills!#REF!,"AAAAADn7s78=")</f>
        <v>#REF!</v>
      </c>
      <c r="GK143" t="e">
        <f>AND(Bills!#REF!,"AAAAADn7s8A=")</f>
        <v>#REF!</v>
      </c>
      <c r="GL143" t="e">
        <f>AND(Bills!#REF!,"AAAAADn7s8E=")</f>
        <v>#REF!</v>
      </c>
      <c r="GM143" t="e">
        <f>AND(Bills!#REF!,"AAAAADn7s8I=")</f>
        <v>#REF!</v>
      </c>
      <c r="GN143" t="e">
        <f>AND(Bills!AA558,"AAAAADn7s8M=")</f>
        <v>#VALUE!</v>
      </c>
      <c r="GO143" t="e">
        <f>AND(Bills!AB558,"AAAAADn7s8Q=")</f>
        <v>#VALUE!</v>
      </c>
      <c r="GP143" t="e">
        <f>AND(Bills!#REF!,"AAAAADn7s8U=")</f>
        <v>#REF!</v>
      </c>
      <c r="GQ143" t="e">
        <f>AND(Bills!#REF!,"AAAAADn7s8Y=")</f>
        <v>#REF!</v>
      </c>
      <c r="GR143" t="e">
        <f>AND(Bills!#REF!,"AAAAADn7s8c=")</f>
        <v>#REF!</v>
      </c>
      <c r="GS143" t="e">
        <f>AND(Bills!AC558,"AAAAADn7s8g=")</f>
        <v>#VALUE!</v>
      </c>
      <c r="GT143" t="e">
        <f>AND(Bills!AD558,"AAAAADn7s8k=")</f>
        <v>#VALUE!</v>
      </c>
      <c r="GU143" t="e">
        <f>AND(Bills!AE558,"AAAAADn7s8o=")</f>
        <v>#VALUE!</v>
      </c>
      <c r="GV143">
        <f>IF(Bills!559:559,"AAAAADn7s8s=",0)</f>
        <v>0</v>
      </c>
      <c r="GW143" t="e">
        <f>AND(Bills!B559,"AAAAADn7s8w=")</f>
        <v>#VALUE!</v>
      </c>
      <c r="GX143" t="e">
        <f>AND(Bills!#REF!,"AAAAADn7s80=")</f>
        <v>#REF!</v>
      </c>
      <c r="GY143" t="e">
        <f>AND(Bills!C559,"AAAAADn7s84=")</f>
        <v>#VALUE!</v>
      </c>
      <c r="GZ143" t="e">
        <f>AND(Bills!D559,"AAAAADn7s88=")</f>
        <v>#VALUE!</v>
      </c>
      <c r="HA143" t="e">
        <f>AND(Bills!E559,"AAAAADn7s9A=")</f>
        <v>#VALUE!</v>
      </c>
      <c r="HB143" t="e">
        <f>AND(Bills!#REF!,"AAAAADn7s9E=")</f>
        <v>#REF!</v>
      </c>
      <c r="HC143" t="e">
        <f>AND(Bills!#REF!,"AAAAADn7s9I=")</f>
        <v>#REF!</v>
      </c>
      <c r="HD143" t="e">
        <f>AND(Bills!#REF!,"AAAAADn7s9M=")</f>
        <v>#REF!</v>
      </c>
      <c r="HE143" t="e">
        <f>AND(Bills!F559,"AAAAADn7s9Q=")</f>
        <v>#VALUE!</v>
      </c>
      <c r="HF143" t="e">
        <f>AND(Bills!#REF!,"AAAAADn7s9U=")</f>
        <v>#REF!</v>
      </c>
      <c r="HG143" t="e">
        <f>AND(Bills!G559,"AAAAADn7s9Y=")</f>
        <v>#VALUE!</v>
      </c>
      <c r="HH143" t="e">
        <f>AND(Bills!H559,"AAAAADn7s9c=")</f>
        <v>#VALUE!</v>
      </c>
      <c r="HI143" t="e">
        <f>AND(Bills!I559,"AAAAADn7s9g=")</f>
        <v>#VALUE!</v>
      </c>
      <c r="HJ143" t="e">
        <f>AND(Bills!J559,"AAAAADn7s9k=")</f>
        <v>#VALUE!</v>
      </c>
      <c r="HK143" t="e">
        <f>AND(Bills!K559,"AAAAADn7s9o=")</f>
        <v>#VALUE!</v>
      </c>
      <c r="HL143" t="e">
        <f>AND(Bills!L559,"AAAAADn7s9s=")</f>
        <v>#VALUE!</v>
      </c>
      <c r="HM143" t="e">
        <f>AND(Bills!#REF!,"AAAAADn7s9w=")</f>
        <v>#REF!</v>
      </c>
      <c r="HN143" t="e">
        <f>AND(Bills!M559,"AAAAADn7s90=")</f>
        <v>#VALUE!</v>
      </c>
      <c r="HO143" t="e">
        <f>AND(Bills!N559,"AAAAADn7s94=")</f>
        <v>#VALUE!</v>
      </c>
      <c r="HP143" t="e">
        <f>AND(Bills!O559,"AAAAADn7s98=")</f>
        <v>#VALUE!</v>
      </c>
      <c r="HQ143" t="e">
        <f>AND(Bills!P559,"AAAAADn7s+A=")</f>
        <v>#VALUE!</v>
      </c>
      <c r="HR143" t="e">
        <f>AND(Bills!Q559,"AAAAADn7s+E=")</f>
        <v>#VALUE!</v>
      </c>
      <c r="HS143" t="e">
        <f>AND(Bills!R559,"AAAAADn7s+I=")</f>
        <v>#VALUE!</v>
      </c>
      <c r="HT143" t="e">
        <f>AND(Bills!S559,"AAAAADn7s+M=")</f>
        <v>#VALUE!</v>
      </c>
      <c r="HU143" t="e">
        <f>AND(Bills!T559,"AAAAADn7s+Q=")</f>
        <v>#VALUE!</v>
      </c>
      <c r="HV143" t="e">
        <f>AND(Bills!#REF!,"AAAAADn7s+U=")</f>
        <v>#REF!</v>
      </c>
      <c r="HW143" t="e">
        <f>AND(Bills!U559,"AAAAADn7s+Y=")</f>
        <v>#VALUE!</v>
      </c>
      <c r="HX143" t="e">
        <f>AND(Bills!V559,"AAAAADn7s+c=")</f>
        <v>#VALUE!</v>
      </c>
      <c r="HY143" t="e">
        <f>AND(Bills!W559,"AAAAADn7s+g=")</f>
        <v>#VALUE!</v>
      </c>
      <c r="HZ143" t="e">
        <f>AND(Bills!#REF!,"AAAAADn7s+k=")</f>
        <v>#REF!</v>
      </c>
      <c r="IA143" t="e">
        <f>AND(Bills!#REF!,"AAAAADn7s+o=")</f>
        <v>#REF!</v>
      </c>
      <c r="IB143" t="e">
        <f>AND(Bills!Y559,"AAAAADn7s+s=")</f>
        <v>#VALUE!</v>
      </c>
      <c r="IC143" t="e">
        <f>AND(Bills!Z559,"AAAAADn7s+w=")</f>
        <v>#VALUE!</v>
      </c>
      <c r="ID143" t="e">
        <f>AND(Bills!#REF!,"AAAAADn7s+0=")</f>
        <v>#REF!</v>
      </c>
      <c r="IE143" t="e">
        <f>AND(Bills!#REF!,"AAAAADn7s+4=")</f>
        <v>#REF!</v>
      </c>
      <c r="IF143" t="e">
        <f>AND(Bills!#REF!,"AAAAADn7s+8=")</f>
        <v>#REF!</v>
      </c>
      <c r="IG143" t="e">
        <f>AND(Bills!#REF!,"AAAAADn7s/A=")</f>
        <v>#REF!</v>
      </c>
      <c r="IH143" t="e">
        <f>AND(Bills!#REF!,"AAAAADn7s/E=")</f>
        <v>#REF!</v>
      </c>
      <c r="II143" t="e">
        <f>AND(Bills!#REF!,"AAAAADn7s/I=")</f>
        <v>#REF!</v>
      </c>
      <c r="IJ143" t="e">
        <f>AND(Bills!#REF!,"AAAAADn7s/M=")</f>
        <v>#REF!</v>
      </c>
      <c r="IK143" t="e">
        <f>AND(Bills!#REF!,"AAAAADn7s/Q=")</f>
        <v>#REF!</v>
      </c>
      <c r="IL143" t="e">
        <f>AND(Bills!#REF!,"AAAAADn7s/U=")</f>
        <v>#REF!</v>
      </c>
      <c r="IM143" t="e">
        <f>AND(Bills!AA559,"AAAAADn7s/Y=")</f>
        <v>#VALUE!</v>
      </c>
      <c r="IN143" t="e">
        <f>AND(Bills!AB559,"AAAAADn7s/c=")</f>
        <v>#VALUE!</v>
      </c>
      <c r="IO143" t="e">
        <f>AND(Bills!#REF!,"AAAAADn7s/g=")</f>
        <v>#REF!</v>
      </c>
      <c r="IP143" t="e">
        <f>AND(Bills!#REF!,"AAAAADn7s/k=")</f>
        <v>#REF!</v>
      </c>
      <c r="IQ143" t="e">
        <f>AND(Bills!#REF!,"AAAAADn7s/o=")</f>
        <v>#REF!</v>
      </c>
      <c r="IR143" t="e">
        <f>AND(Bills!AC559,"AAAAADn7s/s=")</f>
        <v>#VALUE!</v>
      </c>
      <c r="IS143" t="e">
        <f>AND(Bills!AD559,"AAAAADn7s/w=")</f>
        <v>#VALUE!</v>
      </c>
      <c r="IT143" t="e">
        <f>AND(Bills!AE559,"AAAAADn7s/0=")</f>
        <v>#VALUE!</v>
      </c>
      <c r="IU143">
        <f>IF(Bills!560:560,"AAAAADn7s/4=",0)</f>
        <v>0</v>
      </c>
      <c r="IV143" t="e">
        <f>AND(Bills!B560,"AAAAADn7s/8=")</f>
        <v>#VALUE!</v>
      </c>
    </row>
    <row r="144" spans="1:256" x14ac:dyDescent="0.25">
      <c r="A144" t="e">
        <f>AND(Bills!#REF!,"AAAAAE7PjgA=")</f>
        <v>#REF!</v>
      </c>
      <c r="B144" t="e">
        <f>AND(Bills!C560,"AAAAAE7PjgE=")</f>
        <v>#VALUE!</v>
      </c>
      <c r="C144" t="e">
        <f>AND(Bills!D560,"AAAAAE7PjgI=")</f>
        <v>#VALUE!</v>
      </c>
      <c r="D144" t="e">
        <f>AND(Bills!E560,"AAAAAE7PjgM=")</f>
        <v>#VALUE!</v>
      </c>
      <c r="E144" t="e">
        <f>AND(Bills!#REF!,"AAAAAE7PjgQ=")</f>
        <v>#REF!</v>
      </c>
      <c r="F144" t="e">
        <f>AND(Bills!#REF!,"AAAAAE7PjgU=")</f>
        <v>#REF!</v>
      </c>
      <c r="G144" t="e">
        <f>AND(Bills!#REF!,"AAAAAE7PjgY=")</f>
        <v>#REF!</v>
      </c>
      <c r="H144" t="e">
        <f>AND(Bills!F560,"AAAAAE7Pjgc=")</f>
        <v>#VALUE!</v>
      </c>
      <c r="I144" t="e">
        <f>AND(Bills!#REF!,"AAAAAE7Pjgg=")</f>
        <v>#REF!</v>
      </c>
      <c r="J144" t="e">
        <f>AND(Bills!G560,"AAAAAE7Pjgk=")</f>
        <v>#VALUE!</v>
      </c>
      <c r="K144" t="e">
        <f>AND(Bills!H560,"AAAAAE7Pjgo=")</f>
        <v>#VALUE!</v>
      </c>
      <c r="L144" t="e">
        <f>AND(Bills!I560,"AAAAAE7Pjgs=")</f>
        <v>#VALUE!</v>
      </c>
      <c r="M144" t="e">
        <f>AND(Bills!J560,"AAAAAE7Pjgw=")</f>
        <v>#VALUE!</v>
      </c>
      <c r="N144" t="e">
        <f>AND(Bills!K560,"AAAAAE7Pjg0=")</f>
        <v>#VALUE!</v>
      </c>
      <c r="O144" t="e">
        <f>AND(Bills!L560,"AAAAAE7Pjg4=")</f>
        <v>#VALUE!</v>
      </c>
      <c r="P144" t="e">
        <f>AND(Bills!#REF!,"AAAAAE7Pjg8=")</f>
        <v>#REF!</v>
      </c>
      <c r="Q144" t="e">
        <f>AND(Bills!M560,"AAAAAE7PjhA=")</f>
        <v>#VALUE!</v>
      </c>
      <c r="R144" t="e">
        <f>AND(Bills!N560,"AAAAAE7PjhE=")</f>
        <v>#VALUE!</v>
      </c>
      <c r="S144" t="e">
        <f>AND(Bills!O560,"AAAAAE7PjhI=")</f>
        <v>#VALUE!</v>
      </c>
      <c r="T144" t="e">
        <f>AND(Bills!P560,"AAAAAE7PjhM=")</f>
        <v>#VALUE!</v>
      </c>
      <c r="U144" t="e">
        <f>AND(Bills!Q560,"AAAAAE7PjhQ=")</f>
        <v>#VALUE!</v>
      </c>
      <c r="V144" t="e">
        <f>AND(Bills!R560,"AAAAAE7PjhU=")</f>
        <v>#VALUE!</v>
      </c>
      <c r="W144" t="e">
        <f>AND(Bills!S560,"AAAAAE7PjhY=")</f>
        <v>#VALUE!</v>
      </c>
      <c r="X144" t="e">
        <f>AND(Bills!T560,"AAAAAE7Pjhc=")</f>
        <v>#VALUE!</v>
      </c>
      <c r="Y144" t="e">
        <f>AND(Bills!#REF!,"AAAAAE7Pjhg=")</f>
        <v>#REF!</v>
      </c>
      <c r="Z144" t="e">
        <f>AND(Bills!U560,"AAAAAE7Pjhk=")</f>
        <v>#VALUE!</v>
      </c>
      <c r="AA144" t="e">
        <f>AND(Bills!V560,"AAAAAE7Pjho=")</f>
        <v>#VALUE!</v>
      </c>
      <c r="AB144" t="e">
        <f>AND(Bills!W560,"AAAAAE7Pjhs=")</f>
        <v>#VALUE!</v>
      </c>
      <c r="AC144" t="e">
        <f>AND(Bills!#REF!,"AAAAAE7Pjhw=")</f>
        <v>#REF!</v>
      </c>
      <c r="AD144" t="e">
        <f>AND(Bills!#REF!,"AAAAAE7Pjh0=")</f>
        <v>#REF!</v>
      </c>
      <c r="AE144" t="e">
        <f>AND(Bills!Y560,"AAAAAE7Pjh4=")</f>
        <v>#VALUE!</v>
      </c>
      <c r="AF144" t="e">
        <f>AND(Bills!Z560,"AAAAAE7Pjh8=")</f>
        <v>#VALUE!</v>
      </c>
      <c r="AG144" t="e">
        <f>AND(Bills!#REF!,"AAAAAE7PjiA=")</f>
        <v>#REF!</v>
      </c>
      <c r="AH144" t="e">
        <f>AND(Bills!#REF!,"AAAAAE7PjiE=")</f>
        <v>#REF!</v>
      </c>
      <c r="AI144" t="e">
        <f>AND(Bills!#REF!,"AAAAAE7PjiI=")</f>
        <v>#REF!</v>
      </c>
      <c r="AJ144" t="e">
        <f>AND(Bills!#REF!,"AAAAAE7PjiM=")</f>
        <v>#REF!</v>
      </c>
      <c r="AK144" t="e">
        <f>AND(Bills!#REF!,"AAAAAE7PjiQ=")</f>
        <v>#REF!</v>
      </c>
      <c r="AL144" t="e">
        <f>AND(Bills!#REF!,"AAAAAE7PjiU=")</f>
        <v>#REF!</v>
      </c>
      <c r="AM144" t="e">
        <f>AND(Bills!#REF!,"AAAAAE7PjiY=")</f>
        <v>#REF!</v>
      </c>
      <c r="AN144" t="e">
        <f>AND(Bills!#REF!,"AAAAAE7Pjic=")</f>
        <v>#REF!</v>
      </c>
      <c r="AO144" t="e">
        <f>AND(Bills!#REF!,"AAAAAE7Pjig=")</f>
        <v>#REF!</v>
      </c>
      <c r="AP144" t="e">
        <f>AND(Bills!AA560,"AAAAAE7Pjik=")</f>
        <v>#VALUE!</v>
      </c>
      <c r="AQ144" t="e">
        <f>AND(Bills!AB560,"AAAAAE7Pjio=")</f>
        <v>#VALUE!</v>
      </c>
      <c r="AR144" t="e">
        <f>AND(Bills!#REF!,"AAAAAE7Pjis=")</f>
        <v>#REF!</v>
      </c>
      <c r="AS144" t="e">
        <f>AND(Bills!#REF!,"AAAAAE7Pjiw=")</f>
        <v>#REF!</v>
      </c>
      <c r="AT144" t="e">
        <f>AND(Bills!#REF!,"AAAAAE7Pji0=")</f>
        <v>#REF!</v>
      </c>
      <c r="AU144" t="e">
        <f>AND(Bills!AC560,"AAAAAE7Pji4=")</f>
        <v>#VALUE!</v>
      </c>
      <c r="AV144" t="e">
        <f>AND(Bills!AD560,"AAAAAE7Pji8=")</f>
        <v>#VALUE!</v>
      </c>
      <c r="AW144" t="e">
        <f>AND(Bills!AE560,"AAAAAE7PjjA=")</f>
        <v>#VALUE!</v>
      </c>
      <c r="AX144">
        <f>IF(Bills!561:561,"AAAAAE7PjjE=",0)</f>
        <v>0</v>
      </c>
      <c r="AY144" t="e">
        <f>AND(Bills!B561,"AAAAAE7PjjI=")</f>
        <v>#VALUE!</v>
      </c>
      <c r="AZ144" t="e">
        <f>AND(Bills!#REF!,"AAAAAE7PjjM=")</f>
        <v>#REF!</v>
      </c>
      <c r="BA144" t="e">
        <f>AND(Bills!C561,"AAAAAE7PjjQ=")</f>
        <v>#VALUE!</v>
      </c>
      <c r="BB144" t="e">
        <f>AND(Bills!D561,"AAAAAE7PjjU=")</f>
        <v>#VALUE!</v>
      </c>
      <c r="BC144" t="e">
        <f>AND(Bills!E561,"AAAAAE7PjjY=")</f>
        <v>#VALUE!</v>
      </c>
      <c r="BD144" t="e">
        <f>AND(Bills!#REF!,"AAAAAE7Pjjc=")</f>
        <v>#REF!</v>
      </c>
      <c r="BE144" t="e">
        <f>AND(Bills!#REF!,"AAAAAE7Pjjg=")</f>
        <v>#REF!</v>
      </c>
      <c r="BF144" t="e">
        <f>AND(Bills!#REF!,"AAAAAE7Pjjk=")</f>
        <v>#REF!</v>
      </c>
      <c r="BG144" t="e">
        <f>AND(Bills!F561,"AAAAAE7Pjjo=")</f>
        <v>#VALUE!</v>
      </c>
      <c r="BH144" t="e">
        <f>AND(Bills!#REF!,"AAAAAE7Pjjs=")</f>
        <v>#REF!</v>
      </c>
      <c r="BI144" t="e">
        <f>AND(Bills!G561,"AAAAAE7Pjjw=")</f>
        <v>#VALUE!</v>
      </c>
      <c r="BJ144" t="e">
        <f>AND(Bills!H561,"AAAAAE7Pjj0=")</f>
        <v>#VALUE!</v>
      </c>
      <c r="BK144" t="e">
        <f>AND(Bills!I561,"AAAAAE7Pjj4=")</f>
        <v>#VALUE!</v>
      </c>
      <c r="BL144" t="e">
        <f>AND(Bills!J561,"AAAAAE7Pjj8=")</f>
        <v>#VALUE!</v>
      </c>
      <c r="BM144" t="e">
        <f>AND(Bills!K561,"AAAAAE7PjkA=")</f>
        <v>#VALUE!</v>
      </c>
      <c r="BN144" t="e">
        <f>AND(Bills!L561,"AAAAAE7PjkE=")</f>
        <v>#VALUE!</v>
      </c>
      <c r="BO144" t="e">
        <f>AND(Bills!#REF!,"AAAAAE7PjkI=")</f>
        <v>#REF!</v>
      </c>
      <c r="BP144" t="e">
        <f>AND(Bills!M561,"AAAAAE7PjkM=")</f>
        <v>#VALUE!</v>
      </c>
      <c r="BQ144" t="e">
        <f>AND(Bills!N561,"AAAAAE7PjkQ=")</f>
        <v>#VALUE!</v>
      </c>
      <c r="BR144" t="e">
        <f>AND(Bills!O561,"AAAAAE7PjkU=")</f>
        <v>#VALUE!</v>
      </c>
      <c r="BS144" t="e">
        <f>AND(Bills!P561,"AAAAAE7PjkY=")</f>
        <v>#VALUE!</v>
      </c>
      <c r="BT144" t="e">
        <f>AND(Bills!Q561,"AAAAAE7Pjkc=")</f>
        <v>#VALUE!</v>
      </c>
      <c r="BU144" t="e">
        <f>AND(Bills!R561,"AAAAAE7Pjkg=")</f>
        <v>#VALUE!</v>
      </c>
      <c r="BV144" t="e">
        <f>AND(Bills!S561,"AAAAAE7Pjkk=")</f>
        <v>#VALUE!</v>
      </c>
      <c r="BW144" t="e">
        <f>AND(Bills!T561,"AAAAAE7Pjko=")</f>
        <v>#VALUE!</v>
      </c>
      <c r="BX144" t="e">
        <f>AND(Bills!#REF!,"AAAAAE7Pjks=")</f>
        <v>#REF!</v>
      </c>
      <c r="BY144" t="e">
        <f>AND(Bills!U561,"AAAAAE7Pjkw=")</f>
        <v>#VALUE!</v>
      </c>
      <c r="BZ144" t="e">
        <f>AND(Bills!V561,"AAAAAE7Pjk0=")</f>
        <v>#VALUE!</v>
      </c>
      <c r="CA144" t="e">
        <f>AND(Bills!W561,"AAAAAE7Pjk4=")</f>
        <v>#VALUE!</v>
      </c>
      <c r="CB144" t="e">
        <f>AND(Bills!#REF!,"AAAAAE7Pjk8=")</f>
        <v>#REF!</v>
      </c>
      <c r="CC144" t="e">
        <f>AND(Bills!#REF!,"AAAAAE7PjlA=")</f>
        <v>#REF!</v>
      </c>
      <c r="CD144" t="e">
        <f>AND(Bills!Y561,"AAAAAE7PjlE=")</f>
        <v>#VALUE!</v>
      </c>
      <c r="CE144" t="e">
        <f>AND(Bills!Z561,"AAAAAE7PjlI=")</f>
        <v>#VALUE!</v>
      </c>
      <c r="CF144" t="e">
        <f>AND(Bills!#REF!,"AAAAAE7PjlM=")</f>
        <v>#REF!</v>
      </c>
      <c r="CG144" t="e">
        <f>AND(Bills!#REF!,"AAAAAE7PjlQ=")</f>
        <v>#REF!</v>
      </c>
      <c r="CH144" t="e">
        <f>AND(Bills!#REF!,"AAAAAE7PjlU=")</f>
        <v>#REF!</v>
      </c>
      <c r="CI144" t="e">
        <f>AND(Bills!#REF!,"AAAAAE7PjlY=")</f>
        <v>#REF!</v>
      </c>
      <c r="CJ144" t="e">
        <f>AND(Bills!#REF!,"AAAAAE7Pjlc=")</f>
        <v>#REF!</v>
      </c>
      <c r="CK144" t="e">
        <f>AND(Bills!#REF!,"AAAAAE7Pjlg=")</f>
        <v>#REF!</v>
      </c>
      <c r="CL144" t="e">
        <f>AND(Bills!#REF!,"AAAAAE7Pjlk=")</f>
        <v>#REF!</v>
      </c>
      <c r="CM144" t="e">
        <f>AND(Bills!#REF!,"AAAAAE7Pjlo=")</f>
        <v>#REF!</v>
      </c>
      <c r="CN144" t="e">
        <f>AND(Bills!#REF!,"AAAAAE7Pjls=")</f>
        <v>#REF!</v>
      </c>
      <c r="CO144" t="e">
        <f>AND(Bills!AA561,"AAAAAE7Pjlw=")</f>
        <v>#VALUE!</v>
      </c>
      <c r="CP144" t="e">
        <f>AND(Bills!AB561,"AAAAAE7Pjl0=")</f>
        <v>#VALUE!</v>
      </c>
      <c r="CQ144" t="e">
        <f>AND(Bills!#REF!,"AAAAAE7Pjl4=")</f>
        <v>#REF!</v>
      </c>
      <c r="CR144" t="e">
        <f>AND(Bills!#REF!,"AAAAAE7Pjl8=")</f>
        <v>#REF!</v>
      </c>
      <c r="CS144" t="e">
        <f>AND(Bills!#REF!,"AAAAAE7PjmA=")</f>
        <v>#REF!</v>
      </c>
      <c r="CT144" t="e">
        <f>AND(Bills!AC561,"AAAAAE7PjmE=")</f>
        <v>#VALUE!</v>
      </c>
      <c r="CU144" t="e">
        <f>AND(Bills!AD561,"AAAAAE7PjmI=")</f>
        <v>#VALUE!</v>
      </c>
      <c r="CV144" t="e">
        <f>AND(Bills!AE561,"AAAAAE7PjmM=")</f>
        <v>#VALUE!</v>
      </c>
      <c r="CW144">
        <f>IF(Bills!562:562,"AAAAAE7PjmQ=",0)</f>
        <v>0</v>
      </c>
      <c r="CX144" t="e">
        <f>AND(Bills!B562,"AAAAAE7PjmU=")</f>
        <v>#VALUE!</v>
      </c>
      <c r="CY144" t="e">
        <f>AND(Bills!#REF!,"AAAAAE7PjmY=")</f>
        <v>#REF!</v>
      </c>
      <c r="CZ144" t="e">
        <f>AND(Bills!C562,"AAAAAE7Pjmc=")</f>
        <v>#VALUE!</v>
      </c>
      <c r="DA144" t="e">
        <f>AND(Bills!D562,"AAAAAE7Pjmg=")</f>
        <v>#VALUE!</v>
      </c>
      <c r="DB144" t="e">
        <f>AND(Bills!E562,"AAAAAE7Pjmk=")</f>
        <v>#VALUE!</v>
      </c>
      <c r="DC144" t="e">
        <f>AND(Bills!#REF!,"AAAAAE7Pjmo=")</f>
        <v>#REF!</v>
      </c>
      <c r="DD144" t="e">
        <f>AND(Bills!#REF!,"AAAAAE7Pjms=")</f>
        <v>#REF!</v>
      </c>
      <c r="DE144" t="e">
        <f>AND(Bills!#REF!,"AAAAAE7Pjmw=")</f>
        <v>#REF!</v>
      </c>
      <c r="DF144" t="e">
        <f>AND(Bills!F562,"AAAAAE7Pjm0=")</f>
        <v>#VALUE!</v>
      </c>
      <c r="DG144" t="e">
        <f>AND(Bills!#REF!,"AAAAAE7Pjm4=")</f>
        <v>#REF!</v>
      </c>
      <c r="DH144" t="e">
        <f>AND(Bills!G562,"AAAAAE7Pjm8=")</f>
        <v>#VALUE!</v>
      </c>
      <c r="DI144" t="e">
        <f>AND(Bills!H562,"AAAAAE7PjnA=")</f>
        <v>#VALUE!</v>
      </c>
      <c r="DJ144" t="e">
        <f>AND(Bills!I562,"AAAAAE7PjnE=")</f>
        <v>#VALUE!</v>
      </c>
      <c r="DK144" t="e">
        <f>AND(Bills!J562,"AAAAAE7PjnI=")</f>
        <v>#VALUE!</v>
      </c>
      <c r="DL144" t="e">
        <f>AND(Bills!K562,"AAAAAE7PjnM=")</f>
        <v>#VALUE!</v>
      </c>
      <c r="DM144" t="e">
        <f>AND(Bills!L562,"AAAAAE7PjnQ=")</f>
        <v>#VALUE!</v>
      </c>
      <c r="DN144" t="e">
        <f>AND(Bills!#REF!,"AAAAAE7PjnU=")</f>
        <v>#REF!</v>
      </c>
      <c r="DO144" t="e">
        <f>AND(Bills!M562,"AAAAAE7PjnY=")</f>
        <v>#VALUE!</v>
      </c>
      <c r="DP144" t="e">
        <f>AND(Bills!N562,"AAAAAE7Pjnc=")</f>
        <v>#VALUE!</v>
      </c>
      <c r="DQ144" t="e">
        <f>AND(Bills!O562,"AAAAAE7Pjng=")</f>
        <v>#VALUE!</v>
      </c>
      <c r="DR144" t="e">
        <f>AND(Bills!P562,"AAAAAE7Pjnk=")</f>
        <v>#VALUE!</v>
      </c>
      <c r="DS144" t="e">
        <f>AND(Bills!Q562,"AAAAAE7Pjno=")</f>
        <v>#VALUE!</v>
      </c>
      <c r="DT144" t="e">
        <f>AND(Bills!R562,"AAAAAE7Pjns=")</f>
        <v>#VALUE!</v>
      </c>
      <c r="DU144" t="e">
        <f>AND(Bills!S562,"AAAAAE7Pjnw=")</f>
        <v>#VALUE!</v>
      </c>
      <c r="DV144" t="e">
        <f>AND(Bills!T562,"AAAAAE7Pjn0=")</f>
        <v>#VALUE!</v>
      </c>
      <c r="DW144" t="e">
        <f>AND(Bills!#REF!,"AAAAAE7Pjn4=")</f>
        <v>#REF!</v>
      </c>
      <c r="DX144" t="e">
        <f>AND(Bills!U562,"AAAAAE7Pjn8=")</f>
        <v>#VALUE!</v>
      </c>
      <c r="DY144" t="e">
        <f>AND(Bills!V562,"AAAAAE7PjoA=")</f>
        <v>#VALUE!</v>
      </c>
      <c r="DZ144" t="e">
        <f>AND(Bills!W562,"AAAAAE7PjoE=")</f>
        <v>#VALUE!</v>
      </c>
      <c r="EA144" t="e">
        <f>AND(Bills!#REF!,"AAAAAE7PjoI=")</f>
        <v>#REF!</v>
      </c>
      <c r="EB144" t="e">
        <f>AND(Bills!#REF!,"AAAAAE7PjoM=")</f>
        <v>#REF!</v>
      </c>
      <c r="EC144" t="e">
        <f>AND(Bills!Y562,"AAAAAE7PjoQ=")</f>
        <v>#VALUE!</v>
      </c>
      <c r="ED144" t="e">
        <f>AND(Bills!Z562,"AAAAAE7PjoU=")</f>
        <v>#VALUE!</v>
      </c>
      <c r="EE144" t="e">
        <f>AND(Bills!#REF!,"AAAAAE7PjoY=")</f>
        <v>#REF!</v>
      </c>
      <c r="EF144" t="e">
        <f>AND(Bills!#REF!,"AAAAAE7Pjoc=")</f>
        <v>#REF!</v>
      </c>
      <c r="EG144" t="e">
        <f>AND(Bills!#REF!,"AAAAAE7Pjog=")</f>
        <v>#REF!</v>
      </c>
      <c r="EH144" t="e">
        <f>AND(Bills!#REF!,"AAAAAE7Pjok=")</f>
        <v>#REF!</v>
      </c>
      <c r="EI144" t="e">
        <f>AND(Bills!#REF!,"AAAAAE7Pjoo=")</f>
        <v>#REF!</v>
      </c>
      <c r="EJ144" t="e">
        <f>AND(Bills!#REF!,"AAAAAE7Pjos=")</f>
        <v>#REF!</v>
      </c>
      <c r="EK144" t="e">
        <f>AND(Bills!#REF!,"AAAAAE7Pjow=")</f>
        <v>#REF!</v>
      </c>
      <c r="EL144" t="e">
        <f>AND(Bills!#REF!,"AAAAAE7Pjo0=")</f>
        <v>#REF!</v>
      </c>
      <c r="EM144" t="e">
        <f>AND(Bills!#REF!,"AAAAAE7Pjo4=")</f>
        <v>#REF!</v>
      </c>
      <c r="EN144" t="e">
        <f>AND(Bills!AA562,"AAAAAE7Pjo8=")</f>
        <v>#VALUE!</v>
      </c>
      <c r="EO144" t="e">
        <f>AND(Bills!AB562,"AAAAAE7PjpA=")</f>
        <v>#VALUE!</v>
      </c>
      <c r="EP144" t="e">
        <f>AND(Bills!#REF!,"AAAAAE7PjpE=")</f>
        <v>#REF!</v>
      </c>
      <c r="EQ144" t="e">
        <f>AND(Bills!#REF!,"AAAAAE7PjpI=")</f>
        <v>#REF!</v>
      </c>
      <c r="ER144" t="e">
        <f>AND(Bills!#REF!,"AAAAAE7PjpM=")</f>
        <v>#REF!</v>
      </c>
      <c r="ES144" t="e">
        <f>AND(Bills!AC562,"AAAAAE7PjpQ=")</f>
        <v>#VALUE!</v>
      </c>
      <c r="ET144" t="e">
        <f>AND(Bills!AD562,"AAAAAE7PjpU=")</f>
        <v>#VALUE!</v>
      </c>
      <c r="EU144" t="e">
        <f>AND(Bills!AE562,"AAAAAE7PjpY=")</f>
        <v>#VALUE!</v>
      </c>
      <c r="EV144">
        <f>IF(Bills!563:563,"AAAAAE7Pjpc=",0)</f>
        <v>0</v>
      </c>
      <c r="EW144" t="e">
        <f>AND(Bills!B563,"AAAAAE7Pjpg=")</f>
        <v>#VALUE!</v>
      </c>
      <c r="EX144" t="e">
        <f>AND(Bills!#REF!,"AAAAAE7Pjpk=")</f>
        <v>#REF!</v>
      </c>
      <c r="EY144" t="e">
        <f>AND(Bills!C563,"AAAAAE7Pjpo=")</f>
        <v>#VALUE!</v>
      </c>
      <c r="EZ144" t="e">
        <f>AND(Bills!D563,"AAAAAE7Pjps=")</f>
        <v>#VALUE!</v>
      </c>
      <c r="FA144" t="e">
        <f>AND(Bills!E563,"AAAAAE7Pjpw=")</f>
        <v>#VALUE!</v>
      </c>
      <c r="FB144" t="e">
        <f>AND(Bills!#REF!,"AAAAAE7Pjp0=")</f>
        <v>#REF!</v>
      </c>
      <c r="FC144" t="e">
        <f>AND(Bills!#REF!,"AAAAAE7Pjp4=")</f>
        <v>#REF!</v>
      </c>
      <c r="FD144" t="e">
        <f>AND(Bills!#REF!,"AAAAAE7Pjp8=")</f>
        <v>#REF!</v>
      </c>
      <c r="FE144" t="e">
        <f>AND(Bills!F563,"AAAAAE7PjqA=")</f>
        <v>#VALUE!</v>
      </c>
      <c r="FF144" t="e">
        <f>AND(Bills!#REF!,"AAAAAE7PjqE=")</f>
        <v>#REF!</v>
      </c>
      <c r="FG144" t="e">
        <f>AND(Bills!G563,"AAAAAE7PjqI=")</f>
        <v>#VALUE!</v>
      </c>
      <c r="FH144" t="e">
        <f>AND(Bills!H563,"AAAAAE7PjqM=")</f>
        <v>#VALUE!</v>
      </c>
      <c r="FI144" t="e">
        <f>AND(Bills!I563,"AAAAAE7PjqQ=")</f>
        <v>#VALUE!</v>
      </c>
      <c r="FJ144" t="e">
        <f>AND(Bills!J563,"AAAAAE7PjqU=")</f>
        <v>#VALUE!</v>
      </c>
      <c r="FK144" t="e">
        <f>AND(Bills!K563,"AAAAAE7PjqY=")</f>
        <v>#VALUE!</v>
      </c>
      <c r="FL144" t="e">
        <f>AND(Bills!L563,"AAAAAE7Pjqc=")</f>
        <v>#VALUE!</v>
      </c>
      <c r="FM144" t="e">
        <f>AND(Bills!#REF!,"AAAAAE7Pjqg=")</f>
        <v>#REF!</v>
      </c>
      <c r="FN144" t="e">
        <f>AND(Bills!M563,"AAAAAE7Pjqk=")</f>
        <v>#VALUE!</v>
      </c>
      <c r="FO144" t="e">
        <f>AND(Bills!N563,"AAAAAE7Pjqo=")</f>
        <v>#VALUE!</v>
      </c>
      <c r="FP144" t="e">
        <f>AND(Bills!O563,"AAAAAE7Pjqs=")</f>
        <v>#VALUE!</v>
      </c>
      <c r="FQ144" t="e">
        <f>AND(Bills!P563,"AAAAAE7Pjqw=")</f>
        <v>#VALUE!</v>
      </c>
      <c r="FR144" t="e">
        <f>AND(Bills!Q563,"AAAAAE7Pjq0=")</f>
        <v>#VALUE!</v>
      </c>
      <c r="FS144" t="e">
        <f>AND(Bills!R563,"AAAAAE7Pjq4=")</f>
        <v>#VALUE!</v>
      </c>
      <c r="FT144" t="e">
        <f>AND(Bills!S563,"AAAAAE7Pjq8=")</f>
        <v>#VALUE!</v>
      </c>
      <c r="FU144" t="e">
        <f>AND(Bills!T563,"AAAAAE7PjrA=")</f>
        <v>#VALUE!</v>
      </c>
      <c r="FV144" t="e">
        <f>AND(Bills!#REF!,"AAAAAE7PjrE=")</f>
        <v>#REF!</v>
      </c>
      <c r="FW144" t="e">
        <f>AND(Bills!U563,"AAAAAE7PjrI=")</f>
        <v>#VALUE!</v>
      </c>
      <c r="FX144" t="e">
        <f>AND(Bills!V563,"AAAAAE7PjrM=")</f>
        <v>#VALUE!</v>
      </c>
      <c r="FY144" t="e">
        <f>AND(Bills!W563,"AAAAAE7PjrQ=")</f>
        <v>#VALUE!</v>
      </c>
      <c r="FZ144" t="e">
        <f>AND(Bills!#REF!,"AAAAAE7PjrU=")</f>
        <v>#REF!</v>
      </c>
      <c r="GA144" t="e">
        <f>AND(Bills!#REF!,"AAAAAE7PjrY=")</f>
        <v>#REF!</v>
      </c>
      <c r="GB144" t="e">
        <f>AND(Bills!Y563,"AAAAAE7Pjrc=")</f>
        <v>#VALUE!</v>
      </c>
      <c r="GC144" t="e">
        <f>AND(Bills!Z563,"AAAAAE7Pjrg=")</f>
        <v>#VALUE!</v>
      </c>
      <c r="GD144" t="e">
        <f>AND(Bills!#REF!,"AAAAAE7Pjrk=")</f>
        <v>#REF!</v>
      </c>
      <c r="GE144" t="e">
        <f>AND(Bills!#REF!,"AAAAAE7Pjro=")</f>
        <v>#REF!</v>
      </c>
      <c r="GF144" t="e">
        <f>AND(Bills!#REF!,"AAAAAE7Pjrs=")</f>
        <v>#REF!</v>
      </c>
      <c r="GG144" t="e">
        <f>AND(Bills!#REF!,"AAAAAE7Pjrw=")</f>
        <v>#REF!</v>
      </c>
      <c r="GH144" t="e">
        <f>AND(Bills!#REF!,"AAAAAE7Pjr0=")</f>
        <v>#REF!</v>
      </c>
      <c r="GI144" t="e">
        <f>AND(Bills!#REF!,"AAAAAE7Pjr4=")</f>
        <v>#REF!</v>
      </c>
      <c r="GJ144" t="e">
        <f>AND(Bills!#REF!,"AAAAAE7Pjr8=")</f>
        <v>#REF!</v>
      </c>
      <c r="GK144" t="e">
        <f>AND(Bills!#REF!,"AAAAAE7PjsA=")</f>
        <v>#REF!</v>
      </c>
      <c r="GL144" t="e">
        <f>AND(Bills!#REF!,"AAAAAE7PjsE=")</f>
        <v>#REF!</v>
      </c>
      <c r="GM144" t="e">
        <f>AND(Bills!AA563,"AAAAAE7PjsI=")</f>
        <v>#VALUE!</v>
      </c>
      <c r="GN144" t="e">
        <f>AND(Bills!AB563,"AAAAAE7PjsM=")</f>
        <v>#VALUE!</v>
      </c>
      <c r="GO144" t="e">
        <f>AND(Bills!#REF!,"AAAAAE7PjsQ=")</f>
        <v>#REF!</v>
      </c>
      <c r="GP144" t="e">
        <f>AND(Bills!#REF!,"AAAAAE7PjsU=")</f>
        <v>#REF!</v>
      </c>
      <c r="GQ144" t="e">
        <f>AND(Bills!#REF!,"AAAAAE7PjsY=")</f>
        <v>#REF!</v>
      </c>
      <c r="GR144" t="e">
        <f>AND(Bills!AC563,"AAAAAE7Pjsc=")</f>
        <v>#VALUE!</v>
      </c>
      <c r="GS144" t="e">
        <f>AND(Bills!AD563,"AAAAAE7Pjsg=")</f>
        <v>#VALUE!</v>
      </c>
      <c r="GT144" t="e">
        <f>AND(Bills!AE563,"AAAAAE7Pjsk=")</f>
        <v>#VALUE!</v>
      </c>
      <c r="GU144">
        <f>IF(Bills!564:564,"AAAAAE7Pjso=",0)</f>
        <v>0</v>
      </c>
      <c r="GV144" t="e">
        <f>AND(Bills!B564,"AAAAAE7Pjss=")</f>
        <v>#VALUE!</v>
      </c>
      <c r="GW144" t="e">
        <f>AND(Bills!#REF!,"AAAAAE7Pjsw=")</f>
        <v>#REF!</v>
      </c>
      <c r="GX144" t="e">
        <f>AND(Bills!C564,"AAAAAE7Pjs0=")</f>
        <v>#VALUE!</v>
      </c>
      <c r="GY144" t="e">
        <f>AND(Bills!D564,"AAAAAE7Pjs4=")</f>
        <v>#VALUE!</v>
      </c>
      <c r="GZ144" t="e">
        <f>AND(Bills!E564,"AAAAAE7Pjs8=")</f>
        <v>#VALUE!</v>
      </c>
      <c r="HA144" t="e">
        <f>AND(Bills!#REF!,"AAAAAE7PjtA=")</f>
        <v>#REF!</v>
      </c>
      <c r="HB144" t="e">
        <f>AND(Bills!#REF!,"AAAAAE7PjtE=")</f>
        <v>#REF!</v>
      </c>
      <c r="HC144" t="e">
        <f>AND(Bills!#REF!,"AAAAAE7PjtI=")</f>
        <v>#REF!</v>
      </c>
      <c r="HD144" t="e">
        <f>AND(Bills!F564,"AAAAAE7PjtM=")</f>
        <v>#VALUE!</v>
      </c>
      <c r="HE144" t="e">
        <f>AND(Bills!#REF!,"AAAAAE7PjtQ=")</f>
        <v>#REF!</v>
      </c>
      <c r="HF144" t="e">
        <f>AND(Bills!G564,"AAAAAE7PjtU=")</f>
        <v>#VALUE!</v>
      </c>
      <c r="HG144" t="e">
        <f>AND(Bills!H564,"AAAAAE7PjtY=")</f>
        <v>#VALUE!</v>
      </c>
      <c r="HH144" t="e">
        <f>AND(Bills!I564,"AAAAAE7Pjtc=")</f>
        <v>#VALUE!</v>
      </c>
      <c r="HI144" t="e">
        <f>AND(Bills!J564,"AAAAAE7Pjtg=")</f>
        <v>#VALUE!</v>
      </c>
      <c r="HJ144" t="e">
        <f>AND(Bills!K564,"AAAAAE7Pjtk=")</f>
        <v>#VALUE!</v>
      </c>
      <c r="HK144" t="e">
        <f>AND(Bills!L564,"AAAAAE7Pjto=")</f>
        <v>#VALUE!</v>
      </c>
      <c r="HL144" t="e">
        <f>AND(Bills!#REF!,"AAAAAE7Pjts=")</f>
        <v>#REF!</v>
      </c>
      <c r="HM144" t="e">
        <f>AND(Bills!M564,"AAAAAE7Pjtw=")</f>
        <v>#VALUE!</v>
      </c>
      <c r="HN144" t="e">
        <f>AND(Bills!N564,"AAAAAE7Pjt0=")</f>
        <v>#VALUE!</v>
      </c>
      <c r="HO144" t="e">
        <f>AND(Bills!O564,"AAAAAE7Pjt4=")</f>
        <v>#VALUE!</v>
      </c>
      <c r="HP144" t="e">
        <f>AND(Bills!P564,"AAAAAE7Pjt8=")</f>
        <v>#VALUE!</v>
      </c>
      <c r="HQ144" t="e">
        <f>AND(Bills!Q564,"AAAAAE7PjuA=")</f>
        <v>#VALUE!</v>
      </c>
      <c r="HR144" t="e">
        <f>AND(Bills!R564,"AAAAAE7PjuE=")</f>
        <v>#VALUE!</v>
      </c>
      <c r="HS144" t="e">
        <f>AND(Bills!S564,"AAAAAE7PjuI=")</f>
        <v>#VALUE!</v>
      </c>
      <c r="HT144" t="e">
        <f>AND(Bills!T564,"AAAAAE7PjuM=")</f>
        <v>#VALUE!</v>
      </c>
      <c r="HU144" t="e">
        <f>AND(Bills!#REF!,"AAAAAE7PjuQ=")</f>
        <v>#REF!</v>
      </c>
      <c r="HV144" t="e">
        <f>AND(Bills!U564,"AAAAAE7PjuU=")</f>
        <v>#VALUE!</v>
      </c>
      <c r="HW144" t="e">
        <f>AND(Bills!V564,"AAAAAE7PjuY=")</f>
        <v>#VALUE!</v>
      </c>
      <c r="HX144" t="e">
        <f>AND(Bills!W564,"AAAAAE7Pjuc=")</f>
        <v>#VALUE!</v>
      </c>
      <c r="HY144" t="e">
        <f>AND(Bills!#REF!,"AAAAAE7Pjug=")</f>
        <v>#REF!</v>
      </c>
      <c r="HZ144" t="e">
        <f>AND(Bills!#REF!,"AAAAAE7Pjuk=")</f>
        <v>#REF!</v>
      </c>
      <c r="IA144" t="e">
        <f>AND(Bills!Y564,"AAAAAE7Pjuo=")</f>
        <v>#VALUE!</v>
      </c>
      <c r="IB144" t="e">
        <f>AND(Bills!Z564,"AAAAAE7Pjus=")</f>
        <v>#VALUE!</v>
      </c>
      <c r="IC144" t="e">
        <f>AND(Bills!#REF!,"AAAAAE7Pjuw=")</f>
        <v>#REF!</v>
      </c>
      <c r="ID144" t="e">
        <f>AND(Bills!#REF!,"AAAAAE7Pju0=")</f>
        <v>#REF!</v>
      </c>
      <c r="IE144" t="e">
        <f>AND(Bills!#REF!,"AAAAAE7Pju4=")</f>
        <v>#REF!</v>
      </c>
      <c r="IF144" t="e">
        <f>AND(Bills!#REF!,"AAAAAE7Pju8=")</f>
        <v>#REF!</v>
      </c>
      <c r="IG144" t="e">
        <f>AND(Bills!#REF!,"AAAAAE7PjvA=")</f>
        <v>#REF!</v>
      </c>
      <c r="IH144" t="e">
        <f>AND(Bills!#REF!,"AAAAAE7PjvE=")</f>
        <v>#REF!</v>
      </c>
      <c r="II144" t="e">
        <f>AND(Bills!#REF!,"AAAAAE7PjvI=")</f>
        <v>#REF!</v>
      </c>
      <c r="IJ144" t="e">
        <f>AND(Bills!#REF!,"AAAAAE7PjvM=")</f>
        <v>#REF!</v>
      </c>
      <c r="IK144" t="e">
        <f>AND(Bills!#REF!,"AAAAAE7PjvQ=")</f>
        <v>#REF!</v>
      </c>
      <c r="IL144" t="e">
        <f>AND(Bills!AA564,"AAAAAE7PjvU=")</f>
        <v>#VALUE!</v>
      </c>
      <c r="IM144" t="e">
        <f>AND(Bills!AB564,"AAAAAE7PjvY=")</f>
        <v>#VALUE!</v>
      </c>
      <c r="IN144" t="e">
        <f>AND(Bills!#REF!,"AAAAAE7Pjvc=")</f>
        <v>#REF!</v>
      </c>
      <c r="IO144" t="e">
        <f>AND(Bills!#REF!,"AAAAAE7Pjvg=")</f>
        <v>#REF!</v>
      </c>
      <c r="IP144" t="e">
        <f>AND(Bills!#REF!,"AAAAAE7Pjvk=")</f>
        <v>#REF!</v>
      </c>
      <c r="IQ144" t="e">
        <f>AND(Bills!AC564,"AAAAAE7Pjvo=")</f>
        <v>#VALUE!</v>
      </c>
      <c r="IR144" t="e">
        <f>AND(Bills!AD564,"AAAAAE7Pjvs=")</f>
        <v>#VALUE!</v>
      </c>
      <c r="IS144" t="e">
        <f>AND(Bills!AE564,"AAAAAE7Pjvw=")</f>
        <v>#VALUE!</v>
      </c>
      <c r="IT144">
        <f>IF(Bills!565:565,"AAAAAE7Pjv0=",0)</f>
        <v>0</v>
      </c>
      <c r="IU144" t="e">
        <f>AND(Bills!B565,"AAAAAE7Pjv4=")</f>
        <v>#VALUE!</v>
      </c>
      <c r="IV144" t="e">
        <f>AND(Bills!#REF!,"AAAAAE7Pjv8=")</f>
        <v>#REF!</v>
      </c>
    </row>
    <row r="145" spans="1:256" x14ac:dyDescent="0.25">
      <c r="A145" t="e">
        <f>AND(Bills!C565,"AAAAAH/efQA=")</f>
        <v>#VALUE!</v>
      </c>
      <c r="B145" t="e">
        <f>AND(Bills!D565,"AAAAAH/efQE=")</f>
        <v>#VALUE!</v>
      </c>
      <c r="C145" t="e">
        <f>AND(Bills!E565,"AAAAAH/efQI=")</f>
        <v>#VALUE!</v>
      </c>
      <c r="D145" t="e">
        <f>AND(Bills!#REF!,"AAAAAH/efQM=")</f>
        <v>#REF!</v>
      </c>
      <c r="E145" t="e">
        <f>AND(Bills!#REF!,"AAAAAH/efQQ=")</f>
        <v>#REF!</v>
      </c>
      <c r="F145" t="e">
        <f>AND(Bills!#REF!,"AAAAAH/efQU=")</f>
        <v>#REF!</v>
      </c>
      <c r="G145" t="e">
        <f>AND(Bills!F565,"AAAAAH/efQY=")</f>
        <v>#VALUE!</v>
      </c>
      <c r="H145" t="e">
        <f>AND(Bills!#REF!,"AAAAAH/efQc=")</f>
        <v>#REF!</v>
      </c>
      <c r="I145" t="e">
        <f>AND(Bills!G565,"AAAAAH/efQg=")</f>
        <v>#VALUE!</v>
      </c>
      <c r="J145" t="e">
        <f>AND(Bills!H565,"AAAAAH/efQk=")</f>
        <v>#VALUE!</v>
      </c>
      <c r="K145" t="e">
        <f>AND(Bills!I565,"AAAAAH/efQo=")</f>
        <v>#VALUE!</v>
      </c>
      <c r="L145" t="e">
        <f>AND(Bills!J565,"AAAAAH/efQs=")</f>
        <v>#VALUE!</v>
      </c>
      <c r="M145" t="e">
        <f>AND(Bills!K565,"AAAAAH/efQw=")</f>
        <v>#VALUE!</v>
      </c>
      <c r="N145" t="e">
        <f>AND(Bills!L565,"AAAAAH/efQ0=")</f>
        <v>#VALUE!</v>
      </c>
      <c r="O145" t="e">
        <f>AND(Bills!#REF!,"AAAAAH/efQ4=")</f>
        <v>#REF!</v>
      </c>
      <c r="P145" t="e">
        <f>AND(Bills!M565,"AAAAAH/efQ8=")</f>
        <v>#VALUE!</v>
      </c>
      <c r="Q145" t="e">
        <f>AND(Bills!N565,"AAAAAH/efRA=")</f>
        <v>#VALUE!</v>
      </c>
      <c r="R145" t="e">
        <f>AND(Bills!O565,"AAAAAH/efRE=")</f>
        <v>#VALUE!</v>
      </c>
      <c r="S145" t="e">
        <f>AND(Bills!P565,"AAAAAH/efRI=")</f>
        <v>#VALUE!</v>
      </c>
      <c r="T145" t="e">
        <f>AND(Bills!Q565,"AAAAAH/efRM=")</f>
        <v>#VALUE!</v>
      </c>
      <c r="U145" t="e">
        <f>AND(Bills!R565,"AAAAAH/efRQ=")</f>
        <v>#VALUE!</v>
      </c>
      <c r="V145" t="e">
        <f>AND(Bills!S565,"AAAAAH/efRU=")</f>
        <v>#VALUE!</v>
      </c>
      <c r="W145" t="e">
        <f>AND(Bills!T565,"AAAAAH/efRY=")</f>
        <v>#VALUE!</v>
      </c>
      <c r="X145" t="e">
        <f>AND(Bills!#REF!,"AAAAAH/efRc=")</f>
        <v>#REF!</v>
      </c>
      <c r="Y145" t="e">
        <f>AND(Bills!U565,"AAAAAH/efRg=")</f>
        <v>#VALUE!</v>
      </c>
      <c r="Z145" t="e">
        <f>AND(Bills!V565,"AAAAAH/efRk=")</f>
        <v>#VALUE!</v>
      </c>
      <c r="AA145" t="e">
        <f>AND(Bills!W565,"AAAAAH/efRo=")</f>
        <v>#VALUE!</v>
      </c>
      <c r="AB145" t="e">
        <f>AND(Bills!#REF!,"AAAAAH/efRs=")</f>
        <v>#REF!</v>
      </c>
      <c r="AC145" t="e">
        <f>AND(Bills!#REF!,"AAAAAH/efRw=")</f>
        <v>#REF!</v>
      </c>
      <c r="AD145" t="e">
        <f>AND(Bills!Y565,"AAAAAH/efR0=")</f>
        <v>#VALUE!</v>
      </c>
      <c r="AE145" t="e">
        <f>AND(Bills!Z565,"AAAAAH/efR4=")</f>
        <v>#VALUE!</v>
      </c>
      <c r="AF145" t="e">
        <f>AND(Bills!#REF!,"AAAAAH/efR8=")</f>
        <v>#REF!</v>
      </c>
      <c r="AG145" t="e">
        <f>AND(Bills!#REF!,"AAAAAH/efSA=")</f>
        <v>#REF!</v>
      </c>
      <c r="AH145" t="e">
        <f>AND(Bills!#REF!,"AAAAAH/efSE=")</f>
        <v>#REF!</v>
      </c>
      <c r="AI145" t="e">
        <f>AND(Bills!#REF!,"AAAAAH/efSI=")</f>
        <v>#REF!</v>
      </c>
      <c r="AJ145" t="e">
        <f>AND(Bills!#REF!,"AAAAAH/efSM=")</f>
        <v>#REF!</v>
      </c>
      <c r="AK145" t="e">
        <f>AND(Bills!#REF!,"AAAAAH/efSQ=")</f>
        <v>#REF!</v>
      </c>
      <c r="AL145" t="e">
        <f>AND(Bills!#REF!,"AAAAAH/efSU=")</f>
        <v>#REF!</v>
      </c>
      <c r="AM145" t="e">
        <f>AND(Bills!#REF!,"AAAAAH/efSY=")</f>
        <v>#REF!</v>
      </c>
      <c r="AN145" t="e">
        <f>AND(Bills!#REF!,"AAAAAH/efSc=")</f>
        <v>#REF!</v>
      </c>
      <c r="AO145" t="e">
        <f>AND(Bills!AA565,"AAAAAH/efSg=")</f>
        <v>#VALUE!</v>
      </c>
      <c r="AP145" t="e">
        <f>AND(Bills!AB565,"AAAAAH/efSk=")</f>
        <v>#VALUE!</v>
      </c>
      <c r="AQ145" t="e">
        <f>AND(Bills!#REF!,"AAAAAH/efSo=")</f>
        <v>#REF!</v>
      </c>
      <c r="AR145" t="e">
        <f>AND(Bills!#REF!,"AAAAAH/efSs=")</f>
        <v>#REF!</v>
      </c>
      <c r="AS145" t="e">
        <f>AND(Bills!#REF!,"AAAAAH/efSw=")</f>
        <v>#REF!</v>
      </c>
      <c r="AT145" t="e">
        <f>AND(Bills!AC565,"AAAAAH/efS0=")</f>
        <v>#VALUE!</v>
      </c>
      <c r="AU145" t="e">
        <f>AND(Bills!AD565,"AAAAAH/efS4=")</f>
        <v>#VALUE!</v>
      </c>
      <c r="AV145" t="e">
        <f>AND(Bills!AE565,"AAAAAH/efS8=")</f>
        <v>#VALUE!</v>
      </c>
      <c r="AW145">
        <f>IF(Bills!566:566,"AAAAAH/efTA=",0)</f>
        <v>0</v>
      </c>
      <c r="AX145" t="e">
        <f>AND(Bills!B566,"AAAAAH/efTE=")</f>
        <v>#VALUE!</v>
      </c>
      <c r="AY145" t="e">
        <f>AND(Bills!#REF!,"AAAAAH/efTI=")</f>
        <v>#REF!</v>
      </c>
      <c r="AZ145" t="e">
        <f>AND(Bills!C566,"AAAAAH/efTM=")</f>
        <v>#VALUE!</v>
      </c>
      <c r="BA145" t="e">
        <f>AND(Bills!D566,"AAAAAH/efTQ=")</f>
        <v>#VALUE!</v>
      </c>
      <c r="BB145" t="e">
        <f>AND(Bills!E566,"AAAAAH/efTU=")</f>
        <v>#VALUE!</v>
      </c>
      <c r="BC145" t="e">
        <f>AND(Bills!#REF!,"AAAAAH/efTY=")</f>
        <v>#REF!</v>
      </c>
      <c r="BD145" t="e">
        <f>AND(Bills!#REF!,"AAAAAH/efTc=")</f>
        <v>#REF!</v>
      </c>
      <c r="BE145" t="e">
        <f>AND(Bills!#REF!,"AAAAAH/efTg=")</f>
        <v>#REF!</v>
      </c>
      <c r="BF145" t="e">
        <f>AND(Bills!F566,"AAAAAH/efTk=")</f>
        <v>#VALUE!</v>
      </c>
      <c r="BG145" t="e">
        <f>AND(Bills!#REF!,"AAAAAH/efTo=")</f>
        <v>#REF!</v>
      </c>
      <c r="BH145" t="e">
        <f>AND(Bills!G566,"AAAAAH/efTs=")</f>
        <v>#VALUE!</v>
      </c>
      <c r="BI145" t="e">
        <f>AND(Bills!H566,"AAAAAH/efTw=")</f>
        <v>#VALUE!</v>
      </c>
      <c r="BJ145" t="e">
        <f>AND(Bills!I566,"AAAAAH/efT0=")</f>
        <v>#VALUE!</v>
      </c>
      <c r="BK145" t="e">
        <f>AND(Bills!J566,"AAAAAH/efT4=")</f>
        <v>#VALUE!</v>
      </c>
      <c r="BL145" t="e">
        <f>AND(Bills!K566,"AAAAAH/efT8=")</f>
        <v>#VALUE!</v>
      </c>
      <c r="BM145" t="e">
        <f>AND(Bills!L566,"AAAAAH/efUA=")</f>
        <v>#VALUE!</v>
      </c>
      <c r="BN145" t="e">
        <f>AND(Bills!#REF!,"AAAAAH/efUE=")</f>
        <v>#REF!</v>
      </c>
      <c r="BO145" t="e">
        <f>AND(Bills!M566,"AAAAAH/efUI=")</f>
        <v>#VALUE!</v>
      </c>
      <c r="BP145" t="e">
        <f>AND(Bills!N566,"AAAAAH/efUM=")</f>
        <v>#VALUE!</v>
      </c>
      <c r="BQ145" t="e">
        <f>AND(Bills!O566,"AAAAAH/efUQ=")</f>
        <v>#VALUE!</v>
      </c>
      <c r="BR145" t="e">
        <f>AND(Bills!P566,"AAAAAH/efUU=")</f>
        <v>#VALUE!</v>
      </c>
      <c r="BS145" t="e">
        <f>AND(Bills!Q566,"AAAAAH/efUY=")</f>
        <v>#VALUE!</v>
      </c>
      <c r="BT145" t="e">
        <f>AND(Bills!R566,"AAAAAH/efUc=")</f>
        <v>#VALUE!</v>
      </c>
      <c r="BU145" t="e">
        <f>AND(Bills!S566,"AAAAAH/efUg=")</f>
        <v>#VALUE!</v>
      </c>
      <c r="BV145" t="e">
        <f>AND(Bills!T566,"AAAAAH/efUk=")</f>
        <v>#VALUE!</v>
      </c>
      <c r="BW145" t="e">
        <f>AND(Bills!#REF!,"AAAAAH/efUo=")</f>
        <v>#REF!</v>
      </c>
      <c r="BX145" t="e">
        <f>AND(Bills!U566,"AAAAAH/efUs=")</f>
        <v>#VALUE!</v>
      </c>
      <c r="BY145" t="e">
        <f>AND(Bills!V566,"AAAAAH/efUw=")</f>
        <v>#VALUE!</v>
      </c>
      <c r="BZ145" t="e">
        <f>AND(Bills!W566,"AAAAAH/efU0=")</f>
        <v>#VALUE!</v>
      </c>
      <c r="CA145" t="e">
        <f>AND(Bills!#REF!,"AAAAAH/efU4=")</f>
        <v>#REF!</v>
      </c>
      <c r="CB145" t="e">
        <f>AND(Bills!#REF!,"AAAAAH/efU8=")</f>
        <v>#REF!</v>
      </c>
      <c r="CC145" t="e">
        <f>AND(Bills!Y566,"AAAAAH/efVA=")</f>
        <v>#VALUE!</v>
      </c>
      <c r="CD145" t="e">
        <f>AND(Bills!Z566,"AAAAAH/efVE=")</f>
        <v>#VALUE!</v>
      </c>
      <c r="CE145" t="e">
        <f>AND(Bills!#REF!,"AAAAAH/efVI=")</f>
        <v>#REF!</v>
      </c>
      <c r="CF145" t="e">
        <f>AND(Bills!#REF!,"AAAAAH/efVM=")</f>
        <v>#REF!</v>
      </c>
      <c r="CG145" t="e">
        <f>AND(Bills!#REF!,"AAAAAH/efVQ=")</f>
        <v>#REF!</v>
      </c>
      <c r="CH145" t="e">
        <f>AND(Bills!#REF!,"AAAAAH/efVU=")</f>
        <v>#REF!</v>
      </c>
      <c r="CI145" t="e">
        <f>AND(Bills!#REF!,"AAAAAH/efVY=")</f>
        <v>#REF!</v>
      </c>
      <c r="CJ145" t="e">
        <f>AND(Bills!#REF!,"AAAAAH/efVc=")</f>
        <v>#REF!</v>
      </c>
      <c r="CK145" t="e">
        <f>AND(Bills!#REF!,"AAAAAH/efVg=")</f>
        <v>#REF!</v>
      </c>
      <c r="CL145" t="e">
        <f>AND(Bills!#REF!,"AAAAAH/efVk=")</f>
        <v>#REF!</v>
      </c>
      <c r="CM145" t="e">
        <f>AND(Bills!#REF!,"AAAAAH/efVo=")</f>
        <v>#REF!</v>
      </c>
      <c r="CN145" t="e">
        <f>AND(Bills!AA566,"AAAAAH/efVs=")</f>
        <v>#VALUE!</v>
      </c>
      <c r="CO145" t="e">
        <f>AND(Bills!AB566,"AAAAAH/efVw=")</f>
        <v>#VALUE!</v>
      </c>
      <c r="CP145" t="e">
        <f>AND(Bills!#REF!,"AAAAAH/efV0=")</f>
        <v>#REF!</v>
      </c>
      <c r="CQ145" t="e">
        <f>AND(Bills!#REF!,"AAAAAH/efV4=")</f>
        <v>#REF!</v>
      </c>
      <c r="CR145" t="e">
        <f>AND(Bills!#REF!,"AAAAAH/efV8=")</f>
        <v>#REF!</v>
      </c>
      <c r="CS145" t="e">
        <f>AND(Bills!AC566,"AAAAAH/efWA=")</f>
        <v>#VALUE!</v>
      </c>
      <c r="CT145" t="e">
        <f>AND(Bills!AD566,"AAAAAH/efWE=")</f>
        <v>#VALUE!</v>
      </c>
      <c r="CU145" t="e">
        <f>AND(Bills!AE566,"AAAAAH/efWI=")</f>
        <v>#VALUE!</v>
      </c>
      <c r="CV145">
        <f>IF(Bills!567:567,"AAAAAH/efWM=",0)</f>
        <v>0</v>
      </c>
      <c r="CW145" t="e">
        <f>AND(Bills!B567,"AAAAAH/efWQ=")</f>
        <v>#VALUE!</v>
      </c>
      <c r="CX145" t="e">
        <f>AND(Bills!#REF!,"AAAAAH/efWU=")</f>
        <v>#REF!</v>
      </c>
      <c r="CY145" t="e">
        <f>AND(Bills!C567,"AAAAAH/efWY=")</f>
        <v>#VALUE!</v>
      </c>
      <c r="CZ145" t="e">
        <f>AND(Bills!D567,"AAAAAH/efWc=")</f>
        <v>#VALUE!</v>
      </c>
      <c r="DA145" t="e">
        <f>AND(Bills!E567,"AAAAAH/efWg=")</f>
        <v>#VALUE!</v>
      </c>
      <c r="DB145" t="e">
        <f>AND(Bills!#REF!,"AAAAAH/efWk=")</f>
        <v>#REF!</v>
      </c>
      <c r="DC145" t="e">
        <f>AND(Bills!#REF!,"AAAAAH/efWo=")</f>
        <v>#REF!</v>
      </c>
      <c r="DD145" t="e">
        <f>AND(Bills!#REF!,"AAAAAH/efWs=")</f>
        <v>#REF!</v>
      </c>
      <c r="DE145" t="e">
        <f>AND(Bills!F567,"AAAAAH/efWw=")</f>
        <v>#VALUE!</v>
      </c>
      <c r="DF145" t="e">
        <f>AND(Bills!#REF!,"AAAAAH/efW0=")</f>
        <v>#REF!</v>
      </c>
      <c r="DG145" t="e">
        <f>AND(Bills!G567,"AAAAAH/efW4=")</f>
        <v>#VALUE!</v>
      </c>
      <c r="DH145" t="e">
        <f>AND(Bills!H567,"AAAAAH/efW8=")</f>
        <v>#VALUE!</v>
      </c>
      <c r="DI145" t="e">
        <f>AND(Bills!I567,"AAAAAH/efXA=")</f>
        <v>#VALUE!</v>
      </c>
      <c r="DJ145" t="e">
        <f>AND(Bills!J567,"AAAAAH/efXE=")</f>
        <v>#VALUE!</v>
      </c>
      <c r="DK145" t="e">
        <f>AND(Bills!K567,"AAAAAH/efXI=")</f>
        <v>#VALUE!</v>
      </c>
      <c r="DL145" t="e">
        <f>AND(Bills!L567,"AAAAAH/efXM=")</f>
        <v>#VALUE!</v>
      </c>
      <c r="DM145" t="e">
        <f>AND(Bills!#REF!,"AAAAAH/efXQ=")</f>
        <v>#REF!</v>
      </c>
      <c r="DN145" t="e">
        <f>AND(Bills!M567,"AAAAAH/efXU=")</f>
        <v>#VALUE!</v>
      </c>
      <c r="DO145" t="e">
        <f>AND(Bills!N567,"AAAAAH/efXY=")</f>
        <v>#VALUE!</v>
      </c>
      <c r="DP145" t="e">
        <f>AND(Bills!O567,"AAAAAH/efXc=")</f>
        <v>#VALUE!</v>
      </c>
      <c r="DQ145" t="e">
        <f>AND(Bills!P567,"AAAAAH/efXg=")</f>
        <v>#VALUE!</v>
      </c>
      <c r="DR145" t="e">
        <f>AND(Bills!Q567,"AAAAAH/efXk=")</f>
        <v>#VALUE!</v>
      </c>
      <c r="DS145" t="e">
        <f>AND(Bills!R567,"AAAAAH/efXo=")</f>
        <v>#VALUE!</v>
      </c>
      <c r="DT145" t="e">
        <f>AND(Bills!S567,"AAAAAH/efXs=")</f>
        <v>#VALUE!</v>
      </c>
      <c r="DU145" t="e">
        <f>AND(Bills!T567,"AAAAAH/efXw=")</f>
        <v>#VALUE!</v>
      </c>
      <c r="DV145" t="e">
        <f>AND(Bills!#REF!,"AAAAAH/efX0=")</f>
        <v>#REF!</v>
      </c>
      <c r="DW145" t="e">
        <f>AND(Bills!U567,"AAAAAH/efX4=")</f>
        <v>#VALUE!</v>
      </c>
      <c r="DX145" t="e">
        <f>AND(Bills!V567,"AAAAAH/efX8=")</f>
        <v>#VALUE!</v>
      </c>
      <c r="DY145" t="e">
        <f>AND(Bills!W567,"AAAAAH/efYA=")</f>
        <v>#VALUE!</v>
      </c>
      <c r="DZ145" t="e">
        <f>AND(Bills!#REF!,"AAAAAH/efYE=")</f>
        <v>#REF!</v>
      </c>
      <c r="EA145" t="e">
        <f>AND(Bills!#REF!,"AAAAAH/efYI=")</f>
        <v>#REF!</v>
      </c>
      <c r="EB145" t="e">
        <f>AND(Bills!Y567,"AAAAAH/efYM=")</f>
        <v>#VALUE!</v>
      </c>
      <c r="EC145" t="e">
        <f>AND(Bills!Z567,"AAAAAH/efYQ=")</f>
        <v>#VALUE!</v>
      </c>
      <c r="ED145" t="e">
        <f>AND(Bills!#REF!,"AAAAAH/efYU=")</f>
        <v>#REF!</v>
      </c>
      <c r="EE145" t="e">
        <f>AND(Bills!#REF!,"AAAAAH/efYY=")</f>
        <v>#REF!</v>
      </c>
      <c r="EF145" t="e">
        <f>AND(Bills!#REF!,"AAAAAH/efYc=")</f>
        <v>#REF!</v>
      </c>
      <c r="EG145" t="e">
        <f>AND(Bills!#REF!,"AAAAAH/efYg=")</f>
        <v>#REF!</v>
      </c>
      <c r="EH145" t="e">
        <f>AND(Bills!#REF!,"AAAAAH/efYk=")</f>
        <v>#REF!</v>
      </c>
      <c r="EI145" t="e">
        <f>AND(Bills!#REF!,"AAAAAH/efYo=")</f>
        <v>#REF!</v>
      </c>
      <c r="EJ145" t="e">
        <f>AND(Bills!#REF!,"AAAAAH/efYs=")</f>
        <v>#REF!</v>
      </c>
      <c r="EK145" t="e">
        <f>AND(Bills!#REF!,"AAAAAH/efYw=")</f>
        <v>#REF!</v>
      </c>
      <c r="EL145" t="e">
        <f>AND(Bills!#REF!,"AAAAAH/efY0=")</f>
        <v>#REF!</v>
      </c>
      <c r="EM145" t="e">
        <f>AND(Bills!AA567,"AAAAAH/efY4=")</f>
        <v>#VALUE!</v>
      </c>
      <c r="EN145" t="e">
        <f>AND(Bills!AB567,"AAAAAH/efY8=")</f>
        <v>#VALUE!</v>
      </c>
      <c r="EO145" t="e">
        <f>AND(Bills!#REF!,"AAAAAH/efZA=")</f>
        <v>#REF!</v>
      </c>
      <c r="EP145" t="e">
        <f>AND(Bills!#REF!,"AAAAAH/efZE=")</f>
        <v>#REF!</v>
      </c>
      <c r="EQ145" t="e">
        <f>AND(Bills!#REF!,"AAAAAH/efZI=")</f>
        <v>#REF!</v>
      </c>
      <c r="ER145" t="e">
        <f>AND(Bills!AC567,"AAAAAH/efZM=")</f>
        <v>#VALUE!</v>
      </c>
      <c r="ES145" t="e">
        <f>AND(Bills!AD567,"AAAAAH/efZQ=")</f>
        <v>#VALUE!</v>
      </c>
      <c r="ET145" t="e">
        <f>AND(Bills!AE567,"AAAAAH/efZU=")</f>
        <v>#VALUE!</v>
      </c>
      <c r="EU145">
        <f>IF(Bills!568:568,"AAAAAH/efZY=",0)</f>
        <v>0</v>
      </c>
      <c r="EV145" t="e">
        <f>AND(Bills!B568,"AAAAAH/efZc=")</f>
        <v>#VALUE!</v>
      </c>
      <c r="EW145" t="e">
        <f>AND(Bills!#REF!,"AAAAAH/efZg=")</f>
        <v>#REF!</v>
      </c>
      <c r="EX145" t="e">
        <f>AND(Bills!C568,"AAAAAH/efZk=")</f>
        <v>#VALUE!</v>
      </c>
      <c r="EY145" t="e">
        <f>AND(Bills!D568,"AAAAAH/efZo=")</f>
        <v>#VALUE!</v>
      </c>
      <c r="EZ145" t="e">
        <f>AND(Bills!E568,"AAAAAH/efZs=")</f>
        <v>#VALUE!</v>
      </c>
      <c r="FA145" t="e">
        <f>AND(Bills!#REF!,"AAAAAH/efZw=")</f>
        <v>#REF!</v>
      </c>
      <c r="FB145" t="e">
        <f>AND(Bills!#REF!,"AAAAAH/efZ0=")</f>
        <v>#REF!</v>
      </c>
      <c r="FC145" t="e">
        <f>AND(Bills!#REF!,"AAAAAH/efZ4=")</f>
        <v>#REF!</v>
      </c>
      <c r="FD145" t="e">
        <f>AND(Bills!F568,"AAAAAH/efZ8=")</f>
        <v>#VALUE!</v>
      </c>
      <c r="FE145" t="e">
        <f>AND(Bills!#REF!,"AAAAAH/efaA=")</f>
        <v>#REF!</v>
      </c>
      <c r="FF145" t="e">
        <f>AND(Bills!G568,"AAAAAH/efaE=")</f>
        <v>#VALUE!</v>
      </c>
      <c r="FG145" t="e">
        <f>AND(Bills!H568,"AAAAAH/efaI=")</f>
        <v>#VALUE!</v>
      </c>
      <c r="FH145" t="e">
        <f>AND(Bills!I568,"AAAAAH/efaM=")</f>
        <v>#VALUE!</v>
      </c>
      <c r="FI145" t="e">
        <f>AND(Bills!J568,"AAAAAH/efaQ=")</f>
        <v>#VALUE!</v>
      </c>
      <c r="FJ145" t="e">
        <f>AND(Bills!K568,"AAAAAH/efaU=")</f>
        <v>#VALUE!</v>
      </c>
      <c r="FK145" t="e">
        <f>AND(Bills!L568,"AAAAAH/efaY=")</f>
        <v>#VALUE!</v>
      </c>
      <c r="FL145" t="e">
        <f>AND(Bills!#REF!,"AAAAAH/efac=")</f>
        <v>#REF!</v>
      </c>
      <c r="FM145" t="e">
        <f>AND(Bills!M568,"AAAAAH/efag=")</f>
        <v>#VALUE!</v>
      </c>
      <c r="FN145" t="e">
        <f>AND(Bills!N568,"AAAAAH/efak=")</f>
        <v>#VALUE!</v>
      </c>
      <c r="FO145" t="e">
        <f>AND(Bills!O568,"AAAAAH/efao=")</f>
        <v>#VALUE!</v>
      </c>
      <c r="FP145" t="e">
        <f>AND(Bills!P568,"AAAAAH/efas=")</f>
        <v>#VALUE!</v>
      </c>
      <c r="FQ145" t="e">
        <f>AND(Bills!Q568,"AAAAAH/efaw=")</f>
        <v>#VALUE!</v>
      </c>
      <c r="FR145" t="e">
        <f>AND(Bills!R568,"AAAAAH/efa0=")</f>
        <v>#VALUE!</v>
      </c>
      <c r="FS145" t="e">
        <f>AND(Bills!S568,"AAAAAH/efa4=")</f>
        <v>#VALUE!</v>
      </c>
      <c r="FT145" t="e">
        <f>AND(Bills!T568,"AAAAAH/efa8=")</f>
        <v>#VALUE!</v>
      </c>
      <c r="FU145" t="e">
        <f>AND(Bills!#REF!,"AAAAAH/efbA=")</f>
        <v>#REF!</v>
      </c>
      <c r="FV145" t="e">
        <f>AND(Bills!U568,"AAAAAH/efbE=")</f>
        <v>#VALUE!</v>
      </c>
      <c r="FW145" t="e">
        <f>AND(Bills!V568,"AAAAAH/efbI=")</f>
        <v>#VALUE!</v>
      </c>
      <c r="FX145" t="e">
        <f>AND(Bills!W568,"AAAAAH/efbM=")</f>
        <v>#VALUE!</v>
      </c>
      <c r="FY145" t="e">
        <f>AND(Bills!#REF!,"AAAAAH/efbQ=")</f>
        <v>#REF!</v>
      </c>
      <c r="FZ145" t="e">
        <f>AND(Bills!#REF!,"AAAAAH/efbU=")</f>
        <v>#REF!</v>
      </c>
      <c r="GA145" t="e">
        <f>AND(Bills!Y568,"AAAAAH/efbY=")</f>
        <v>#VALUE!</v>
      </c>
      <c r="GB145" t="e">
        <f>AND(Bills!Z568,"AAAAAH/efbc=")</f>
        <v>#VALUE!</v>
      </c>
      <c r="GC145" t="e">
        <f>AND(Bills!#REF!,"AAAAAH/efbg=")</f>
        <v>#REF!</v>
      </c>
      <c r="GD145" t="e">
        <f>AND(Bills!#REF!,"AAAAAH/efbk=")</f>
        <v>#REF!</v>
      </c>
      <c r="GE145" t="e">
        <f>AND(Bills!#REF!,"AAAAAH/efbo=")</f>
        <v>#REF!</v>
      </c>
      <c r="GF145" t="e">
        <f>AND(Bills!#REF!,"AAAAAH/efbs=")</f>
        <v>#REF!</v>
      </c>
      <c r="GG145" t="e">
        <f>AND(Bills!#REF!,"AAAAAH/efbw=")</f>
        <v>#REF!</v>
      </c>
      <c r="GH145" t="e">
        <f>AND(Bills!#REF!,"AAAAAH/efb0=")</f>
        <v>#REF!</v>
      </c>
      <c r="GI145" t="e">
        <f>AND(Bills!#REF!,"AAAAAH/efb4=")</f>
        <v>#REF!</v>
      </c>
      <c r="GJ145" t="e">
        <f>AND(Bills!#REF!,"AAAAAH/efb8=")</f>
        <v>#REF!</v>
      </c>
      <c r="GK145" t="e">
        <f>AND(Bills!#REF!,"AAAAAH/efcA=")</f>
        <v>#REF!</v>
      </c>
      <c r="GL145" t="e">
        <f>AND(Bills!AA568,"AAAAAH/efcE=")</f>
        <v>#VALUE!</v>
      </c>
      <c r="GM145" t="e">
        <f>AND(Bills!AB568,"AAAAAH/efcI=")</f>
        <v>#VALUE!</v>
      </c>
      <c r="GN145" t="e">
        <f>AND(Bills!#REF!,"AAAAAH/efcM=")</f>
        <v>#REF!</v>
      </c>
      <c r="GO145" t="e">
        <f>AND(Bills!#REF!,"AAAAAH/efcQ=")</f>
        <v>#REF!</v>
      </c>
      <c r="GP145" t="e">
        <f>AND(Bills!#REF!,"AAAAAH/efcU=")</f>
        <v>#REF!</v>
      </c>
      <c r="GQ145" t="e">
        <f>AND(Bills!AC568,"AAAAAH/efcY=")</f>
        <v>#VALUE!</v>
      </c>
      <c r="GR145" t="e">
        <f>AND(Bills!AD568,"AAAAAH/efcc=")</f>
        <v>#VALUE!</v>
      </c>
      <c r="GS145" t="e">
        <f>AND(Bills!AE568,"AAAAAH/efcg=")</f>
        <v>#VALUE!</v>
      </c>
      <c r="GT145">
        <f>IF(Bills!569:569,"AAAAAH/efck=",0)</f>
        <v>0</v>
      </c>
      <c r="GU145" t="e">
        <f>AND(Bills!B569,"AAAAAH/efco=")</f>
        <v>#VALUE!</v>
      </c>
      <c r="GV145" t="e">
        <f>AND(Bills!#REF!,"AAAAAH/efcs=")</f>
        <v>#REF!</v>
      </c>
      <c r="GW145" t="e">
        <f>AND(Bills!C569,"AAAAAH/efcw=")</f>
        <v>#VALUE!</v>
      </c>
      <c r="GX145" t="e">
        <f>AND(Bills!D569,"AAAAAH/efc0=")</f>
        <v>#VALUE!</v>
      </c>
      <c r="GY145" t="e">
        <f>AND(Bills!E569,"AAAAAH/efc4=")</f>
        <v>#VALUE!</v>
      </c>
      <c r="GZ145" t="e">
        <f>AND(Bills!#REF!,"AAAAAH/efc8=")</f>
        <v>#REF!</v>
      </c>
      <c r="HA145" t="e">
        <f>AND(Bills!#REF!,"AAAAAH/efdA=")</f>
        <v>#REF!</v>
      </c>
      <c r="HB145" t="e">
        <f>AND(Bills!#REF!,"AAAAAH/efdE=")</f>
        <v>#REF!</v>
      </c>
      <c r="HC145" t="e">
        <f>AND(Bills!F569,"AAAAAH/efdI=")</f>
        <v>#VALUE!</v>
      </c>
      <c r="HD145" t="e">
        <f>AND(Bills!#REF!,"AAAAAH/efdM=")</f>
        <v>#REF!</v>
      </c>
      <c r="HE145" t="e">
        <f>AND(Bills!G569,"AAAAAH/efdQ=")</f>
        <v>#VALUE!</v>
      </c>
      <c r="HF145" t="e">
        <f>AND(Bills!H569,"AAAAAH/efdU=")</f>
        <v>#VALUE!</v>
      </c>
      <c r="HG145" t="e">
        <f>AND(Bills!I569,"AAAAAH/efdY=")</f>
        <v>#VALUE!</v>
      </c>
      <c r="HH145" t="e">
        <f>AND(Bills!J569,"AAAAAH/efdc=")</f>
        <v>#VALUE!</v>
      </c>
      <c r="HI145" t="e">
        <f>AND(Bills!K569,"AAAAAH/efdg=")</f>
        <v>#VALUE!</v>
      </c>
      <c r="HJ145" t="e">
        <f>AND(Bills!L569,"AAAAAH/efdk=")</f>
        <v>#VALUE!</v>
      </c>
      <c r="HK145" t="e">
        <f>AND(Bills!#REF!,"AAAAAH/efdo=")</f>
        <v>#REF!</v>
      </c>
      <c r="HL145" t="e">
        <f>AND(Bills!M569,"AAAAAH/efds=")</f>
        <v>#VALUE!</v>
      </c>
      <c r="HM145" t="e">
        <f>AND(Bills!N569,"AAAAAH/efdw=")</f>
        <v>#VALUE!</v>
      </c>
      <c r="HN145" t="e">
        <f>AND(Bills!O569,"AAAAAH/efd0=")</f>
        <v>#VALUE!</v>
      </c>
      <c r="HO145" t="e">
        <f>AND(Bills!P569,"AAAAAH/efd4=")</f>
        <v>#VALUE!</v>
      </c>
      <c r="HP145" t="e">
        <f>AND(Bills!Q569,"AAAAAH/efd8=")</f>
        <v>#VALUE!</v>
      </c>
      <c r="HQ145" t="e">
        <f>AND(Bills!R569,"AAAAAH/efeA=")</f>
        <v>#VALUE!</v>
      </c>
      <c r="HR145" t="e">
        <f>AND(Bills!S569,"AAAAAH/efeE=")</f>
        <v>#VALUE!</v>
      </c>
      <c r="HS145" t="e">
        <f>AND(Bills!T569,"AAAAAH/efeI=")</f>
        <v>#VALUE!</v>
      </c>
      <c r="HT145" t="e">
        <f>AND(Bills!#REF!,"AAAAAH/efeM=")</f>
        <v>#REF!</v>
      </c>
      <c r="HU145" t="e">
        <f>AND(Bills!U569,"AAAAAH/efeQ=")</f>
        <v>#VALUE!</v>
      </c>
      <c r="HV145" t="e">
        <f>AND(Bills!V569,"AAAAAH/efeU=")</f>
        <v>#VALUE!</v>
      </c>
      <c r="HW145" t="e">
        <f>AND(Bills!W569,"AAAAAH/efeY=")</f>
        <v>#VALUE!</v>
      </c>
      <c r="HX145" t="e">
        <f>AND(Bills!#REF!,"AAAAAH/efec=")</f>
        <v>#REF!</v>
      </c>
      <c r="HY145" t="e">
        <f>AND(Bills!#REF!,"AAAAAH/efeg=")</f>
        <v>#REF!</v>
      </c>
      <c r="HZ145" t="e">
        <f>AND(Bills!Y569,"AAAAAH/efek=")</f>
        <v>#VALUE!</v>
      </c>
      <c r="IA145" t="e">
        <f>AND(Bills!Z569,"AAAAAH/efeo=")</f>
        <v>#VALUE!</v>
      </c>
      <c r="IB145" t="e">
        <f>AND(Bills!#REF!,"AAAAAH/efes=")</f>
        <v>#REF!</v>
      </c>
      <c r="IC145" t="e">
        <f>AND(Bills!#REF!,"AAAAAH/efew=")</f>
        <v>#REF!</v>
      </c>
      <c r="ID145" t="e">
        <f>AND(Bills!#REF!,"AAAAAH/efe0=")</f>
        <v>#REF!</v>
      </c>
      <c r="IE145" t="e">
        <f>AND(Bills!#REF!,"AAAAAH/efe4=")</f>
        <v>#REF!</v>
      </c>
      <c r="IF145" t="e">
        <f>AND(Bills!#REF!,"AAAAAH/efe8=")</f>
        <v>#REF!</v>
      </c>
      <c r="IG145" t="e">
        <f>AND(Bills!#REF!,"AAAAAH/effA=")</f>
        <v>#REF!</v>
      </c>
      <c r="IH145" t="e">
        <f>AND(Bills!#REF!,"AAAAAH/effE=")</f>
        <v>#REF!</v>
      </c>
      <c r="II145" t="e">
        <f>AND(Bills!#REF!,"AAAAAH/effI=")</f>
        <v>#REF!</v>
      </c>
      <c r="IJ145" t="e">
        <f>AND(Bills!#REF!,"AAAAAH/effM=")</f>
        <v>#REF!</v>
      </c>
      <c r="IK145" t="e">
        <f>AND(Bills!AA569,"AAAAAH/effQ=")</f>
        <v>#VALUE!</v>
      </c>
      <c r="IL145" t="e">
        <f>AND(Bills!AB569,"AAAAAH/effU=")</f>
        <v>#VALUE!</v>
      </c>
      <c r="IM145" t="e">
        <f>AND(Bills!#REF!,"AAAAAH/effY=")</f>
        <v>#REF!</v>
      </c>
      <c r="IN145" t="e">
        <f>AND(Bills!#REF!,"AAAAAH/effc=")</f>
        <v>#REF!</v>
      </c>
      <c r="IO145" t="e">
        <f>AND(Bills!#REF!,"AAAAAH/effg=")</f>
        <v>#REF!</v>
      </c>
      <c r="IP145" t="e">
        <f>AND(Bills!AC569,"AAAAAH/effk=")</f>
        <v>#VALUE!</v>
      </c>
      <c r="IQ145" t="e">
        <f>AND(Bills!AD569,"AAAAAH/effo=")</f>
        <v>#VALUE!</v>
      </c>
      <c r="IR145" t="e">
        <f>AND(Bills!AE569,"AAAAAH/effs=")</f>
        <v>#VALUE!</v>
      </c>
      <c r="IS145">
        <f>IF(Bills!570:570,"AAAAAH/effw=",0)</f>
        <v>0</v>
      </c>
      <c r="IT145" t="e">
        <f>AND(Bills!B570,"AAAAAH/eff0=")</f>
        <v>#VALUE!</v>
      </c>
      <c r="IU145" t="e">
        <f>AND(Bills!#REF!,"AAAAAH/eff4=")</f>
        <v>#REF!</v>
      </c>
      <c r="IV145" t="e">
        <f>AND(Bills!C570,"AAAAAH/eff8=")</f>
        <v>#VALUE!</v>
      </c>
    </row>
    <row r="146" spans="1:256" x14ac:dyDescent="0.25">
      <c r="A146" t="e">
        <f>AND(Bills!D570,"AAAAADmnNQA=")</f>
        <v>#VALUE!</v>
      </c>
      <c r="B146" t="e">
        <f>AND(Bills!E570,"AAAAADmnNQE=")</f>
        <v>#VALUE!</v>
      </c>
      <c r="C146" t="e">
        <f>AND(Bills!#REF!,"AAAAADmnNQI=")</f>
        <v>#REF!</v>
      </c>
      <c r="D146" t="e">
        <f>AND(Bills!#REF!,"AAAAADmnNQM=")</f>
        <v>#REF!</v>
      </c>
      <c r="E146" t="e">
        <f>AND(Bills!#REF!,"AAAAADmnNQQ=")</f>
        <v>#REF!</v>
      </c>
      <c r="F146" t="e">
        <f>AND(Bills!F570,"AAAAADmnNQU=")</f>
        <v>#VALUE!</v>
      </c>
      <c r="G146" t="e">
        <f>AND(Bills!#REF!,"AAAAADmnNQY=")</f>
        <v>#REF!</v>
      </c>
      <c r="H146" t="e">
        <f>AND(Bills!G570,"AAAAADmnNQc=")</f>
        <v>#VALUE!</v>
      </c>
      <c r="I146" t="e">
        <f>AND(Bills!H570,"AAAAADmnNQg=")</f>
        <v>#VALUE!</v>
      </c>
      <c r="J146" t="e">
        <f>AND(Bills!I570,"AAAAADmnNQk=")</f>
        <v>#VALUE!</v>
      </c>
      <c r="K146" t="e">
        <f>AND(Bills!J570,"AAAAADmnNQo=")</f>
        <v>#VALUE!</v>
      </c>
      <c r="L146" t="e">
        <f>AND(Bills!K570,"AAAAADmnNQs=")</f>
        <v>#VALUE!</v>
      </c>
      <c r="M146" t="e">
        <f>AND(Bills!L570,"AAAAADmnNQw=")</f>
        <v>#VALUE!</v>
      </c>
      <c r="N146" t="e">
        <f>AND(Bills!#REF!,"AAAAADmnNQ0=")</f>
        <v>#REF!</v>
      </c>
      <c r="O146" t="e">
        <f>AND(Bills!M570,"AAAAADmnNQ4=")</f>
        <v>#VALUE!</v>
      </c>
      <c r="P146" t="e">
        <f>AND(Bills!N570,"AAAAADmnNQ8=")</f>
        <v>#VALUE!</v>
      </c>
      <c r="Q146" t="e">
        <f>AND(Bills!O570,"AAAAADmnNRA=")</f>
        <v>#VALUE!</v>
      </c>
      <c r="R146" t="e">
        <f>AND(Bills!P570,"AAAAADmnNRE=")</f>
        <v>#VALUE!</v>
      </c>
      <c r="S146" t="e">
        <f>AND(Bills!Q570,"AAAAADmnNRI=")</f>
        <v>#VALUE!</v>
      </c>
      <c r="T146" t="e">
        <f>AND(Bills!R570,"AAAAADmnNRM=")</f>
        <v>#VALUE!</v>
      </c>
      <c r="U146" t="e">
        <f>AND(Bills!S570,"AAAAADmnNRQ=")</f>
        <v>#VALUE!</v>
      </c>
      <c r="V146" t="e">
        <f>AND(Bills!T570,"AAAAADmnNRU=")</f>
        <v>#VALUE!</v>
      </c>
      <c r="W146" t="e">
        <f>AND(Bills!#REF!,"AAAAADmnNRY=")</f>
        <v>#REF!</v>
      </c>
      <c r="X146" t="e">
        <f>AND(Bills!U570,"AAAAADmnNRc=")</f>
        <v>#VALUE!</v>
      </c>
      <c r="Y146" t="e">
        <f>AND(Bills!V570,"AAAAADmnNRg=")</f>
        <v>#VALUE!</v>
      </c>
      <c r="Z146" t="e">
        <f>AND(Bills!W570,"AAAAADmnNRk=")</f>
        <v>#VALUE!</v>
      </c>
      <c r="AA146" t="e">
        <f>AND(Bills!#REF!,"AAAAADmnNRo=")</f>
        <v>#REF!</v>
      </c>
      <c r="AB146" t="e">
        <f>AND(Bills!#REF!,"AAAAADmnNRs=")</f>
        <v>#REF!</v>
      </c>
      <c r="AC146" t="e">
        <f>AND(Bills!Y570,"AAAAADmnNRw=")</f>
        <v>#VALUE!</v>
      </c>
      <c r="AD146" t="e">
        <f>AND(Bills!Z570,"AAAAADmnNR0=")</f>
        <v>#VALUE!</v>
      </c>
      <c r="AE146" t="e">
        <f>AND(Bills!#REF!,"AAAAADmnNR4=")</f>
        <v>#REF!</v>
      </c>
      <c r="AF146" t="e">
        <f>AND(Bills!#REF!,"AAAAADmnNR8=")</f>
        <v>#REF!</v>
      </c>
      <c r="AG146" t="e">
        <f>AND(Bills!#REF!,"AAAAADmnNSA=")</f>
        <v>#REF!</v>
      </c>
      <c r="AH146" t="e">
        <f>AND(Bills!#REF!,"AAAAADmnNSE=")</f>
        <v>#REF!</v>
      </c>
      <c r="AI146" t="e">
        <f>AND(Bills!#REF!,"AAAAADmnNSI=")</f>
        <v>#REF!</v>
      </c>
      <c r="AJ146" t="e">
        <f>AND(Bills!#REF!,"AAAAADmnNSM=")</f>
        <v>#REF!</v>
      </c>
      <c r="AK146" t="e">
        <f>AND(Bills!#REF!,"AAAAADmnNSQ=")</f>
        <v>#REF!</v>
      </c>
      <c r="AL146" t="e">
        <f>AND(Bills!#REF!,"AAAAADmnNSU=")</f>
        <v>#REF!</v>
      </c>
      <c r="AM146" t="e">
        <f>AND(Bills!#REF!,"AAAAADmnNSY=")</f>
        <v>#REF!</v>
      </c>
      <c r="AN146" t="e">
        <f>AND(Bills!AA570,"AAAAADmnNSc=")</f>
        <v>#VALUE!</v>
      </c>
      <c r="AO146" t="e">
        <f>AND(Bills!AB570,"AAAAADmnNSg=")</f>
        <v>#VALUE!</v>
      </c>
      <c r="AP146" t="e">
        <f>AND(Bills!#REF!,"AAAAADmnNSk=")</f>
        <v>#REF!</v>
      </c>
      <c r="AQ146" t="e">
        <f>AND(Bills!#REF!,"AAAAADmnNSo=")</f>
        <v>#REF!</v>
      </c>
      <c r="AR146" t="e">
        <f>AND(Bills!#REF!,"AAAAADmnNSs=")</f>
        <v>#REF!</v>
      </c>
      <c r="AS146" t="e">
        <f>AND(Bills!AC570,"AAAAADmnNSw=")</f>
        <v>#VALUE!</v>
      </c>
      <c r="AT146" t="e">
        <f>AND(Bills!AD570,"AAAAADmnNS0=")</f>
        <v>#VALUE!</v>
      </c>
      <c r="AU146" t="e">
        <f>AND(Bills!AE570,"AAAAADmnNS4=")</f>
        <v>#VALUE!</v>
      </c>
      <c r="AV146">
        <f>IF(Bills!571:571,"AAAAADmnNS8=",0)</f>
        <v>0</v>
      </c>
      <c r="AW146" t="e">
        <f>AND(Bills!B571,"AAAAADmnNTA=")</f>
        <v>#VALUE!</v>
      </c>
      <c r="AX146" t="e">
        <f>AND(Bills!#REF!,"AAAAADmnNTE=")</f>
        <v>#REF!</v>
      </c>
      <c r="AY146" t="e">
        <f>AND(Bills!C571,"AAAAADmnNTI=")</f>
        <v>#VALUE!</v>
      </c>
      <c r="AZ146" t="e">
        <f>AND(Bills!D571,"AAAAADmnNTM=")</f>
        <v>#VALUE!</v>
      </c>
      <c r="BA146" t="e">
        <f>AND(Bills!E571,"AAAAADmnNTQ=")</f>
        <v>#VALUE!</v>
      </c>
      <c r="BB146" t="e">
        <f>AND(Bills!#REF!,"AAAAADmnNTU=")</f>
        <v>#REF!</v>
      </c>
      <c r="BC146" t="e">
        <f>AND(Bills!#REF!,"AAAAADmnNTY=")</f>
        <v>#REF!</v>
      </c>
      <c r="BD146" t="e">
        <f>AND(Bills!#REF!,"AAAAADmnNTc=")</f>
        <v>#REF!</v>
      </c>
      <c r="BE146" t="e">
        <f>AND(Bills!F571,"AAAAADmnNTg=")</f>
        <v>#VALUE!</v>
      </c>
      <c r="BF146" t="e">
        <f>AND(Bills!#REF!,"AAAAADmnNTk=")</f>
        <v>#REF!</v>
      </c>
      <c r="BG146" t="e">
        <f>AND(Bills!G571,"AAAAADmnNTo=")</f>
        <v>#VALUE!</v>
      </c>
      <c r="BH146" t="e">
        <f>AND(Bills!H571,"AAAAADmnNTs=")</f>
        <v>#VALUE!</v>
      </c>
      <c r="BI146" t="e">
        <f>AND(Bills!I571,"AAAAADmnNTw=")</f>
        <v>#VALUE!</v>
      </c>
      <c r="BJ146" t="e">
        <f>AND(Bills!J571,"AAAAADmnNT0=")</f>
        <v>#VALUE!</v>
      </c>
      <c r="BK146" t="e">
        <f>AND(Bills!K571,"AAAAADmnNT4=")</f>
        <v>#VALUE!</v>
      </c>
      <c r="BL146" t="e">
        <f>AND(Bills!L571,"AAAAADmnNT8=")</f>
        <v>#VALUE!</v>
      </c>
      <c r="BM146" t="e">
        <f>AND(Bills!#REF!,"AAAAADmnNUA=")</f>
        <v>#REF!</v>
      </c>
      <c r="BN146" t="e">
        <f>AND(Bills!M571,"AAAAADmnNUE=")</f>
        <v>#VALUE!</v>
      </c>
      <c r="BO146" t="e">
        <f>AND(Bills!N571,"AAAAADmnNUI=")</f>
        <v>#VALUE!</v>
      </c>
      <c r="BP146" t="e">
        <f>AND(Bills!O571,"AAAAADmnNUM=")</f>
        <v>#VALUE!</v>
      </c>
      <c r="BQ146" t="e">
        <f>AND(Bills!P571,"AAAAADmnNUQ=")</f>
        <v>#VALUE!</v>
      </c>
      <c r="BR146" t="e">
        <f>AND(Bills!Q571,"AAAAADmnNUU=")</f>
        <v>#VALUE!</v>
      </c>
      <c r="BS146" t="e">
        <f>AND(Bills!R571,"AAAAADmnNUY=")</f>
        <v>#VALUE!</v>
      </c>
      <c r="BT146" t="e">
        <f>AND(Bills!S571,"AAAAADmnNUc=")</f>
        <v>#VALUE!</v>
      </c>
      <c r="BU146" t="e">
        <f>AND(Bills!T571,"AAAAADmnNUg=")</f>
        <v>#VALUE!</v>
      </c>
      <c r="BV146" t="e">
        <f>AND(Bills!#REF!,"AAAAADmnNUk=")</f>
        <v>#REF!</v>
      </c>
      <c r="BW146" t="e">
        <f>AND(Bills!U571,"AAAAADmnNUo=")</f>
        <v>#VALUE!</v>
      </c>
      <c r="BX146" t="e">
        <f>AND(Bills!V571,"AAAAADmnNUs=")</f>
        <v>#VALUE!</v>
      </c>
      <c r="BY146" t="e">
        <f>AND(Bills!W571,"AAAAADmnNUw=")</f>
        <v>#VALUE!</v>
      </c>
      <c r="BZ146" t="e">
        <f>AND(Bills!#REF!,"AAAAADmnNU0=")</f>
        <v>#REF!</v>
      </c>
      <c r="CA146" t="e">
        <f>AND(Bills!#REF!,"AAAAADmnNU4=")</f>
        <v>#REF!</v>
      </c>
      <c r="CB146" t="e">
        <f>AND(Bills!Y571,"AAAAADmnNU8=")</f>
        <v>#VALUE!</v>
      </c>
      <c r="CC146" t="e">
        <f>AND(Bills!Z571,"AAAAADmnNVA=")</f>
        <v>#VALUE!</v>
      </c>
      <c r="CD146" t="e">
        <f>AND(Bills!#REF!,"AAAAADmnNVE=")</f>
        <v>#REF!</v>
      </c>
      <c r="CE146" t="e">
        <f>AND(Bills!#REF!,"AAAAADmnNVI=")</f>
        <v>#REF!</v>
      </c>
      <c r="CF146" t="e">
        <f>AND(Bills!#REF!,"AAAAADmnNVM=")</f>
        <v>#REF!</v>
      </c>
      <c r="CG146" t="e">
        <f>AND(Bills!#REF!,"AAAAADmnNVQ=")</f>
        <v>#REF!</v>
      </c>
      <c r="CH146" t="e">
        <f>AND(Bills!#REF!,"AAAAADmnNVU=")</f>
        <v>#REF!</v>
      </c>
      <c r="CI146" t="e">
        <f>AND(Bills!#REF!,"AAAAADmnNVY=")</f>
        <v>#REF!</v>
      </c>
      <c r="CJ146" t="e">
        <f>AND(Bills!#REF!,"AAAAADmnNVc=")</f>
        <v>#REF!</v>
      </c>
      <c r="CK146" t="e">
        <f>AND(Bills!#REF!,"AAAAADmnNVg=")</f>
        <v>#REF!</v>
      </c>
      <c r="CL146" t="e">
        <f>AND(Bills!#REF!,"AAAAADmnNVk=")</f>
        <v>#REF!</v>
      </c>
      <c r="CM146" t="e">
        <f>AND(Bills!AA571,"AAAAADmnNVo=")</f>
        <v>#VALUE!</v>
      </c>
      <c r="CN146" t="e">
        <f>AND(Bills!AB571,"AAAAADmnNVs=")</f>
        <v>#VALUE!</v>
      </c>
      <c r="CO146" t="e">
        <f>AND(Bills!#REF!,"AAAAADmnNVw=")</f>
        <v>#REF!</v>
      </c>
      <c r="CP146" t="e">
        <f>AND(Bills!#REF!,"AAAAADmnNV0=")</f>
        <v>#REF!</v>
      </c>
      <c r="CQ146" t="e">
        <f>AND(Bills!#REF!,"AAAAADmnNV4=")</f>
        <v>#REF!</v>
      </c>
      <c r="CR146" t="e">
        <f>AND(Bills!AC571,"AAAAADmnNV8=")</f>
        <v>#VALUE!</v>
      </c>
      <c r="CS146" t="e">
        <f>AND(Bills!AD571,"AAAAADmnNWA=")</f>
        <v>#VALUE!</v>
      </c>
      <c r="CT146" t="e">
        <f>AND(Bills!AE571,"AAAAADmnNWE=")</f>
        <v>#VALUE!</v>
      </c>
      <c r="CU146">
        <f>IF(Bills!572:572,"AAAAADmnNWI=",0)</f>
        <v>0</v>
      </c>
      <c r="CV146" t="e">
        <f>AND(Bills!B572,"AAAAADmnNWM=")</f>
        <v>#VALUE!</v>
      </c>
      <c r="CW146" t="e">
        <f>AND(Bills!#REF!,"AAAAADmnNWQ=")</f>
        <v>#REF!</v>
      </c>
      <c r="CX146" t="e">
        <f>AND(Bills!C572,"AAAAADmnNWU=")</f>
        <v>#VALUE!</v>
      </c>
      <c r="CY146" t="e">
        <f>AND(Bills!D572,"AAAAADmnNWY=")</f>
        <v>#VALUE!</v>
      </c>
      <c r="CZ146" t="e">
        <f>AND(Bills!E572,"AAAAADmnNWc=")</f>
        <v>#VALUE!</v>
      </c>
      <c r="DA146" t="e">
        <f>AND(Bills!#REF!,"AAAAADmnNWg=")</f>
        <v>#REF!</v>
      </c>
      <c r="DB146" t="e">
        <f>AND(Bills!#REF!,"AAAAADmnNWk=")</f>
        <v>#REF!</v>
      </c>
      <c r="DC146" t="e">
        <f>AND(Bills!#REF!,"AAAAADmnNWo=")</f>
        <v>#REF!</v>
      </c>
      <c r="DD146" t="e">
        <f>AND(Bills!F572,"AAAAADmnNWs=")</f>
        <v>#VALUE!</v>
      </c>
      <c r="DE146" t="e">
        <f>AND(Bills!#REF!,"AAAAADmnNWw=")</f>
        <v>#REF!</v>
      </c>
      <c r="DF146" t="e">
        <f>AND(Bills!G572,"AAAAADmnNW0=")</f>
        <v>#VALUE!</v>
      </c>
      <c r="DG146" t="e">
        <f>AND(Bills!H572,"AAAAADmnNW4=")</f>
        <v>#VALUE!</v>
      </c>
      <c r="DH146" t="e">
        <f>AND(Bills!I572,"AAAAADmnNW8=")</f>
        <v>#VALUE!</v>
      </c>
      <c r="DI146" t="e">
        <f>AND(Bills!J572,"AAAAADmnNXA=")</f>
        <v>#VALUE!</v>
      </c>
      <c r="DJ146" t="e">
        <f>AND(Bills!K572,"AAAAADmnNXE=")</f>
        <v>#VALUE!</v>
      </c>
      <c r="DK146" t="e">
        <f>AND(Bills!L572,"AAAAADmnNXI=")</f>
        <v>#VALUE!</v>
      </c>
      <c r="DL146" t="e">
        <f>AND(Bills!#REF!,"AAAAADmnNXM=")</f>
        <v>#REF!</v>
      </c>
      <c r="DM146" t="e">
        <f>AND(Bills!M572,"AAAAADmnNXQ=")</f>
        <v>#VALUE!</v>
      </c>
      <c r="DN146" t="e">
        <f>AND(Bills!N572,"AAAAADmnNXU=")</f>
        <v>#VALUE!</v>
      </c>
      <c r="DO146" t="e">
        <f>AND(Bills!O572,"AAAAADmnNXY=")</f>
        <v>#VALUE!</v>
      </c>
      <c r="DP146" t="e">
        <f>AND(Bills!P572,"AAAAADmnNXc=")</f>
        <v>#VALUE!</v>
      </c>
      <c r="DQ146" t="e">
        <f>AND(Bills!Q572,"AAAAADmnNXg=")</f>
        <v>#VALUE!</v>
      </c>
      <c r="DR146" t="e">
        <f>AND(Bills!R572,"AAAAADmnNXk=")</f>
        <v>#VALUE!</v>
      </c>
      <c r="DS146" t="e">
        <f>AND(Bills!S572,"AAAAADmnNXo=")</f>
        <v>#VALUE!</v>
      </c>
      <c r="DT146" t="e">
        <f>AND(Bills!T572,"AAAAADmnNXs=")</f>
        <v>#VALUE!</v>
      </c>
      <c r="DU146" t="e">
        <f>AND(Bills!#REF!,"AAAAADmnNXw=")</f>
        <v>#REF!</v>
      </c>
      <c r="DV146" t="e">
        <f>AND(Bills!U572,"AAAAADmnNX0=")</f>
        <v>#VALUE!</v>
      </c>
      <c r="DW146" t="e">
        <f>AND(Bills!V572,"AAAAADmnNX4=")</f>
        <v>#VALUE!</v>
      </c>
      <c r="DX146" t="e">
        <f>AND(Bills!W572,"AAAAADmnNX8=")</f>
        <v>#VALUE!</v>
      </c>
      <c r="DY146" t="e">
        <f>AND(Bills!#REF!,"AAAAADmnNYA=")</f>
        <v>#REF!</v>
      </c>
      <c r="DZ146" t="e">
        <f>AND(Bills!#REF!,"AAAAADmnNYE=")</f>
        <v>#REF!</v>
      </c>
      <c r="EA146" t="e">
        <f>AND(Bills!Y572,"AAAAADmnNYI=")</f>
        <v>#VALUE!</v>
      </c>
      <c r="EB146" t="e">
        <f>AND(Bills!Z572,"AAAAADmnNYM=")</f>
        <v>#VALUE!</v>
      </c>
      <c r="EC146" t="e">
        <f>AND(Bills!#REF!,"AAAAADmnNYQ=")</f>
        <v>#REF!</v>
      </c>
      <c r="ED146" t="e">
        <f>AND(Bills!#REF!,"AAAAADmnNYU=")</f>
        <v>#REF!</v>
      </c>
      <c r="EE146" t="e">
        <f>AND(Bills!#REF!,"AAAAADmnNYY=")</f>
        <v>#REF!</v>
      </c>
      <c r="EF146" t="e">
        <f>AND(Bills!#REF!,"AAAAADmnNYc=")</f>
        <v>#REF!</v>
      </c>
      <c r="EG146" t="e">
        <f>AND(Bills!#REF!,"AAAAADmnNYg=")</f>
        <v>#REF!</v>
      </c>
      <c r="EH146" t="e">
        <f>AND(Bills!#REF!,"AAAAADmnNYk=")</f>
        <v>#REF!</v>
      </c>
      <c r="EI146" t="e">
        <f>AND(Bills!#REF!,"AAAAADmnNYo=")</f>
        <v>#REF!</v>
      </c>
      <c r="EJ146" t="e">
        <f>AND(Bills!#REF!,"AAAAADmnNYs=")</f>
        <v>#REF!</v>
      </c>
      <c r="EK146" t="e">
        <f>AND(Bills!#REF!,"AAAAADmnNYw=")</f>
        <v>#REF!</v>
      </c>
      <c r="EL146" t="e">
        <f>AND(Bills!AA572,"AAAAADmnNY0=")</f>
        <v>#VALUE!</v>
      </c>
      <c r="EM146" t="e">
        <f>AND(Bills!AB572,"AAAAADmnNY4=")</f>
        <v>#VALUE!</v>
      </c>
      <c r="EN146" t="e">
        <f>AND(Bills!#REF!,"AAAAADmnNY8=")</f>
        <v>#REF!</v>
      </c>
      <c r="EO146" t="e">
        <f>AND(Bills!#REF!,"AAAAADmnNZA=")</f>
        <v>#REF!</v>
      </c>
      <c r="EP146" t="e">
        <f>AND(Bills!#REF!,"AAAAADmnNZE=")</f>
        <v>#REF!</v>
      </c>
      <c r="EQ146" t="e">
        <f>AND(Bills!AC572,"AAAAADmnNZI=")</f>
        <v>#VALUE!</v>
      </c>
      <c r="ER146" t="e">
        <f>AND(Bills!AD572,"AAAAADmnNZM=")</f>
        <v>#VALUE!</v>
      </c>
      <c r="ES146" t="e">
        <f>AND(Bills!AE572,"AAAAADmnNZQ=")</f>
        <v>#VALUE!</v>
      </c>
      <c r="ET146">
        <f>IF(Bills!573:573,"AAAAADmnNZU=",0)</f>
        <v>0</v>
      </c>
      <c r="EU146" t="e">
        <f>AND(Bills!B573,"AAAAADmnNZY=")</f>
        <v>#VALUE!</v>
      </c>
      <c r="EV146" t="e">
        <f>AND(Bills!#REF!,"AAAAADmnNZc=")</f>
        <v>#REF!</v>
      </c>
      <c r="EW146" t="e">
        <f>AND(Bills!C573,"AAAAADmnNZg=")</f>
        <v>#VALUE!</v>
      </c>
      <c r="EX146" t="e">
        <f>AND(Bills!D573,"AAAAADmnNZk=")</f>
        <v>#VALUE!</v>
      </c>
      <c r="EY146" t="e">
        <f>AND(Bills!E573,"AAAAADmnNZo=")</f>
        <v>#VALUE!</v>
      </c>
      <c r="EZ146" t="e">
        <f>AND(Bills!#REF!,"AAAAADmnNZs=")</f>
        <v>#REF!</v>
      </c>
      <c r="FA146" t="e">
        <f>AND(Bills!#REF!,"AAAAADmnNZw=")</f>
        <v>#REF!</v>
      </c>
      <c r="FB146" t="e">
        <f>AND(Bills!#REF!,"AAAAADmnNZ0=")</f>
        <v>#REF!</v>
      </c>
      <c r="FC146" t="e">
        <f>AND(Bills!F573,"AAAAADmnNZ4=")</f>
        <v>#VALUE!</v>
      </c>
      <c r="FD146" t="e">
        <f>AND(Bills!#REF!,"AAAAADmnNZ8=")</f>
        <v>#REF!</v>
      </c>
      <c r="FE146" t="e">
        <f>AND(Bills!G573,"AAAAADmnNaA=")</f>
        <v>#VALUE!</v>
      </c>
      <c r="FF146" t="e">
        <f>AND(Bills!H573,"AAAAADmnNaE=")</f>
        <v>#VALUE!</v>
      </c>
      <c r="FG146" t="e">
        <f>AND(Bills!I573,"AAAAADmnNaI=")</f>
        <v>#VALUE!</v>
      </c>
      <c r="FH146" t="e">
        <f>AND(Bills!J573,"AAAAADmnNaM=")</f>
        <v>#VALUE!</v>
      </c>
      <c r="FI146" t="e">
        <f>AND(Bills!K573,"AAAAADmnNaQ=")</f>
        <v>#VALUE!</v>
      </c>
      <c r="FJ146" t="e">
        <f>AND(Bills!L573,"AAAAADmnNaU=")</f>
        <v>#VALUE!</v>
      </c>
      <c r="FK146" t="e">
        <f>AND(Bills!#REF!,"AAAAADmnNaY=")</f>
        <v>#REF!</v>
      </c>
      <c r="FL146" t="e">
        <f>AND(Bills!M573,"AAAAADmnNac=")</f>
        <v>#VALUE!</v>
      </c>
      <c r="FM146" t="e">
        <f>AND(Bills!N573,"AAAAADmnNag=")</f>
        <v>#VALUE!</v>
      </c>
      <c r="FN146" t="e">
        <f>AND(Bills!O573,"AAAAADmnNak=")</f>
        <v>#VALUE!</v>
      </c>
      <c r="FO146" t="e">
        <f>AND(Bills!P573,"AAAAADmnNao=")</f>
        <v>#VALUE!</v>
      </c>
      <c r="FP146" t="e">
        <f>AND(Bills!Q573,"AAAAADmnNas=")</f>
        <v>#VALUE!</v>
      </c>
      <c r="FQ146" t="e">
        <f>AND(Bills!R573,"AAAAADmnNaw=")</f>
        <v>#VALUE!</v>
      </c>
      <c r="FR146" t="e">
        <f>AND(Bills!S573,"AAAAADmnNa0=")</f>
        <v>#VALUE!</v>
      </c>
      <c r="FS146" t="e">
        <f>AND(Bills!T573,"AAAAADmnNa4=")</f>
        <v>#VALUE!</v>
      </c>
      <c r="FT146" t="e">
        <f>AND(Bills!#REF!,"AAAAADmnNa8=")</f>
        <v>#REF!</v>
      </c>
      <c r="FU146" t="e">
        <f>AND(Bills!U573,"AAAAADmnNbA=")</f>
        <v>#VALUE!</v>
      </c>
      <c r="FV146" t="e">
        <f>AND(Bills!V573,"AAAAADmnNbE=")</f>
        <v>#VALUE!</v>
      </c>
      <c r="FW146" t="e">
        <f>AND(Bills!W573,"AAAAADmnNbI=")</f>
        <v>#VALUE!</v>
      </c>
      <c r="FX146" t="e">
        <f>AND(Bills!#REF!,"AAAAADmnNbM=")</f>
        <v>#REF!</v>
      </c>
      <c r="FY146" t="e">
        <f>AND(Bills!#REF!,"AAAAADmnNbQ=")</f>
        <v>#REF!</v>
      </c>
      <c r="FZ146" t="e">
        <f>AND(Bills!Y573,"AAAAADmnNbU=")</f>
        <v>#VALUE!</v>
      </c>
      <c r="GA146" t="e">
        <f>AND(Bills!Z573,"AAAAADmnNbY=")</f>
        <v>#VALUE!</v>
      </c>
      <c r="GB146" t="e">
        <f>AND(Bills!#REF!,"AAAAADmnNbc=")</f>
        <v>#REF!</v>
      </c>
      <c r="GC146" t="e">
        <f>AND(Bills!#REF!,"AAAAADmnNbg=")</f>
        <v>#REF!</v>
      </c>
      <c r="GD146" t="e">
        <f>AND(Bills!#REF!,"AAAAADmnNbk=")</f>
        <v>#REF!</v>
      </c>
      <c r="GE146" t="e">
        <f>AND(Bills!#REF!,"AAAAADmnNbo=")</f>
        <v>#REF!</v>
      </c>
      <c r="GF146" t="e">
        <f>AND(Bills!#REF!,"AAAAADmnNbs=")</f>
        <v>#REF!</v>
      </c>
      <c r="GG146" t="e">
        <f>AND(Bills!#REF!,"AAAAADmnNbw=")</f>
        <v>#REF!</v>
      </c>
      <c r="GH146" t="e">
        <f>AND(Bills!#REF!,"AAAAADmnNb0=")</f>
        <v>#REF!</v>
      </c>
      <c r="GI146" t="e">
        <f>AND(Bills!#REF!,"AAAAADmnNb4=")</f>
        <v>#REF!</v>
      </c>
      <c r="GJ146" t="e">
        <f>AND(Bills!#REF!,"AAAAADmnNb8=")</f>
        <v>#REF!</v>
      </c>
      <c r="GK146" t="e">
        <f>AND(Bills!AA573,"AAAAADmnNcA=")</f>
        <v>#VALUE!</v>
      </c>
      <c r="GL146" t="e">
        <f>AND(Bills!AB573,"AAAAADmnNcE=")</f>
        <v>#VALUE!</v>
      </c>
      <c r="GM146" t="e">
        <f>AND(Bills!#REF!,"AAAAADmnNcI=")</f>
        <v>#REF!</v>
      </c>
      <c r="GN146" t="e">
        <f>AND(Bills!#REF!,"AAAAADmnNcM=")</f>
        <v>#REF!</v>
      </c>
      <c r="GO146" t="e">
        <f>AND(Bills!#REF!,"AAAAADmnNcQ=")</f>
        <v>#REF!</v>
      </c>
      <c r="GP146" t="e">
        <f>AND(Bills!AC573,"AAAAADmnNcU=")</f>
        <v>#VALUE!</v>
      </c>
      <c r="GQ146" t="e">
        <f>AND(Bills!AD573,"AAAAADmnNcY=")</f>
        <v>#VALUE!</v>
      </c>
      <c r="GR146" t="e">
        <f>AND(Bills!AE573,"AAAAADmnNcc=")</f>
        <v>#VALUE!</v>
      </c>
      <c r="GS146">
        <f>IF(Bills!574:574,"AAAAADmnNcg=",0)</f>
        <v>0</v>
      </c>
      <c r="GT146" t="e">
        <f>AND(Bills!B574,"AAAAADmnNck=")</f>
        <v>#VALUE!</v>
      </c>
      <c r="GU146" t="e">
        <f>AND(Bills!#REF!,"AAAAADmnNco=")</f>
        <v>#REF!</v>
      </c>
      <c r="GV146" t="e">
        <f>AND(Bills!C574,"AAAAADmnNcs=")</f>
        <v>#VALUE!</v>
      </c>
      <c r="GW146" t="e">
        <f>AND(Bills!D574,"AAAAADmnNcw=")</f>
        <v>#VALUE!</v>
      </c>
      <c r="GX146" t="e">
        <f>AND(Bills!E574,"AAAAADmnNc0=")</f>
        <v>#VALUE!</v>
      </c>
      <c r="GY146" t="e">
        <f>AND(Bills!#REF!,"AAAAADmnNc4=")</f>
        <v>#REF!</v>
      </c>
      <c r="GZ146" t="e">
        <f>AND(Bills!#REF!,"AAAAADmnNc8=")</f>
        <v>#REF!</v>
      </c>
      <c r="HA146" t="e">
        <f>AND(Bills!#REF!,"AAAAADmnNdA=")</f>
        <v>#REF!</v>
      </c>
      <c r="HB146" t="e">
        <f>AND(Bills!F574,"AAAAADmnNdE=")</f>
        <v>#VALUE!</v>
      </c>
      <c r="HC146" t="e">
        <f>AND(Bills!#REF!,"AAAAADmnNdI=")</f>
        <v>#REF!</v>
      </c>
      <c r="HD146" t="e">
        <f>AND(Bills!G574,"AAAAADmnNdM=")</f>
        <v>#VALUE!</v>
      </c>
      <c r="HE146" t="e">
        <f>AND(Bills!H574,"AAAAADmnNdQ=")</f>
        <v>#VALUE!</v>
      </c>
      <c r="HF146" t="e">
        <f>AND(Bills!I574,"AAAAADmnNdU=")</f>
        <v>#VALUE!</v>
      </c>
      <c r="HG146" t="e">
        <f>AND(Bills!J574,"AAAAADmnNdY=")</f>
        <v>#VALUE!</v>
      </c>
      <c r="HH146" t="e">
        <f>AND(Bills!K574,"AAAAADmnNdc=")</f>
        <v>#VALUE!</v>
      </c>
      <c r="HI146" t="e">
        <f>AND(Bills!L574,"AAAAADmnNdg=")</f>
        <v>#VALUE!</v>
      </c>
      <c r="HJ146" t="e">
        <f>AND(Bills!#REF!,"AAAAADmnNdk=")</f>
        <v>#REF!</v>
      </c>
      <c r="HK146" t="e">
        <f>AND(Bills!M574,"AAAAADmnNdo=")</f>
        <v>#VALUE!</v>
      </c>
      <c r="HL146" t="e">
        <f>AND(Bills!N574,"AAAAADmnNds=")</f>
        <v>#VALUE!</v>
      </c>
      <c r="HM146" t="e">
        <f>AND(Bills!O574,"AAAAADmnNdw=")</f>
        <v>#VALUE!</v>
      </c>
      <c r="HN146" t="e">
        <f>AND(Bills!P574,"AAAAADmnNd0=")</f>
        <v>#VALUE!</v>
      </c>
      <c r="HO146" t="e">
        <f>AND(Bills!Q574,"AAAAADmnNd4=")</f>
        <v>#VALUE!</v>
      </c>
      <c r="HP146" t="e">
        <f>AND(Bills!R574,"AAAAADmnNd8=")</f>
        <v>#VALUE!</v>
      </c>
      <c r="HQ146" t="e">
        <f>AND(Bills!S574,"AAAAADmnNeA=")</f>
        <v>#VALUE!</v>
      </c>
      <c r="HR146" t="e">
        <f>AND(Bills!T574,"AAAAADmnNeE=")</f>
        <v>#VALUE!</v>
      </c>
      <c r="HS146" t="e">
        <f>AND(Bills!#REF!,"AAAAADmnNeI=")</f>
        <v>#REF!</v>
      </c>
      <c r="HT146" t="e">
        <f>AND(Bills!U574,"AAAAADmnNeM=")</f>
        <v>#VALUE!</v>
      </c>
      <c r="HU146" t="e">
        <f>AND(Bills!V574,"AAAAADmnNeQ=")</f>
        <v>#VALUE!</v>
      </c>
      <c r="HV146" t="e">
        <f>AND(Bills!W574,"AAAAADmnNeU=")</f>
        <v>#VALUE!</v>
      </c>
      <c r="HW146" t="e">
        <f>AND(Bills!#REF!,"AAAAADmnNeY=")</f>
        <v>#REF!</v>
      </c>
      <c r="HX146" t="e">
        <f>AND(Bills!#REF!,"AAAAADmnNec=")</f>
        <v>#REF!</v>
      </c>
      <c r="HY146" t="e">
        <f>AND(Bills!Y574,"AAAAADmnNeg=")</f>
        <v>#VALUE!</v>
      </c>
      <c r="HZ146" t="e">
        <f>AND(Bills!Z574,"AAAAADmnNek=")</f>
        <v>#VALUE!</v>
      </c>
      <c r="IA146" t="e">
        <f>AND(Bills!#REF!,"AAAAADmnNeo=")</f>
        <v>#REF!</v>
      </c>
      <c r="IB146" t="e">
        <f>AND(Bills!#REF!,"AAAAADmnNes=")</f>
        <v>#REF!</v>
      </c>
      <c r="IC146" t="e">
        <f>AND(Bills!#REF!,"AAAAADmnNew=")</f>
        <v>#REF!</v>
      </c>
      <c r="ID146" t="e">
        <f>AND(Bills!#REF!,"AAAAADmnNe0=")</f>
        <v>#REF!</v>
      </c>
      <c r="IE146" t="e">
        <f>AND(Bills!#REF!,"AAAAADmnNe4=")</f>
        <v>#REF!</v>
      </c>
      <c r="IF146" t="e">
        <f>AND(Bills!#REF!,"AAAAADmnNe8=")</f>
        <v>#REF!</v>
      </c>
      <c r="IG146" t="e">
        <f>AND(Bills!#REF!,"AAAAADmnNfA=")</f>
        <v>#REF!</v>
      </c>
      <c r="IH146" t="e">
        <f>AND(Bills!#REF!,"AAAAADmnNfE=")</f>
        <v>#REF!</v>
      </c>
      <c r="II146" t="e">
        <f>AND(Bills!#REF!,"AAAAADmnNfI=")</f>
        <v>#REF!</v>
      </c>
      <c r="IJ146" t="e">
        <f>AND(Bills!AA574,"AAAAADmnNfM=")</f>
        <v>#VALUE!</v>
      </c>
      <c r="IK146" t="e">
        <f>AND(Bills!AB574,"AAAAADmnNfQ=")</f>
        <v>#VALUE!</v>
      </c>
      <c r="IL146" t="e">
        <f>AND(Bills!#REF!,"AAAAADmnNfU=")</f>
        <v>#REF!</v>
      </c>
      <c r="IM146" t="e">
        <f>AND(Bills!#REF!,"AAAAADmnNfY=")</f>
        <v>#REF!</v>
      </c>
      <c r="IN146" t="e">
        <f>AND(Bills!#REF!,"AAAAADmnNfc=")</f>
        <v>#REF!</v>
      </c>
      <c r="IO146" t="e">
        <f>AND(Bills!AC574,"AAAAADmnNfg=")</f>
        <v>#VALUE!</v>
      </c>
      <c r="IP146" t="e">
        <f>AND(Bills!AD574,"AAAAADmnNfk=")</f>
        <v>#VALUE!</v>
      </c>
      <c r="IQ146" t="e">
        <f>AND(Bills!AE574,"AAAAADmnNfo=")</f>
        <v>#VALUE!</v>
      </c>
      <c r="IR146">
        <f>IF(Bills!575:575,"AAAAADmnNfs=",0)</f>
        <v>0</v>
      </c>
      <c r="IS146" t="e">
        <f>AND(Bills!B575,"AAAAADmnNfw=")</f>
        <v>#VALUE!</v>
      </c>
      <c r="IT146" t="e">
        <f>AND(Bills!#REF!,"AAAAADmnNf0=")</f>
        <v>#REF!</v>
      </c>
      <c r="IU146" t="e">
        <f>AND(Bills!C575,"AAAAADmnNf4=")</f>
        <v>#VALUE!</v>
      </c>
      <c r="IV146" t="e">
        <f>AND(Bills!D575,"AAAAADmnNf8=")</f>
        <v>#VALUE!</v>
      </c>
    </row>
    <row r="147" spans="1:256" x14ac:dyDescent="0.25">
      <c r="A147" t="e">
        <f>AND(Bills!E575,"AAAAAGzM+QA=")</f>
        <v>#VALUE!</v>
      </c>
      <c r="B147" t="e">
        <f>AND(Bills!#REF!,"AAAAAGzM+QE=")</f>
        <v>#REF!</v>
      </c>
      <c r="C147" t="e">
        <f>AND(Bills!#REF!,"AAAAAGzM+QI=")</f>
        <v>#REF!</v>
      </c>
      <c r="D147" t="e">
        <f>AND(Bills!#REF!,"AAAAAGzM+QM=")</f>
        <v>#REF!</v>
      </c>
      <c r="E147" t="e">
        <f>AND(Bills!F575,"AAAAAGzM+QQ=")</f>
        <v>#VALUE!</v>
      </c>
      <c r="F147" t="e">
        <f>AND(Bills!#REF!,"AAAAAGzM+QU=")</f>
        <v>#REF!</v>
      </c>
      <c r="G147" t="e">
        <f>AND(Bills!G575,"AAAAAGzM+QY=")</f>
        <v>#VALUE!</v>
      </c>
      <c r="H147" t="e">
        <f>AND(Bills!H575,"AAAAAGzM+Qc=")</f>
        <v>#VALUE!</v>
      </c>
      <c r="I147" t="e">
        <f>AND(Bills!I575,"AAAAAGzM+Qg=")</f>
        <v>#VALUE!</v>
      </c>
      <c r="J147" t="e">
        <f>AND(Bills!J575,"AAAAAGzM+Qk=")</f>
        <v>#VALUE!</v>
      </c>
      <c r="K147" t="e">
        <f>AND(Bills!K575,"AAAAAGzM+Qo=")</f>
        <v>#VALUE!</v>
      </c>
      <c r="L147" t="e">
        <f>AND(Bills!L575,"AAAAAGzM+Qs=")</f>
        <v>#VALUE!</v>
      </c>
      <c r="M147" t="e">
        <f>AND(Bills!#REF!,"AAAAAGzM+Qw=")</f>
        <v>#REF!</v>
      </c>
      <c r="N147" t="e">
        <f>AND(Bills!M575,"AAAAAGzM+Q0=")</f>
        <v>#VALUE!</v>
      </c>
      <c r="O147" t="e">
        <f>AND(Bills!N575,"AAAAAGzM+Q4=")</f>
        <v>#VALUE!</v>
      </c>
      <c r="P147" t="e">
        <f>AND(Bills!O575,"AAAAAGzM+Q8=")</f>
        <v>#VALUE!</v>
      </c>
      <c r="Q147" t="e">
        <f>AND(Bills!P575,"AAAAAGzM+RA=")</f>
        <v>#VALUE!</v>
      </c>
      <c r="R147" t="e">
        <f>AND(Bills!Q575,"AAAAAGzM+RE=")</f>
        <v>#VALUE!</v>
      </c>
      <c r="S147" t="e">
        <f>AND(Bills!R575,"AAAAAGzM+RI=")</f>
        <v>#VALUE!</v>
      </c>
      <c r="T147" t="e">
        <f>AND(Bills!S575,"AAAAAGzM+RM=")</f>
        <v>#VALUE!</v>
      </c>
      <c r="U147" t="e">
        <f>AND(Bills!T575,"AAAAAGzM+RQ=")</f>
        <v>#VALUE!</v>
      </c>
      <c r="V147" t="e">
        <f>AND(Bills!#REF!,"AAAAAGzM+RU=")</f>
        <v>#REF!</v>
      </c>
      <c r="W147" t="e">
        <f>AND(Bills!U575,"AAAAAGzM+RY=")</f>
        <v>#VALUE!</v>
      </c>
      <c r="X147" t="e">
        <f>AND(Bills!V575,"AAAAAGzM+Rc=")</f>
        <v>#VALUE!</v>
      </c>
      <c r="Y147" t="e">
        <f>AND(Bills!W575,"AAAAAGzM+Rg=")</f>
        <v>#VALUE!</v>
      </c>
      <c r="Z147" t="e">
        <f>AND(Bills!#REF!,"AAAAAGzM+Rk=")</f>
        <v>#REF!</v>
      </c>
      <c r="AA147" t="e">
        <f>AND(Bills!#REF!,"AAAAAGzM+Ro=")</f>
        <v>#REF!</v>
      </c>
      <c r="AB147" t="e">
        <f>AND(Bills!Y575,"AAAAAGzM+Rs=")</f>
        <v>#VALUE!</v>
      </c>
      <c r="AC147" t="e">
        <f>AND(Bills!Z575,"AAAAAGzM+Rw=")</f>
        <v>#VALUE!</v>
      </c>
      <c r="AD147" t="e">
        <f>AND(Bills!#REF!,"AAAAAGzM+R0=")</f>
        <v>#REF!</v>
      </c>
      <c r="AE147" t="e">
        <f>AND(Bills!#REF!,"AAAAAGzM+R4=")</f>
        <v>#REF!</v>
      </c>
      <c r="AF147" t="e">
        <f>AND(Bills!#REF!,"AAAAAGzM+R8=")</f>
        <v>#REF!</v>
      </c>
      <c r="AG147" t="e">
        <f>AND(Bills!#REF!,"AAAAAGzM+SA=")</f>
        <v>#REF!</v>
      </c>
      <c r="AH147" t="e">
        <f>AND(Bills!#REF!,"AAAAAGzM+SE=")</f>
        <v>#REF!</v>
      </c>
      <c r="AI147" t="e">
        <f>AND(Bills!#REF!,"AAAAAGzM+SI=")</f>
        <v>#REF!</v>
      </c>
      <c r="AJ147" t="e">
        <f>AND(Bills!#REF!,"AAAAAGzM+SM=")</f>
        <v>#REF!</v>
      </c>
      <c r="AK147" t="e">
        <f>AND(Bills!#REF!,"AAAAAGzM+SQ=")</f>
        <v>#REF!</v>
      </c>
      <c r="AL147" t="e">
        <f>AND(Bills!#REF!,"AAAAAGzM+SU=")</f>
        <v>#REF!</v>
      </c>
      <c r="AM147" t="e">
        <f>AND(Bills!AA575,"AAAAAGzM+SY=")</f>
        <v>#VALUE!</v>
      </c>
      <c r="AN147" t="e">
        <f>AND(Bills!AB575,"AAAAAGzM+Sc=")</f>
        <v>#VALUE!</v>
      </c>
      <c r="AO147" t="e">
        <f>AND(Bills!#REF!,"AAAAAGzM+Sg=")</f>
        <v>#REF!</v>
      </c>
      <c r="AP147" t="e">
        <f>AND(Bills!#REF!,"AAAAAGzM+Sk=")</f>
        <v>#REF!</v>
      </c>
      <c r="AQ147" t="e">
        <f>AND(Bills!#REF!,"AAAAAGzM+So=")</f>
        <v>#REF!</v>
      </c>
      <c r="AR147" t="e">
        <f>AND(Bills!AC575,"AAAAAGzM+Ss=")</f>
        <v>#VALUE!</v>
      </c>
      <c r="AS147" t="e">
        <f>AND(Bills!AD575,"AAAAAGzM+Sw=")</f>
        <v>#VALUE!</v>
      </c>
      <c r="AT147" t="e">
        <f>AND(Bills!AE575,"AAAAAGzM+S0=")</f>
        <v>#VALUE!</v>
      </c>
      <c r="AU147">
        <f>IF(Bills!576:576,"AAAAAGzM+S4=",0)</f>
        <v>0</v>
      </c>
      <c r="AV147" t="e">
        <f>AND(Bills!B576,"AAAAAGzM+S8=")</f>
        <v>#VALUE!</v>
      </c>
      <c r="AW147" t="e">
        <f>AND(Bills!#REF!,"AAAAAGzM+TA=")</f>
        <v>#REF!</v>
      </c>
      <c r="AX147" t="e">
        <f>AND(Bills!C576,"AAAAAGzM+TE=")</f>
        <v>#VALUE!</v>
      </c>
      <c r="AY147" t="e">
        <f>AND(Bills!D576,"AAAAAGzM+TI=")</f>
        <v>#VALUE!</v>
      </c>
      <c r="AZ147" t="e">
        <f>AND(Bills!E576,"AAAAAGzM+TM=")</f>
        <v>#VALUE!</v>
      </c>
      <c r="BA147" t="e">
        <f>AND(Bills!#REF!,"AAAAAGzM+TQ=")</f>
        <v>#REF!</v>
      </c>
      <c r="BB147" t="e">
        <f>AND(Bills!#REF!,"AAAAAGzM+TU=")</f>
        <v>#REF!</v>
      </c>
      <c r="BC147" t="e">
        <f>AND(Bills!#REF!,"AAAAAGzM+TY=")</f>
        <v>#REF!</v>
      </c>
      <c r="BD147" t="e">
        <f>AND(Bills!F576,"AAAAAGzM+Tc=")</f>
        <v>#VALUE!</v>
      </c>
      <c r="BE147" t="e">
        <f>AND(Bills!#REF!,"AAAAAGzM+Tg=")</f>
        <v>#REF!</v>
      </c>
      <c r="BF147" t="e">
        <f>AND(Bills!G576,"AAAAAGzM+Tk=")</f>
        <v>#VALUE!</v>
      </c>
      <c r="BG147" t="e">
        <f>AND(Bills!H576,"AAAAAGzM+To=")</f>
        <v>#VALUE!</v>
      </c>
      <c r="BH147" t="e">
        <f>AND(Bills!I576,"AAAAAGzM+Ts=")</f>
        <v>#VALUE!</v>
      </c>
      <c r="BI147" t="e">
        <f>AND(Bills!J576,"AAAAAGzM+Tw=")</f>
        <v>#VALUE!</v>
      </c>
      <c r="BJ147" t="e">
        <f>AND(Bills!K576,"AAAAAGzM+T0=")</f>
        <v>#VALUE!</v>
      </c>
      <c r="BK147" t="e">
        <f>AND(Bills!L576,"AAAAAGzM+T4=")</f>
        <v>#VALUE!</v>
      </c>
      <c r="BL147" t="e">
        <f>AND(Bills!#REF!,"AAAAAGzM+T8=")</f>
        <v>#REF!</v>
      </c>
      <c r="BM147" t="e">
        <f>AND(Bills!M576,"AAAAAGzM+UA=")</f>
        <v>#VALUE!</v>
      </c>
      <c r="BN147" t="e">
        <f>AND(Bills!N576,"AAAAAGzM+UE=")</f>
        <v>#VALUE!</v>
      </c>
      <c r="BO147" t="e">
        <f>AND(Bills!O576,"AAAAAGzM+UI=")</f>
        <v>#VALUE!</v>
      </c>
      <c r="BP147" t="e">
        <f>AND(Bills!P576,"AAAAAGzM+UM=")</f>
        <v>#VALUE!</v>
      </c>
      <c r="BQ147" t="e">
        <f>AND(Bills!Q576,"AAAAAGzM+UQ=")</f>
        <v>#VALUE!</v>
      </c>
      <c r="BR147" t="e">
        <f>AND(Bills!R576,"AAAAAGzM+UU=")</f>
        <v>#VALUE!</v>
      </c>
      <c r="BS147" t="e">
        <f>AND(Bills!S576,"AAAAAGzM+UY=")</f>
        <v>#VALUE!</v>
      </c>
      <c r="BT147" t="e">
        <f>AND(Bills!T576,"AAAAAGzM+Uc=")</f>
        <v>#VALUE!</v>
      </c>
      <c r="BU147" t="e">
        <f>AND(Bills!#REF!,"AAAAAGzM+Ug=")</f>
        <v>#REF!</v>
      </c>
      <c r="BV147" t="e">
        <f>AND(Bills!U576,"AAAAAGzM+Uk=")</f>
        <v>#VALUE!</v>
      </c>
      <c r="BW147" t="e">
        <f>AND(Bills!V576,"AAAAAGzM+Uo=")</f>
        <v>#VALUE!</v>
      </c>
      <c r="BX147" t="e">
        <f>AND(Bills!W576,"AAAAAGzM+Us=")</f>
        <v>#VALUE!</v>
      </c>
      <c r="BY147" t="e">
        <f>AND(Bills!#REF!,"AAAAAGzM+Uw=")</f>
        <v>#REF!</v>
      </c>
      <c r="BZ147" t="e">
        <f>AND(Bills!#REF!,"AAAAAGzM+U0=")</f>
        <v>#REF!</v>
      </c>
      <c r="CA147" t="e">
        <f>AND(Bills!Y576,"AAAAAGzM+U4=")</f>
        <v>#VALUE!</v>
      </c>
      <c r="CB147" t="e">
        <f>AND(Bills!Z576,"AAAAAGzM+U8=")</f>
        <v>#VALUE!</v>
      </c>
      <c r="CC147" t="e">
        <f>AND(Bills!#REF!,"AAAAAGzM+VA=")</f>
        <v>#REF!</v>
      </c>
      <c r="CD147" t="e">
        <f>AND(Bills!#REF!,"AAAAAGzM+VE=")</f>
        <v>#REF!</v>
      </c>
      <c r="CE147" t="e">
        <f>AND(Bills!#REF!,"AAAAAGzM+VI=")</f>
        <v>#REF!</v>
      </c>
      <c r="CF147" t="e">
        <f>AND(Bills!#REF!,"AAAAAGzM+VM=")</f>
        <v>#REF!</v>
      </c>
      <c r="CG147" t="e">
        <f>AND(Bills!#REF!,"AAAAAGzM+VQ=")</f>
        <v>#REF!</v>
      </c>
      <c r="CH147" t="e">
        <f>AND(Bills!#REF!,"AAAAAGzM+VU=")</f>
        <v>#REF!</v>
      </c>
      <c r="CI147" t="e">
        <f>AND(Bills!#REF!,"AAAAAGzM+VY=")</f>
        <v>#REF!</v>
      </c>
      <c r="CJ147" t="e">
        <f>AND(Bills!#REF!,"AAAAAGzM+Vc=")</f>
        <v>#REF!</v>
      </c>
      <c r="CK147" t="e">
        <f>AND(Bills!#REF!,"AAAAAGzM+Vg=")</f>
        <v>#REF!</v>
      </c>
      <c r="CL147" t="e">
        <f>AND(Bills!AA576,"AAAAAGzM+Vk=")</f>
        <v>#VALUE!</v>
      </c>
      <c r="CM147" t="e">
        <f>AND(Bills!AB576,"AAAAAGzM+Vo=")</f>
        <v>#VALUE!</v>
      </c>
      <c r="CN147" t="e">
        <f>AND(Bills!#REF!,"AAAAAGzM+Vs=")</f>
        <v>#REF!</v>
      </c>
      <c r="CO147" t="e">
        <f>AND(Bills!#REF!,"AAAAAGzM+Vw=")</f>
        <v>#REF!</v>
      </c>
      <c r="CP147" t="e">
        <f>AND(Bills!#REF!,"AAAAAGzM+V0=")</f>
        <v>#REF!</v>
      </c>
      <c r="CQ147" t="e">
        <f>AND(Bills!AC576,"AAAAAGzM+V4=")</f>
        <v>#VALUE!</v>
      </c>
      <c r="CR147" t="e">
        <f>AND(Bills!AD576,"AAAAAGzM+V8=")</f>
        <v>#VALUE!</v>
      </c>
      <c r="CS147" t="e">
        <f>AND(Bills!AE576,"AAAAAGzM+WA=")</f>
        <v>#VALUE!</v>
      </c>
      <c r="CT147">
        <f>IF(Bills!577:577,"AAAAAGzM+WE=",0)</f>
        <v>0</v>
      </c>
      <c r="CU147" t="e">
        <f>AND(Bills!B577,"AAAAAGzM+WI=")</f>
        <v>#VALUE!</v>
      </c>
      <c r="CV147" t="e">
        <f>AND(Bills!#REF!,"AAAAAGzM+WM=")</f>
        <v>#REF!</v>
      </c>
      <c r="CW147" t="e">
        <f>AND(Bills!C577,"AAAAAGzM+WQ=")</f>
        <v>#VALUE!</v>
      </c>
      <c r="CX147" t="e">
        <f>AND(Bills!D577,"AAAAAGzM+WU=")</f>
        <v>#VALUE!</v>
      </c>
      <c r="CY147" t="e">
        <f>AND(Bills!E577,"AAAAAGzM+WY=")</f>
        <v>#VALUE!</v>
      </c>
      <c r="CZ147" t="e">
        <f>AND(Bills!#REF!,"AAAAAGzM+Wc=")</f>
        <v>#REF!</v>
      </c>
      <c r="DA147" t="e">
        <f>AND(Bills!#REF!,"AAAAAGzM+Wg=")</f>
        <v>#REF!</v>
      </c>
      <c r="DB147" t="e">
        <f>AND(Bills!#REF!,"AAAAAGzM+Wk=")</f>
        <v>#REF!</v>
      </c>
      <c r="DC147" t="e">
        <f>AND(Bills!F577,"AAAAAGzM+Wo=")</f>
        <v>#VALUE!</v>
      </c>
      <c r="DD147" t="e">
        <f>AND(Bills!#REF!,"AAAAAGzM+Ws=")</f>
        <v>#REF!</v>
      </c>
      <c r="DE147" t="e">
        <f>AND(Bills!G577,"AAAAAGzM+Ww=")</f>
        <v>#VALUE!</v>
      </c>
      <c r="DF147" t="e">
        <f>AND(Bills!H577,"AAAAAGzM+W0=")</f>
        <v>#VALUE!</v>
      </c>
      <c r="DG147" t="e">
        <f>AND(Bills!I577,"AAAAAGzM+W4=")</f>
        <v>#VALUE!</v>
      </c>
      <c r="DH147" t="e">
        <f>AND(Bills!J577,"AAAAAGzM+W8=")</f>
        <v>#VALUE!</v>
      </c>
      <c r="DI147" t="e">
        <f>AND(Bills!K577,"AAAAAGzM+XA=")</f>
        <v>#VALUE!</v>
      </c>
      <c r="DJ147" t="e">
        <f>AND(Bills!L577,"AAAAAGzM+XE=")</f>
        <v>#VALUE!</v>
      </c>
      <c r="DK147" t="e">
        <f>AND(Bills!#REF!,"AAAAAGzM+XI=")</f>
        <v>#REF!</v>
      </c>
      <c r="DL147" t="e">
        <f>AND(Bills!M577,"AAAAAGzM+XM=")</f>
        <v>#VALUE!</v>
      </c>
      <c r="DM147" t="e">
        <f>AND(Bills!N577,"AAAAAGzM+XQ=")</f>
        <v>#VALUE!</v>
      </c>
      <c r="DN147" t="e">
        <f>AND(Bills!O577,"AAAAAGzM+XU=")</f>
        <v>#VALUE!</v>
      </c>
      <c r="DO147" t="e">
        <f>AND(Bills!P577,"AAAAAGzM+XY=")</f>
        <v>#VALUE!</v>
      </c>
      <c r="DP147" t="e">
        <f>AND(Bills!Q577,"AAAAAGzM+Xc=")</f>
        <v>#VALUE!</v>
      </c>
      <c r="DQ147" t="e">
        <f>AND(Bills!R577,"AAAAAGzM+Xg=")</f>
        <v>#VALUE!</v>
      </c>
      <c r="DR147" t="e">
        <f>AND(Bills!S577,"AAAAAGzM+Xk=")</f>
        <v>#VALUE!</v>
      </c>
      <c r="DS147" t="e">
        <f>AND(Bills!T577,"AAAAAGzM+Xo=")</f>
        <v>#VALUE!</v>
      </c>
      <c r="DT147" t="e">
        <f>AND(Bills!#REF!,"AAAAAGzM+Xs=")</f>
        <v>#REF!</v>
      </c>
      <c r="DU147" t="e">
        <f>AND(Bills!U577,"AAAAAGzM+Xw=")</f>
        <v>#VALUE!</v>
      </c>
      <c r="DV147" t="e">
        <f>AND(Bills!V577,"AAAAAGzM+X0=")</f>
        <v>#VALUE!</v>
      </c>
      <c r="DW147" t="e">
        <f>AND(Bills!W577,"AAAAAGzM+X4=")</f>
        <v>#VALUE!</v>
      </c>
      <c r="DX147" t="e">
        <f>AND(Bills!#REF!,"AAAAAGzM+X8=")</f>
        <v>#REF!</v>
      </c>
      <c r="DY147" t="e">
        <f>AND(Bills!#REF!,"AAAAAGzM+YA=")</f>
        <v>#REF!</v>
      </c>
      <c r="DZ147" t="e">
        <f>AND(Bills!Y577,"AAAAAGzM+YE=")</f>
        <v>#VALUE!</v>
      </c>
      <c r="EA147" t="e">
        <f>AND(Bills!Z577,"AAAAAGzM+YI=")</f>
        <v>#VALUE!</v>
      </c>
      <c r="EB147" t="e">
        <f>AND(Bills!#REF!,"AAAAAGzM+YM=")</f>
        <v>#REF!</v>
      </c>
      <c r="EC147" t="e">
        <f>AND(Bills!#REF!,"AAAAAGzM+YQ=")</f>
        <v>#REF!</v>
      </c>
      <c r="ED147" t="e">
        <f>AND(Bills!#REF!,"AAAAAGzM+YU=")</f>
        <v>#REF!</v>
      </c>
      <c r="EE147" t="e">
        <f>AND(Bills!#REF!,"AAAAAGzM+YY=")</f>
        <v>#REF!</v>
      </c>
      <c r="EF147" t="e">
        <f>AND(Bills!#REF!,"AAAAAGzM+Yc=")</f>
        <v>#REF!</v>
      </c>
      <c r="EG147" t="e">
        <f>AND(Bills!#REF!,"AAAAAGzM+Yg=")</f>
        <v>#REF!</v>
      </c>
      <c r="EH147" t="e">
        <f>AND(Bills!#REF!,"AAAAAGzM+Yk=")</f>
        <v>#REF!</v>
      </c>
      <c r="EI147" t="e">
        <f>AND(Bills!#REF!,"AAAAAGzM+Yo=")</f>
        <v>#REF!</v>
      </c>
      <c r="EJ147" t="e">
        <f>AND(Bills!#REF!,"AAAAAGzM+Ys=")</f>
        <v>#REF!</v>
      </c>
      <c r="EK147" t="e">
        <f>AND(Bills!AA577,"AAAAAGzM+Yw=")</f>
        <v>#VALUE!</v>
      </c>
      <c r="EL147" t="e">
        <f>AND(Bills!AB577,"AAAAAGzM+Y0=")</f>
        <v>#VALUE!</v>
      </c>
      <c r="EM147" t="e">
        <f>AND(Bills!#REF!,"AAAAAGzM+Y4=")</f>
        <v>#REF!</v>
      </c>
      <c r="EN147" t="e">
        <f>AND(Bills!#REF!,"AAAAAGzM+Y8=")</f>
        <v>#REF!</v>
      </c>
      <c r="EO147" t="e">
        <f>AND(Bills!#REF!,"AAAAAGzM+ZA=")</f>
        <v>#REF!</v>
      </c>
      <c r="EP147" t="e">
        <f>AND(Bills!AC577,"AAAAAGzM+ZE=")</f>
        <v>#VALUE!</v>
      </c>
      <c r="EQ147" t="e">
        <f>AND(Bills!AD577,"AAAAAGzM+ZI=")</f>
        <v>#VALUE!</v>
      </c>
      <c r="ER147" t="e">
        <f>AND(Bills!AE577,"AAAAAGzM+ZM=")</f>
        <v>#VALUE!</v>
      </c>
      <c r="ES147">
        <f>IF(Bills!578:578,"AAAAAGzM+ZQ=",0)</f>
        <v>0</v>
      </c>
      <c r="ET147" t="e">
        <f>AND(Bills!B578,"AAAAAGzM+ZU=")</f>
        <v>#VALUE!</v>
      </c>
      <c r="EU147" t="e">
        <f>AND(Bills!#REF!,"AAAAAGzM+ZY=")</f>
        <v>#REF!</v>
      </c>
      <c r="EV147" t="e">
        <f>AND(Bills!C578,"AAAAAGzM+Zc=")</f>
        <v>#VALUE!</v>
      </c>
      <c r="EW147" t="e">
        <f>AND(Bills!D578,"AAAAAGzM+Zg=")</f>
        <v>#VALUE!</v>
      </c>
      <c r="EX147" t="e">
        <f>AND(Bills!E578,"AAAAAGzM+Zk=")</f>
        <v>#VALUE!</v>
      </c>
      <c r="EY147" t="e">
        <f>AND(Bills!#REF!,"AAAAAGzM+Zo=")</f>
        <v>#REF!</v>
      </c>
      <c r="EZ147" t="e">
        <f>AND(Bills!#REF!,"AAAAAGzM+Zs=")</f>
        <v>#REF!</v>
      </c>
      <c r="FA147" t="e">
        <f>AND(Bills!#REF!,"AAAAAGzM+Zw=")</f>
        <v>#REF!</v>
      </c>
      <c r="FB147" t="e">
        <f>AND(Bills!F578,"AAAAAGzM+Z0=")</f>
        <v>#VALUE!</v>
      </c>
      <c r="FC147" t="e">
        <f>AND(Bills!#REF!,"AAAAAGzM+Z4=")</f>
        <v>#REF!</v>
      </c>
      <c r="FD147" t="e">
        <f>AND(Bills!G578,"AAAAAGzM+Z8=")</f>
        <v>#VALUE!</v>
      </c>
      <c r="FE147" t="e">
        <f>AND(Bills!H578,"AAAAAGzM+aA=")</f>
        <v>#VALUE!</v>
      </c>
      <c r="FF147" t="e">
        <f>AND(Bills!I578,"AAAAAGzM+aE=")</f>
        <v>#VALUE!</v>
      </c>
      <c r="FG147" t="e">
        <f>AND(Bills!J578,"AAAAAGzM+aI=")</f>
        <v>#VALUE!</v>
      </c>
      <c r="FH147" t="e">
        <f>AND(Bills!K578,"AAAAAGzM+aM=")</f>
        <v>#VALUE!</v>
      </c>
      <c r="FI147" t="e">
        <f>AND(Bills!L578,"AAAAAGzM+aQ=")</f>
        <v>#VALUE!</v>
      </c>
      <c r="FJ147" t="e">
        <f>AND(Bills!#REF!,"AAAAAGzM+aU=")</f>
        <v>#REF!</v>
      </c>
      <c r="FK147" t="e">
        <f>AND(Bills!M578,"AAAAAGzM+aY=")</f>
        <v>#VALUE!</v>
      </c>
      <c r="FL147" t="e">
        <f>AND(Bills!N578,"AAAAAGzM+ac=")</f>
        <v>#VALUE!</v>
      </c>
      <c r="FM147" t="e">
        <f>AND(Bills!O578,"AAAAAGzM+ag=")</f>
        <v>#VALUE!</v>
      </c>
      <c r="FN147" t="e">
        <f>AND(Bills!P578,"AAAAAGzM+ak=")</f>
        <v>#VALUE!</v>
      </c>
      <c r="FO147" t="e">
        <f>AND(Bills!Q578,"AAAAAGzM+ao=")</f>
        <v>#VALUE!</v>
      </c>
      <c r="FP147" t="e">
        <f>AND(Bills!R578,"AAAAAGzM+as=")</f>
        <v>#VALUE!</v>
      </c>
      <c r="FQ147" t="e">
        <f>AND(Bills!S578,"AAAAAGzM+aw=")</f>
        <v>#VALUE!</v>
      </c>
      <c r="FR147" t="e">
        <f>AND(Bills!T578,"AAAAAGzM+a0=")</f>
        <v>#VALUE!</v>
      </c>
      <c r="FS147" t="e">
        <f>AND(Bills!#REF!,"AAAAAGzM+a4=")</f>
        <v>#REF!</v>
      </c>
      <c r="FT147" t="e">
        <f>AND(Bills!U578,"AAAAAGzM+a8=")</f>
        <v>#VALUE!</v>
      </c>
      <c r="FU147" t="e">
        <f>AND(Bills!V578,"AAAAAGzM+bA=")</f>
        <v>#VALUE!</v>
      </c>
      <c r="FV147" t="e">
        <f>AND(Bills!W578,"AAAAAGzM+bE=")</f>
        <v>#VALUE!</v>
      </c>
      <c r="FW147" t="e">
        <f>AND(Bills!#REF!,"AAAAAGzM+bI=")</f>
        <v>#REF!</v>
      </c>
      <c r="FX147" t="e">
        <f>AND(Bills!#REF!,"AAAAAGzM+bM=")</f>
        <v>#REF!</v>
      </c>
      <c r="FY147" t="e">
        <f>AND(Bills!Y578,"AAAAAGzM+bQ=")</f>
        <v>#VALUE!</v>
      </c>
      <c r="FZ147" t="e">
        <f>AND(Bills!Z578,"AAAAAGzM+bU=")</f>
        <v>#VALUE!</v>
      </c>
      <c r="GA147" t="e">
        <f>AND(Bills!#REF!,"AAAAAGzM+bY=")</f>
        <v>#REF!</v>
      </c>
      <c r="GB147" t="e">
        <f>AND(Bills!#REF!,"AAAAAGzM+bc=")</f>
        <v>#REF!</v>
      </c>
      <c r="GC147" t="e">
        <f>AND(Bills!#REF!,"AAAAAGzM+bg=")</f>
        <v>#REF!</v>
      </c>
      <c r="GD147" t="e">
        <f>AND(Bills!#REF!,"AAAAAGzM+bk=")</f>
        <v>#REF!</v>
      </c>
      <c r="GE147" t="e">
        <f>AND(Bills!#REF!,"AAAAAGzM+bo=")</f>
        <v>#REF!</v>
      </c>
      <c r="GF147" t="e">
        <f>AND(Bills!#REF!,"AAAAAGzM+bs=")</f>
        <v>#REF!</v>
      </c>
      <c r="GG147" t="e">
        <f>AND(Bills!#REF!,"AAAAAGzM+bw=")</f>
        <v>#REF!</v>
      </c>
      <c r="GH147" t="e">
        <f>AND(Bills!#REF!,"AAAAAGzM+b0=")</f>
        <v>#REF!</v>
      </c>
      <c r="GI147" t="e">
        <f>AND(Bills!#REF!,"AAAAAGzM+b4=")</f>
        <v>#REF!</v>
      </c>
      <c r="GJ147" t="e">
        <f>AND(Bills!AA578,"AAAAAGzM+b8=")</f>
        <v>#VALUE!</v>
      </c>
      <c r="GK147" t="e">
        <f>AND(Bills!AB578,"AAAAAGzM+cA=")</f>
        <v>#VALUE!</v>
      </c>
      <c r="GL147" t="e">
        <f>AND(Bills!#REF!,"AAAAAGzM+cE=")</f>
        <v>#REF!</v>
      </c>
      <c r="GM147" t="e">
        <f>AND(Bills!#REF!,"AAAAAGzM+cI=")</f>
        <v>#REF!</v>
      </c>
      <c r="GN147" t="e">
        <f>AND(Bills!#REF!,"AAAAAGzM+cM=")</f>
        <v>#REF!</v>
      </c>
      <c r="GO147" t="e">
        <f>AND(Bills!AC578,"AAAAAGzM+cQ=")</f>
        <v>#VALUE!</v>
      </c>
      <c r="GP147" t="e">
        <f>AND(Bills!AD578,"AAAAAGzM+cU=")</f>
        <v>#VALUE!</v>
      </c>
      <c r="GQ147" t="e">
        <f>AND(Bills!AE578,"AAAAAGzM+cY=")</f>
        <v>#VALUE!</v>
      </c>
      <c r="GR147">
        <f>IF(Bills!579:579,"AAAAAGzM+cc=",0)</f>
        <v>0</v>
      </c>
      <c r="GS147" t="e">
        <f>AND(Bills!B579,"AAAAAGzM+cg=")</f>
        <v>#VALUE!</v>
      </c>
      <c r="GT147" t="e">
        <f>AND(Bills!#REF!,"AAAAAGzM+ck=")</f>
        <v>#REF!</v>
      </c>
      <c r="GU147" t="e">
        <f>AND(Bills!C579,"AAAAAGzM+co=")</f>
        <v>#VALUE!</v>
      </c>
      <c r="GV147" t="e">
        <f>AND(Bills!D579,"AAAAAGzM+cs=")</f>
        <v>#VALUE!</v>
      </c>
      <c r="GW147" t="e">
        <f>AND(Bills!E579,"AAAAAGzM+cw=")</f>
        <v>#VALUE!</v>
      </c>
      <c r="GX147" t="e">
        <f>AND(Bills!#REF!,"AAAAAGzM+c0=")</f>
        <v>#REF!</v>
      </c>
      <c r="GY147" t="e">
        <f>AND(Bills!#REF!,"AAAAAGzM+c4=")</f>
        <v>#REF!</v>
      </c>
      <c r="GZ147" t="e">
        <f>AND(Bills!#REF!,"AAAAAGzM+c8=")</f>
        <v>#REF!</v>
      </c>
      <c r="HA147" t="e">
        <f>AND(Bills!F579,"AAAAAGzM+dA=")</f>
        <v>#VALUE!</v>
      </c>
      <c r="HB147" t="e">
        <f>AND(Bills!#REF!,"AAAAAGzM+dE=")</f>
        <v>#REF!</v>
      </c>
      <c r="HC147" t="e">
        <f>AND(Bills!G579,"AAAAAGzM+dI=")</f>
        <v>#VALUE!</v>
      </c>
      <c r="HD147" t="e">
        <f>AND(Bills!H579,"AAAAAGzM+dM=")</f>
        <v>#VALUE!</v>
      </c>
      <c r="HE147" t="e">
        <f>AND(Bills!I579,"AAAAAGzM+dQ=")</f>
        <v>#VALUE!</v>
      </c>
      <c r="HF147" t="e">
        <f>AND(Bills!J579,"AAAAAGzM+dU=")</f>
        <v>#VALUE!</v>
      </c>
      <c r="HG147" t="e">
        <f>AND(Bills!K579,"AAAAAGzM+dY=")</f>
        <v>#VALUE!</v>
      </c>
      <c r="HH147" t="e">
        <f>AND(Bills!L579,"AAAAAGzM+dc=")</f>
        <v>#VALUE!</v>
      </c>
      <c r="HI147" t="e">
        <f>AND(Bills!#REF!,"AAAAAGzM+dg=")</f>
        <v>#REF!</v>
      </c>
      <c r="HJ147" t="e">
        <f>AND(Bills!M579,"AAAAAGzM+dk=")</f>
        <v>#VALUE!</v>
      </c>
      <c r="HK147" t="e">
        <f>AND(Bills!N579,"AAAAAGzM+do=")</f>
        <v>#VALUE!</v>
      </c>
      <c r="HL147" t="e">
        <f>AND(Bills!O579,"AAAAAGzM+ds=")</f>
        <v>#VALUE!</v>
      </c>
      <c r="HM147" t="e">
        <f>AND(Bills!P579,"AAAAAGzM+dw=")</f>
        <v>#VALUE!</v>
      </c>
      <c r="HN147" t="e">
        <f>AND(Bills!Q579,"AAAAAGzM+d0=")</f>
        <v>#VALUE!</v>
      </c>
      <c r="HO147" t="e">
        <f>AND(Bills!R579,"AAAAAGzM+d4=")</f>
        <v>#VALUE!</v>
      </c>
      <c r="HP147" t="e">
        <f>AND(Bills!S579,"AAAAAGzM+d8=")</f>
        <v>#VALUE!</v>
      </c>
      <c r="HQ147" t="e">
        <f>AND(Bills!T579,"AAAAAGzM+eA=")</f>
        <v>#VALUE!</v>
      </c>
      <c r="HR147" t="e">
        <f>AND(Bills!#REF!,"AAAAAGzM+eE=")</f>
        <v>#REF!</v>
      </c>
      <c r="HS147" t="e">
        <f>AND(Bills!U579,"AAAAAGzM+eI=")</f>
        <v>#VALUE!</v>
      </c>
      <c r="HT147" t="e">
        <f>AND(Bills!V579,"AAAAAGzM+eM=")</f>
        <v>#VALUE!</v>
      </c>
      <c r="HU147" t="e">
        <f>AND(Bills!W579,"AAAAAGzM+eQ=")</f>
        <v>#VALUE!</v>
      </c>
      <c r="HV147" t="e">
        <f>AND(Bills!#REF!,"AAAAAGzM+eU=")</f>
        <v>#REF!</v>
      </c>
      <c r="HW147" t="e">
        <f>AND(Bills!#REF!,"AAAAAGzM+eY=")</f>
        <v>#REF!</v>
      </c>
      <c r="HX147" t="e">
        <f>AND(Bills!Y579,"AAAAAGzM+ec=")</f>
        <v>#VALUE!</v>
      </c>
      <c r="HY147" t="e">
        <f>AND(Bills!Z579,"AAAAAGzM+eg=")</f>
        <v>#VALUE!</v>
      </c>
      <c r="HZ147" t="e">
        <f>AND(Bills!#REF!,"AAAAAGzM+ek=")</f>
        <v>#REF!</v>
      </c>
      <c r="IA147" t="e">
        <f>AND(Bills!#REF!,"AAAAAGzM+eo=")</f>
        <v>#REF!</v>
      </c>
      <c r="IB147" t="e">
        <f>AND(Bills!#REF!,"AAAAAGzM+es=")</f>
        <v>#REF!</v>
      </c>
      <c r="IC147" t="e">
        <f>AND(Bills!#REF!,"AAAAAGzM+ew=")</f>
        <v>#REF!</v>
      </c>
      <c r="ID147" t="e">
        <f>AND(Bills!#REF!,"AAAAAGzM+e0=")</f>
        <v>#REF!</v>
      </c>
      <c r="IE147" t="e">
        <f>AND(Bills!#REF!,"AAAAAGzM+e4=")</f>
        <v>#REF!</v>
      </c>
      <c r="IF147" t="e">
        <f>AND(Bills!#REF!,"AAAAAGzM+e8=")</f>
        <v>#REF!</v>
      </c>
      <c r="IG147" t="e">
        <f>AND(Bills!#REF!,"AAAAAGzM+fA=")</f>
        <v>#REF!</v>
      </c>
      <c r="IH147" t="e">
        <f>AND(Bills!#REF!,"AAAAAGzM+fE=")</f>
        <v>#REF!</v>
      </c>
      <c r="II147" t="e">
        <f>AND(Bills!AA579,"AAAAAGzM+fI=")</f>
        <v>#VALUE!</v>
      </c>
      <c r="IJ147" t="e">
        <f>AND(Bills!AB579,"AAAAAGzM+fM=")</f>
        <v>#VALUE!</v>
      </c>
      <c r="IK147" t="e">
        <f>AND(Bills!#REF!,"AAAAAGzM+fQ=")</f>
        <v>#REF!</v>
      </c>
      <c r="IL147" t="e">
        <f>AND(Bills!#REF!,"AAAAAGzM+fU=")</f>
        <v>#REF!</v>
      </c>
      <c r="IM147" t="e">
        <f>AND(Bills!#REF!,"AAAAAGzM+fY=")</f>
        <v>#REF!</v>
      </c>
      <c r="IN147" t="e">
        <f>AND(Bills!AC579,"AAAAAGzM+fc=")</f>
        <v>#VALUE!</v>
      </c>
      <c r="IO147" t="e">
        <f>AND(Bills!AD579,"AAAAAGzM+fg=")</f>
        <v>#VALUE!</v>
      </c>
      <c r="IP147" t="e">
        <f>AND(Bills!AE579,"AAAAAGzM+fk=")</f>
        <v>#VALUE!</v>
      </c>
      <c r="IQ147">
        <f>IF(Bills!580:580,"AAAAAGzM+fo=",0)</f>
        <v>0</v>
      </c>
      <c r="IR147" t="e">
        <f>AND(Bills!B580,"AAAAAGzM+fs=")</f>
        <v>#VALUE!</v>
      </c>
      <c r="IS147" t="e">
        <f>AND(Bills!#REF!,"AAAAAGzM+fw=")</f>
        <v>#REF!</v>
      </c>
      <c r="IT147" t="e">
        <f>AND(Bills!C580,"AAAAAGzM+f0=")</f>
        <v>#VALUE!</v>
      </c>
      <c r="IU147" t="e">
        <f>AND(Bills!D580,"AAAAAGzM+f4=")</f>
        <v>#VALUE!</v>
      </c>
      <c r="IV147" t="e">
        <f>AND(Bills!E580,"AAAAAGzM+f8=")</f>
        <v>#VALUE!</v>
      </c>
    </row>
    <row r="148" spans="1:256" x14ac:dyDescent="0.25">
      <c r="A148" t="e">
        <f>AND(Bills!#REF!,"AAAAAHvfvwA=")</f>
        <v>#REF!</v>
      </c>
      <c r="B148" t="e">
        <f>AND(Bills!#REF!,"AAAAAHvfvwE=")</f>
        <v>#REF!</v>
      </c>
      <c r="C148" t="e">
        <f>AND(Bills!#REF!,"AAAAAHvfvwI=")</f>
        <v>#REF!</v>
      </c>
      <c r="D148" t="e">
        <f>AND(Bills!F580,"AAAAAHvfvwM=")</f>
        <v>#VALUE!</v>
      </c>
      <c r="E148" t="e">
        <f>AND(Bills!#REF!,"AAAAAHvfvwQ=")</f>
        <v>#REF!</v>
      </c>
      <c r="F148" t="e">
        <f>AND(Bills!G580,"AAAAAHvfvwU=")</f>
        <v>#VALUE!</v>
      </c>
      <c r="G148" t="e">
        <f>AND(Bills!H580,"AAAAAHvfvwY=")</f>
        <v>#VALUE!</v>
      </c>
      <c r="H148" t="e">
        <f>AND(Bills!I580,"AAAAAHvfvwc=")</f>
        <v>#VALUE!</v>
      </c>
      <c r="I148" t="e">
        <f>AND(Bills!J580,"AAAAAHvfvwg=")</f>
        <v>#VALUE!</v>
      </c>
      <c r="J148" t="e">
        <f>AND(Bills!K580,"AAAAAHvfvwk=")</f>
        <v>#VALUE!</v>
      </c>
      <c r="K148" t="e">
        <f>AND(Bills!L580,"AAAAAHvfvwo=")</f>
        <v>#VALUE!</v>
      </c>
      <c r="L148" t="e">
        <f>AND(Bills!#REF!,"AAAAAHvfvws=")</f>
        <v>#REF!</v>
      </c>
      <c r="M148" t="e">
        <f>AND(Bills!M580,"AAAAAHvfvww=")</f>
        <v>#VALUE!</v>
      </c>
      <c r="N148" t="e">
        <f>AND(Bills!N580,"AAAAAHvfvw0=")</f>
        <v>#VALUE!</v>
      </c>
      <c r="O148" t="e">
        <f>AND(Bills!O580,"AAAAAHvfvw4=")</f>
        <v>#VALUE!</v>
      </c>
      <c r="P148" t="e">
        <f>AND(Bills!P580,"AAAAAHvfvw8=")</f>
        <v>#VALUE!</v>
      </c>
      <c r="Q148" t="e">
        <f>AND(Bills!Q580,"AAAAAHvfvxA=")</f>
        <v>#VALUE!</v>
      </c>
      <c r="R148" t="e">
        <f>AND(Bills!R580,"AAAAAHvfvxE=")</f>
        <v>#VALUE!</v>
      </c>
      <c r="S148" t="e">
        <f>AND(Bills!S580,"AAAAAHvfvxI=")</f>
        <v>#VALUE!</v>
      </c>
      <c r="T148" t="e">
        <f>AND(Bills!T580,"AAAAAHvfvxM=")</f>
        <v>#VALUE!</v>
      </c>
      <c r="U148" t="e">
        <f>AND(Bills!#REF!,"AAAAAHvfvxQ=")</f>
        <v>#REF!</v>
      </c>
      <c r="V148" t="e">
        <f>AND(Bills!U580,"AAAAAHvfvxU=")</f>
        <v>#VALUE!</v>
      </c>
      <c r="W148" t="e">
        <f>AND(Bills!V580,"AAAAAHvfvxY=")</f>
        <v>#VALUE!</v>
      </c>
      <c r="X148" t="e">
        <f>AND(Bills!W580,"AAAAAHvfvxc=")</f>
        <v>#VALUE!</v>
      </c>
      <c r="Y148" t="e">
        <f>AND(Bills!#REF!,"AAAAAHvfvxg=")</f>
        <v>#REF!</v>
      </c>
      <c r="Z148" t="e">
        <f>AND(Bills!#REF!,"AAAAAHvfvxk=")</f>
        <v>#REF!</v>
      </c>
      <c r="AA148" t="e">
        <f>AND(Bills!Y580,"AAAAAHvfvxo=")</f>
        <v>#VALUE!</v>
      </c>
      <c r="AB148" t="e">
        <f>AND(Bills!Z580,"AAAAAHvfvxs=")</f>
        <v>#VALUE!</v>
      </c>
      <c r="AC148" t="e">
        <f>AND(Bills!#REF!,"AAAAAHvfvxw=")</f>
        <v>#REF!</v>
      </c>
      <c r="AD148" t="e">
        <f>AND(Bills!#REF!,"AAAAAHvfvx0=")</f>
        <v>#REF!</v>
      </c>
      <c r="AE148" t="e">
        <f>AND(Bills!#REF!,"AAAAAHvfvx4=")</f>
        <v>#REF!</v>
      </c>
      <c r="AF148" t="e">
        <f>AND(Bills!#REF!,"AAAAAHvfvx8=")</f>
        <v>#REF!</v>
      </c>
      <c r="AG148" t="e">
        <f>AND(Bills!#REF!,"AAAAAHvfvyA=")</f>
        <v>#REF!</v>
      </c>
      <c r="AH148" t="e">
        <f>AND(Bills!#REF!,"AAAAAHvfvyE=")</f>
        <v>#REF!</v>
      </c>
      <c r="AI148" t="e">
        <f>AND(Bills!#REF!,"AAAAAHvfvyI=")</f>
        <v>#REF!</v>
      </c>
      <c r="AJ148" t="e">
        <f>AND(Bills!#REF!,"AAAAAHvfvyM=")</f>
        <v>#REF!</v>
      </c>
      <c r="AK148" t="e">
        <f>AND(Bills!#REF!,"AAAAAHvfvyQ=")</f>
        <v>#REF!</v>
      </c>
      <c r="AL148" t="e">
        <f>AND(Bills!AA580,"AAAAAHvfvyU=")</f>
        <v>#VALUE!</v>
      </c>
      <c r="AM148" t="e">
        <f>AND(Bills!AB580,"AAAAAHvfvyY=")</f>
        <v>#VALUE!</v>
      </c>
      <c r="AN148" t="e">
        <f>AND(Bills!#REF!,"AAAAAHvfvyc=")</f>
        <v>#REF!</v>
      </c>
      <c r="AO148" t="e">
        <f>AND(Bills!#REF!,"AAAAAHvfvyg=")</f>
        <v>#REF!</v>
      </c>
      <c r="AP148" t="e">
        <f>AND(Bills!#REF!,"AAAAAHvfvyk=")</f>
        <v>#REF!</v>
      </c>
      <c r="AQ148" t="e">
        <f>AND(Bills!AC580,"AAAAAHvfvyo=")</f>
        <v>#VALUE!</v>
      </c>
      <c r="AR148" t="e">
        <f>AND(Bills!AD580,"AAAAAHvfvys=")</f>
        <v>#VALUE!</v>
      </c>
      <c r="AS148" t="e">
        <f>AND(Bills!AE580,"AAAAAHvfvyw=")</f>
        <v>#VALUE!</v>
      </c>
      <c r="AT148">
        <f>IF(Bills!581:581,"AAAAAHvfvy0=",0)</f>
        <v>0</v>
      </c>
      <c r="AU148" t="e">
        <f>AND(Bills!B581,"AAAAAHvfvy4=")</f>
        <v>#VALUE!</v>
      </c>
      <c r="AV148" t="e">
        <f>AND(Bills!#REF!,"AAAAAHvfvy8=")</f>
        <v>#REF!</v>
      </c>
      <c r="AW148" t="e">
        <f>AND(Bills!C581,"AAAAAHvfvzA=")</f>
        <v>#VALUE!</v>
      </c>
      <c r="AX148" t="e">
        <f>AND(Bills!D581,"AAAAAHvfvzE=")</f>
        <v>#VALUE!</v>
      </c>
      <c r="AY148" t="e">
        <f>AND(Bills!E581,"AAAAAHvfvzI=")</f>
        <v>#VALUE!</v>
      </c>
      <c r="AZ148" t="e">
        <f>AND(Bills!#REF!,"AAAAAHvfvzM=")</f>
        <v>#REF!</v>
      </c>
      <c r="BA148" t="e">
        <f>AND(Bills!#REF!,"AAAAAHvfvzQ=")</f>
        <v>#REF!</v>
      </c>
      <c r="BB148" t="e">
        <f>AND(Bills!#REF!,"AAAAAHvfvzU=")</f>
        <v>#REF!</v>
      </c>
      <c r="BC148" t="e">
        <f>AND(Bills!F581,"AAAAAHvfvzY=")</f>
        <v>#VALUE!</v>
      </c>
      <c r="BD148" t="e">
        <f>AND(Bills!#REF!,"AAAAAHvfvzc=")</f>
        <v>#REF!</v>
      </c>
      <c r="BE148" t="e">
        <f>AND(Bills!G581,"AAAAAHvfvzg=")</f>
        <v>#VALUE!</v>
      </c>
      <c r="BF148" t="e">
        <f>AND(Bills!H581,"AAAAAHvfvzk=")</f>
        <v>#VALUE!</v>
      </c>
      <c r="BG148" t="e">
        <f>AND(Bills!I581,"AAAAAHvfvzo=")</f>
        <v>#VALUE!</v>
      </c>
      <c r="BH148" t="e">
        <f>AND(Bills!J581,"AAAAAHvfvzs=")</f>
        <v>#VALUE!</v>
      </c>
      <c r="BI148" t="e">
        <f>AND(Bills!K581,"AAAAAHvfvzw=")</f>
        <v>#VALUE!</v>
      </c>
      <c r="BJ148" t="e">
        <f>AND(Bills!L581,"AAAAAHvfvz0=")</f>
        <v>#VALUE!</v>
      </c>
      <c r="BK148" t="e">
        <f>AND(Bills!#REF!,"AAAAAHvfvz4=")</f>
        <v>#REF!</v>
      </c>
      <c r="BL148" t="e">
        <f>AND(Bills!M581,"AAAAAHvfvz8=")</f>
        <v>#VALUE!</v>
      </c>
      <c r="BM148" t="e">
        <f>AND(Bills!N581,"AAAAAHvfv0A=")</f>
        <v>#VALUE!</v>
      </c>
      <c r="BN148" t="e">
        <f>AND(Bills!O581,"AAAAAHvfv0E=")</f>
        <v>#VALUE!</v>
      </c>
      <c r="BO148" t="e">
        <f>AND(Bills!P581,"AAAAAHvfv0I=")</f>
        <v>#VALUE!</v>
      </c>
      <c r="BP148" t="e">
        <f>AND(Bills!Q581,"AAAAAHvfv0M=")</f>
        <v>#VALUE!</v>
      </c>
      <c r="BQ148" t="e">
        <f>AND(Bills!R581,"AAAAAHvfv0Q=")</f>
        <v>#VALUE!</v>
      </c>
      <c r="BR148" t="e">
        <f>AND(Bills!S581,"AAAAAHvfv0U=")</f>
        <v>#VALUE!</v>
      </c>
      <c r="BS148" t="e">
        <f>AND(Bills!T581,"AAAAAHvfv0Y=")</f>
        <v>#VALUE!</v>
      </c>
      <c r="BT148" t="e">
        <f>AND(Bills!#REF!,"AAAAAHvfv0c=")</f>
        <v>#REF!</v>
      </c>
      <c r="BU148" t="e">
        <f>AND(Bills!U581,"AAAAAHvfv0g=")</f>
        <v>#VALUE!</v>
      </c>
      <c r="BV148" t="e">
        <f>AND(Bills!V581,"AAAAAHvfv0k=")</f>
        <v>#VALUE!</v>
      </c>
      <c r="BW148" t="e">
        <f>AND(Bills!W581,"AAAAAHvfv0o=")</f>
        <v>#VALUE!</v>
      </c>
      <c r="BX148" t="e">
        <f>AND(Bills!#REF!,"AAAAAHvfv0s=")</f>
        <v>#REF!</v>
      </c>
      <c r="BY148" t="e">
        <f>AND(Bills!#REF!,"AAAAAHvfv0w=")</f>
        <v>#REF!</v>
      </c>
      <c r="BZ148" t="e">
        <f>AND(Bills!Y581,"AAAAAHvfv00=")</f>
        <v>#VALUE!</v>
      </c>
      <c r="CA148" t="e">
        <f>AND(Bills!Z581,"AAAAAHvfv04=")</f>
        <v>#VALUE!</v>
      </c>
      <c r="CB148" t="e">
        <f>AND(Bills!#REF!,"AAAAAHvfv08=")</f>
        <v>#REF!</v>
      </c>
      <c r="CC148" t="e">
        <f>AND(Bills!#REF!,"AAAAAHvfv1A=")</f>
        <v>#REF!</v>
      </c>
      <c r="CD148" t="e">
        <f>AND(Bills!#REF!,"AAAAAHvfv1E=")</f>
        <v>#REF!</v>
      </c>
      <c r="CE148" t="e">
        <f>AND(Bills!#REF!,"AAAAAHvfv1I=")</f>
        <v>#REF!</v>
      </c>
      <c r="CF148" t="e">
        <f>AND(Bills!#REF!,"AAAAAHvfv1M=")</f>
        <v>#REF!</v>
      </c>
      <c r="CG148" t="e">
        <f>AND(Bills!#REF!,"AAAAAHvfv1Q=")</f>
        <v>#REF!</v>
      </c>
      <c r="CH148" t="e">
        <f>AND(Bills!#REF!,"AAAAAHvfv1U=")</f>
        <v>#REF!</v>
      </c>
      <c r="CI148" t="e">
        <f>AND(Bills!#REF!,"AAAAAHvfv1Y=")</f>
        <v>#REF!</v>
      </c>
      <c r="CJ148" t="e">
        <f>AND(Bills!#REF!,"AAAAAHvfv1c=")</f>
        <v>#REF!</v>
      </c>
      <c r="CK148" t="e">
        <f>AND(Bills!AA581,"AAAAAHvfv1g=")</f>
        <v>#VALUE!</v>
      </c>
      <c r="CL148" t="e">
        <f>AND(Bills!AB581,"AAAAAHvfv1k=")</f>
        <v>#VALUE!</v>
      </c>
      <c r="CM148" t="e">
        <f>AND(Bills!#REF!,"AAAAAHvfv1o=")</f>
        <v>#REF!</v>
      </c>
      <c r="CN148" t="e">
        <f>AND(Bills!#REF!,"AAAAAHvfv1s=")</f>
        <v>#REF!</v>
      </c>
      <c r="CO148" t="e">
        <f>AND(Bills!#REF!,"AAAAAHvfv1w=")</f>
        <v>#REF!</v>
      </c>
      <c r="CP148" t="e">
        <f>AND(Bills!AC581,"AAAAAHvfv10=")</f>
        <v>#VALUE!</v>
      </c>
      <c r="CQ148" t="e">
        <f>AND(Bills!AD581,"AAAAAHvfv14=")</f>
        <v>#VALUE!</v>
      </c>
      <c r="CR148" t="e">
        <f>AND(Bills!AE581,"AAAAAHvfv18=")</f>
        <v>#VALUE!</v>
      </c>
      <c r="CS148">
        <f>IF(Bills!582:582,"AAAAAHvfv2A=",0)</f>
        <v>0</v>
      </c>
      <c r="CT148" t="e">
        <f>AND(Bills!B582,"AAAAAHvfv2E=")</f>
        <v>#VALUE!</v>
      </c>
      <c r="CU148" t="e">
        <f>AND(Bills!#REF!,"AAAAAHvfv2I=")</f>
        <v>#REF!</v>
      </c>
      <c r="CV148" t="e">
        <f>AND(Bills!C582,"AAAAAHvfv2M=")</f>
        <v>#VALUE!</v>
      </c>
      <c r="CW148" t="e">
        <f>AND(Bills!D582,"AAAAAHvfv2Q=")</f>
        <v>#VALUE!</v>
      </c>
      <c r="CX148" t="e">
        <f>AND(Bills!E582,"AAAAAHvfv2U=")</f>
        <v>#VALUE!</v>
      </c>
      <c r="CY148" t="e">
        <f>AND(Bills!#REF!,"AAAAAHvfv2Y=")</f>
        <v>#REF!</v>
      </c>
      <c r="CZ148" t="e">
        <f>AND(Bills!#REF!,"AAAAAHvfv2c=")</f>
        <v>#REF!</v>
      </c>
      <c r="DA148" t="e">
        <f>AND(Bills!#REF!,"AAAAAHvfv2g=")</f>
        <v>#REF!</v>
      </c>
      <c r="DB148" t="e">
        <f>AND(Bills!F582,"AAAAAHvfv2k=")</f>
        <v>#VALUE!</v>
      </c>
      <c r="DC148" t="e">
        <f>AND(Bills!#REF!,"AAAAAHvfv2o=")</f>
        <v>#REF!</v>
      </c>
      <c r="DD148" t="e">
        <f>AND(Bills!G582,"AAAAAHvfv2s=")</f>
        <v>#VALUE!</v>
      </c>
      <c r="DE148" t="e">
        <f>AND(Bills!H582,"AAAAAHvfv2w=")</f>
        <v>#VALUE!</v>
      </c>
      <c r="DF148" t="e">
        <f>AND(Bills!I582,"AAAAAHvfv20=")</f>
        <v>#VALUE!</v>
      </c>
      <c r="DG148" t="e">
        <f>AND(Bills!J582,"AAAAAHvfv24=")</f>
        <v>#VALUE!</v>
      </c>
      <c r="DH148" t="e">
        <f>AND(Bills!K582,"AAAAAHvfv28=")</f>
        <v>#VALUE!</v>
      </c>
      <c r="DI148" t="e">
        <f>AND(Bills!L582,"AAAAAHvfv3A=")</f>
        <v>#VALUE!</v>
      </c>
      <c r="DJ148" t="e">
        <f>AND(Bills!#REF!,"AAAAAHvfv3E=")</f>
        <v>#REF!</v>
      </c>
      <c r="DK148" t="e">
        <f>AND(Bills!M582,"AAAAAHvfv3I=")</f>
        <v>#VALUE!</v>
      </c>
      <c r="DL148" t="e">
        <f>AND(Bills!N582,"AAAAAHvfv3M=")</f>
        <v>#VALUE!</v>
      </c>
      <c r="DM148" t="e">
        <f>AND(Bills!O582,"AAAAAHvfv3Q=")</f>
        <v>#VALUE!</v>
      </c>
      <c r="DN148" t="e">
        <f>AND(Bills!P582,"AAAAAHvfv3U=")</f>
        <v>#VALUE!</v>
      </c>
      <c r="DO148" t="e">
        <f>AND(Bills!Q582,"AAAAAHvfv3Y=")</f>
        <v>#VALUE!</v>
      </c>
      <c r="DP148" t="e">
        <f>AND(Bills!R582,"AAAAAHvfv3c=")</f>
        <v>#VALUE!</v>
      </c>
      <c r="DQ148" t="e">
        <f>AND(Bills!S582,"AAAAAHvfv3g=")</f>
        <v>#VALUE!</v>
      </c>
      <c r="DR148" t="e">
        <f>AND(Bills!T582,"AAAAAHvfv3k=")</f>
        <v>#VALUE!</v>
      </c>
      <c r="DS148" t="e">
        <f>AND(Bills!#REF!,"AAAAAHvfv3o=")</f>
        <v>#REF!</v>
      </c>
      <c r="DT148" t="e">
        <f>AND(Bills!U582,"AAAAAHvfv3s=")</f>
        <v>#VALUE!</v>
      </c>
      <c r="DU148" t="e">
        <f>AND(Bills!V582,"AAAAAHvfv3w=")</f>
        <v>#VALUE!</v>
      </c>
      <c r="DV148" t="e">
        <f>AND(Bills!W582,"AAAAAHvfv30=")</f>
        <v>#VALUE!</v>
      </c>
      <c r="DW148" t="e">
        <f>AND(Bills!#REF!,"AAAAAHvfv34=")</f>
        <v>#REF!</v>
      </c>
      <c r="DX148" t="e">
        <f>AND(Bills!#REF!,"AAAAAHvfv38=")</f>
        <v>#REF!</v>
      </c>
      <c r="DY148" t="e">
        <f>AND(Bills!Y582,"AAAAAHvfv4A=")</f>
        <v>#VALUE!</v>
      </c>
      <c r="DZ148" t="e">
        <f>AND(Bills!Z582,"AAAAAHvfv4E=")</f>
        <v>#VALUE!</v>
      </c>
      <c r="EA148" t="e">
        <f>AND(Bills!#REF!,"AAAAAHvfv4I=")</f>
        <v>#REF!</v>
      </c>
      <c r="EB148" t="e">
        <f>AND(Bills!#REF!,"AAAAAHvfv4M=")</f>
        <v>#REF!</v>
      </c>
      <c r="EC148" t="e">
        <f>AND(Bills!#REF!,"AAAAAHvfv4Q=")</f>
        <v>#REF!</v>
      </c>
      <c r="ED148" t="e">
        <f>AND(Bills!#REF!,"AAAAAHvfv4U=")</f>
        <v>#REF!</v>
      </c>
      <c r="EE148" t="e">
        <f>AND(Bills!#REF!,"AAAAAHvfv4Y=")</f>
        <v>#REF!</v>
      </c>
      <c r="EF148" t="e">
        <f>AND(Bills!#REF!,"AAAAAHvfv4c=")</f>
        <v>#REF!</v>
      </c>
      <c r="EG148" t="e">
        <f>AND(Bills!#REF!,"AAAAAHvfv4g=")</f>
        <v>#REF!</v>
      </c>
      <c r="EH148" t="e">
        <f>AND(Bills!#REF!,"AAAAAHvfv4k=")</f>
        <v>#REF!</v>
      </c>
      <c r="EI148" t="e">
        <f>AND(Bills!#REF!,"AAAAAHvfv4o=")</f>
        <v>#REF!</v>
      </c>
      <c r="EJ148" t="e">
        <f>AND(Bills!AA582,"AAAAAHvfv4s=")</f>
        <v>#VALUE!</v>
      </c>
      <c r="EK148" t="e">
        <f>AND(Bills!AB582,"AAAAAHvfv4w=")</f>
        <v>#VALUE!</v>
      </c>
      <c r="EL148" t="e">
        <f>AND(Bills!#REF!,"AAAAAHvfv40=")</f>
        <v>#REF!</v>
      </c>
      <c r="EM148" t="e">
        <f>AND(Bills!#REF!,"AAAAAHvfv44=")</f>
        <v>#REF!</v>
      </c>
      <c r="EN148" t="e">
        <f>AND(Bills!#REF!,"AAAAAHvfv48=")</f>
        <v>#REF!</v>
      </c>
      <c r="EO148" t="e">
        <f>AND(Bills!AC582,"AAAAAHvfv5A=")</f>
        <v>#VALUE!</v>
      </c>
      <c r="EP148" t="e">
        <f>AND(Bills!AD582,"AAAAAHvfv5E=")</f>
        <v>#VALUE!</v>
      </c>
      <c r="EQ148" t="e">
        <f>AND(Bills!AE582,"AAAAAHvfv5I=")</f>
        <v>#VALUE!</v>
      </c>
      <c r="ER148">
        <f>IF(Bills!583:583,"AAAAAHvfv5M=",0)</f>
        <v>0</v>
      </c>
      <c r="ES148" t="e">
        <f>AND(Bills!B583,"AAAAAHvfv5Q=")</f>
        <v>#VALUE!</v>
      </c>
      <c r="ET148" t="e">
        <f>AND(Bills!#REF!,"AAAAAHvfv5U=")</f>
        <v>#REF!</v>
      </c>
      <c r="EU148" t="e">
        <f>AND(Bills!C583,"AAAAAHvfv5Y=")</f>
        <v>#VALUE!</v>
      </c>
      <c r="EV148" t="e">
        <f>AND(Bills!D583,"AAAAAHvfv5c=")</f>
        <v>#VALUE!</v>
      </c>
      <c r="EW148" t="e">
        <f>AND(Bills!E583,"AAAAAHvfv5g=")</f>
        <v>#VALUE!</v>
      </c>
      <c r="EX148" t="e">
        <f>AND(Bills!#REF!,"AAAAAHvfv5k=")</f>
        <v>#REF!</v>
      </c>
      <c r="EY148" t="e">
        <f>AND(Bills!#REF!,"AAAAAHvfv5o=")</f>
        <v>#REF!</v>
      </c>
      <c r="EZ148" t="e">
        <f>AND(Bills!#REF!,"AAAAAHvfv5s=")</f>
        <v>#REF!</v>
      </c>
      <c r="FA148" t="e">
        <f>AND(Bills!F583,"AAAAAHvfv5w=")</f>
        <v>#VALUE!</v>
      </c>
      <c r="FB148" t="e">
        <f>AND(Bills!#REF!,"AAAAAHvfv50=")</f>
        <v>#REF!</v>
      </c>
      <c r="FC148" t="e">
        <f>AND(Bills!G583,"AAAAAHvfv54=")</f>
        <v>#VALUE!</v>
      </c>
      <c r="FD148" t="e">
        <f>AND(Bills!H583,"AAAAAHvfv58=")</f>
        <v>#VALUE!</v>
      </c>
      <c r="FE148" t="e">
        <f>AND(Bills!I583,"AAAAAHvfv6A=")</f>
        <v>#VALUE!</v>
      </c>
      <c r="FF148" t="e">
        <f>AND(Bills!J583,"AAAAAHvfv6E=")</f>
        <v>#VALUE!</v>
      </c>
      <c r="FG148" t="e">
        <f>AND(Bills!K583,"AAAAAHvfv6I=")</f>
        <v>#VALUE!</v>
      </c>
      <c r="FH148" t="e">
        <f>AND(Bills!L583,"AAAAAHvfv6M=")</f>
        <v>#VALUE!</v>
      </c>
      <c r="FI148" t="e">
        <f>AND(Bills!#REF!,"AAAAAHvfv6Q=")</f>
        <v>#REF!</v>
      </c>
      <c r="FJ148" t="e">
        <f>AND(Bills!M583,"AAAAAHvfv6U=")</f>
        <v>#VALUE!</v>
      </c>
      <c r="FK148" t="e">
        <f>AND(Bills!N583,"AAAAAHvfv6Y=")</f>
        <v>#VALUE!</v>
      </c>
      <c r="FL148" t="e">
        <f>AND(Bills!O583,"AAAAAHvfv6c=")</f>
        <v>#VALUE!</v>
      </c>
      <c r="FM148" t="e">
        <f>AND(Bills!P583,"AAAAAHvfv6g=")</f>
        <v>#VALUE!</v>
      </c>
      <c r="FN148" t="e">
        <f>AND(Bills!Q583,"AAAAAHvfv6k=")</f>
        <v>#VALUE!</v>
      </c>
      <c r="FO148" t="e">
        <f>AND(Bills!R583,"AAAAAHvfv6o=")</f>
        <v>#VALUE!</v>
      </c>
      <c r="FP148" t="e">
        <f>AND(Bills!S583,"AAAAAHvfv6s=")</f>
        <v>#VALUE!</v>
      </c>
      <c r="FQ148" t="e">
        <f>AND(Bills!T583,"AAAAAHvfv6w=")</f>
        <v>#VALUE!</v>
      </c>
      <c r="FR148" t="e">
        <f>AND(Bills!#REF!,"AAAAAHvfv60=")</f>
        <v>#REF!</v>
      </c>
      <c r="FS148" t="e">
        <f>AND(Bills!U583,"AAAAAHvfv64=")</f>
        <v>#VALUE!</v>
      </c>
      <c r="FT148" t="e">
        <f>AND(Bills!V583,"AAAAAHvfv68=")</f>
        <v>#VALUE!</v>
      </c>
      <c r="FU148" t="e">
        <f>AND(Bills!W583,"AAAAAHvfv7A=")</f>
        <v>#VALUE!</v>
      </c>
      <c r="FV148" t="e">
        <f>AND(Bills!#REF!,"AAAAAHvfv7E=")</f>
        <v>#REF!</v>
      </c>
      <c r="FW148" t="e">
        <f>AND(Bills!#REF!,"AAAAAHvfv7I=")</f>
        <v>#REF!</v>
      </c>
      <c r="FX148" t="e">
        <f>AND(Bills!Y583,"AAAAAHvfv7M=")</f>
        <v>#VALUE!</v>
      </c>
      <c r="FY148" t="e">
        <f>AND(Bills!Z583,"AAAAAHvfv7Q=")</f>
        <v>#VALUE!</v>
      </c>
      <c r="FZ148" t="e">
        <f>AND(Bills!#REF!,"AAAAAHvfv7U=")</f>
        <v>#REF!</v>
      </c>
      <c r="GA148" t="e">
        <f>AND(Bills!#REF!,"AAAAAHvfv7Y=")</f>
        <v>#REF!</v>
      </c>
      <c r="GB148" t="e">
        <f>AND(Bills!#REF!,"AAAAAHvfv7c=")</f>
        <v>#REF!</v>
      </c>
      <c r="GC148" t="e">
        <f>AND(Bills!#REF!,"AAAAAHvfv7g=")</f>
        <v>#REF!</v>
      </c>
      <c r="GD148" t="e">
        <f>AND(Bills!#REF!,"AAAAAHvfv7k=")</f>
        <v>#REF!</v>
      </c>
      <c r="GE148" t="e">
        <f>AND(Bills!#REF!,"AAAAAHvfv7o=")</f>
        <v>#REF!</v>
      </c>
      <c r="GF148" t="e">
        <f>AND(Bills!#REF!,"AAAAAHvfv7s=")</f>
        <v>#REF!</v>
      </c>
      <c r="GG148" t="e">
        <f>AND(Bills!#REF!,"AAAAAHvfv7w=")</f>
        <v>#REF!</v>
      </c>
      <c r="GH148" t="e">
        <f>AND(Bills!#REF!,"AAAAAHvfv70=")</f>
        <v>#REF!</v>
      </c>
      <c r="GI148" t="e">
        <f>AND(Bills!AA583,"AAAAAHvfv74=")</f>
        <v>#VALUE!</v>
      </c>
      <c r="GJ148" t="e">
        <f>AND(Bills!AB583,"AAAAAHvfv78=")</f>
        <v>#VALUE!</v>
      </c>
      <c r="GK148" t="e">
        <f>AND(Bills!#REF!,"AAAAAHvfv8A=")</f>
        <v>#REF!</v>
      </c>
      <c r="GL148" t="e">
        <f>AND(Bills!#REF!,"AAAAAHvfv8E=")</f>
        <v>#REF!</v>
      </c>
      <c r="GM148" t="e">
        <f>AND(Bills!#REF!,"AAAAAHvfv8I=")</f>
        <v>#REF!</v>
      </c>
      <c r="GN148" t="e">
        <f>AND(Bills!AC583,"AAAAAHvfv8M=")</f>
        <v>#VALUE!</v>
      </c>
      <c r="GO148" t="e">
        <f>AND(Bills!AD583,"AAAAAHvfv8Q=")</f>
        <v>#VALUE!</v>
      </c>
      <c r="GP148" t="e">
        <f>AND(Bills!AE583,"AAAAAHvfv8U=")</f>
        <v>#VALUE!</v>
      </c>
      <c r="GQ148">
        <f>IF(Bills!584:584,"AAAAAHvfv8Y=",0)</f>
        <v>0</v>
      </c>
      <c r="GR148" t="e">
        <f>AND(Bills!B584,"AAAAAHvfv8c=")</f>
        <v>#VALUE!</v>
      </c>
      <c r="GS148" t="e">
        <f>AND(Bills!#REF!,"AAAAAHvfv8g=")</f>
        <v>#REF!</v>
      </c>
      <c r="GT148" t="e">
        <f>AND(Bills!C584,"AAAAAHvfv8k=")</f>
        <v>#VALUE!</v>
      </c>
      <c r="GU148" t="e">
        <f>AND(Bills!D584,"AAAAAHvfv8o=")</f>
        <v>#VALUE!</v>
      </c>
      <c r="GV148" t="e">
        <f>AND(Bills!E584,"AAAAAHvfv8s=")</f>
        <v>#VALUE!</v>
      </c>
      <c r="GW148" t="e">
        <f>AND(Bills!#REF!,"AAAAAHvfv8w=")</f>
        <v>#REF!</v>
      </c>
      <c r="GX148" t="e">
        <f>AND(Bills!#REF!,"AAAAAHvfv80=")</f>
        <v>#REF!</v>
      </c>
      <c r="GY148" t="e">
        <f>AND(Bills!#REF!,"AAAAAHvfv84=")</f>
        <v>#REF!</v>
      </c>
      <c r="GZ148" t="e">
        <f>AND(Bills!F584,"AAAAAHvfv88=")</f>
        <v>#VALUE!</v>
      </c>
      <c r="HA148" t="e">
        <f>AND(Bills!#REF!,"AAAAAHvfv9A=")</f>
        <v>#REF!</v>
      </c>
      <c r="HB148" t="e">
        <f>AND(Bills!G584,"AAAAAHvfv9E=")</f>
        <v>#VALUE!</v>
      </c>
      <c r="HC148" t="e">
        <f>AND(Bills!H584,"AAAAAHvfv9I=")</f>
        <v>#VALUE!</v>
      </c>
      <c r="HD148" t="e">
        <f>AND(Bills!I584,"AAAAAHvfv9M=")</f>
        <v>#VALUE!</v>
      </c>
      <c r="HE148" t="e">
        <f>AND(Bills!J584,"AAAAAHvfv9Q=")</f>
        <v>#VALUE!</v>
      </c>
      <c r="HF148" t="e">
        <f>AND(Bills!K584,"AAAAAHvfv9U=")</f>
        <v>#VALUE!</v>
      </c>
      <c r="HG148" t="e">
        <f>AND(Bills!L584,"AAAAAHvfv9Y=")</f>
        <v>#VALUE!</v>
      </c>
      <c r="HH148" t="e">
        <f>AND(Bills!#REF!,"AAAAAHvfv9c=")</f>
        <v>#REF!</v>
      </c>
      <c r="HI148" t="e">
        <f>AND(Bills!M584,"AAAAAHvfv9g=")</f>
        <v>#VALUE!</v>
      </c>
      <c r="HJ148" t="e">
        <f>AND(Bills!N584,"AAAAAHvfv9k=")</f>
        <v>#VALUE!</v>
      </c>
      <c r="HK148" t="e">
        <f>AND(Bills!O584,"AAAAAHvfv9o=")</f>
        <v>#VALUE!</v>
      </c>
      <c r="HL148" t="e">
        <f>AND(Bills!P584,"AAAAAHvfv9s=")</f>
        <v>#VALUE!</v>
      </c>
      <c r="HM148" t="e">
        <f>AND(Bills!Q584,"AAAAAHvfv9w=")</f>
        <v>#VALUE!</v>
      </c>
      <c r="HN148" t="e">
        <f>AND(Bills!R584,"AAAAAHvfv90=")</f>
        <v>#VALUE!</v>
      </c>
      <c r="HO148" t="e">
        <f>AND(Bills!S584,"AAAAAHvfv94=")</f>
        <v>#VALUE!</v>
      </c>
      <c r="HP148" t="e">
        <f>AND(Bills!T584,"AAAAAHvfv98=")</f>
        <v>#VALUE!</v>
      </c>
      <c r="HQ148" t="e">
        <f>AND(Bills!#REF!,"AAAAAHvfv+A=")</f>
        <v>#REF!</v>
      </c>
      <c r="HR148" t="e">
        <f>AND(Bills!U584,"AAAAAHvfv+E=")</f>
        <v>#VALUE!</v>
      </c>
      <c r="HS148" t="e">
        <f>AND(Bills!V584,"AAAAAHvfv+I=")</f>
        <v>#VALUE!</v>
      </c>
      <c r="HT148" t="e">
        <f>AND(Bills!W584,"AAAAAHvfv+M=")</f>
        <v>#VALUE!</v>
      </c>
      <c r="HU148" t="e">
        <f>AND(Bills!#REF!,"AAAAAHvfv+Q=")</f>
        <v>#REF!</v>
      </c>
      <c r="HV148" t="e">
        <f>AND(Bills!#REF!,"AAAAAHvfv+U=")</f>
        <v>#REF!</v>
      </c>
      <c r="HW148" t="e">
        <f>AND(Bills!Y584,"AAAAAHvfv+Y=")</f>
        <v>#VALUE!</v>
      </c>
      <c r="HX148" t="e">
        <f>AND(Bills!Z584,"AAAAAHvfv+c=")</f>
        <v>#VALUE!</v>
      </c>
      <c r="HY148" t="e">
        <f>AND(Bills!#REF!,"AAAAAHvfv+g=")</f>
        <v>#REF!</v>
      </c>
      <c r="HZ148" t="e">
        <f>AND(Bills!#REF!,"AAAAAHvfv+k=")</f>
        <v>#REF!</v>
      </c>
      <c r="IA148" t="e">
        <f>AND(Bills!#REF!,"AAAAAHvfv+o=")</f>
        <v>#REF!</v>
      </c>
      <c r="IB148" t="e">
        <f>AND(Bills!#REF!,"AAAAAHvfv+s=")</f>
        <v>#REF!</v>
      </c>
      <c r="IC148" t="e">
        <f>AND(Bills!#REF!,"AAAAAHvfv+w=")</f>
        <v>#REF!</v>
      </c>
      <c r="ID148" t="e">
        <f>AND(Bills!#REF!,"AAAAAHvfv+0=")</f>
        <v>#REF!</v>
      </c>
      <c r="IE148" t="e">
        <f>AND(Bills!#REF!,"AAAAAHvfv+4=")</f>
        <v>#REF!</v>
      </c>
      <c r="IF148" t="e">
        <f>AND(Bills!#REF!,"AAAAAHvfv+8=")</f>
        <v>#REF!</v>
      </c>
      <c r="IG148" t="e">
        <f>AND(Bills!#REF!,"AAAAAHvfv/A=")</f>
        <v>#REF!</v>
      </c>
      <c r="IH148" t="e">
        <f>AND(Bills!AA584,"AAAAAHvfv/E=")</f>
        <v>#VALUE!</v>
      </c>
      <c r="II148" t="e">
        <f>AND(Bills!AB584,"AAAAAHvfv/I=")</f>
        <v>#VALUE!</v>
      </c>
      <c r="IJ148" t="e">
        <f>AND(Bills!#REF!,"AAAAAHvfv/M=")</f>
        <v>#REF!</v>
      </c>
      <c r="IK148" t="e">
        <f>AND(Bills!#REF!,"AAAAAHvfv/Q=")</f>
        <v>#REF!</v>
      </c>
      <c r="IL148" t="e">
        <f>AND(Bills!#REF!,"AAAAAHvfv/U=")</f>
        <v>#REF!</v>
      </c>
      <c r="IM148" t="e">
        <f>AND(Bills!AC584,"AAAAAHvfv/Y=")</f>
        <v>#VALUE!</v>
      </c>
      <c r="IN148" t="e">
        <f>AND(Bills!AD584,"AAAAAHvfv/c=")</f>
        <v>#VALUE!</v>
      </c>
      <c r="IO148" t="e">
        <f>AND(Bills!AE584,"AAAAAHvfv/g=")</f>
        <v>#VALUE!</v>
      </c>
      <c r="IP148">
        <f>IF(Bills!585:585,"AAAAAHvfv/k=",0)</f>
        <v>0</v>
      </c>
      <c r="IQ148" t="e">
        <f>AND(Bills!B585,"AAAAAHvfv/o=")</f>
        <v>#VALUE!</v>
      </c>
      <c r="IR148" t="e">
        <f>AND(Bills!#REF!,"AAAAAHvfv/s=")</f>
        <v>#REF!</v>
      </c>
      <c r="IS148" t="e">
        <f>AND(Bills!C585,"AAAAAHvfv/w=")</f>
        <v>#VALUE!</v>
      </c>
      <c r="IT148" t="e">
        <f>AND(Bills!D585,"AAAAAHvfv/0=")</f>
        <v>#VALUE!</v>
      </c>
      <c r="IU148" t="e">
        <f>AND(Bills!E585,"AAAAAHvfv/4=")</f>
        <v>#VALUE!</v>
      </c>
      <c r="IV148" t="e">
        <f>AND(Bills!#REF!,"AAAAAHvfv/8=")</f>
        <v>#REF!</v>
      </c>
    </row>
    <row r="149" spans="1:256" x14ac:dyDescent="0.25">
      <c r="A149" t="e">
        <f>AND(Bills!#REF!,"AAAAAH/z3gA=")</f>
        <v>#REF!</v>
      </c>
      <c r="B149" t="e">
        <f>AND(Bills!#REF!,"AAAAAH/z3gE=")</f>
        <v>#REF!</v>
      </c>
      <c r="C149" t="e">
        <f>AND(Bills!F585,"AAAAAH/z3gI=")</f>
        <v>#VALUE!</v>
      </c>
      <c r="D149" t="e">
        <f>AND(Bills!#REF!,"AAAAAH/z3gM=")</f>
        <v>#REF!</v>
      </c>
      <c r="E149" t="e">
        <f>AND(Bills!G585,"AAAAAH/z3gQ=")</f>
        <v>#VALUE!</v>
      </c>
      <c r="F149" t="e">
        <f>AND(Bills!H585,"AAAAAH/z3gU=")</f>
        <v>#VALUE!</v>
      </c>
      <c r="G149" t="e">
        <f>AND(Bills!I585,"AAAAAH/z3gY=")</f>
        <v>#VALUE!</v>
      </c>
      <c r="H149" t="e">
        <f>AND(Bills!J585,"AAAAAH/z3gc=")</f>
        <v>#VALUE!</v>
      </c>
      <c r="I149" t="e">
        <f>AND(Bills!K585,"AAAAAH/z3gg=")</f>
        <v>#VALUE!</v>
      </c>
      <c r="J149" t="e">
        <f>AND(Bills!L585,"AAAAAH/z3gk=")</f>
        <v>#VALUE!</v>
      </c>
      <c r="K149" t="e">
        <f>AND(Bills!#REF!,"AAAAAH/z3go=")</f>
        <v>#REF!</v>
      </c>
      <c r="L149" t="e">
        <f>AND(Bills!M585,"AAAAAH/z3gs=")</f>
        <v>#VALUE!</v>
      </c>
      <c r="M149" t="e">
        <f>AND(Bills!N585,"AAAAAH/z3gw=")</f>
        <v>#VALUE!</v>
      </c>
      <c r="N149" t="e">
        <f>AND(Bills!O585,"AAAAAH/z3g0=")</f>
        <v>#VALUE!</v>
      </c>
      <c r="O149" t="e">
        <f>AND(Bills!P585,"AAAAAH/z3g4=")</f>
        <v>#VALUE!</v>
      </c>
      <c r="P149" t="e">
        <f>AND(Bills!Q585,"AAAAAH/z3g8=")</f>
        <v>#VALUE!</v>
      </c>
      <c r="Q149" t="e">
        <f>AND(Bills!R585,"AAAAAH/z3hA=")</f>
        <v>#VALUE!</v>
      </c>
      <c r="R149" t="e">
        <f>AND(Bills!S585,"AAAAAH/z3hE=")</f>
        <v>#VALUE!</v>
      </c>
      <c r="S149" t="e">
        <f>AND(Bills!T585,"AAAAAH/z3hI=")</f>
        <v>#VALUE!</v>
      </c>
      <c r="T149" t="e">
        <f>AND(Bills!#REF!,"AAAAAH/z3hM=")</f>
        <v>#REF!</v>
      </c>
      <c r="U149" t="e">
        <f>AND(Bills!U585,"AAAAAH/z3hQ=")</f>
        <v>#VALUE!</v>
      </c>
      <c r="V149" t="e">
        <f>AND(Bills!V585,"AAAAAH/z3hU=")</f>
        <v>#VALUE!</v>
      </c>
      <c r="W149" t="e">
        <f>AND(Bills!W585,"AAAAAH/z3hY=")</f>
        <v>#VALUE!</v>
      </c>
      <c r="X149" t="e">
        <f>AND(Bills!#REF!,"AAAAAH/z3hc=")</f>
        <v>#REF!</v>
      </c>
      <c r="Y149" t="e">
        <f>AND(Bills!#REF!,"AAAAAH/z3hg=")</f>
        <v>#REF!</v>
      </c>
      <c r="Z149" t="e">
        <f>AND(Bills!Y585,"AAAAAH/z3hk=")</f>
        <v>#VALUE!</v>
      </c>
      <c r="AA149" t="e">
        <f>AND(Bills!Z585,"AAAAAH/z3ho=")</f>
        <v>#VALUE!</v>
      </c>
      <c r="AB149" t="e">
        <f>AND(Bills!#REF!,"AAAAAH/z3hs=")</f>
        <v>#REF!</v>
      </c>
      <c r="AC149" t="e">
        <f>AND(Bills!#REF!,"AAAAAH/z3hw=")</f>
        <v>#REF!</v>
      </c>
      <c r="AD149" t="e">
        <f>AND(Bills!#REF!,"AAAAAH/z3h0=")</f>
        <v>#REF!</v>
      </c>
      <c r="AE149" t="e">
        <f>AND(Bills!#REF!,"AAAAAH/z3h4=")</f>
        <v>#REF!</v>
      </c>
      <c r="AF149" t="e">
        <f>AND(Bills!#REF!,"AAAAAH/z3h8=")</f>
        <v>#REF!</v>
      </c>
      <c r="AG149" t="e">
        <f>AND(Bills!#REF!,"AAAAAH/z3iA=")</f>
        <v>#REF!</v>
      </c>
      <c r="AH149" t="e">
        <f>AND(Bills!#REF!,"AAAAAH/z3iE=")</f>
        <v>#REF!</v>
      </c>
      <c r="AI149" t="e">
        <f>AND(Bills!#REF!,"AAAAAH/z3iI=")</f>
        <v>#REF!</v>
      </c>
      <c r="AJ149" t="e">
        <f>AND(Bills!#REF!,"AAAAAH/z3iM=")</f>
        <v>#REF!</v>
      </c>
      <c r="AK149" t="e">
        <f>AND(Bills!AA585,"AAAAAH/z3iQ=")</f>
        <v>#VALUE!</v>
      </c>
      <c r="AL149" t="e">
        <f>AND(Bills!AB585,"AAAAAH/z3iU=")</f>
        <v>#VALUE!</v>
      </c>
      <c r="AM149" t="e">
        <f>AND(Bills!#REF!,"AAAAAH/z3iY=")</f>
        <v>#REF!</v>
      </c>
      <c r="AN149" t="e">
        <f>AND(Bills!#REF!,"AAAAAH/z3ic=")</f>
        <v>#REF!</v>
      </c>
      <c r="AO149" t="e">
        <f>AND(Bills!#REF!,"AAAAAH/z3ig=")</f>
        <v>#REF!</v>
      </c>
      <c r="AP149" t="e">
        <f>AND(Bills!AC585,"AAAAAH/z3ik=")</f>
        <v>#VALUE!</v>
      </c>
      <c r="AQ149" t="e">
        <f>AND(Bills!AD585,"AAAAAH/z3io=")</f>
        <v>#VALUE!</v>
      </c>
      <c r="AR149" t="e">
        <f>AND(Bills!AE585,"AAAAAH/z3is=")</f>
        <v>#VALUE!</v>
      </c>
      <c r="AS149">
        <f>IF(Bills!586:586,"AAAAAH/z3iw=",0)</f>
        <v>0</v>
      </c>
      <c r="AT149" t="e">
        <f>AND(Bills!B586,"AAAAAH/z3i0=")</f>
        <v>#VALUE!</v>
      </c>
      <c r="AU149" t="e">
        <f>AND(Bills!#REF!,"AAAAAH/z3i4=")</f>
        <v>#REF!</v>
      </c>
      <c r="AV149" t="e">
        <f>AND(Bills!C586,"AAAAAH/z3i8=")</f>
        <v>#VALUE!</v>
      </c>
      <c r="AW149" t="e">
        <f>AND(Bills!D586,"AAAAAH/z3jA=")</f>
        <v>#VALUE!</v>
      </c>
      <c r="AX149" t="e">
        <f>AND(Bills!E586,"AAAAAH/z3jE=")</f>
        <v>#VALUE!</v>
      </c>
      <c r="AY149" t="e">
        <f>AND(Bills!#REF!,"AAAAAH/z3jI=")</f>
        <v>#REF!</v>
      </c>
      <c r="AZ149" t="e">
        <f>AND(Bills!#REF!,"AAAAAH/z3jM=")</f>
        <v>#REF!</v>
      </c>
      <c r="BA149" t="e">
        <f>AND(Bills!#REF!,"AAAAAH/z3jQ=")</f>
        <v>#REF!</v>
      </c>
      <c r="BB149" t="e">
        <f>AND(Bills!F586,"AAAAAH/z3jU=")</f>
        <v>#VALUE!</v>
      </c>
      <c r="BC149" t="e">
        <f>AND(Bills!#REF!,"AAAAAH/z3jY=")</f>
        <v>#REF!</v>
      </c>
      <c r="BD149" t="e">
        <f>AND(Bills!G586,"AAAAAH/z3jc=")</f>
        <v>#VALUE!</v>
      </c>
      <c r="BE149" t="e">
        <f>AND(Bills!H586,"AAAAAH/z3jg=")</f>
        <v>#VALUE!</v>
      </c>
      <c r="BF149" t="e">
        <f>AND(Bills!I586,"AAAAAH/z3jk=")</f>
        <v>#VALUE!</v>
      </c>
      <c r="BG149" t="e">
        <f>AND(Bills!J586,"AAAAAH/z3jo=")</f>
        <v>#VALUE!</v>
      </c>
      <c r="BH149" t="e">
        <f>AND(Bills!K586,"AAAAAH/z3js=")</f>
        <v>#VALUE!</v>
      </c>
      <c r="BI149" t="e">
        <f>AND(Bills!L586,"AAAAAH/z3jw=")</f>
        <v>#VALUE!</v>
      </c>
      <c r="BJ149" t="e">
        <f>AND(Bills!#REF!,"AAAAAH/z3j0=")</f>
        <v>#REF!</v>
      </c>
      <c r="BK149" t="e">
        <f>AND(Bills!M586,"AAAAAH/z3j4=")</f>
        <v>#VALUE!</v>
      </c>
      <c r="BL149" t="e">
        <f>AND(Bills!N586,"AAAAAH/z3j8=")</f>
        <v>#VALUE!</v>
      </c>
      <c r="BM149" t="e">
        <f>AND(Bills!O586,"AAAAAH/z3kA=")</f>
        <v>#VALUE!</v>
      </c>
      <c r="BN149" t="e">
        <f>AND(Bills!P586,"AAAAAH/z3kE=")</f>
        <v>#VALUE!</v>
      </c>
      <c r="BO149" t="e">
        <f>AND(Bills!Q586,"AAAAAH/z3kI=")</f>
        <v>#VALUE!</v>
      </c>
      <c r="BP149" t="e">
        <f>AND(Bills!R586,"AAAAAH/z3kM=")</f>
        <v>#VALUE!</v>
      </c>
      <c r="BQ149" t="e">
        <f>AND(Bills!S586,"AAAAAH/z3kQ=")</f>
        <v>#VALUE!</v>
      </c>
      <c r="BR149" t="e">
        <f>AND(Bills!T586,"AAAAAH/z3kU=")</f>
        <v>#VALUE!</v>
      </c>
      <c r="BS149" t="e">
        <f>AND(Bills!#REF!,"AAAAAH/z3kY=")</f>
        <v>#REF!</v>
      </c>
      <c r="BT149" t="e">
        <f>AND(Bills!U586,"AAAAAH/z3kc=")</f>
        <v>#VALUE!</v>
      </c>
      <c r="BU149" t="e">
        <f>AND(Bills!V586,"AAAAAH/z3kg=")</f>
        <v>#VALUE!</v>
      </c>
      <c r="BV149" t="e">
        <f>AND(Bills!W586,"AAAAAH/z3kk=")</f>
        <v>#VALUE!</v>
      </c>
      <c r="BW149" t="e">
        <f>AND(Bills!#REF!,"AAAAAH/z3ko=")</f>
        <v>#REF!</v>
      </c>
      <c r="BX149" t="e">
        <f>AND(Bills!#REF!,"AAAAAH/z3ks=")</f>
        <v>#REF!</v>
      </c>
      <c r="BY149" t="e">
        <f>AND(Bills!Y586,"AAAAAH/z3kw=")</f>
        <v>#VALUE!</v>
      </c>
      <c r="BZ149" t="e">
        <f>AND(Bills!Z586,"AAAAAH/z3k0=")</f>
        <v>#VALUE!</v>
      </c>
      <c r="CA149" t="e">
        <f>AND(Bills!#REF!,"AAAAAH/z3k4=")</f>
        <v>#REF!</v>
      </c>
      <c r="CB149" t="e">
        <f>AND(Bills!#REF!,"AAAAAH/z3k8=")</f>
        <v>#REF!</v>
      </c>
      <c r="CC149" t="e">
        <f>AND(Bills!#REF!,"AAAAAH/z3lA=")</f>
        <v>#REF!</v>
      </c>
      <c r="CD149" t="e">
        <f>AND(Bills!#REF!,"AAAAAH/z3lE=")</f>
        <v>#REF!</v>
      </c>
      <c r="CE149" t="e">
        <f>AND(Bills!#REF!,"AAAAAH/z3lI=")</f>
        <v>#REF!</v>
      </c>
      <c r="CF149" t="e">
        <f>AND(Bills!#REF!,"AAAAAH/z3lM=")</f>
        <v>#REF!</v>
      </c>
      <c r="CG149" t="e">
        <f>AND(Bills!#REF!,"AAAAAH/z3lQ=")</f>
        <v>#REF!</v>
      </c>
      <c r="CH149" t="e">
        <f>AND(Bills!#REF!,"AAAAAH/z3lU=")</f>
        <v>#REF!</v>
      </c>
      <c r="CI149" t="e">
        <f>AND(Bills!#REF!,"AAAAAH/z3lY=")</f>
        <v>#REF!</v>
      </c>
      <c r="CJ149" t="e">
        <f>AND(Bills!AA586,"AAAAAH/z3lc=")</f>
        <v>#VALUE!</v>
      </c>
      <c r="CK149" t="e">
        <f>AND(Bills!AB586,"AAAAAH/z3lg=")</f>
        <v>#VALUE!</v>
      </c>
      <c r="CL149" t="e">
        <f>AND(Bills!#REF!,"AAAAAH/z3lk=")</f>
        <v>#REF!</v>
      </c>
      <c r="CM149" t="e">
        <f>AND(Bills!#REF!,"AAAAAH/z3lo=")</f>
        <v>#REF!</v>
      </c>
      <c r="CN149" t="e">
        <f>AND(Bills!#REF!,"AAAAAH/z3ls=")</f>
        <v>#REF!</v>
      </c>
      <c r="CO149" t="e">
        <f>AND(Bills!AC586,"AAAAAH/z3lw=")</f>
        <v>#VALUE!</v>
      </c>
      <c r="CP149" t="e">
        <f>AND(Bills!AD586,"AAAAAH/z3l0=")</f>
        <v>#VALUE!</v>
      </c>
      <c r="CQ149" t="e">
        <f>AND(Bills!AE586,"AAAAAH/z3l4=")</f>
        <v>#VALUE!</v>
      </c>
      <c r="CR149">
        <f>IF(Bills!587:587,"AAAAAH/z3l8=",0)</f>
        <v>0</v>
      </c>
      <c r="CS149" t="e">
        <f>AND(Bills!B587,"AAAAAH/z3mA=")</f>
        <v>#VALUE!</v>
      </c>
      <c r="CT149" t="e">
        <f>AND(Bills!#REF!,"AAAAAH/z3mE=")</f>
        <v>#REF!</v>
      </c>
      <c r="CU149" t="e">
        <f>AND(Bills!C587,"AAAAAH/z3mI=")</f>
        <v>#VALUE!</v>
      </c>
      <c r="CV149" t="e">
        <f>AND(Bills!D587,"AAAAAH/z3mM=")</f>
        <v>#VALUE!</v>
      </c>
      <c r="CW149" t="e">
        <f>AND(Bills!E587,"AAAAAH/z3mQ=")</f>
        <v>#VALUE!</v>
      </c>
      <c r="CX149" t="e">
        <f>AND(Bills!#REF!,"AAAAAH/z3mU=")</f>
        <v>#REF!</v>
      </c>
      <c r="CY149" t="e">
        <f>AND(Bills!#REF!,"AAAAAH/z3mY=")</f>
        <v>#REF!</v>
      </c>
      <c r="CZ149" t="e">
        <f>AND(Bills!#REF!,"AAAAAH/z3mc=")</f>
        <v>#REF!</v>
      </c>
      <c r="DA149" t="e">
        <f>AND(Bills!F587,"AAAAAH/z3mg=")</f>
        <v>#VALUE!</v>
      </c>
      <c r="DB149" t="e">
        <f>AND(Bills!#REF!,"AAAAAH/z3mk=")</f>
        <v>#REF!</v>
      </c>
      <c r="DC149" t="e">
        <f>AND(Bills!G587,"AAAAAH/z3mo=")</f>
        <v>#VALUE!</v>
      </c>
      <c r="DD149" t="e">
        <f>AND(Bills!H587,"AAAAAH/z3ms=")</f>
        <v>#VALUE!</v>
      </c>
      <c r="DE149" t="e">
        <f>AND(Bills!I587,"AAAAAH/z3mw=")</f>
        <v>#VALUE!</v>
      </c>
      <c r="DF149" t="e">
        <f>AND(Bills!J587,"AAAAAH/z3m0=")</f>
        <v>#VALUE!</v>
      </c>
      <c r="DG149" t="e">
        <f>AND(Bills!K587,"AAAAAH/z3m4=")</f>
        <v>#VALUE!</v>
      </c>
      <c r="DH149" t="e">
        <f>AND(Bills!L587,"AAAAAH/z3m8=")</f>
        <v>#VALUE!</v>
      </c>
      <c r="DI149" t="e">
        <f>AND(Bills!#REF!,"AAAAAH/z3nA=")</f>
        <v>#REF!</v>
      </c>
      <c r="DJ149" t="e">
        <f>AND(Bills!M587,"AAAAAH/z3nE=")</f>
        <v>#VALUE!</v>
      </c>
      <c r="DK149" t="e">
        <f>AND(Bills!N587,"AAAAAH/z3nI=")</f>
        <v>#VALUE!</v>
      </c>
      <c r="DL149" t="e">
        <f>AND(Bills!O587,"AAAAAH/z3nM=")</f>
        <v>#VALUE!</v>
      </c>
      <c r="DM149" t="e">
        <f>AND(Bills!P587,"AAAAAH/z3nQ=")</f>
        <v>#VALUE!</v>
      </c>
      <c r="DN149" t="e">
        <f>AND(Bills!Q587,"AAAAAH/z3nU=")</f>
        <v>#VALUE!</v>
      </c>
      <c r="DO149" t="e">
        <f>AND(Bills!R587,"AAAAAH/z3nY=")</f>
        <v>#VALUE!</v>
      </c>
      <c r="DP149" t="e">
        <f>AND(Bills!S587,"AAAAAH/z3nc=")</f>
        <v>#VALUE!</v>
      </c>
      <c r="DQ149" t="e">
        <f>AND(Bills!T587,"AAAAAH/z3ng=")</f>
        <v>#VALUE!</v>
      </c>
      <c r="DR149" t="e">
        <f>AND(Bills!#REF!,"AAAAAH/z3nk=")</f>
        <v>#REF!</v>
      </c>
      <c r="DS149" t="e">
        <f>AND(Bills!U587,"AAAAAH/z3no=")</f>
        <v>#VALUE!</v>
      </c>
      <c r="DT149" t="e">
        <f>AND(Bills!V587,"AAAAAH/z3ns=")</f>
        <v>#VALUE!</v>
      </c>
      <c r="DU149" t="e">
        <f>AND(Bills!W587,"AAAAAH/z3nw=")</f>
        <v>#VALUE!</v>
      </c>
      <c r="DV149" t="e">
        <f>AND(Bills!#REF!,"AAAAAH/z3n0=")</f>
        <v>#REF!</v>
      </c>
      <c r="DW149" t="e">
        <f>AND(Bills!#REF!,"AAAAAH/z3n4=")</f>
        <v>#REF!</v>
      </c>
      <c r="DX149" t="e">
        <f>AND(Bills!Y587,"AAAAAH/z3n8=")</f>
        <v>#VALUE!</v>
      </c>
      <c r="DY149" t="e">
        <f>AND(Bills!Z587,"AAAAAH/z3oA=")</f>
        <v>#VALUE!</v>
      </c>
      <c r="DZ149" t="e">
        <f>AND(Bills!#REF!,"AAAAAH/z3oE=")</f>
        <v>#REF!</v>
      </c>
      <c r="EA149" t="e">
        <f>AND(Bills!#REF!,"AAAAAH/z3oI=")</f>
        <v>#REF!</v>
      </c>
      <c r="EB149" t="e">
        <f>AND(Bills!#REF!,"AAAAAH/z3oM=")</f>
        <v>#REF!</v>
      </c>
      <c r="EC149" t="e">
        <f>AND(Bills!#REF!,"AAAAAH/z3oQ=")</f>
        <v>#REF!</v>
      </c>
      <c r="ED149" t="e">
        <f>AND(Bills!#REF!,"AAAAAH/z3oU=")</f>
        <v>#REF!</v>
      </c>
      <c r="EE149" t="e">
        <f>AND(Bills!#REF!,"AAAAAH/z3oY=")</f>
        <v>#REF!</v>
      </c>
      <c r="EF149" t="e">
        <f>AND(Bills!#REF!,"AAAAAH/z3oc=")</f>
        <v>#REF!</v>
      </c>
      <c r="EG149" t="e">
        <f>AND(Bills!#REF!,"AAAAAH/z3og=")</f>
        <v>#REF!</v>
      </c>
      <c r="EH149" t="e">
        <f>AND(Bills!#REF!,"AAAAAH/z3ok=")</f>
        <v>#REF!</v>
      </c>
      <c r="EI149" t="e">
        <f>AND(Bills!AA587,"AAAAAH/z3oo=")</f>
        <v>#VALUE!</v>
      </c>
      <c r="EJ149" t="e">
        <f>AND(Bills!AB587,"AAAAAH/z3os=")</f>
        <v>#VALUE!</v>
      </c>
      <c r="EK149" t="e">
        <f>AND(Bills!#REF!,"AAAAAH/z3ow=")</f>
        <v>#REF!</v>
      </c>
      <c r="EL149" t="e">
        <f>AND(Bills!#REF!,"AAAAAH/z3o0=")</f>
        <v>#REF!</v>
      </c>
      <c r="EM149" t="e">
        <f>AND(Bills!#REF!,"AAAAAH/z3o4=")</f>
        <v>#REF!</v>
      </c>
      <c r="EN149" t="e">
        <f>AND(Bills!AC587,"AAAAAH/z3o8=")</f>
        <v>#VALUE!</v>
      </c>
      <c r="EO149" t="e">
        <f>AND(Bills!AD587,"AAAAAH/z3pA=")</f>
        <v>#VALUE!</v>
      </c>
      <c r="EP149" t="e">
        <f>AND(Bills!AE587,"AAAAAH/z3pE=")</f>
        <v>#VALUE!</v>
      </c>
      <c r="EQ149">
        <f>IF(Bills!588:588,"AAAAAH/z3pI=",0)</f>
        <v>0</v>
      </c>
      <c r="ER149" t="e">
        <f>AND(Bills!B588,"AAAAAH/z3pM=")</f>
        <v>#VALUE!</v>
      </c>
      <c r="ES149" t="e">
        <f>AND(Bills!#REF!,"AAAAAH/z3pQ=")</f>
        <v>#REF!</v>
      </c>
      <c r="ET149" t="e">
        <f>AND(Bills!C588,"AAAAAH/z3pU=")</f>
        <v>#VALUE!</v>
      </c>
      <c r="EU149" t="e">
        <f>AND(Bills!D588,"AAAAAH/z3pY=")</f>
        <v>#VALUE!</v>
      </c>
      <c r="EV149" t="e">
        <f>AND(Bills!E588,"AAAAAH/z3pc=")</f>
        <v>#VALUE!</v>
      </c>
      <c r="EW149" t="e">
        <f>AND(Bills!#REF!,"AAAAAH/z3pg=")</f>
        <v>#REF!</v>
      </c>
      <c r="EX149" t="e">
        <f>AND(Bills!#REF!,"AAAAAH/z3pk=")</f>
        <v>#REF!</v>
      </c>
      <c r="EY149" t="e">
        <f>AND(Bills!#REF!,"AAAAAH/z3po=")</f>
        <v>#REF!</v>
      </c>
      <c r="EZ149" t="e">
        <f>AND(Bills!F588,"AAAAAH/z3ps=")</f>
        <v>#VALUE!</v>
      </c>
      <c r="FA149" t="e">
        <f>AND(Bills!#REF!,"AAAAAH/z3pw=")</f>
        <v>#REF!</v>
      </c>
      <c r="FB149" t="e">
        <f>AND(Bills!G588,"AAAAAH/z3p0=")</f>
        <v>#VALUE!</v>
      </c>
      <c r="FC149" t="e">
        <f>AND(Bills!H588,"AAAAAH/z3p4=")</f>
        <v>#VALUE!</v>
      </c>
      <c r="FD149" t="e">
        <f>AND(Bills!I588,"AAAAAH/z3p8=")</f>
        <v>#VALUE!</v>
      </c>
      <c r="FE149" t="e">
        <f>AND(Bills!J588,"AAAAAH/z3qA=")</f>
        <v>#VALUE!</v>
      </c>
      <c r="FF149" t="e">
        <f>AND(Bills!K588,"AAAAAH/z3qE=")</f>
        <v>#VALUE!</v>
      </c>
      <c r="FG149" t="e">
        <f>AND(Bills!L588,"AAAAAH/z3qI=")</f>
        <v>#VALUE!</v>
      </c>
      <c r="FH149" t="e">
        <f>AND(Bills!#REF!,"AAAAAH/z3qM=")</f>
        <v>#REF!</v>
      </c>
      <c r="FI149" t="e">
        <f>AND(Bills!M588,"AAAAAH/z3qQ=")</f>
        <v>#VALUE!</v>
      </c>
      <c r="FJ149" t="e">
        <f>AND(Bills!N588,"AAAAAH/z3qU=")</f>
        <v>#VALUE!</v>
      </c>
      <c r="FK149" t="e">
        <f>AND(Bills!O588,"AAAAAH/z3qY=")</f>
        <v>#VALUE!</v>
      </c>
      <c r="FL149" t="e">
        <f>AND(Bills!P588,"AAAAAH/z3qc=")</f>
        <v>#VALUE!</v>
      </c>
      <c r="FM149" t="e">
        <f>AND(Bills!Q588,"AAAAAH/z3qg=")</f>
        <v>#VALUE!</v>
      </c>
      <c r="FN149" t="e">
        <f>AND(Bills!R588,"AAAAAH/z3qk=")</f>
        <v>#VALUE!</v>
      </c>
      <c r="FO149" t="e">
        <f>AND(Bills!S588,"AAAAAH/z3qo=")</f>
        <v>#VALUE!</v>
      </c>
      <c r="FP149" t="e">
        <f>AND(Bills!T588,"AAAAAH/z3qs=")</f>
        <v>#VALUE!</v>
      </c>
      <c r="FQ149" t="e">
        <f>AND(Bills!#REF!,"AAAAAH/z3qw=")</f>
        <v>#REF!</v>
      </c>
      <c r="FR149" t="e">
        <f>AND(Bills!U588,"AAAAAH/z3q0=")</f>
        <v>#VALUE!</v>
      </c>
      <c r="FS149" t="e">
        <f>AND(Bills!V588,"AAAAAH/z3q4=")</f>
        <v>#VALUE!</v>
      </c>
      <c r="FT149" t="e">
        <f>AND(Bills!W588,"AAAAAH/z3q8=")</f>
        <v>#VALUE!</v>
      </c>
      <c r="FU149" t="e">
        <f>AND(Bills!#REF!,"AAAAAH/z3rA=")</f>
        <v>#REF!</v>
      </c>
      <c r="FV149" t="e">
        <f>AND(Bills!#REF!,"AAAAAH/z3rE=")</f>
        <v>#REF!</v>
      </c>
      <c r="FW149" t="e">
        <f>AND(Bills!Y588,"AAAAAH/z3rI=")</f>
        <v>#VALUE!</v>
      </c>
      <c r="FX149" t="e">
        <f>AND(Bills!Z588,"AAAAAH/z3rM=")</f>
        <v>#VALUE!</v>
      </c>
      <c r="FY149" t="e">
        <f>AND(Bills!#REF!,"AAAAAH/z3rQ=")</f>
        <v>#REF!</v>
      </c>
      <c r="FZ149" t="e">
        <f>AND(Bills!#REF!,"AAAAAH/z3rU=")</f>
        <v>#REF!</v>
      </c>
      <c r="GA149" t="e">
        <f>AND(Bills!#REF!,"AAAAAH/z3rY=")</f>
        <v>#REF!</v>
      </c>
      <c r="GB149" t="e">
        <f>AND(Bills!#REF!,"AAAAAH/z3rc=")</f>
        <v>#REF!</v>
      </c>
      <c r="GC149" t="e">
        <f>AND(Bills!#REF!,"AAAAAH/z3rg=")</f>
        <v>#REF!</v>
      </c>
      <c r="GD149" t="e">
        <f>AND(Bills!#REF!,"AAAAAH/z3rk=")</f>
        <v>#REF!</v>
      </c>
      <c r="GE149" t="e">
        <f>AND(Bills!#REF!,"AAAAAH/z3ro=")</f>
        <v>#REF!</v>
      </c>
      <c r="GF149" t="e">
        <f>AND(Bills!#REF!,"AAAAAH/z3rs=")</f>
        <v>#REF!</v>
      </c>
      <c r="GG149" t="e">
        <f>AND(Bills!#REF!,"AAAAAH/z3rw=")</f>
        <v>#REF!</v>
      </c>
      <c r="GH149" t="e">
        <f>AND(Bills!AA588,"AAAAAH/z3r0=")</f>
        <v>#VALUE!</v>
      </c>
      <c r="GI149" t="e">
        <f>AND(Bills!AB588,"AAAAAH/z3r4=")</f>
        <v>#VALUE!</v>
      </c>
      <c r="GJ149" t="e">
        <f>AND(Bills!#REF!,"AAAAAH/z3r8=")</f>
        <v>#REF!</v>
      </c>
      <c r="GK149" t="e">
        <f>AND(Bills!#REF!,"AAAAAH/z3sA=")</f>
        <v>#REF!</v>
      </c>
      <c r="GL149" t="e">
        <f>AND(Bills!#REF!,"AAAAAH/z3sE=")</f>
        <v>#REF!</v>
      </c>
      <c r="GM149" t="e">
        <f>AND(Bills!AC588,"AAAAAH/z3sI=")</f>
        <v>#VALUE!</v>
      </c>
      <c r="GN149" t="e">
        <f>AND(Bills!AD588,"AAAAAH/z3sM=")</f>
        <v>#VALUE!</v>
      </c>
      <c r="GO149" t="e">
        <f>AND(Bills!AE588,"AAAAAH/z3sQ=")</f>
        <v>#VALUE!</v>
      </c>
      <c r="GP149">
        <f>IF(Bills!589:589,"AAAAAH/z3sU=",0)</f>
        <v>0</v>
      </c>
      <c r="GQ149" t="e">
        <f>AND(Bills!B589,"AAAAAH/z3sY=")</f>
        <v>#VALUE!</v>
      </c>
      <c r="GR149" t="e">
        <f>AND(Bills!#REF!,"AAAAAH/z3sc=")</f>
        <v>#REF!</v>
      </c>
      <c r="GS149" t="e">
        <f>AND(Bills!C589,"AAAAAH/z3sg=")</f>
        <v>#VALUE!</v>
      </c>
      <c r="GT149" t="e">
        <f>AND(Bills!D589,"AAAAAH/z3sk=")</f>
        <v>#VALUE!</v>
      </c>
      <c r="GU149" t="e">
        <f>AND(Bills!E589,"AAAAAH/z3so=")</f>
        <v>#VALUE!</v>
      </c>
      <c r="GV149" t="e">
        <f>AND(Bills!#REF!,"AAAAAH/z3ss=")</f>
        <v>#REF!</v>
      </c>
      <c r="GW149" t="e">
        <f>AND(Bills!#REF!,"AAAAAH/z3sw=")</f>
        <v>#REF!</v>
      </c>
      <c r="GX149" t="e">
        <f>AND(Bills!#REF!,"AAAAAH/z3s0=")</f>
        <v>#REF!</v>
      </c>
      <c r="GY149" t="e">
        <f>AND(Bills!F589,"AAAAAH/z3s4=")</f>
        <v>#VALUE!</v>
      </c>
      <c r="GZ149" t="e">
        <f>AND(Bills!#REF!,"AAAAAH/z3s8=")</f>
        <v>#REF!</v>
      </c>
      <c r="HA149" t="e">
        <f>AND(Bills!G589,"AAAAAH/z3tA=")</f>
        <v>#VALUE!</v>
      </c>
      <c r="HB149" t="e">
        <f>AND(Bills!H589,"AAAAAH/z3tE=")</f>
        <v>#VALUE!</v>
      </c>
      <c r="HC149" t="e">
        <f>AND(Bills!I589,"AAAAAH/z3tI=")</f>
        <v>#VALUE!</v>
      </c>
      <c r="HD149" t="e">
        <f>AND(Bills!J589,"AAAAAH/z3tM=")</f>
        <v>#VALUE!</v>
      </c>
      <c r="HE149" t="e">
        <f>AND(Bills!K589,"AAAAAH/z3tQ=")</f>
        <v>#VALUE!</v>
      </c>
      <c r="HF149" t="e">
        <f>AND(Bills!L589,"AAAAAH/z3tU=")</f>
        <v>#VALUE!</v>
      </c>
      <c r="HG149" t="e">
        <f>AND(Bills!#REF!,"AAAAAH/z3tY=")</f>
        <v>#REF!</v>
      </c>
      <c r="HH149" t="e">
        <f>AND(Bills!M589,"AAAAAH/z3tc=")</f>
        <v>#VALUE!</v>
      </c>
      <c r="HI149" t="e">
        <f>AND(Bills!N589,"AAAAAH/z3tg=")</f>
        <v>#VALUE!</v>
      </c>
      <c r="HJ149" t="e">
        <f>AND(Bills!O589,"AAAAAH/z3tk=")</f>
        <v>#VALUE!</v>
      </c>
      <c r="HK149" t="e">
        <f>AND(Bills!P589,"AAAAAH/z3to=")</f>
        <v>#VALUE!</v>
      </c>
      <c r="HL149" t="e">
        <f>AND(Bills!Q589,"AAAAAH/z3ts=")</f>
        <v>#VALUE!</v>
      </c>
      <c r="HM149" t="e">
        <f>AND(Bills!R589,"AAAAAH/z3tw=")</f>
        <v>#VALUE!</v>
      </c>
      <c r="HN149" t="e">
        <f>AND(Bills!S589,"AAAAAH/z3t0=")</f>
        <v>#VALUE!</v>
      </c>
      <c r="HO149" t="e">
        <f>AND(Bills!T589,"AAAAAH/z3t4=")</f>
        <v>#VALUE!</v>
      </c>
      <c r="HP149" t="e">
        <f>AND(Bills!#REF!,"AAAAAH/z3t8=")</f>
        <v>#REF!</v>
      </c>
      <c r="HQ149" t="e">
        <f>AND(Bills!U589,"AAAAAH/z3uA=")</f>
        <v>#VALUE!</v>
      </c>
      <c r="HR149" t="e">
        <f>AND(Bills!V589,"AAAAAH/z3uE=")</f>
        <v>#VALUE!</v>
      </c>
      <c r="HS149" t="e">
        <f>AND(Bills!W589,"AAAAAH/z3uI=")</f>
        <v>#VALUE!</v>
      </c>
      <c r="HT149" t="e">
        <f>AND(Bills!#REF!,"AAAAAH/z3uM=")</f>
        <v>#REF!</v>
      </c>
      <c r="HU149" t="e">
        <f>AND(Bills!#REF!,"AAAAAH/z3uQ=")</f>
        <v>#REF!</v>
      </c>
      <c r="HV149" t="e">
        <f>AND(Bills!Y589,"AAAAAH/z3uU=")</f>
        <v>#VALUE!</v>
      </c>
      <c r="HW149" t="e">
        <f>AND(Bills!Z589,"AAAAAH/z3uY=")</f>
        <v>#VALUE!</v>
      </c>
      <c r="HX149" t="e">
        <f>AND(Bills!#REF!,"AAAAAH/z3uc=")</f>
        <v>#REF!</v>
      </c>
      <c r="HY149" t="e">
        <f>AND(Bills!#REF!,"AAAAAH/z3ug=")</f>
        <v>#REF!</v>
      </c>
      <c r="HZ149" t="e">
        <f>AND(Bills!#REF!,"AAAAAH/z3uk=")</f>
        <v>#REF!</v>
      </c>
      <c r="IA149" t="e">
        <f>AND(Bills!#REF!,"AAAAAH/z3uo=")</f>
        <v>#REF!</v>
      </c>
      <c r="IB149" t="e">
        <f>AND(Bills!#REF!,"AAAAAH/z3us=")</f>
        <v>#REF!</v>
      </c>
      <c r="IC149" t="e">
        <f>AND(Bills!#REF!,"AAAAAH/z3uw=")</f>
        <v>#REF!</v>
      </c>
      <c r="ID149" t="e">
        <f>AND(Bills!#REF!,"AAAAAH/z3u0=")</f>
        <v>#REF!</v>
      </c>
      <c r="IE149" t="e">
        <f>AND(Bills!#REF!,"AAAAAH/z3u4=")</f>
        <v>#REF!</v>
      </c>
      <c r="IF149" t="e">
        <f>AND(Bills!#REF!,"AAAAAH/z3u8=")</f>
        <v>#REF!</v>
      </c>
      <c r="IG149" t="e">
        <f>AND(Bills!AA589,"AAAAAH/z3vA=")</f>
        <v>#VALUE!</v>
      </c>
      <c r="IH149" t="e">
        <f>AND(Bills!AB589,"AAAAAH/z3vE=")</f>
        <v>#VALUE!</v>
      </c>
      <c r="II149" t="e">
        <f>AND(Bills!#REF!,"AAAAAH/z3vI=")</f>
        <v>#REF!</v>
      </c>
      <c r="IJ149" t="e">
        <f>AND(Bills!#REF!,"AAAAAH/z3vM=")</f>
        <v>#REF!</v>
      </c>
      <c r="IK149" t="e">
        <f>AND(Bills!#REF!,"AAAAAH/z3vQ=")</f>
        <v>#REF!</v>
      </c>
      <c r="IL149" t="e">
        <f>AND(Bills!AC589,"AAAAAH/z3vU=")</f>
        <v>#VALUE!</v>
      </c>
      <c r="IM149" t="e">
        <f>AND(Bills!AD589,"AAAAAH/z3vY=")</f>
        <v>#VALUE!</v>
      </c>
      <c r="IN149" t="e">
        <f>AND(Bills!AE589,"AAAAAH/z3vc=")</f>
        <v>#VALUE!</v>
      </c>
      <c r="IO149">
        <f>IF(Bills!590:590,"AAAAAH/z3vg=",0)</f>
        <v>0</v>
      </c>
      <c r="IP149" t="e">
        <f>AND(Bills!B590,"AAAAAH/z3vk=")</f>
        <v>#VALUE!</v>
      </c>
      <c r="IQ149" t="e">
        <f>AND(Bills!#REF!,"AAAAAH/z3vo=")</f>
        <v>#REF!</v>
      </c>
      <c r="IR149" t="e">
        <f>AND(Bills!C590,"AAAAAH/z3vs=")</f>
        <v>#VALUE!</v>
      </c>
      <c r="IS149" t="e">
        <f>AND(Bills!D590,"AAAAAH/z3vw=")</f>
        <v>#VALUE!</v>
      </c>
      <c r="IT149" t="e">
        <f>AND(Bills!E590,"AAAAAH/z3v0=")</f>
        <v>#VALUE!</v>
      </c>
      <c r="IU149" t="e">
        <f>AND(Bills!#REF!,"AAAAAH/z3v4=")</f>
        <v>#REF!</v>
      </c>
      <c r="IV149" t="e">
        <f>AND(Bills!#REF!,"AAAAAH/z3v8=")</f>
        <v>#REF!</v>
      </c>
    </row>
    <row r="150" spans="1:256" x14ac:dyDescent="0.25">
      <c r="A150" t="e">
        <f>AND(Bills!#REF!,"AAAAACqO6wA=")</f>
        <v>#REF!</v>
      </c>
      <c r="B150" t="e">
        <f>AND(Bills!F590,"AAAAACqO6wE=")</f>
        <v>#VALUE!</v>
      </c>
      <c r="C150" t="e">
        <f>AND(Bills!#REF!,"AAAAACqO6wI=")</f>
        <v>#REF!</v>
      </c>
      <c r="D150" t="e">
        <f>AND(Bills!G590,"AAAAACqO6wM=")</f>
        <v>#VALUE!</v>
      </c>
      <c r="E150" t="e">
        <f>AND(Bills!H590,"AAAAACqO6wQ=")</f>
        <v>#VALUE!</v>
      </c>
      <c r="F150" t="e">
        <f>AND(Bills!I590,"AAAAACqO6wU=")</f>
        <v>#VALUE!</v>
      </c>
      <c r="G150" t="e">
        <f>AND(Bills!J590,"AAAAACqO6wY=")</f>
        <v>#VALUE!</v>
      </c>
      <c r="H150" t="e">
        <f>AND(Bills!K590,"AAAAACqO6wc=")</f>
        <v>#VALUE!</v>
      </c>
      <c r="I150" t="e">
        <f>AND(Bills!L590,"AAAAACqO6wg=")</f>
        <v>#VALUE!</v>
      </c>
      <c r="J150" t="e">
        <f>AND(Bills!#REF!,"AAAAACqO6wk=")</f>
        <v>#REF!</v>
      </c>
      <c r="K150" t="e">
        <f>AND(Bills!M590,"AAAAACqO6wo=")</f>
        <v>#VALUE!</v>
      </c>
      <c r="L150" t="e">
        <f>AND(Bills!N590,"AAAAACqO6ws=")</f>
        <v>#VALUE!</v>
      </c>
      <c r="M150" t="e">
        <f>AND(Bills!O590,"AAAAACqO6ww=")</f>
        <v>#VALUE!</v>
      </c>
      <c r="N150" t="e">
        <f>AND(Bills!P590,"AAAAACqO6w0=")</f>
        <v>#VALUE!</v>
      </c>
      <c r="O150" t="e">
        <f>AND(Bills!Q590,"AAAAACqO6w4=")</f>
        <v>#VALUE!</v>
      </c>
      <c r="P150" t="e">
        <f>AND(Bills!R590,"AAAAACqO6w8=")</f>
        <v>#VALUE!</v>
      </c>
      <c r="Q150" t="e">
        <f>AND(Bills!S590,"AAAAACqO6xA=")</f>
        <v>#VALUE!</v>
      </c>
      <c r="R150" t="e">
        <f>AND(Bills!T590,"AAAAACqO6xE=")</f>
        <v>#VALUE!</v>
      </c>
      <c r="S150" t="e">
        <f>AND(Bills!#REF!,"AAAAACqO6xI=")</f>
        <v>#REF!</v>
      </c>
      <c r="T150" t="e">
        <f>AND(Bills!U590,"AAAAACqO6xM=")</f>
        <v>#VALUE!</v>
      </c>
      <c r="U150" t="e">
        <f>AND(Bills!V590,"AAAAACqO6xQ=")</f>
        <v>#VALUE!</v>
      </c>
      <c r="V150" t="e">
        <f>AND(Bills!W590,"AAAAACqO6xU=")</f>
        <v>#VALUE!</v>
      </c>
      <c r="W150" t="e">
        <f>AND(Bills!#REF!,"AAAAACqO6xY=")</f>
        <v>#REF!</v>
      </c>
      <c r="X150" t="e">
        <f>AND(Bills!#REF!,"AAAAACqO6xc=")</f>
        <v>#REF!</v>
      </c>
      <c r="Y150" t="e">
        <f>AND(Bills!Y590,"AAAAACqO6xg=")</f>
        <v>#VALUE!</v>
      </c>
      <c r="Z150" t="e">
        <f>AND(Bills!Z590,"AAAAACqO6xk=")</f>
        <v>#VALUE!</v>
      </c>
      <c r="AA150" t="e">
        <f>AND(Bills!#REF!,"AAAAACqO6xo=")</f>
        <v>#REF!</v>
      </c>
      <c r="AB150" t="e">
        <f>AND(Bills!#REF!,"AAAAACqO6xs=")</f>
        <v>#REF!</v>
      </c>
      <c r="AC150" t="e">
        <f>AND(Bills!#REF!,"AAAAACqO6xw=")</f>
        <v>#REF!</v>
      </c>
      <c r="AD150" t="e">
        <f>AND(Bills!#REF!,"AAAAACqO6x0=")</f>
        <v>#REF!</v>
      </c>
      <c r="AE150" t="e">
        <f>AND(Bills!#REF!,"AAAAACqO6x4=")</f>
        <v>#REF!</v>
      </c>
      <c r="AF150" t="e">
        <f>AND(Bills!#REF!,"AAAAACqO6x8=")</f>
        <v>#REF!</v>
      </c>
      <c r="AG150" t="e">
        <f>AND(Bills!#REF!,"AAAAACqO6yA=")</f>
        <v>#REF!</v>
      </c>
      <c r="AH150" t="e">
        <f>AND(Bills!#REF!,"AAAAACqO6yE=")</f>
        <v>#REF!</v>
      </c>
      <c r="AI150" t="e">
        <f>AND(Bills!#REF!,"AAAAACqO6yI=")</f>
        <v>#REF!</v>
      </c>
      <c r="AJ150" t="e">
        <f>AND(Bills!AA590,"AAAAACqO6yM=")</f>
        <v>#VALUE!</v>
      </c>
      <c r="AK150" t="e">
        <f>AND(Bills!AB590,"AAAAACqO6yQ=")</f>
        <v>#VALUE!</v>
      </c>
      <c r="AL150" t="e">
        <f>AND(Bills!#REF!,"AAAAACqO6yU=")</f>
        <v>#REF!</v>
      </c>
      <c r="AM150" t="e">
        <f>AND(Bills!#REF!,"AAAAACqO6yY=")</f>
        <v>#REF!</v>
      </c>
      <c r="AN150" t="e">
        <f>AND(Bills!#REF!,"AAAAACqO6yc=")</f>
        <v>#REF!</v>
      </c>
      <c r="AO150" t="e">
        <f>AND(Bills!AC590,"AAAAACqO6yg=")</f>
        <v>#VALUE!</v>
      </c>
      <c r="AP150" t="e">
        <f>AND(Bills!AD590,"AAAAACqO6yk=")</f>
        <v>#VALUE!</v>
      </c>
      <c r="AQ150" t="e">
        <f>AND(Bills!AE590,"AAAAACqO6yo=")</f>
        <v>#VALUE!</v>
      </c>
      <c r="AR150">
        <f>IF(Bills!591:591,"AAAAACqO6ys=",0)</f>
        <v>0</v>
      </c>
      <c r="AS150" t="e">
        <f>AND(Bills!B591,"AAAAACqO6yw=")</f>
        <v>#VALUE!</v>
      </c>
      <c r="AT150" t="e">
        <f>AND(Bills!#REF!,"AAAAACqO6y0=")</f>
        <v>#REF!</v>
      </c>
      <c r="AU150" t="e">
        <f>AND(Bills!C591,"AAAAACqO6y4=")</f>
        <v>#VALUE!</v>
      </c>
      <c r="AV150" t="e">
        <f>AND(Bills!D591,"AAAAACqO6y8=")</f>
        <v>#VALUE!</v>
      </c>
      <c r="AW150" t="e">
        <f>AND(Bills!E591,"AAAAACqO6zA=")</f>
        <v>#VALUE!</v>
      </c>
      <c r="AX150" t="e">
        <f>AND(Bills!#REF!,"AAAAACqO6zE=")</f>
        <v>#REF!</v>
      </c>
      <c r="AY150" t="e">
        <f>AND(Bills!#REF!,"AAAAACqO6zI=")</f>
        <v>#REF!</v>
      </c>
      <c r="AZ150" t="e">
        <f>AND(Bills!#REF!,"AAAAACqO6zM=")</f>
        <v>#REF!</v>
      </c>
      <c r="BA150" t="e">
        <f>AND(Bills!F591,"AAAAACqO6zQ=")</f>
        <v>#VALUE!</v>
      </c>
      <c r="BB150" t="e">
        <f>AND(Bills!#REF!,"AAAAACqO6zU=")</f>
        <v>#REF!</v>
      </c>
      <c r="BC150" t="e">
        <f>AND(Bills!G591,"AAAAACqO6zY=")</f>
        <v>#VALUE!</v>
      </c>
      <c r="BD150" t="e">
        <f>AND(Bills!H591,"AAAAACqO6zc=")</f>
        <v>#VALUE!</v>
      </c>
      <c r="BE150" t="e">
        <f>AND(Bills!I591,"AAAAACqO6zg=")</f>
        <v>#VALUE!</v>
      </c>
      <c r="BF150" t="e">
        <f>AND(Bills!J591,"AAAAACqO6zk=")</f>
        <v>#VALUE!</v>
      </c>
      <c r="BG150" t="e">
        <f>AND(Bills!K591,"AAAAACqO6zo=")</f>
        <v>#VALUE!</v>
      </c>
      <c r="BH150" t="e">
        <f>AND(Bills!L591,"AAAAACqO6zs=")</f>
        <v>#VALUE!</v>
      </c>
      <c r="BI150" t="e">
        <f>AND(Bills!#REF!,"AAAAACqO6zw=")</f>
        <v>#REF!</v>
      </c>
      <c r="BJ150" t="e">
        <f>AND(Bills!M591,"AAAAACqO6z0=")</f>
        <v>#VALUE!</v>
      </c>
      <c r="BK150" t="e">
        <f>AND(Bills!N591,"AAAAACqO6z4=")</f>
        <v>#VALUE!</v>
      </c>
      <c r="BL150" t="e">
        <f>AND(Bills!O591,"AAAAACqO6z8=")</f>
        <v>#VALUE!</v>
      </c>
      <c r="BM150" t="e">
        <f>AND(Bills!P591,"AAAAACqO60A=")</f>
        <v>#VALUE!</v>
      </c>
      <c r="BN150" t="e">
        <f>AND(Bills!Q591,"AAAAACqO60E=")</f>
        <v>#VALUE!</v>
      </c>
      <c r="BO150" t="e">
        <f>AND(Bills!R591,"AAAAACqO60I=")</f>
        <v>#VALUE!</v>
      </c>
      <c r="BP150" t="e">
        <f>AND(Bills!S591,"AAAAACqO60M=")</f>
        <v>#VALUE!</v>
      </c>
      <c r="BQ150" t="e">
        <f>AND(Bills!T591,"AAAAACqO60Q=")</f>
        <v>#VALUE!</v>
      </c>
      <c r="BR150" t="e">
        <f>AND(Bills!#REF!,"AAAAACqO60U=")</f>
        <v>#REF!</v>
      </c>
      <c r="BS150" t="e">
        <f>AND(Bills!U591,"AAAAACqO60Y=")</f>
        <v>#VALUE!</v>
      </c>
      <c r="BT150" t="e">
        <f>AND(Bills!V591,"AAAAACqO60c=")</f>
        <v>#VALUE!</v>
      </c>
      <c r="BU150" t="e">
        <f>AND(Bills!W591,"AAAAACqO60g=")</f>
        <v>#VALUE!</v>
      </c>
      <c r="BV150" t="e">
        <f>AND(Bills!#REF!,"AAAAACqO60k=")</f>
        <v>#REF!</v>
      </c>
      <c r="BW150" t="e">
        <f>AND(Bills!#REF!,"AAAAACqO60o=")</f>
        <v>#REF!</v>
      </c>
      <c r="BX150" t="e">
        <f>AND(Bills!Y591,"AAAAACqO60s=")</f>
        <v>#VALUE!</v>
      </c>
      <c r="BY150" t="e">
        <f>AND(Bills!Z591,"AAAAACqO60w=")</f>
        <v>#VALUE!</v>
      </c>
      <c r="BZ150" t="e">
        <f>AND(Bills!#REF!,"AAAAACqO600=")</f>
        <v>#REF!</v>
      </c>
      <c r="CA150" t="e">
        <f>AND(Bills!#REF!,"AAAAACqO604=")</f>
        <v>#REF!</v>
      </c>
      <c r="CB150" t="e">
        <f>AND(Bills!#REF!,"AAAAACqO608=")</f>
        <v>#REF!</v>
      </c>
      <c r="CC150" t="e">
        <f>AND(Bills!#REF!,"AAAAACqO61A=")</f>
        <v>#REF!</v>
      </c>
      <c r="CD150" t="e">
        <f>AND(Bills!#REF!,"AAAAACqO61E=")</f>
        <v>#REF!</v>
      </c>
      <c r="CE150" t="e">
        <f>AND(Bills!#REF!,"AAAAACqO61I=")</f>
        <v>#REF!</v>
      </c>
      <c r="CF150" t="e">
        <f>AND(Bills!#REF!,"AAAAACqO61M=")</f>
        <v>#REF!</v>
      </c>
      <c r="CG150" t="e">
        <f>AND(Bills!#REF!,"AAAAACqO61Q=")</f>
        <v>#REF!</v>
      </c>
      <c r="CH150" t="e">
        <f>AND(Bills!#REF!,"AAAAACqO61U=")</f>
        <v>#REF!</v>
      </c>
      <c r="CI150" t="e">
        <f>AND(Bills!AA591,"AAAAACqO61Y=")</f>
        <v>#VALUE!</v>
      </c>
      <c r="CJ150" t="e">
        <f>AND(Bills!AB591,"AAAAACqO61c=")</f>
        <v>#VALUE!</v>
      </c>
      <c r="CK150" t="e">
        <f>AND(Bills!#REF!,"AAAAACqO61g=")</f>
        <v>#REF!</v>
      </c>
      <c r="CL150" t="e">
        <f>AND(Bills!#REF!,"AAAAACqO61k=")</f>
        <v>#REF!</v>
      </c>
      <c r="CM150" t="e">
        <f>AND(Bills!#REF!,"AAAAACqO61o=")</f>
        <v>#REF!</v>
      </c>
      <c r="CN150" t="e">
        <f>AND(Bills!AC591,"AAAAACqO61s=")</f>
        <v>#VALUE!</v>
      </c>
      <c r="CO150" t="e">
        <f>AND(Bills!AD591,"AAAAACqO61w=")</f>
        <v>#VALUE!</v>
      </c>
      <c r="CP150" t="e">
        <f>AND(Bills!AE591,"AAAAACqO610=")</f>
        <v>#VALUE!</v>
      </c>
      <c r="CQ150">
        <f>IF(Bills!592:592,"AAAAACqO614=",0)</f>
        <v>0</v>
      </c>
      <c r="CR150" t="e">
        <f>AND(Bills!B592,"AAAAACqO618=")</f>
        <v>#VALUE!</v>
      </c>
      <c r="CS150" t="e">
        <f>AND(Bills!#REF!,"AAAAACqO62A=")</f>
        <v>#REF!</v>
      </c>
      <c r="CT150" t="e">
        <f>AND(Bills!C592,"AAAAACqO62E=")</f>
        <v>#VALUE!</v>
      </c>
      <c r="CU150" t="e">
        <f>AND(Bills!D592,"AAAAACqO62I=")</f>
        <v>#VALUE!</v>
      </c>
      <c r="CV150" t="e">
        <f>AND(Bills!E592,"AAAAACqO62M=")</f>
        <v>#VALUE!</v>
      </c>
      <c r="CW150" t="e">
        <f>AND(Bills!#REF!,"AAAAACqO62Q=")</f>
        <v>#REF!</v>
      </c>
      <c r="CX150" t="e">
        <f>AND(Bills!#REF!,"AAAAACqO62U=")</f>
        <v>#REF!</v>
      </c>
      <c r="CY150" t="e">
        <f>AND(Bills!#REF!,"AAAAACqO62Y=")</f>
        <v>#REF!</v>
      </c>
      <c r="CZ150" t="e">
        <f>AND(Bills!F592,"AAAAACqO62c=")</f>
        <v>#VALUE!</v>
      </c>
      <c r="DA150" t="e">
        <f>AND(Bills!#REF!,"AAAAACqO62g=")</f>
        <v>#REF!</v>
      </c>
      <c r="DB150" t="e">
        <f>AND(Bills!G592,"AAAAACqO62k=")</f>
        <v>#VALUE!</v>
      </c>
      <c r="DC150" t="e">
        <f>AND(Bills!H592,"AAAAACqO62o=")</f>
        <v>#VALUE!</v>
      </c>
      <c r="DD150" t="e">
        <f>AND(Bills!I592,"AAAAACqO62s=")</f>
        <v>#VALUE!</v>
      </c>
      <c r="DE150" t="e">
        <f>AND(Bills!J592,"AAAAACqO62w=")</f>
        <v>#VALUE!</v>
      </c>
      <c r="DF150" t="e">
        <f>AND(Bills!K592,"AAAAACqO620=")</f>
        <v>#VALUE!</v>
      </c>
      <c r="DG150" t="e">
        <f>AND(Bills!L592,"AAAAACqO624=")</f>
        <v>#VALUE!</v>
      </c>
      <c r="DH150" t="e">
        <f>AND(Bills!#REF!,"AAAAACqO628=")</f>
        <v>#REF!</v>
      </c>
      <c r="DI150" t="e">
        <f>AND(Bills!M592,"AAAAACqO63A=")</f>
        <v>#VALUE!</v>
      </c>
      <c r="DJ150" t="e">
        <f>AND(Bills!N592,"AAAAACqO63E=")</f>
        <v>#VALUE!</v>
      </c>
      <c r="DK150" t="e">
        <f>AND(Bills!O592,"AAAAACqO63I=")</f>
        <v>#VALUE!</v>
      </c>
      <c r="DL150" t="e">
        <f>AND(Bills!P592,"AAAAACqO63M=")</f>
        <v>#VALUE!</v>
      </c>
      <c r="DM150" t="e">
        <f>AND(Bills!Q592,"AAAAACqO63Q=")</f>
        <v>#VALUE!</v>
      </c>
      <c r="DN150" t="e">
        <f>AND(Bills!R592,"AAAAACqO63U=")</f>
        <v>#VALUE!</v>
      </c>
      <c r="DO150" t="e">
        <f>AND(Bills!S592,"AAAAACqO63Y=")</f>
        <v>#VALUE!</v>
      </c>
      <c r="DP150" t="e">
        <f>AND(Bills!T592,"AAAAACqO63c=")</f>
        <v>#VALUE!</v>
      </c>
      <c r="DQ150" t="e">
        <f>AND(Bills!#REF!,"AAAAACqO63g=")</f>
        <v>#REF!</v>
      </c>
      <c r="DR150" t="e">
        <f>AND(Bills!U592,"AAAAACqO63k=")</f>
        <v>#VALUE!</v>
      </c>
      <c r="DS150" t="e">
        <f>AND(Bills!V592,"AAAAACqO63o=")</f>
        <v>#VALUE!</v>
      </c>
      <c r="DT150" t="e">
        <f>AND(Bills!W592,"AAAAACqO63s=")</f>
        <v>#VALUE!</v>
      </c>
      <c r="DU150" t="e">
        <f>AND(Bills!#REF!,"AAAAACqO63w=")</f>
        <v>#REF!</v>
      </c>
      <c r="DV150" t="e">
        <f>AND(Bills!#REF!,"AAAAACqO630=")</f>
        <v>#REF!</v>
      </c>
      <c r="DW150" t="e">
        <f>AND(Bills!Y592,"AAAAACqO634=")</f>
        <v>#VALUE!</v>
      </c>
      <c r="DX150" t="e">
        <f>AND(Bills!Z592,"AAAAACqO638=")</f>
        <v>#VALUE!</v>
      </c>
      <c r="DY150" t="e">
        <f>AND(Bills!#REF!,"AAAAACqO64A=")</f>
        <v>#REF!</v>
      </c>
      <c r="DZ150" t="e">
        <f>AND(Bills!#REF!,"AAAAACqO64E=")</f>
        <v>#REF!</v>
      </c>
      <c r="EA150" t="e">
        <f>AND(Bills!#REF!,"AAAAACqO64I=")</f>
        <v>#REF!</v>
      </c>
      <c r="EB150" t="e">
        <f>AND(Bills!#REF!,"AAAAACqO64M=")</f>
        <v>#REF!</v>
      </c>
      <c r="EC150" t="e">
        <f>AND(Bills!#REF!,"AAAAACqO64Q=")</f>
        <v>#REF!</v>
      </c>
      <c r="ED150" t="e">
        <f>AND(Bills!#REF!,"AAAAACqO64U=")</f>
        <v>#REF!</v>
      </c>
      <c r="EE150" t="e">
        <f>AND(Bills!#REF!,"AAAAACqO64Y=")</f>
        <v>#REF!</v>
      </c>
      <c r="EF150" t="e">
        <f>AND(Bills!#REF!,"AAAAACqO64c=")</f>
        <v>#REF!</v>
      </c>
      <c r="EG150" t="e">
        <f>AND(Bills!#REF!,"AAAAACqO64g=")</f>
        <v>#REF!</v>
      </c>
      <c r="EH150" t="e">
        <f>AND(Bills!AA592,"AAAAACqO64k=")</f>
        <v>#VALUE!</v>
      </c>
      <c r="EI150" t="e">
        <f>AND(Bills!AB592,"AAAAACqO64o=")</f>
        <v>#VALUE!</v>
      </c>
      <c r="EJ150" t="e">
        <f>AND(Bills!#REF!,"AAAAACqO64s=")</f>
        <v>#REF!</v>
      </c>
      <c r="EK150" t="e">
        <f>AND(Bills!#REF!,"AAAAACqO64w=")</f>
        <v>#REF!</v>
      </c>
      <c r="EL150" t="e">
        <f>AND(Bills!#REF!,"AAAAACqO640=")</f>
        <v>#REF!</v>
      </c>
      <c r="EM150" t="e">
        <f>AND(Bills!AC592,"AAAAACqO644=")</f>
        <v>#VALUE!</v>
      </c>
      <c r="EN150" t="e">
        <f>AND(Bills!AD592,"AAAAACqO648=")</f>
        <v>#VALUE!</v>
      </c>
      <c r="EO150" t="e">
        <f>AND(Bills!AE592,"AAAAACqO65A=")</f>
        <v>#VALUE!</v>
      </c>
      <c r="EP150">
        <f>IF(Bills!593:593,"AAAAACqO65E=",0)</f>
        <v>0</v>
      </c>
      <c r="EQ150" t="e">
        <f>AND(Bills!B593,"AAAAACqO65I=")</f>
        <v>#VALUE!</v>
      </c>
      <c r="ER150" t="e">
        <f>AND(Bills!#REF!,"AAAAACqO65M=")</f>
        <v>#REF!</v>
      </c>
      <c r="ES150" t="e">
        <f>AND(Bills!C593,"AAAAACqO65Q=")</f>
        <v>#VALUE!</v>
      </c>
      <c r="ET150" t="e">
        <f>AND(Bills!D593,"AAAAACqO65U=")</f>
        <v>#VALUE!</v>
      </c>
      <c r="EU150" t="e">
        <f>AND(Bills!E593,"AAAAACqO65Y=")</f>
        <v>#VALUE!</v>
      </c>
      <c r="EV150" t="e">
        <f>AND(Bills!#REF!,"AAAAACqO65c=")</f>
        <v>#REF!</v>
      </c>
      <c r="EW150" t="e">
        <f>AND(Bills!#REF!,"AAAAACqO65g=")</f>
        <v>#REF!</v>
      </c>
      <c r="EX150" t="e">
        <f>AND(Bills!#REF!,"AAAAACqO65k=")</f>
        <v>#REF!</v>
      </c>
      <c r="EY150" t="e">
        <f>AND(Bills!F593,"AAAAACqO65o=")</f>
        <v>#VALUE!</v>
      </c>
      <c r="EZ150" t="e">
        <f>AND(Bills!#REF!,"AAAAACqO65s=")</f>
        <v>#REF!</v>
      </c>
      <c r="FA150" t="e">
        <f>AND(Bills!G593,"AAAAACqO65w=")</f>
        <v>#VALUE!</v>
      </c>
      <c r="FB150" t="e">
        <f>AND(Bills!H593,"AAAAACqO650=")</f>
        <v>#VALUE!</v>
      </c>
      <c r="FC150" t="e">
        <f>AND(Bills!I593,"AAAAACqO654=")</f>
        <v>#VALUE!</v>
      </c>
      <c r="FD150" t="e">
        <f>AND(Bills!J593,"AAAAACqO658=")</f>
        <v>#VALUE!</v>
      </c>
      <c r="FE150" t="e">
        <f>AND(Bills!K593,"AAAAACqO66A=")</f>
        <v>#VALUE!</v>
      </c>
      <c r="FF150" t="e">
        <f>AND(Bills!L593,"AAAAACqO66E=")</f>
        <v>#VALUE!</v>
      </c>
      <c r="FG150" t="e">
        <f>AND(Bills!#REF!,"AAAAACqO66I=")</f>
        <v>#REF!</v>
      </c>
      <c r="FH150" t="e">
        <f>AND(Bills!M593,"AAAAACqO66M=")</f>
        <v>#VALUE!</v>
      </c>
      <c r="FI150" t="e">
        <f>AND(Bills!N593,"AAAAACqO66Q=")</f>
        <v>#VALUE!</v>
      </c>
      <c r="FJ150" t="e">
        <f>AND(Bills!O593,"AAAAACqO66U=")</f>
        <v>#VALUE!</v>
      </c>
      <c r="FK150" t="e">
        <f>AND(Bills!P593,"AAAAACqO66Y=")</f>
        <v>#VALUE!</v>
      </c>
      <c r="FL150" t="e">
        <f>AND(Bills!Q593,"AAAAACqO66c=")</f>
        <v>#VALUE!</v>
      </c>
      <c r="FM150" t="e">
        <f>AND(Bills!R593,"AAAAACqO66g=")</f>
        <v>#VALUE!</v>
      </c>
      <c r="FN150" t="e">
        <f>AND(Bills!S593,"AAAAACqO66k=")</f>
        <v>#VALUE!</v>
      </c>
      <c r="FO150" t="e">
        <f>AND(Bills!T593,"AAAAACqO66o=")</f>
        <v>#VALUE!</v>
      </c>
      <c r="FP150" t="e">
        <f>AND(Bills!#REF!,"AAAAACqO66s=")</f>
        <v>#REF!</v>
      </c>
      <c r="FQ150" t="e">
        <f>AND(Bills!U593,"AAAAACqO66w=")</f>
        <v>#VALUE!</v>
      </c>
      <c r="FR150" t="e">
        <f>AND(Bills!V593,"AAAAACqO660=")</f>
        <v>#VALUE!</v>
      </c>
      <c r="FS150" t="e">
        <f>AND(Bills!W593,"AAAAACqO664=")</f>
        <v>#VALUE!</v>
      </c>
      <c r="FT150" t="e">
        <f>AND(Bills!#REF!,"AAAAACqO668=")</f>
        <v>#REF!</v>
      </c>
      <c r="FU150" t="e">
        <f>AND(Bills!#REF!,"AAAAACqO67A=")</f>
        <v>#REF!</v>
      </c>
      <c r="FV150" t="e">
        <f>AND(Bills!Y593,"AAAAACqO67E=")</f>
        <v>#VALUE!</v>
      </c>
      <c r="FW150" t="e">
        <f>AND(Bills!Z593,"AAAAACqO67I=")</f>
        <v>#VALUE!</v>
      </c>
      <c r="FX150" t="e">
        <f>AND(Bills!#REF!,"AAAAACqO67M=")</f>
        <v>#REF!</v>
      </c>
      <c r="FY150" t="e">
        <f>AND(Bills!#REF!,"AAAAACqO67Q=")</f>
        <v>#REF!</v>
      </c>
      <c r="FZ150" t="e">
        <f>AND(Bills!#REF!,"AAAAACqO67U=")</f>
        <v>#REF!</v>
      </c>
      <c r="GA150" t="e">
        <f>AND(Bills!#REF!,"AAAAACqO67Y=")</f>
        <v>#REF!</v>
      </c>
      <c r="GB150" t="e">
        <f>AND(Bills!#REF!,"AAAAACqO67c=")</f>
        <v>#REF!</v>
      </c>
      <c r="GC150" t="e">
        <f>AND(Bills!#REF!,"AAAAACqO67g=")</f>
        <v>#REF!</v>
      </c>
      <c r="GD150" t="e">
        <f>AND(Bills!#REF!,"AAAAACqO67k=")</f>
        <v>#REF!</v>
      </c>
      <c r="GE150" t="e">
        <f>AND(Bills!#REF!,"AAAAACqO67o=")</f>
        <v>#REF!</v>
      </c>
      <c r="GF150" t="e">
        <f>AND(Bills!#REF!,"AAAAACqO67s=")</f>
        <v>#REF!</v>
      </c>
      <c r="GG150" t="e">
        <f>AND(Bills!AA593,"AAAAACqO67w=")</f>
        <v>#VALUE!</v>
      </c>
      <c r="GH150" t="e">
        <f>AND(Bills!AB593,"AAAAACqO670=")</f>
        <v>#VALUE!</v>
      </c>
      <c r="GI150" t="e">
        <f>AND(Bills!#REF!,"AAAAACqO674=")</f>
        <v>#REF!</v>
      </c>
      <c r="GJ150" t="e">
        <f>AND(Bills!#REF!,"AAAAACqO678=")</f>
        <v>#REF!</v>
      </c>
      <c r="GK150" t="e">
        <f>AND(Bills!#REF!,"AAAAACqO68A=")</f>
        <v>#REF!</v>
      </c>
      <c r="GL150" t="e">
        <f>AND(Bills!AC593,"AAAAACqO68E=")</f>
        <v>#VALUE!</v>
      </c>
      <c r="GM150" t="e">
        <f>AND(Bills!AD593,"AAAAACqO68I=")</f>
        <v>#VALUE!</v>
      </c>
      <c r="GN150" t="e">
        <f>AND(Bills!AE593,"AAAAACqO68M=")</f>
        <v>#VALUE!</v>
      </c>
      <c r="GO150">
        <f>IF(Bills!594:594,"AAAAACqO68Q=",0)</f>
        <v>0</v>
      </c>
      <c r="GP150" t="e">
        <f>AND(Bills!B594,"AAAAACqO68U=")</f>
        <v>#VALUE!</v>
      </c>
      <c r="GQ150" t="e">
        <f>AND(Bills!#REF!,"AAAAACqO68Y=")</f>
        <v>#REF!</v>
      </c>
      <c r="GR150" t="e">
        <f>AND(Bills!C594,"AAAAACqO68c=")</f>
        <v>#VALUE!</v>
      </c>
      <c r="GS150" t="e">
        <f>AND(Bills!D594,"AAAAACqO68g=")</f>
        <v>#VALUE!</v>
      </c>
      <c r="GT150" t="e">
        <f>AND(Bills!E594,"AAAAACqO68k=")</f>
        <v>#VALUE!</v>
      </c>
      <c r="GU150" t="e">
        <f>AND(Bills!#REF!,"AAAAACqO68o=")</f>
        <v>#REF!</v>
      </c>
      <c r="GV150" t="e">
        <f>AND(Bills!#REF!,"AAAAACqO68s=")</f>
        <v>#REF!</v>
      </c>
      <c r="GW150" t="e">
        <f>AND(Bills!#REF!,"AAAAACqO68w=")</f>
        <v>#REF!</v>
      </c>
      <c r="GX150" t="e">
        <f>AND(Bills!F594,"AAAAACqO680=")</f>
        <v>#VALUE!</v>
      </c>
      <c r="GY150" t="e">
        <f>AND(Bills!#REF!,"AAAAACqO684=")</f>
        <v>#REF!</v>
      </c>
      <c r="GZ150" t="e">
        <f>AND(Bills!G594,"AAAAACqO688=")</f>
        <v>#VALUE!</v>
      </c>
      <c r="HA150" t="e">
        <f>AND(Bills!H594,"AAAAACqO69A=")</f>
        <v>#VALUE!</v>
      </c>
      <c r="HB150" t="e">
        <f>AND(Bills!I594,"AAAAACqO69E=")</f>
        <v>#VALUE!</v>
      </c>
      <c r="HC150" t="e">
        <f>AND(Bills!J594,"AAAAACqO69I=")</f>
        <v>#VALUE!</v>
      </c>
      <c r="HD150" t="e">
        <f>AND(Bills!K594,"AAAAACqO69M=")</f>
        <v>#VALUE!</v>
      </c>
      <c r="HE150" t="e">
        <f>AND(Bills!L594,"AAAAACqO69Q=")</f>
        <v>#VALUE!</v>
      </c>
      <c r="HF150" t="e">
        <f>AND(Bills!#REF!,"AAAAACqO69U=")</f>
        <v>#REF!</v>
      </c>
      <c r="HG150" t="e">
        <f>AND(Bills!M594,"AAAAACqO69Y=")</f>
        <v>#VALUE!</v>
      </c>
      <c r="HH150" t="e">
        <f>AND(Bills!N594,"AAAAACqO69c=")</f>
        <v>#VALUE!</v>
      </c>
      <c r="HI150" t="e">
        <f>AND(Bills!O594,"AAAAACqO69g=")</f>
        <v>#VALUE!</v>
      </c>
      <c r="HJ150" t="e">
        <f>AND(Bills!P594,"AAAAACqO69k=")</f>
        <v>#VALUE!</v>
      </c>
      <c r="HK150" t="e">
        <f>AND(Bills!Q594,"AAAAACqO69o=")</f>
        <v>#VALUE!</v>
      </c>
      <c r="HL150" t="e">
        <f>AND(Bills!R594,"AAAAACqO69s=")</f>
        <v>#VALUE!</v>
      </c>
      <c r="HM150" t="e">
        <f>AND(Bills!S594,"AAAAACqO69w=")</f>
        <v>#VALUE!</v>
      </c>
      <c r="HN150" t="e">
        <f>AND(Bills!T594,"AAAAACqO690=")</f>
        <v>#VALUE!</v>
      </c>
      <c r="HO150" t="e">
        <f>AND(Bills!#REF!,"AAAAACqO694=")</f>
        <v>#REF!</v>
      </c>
      <c r="HP150" t="e">
        <f>AND(Bills!U594,"AAAAACqO698=")</f>
        <v>#VALUE!</v>
      </c>
      <c r="HQ150" t="e">
        <f>AND(Bills!V594,"AAAAACqO6+A=")</f>
        <v>#VALUE!</v>
      </c>
      <c r="HR150" t="e">
        <f>AND(Bills!W594,"AAAAACqO6+E=")</f>
        <v>#VALUE!</v>
      </c>
      <c r="HS150" t="e">
        <f>AND(Bills!#REF!,"AAAAACqO6+I=")</f>
        <v>#REF!</v>
      </c>
      <c r="HT150" t="e">
        <f>AND(Bills!#REF!,"AAAAACqO6+M=")</f>
        <v>#REF!</v>
      </c>
      <c r="HU150" t="e">
        <f>AND(Bills!Y594,"AAAAACqO6+Q=")</f>
        <v>#VALUE!</v>
      </c>
      <c r="HV150" t="e">
        <f>AND(Bills!Z594,"AAAAACqO6+U=")</f>
        <v>#VALUE!</v>
      </c>
      <c r="HW150" t="e">
        <f>AND(Bills!#REF!,"AAAAACqO6+Y=")</f>
        <v>#REF!</v>
      </c>
      <c r="HX150" t="e">
        <f>AND(Bills!#REF!,"AAAAACqO6+c=")</f>
        <v>#REF!</v>
      </c>
      <c r="HY150" t="e">
        <f>AND(Bills!#REF!,"AAAAACqO6+g=")</f>
        <v>#REF!</v>
      </c>
      <c r="HZ150" t="e">
        <f>AND(Bills!#REF!,"AAAAACqO6+k=")</f>
        <v>#REF!</v>
      </c>
      <c r="IA150" t="e">
        <f>AND(Bills!#REF!,"AAAAACqO6+o=")</f>
        <v>#REF!</v>
      </c>
      <c r="IB150" t="e">
        <f>AND(Bills!#REF!,"AAAAACqO6+s=")</f>
        <v>#REF!</v>
      </c>
      <c r="IC150" t="e">
        <f>AND(Bills!#REF!,"AAAAACqO6+w=")</f>
        <v>#REF!</v>
      </c>
      <c r="ID150" t="e">
        <f>AND(Bills!#REF!,"AAAAACqO6+0=")</f>
        <v>#REF!</v>
      </c>
      <c r="IE150" t="e">
        <f>AND(Bills!#REF!,"AAAAACqO6+4=")</f>
        <v>#REF!</v>
      </c>
      <c r="IF150" t="e">
        <f>AND(Bills!AA594,"AAAAACqO6+8=")</f>
        <v>#VALUE!</v>
      </c>
      <c r="IG150" t="e">
        <f>AND(Bills!AB594,"AAAAACqO6/A=")</f>
        <v>#VALUE!</v>
      </c>
      <c r="IH150" t="e">
        <f>AND(Bills!#REF!,"AAAAACqO6/E=")</f>
        <v>#REF!</v>
      </c>
      <c r="II150" t="e">
        <f>AND(Bills!#REF!,"AAAAACqO6/I=")</f>
        <v>#REF!</v>
      </c>
      <c r="IJ150" t="e">
        <f>AND(Bills!#REF!,"AAAAACqO6/M=")</f>
        <v>#REF!</v>
      </c>
      <c r="IK150" t="e">
        <f>AND(Bills!AC594,"AAAAACqO6/Q=")</f>
        <v>#VALUE!</v>
      </c>
      <c r="IL150" t="e">
        <f>AND(Bills!AD594,"AAAAACqO6/U=")</f>
        <v>#VALUE!</v>
      </c>
      <c r="IM150" t="e">
        <f>AND(Bills!AE594,"AAAAACqO6/Y=")</f>
        <v>#VALUE!</v>
      </c>
      <c r="IN150">
        <f>IF(Bills!595:595,"AAAAACqO6/c=",0)</f>
        <v>0</v>
      </c>
      <c r="IO150" t="e">
        <f>AND(Bills!B595,"AAAAACqO6/g=")</f>
        <v>#VALUE!</v>
      </c>
      <c r="IP150" t="e">
        <f>AND(Bills!#REF!,"AAAAACqO6/k=")</f>
        <v>#REF!</v>
      </c>
      <c r="IQ150" t="e">
        <f>AND(Bills!C595,"AAAAACqO6/o=")</f>
        <v>#VALUE!</v>
      </c>
      <c r="IR150" t="e">
        <f>AND(Bills!D595,"AAAAACqO6/s=")</f>
        <v>#VALUE!</v>
      </c>
      <c r="IS150" t="e">
        <f>AND(Bills!E595,"AAAAACqO6/w=")</f>
        <v>#VALUE!</v>
      </c>
      <c r="IT150" t="e">
        <f>AND(Bills!#REF!,"AAAAACqO6/0=")</f>
        <v>#REF!</v>
      </c>
      <c r="IU150" t="e">
        <f>AND(Bills!#REF!,"AAAAACqO6/4=")</f>
        <v>#REF!</v>
      </c>
      <c r="IV150" t="e">
        <f>AND(Bills!#REF!,"AAAAACqO6/8=")</f>
        <v>#REF!</v>
      </c>
    </row>
    <row r="151" spans="1:256" x14ac:dyDescent="0.25">
      <c r="A151" t="e">
        <f>AND(Bills!F595,"AAAAAFe97gA=")</f>
        <v>#VALUE!</v>
      </c>
      <c r="B151" t="e">
        <f>AND(Bills!#REF!,"AAAAAFe97gE=")</f>
        <v>#REF!</v>
      </c>
      <c r="C151" t="e">
        <f>AND(Bills!G595,"AAAAAFe97gI=")</f>
        <v>#VALUE!</v>
      </c>
      <c r="D151" t="e">
        <f>AND(Bills!H595,"AAAAAFe97gM=")</f>
        <v>#VALUE!</v>
      </c>
      <c r="E151" t="e">
        <f>AND(Bills!I595,"AAAAAFe97gQ=")</f>
        <v>#VALUE!</v>
      </c>
      <c r="F151" t="e">
        <f>AND(Bills!J595,"AAAAAFe97gU=")</f>
        <v>#VALUE!</v>
      </c>
      <c r="G151" t="e">
        <f>AND(Bills!K595,"AAAAAFe97gY=")</f>
        <v>#VALUE!</v>
      </c>
      <c r="H151" t="e">
        <f>AND(Bills!L595,"AAAAAFe97gc=")</f>
        <v>#VALUE!</v>
      </c>
      <c r="I151" t="e">
        <f>AND(Bills!#REF!,"AAAAAFe97gg=")</f>
        <v>#REF!</v>
      </c>
      <c r="J151" t="e">
        <f>AND(Bills!M595,"AAAAAFe97gk=")</f>
        <v>#VALUE!</v>
      </c>
      <c r="K151" t="e">
        <f>AND(Bills!N595,"AAAAAFe97go=")</f>
        <v>#VALUE!</v>
      </c>
      <c r="L151" t="e">
        <f>AND(Bills!O595,"AAAAAFe97gs=")</f>
        <v>#VALUE!</v>
      </c>
      <c r="M151" t="e">
        <f>AND(Bills!P595,"AAAAAFe97gw=")</f>
        <v>#VALUE!</v>
      </c>
      <c r="N151" t="e">
        <f>AND(Bills!Q595,"AAAAAFe97g0=")</f>
        <v>#VALUE!</v>
      </c>
      <c r="O151" t="e">
        <f>AND(Bills!R595,"AAAAAFe97g4=")</f>
        <v>#VALUE!</v>
      </c>
      <c r="P151" t="e">
        <f>AND(Bills!S595,"AAAAAFe97g8=")</f>
        <v>#VALUE!</v>
      </c>
      <c r="Q151" t="e">
        <f>AND(Bills!T595,"AAAAAFe97hA=")</f>
        <v>#VALUE!</v>
      </c>
      <c r="R151" t="e">
        <f>AND(Bills!#REF!,"AAAAAFe97hE=")</f>
        <v>#REF!</v>
      </c>
      <c r="S151" t="e">
        <f>AND(Bills!U595,"AAAAAFe97hI=")</f>
        <v>#VALUE!</v>
      </c>
      <c r="T151" t="e">
        <f>AND(Bills!V595,"AAAAAFe97hM=")</f>
        <v>#VALUE!</v>
      </c>
      <c r="U151" t="e">
        <f>AND(Bills!W595,"AAAAAFe97hQ=")</f>
        <v>#VALUE!</v>
      </c>
      <c r="V151" t="e">
        <f>AND(Bills!#REF!,"AAAAAFe97hU=")</f>
        <v>#REF!</v>
      </c>
      <c r="W151" t="e">
        <f>AND(Bills!#REF!,"AAAAAFe97hY=")</f>
        <v>#REF!</v>
      </c>
      <c r="X151" t="e">
        <f>AND(Bills!Y595,"AAAAAFe97hc=")</f>
        <v>#VALUE!</v>
      </c>
      <c r="Y151" t="e">
        <f>AND(Bills!Z595,"AAAAAFe97hg=")</f>
        <v>#VALUE!</v>
      </c>
      <c r="Z151" t="e">
        <f>AND(Bills!#REF!,"AAAAAFe97hk=")</f>
        <v>#REF!</v>
      </c>
      <c r="AA151" t="e">
        <f>AND(Bills!#REF!,"AAAAAFe97ho=")</f>
        <v>#REF!</v>
      </c>
      <c r="AB151" t="e">
        <f>AND(Bills!#REF!,"AAAAAFe97hs=")</f>
        <v>#REF!</v>
      </c>
      <c r="AC151" t="e">
        <f>AND(Bills!#REF!,"AAAAAFe97hw=")</f>
        <v>#REF!</v>
      </c>
      <c r="AD151" t="e">
        <f>AND(Bills!#REF!,"AAAAAFe97h0=")</f>
        <v>#REF!</v>
      </c>
      <c r="AE151" t="e">
        <f>AND(Bills!#REF!,"AAAAAFe97h4=")</f>
        <v>#REF!</v>
      </c>
      <c r="AF151" t="e">
        <f>AND(Bills!#REF!,"AAAAAFe97h8=")</f>
        <v>#REF!</v>
      </c>
      <c r="AG151" t="e">
        <f>AND(Bills!#REF!,"AAAAAFe97iA=")</f>
        <v>#REF!</v>
      </c>
      <c r="AH151" t="e">
        <f>AND(Bills!#REF!,"AAAAAFe97iE=")</f>
        <v>#REF!</v>
      </c>
      <c r="AI151" t="e">
        <f>AND(Bills!AA595,"AAAAAFe97iI=")</f>
        <v>#VALUE!</v>
      </c>
      <c r="AJ151" t="e">
        <f>AND(Bills!AB595,"AAAAAFe97iM=")</f>
        <v>#VALUE!</v>
      </c>
      <c r="AK151" t="e">
        <f>AND(Bills!#REF!,"AAAAAFe97iQ=")</f>
        <v>#REF!</v>
      </c>
      <c r="AL151" t="e">
        <f>AND(Bills!#REF!,"AAAAAFe97iU=")</f>
        <v>#REF!</v>
      </c>
      <c r="AM151" t="e">
        <f>AND(Bills!#REF!,"AAAAAFe97iY=")</f>
        <v>#REF!</v>
      </c>
      <c r="AN151" t="e">
        <f>AND(Bills!AC595,"AAAAAFe97ic=")</f>
        <v>#VALUE!</v>
      </c>
      <c r="AO151" t="e">
        <f>AND(Bills!AD595,"AAAAAFe97ig=")</f>
        <v>#VALUE!</v>
      </c>
      <c r="AP151" t="e">
        <f>AND(Bills!AE595,"AAAAAFe97ik=")</f>
        <v>#VALUE!</v>
      </c>
      <c r="AQ151">
        <f>IF(Bills!596:596,"AAAAAFe97io=",0)</f>
        <v>0</v>
      </c>
      <c r="AR151" t="e">
        <f>AND(Bills!B596,"AAAAAFe97is=")</f>
        <v>#VALUE!</v>
      </c>
      <c r="AS151" t="e">
        <f>AND(Bills!#REF!,"AAAAAFe97iw=")</f>
        <v>#REF!</v>
      </c>
      <c r="AT151" t="e">
        <f>AND(Bills!C596,"AAAAAFe97i0=")</f>
        <v>#VALUE!</v>
      </c>
      <c r="AU151" t="e">
        <f>AND(Bills!D596,"AAAAAFe97i4=")</f>
        <v>#VALUE!</v>
      </c>
      <c r="AV151" t="e">
        <f>AND(Bills!E596,"AAAAAFe97i8=")</f>
        <v>#VALUE!</v>
      </c>
      <c r="AW151" t="e">
        <f>AND(Bills!#REF!,"AAAAAFe97jA=")</f>
        <v>#REF!</v>
      </c>
      <c r="AX151" t="e">
        <f>AND(Bills!#REF!,"AAAAAFe97jE=")</f>
        <v>#REF!</v>
      </c>
      <c r="AY151" t="e">
        <f>AND(Bills!#REF!,"AAAAAFe97jI=")</f>
        <v>#REF!</v>
      </c>
      <c r="AZ151" t="e">
        <f>AND(Bills!F596,"AAAAAFe97jM=")</f>
        <v>#VALUE!</v>
      </c>
      <c r="BA151" t="e">
        <f>AND(Bills!#REF!,"AAAAAFe97jQ=")</f>
        <v>#REF!</v>
      </c>
      <c r="BB151" t="e">
        <f>AND(Bills!G596,"AAAAAFe97jU=")</f>
        <v>#VALUE!</v>
      </c>
      <c r="BC151" t="e">
        <f>AND(Bills!H596,"AAAAAFe97jY=")</f>
        <v>#VALUE!</v>
      </c>
      <c r="BD151" t="e">
        <f>AND(Bills!I596,"AAAAAFe97jc=")</f>
        <v>#VALUE!</v>
      </c>
      <c r="BE151" t="e">
        <f>AND(Bills!J596,"AAAAAFe97jg=")</f>
        <v>#VALUE!</v>
      </c>
      <c r="BF151" t="e">
        <f>AND(Bills!K596,"AAAAAFe97jk=")</f>
        <v>#VALUE!</v>
      </c>
      <c r="BG151" t="e">
        <f>AND(Bills!L596,"AAAAAFe97jo=")</f>
        <v>#VALUE!</v>
      </c>
      <c r="BH151" t="e">
        <f>AND(Bills!#REF!,"AAAAAFe97js=")</f>
        <v>#REF!</v>
      </c>
      <c r="BI151" t="e">
        <f>AND(Bills!M596,"AAAAAFe97jw=")</f>
        <v>#VALUE!</v>
      </c>
      <c r="BJ151" t="e">
        <f>AND(Bills!N596,"AAAAAFe97j0=")</f>
        <v>#VALUE!</v>
      </c>
      <c r="BK151" t="e">
        <f>AND(Bills!O596,"AAAAAFe97j4=")</f>
        <v>#VALUE!</v>
      </c>
      <c r="BL151" t="e">
        <f>AND(Bills!P596,"AAAAAFe97j8=")</f>
        <v>#VALUE!</v>
      </c>
      <c r="BM151" t="e">
        <f>AND(Bills!Q596,"AAAAAFe97kA=")</f>
        <v>#VALUE!</v>
      </c>
      <c r="BN151" t="e">
        <f>AND(Bills!R596,"AAAAAFe97kE=")</f>
        <v>#VALUE!</v>
      </c>
      <c r="BO151" t="e">
        <f>AND(Bills!S596,"AAAAAFe97kI=")</f>
        <v>#VALUE!</v>
      </c>
      <c r="BP151" t="e">
        <f>AND(Bills!T596,"AAAAAFe97kM=")</f>
        <v>#VALUE!</v>
      </c>
      <c r="BQ151" t="e">
        <f>AND(Bills!#REF!,"AAAAAFe97kQ=")</f>
        <v>#REF!</v>
      </c>
      <c r="BR151" t="e">
        <f>AND(Bills!U596,"AAAAAFe97kU=")</f>
        <v>#VALUE!</v>
      </c>
      <c r="BS151" t="e">
        <f>AND(Bills!V596,"AAAAAFe97kY=")</f>
        <v>#VALUE!</v>
      </c>
      <c r="BT151" t="e">
        <f>AND(Bills!W596,"AAAAAFe97kc=")</f>
        <v>#VALUE!</v>
      </c>
      <c r="BU151" t="e">
        <f>AND(Bills!#REF!,"AAAAAFe97kg=")</f>
        <v>#REF!</v>
      </c>
      <c r="BV151" t="e">
        <f>AND(Bills!#REF!,"AAAAAFe97kk=")</f>
        <v>#REF!</v>
      </c>
      <c r="BW151" t="e">
        <f>AND(Bills!Y596,"AAAAAFe97ko=")</f>
        <v>#VALUE!</v>
      </c>
      <c r="BX151" t="e">
        <f>AND(Bills!Z596,"AAAAAFe97ks=")</f>
        <v>#VALUE!</v>
      </c>
      <c r="BY151" t="e">
        <f>AND(Bills!#REF!,"AAAAAFe97kw=")</f>
        <v>#REF!</v>
      </c>
      <c r="BZ151" t="e">
        <f>AND(Bills!#REF!,"AAAAAFe97k0=")</f>
        <v>#REF!</v>
      </c>
      <c r="CA151" t="e">
        <f>AND(Bills!#REF!,"AAAAAFe97k4=")</f>
        <v>#REF!</v>
      </c>
      <c r="CB151" t="e">
        <f>AND(Bills!#REF!,"AAAAAFe97k8=")</f>
        <v>#REF!</v>
      </c>
      <c r="CC151" t="e">
        <f>AND(Bills!#REF!,"AAAAAFe97lA=")</f>
        <v>#REF!</v>
      </c>
      <c r="CD151" t="e">
        <f>AND(Bills!#REF!,"AAAAAFe97lE=")</f>
        <v>#REF!</v>
      </c>
      <c r="CE151" t="e">
        <f>AND(Bills!#REF!,"AAAAAFe97lI=")</f>
        <v>#REF!</v>
      </c>
      <c r="CF151" t="e">
        <f>AND(Bills!#REF!,"AAAAAFe97lM=")</f>
        <v>#REF!</v>
      </c>
      <c r="CG151" t="e">
        <f>AND(Bills!#REF!,"AAAAAFe97lQ=")</f>
        <v>#REF!</v>
      </c>
      <c r="CH151" t="e">
        <f>AND(Bills!AA596,"AAAAAFe97lU=")</f>
        <v>#VALUE!</v>
      </c>
      <c r="CI151" t="e">
        <f>AND(Bills!AB596,"AAAAAFe97lY=")</f>
        <v>#VALUE!</v>
      </c>
      <c r="CJ151" t="e">
        <f>AND(Bills!#REF!,"AAAAAFe97lc=")</f>
        <v>#REF!</v>
      </c>
      <c r="CK151" t="e">
        <f>AND(Bills!#REF!,"AAAAAFe97lg=")</f>
        <v>#REF!</v>
      </c>
      <c r="CL151" t="e">
        <f>AND(Bills!#REF!,"AAAAAFe97lk=")</f>
        <v>#REF!</v>
      </c>
      <c r="CM151" t="e">
        <f>AND(Bills!AC596,"AAAAAFe97lo=")</f>
        <v>#VALUE!</v>
      </c>
      <c r="CN151" t="e">
        <f>AND(Bills!AD596,"AAAAAFe97ls=")</f>
        <v>#VALUE!</v>
      </c>
      <c r="CO151" t="e">
        <f>AND(Bills!AE596,"AAAAAFe97lw=")</f>
        <v>#VALUE!</v>
      </c>
      <c r="CP151">
        <f>IF(Bills!597:597,"AAAAAFe97l0=",0)</f>
        <v>0</v>
      </c>
      <c r="CQ151" t="e">
        <f>AND(Bills!B597,"AAAAAFe97l4=")</f>
        <v>#VALUE!</v>
      </c>
      <c r="CR151" t="e">
        <f>AND(Bills!#REF!,"AAAAAFe97l8=")</f>
        <v>#REF!</v>
      </c>
      <c r="CS151" t="e">
        <f>AND(Bills!C597,"AAAAAFe97mA=")</f>
        <v>#VALUE!</v>
      </c>
      <c r="CT151" t="e">
        <f>AND(Bills!D597,"AAAAAFe97mE=")</f>
        <v>#VALUE!</v>
      </c>
      <c r="CU151" t="e">
        <f>AND(Bills!E597,"AAAAAFe97mI=")</f>
        <v>#VALUE!</v>
      </c>
      <c r="CV151" t="e">
        <f>AND(Bills!#REF!,"AAAAAFe97mM=")</f>
        <v>#REF!</v>
      </c>
      <c r="CW151" t="e">
        <f>AND(Bills!#REF!,"AAAAAFe97mQ=")</f>
        <v>#REF!</v>
      </c>
      <c r="CX151" t="e">
        <f>AND(Bills!#REF!,"AAAAAFe97mU=")</f>
        <v>#REF!</v>
      </c>
      <c r="CY151" t="e">
        <f>AND(Bills!F597,"AAAAAFe97mY=")</f>
        <v>#VALUE!</v>
      </c>
      <c r="CZ151" t="e">
        <f>AND(Bills!#REF!,"AAAAAFe97mc=")</f>
        <v>#REF!</v>
      </c>
      <c r="DA151" t="e">
        <f>AND(Bills!G597,"AAAAAFe97mg=")</f>
        <v>#VALUE!</v>
      </c>
      <c r="DB151" t="e">
        <f>AND(Bills!H597,"AAAAAFe97mk=")</f>
        <v>#VALUE!</v>
      </c>
      <c r="DC151" t="e">
        <f>AND(Bills!I597,"AAAAAFe97mo=")</f>
        <v>#VALUE!</v>
      </c>
      <c r="DD151" t="e">
        <f>AND(Bills!J597,"AAAAAFe97ms=")</f>
        <v>#VALUE!</v>
      </c>
      <c r="DE151" t="e">
        <f>AND(Bills!K597,"AAAAAFe97mw=")</f>
        <v>#VALUE!</v>
      </c>
      <c r="DF151" t="e">
        <f>AND(Bills!L597,"AAAAAFe97m0=")</f>
        <v>#VALUE!</v>
      </c>
      <c r="DG151" t="e">
        <f>AND(Bills!#REF!,"AAAAAFe97m4=")</f>
        <v>#REF!</v>
      </c>
      <c r="DH151" t="e">
        <f>AND(Bills!M597,"AAAAAFe97m8=")</f>
        <v>#VALUE!</v>
      </c>
      <c r="DI151" t="e">
        <f>AND(Bills!N597,"AAAAAFe97nA=")</f>
        <v>#VALUE!</v>
      </c>
      <c r="DJ151" t="e">
        <f>AND(Bills!O597,"AAAAAFe97nE=")</f>
        <v>#VALUE!</v>
      </c>
      <c r="DK151" t="e">
        <f>AND(Bills!P597,"AAAAAFe97nI=")</f>
        <v>#VALUE!</v>
      </c>
      <c r="DL151" t="e">
        <f>AND(Bills!Q597,"AAAAAFe97nM=")</f>
        <v>#VALUE!</v>
      </c>
      <c r="DM151" t="e">
        <f>AND(Bills!R597,"AAAAAFe97nQ=")</f>
        <v>#VALUE!</v>
      </c>
      <c r="DN151" t="e">
        <f>AND(Bills!S597,"AAAAAFe97nU=")</f>
        <v>#VALUE!</v>
      </c>
      <c r="DO151" t="e">
        <f>AND(Bills!T597,"AAAAAFe97nY=")</f>
        <v>#VALUE!</v>
      </c>
      <c r="DP151" t="e">
        <f>AND(Bills!#REF!,"AAAAAFe97nc=")</f>
        <v>#REF!</v>
      </c>
      <c r="DQ151" t="e">
        <f>AND(Bills!U597,"AAAAAFe97ng=")</f>
        <v>#VALUE!</v>
      </c>
      <c r="DR151" t="e">
        <f>AND(Bills!V597,"AAAAAFe97nk=")</f>
        <v>#VALUE!</v>
      </c>
      <c r="DS151" t="e">
        <f>AND(Bills!W597,"AAAAAFe97no=")</f>
        <v>#VALUE!</v>
      </c>
      <c r="DT151" t="e">
        <f>AND(Bills!#REF!,"AAAAAFe97ns=")</f>
        <v>#REF!</v>
      </c>
      <c r="DU151" t="e">
        <f>AND(Bills!#REF!,"AAAAAFe97nw=")</f>
        <v>#REF!</v>
      </c>
      <c r="DV151" t="e">
        <f>AND(Bills!Y597,"AAAAAFe97n0=")</f>
        <v>#VALUE!</v>
      </c>
      <c r="DW151" t="e">
        <f>AND(Bills!Z597,"AAAAAFe97n4=")</f>
        <v>#VALUE!</v>
      </c>
      <c r="DX151" t="e">
        <f>AND(Bills!#REF!,"AAAAAFe97n8=")</f>
        <v>#REF!</v>
      </c>
      <c r="DY151" t="e">
        <f>AND(Bills!#REF!,"AAAAAFe97oA=")</f>
        <v>#REF!</v>
      </c>
      <c r="DZ151" t="e">
        <f>AND(Bills!#REF!,"AAAAAFe97oE=")</f>
        <v>#REF!</v>
      </c>
      <c r="EA151" t="e">
        <f>AND(Bills!#REF!,"AAAAAFe97oI=")</f>
        <v>#REF!</v>
      </c>
      <c r="EB151" t="e">
        <f>AND(Bills!#REF!,"AAAAAFe97oM=")</f>
        <v>#REF!</v>
      </c>
      <c r="EC151" t="e">
        <f>AND(Bills!#REF!,"AAAAAFe97oQ=")</f>
        <v>#REF!</v>
      </c>
      <c r="ED151" t="e">
        <f>AND(Bills!#REF!,"AAAAAFe97oU=")</f>
        <v>#REF!</v>
      </c>
      <c r="EE151" t="e">
        <f>AND(Bills!#REF!,"AAAAAFe97oY=")</f>
        <v>#REF!</v>
      </c>
      <c r="EF151" t="e">
        <f>AND(Bills!#REF!,"AAAAAFe97oc=")</f>
        <v>#REF!</v>
      </c>
      <c r="EG151" t="e">
        <f>AND(Bills!AA597,"AAAAAFe97og=")</f>
        <v>#VALUE!</v>
      </c>
      <c r="EH151" t="e">
        <f>AND(Bills!AB597,"AAAAAFe97ok=")</f>
        <v>#VALUE!</v>
      </c>
      <c r="EI151" t="e">
        <f>AND(Bills!#REF!,"AAAAAFe97oo=")</f>
        <v>#REF!</v>
      </c>
      <c r="EJ151" t="e">
        <f>AND(Bills!#REF!,"AAAAAFe97os=")</f>
        <v>#REF!</v>
      </c>
      <c r="EK151" t="e">
        <f>AND(Bills!#REF!,"AAAAAFe97ow=")</f>
        <v>#REF!</v>
      </c>
      <c r="EL151" t="e">
        <f>AND(Bills!AC597,"AAAAAFe97o0=")</f>
        <v>#VALUE!</v>
      </c>
      <c r="EM151" t="e">
        <f>AND(Bills!AD597,"AAAAAFe97o4=")</f>
        <v>#VALUE!</v>
      </c>
      <c r="EN151" t="e">
        <f>AND(Bills!AE597,"AAAAAFe97o8=")</f>
        <v>#VALUE!</v>
      </c>
      <c r="EO151">
        <f>IF(Bills!598:598,"AAAAAFe97pA=",0)</f>
        <v>0</v>
      </c>
      <c r="EP151" t="e">
        <f>AND(Bills!B598,"AAAAAFe97pE=")</f>
        <v>#VALUE!</v>
      </c>
      <c r="EQ151" t="e">
        <f>AND(Bills!#REF!,"AAAAAFe97pI=")</f>
        <v>#REF!</v>
      </c>
      <c r="ER151" t="e">
        <f>AND(Bills!C598,"AAAAAFe97pM=")</f>
        <v>#VALUE!</v>
      </c>
      <c r="ES151" t="e">
        <f>AND(Bills!D598,"AAAAAFe97pQ=")</f>
        <v>#VALUE!</v>
      </c>
      <c r="ET151" t="e">
        <f>AND(Bills!E598,"AAAAAFe97pU=")</f>
        <v>#VALUE!</v>
      </c>
      <c r="EU151" t="e">
        <f>AND(Bills!#REF!,"AAAAAFe97pY=")</f>
        <v>#REF!</v>
      </c>
      <c r="EV151" t="e">
        <f>AND(Bills!#REF!,"AAAAAFe97pc=")</f>
        <v>#REF!</v>
      </c>
      <c r="EW151" t="e">
        <f>AND(Bills!#REF!,"AAAAAFe97pg=")</f>
        <v>#REF!</v>
      </c>
      <c r="EX151" t="e">
        <f>AND(Bills!F598,"AAAAAFe97pk=")</f>
        <v>#VALUE!</v>
      </c>
      <c r="EY151" t="e">
        <f>AND(Bills!#REF!,"AAAAAFe97po=")</f>
        <v>#REF!</v>
      </c>
      <c r="EZ151" t="e">
        <f>AND(Bills!G598,"AAAAAFe97ps=")</f>
        <v>#VALUE!</v>
      </c>
      <c r="FA151" t="e">
        <f>AND(Bills!H598,"AAAAAFe97pw=")</f>
        <v>#VALUE!</v>
      </c>
      <c r="FB151" t="e">
        <f>AND(Bills!I598,"AAAAAFe97p0=")</f>
        <v>#VALUE!</v>
      </c>
      <c r="FC151" t="e">
        <f>AND(Bills!J598,"AAAAAFe97p4=")</f>
        <v>#VALUE!</v>
      </c>
      <c r="FD151" t="e">
        <f>AND(Bills!K598,"AAAAAFe97p8=")</f>
        <v>#VALUE!</v>
      </c>
      <c r="FE151" t="e">
        <f>AND(Bills!L598,"AAAAAFe97qA=")</f>
        <v>#VALUE!</v>
      </c>
      <c r="FF151" t="e">
        <f>AND(Bills!#REF!,"AAAAAFe97qE=")</f>
        <v>#REF!</v>
      </c>
      <c r="FG151" t="e">
        <f>AND(Bills!M598,"AAAAAFe97qI=")</f>
        <v>#VALUE!</v>
      </c>
      <c r="FH151" t="e">
        <f>AND(Bills!N598,"AAAAAFe97qM=")</f>
        <v>#VALUE!</v>
      </c>
      <c r="FI151" t="e">
        <f>AND(Bills!O598,"AAAAAFe97qQ=")</f>
        <v>#VALUE!</v>
      </c>
      <c r="FJ151" t="e">
        <f>AND(Bills!P598,"AAAAAFe97qU=")</f>
        <v>#VALUE!</v>
      </c>
      <c r="FK151" t="e">
        <f>AND(Bills!Q598,"AAAAAFe97qY=")</f>
        <v>#VALUE!</v>
      </c>
      <c r="FL151" t="e">
        <f>AND(Bills!R598,"AAAAAFe97qc=")</f>
        <v>#VALUE!</v>
      </c>
      <c r="FM151" t="e">
        <f>AND(Bills!S598,"AAAAAFe97qg=")</f>
        <v>#VALUE!</v>
      </c>
      <c r="FN151" t="e">
        <f>AND(Bills!T598,"AAAAAFe97qk=")</f>
        <v>#VALUE!</v>
      </c>
      <c r="FO151" t="e">
        <f>AND(Bills!#REF!,"AAAAAFe97qo=")</f>
        <v>#REF!</v>
      </c>
      <c r="FP151" t="e">
        <f>AND(Bills!U598,"AAAAAFe97qs=")</f>
        <v>#VALUE!</v>
      </c>
      <c r="FQ151" t="e">
        <f>AND(Bills!V598,"AAAAAFe97qw=")</f>
        <v>#VALUE!</v>
      </c>
      <c r="FR151" t="e">
        <f>AND(Bills!W598,"AAAAAFe97q0=")</f>
        <v>#VALUE!</v>
      </c>
      <c r="FS151" t="e">
        <f>AND(Bills!#REF!,"AAAAAFe97q4=")</f>
        <v>#REF!</v>
      </c>
      <c r="FT151" t="e">
        <f>AND(Bills!#REF!,"AAAAAFe97q8=")</f>
        <v>#REF!</v>
      </c>
      <c r="FU151" t="e">
        <f>AND(Bills!Y598,"AAAAAFe97rA=")</f>
        <v>#VALUE!</v>
      </c>
      <c r="FV151" t="e">
        <f>AND(Bills!Z598,"AAAAAFe97rE=")</f>
        <v>#VALUE!</v>
      </c>
      <c r="FW151" t="e">
        <f>AND(Bills!#REF!,"AAAAAFe97rI=")</f>
        <v>#REF!</v>
      </c>
      <c r="FX151" t="e">
        <f>AND(Bills!#REF!,"AAAAAFe97rM=")</f>
        <v>#REF!</v>
      </c>
      <c r="FY151" t="e">
        <f>AND(Bills!#REF!,"AAAAAFe97rQ=")</f>
        <v>#REF!</v>
      </c>
      <c r="FZ151" t="e">
        <f>AND(Bills!#REF!,"AAAAAFe97rU=")</f>
        <v>#REF!</v>
      </c>
      <c r="GA151" t="e">
        <f>AND(Bills!#REF!,"AAAAAFe97rY=")</f>
        <v>#REF!</v>
      </c>
      <c r="GB151" t="e">
        <f>AND(Bills!#REF!,"AAAAAFe97rc=")</f>
        <v>#REF!</v>
      </c>
      <c r="GC151" t="e">
        <f>AND(Bills!#REF!,"AAAAAFe97rg=")</f>
        <v>#REF!</v>
      </c>
      <c r="GD151" t="e">
        <f>AND(Bills!#REF!,"AAAAAFe97rk=")</f>
        <v>#REF!</v>
      </c>
      <c r="GE151" t="e">
        <f>AND(Bills!#REF!,"AAAAAFe97ro=")</f>
        <v>#REF!</v>
      </c>
      <c r="GF151" t="e">
        <f>AND(Bills!AA598,"AAAAAFe97rs=")</f>
        <v>#VALUE!</v>
      </c>
      <c r="GG151" t="e">
        <f>AND(Bills!AB598,"AAAAAFe97rw=")</f>
        <v>#VALUE!</v>
      </c>
      <c r="GH151" t="e">
        <f>AND(Bills!#REF!,"AAAAAFe97r0=")</f>
        <v>#REF!</v>
      </c>
      <c r="GI151" t="e">
        <f>AND(Bills!#REF!,"AAAAAFe97r4=")</f>
        <v>#REF!</v>
      </c>
      <c r="GJ151" t="e">
        <f>AND(Bills!#REF!,"AAAAAFe97r8=")</f>
        <v>#REF!</v>
      </c>
      <c r="GK151" t="e">
        <f>AND(Bills!AC598,"AAAAAFe97sA=")</f>
        <v>#VALUE!</v>
      </c>
      <c r="GL151" t="e">
        <f>AND(Bills!AD598,"AAAAAFe97sE=")</f>
        <v>#VALUE!</v>
      </c>
      <c r="GM151" t="e">
        <f>AND(Bills!AE598,"AAAAAFe97sI=")</f>
        <v>#VALUE!</v>
      </c>
      <c r="GN151">
        <f>IF(Bills!599:599,"AAAAAFe97sM=",0)</f>
        <v>0</v>
      </c>
      <c r="GO151" t="e">
        <f>AND(Bills!B599,"AAAAAFe97sQ=")</f>
        <v>#VALUE!</v>
      </c>
      <c r="GP151" t="e">
        <f>AND(Bills!#REF!,"AAAAAFe97sU=")</f>
        <v>#REF!</v>
      </c>
      <c r="GQ151" t="e">
        <f>AND(Bills!C599,"AAAAAFe97sY=")</f>
        <v>#VALUE!</v>
      </c>
      <c r="GR151" t="e">
        <f>AND(Bills!D599,"AAAAAFe97sc=")</f>
        <v>#VALUE!</v>
      </c>
      <c r="GS151" t="e">
        <f>AND(Bills!E599,"AAAAAFe97sg=")</f>
        <v>#VALUE!</v>
      </c>
      <c r="GT151" t="e">
        <f>AND(Bills!#REF!,"AAAAAFe97sk=")</f>
        <v>#REF!</v>
      </c>
      <c r="GU151" t="e">
        <f>AND(Bills!#REF!,"AAAAAFe97so=")</f>
        <v>#REF!</v>
      </c>
      <c r="GV151" t="e">
        <f>AND(Bills!#REF!,"AAAAAFe97ss=")</f>
        <v>#REF!</v>
      </c>
      <c r="GW151" t="e">
        <f>AND(Bills!F599,"AAAAAFe97sw=")</f>
        <v>#VALUE!</v>
      </c>
      <c r="GX151" t="e">
        <f>AND(Bills!#REF!,"AAAAAFe97s0=")</f>
        <v>#REF!</v>
      </c>
      <c r="GY151" t="e">
        <f>AND(Bills!G599,"AAAAAFe97s4=")</f>
        <v>#VALUE!</v>
      </c>
      <c r="GZ151" t="e">
        <f>AND(Bills!H599,"AAAAAFe97s8=")</f>
        <v>#VALUE!</v>
      </c>
      <c r="HA151" t="e">
        <f>AND(Bills!I599,"AAAAAFe97tA=")</f>
        <v>#VALUE!</v>
      </c>
      <c r="HB151" t="e">
        <f>AND(Bills!J599,"AAAAAFe97tE=")</f>
        <v>#VALUE!</v>
      </c>
      <c r="HC151" t="e">
        <f>AND(Bills!K599,"AAAAAFe97tI=")</f>
        <v>#VALUE!</v>
      </c>
      <c r="HD151" t="e">
        <f>AND(Bills!L599,"AAAAAFe97tM=")</f>
        <v>#VALUE!</v>
      </c>
      <c r="HE151" t="e">
        <f>AND(Bills!#REF!,"AAAAAFe97tQ=")</f>
        <v>#REF!</v>
      </c>
      <c r="HF151" t="e">
        <f>AND(Bills!M599,"AAAAAFe97tU=")</f>
        <v>#VALUE!</v>
      </c>
      <c r="HG151" t="e">
        <f>AND(Bills!N599,"AAAAAFe97tY=")</f>
        <v>#VALUE!</v>
      </c>
      <c r="HH151" t="e">
        <f>AND(Bills!O599,"AAAAAFe97tc=")</f>
        <v>#VALUE!</v>
      </c>
      <c r="HI151" t="e">
        <f>AND(Bills!P599,"AAAAAFe97tg=")</f>
        <v>#VALUE!</v>
      </c>
      <c r="HJ151" t="e">
        <f>AND(Bills!Q599,"AAAAAFe97tk=")</f>
        <v>#VALUE!</v>
      </c>
      <c r="HK151" t="e">
        <f>AND(Bills!R599,"AAAAAFe97to=")</f>
        <v>#VALUE!</v>
      </c>
      <c r="HL151" t="e">
        <f>AND(Bills!S599,"AAAAAFe97ts=")</f>
        <v>#VALUE!</v>
      </c>
      <c r="HM151" t="e">
        <f>AND(Bills!T599,"AAAAAFe97tw=")</f>
        <v>#VALUE!</v>
      </c>
      <c r="HN151" t="e">
        <f>AND(Bills!#REF!,"AAAAAFe97t0=")</f>
        <v>#REF!</v>
      </c>
      <c r="HO151" t="e">
        <f>AND(Bills!U599,"AAAAAFe97t4=")</f>
        <v>#VALUE!</v>
      </c>
      <c r="HP151" t="e">
        <f>AND(Bills!V599,"AAAAAFe97t8=")</f>
        <v>#VALUE!</v>
      </c>
      <c r="HQ151" t="e">
        <f>AND(Bills!W599,"AAAAAFe97uA=")</f>
        <v>#VALUE!</v>
      </c>
      <c r="HR151" t="e">
        <f>AND(Bills!#REF!,"AAAAAFe97uE=")</f>
        <v>#REF!</v>
      </c>
      <c r="HS151" t="e">
        <f>AND(Bills!#REF!,"AAAAAFe97uI=")</f>
        <v>#REF!</v>
      </c>
      <c r="HT151" t="e">
        <f>AND(Bills!Y599,"AAAAAFe97uM=")</f>
        <v>#VALUE!</v>
      </c>
      <c r="HU151" t="e">
        <f>AND(Bills!Z599,"AAAAAFe97uQ=")</f>
        <v>#VALUE!</v>
      </c>
      <c r="HV151" t="e">
        <f>AND(Bills!#REF!,"AAAAAFe97uU=")</f>
        <v>#REF!</v>
      </c>
      <c r="HW151" t="e">
        <f>AND(Bills!#REF!,"AAAAAFe97uY=")</f>
        <v>#REF!</v>
      </c>
      <c r="HX151" t="e">
        <f>AND(Bills!#REF!,"AAAAAFe97uc=")</f>
        <v>#REF!</v>
      </c>
      <c r="HY151" t="e">
        <f>AND(Bills!#REF!,"AAAAAFe97ug=")</f>
        <v>#REF!</v>
      </c>
      <c r="HZ151" t="e">
        <f>AND(Bills!#REF!,"AAAAAFe97uk=")</f>
        <v>#REF!</v>
      </c>
      <c r="IA151" t="e">
        <f>AND(Bills!#REF!,"AAAAAFe97uo=")</f>
        <v>#REF!</v>
      </c>
      <c r="IB151" t="e">
        <f>AND(Bills!#REF!,"AAAAAFe97us=")</f>
        <v>#REF!</v>
      </c>
      <c r="IC151" t="e">
        <f>AND(Bills!#REF!,"AAAAAFe97uw=")</f>
        <v>#REF!</v>
      </c>
      <c r="ID151" t="e">
        <f>AND(Bills!#REF!,"AAAAAFe97u0=")</f>
        <v>#REF!</v>
      </c>
      <c r="IE151" t="e">
        <f>AND(Bills!AA599,"AAAAAFe97u4=")</f>
        <v>#VALUE!</v>
      </c>
      <c r="IF151" t="e">
        <f>AND(Bills!AB599,"AAAAAFe97u8=")</f>
        <v>#VALUE!</v>
      </c>
      <c r="IG151" t="e">
        <f>AND(Bills!#REF!,"AAAAAFe97vA=")</f>
        <v>#REF!</v>
      </c>
      <c r="IH151" t="e">
        <f>AND(Bills!#REF!,"AAAAAFe97vE=")</f>
        <v>#REF!</v>
      </c>
      <c r="II151" t="e">
        <f>AND(Bills!#REF!,"AAAAAFe97vI=")</f>
        <v>#REF!</v>
      </c>
      <c r="IJ151" t="e">
        <f>AND(Bills!AC599,"AAAAAFe97vM=")</f>
        <v>#VALUE!</v>
      </c>
      <c r="IK151" t="e">
        <f>AND(Bills!AD599,"AAAAAFe97vQ=")</f>
        <v>#VALUE!</v>
      </c>
      <c r="IL151" t="e">
        <f>AND(Bills!AE599,"AAAAAFe97vU=")</f>
        <v>#VALUE!</v>
      </c>
      <c r="IM151">
        <f>IF(Bills!600:600,"AAAAAFe97vY=",0)</f>
        <v>0</v>
      </c>
      <c r="IN151" t="e">
        <f>AND(Bills!B600,"AAAAAFe97vc=")</f>
        <v>#VALUE!</v>
      </c>
      <c r="IO151" t="e">
        <f>AND(Bills!#REF!,"AAAAAFe97vg=")</f>
        <v>#REF!</v>
      </c>
      <c r="IP151" t="e">
        <f>AND(Bills!C600,"AAAAAFe97vk=")</f>
        <v>#VALUE!</v>
      </c>
      <c r="IQ151" t="e">
        <f>AND(Bills!D600,"AAAAAFe97vo=")</f>
        <v>#VALUE!</v>
      </c>
      <c r="IR151" t="e">
        <f>AND(Bills!E600,"AAAAAFe97vs=")</f>
        <v>#VALUE!</v>
      </c>
      <c r="IS151" t="e">
        <f>AND(Bills!#REF!,"AAAAAFe97vw=")</f>
        <v>#REF!</v>
      </c>
      <c r="IT151" t="e">
        <f>AND(Bills!#REF!,"AAAAAFe97v0=")</f>
        <v>#REF!</v>
      </c>
      <c r="IU151" t="e">
        <f>AND(Bills!#REF!,"AAAAAFe97v4=")</f>
        <v>#REF!</v>
      </c>
      <c r="IV151" t="e">
        <f>AND(Bills!F600,"AAAAAFe97v8=")</f>
        <v>#VALUE!</v>
      </c>
    </row>
    <row r="152" spans="1:256" x14ac:dyDescent="0.25">
      <c r="A152" t="e">
        <f>AND(Bills!#REF!,"AAAAAD/3wQA=")</f>
        <v>#REF!</v>
      </c>
      <c r="B152" t="e">
        <f>AND(Bills!G600,"AAAAAD/3wQE=")</f>
        <v>#VALUE!</v>
      </c>
      <c r="C152" t="e">
        <f>AND(Bills!H600,"AAAAAD/3wQI=")</f>
        <v>#VALUE!</v>
      </c>
      <c r="D152" t="e">
        <f>AND(Bills!I600,"AAAAAD/3wQM=")</f>
        <v>#VALUE!</v>
      </c>
      <c r="E152" t="e">
        <f>AND(Bills!J600,"AAAAAD/3wQQ=")</f>
        <v>#VALUE!</v>
      </c>
      <c r="F152" t="e">
        <f>AND(Bills!K600,"AAAAAD/3wQU=")</f>
        <v>#VALUE!</v>
      </c>
      <c r="G152" t="e">
        <f>AND(Bills!L600,"AAAAAD/3wQY=")</f>
        <v>#VALUE!</v>
      </c>
      <c r="H152" t="e">
        <f>AND(Bills!#REF!,"AAAAAD/3wQc=")</f>
        <v>#REF!</v>
      </c>
      <c r="I152" t="e">
        <f>AND(Bills!M600,"AAAAAD/3wQg=")</f>
        <v>#VALUE!</v>
      </c>
      <c r="J152" t="e">
        <f>AND(Bills!N600,"AAAAAD/3wQk=")</f>
        <v>#VALUE!</v>
      </c>
      <c r="K152" t="e">
        <f>AND(Bills!O600,"AAAAAD/3wQo=")</f>
        <v>#VALUE!</v>
      </c>
      <c r="L152" t="e">
        <f>AND(Bills!P600,"AAAAAD/3wQs=")</f>
        <v>#VALUE!</v>
      </c>
      <c r="M152" t="e">
        <f>AND(Bills!Q600,"AAAAAD/3wQw=")</f>
        <v>#VALUE!</v>
      </c>
      <c r="N152" t="e">
        <f>AND(Bills!R600,"AAAAAD/3wQ0=")</f>
        <v>#VALUE!</v>
      </c>
      <c r="O152" t="e">
        <f>AND(Bills!S600,"AAAAAD/3wQ4=")</f>
        <v>#VALUE!</v>
      </c>
      <c r="P152" t="e">
        <f>AND(Bills!T600,"AAAAAD/3wQ8=")</f>
        <v>#VALUE!</v>
      </c>
      <c r="Q152" t="e">
        <f>AND(Bills!#REF!,"AAAAAD/3wRA=")</f>
        <v>#REF!</v>
      </c>
      <c r="R152" t="e">
        <f>AND(Bills!U600,"AAAAAD/3wRE=")</f>
        <v>#VALUE!</v>
      </c>
      <c r="S152" t="e">
        <f>AND(Bills!V600,"AAAAAD/3wRI=")</f>
        <v>#VALUE!</v>
      </c>
      <c r="T152" t="e">
        <f>AND(Bills!W600,"AAAAAD/3wRM=")</f>
        <v>#VALUE!</v>
      </c>
      <c r="U152" t="e">
        <f>AND(Bills!#REF!,"AAAAAD/3wRQ=")</f>
        <v>#REF!</v>
      </c>
      <c r="V152" t="e">
        <f>AND(Bills!#REF!,"AAAAAD/3wRU=")</f>
        <v>#REF!</v>
      </c>
      <c r="W152" t="e">
        <f>AND(Bills!Y600,"AAAAAD/3wRY=")</f>
        <v>#VALUE!</v>
      </c>
      <c r="X152" t="e">
        <f>AND(Bills!Z600,"AAAAAD/3wRc=")</f>
        <v>#VALUE!</v>
      </c>
      <c r="Y152" t="e">
        <f>AND(Bills!#REF!,"AAAAAD/3wRg=")</f>
        <v>#REF!</v>
      </c>
      <c r="Z152" t="e">
        <f>AND(Bills!#REF!,"AAAAAD/3wRk=")</f>
        <v>#REF!</v>
      </c>
      <c r="AA152" t="e">
        <f>AND(Bills!#REF!,"AAAAAD/3wRo=")</f>
        <v>#REF!</v>
      </c>
      <c r="AB152" t="e">
        <f>AND(Bills!#REF!,"AAAAAD/3wRs=")</f>
        <v>#REF!</v>
      </c>
      <c r="AC152" t="e">
        <f>AND(Bills!#REF!,"AAAAAD/3wRw=")</f>
        <v>#REF!</v>
      </c>
      <c r="AD152" t="e">
        <f>AND(Bills!#REF!,"AAAAAD/3wR0=")</f>
        <v>#REF!</v>
      </c>
      <c r="AE152" t="e">
        <f>AND(Bills!#REF!,"AAAAAD/3wR4=")</f>
        <v>#REF!</v>
      </c>
      <c r="AF152" t="e">
        <f>AND(Bills!#REF!,"AAAAAD/3wR8=")</f>
        <v>#REF!</v>
      </c>
      <c r="AG152" t="e">
        <f>AND(Bills!#REF!,"AAAAAD/3wSA=")</f>
        <v>#REF!</v>
      </c>
      <c r="AH152" t="e">
        <f>AND(Bills!AA600,"AAAAAD/3wSE=")</f>
        <v>#VALUE!</v>
      </c>
      <c r="AI152" t="e">
        <f>AND(Bills!AB600,"AAAAAD/3wSI=")</f>
        <v>#VALUE!</v>
      </c>
      <c r="AJ152" t="e">
        <f>AND(Bills!#REF!,"AAAAAD/3wSM=")</f>
        <v>#REF!</v>
      </c>
      <c r="AK152" t="e">
        <f>AND(Bills!#REF!,"AAAAAD/3wSQ=")</f>
        <v>#REF!</v>
      </c>
      <c r="AL152" t="e">
        <f>AND(Bills!#REF!,"AAAAAD/3wSU=")</f>
        <v>#REF!</v>
      </c>
      <c r="AM152" t="e">
        <f>AND(Bills!AC600,"AAAAAD/3wSY=")</f>
        <v>#VALUE!</v>
      </c>
      <c r="AN152" t="e">
        <f>AND(Bills!AD600,"AAAAAD/3wSc=")</f>
        <v>#VALUE!</v>
      </c>
      <c r="AO152" t="e">
        <f>AND(Bills!AE600,"AAAAAD/3wSg=")</f>
        <v>#VALUE!</v>
      </c>
      <c r="AP152">
        <f>IF(Bills!601:601,"AAAAAD/3wSk=",0)</f>
        <v>0</v>
      </c>
      <c r="AQ152" t="e">
        <f>AND(Bills!B601,"AAAAAD/3wSo=")</f>
        <v>#VALUE!</v>
      </c>
      <c r="AR152" t="e">
        <f>AND(Bills!#REF!,"AAAAAD/3wSs=")</f>
        <v>#REF!</v>
      </c>
      <c r="AS152" t="e">
        <f>AND(Bills!C601,"AAAAAD/3wSw=")</f>
        <v>#VALUE!</v>
      </c>
      <c r="AT152" t="e">
        <f>AND(Bills!D601,"AAAAAD/3wS0=")</f>
        <v>#VALUE!</v>
      </c>
      <c r="AU152" t="e">
        <f>AND(Bills!E601,"AAAAAD/3wS4=")</f>
        <v>#VALUE!</v>
      </c>
      <c r="AV152" t="e">
        <f>AND(Bills!#REF!,"AAAAAD/3wS8=")</f>
        <v>#REF!</v>
      </c>
      <c r="AW152" t="e">
        <f>AND(Bills!#REF!,"AAAAAD/3wTA=")</f>
        <v>#REF!</v>
      </c>
      <c r="AX152" t="e">
        <f>AND(Bills!#REF!,"AAAAAD/3wTE=")</f>
        <v>#REF!</v>
      </c>
      <c r="AY152" t="e">
        <f>AND(Bills!F601,"AAAAAD/3wTI=")</f>
        <v>#VALUE!</v>
      </c>
      <c r="AZ152" t="e">
        <f>AND(Bills!#REF!,"AAAAAD/3wTM=")</f>
        <v>#REF!</v>
      </c>
      <c r="BA152" t="e">
        <f>AND(Bills!G601,"AAAAAD/3wTQ=")</f>
        <v>#VALUE!</v>
      </c>
      <c r="BB152" t="e">
        <f>AND(Bills!H601,"AAAAAD/3wTU=")</f>
        <v>#VALUE!</v>
      </c>
      <c r="BC152" t="e">
        <f>AND(Bills!I601,"AAAAAD/3wTY=")</f>
        <v>#VALUE!</v>
      </c>
      <c r="BD152" t="e">
        <f>AND(Bills!J601,"AAAAAD/3wTc=")</f>
        <v>#VALUE!</v>
      </c>
      <c r="BE152" t="e">
        <f>AND(Bills!K601,"AAAAAD/3wTg=")</f>
        <v>#VALUE!</v>
      </c>
      <c r="BF152" t="e">
        <f>AND(Bills!L601,"AAAAAD/3wTk=")</f>
        <v>#VALUE!</v>
      </c>
      <c r="BG152" t="e">
        <f>AND(Bills!#REF!,"AAAAAD/3wTo=")</f>
        <v>#REF!</v>
      </c>
      <c r="BH152" t="e">
        <f>AND(Bills!M601,"AAAAAD/3wTs=")</f>
        <v>#VALUE!</v>
      </c>
      <c r="BI152" t="e">
        <f>AND(Bills!N601,"AAAAAD/3wTw=")</f>
        <v>#VALUE!</v>
      </c>
      <c r="BJ152" t="e">
        <f>AND(Bills!O601,"AAAAAD/3wT0=")</f>
        <v>#VALUE!</v>
      </c>
      <c r="BK152" t="e">
        <f>AND(Bills!P601,"AAAAAD/3wT4=")</f>
        <v>#VALUE!</v>
      </c>
      <c r="BL152" t="e">
        <f>AND(Bills!Q601,"AAAAAD/3wT8=")</f>
        <v>#VALUE!</v>
      </c>
      <c r="BM152" t="e">
        <f>AND(Bills!R601,"AAAAAD/3wUA=")</f>
        <v>#VALUE!</v>
      </c>
      <c r="BN152" t="e">
        <f>AND(Bills!S601,"AAAAAD/3wUE=")</f>
        <v>#VALUE!</v>
      </c>
      <c r="BO152" t="e">
        <f>AND(Bills!T601,"AAAAAD/3wUI=")</f>
        <v>#VALUE!</v>
      </c>
      <c r="BP152" t="e">
        <f>AND(Bills!#REF!,"AAAAAD/3wUM=")</f>
        <v>#REF!</v>
      </c>
      <c r="BQ152" t="e">
        <f>AND(Bills!U601,"AAAAAD/3wUQ=")</f>
        <v>#VALUE!</v>
      </c>
      <c r="BR152" t="e">
        <f>AND(Bills!V601,"AAAAAD/3wUU=")</f>
        <v>#VALUE!</v>
      </c>
      <c r="BS152" t="e">
        <f>AND(Bills!W601,"AAAAAD/3wUY=")</f>
        <v>#VALUE!</v>
      </c>
      <c r="BT152" t="e">
        <f>AND(Bills!#REF!,"AAAAAD/3wUc=")</f>
        <v>#REF!</v>
      </c>
      <c r="BU152" t="e">
        <f>AND(Bills!#REF!,"AAAAAD/3wUg=")</f>
        <v>#REF!</v>
      </c>
      <c r="BV152" t="e">
        <f>AND(Bills!Y601,"AAAAAD/3wUk=")</f>
        <v>#VALUE!</v>
      </c>
      <c r="BW152" t="e">
        <f>AND(Bills!Z601,"AAAAAD/3wUo=")</f>
        <v>#VALUE!</v>
      </c>
      <c r="BX152" t="e">
        <f>AND(Bills!#REF!,"AAAAAD/3wUs=")</f>
        <v>#REF!</v>
      </c>
      <c r="BY152" t="e">
        <f>AND(Bills!#REF!,"AAAAAD/3wUw=")</f>
        <v>#REF!</v>
      </c>
      <c r="BZ152" t="e">
        <f>AND(Bills!#REF!,"AAAAAD/3wU0=")</f>
        <v>#REF!</v>
      </c>
      <c r="CA152" t="e">
        <f>AND(Bills!#REF!,"AAAAAD/3wU4=")</f>
        <v>#REF!</v>
      </c>
      <c r="CB152" t="e">
        <f>AND(Bills!#REF!,"AAAAAD/3wU8=")</f>
        <v>#REF!</v>
      </c>
      <c r="CC152" t="e">
        <f>AND(Bills!#REF!,"AAAAAD/3wVA=")</f>
        <v>#REF!</v>
      </c>
      <c r="CD152" t="e">
        <f>AND(Bills!#REF!,"AAAAAD/3wVE=")</f>
        <v>#REF!</v>
      </c>
      <c r="CE152" t="e">
        <f>AND(Bills!#REF!,"AAAAAD/3wVI=")</f>
        <v>#REF!</v>
      </c>
      <c r="CF152" t="e">
        <f>AND(Bills!#REF!,"AAAAAD/3wVM=")</f>
        <v>#REF!</v>
      </c>
      <c r="CG152" t="e">
        <f>AND(Bills!AA601,"AAAAAD/3wVQ=")</f>
        <v>#VALUE!</v>
      </c>
      <c r="CH152" t="e">
        <f>AND(Bills!AB601,"AAAAAD/3wVU=")</f>
        <v>#VALUE!</v>
      </c>
      <c r="CI152" t="e">
        <f>AND(Bills!#REF!,"AAAAAD/3wVY=")</f>
        <v>#REF!</v>
      </c>
      <c r="CJ152" t="e">
        <f>AND(Bills!#REF!,"AAAAAD/3wVc=")</f>
        <v>#REF!</v>
      </c>
      <c r="CK152" t="e">
        <f>AND(Bills!#REF!,"AAAAAD/3wVg=")</f>
        <v>#REF!</v>
      </c>
      <c r="CL152" t="e">
        <f>AND(Bills!AC601,"AAAAAD/3wVk=")</f>
        <v>#VALUE!</v>
      </c>
      <c r="CM152" t="e">
        <f>AND(Bills!AD601,"AAAAAD/3wVo=")</f>
        <v>#VALUE!</v>
      </c>
      <c r="CN152" t="e">
        <f>AND(Bills!AE601,"AAAAAD/3wVs=")</f>
        <v>#VALUE!</v>
      </c>
      <c r="CO152">
        <f>IF(Bills!602:602,"AAAAAD/3wVw=",0)</f>
        <v>0</v>
      </c>
      <c r="CP152" t="e">
        <f>AND(Bills!B602,"AAAAAD/3wV0=")</f>
        <v>#VALUE!</v>
      </c>
      <c r="CQ152" t="e">
        <f>AND(Bills!#REF!,"AAAAAD/3wV4=")</f>
        <v>#REF!</v>
      </c>
      <c r="CR152" t="e">
        <f>AND(Bills!C602,"AAAAAD/3wV8=")</f>
        <v>#VALUE!</v>
      </c>
      <c r="CS152" t="e">
        <f>AND(Bills!D602,"AAAAAD/3wWA=")</f>
        <v>#VALUE!</v>
      </c>
      <c r="CT152" t="e">
        <f>AND(Bills!E602,"AAAAAD/3wWE=")</f>
        <v>#VALUE!</v>
      </c>
      <c r="CU152" t="e">
        <f>AND(Bills!#REF!,"AAAAAD/3wWI=")</f>
        <v>#REF!</v>
      </c>
      <c r="CV152" t="e">
        <f>AND(Bills!#REF!,"AAAAAD/3wWM=")</f>
        <v>#REF!</v>
      </c>
      <c r="CW152" t="e">
        <f>AND(Bills!#REF!,"AAAAAD/3wWQ=")</f>
        <v>#REF!</v>
      </c>
      <c r="CX152" t="e">
        <f>AND(Bills!F602,"AAAAAD/3wWU=")</f>
        <v>#VALUE!</v>
      </c>
      <c r="CY152" t="e">
        <f>AND(Bills!#REF!,"AAAAAD/3wWY=")</f>
        <v>#REF!</v>
      </c>
      <c r="CZ152" t="e">
        <f>AND(Bills!G602,"AAAAAD/3wWc=")</f>
        <v>#VALUE!</v>
      </c>
      <c r="DA152" t="e">
        <f>AND(Bills!H602,"AAAAAD/3wWg=")</f>
        <v>#VALUE!</v>
      </c>
      <c r="DB152" t="e">
        <f>AND(Bills!I602,"AAAAAD/3wWk=")</f>
        <v>#VALUE!</v>
      </c>
      <c r="DC152" t="e">
        <f>AND(Bills!J602,"AAAAAD/3wWo=")</f>
        <v>#VALUE!</v>
      </c>
      <c r="DD152" t="e">
        <f>AND(Bills!K602,"AAAAAD/3wWs=")</f>
        <v>#VALUE!</v>
      </c>
      <c r="DE152" t="e">
        <f>AND(Bills!L602,"AAAAAD/3wWw=")</f>
        <v>#VALUE!</v>
      </c>
      <c r="DF152" t="e">
        <f>AND(Bills!#REF!,"AAAAAD/3wW0=")</f>
        <v>#REF!</v>
      </c>
      <c r="DG152" t="e">
        <f>AND(Bills!M602,"AAAAAD/3wW4=")</f>
        <v>#VALUE!</v>
      </c>
      <c r="DH152" t="e">
        <f>AND(Bills!N602,"AAAAAD/3wW8=")</f>
        <v>#VALUE!</v>
      </c>
      <c r="DI152" t="e">
        <f>AND(Bills!O602,"AAAAAD/3wXA=")</f>
        <v>#VALUE!</v>
      </c>
      <c r="DJ152" t="e">
        <f>AND(Bills!P602,"AAAAAD/3wXE=")</f>
        <v>#VALUE!</v>
      </c>
      <c r="DK152" t="e">
        <f>AND(Bills!Q602,"AAAAAD/3wXI=")</f>
        <v>#VALUE!</v>
      </c>
      <c r="DL152" t="e">
        <f>AND(Bills!R602,"AAAAAD/3wXM=")</f>
        <v>#VALUE!</v>
      </c>
      <c r="DM152" t="e">
        <f>AND(Bills!S602,"AAAAAD/3wXQ=")</f>
        <v>#VALUE!</v>
      </c>
      <c r="DN152" t="e">
        <f>AND(Bills!T602,"AAAAAD/3wXU=")</f>
        <v>#VALUE!</v>
      </c>
      <c r="DO152" t="e">
        <f>AND(Bills!#REF!,"AAAAAD/3wXY=")</f>
        <v>#REF!</v>
      </c>
      <c r="DP152" t="e">
        <f>AND(Bills!U602,"AAAAAD/3wXc=")</f>
        <v>#VALUE!</v>
      </c>
      <c r="DQ152" t="e">
        <f>AND(Bills!V602,"AAAAAD/3wXg=")</f>
        <v>#VALUE!</v>
      </c>
      <c r="DR152" t="e">
        <f>AND(Bills!W602,"AAAAAD/3wXk=")</f>
        <v>#VALUE!</v>
      </c>
      <c r="DS152" t="e">
        <f>AND(Bills!#REF!,"AAAAAD/3wXo=")</f>
        <v>#REF!</v>
      </c>
      <c r="DT152" t="e">
        <f>AND(Bills!#REF!,"AAAAAD/3wXs=")</f>
        <v>#REF!</v>
      </c>
      <c r="DU152" t="e">
        <f>AND(Bills!Y602,"AAAAAD/3wXw=")</f>
        <v>#VALUE!</v>
      </c>
      <c r="DV152" t="e">
        <f>AND(Bills!Z602,"AAAAAD/3wX0=")</f>
        <v>#VALUE!</v>
      </c>
      <c r="DW152" t="e">
        <f>AND(Bills!#REF!,"AAAAAD/3wX4=")</f>
        <v>#REF!</v>
      </c>
      <c r="DX152" t="e">
        <f>AND(Bills!#REF!,"AAAAAD/3wX8=")</f>
        <v>#REF!</v>
      </c>
      <c r="DY152" t="e">
        <f>AND(Bills!#REF!,"AAAAAD/3wYA=")</f>
        <v>#REF!</v>
      </c>
      <c r="DZ152" t="e">
        <f>AND(Bills!#REF!,"AAAAAD/3wYE=")</f>
        <v>#REF!</v>
      </c>
      <c r="EA152" t="e">
        <f>AND(Bills!#REF!,"AAAAAD/3wYI=")</f>
        <v>#REF!</v>
      </c>
      <c r="EB152" t="e">
        <f>AND(Bills!#REF!,"AAAAAD/3wYM=")</f>
        <v>#REF!</v>
      </c>
      <c r="EC152" t="e">
        <f>AND(Bills!#REF!,"AAAAAD/3wYQ=")</f>
        <v>#REF!</v>
      </c>
      <c r="ED152" t="e">
        <f>AND(Bills!#REF!,"AAAAAD/3wYU=")</f>
        <v>#REF!</v>
      </c>
      <c r="EE152" t="e">
        <f>AND(Bills!#REF!,"AAAAAD/3wYY=")</f>
        <v>#REF!</v>
      </c>
      <c r="EF152" t="e">
        <f>AND(Bills!AA602,"AAAAAD/3wYc=")</f>
        <v>#VALUE!</v>
      </c>
      <c r="EG152" t="e">
        <f>AND(Bills!AB602,"AAAAAD/3wYg=")</f>
        <v>#VALUE!</v>
      </c>
      <c r="EH152" t="e">
        <f>AND(Bills!#REF!,"AAAAAD/3wYk=")</f>
        <v>#REF!</v>
      </c>
      <c r="EI152" t="e">
        <f>AND(Bills!#REF!,"AAAAAD/3wYo=")</f>
        <v>#REF!</v>
      </c>
      <c r="EJ152" t="e">
        <f>AND(Bills!#REF!,"AAAAAD/3wYs=")</f>
        <v>#REF!</v>
      </c>
      <c r="EK152" t="e">
        <f>AND(Bills!AC602,"AAAAAD/3wYw=")</f>
        <v>#VALUE!</v>
      </c>
      <c r="EL152" t="e">
        <f>AND(Bills!AD602,"AAAAAD/3wY0=")</f>
        <v>#VALUE!</v>
      </c>
      <c r="EM152" t="e">
        <f>AND(Bills!AE602,"AAAAAD/3wY4=")</f>
        <v>#VALUE!</v>
      </c>
      <c r="EN152">
        <f>IF(Bills!603:603,"AAAAAD/3wY8=",0)</f>
        <v>0</v>
      </c>
      <c r="EO152" t="e">
        <f>AND(Bills!B603,"AAAAAD/3wZA=")</f>
        <v>#VALUE!</v>
      </c>
      <c r="EP152" t="e">
        <f>AND(Bills!#REF!,"AAAAAD/3wZE=")</f>
        <v>#REF!</v>
      </c>
      <c r="EQ152" t="e">
        <f>AND(Bills!C603,"AAAAAD/3wZI=")</f>
        <v>#VALUE!</v>
      </c>
      <c r="ER152" t="e">
        <f>AND(Bills!D603,"AAAAAD/3wZM=")</f>
        <v>#VALUE!</v>
      </c>
      <c r="ES152" t="e">
        <f>AND(Bills!E603,"AAAAAD/3wZQ=")</f>
        <v>#VALUE!</v>
      </c>
      <c r="ET152" t="e">
        <f>AND(Bills!#REF!,"AAAAAD/3wZU=")</f>
        <v>#REF!</v>
      </c>
      <c r="EU152" t="e">
        <f>AND(Bills!#REF!,"AAAAAD/3wZY=")</f>
        <v>#REF!</v>
      </c>
      <c r="EV152" t="e">
        <f>AND(Bills!#REF!,"AAAAAD/3wZc=")</f>
        <v>#REF!</v>
      </c>
      <c r="EW152" t="e">
        <f>AND(Bills!F603,"AAAAAD/3wZg=")</f>
        <v>#VALUE!</v>
      </c>
      <c r="EX152" t="e">
        <f>AND(Bills!#REF!,"AAAAAD/3wZk=")</f>
        <v>#REF!</v>
      </c>
      <c r="EY152" t="e">
        <f>AND(Bills!G603,"AAAAAD/3wZo=")</f>
        <v>#VALUE!</v>
      </c>
      <c r="EZ152" t="e">
        <f>AND(Bills!H603,"AAAAAD/3wZs=")</f>
        <v>#VALUE!</v>
      </c>
      <c r="FA152" t="e">
        <f>AND(Bills!I603,"AAAAAD/3wZw=")</f>
        <v>#VALUE!</v>
      </c>
      <c r="FB152" t="e">
        <f>AND(Bills!J603,"AAAAAD/3wZ0=")</f>
        <v>#VALUE!</v>
      </c>
      <c r="FC152" t="e">
        <f>AND(Bills!K603,"AAAAAD/3wZ4=")</f>
        <v>#VALUE!</v>
      </c>
      <c r="FD152" t="e">
        <f>AND(Bills!L603,"AAAAAD/3wZ8=")</f>
        <v>#VALUE!</v>
      </c>
      <c r="FE152" t="e">
        <f>AND(Bills!#REF!,"AAAAAD/3waA=")</f>
        <v>#REF!</v>
      </c>
      <c r="FF152" t="e">
        <f>AND(Bills!M603,"AAAAAD/3waE=")</f>
        <v>#VALUE!</v>
      </c>
      <c r="FG152" t="e">
        <f>AND(Bills!N603,"AAAAAD/3waI=")</f>
        <v>#VALUE!</v>
      </c>
      <c r="FH152" t="e">
        <f>AND(Bills!O603,"AAAAAD/3waM=")</f>
        <v>#VALUE!</v>
      </c>
      <c r="FI152" t="e">
        <f>AND(Bills!P603,"AAAAAD/3waQ=")</f>
        <v>#VALUE!</v>
      </c>
      <c r="FJ152" t="e">
        <f>AND(Bills!Q603,"AAAAAD/3waU=")</f>
        <v>#VALUE!</v>
      </c>
      <c r="FK152" t="e">
        <f>AND(Bills!R603,"AAAAAD/3waY=")</f>
        <v>#VALUE!</v>
      </c>
      <c r="FL152" t="e">
        <f>AND(Bills!S603,"AAAAAD/3wac=")</f>
        <v>#VALUE!</v>
      </c>
      <c r="FM152" t="e">
        <f>AND(Bills!T603,"AAAAAD/3wag=")</f>
        <v>#VALUE!</v>
      </c>
      <c r="FN152" t="e">
        <f>AND(Bills!#REF!,"AAAAAD/3wak=")</f>
        <v>#REF!</v>
      </c>
      <c r="FO152" t="e">
        <f>AND(Bills!U603,"AAAAAD/3wao=")</f>
        <v>#VALUE!</v>
      </c>
      <c r="FP152" t="e">
        <f>AND(Bills!V603,"AAAAAD/3was=")</f>
        <v>#VALUE!</v>
      </c>
      <c r="FQ152" t="e">
        <f>AND(Bills!W603,"AAAAAD/3waw=")</f>
        <v>#VALUE!</v>
      </c>
      <c r="FR152" t="e">
        <f>AND(Bills!#REF!,"AAAAAD/3wa0=")</f>
        <v>#REF!</v>
      </c>
      <c r="FS152" t="e">
        <f>AND(Bills!#REF!,"AAAAAD/3wa4=")</f>
        <v>#REF!</v>
      </c>
      <c r="FT152" t="e">
        <f>AND(Bills!Y603,"AAAAAD/3wa8=")</f>
        <v>#VALUE!</v>
      </c>
      <c r="FU152" t="e">
        <f>AND(Bills!Z603,"AAAAAD/3wbA=")</f>
        <v>#VALUE!</v>
      </c>
      <c r="FV152" t="e">
        <f>AND(Bills!#REF!,"AAAAAD/3wbE=")</f>
        <v>#REF!</v>
      </c>
      <c r="FW152" t="e">
        <f>AND(Bills!#REF!,"AAAAAD/3wbI=")</f>
        <v>#REF!</v>
      </c>
      <c r="FX152" t="e">
        <f>AND(Bills!#REF!,"AAAAAD/3wbM=")</f>
        <v>#REF!</v>
      </c>
      <c r="FY152" t="e">
        <f>AND(Bills!#REF!,"AAAAAD/3wbQ=")</f>
        <v>#REF!</v>
      </c>
      <c r="FZ152" t="e">
        <f>AND(Bills!#REF!,"AAAAAD/3wbU=")</f>
        <v>#REF!</v>
      </c>
      <c r="GA152" t="e">
        <f>AND(Bills!#REF!,"AAAAAD/3wbY=")</f>
        <v>#REF!</v>
      </c>
      <c r="GB152" t="e">
        <f>AND(Bills!#REF!,"AAAAAD/3wbc=")</f>
        <v>#REF!</v>
      </c>
      <c r="GC152" t="e">
        <f>AND(Bills!#REF!,"AAAAAD/3wbg=")</f>
        <v>#REF!</v>
      </c>
      <c r="GD152" t="e">
        <f>AND(Bills!#REF!,"AAAAAD/3wbk=")</f>
        <v>#REF!</v>
      </c>
      <c r="GE152" t="e">
        <f>AND(Bills!AA603,"AAAAAD/3wbo=")</f>
        <v>#VALUE!</v>
      </c>
      <c r="GF152" t="e">
        <f>AND(Bills!AB603,"AAAAAD/3wbs=")</f>
        <v>#VALUE!</v>
      </c>
      <c r="GG152" t="e">
        <f>AND(Bills!#REF!,"AAAAAD/3wbw=")</f>
        <v>#REF!</v>
      </c>
      <c r="GH152" t="e">
        <f>AND(Bills!#REF!,"AAAAAD/3wb0=")</f>
        <v>#REF!</v>
      </c>
      <c r="GI152" t="e">
        <f>AND(Bills!#REF!,"AAAAAD/3wb4=")</f>
        <v>#REF!</v>
      </c>
      <c r="GJ152" t="e">
        <f>AND(Bills!AC603,"AAAAAD/3wb8=")</f>
        <v>#VALUE!</v>
      </c>
      <c r="GK152" t="e">
        <f>AND(Bills!AD603,"AAAAAD/3wcA=")</f>
        <v>#VALUE!</v>
      </c>
      <c r="GL152" t="e">
        <f>AND(Bills!AE603,"AAAAAD/3wcE=")</f>
        <v>#VALUE!</v>
      </c>
      <c r="GM152">
        <f>IF(Bills!604:604,"AAAAAD/3wcI=",0)</f>
        <v>0</v>
      </c>
      <c r="GN152" t="e">
        <f>AND(Bills!B604,"AAAAAD/3wcM=")</f>
        <v>#VALUE!</v>
      </c>
      <c r="GO152" t="e">
        <f>AND(Bills!#REF!,"AAAAAD/3wcQ=")</f>
        <v>#REF!</v>
      </c>
      <c r="GP152" t="e">
        <f>AND(Bills!C604,"AAAAAD/3wcU=")</f>
        <v>#VALUE!</v>
      </c>
      <c r="GQ152" t="e">
        <f>AND(Bills!D604,"AAAAAD/3wcY=")</f>
        <v>#VALUE!</v>
      </c>
      <c r="GR152" t="e">
        <f>AND(Bills!E604,"AAAAAD/3wcc=")</f>
        <v>#VALUE!</v>
      </c>
      <c r="GS152" t="e">
        <f>AND(Bills!#REF!,"AAAAAD/3wcg=")</f>
        <v>#REF!</v>
      </c>
      <c r="GT152" t="e">
        <f>AND(Bills!#REF!,"AAAAAD/3wck=")</f>
        <v>#REF!</v>
      </c>
      <c r="GU152" t="e">
        <f>AND(Bills!#REF!,"AAAAAD/3wco=")</f>
        <v>#REF!</v>
      </c>
      <c r="GV152" t="e">
        <f>AND(Bills!F604,"AAAAAD/3wcs=")</f>
        <v>#VALUE!</v>
      </c>
      <c r="GW152" t="e">
        <f>AND(Bills!#REF!,"AAAAAD/3wcw=")</f>
        <v>#REF!</v>
      </c>
      <c r="GX152" t="e">
        <f>AND(Bills!G604,"AAAAAD/3wc0=")</f>
        <v>#VALUE!</v>
      </c>
      <c r="GY152" t="e">
        <f>AND(Bills!H604,"AAAAAD/3wc4=")</f>
        <v>#VALUE!</v>
      </c>
      <c r="GZ152" t="e">
        <f>AND(Bills!I604,"AAAAAD/3wc8=")</f>
        <v>#VALUE!</v>
      </c>
      <c r="HA152" t="e">
        <f>AND(Bills!J604,"AAAAAD/3wdA=")</f>
        <v>#VALUE!</v>
      </c>
      <c r="HB152" t="e">
        <f>AND(Bills!K604,"AAAAAD/3wdE=")</f>
        <v>#VALUE!</v>
      </c>
      <c r="HC152" t="e">
        <f>AND(Bills!L604,"AAAAAD/3wdI=")</f>
        <v>#VALUE!</v>
      </c>
      <c r="HD152" t="e">
        <f>AND(Bills!#REF!,"AAAAAD/3wdM=")</f>
        <v>#REF!</v>
      </c>
      <c r="HE152" t="e">
        <f>AND(Bills!M604,"AAAAAD/3wdQ=")</f>
        <v>#VALUE!</v>
      </c>
      <c r="HF152" t="e">
        <f>AND(Bills!N604,"AAAAAD/3wdU=")</f>
        <v>#VALUE!</v>
      </c>
      <c r="HG152" t="e">
        <f>AND(Bills!O604,"AAAAAD/3wdY=")</f>
        <v>#VALUE!</v>
      </c>
      <c r="HH152" t="e">
        <f>AND(Bills!P604,"AAAAAD/3wdc=")</f>
        <v>#VALUE!</v>
      </c>
      <c r="HI152" t="e">
        <f>AND(Bills!Q604,"AAAAAD/3wdg=")</f>
        <v>#VALUE!</v>
      </c>
      <c r="HJ152" t="e">
        <f>AND(Bills!R604,"AAAAAD/3wdk=")</f>
        <v>#VALUE!</v>
      </c>
      <c r="HK152" t="e">
        <f>AND(Bills!S604,"AAAAAD/3wdo=")</f>
        <v>#VALUE!</v>
      </c>
      <c r="HL152" t="e">
        <f>AND(Bills!T604,"AAAAAD/3wds=")</f>
        <v>#VALUE!</v>
      </c>
      <c r="HM152" t="e">
        <f>AND(Bills!#REF!,"AAAAAD/3wdw=")</f>
        <v>#REF!</v>
      </c>
      <c r="HN152" t="e">
        <f>AND(Bills!U604,"AAAAAD/3wd0=")</f>
        <v>#VALUE!</v>
      </c>
      <c r="HO152" t="e">
        <f>AND(Bills!V604,"AAAAAD/3wd4=")</f>
        <v>#VALUE!</v>
      </c>
      <c r="HP152" t="e">
        <f>AND(Bills!W604,"AAAAAD/3wd8=")</f>
        <v>#VALUE!</v>
      </c>
      <c r="HQ152" t="e">
        <f>AND(Bills!#REF!,"AAAAAD/3weA=")</f>
        <v>#REF!</v>
      </c>
      <c r="HR152" t="e">
        <f>AND(Bills!#REF!,"AAAAAD/3weE=")</f>
        <v>#REF!</v>
      </c>
      <c r="HS152" t="e">
        <f>AND(Bills!Y604,"AAAAAD/3weI=")</f>
        <v>#VALUE!</v>
      </c>
      <c r="HT152" t="e">
        <f>AND(Bills!Z604,"AAAAAD/3weM=")</f>
        <v>#VALUE!</v>
      </c>
      <c r="HU152" t="e">
        <f>AND(Bills!#REF!,"AAAAAD/3weQ=")</f>
        <v>#REF!</v>
      </c>
      <c r="HV152" t="e">
        <f>AND(Bills!#REF!,"AAAAAD/3weU=")</f>
        <v>#REF!</v>
      </c>
      <c r="HW152" t="e">
        <f>AND(Bills!#REF!,"AAAAAD/3weY=")</f>
        <v>#REF!</v>
      </c>
      <c r="HX152" t="e">
        <f>AND(Bills!#REF!,"AAAAAD/3wec=")</f>
        <v>#REF!</v>
      </c>
      <c r="HY152" t="e">
        <f>AND(Bills!#REF!,"AAAAAD/3weg=")</f>
        <v>#REF!</v>
      </c>
      <c r="HZ152" t="e">
        <f>AND(Bills!#REF!,"AAAAAD/3wek=")</f>
        <v>#REF!</v>
      </c>
      <c r="IA152" t="e">
        <f>AND(Bills!#REF!,"AAAAAD/3weo=")</f>
        <v>#REF!</v>
      </c>
      <c r="IB152" t="e">
        <f>AND(Bills!#REF!,"AAAAAD/3wes=")</f>
        <v>#REF!</v>
      </c>
      <c r="IC152" t="e">
        <f>AND(Bills!#REF!,"AAAAAD/3wew=")</f>
        <v>#REF!</v>
      </c>
      <c r="ID152" t="e">
        <f>AND(Bills!AA604,"AAAAAD/3we0=")</f>
        <v>#VALUE!</v>
      </c>
      <c r="IE152" t="e">
        <f>AND(Bills!AB604,"AAAAAD/3we4=")</f>
        <v>#VALUE!</v>
      </c>
      <c r="IF152" t="e">
        <f>AND(Bills!#REF!,"AAAAAD/3we8=")</f>
        <v>#REF!</v>
      </c>
      <c r="IG152" t="e">
        <f>AND(Bills!#REF!,"AAAAAD/3wfA=")</f>
        <v>#REF!</v>
      </c>
      <c r="IH152" t="e">
        <f>AND(Bills!#REF!,"AAAAAD/3wfE=")</f>
        <v>#REF!</v>
      </c>
      <c r="II152" t="e">
        <f>AND(Bills!AC604,"AAAAAD/3wfI=")</f>
        <v>#VALUE!</v>
      </c>
      <c r="IJ152" t="e">
        <f>AND(Bills!AD604,"AAAAAD/3wfM=")</f>
        <v>#VALUE!</v>
      </c>
      <c r="IK152" t="e">
        <f>AND(Bills!AE604,"AAAAAD/3wfQ=")</f>
        <v>#VALUE!</v>
      </c>
      <c r="IL152">
        <f>IF(Bills!605:605,"AAAAAD/3wfU=",0)</f>
        <v>0</v>
      </c>
      <c r="IM152" t="e">
        <f>AND(Bills!B605,"AAAAAD/3wfY=")</f>
        <v>#VALUE!</v>
      </c>
      <c r="IN152" t="e">
        <f>AND(Bills!#REF!,"AAAAAD/3wfc=")</f>
        <v>#REF!</v>
      </c>
      <c r="IO152" t="e">
        <f>AND(Bills!C605,"AAAAAD/3wfg=")</f>
        <v>#VALUE!</v>
      </c>
      <c r="IP152" t="e">
        <f>AND(Bills!D605,"AAAAAD/3wfk=")</f>
        <v>#VALUE!</v>
      </c>
      <c r="IQ152" t="e">
        <f>AND(Bills!E605,"AAAAAD/3wfo=")</f>
        <v>#VALUE!</v>
      </c>
      <c r="IR152" t="e">
        <f>AND(Bills!#REF!,"AAAAAD/3wfs=")</f>
        <v>#REF!</v>
      </c>
      <c r="IS152" t="e">
        <f>AND(Bills!#REF!,"AAAAAD/3wfw=")</f>
        <v>#REF!</v>
      </c>
      <c r="IT152" t="e">
        <f>AND(Bills!#REF!,"AAAAAD/3wf0=")</f>
        <v>#REF!</v>
      </c>
      <c r="IU152" t="e">
        <f>AND(Bills!F605,"AAAAAD/3wf4=")</f>
        <v>#VALUE!</v>
      </c>
      <c r="IV152" t="e">
        <f>AND(Bills!#REF!,"AAAAAD/3wf8=")</f>
        <v>#REF!</v>
      </c>
    </row>
    <row r="153" spans="1:256" x14ac:dyDescent="0.25">
      <c r="A153" t="e">
        <f>AND(Bills!G605,"AAAAAH/8dAA=")</f>
        <v>#VALUE!</v>
      </c>
      <c r="B153" t="e">
        <f>AND(Bills!H605,"AAAAAH/8dAE=")</f>
        <v>#VALUE!</v>
      </c>
      <c r="C153" t="e">
        <f>AND(Bills!I605,"AAAAAH/8dAI=")</f>
        <v>#VALUE!</v>
      </c>
      <c r="D153" t="e">
        <f>AND(Bills!J605,"AAAAAH/8dAM=")</f>
        <v>#VALUE!</v>
      </c>
      <c r="E153" t="e">
        <f>AND(Bills!K605,"AAAAAH/8dAQ=")</f>
        <v>#VALUE!</v>
      </c>
      <c r="F153" t="e">
        <f>AND(Bills!L605,"AAAAAH/8dAU=")</f>
        <v>#VALUE!</v>
      </c>
      <c r="G153" t="e">
        <f>AND(Bills!#REF!,"AAAAAH/8dAY=")</f>
        <v>#REF!</v>
      </c>
      <c r="H153" t="e">
        <f>AND(Bills!M605,"AAAAAH/8dAc=")</f>
        <v>#VALUE!</v>
      </c>
      <c r="I153" t="e">
        <f>AND(Bills!N605,"AAAAAH/8dAg=")</f>
        <v>#VALUE!</v>
      </c>
      <c r="J153" t="e">
        <f>AND(Bills!O605,"AAAAAH/8dAk=")</f>
        <v>#VALUE!</v>
      </c>
      <c r="K153" t="e">
        <f>AND(Bills!P605,"AAAAAH/8dAo=")</f>
        <v>#VALUE!</v>
      </c>
      <c r="L153" t="e">
        <f>AND(Bills!Q605,"AAAAAH/8dAs=")</f>
        <v>#VALUE!</v>
      </c>
      <c r="M153" t="e">
        <f>AND(Bills!R605,"AAAAAH/8dAw=")</f>
        <v>#VALUE!</v>
      </c>
      <c r="N153" t="e">
        <f>AND(Bills!S605,"AAAAAH/8dA0=")</f>
        <v>#VALUE!</v>
      </c>
      <c r="O153" t="e">
        <f>AND(Bills!T605,"AAAAAH/8dA4=")</f>
        <v>#VALUE!</v>
      </c>
      <c r="P153" t="e">
        <f>AND(Bills!#REF!,"AAAAAH/8dA8=")</f>
        <v>#REF!</v>
      </c>
      <c r="Q153" t="e">
        <f>AND(Bills!U605,"AAAAAH/8dBA=")</f>
        <v>#VALUE!</v>
      </c>
      <c r="R153" t="e">
        <f>AND(Bills!V605,"AAAAAH/8dBE=")</f>
        <v>#VALUE!</v>
      </c>
      <c r="S153" t="e">
        <f>AND(Bills!W605,"AAAAAH/8dBI=")</f>
        <v>#VALUE!</v>
      </c>
      <c r="T153" t="e">
        <f>AND(Bills!#REF!,"AAAAAH/8dBM=")</f>
        <v>#REF!</v>
      </c>
      <c r="U153" t="e">
        <f>AND(Bills!#REF!,"AAAAAH/8dBQ=")</f>
        <v>#REF!</v>
      </c>
      <c r="V153" t="e">
        <f>AND(Bills!Y605,"AAAAAH/8dBU=")</f>
        <v>#VALUE!</v>
      </c>
      <c r="W153" t="e">
        <f>AND(Bills!Z605,"AAAAAH/8dBY=")</f>
        <v>#VALUE!</v>
      </c>
      <c r="X153" t="e">
        <f>AND(Bills!#REF!,"AAAAAH/8dBc=")</f>
        <v>#REF!</v>
      </c>
      <c r="Y153" t="e">
        <f>AND(Bills!#REF!,"AAAAAH/8dBg=")</f>
        <v>#REF!</v>
      </c>
      <c r="Z153" t="e">
        <f>AND(Bills!#REF!,"AAAAAH/8dBk=")</f>
        <v>#REF!</v>
      </c>
      <c r="AA153" t="e">
        <f>AND(Bills!#REF!,"AAAAAH/8dBo=")</f>
        <v>#REF!</v>
      </c>
      <c r="AB153" t="e">
        <f>AND(Bills!#REF!,"AAAAAH/8dBs=")</f>
        <v>#REF!</v>
      </c>
      <c r="AC153" t="e">
        <f>AND(Bills!#REF!,"AAAAAH/8dBw=")</f>
        <v>#REF!</v>
      </c>
      <c r="AD153" t="e">
        <f>AND(Bills!#REF!,"AAAAAH/8dB0=")</f>
        <v>#REF!</v>
      </c>
      <c r="AE153" t="e">
        <f>AND(Bills!#REF!,"AAAAAH/8dB4=")</f>
        <v>#REF!</v>
      </c>
      <c r="AF153" t="e">
        <f>AND(Bills!#REF!,"AAAAAH/8dB8=")</f>
        <v>#REF!</v>
      </c>
      <c r="AG153" t="e">
        <f>AND(Bills!AA605,"AAAAAH/8dCA=")</f>
        <v>#VALUE!</v>
      </c>
      <c r="AH153" t="e">
        <f>AND(Bills!AB605,"AAAAAH/8dCE=")</f>
        <v>#VALUE!</v>
      </c>
      <c r="AI153" t="e">
        <f>AND(Bills!#REF!,"AAAAAH/8dCI=")</f>
        <v>#REF!</v>
      </c>
      <c r="AJ153" t="e">
        <f>AND(Bills!#REF!,"AAAAAH/8dCM=")</f>
        <v>#REF!</v>
      </c>
      <c r="AK153" t="e">
        <f>AND(Bills!#REF!,"AAAAAH/8dCQ=")</f>
        <v>#REF!</v>
      </c>
      <c r="AL153" t="e">
        <f>AND(Bills!AC605,"AAAAAH/8dCU=")</f>
        <v>#VALUE!</v>
      </c>
      <c r="AM153" t="e">
        <f>AND(Bills!AD605,"AAAAAH/8dCY=")</f>
        <v>#VALUE!</v>
      </c>
      <c r="AN153" t="e">
        <f>AND(Bills!AE605,"AAAAAH/8dCc=")</f>
        <v>#VALUE!</v>
      </c>
      <c r="AO153">
        <f>IF(Bills!606:606,"AAAAAH/8dCg=",0)</f>
        <v>0</v>
      </c>
      <c r="AP153" t="e">
        <f>AND(Bills!B606,"AAAAAH/8dCk=")</f>
        <v>#VALUE!</v>
      </c>
      <c r="AQ153" t="e">
        <f>AND(Bills!#REF!,"AAAAAH/8dCo=")</f>
        <v>#REF!</v>
      </c>
      <c r="AR153" t="e">
        <f>AND(Bills!C606,"AAAAAH/8dCs=")</f>
        <v>#VALUE!</v>
      </c>
      <c r="AS153" t="e">
        <f>AND(Bills!D606,"AAAAAH/8dCw=")</f>
        <v>#VALUE!</v>
      </c>
      <c r="AT153" t="e">
        <f>AND(Bills!E606,"AAAAAH/8dC0=")</f>
        <v>#VALUE!</v>
      </c>
      <c r="AU153" t="e">
        <f>AND(Bills!#REF!,"AAAAAH/8dC4=")</f>
        <v>#REF!</v>
      </c>
      <c r="AV153" t="e">
        <f>AND(Bills!#REF!,"AAAAAH/8dC8=")</f>
        <v>#REF!</v>
      </c>
      <c r="AW153" t="e">
        <f>AND(Bills!#REF!,"AAAAAH/8dDA=")</f>
        <v>#REF!</v>
      </c>
      <c r="AX153" t="e">
        <f>AND(Bills!F606,"AAAAAH/8dDE=")</f>
        <v>#VALUE!</v>
      </c>
      <c r="AY153" t="e">
        <f>AND(Bills!#REF!,"AAAAAH/8dDI=")</f>
        <v>#REF!</v>
      </c>
      <c r="AZ153" t="e">
        <f>AND(Bills!G606,"AAAAAH/8dDM=")</f>
        <v>#VALUE!</v>
      </c>
      <c r="BA153" t="e">
        <f>AND(Bills!H606,"AAAAAH/8dDQ=")</f>
        <v>#VALUE!</v>
      </c>
      <c r="BB153" t="e">
        <f>AND(Bills!I606,"AAAAAH/8dDU=")</f>
        <v>#VALUE!</v>
      </c>
      <c r="BC153" t="e">
        <f>AND(Bills!J606,"AAAAAH/8dDY=")</f>
        <v>#VALUE!</v>
      </c>
      <c r="BD153" t="e">
        <f>AND(Bills!K606,"AAAAAH/8dDc=")</f>
        <v>#VALUE!</v>
      </c>
      <c r="BE153" t="e">
        <f>AND(Bills!L606,"AAAAAH/8dDg=")</f>
        <v>#VALUE!</v>
      </c>
      <c r="BF153" t="e">
        <f>AND(Bills!#REF!,"AAAAAH/8dDk=")</f>
        <v>#REF!</v>
      </c>
      <c r="BG153" t="e">
        <f>AND(Bills!M606,"AAAAAH/8dDo=")</f>
        <v>#VALUE!</v>
      </c>
      <c r="BH153" t="e">
        <f>AND(Bills!N606,"AAAAAH/8dDs=")</f>
        <v>#VALUE!</v>
      </c>
      <c r="BI153" t="e">
        <f>AND(Bills!O606,"AAAAAH/8dDw=")</f>
        <v>#VALUE!</v>
      </c>
      <c r="BJ153" t="e">
        <f>AND(Bills!P606,"AAAAAH/8dD0=")</f>
        <v>#VALUE!</v>
      </c>
      <c r="BK153" t="e">
        <f>AND(Bills!Q606,"AAAAAH/8dD4=")</f>
        <v>#VALUE!</v>
      </c>
      <c r="BL153" t="e">
        <f>AND(Bills!R606,"AAAAAH/8dD8=")</f>
        <v>#VALUE!</v>
      </c>
      <c r="BM153" t="e">
        <f>AND(Bills!S606,"AAAAAH/8dEA=")</f>
        <v>#VALUE!</v>
      </c>
      <c r="BN153" t="e">
        <f>AND(Bills!T606,"AAAAAH/8dEE=")</f>
        <v>#VALUE!</v>
      </c>
      <c r="BO153" t="e">
        <f>AND(Bills!#REF!,"AAAAAH/8dEI=")</f>
        <v>#REF!</v>
      </c>
      <c r="BP153" t="e">
        <f>AND(Bills!U606,"AAAAAH/8dEM=")</f>
        <v>#VALUE!</v>
      </c>
      <c r="BQ153" t="e">
        <f>AND(Bills!V606,"AAAAAH/8dEQ=")</f>
        <v>#VALUE!</v>
      </c>
      <c r="BR153" t="e">
        <f>AND(Bills!W606,"AAAAAH/8dEU=")</f>
        <v>#VALUE!</v>
      </c>
      <c r="BS153" t="e">
        <f>AND(Bills!#REF!,"AAAAAH/8dEY=")</f>
        <v>#REF!</v>
      </c>
      <c r="BT153" t="e">
        <f>AND(Bills!#REF!,"AAAAAH/8dEc=")</f>
        <v>#REF!</v>
      </c>
      <c r="BU153" t="e">
        <f>AND(Bills!Y606,"AAAAAH/8dEg=")</f>
        <v>#VALUE!</v>
      </c>
      <c r="BV153" t="e">
        <f>AND(Bills!Z606,"AAAAAH/8dEk=")</f>
        <v>#VALUE!</v>
      </c>
      <c r="BW153" t="e">
        <f>AND(Bills!#REF!,"AAAAAH/8dEo=")</f>
        <v>#REF!</v>
      </c>
      <c r="BX153" t="e">
        <f>AND(Bills!#REF!,"AAAAAH/8dEs=")</f>
        <v>#REF!</v>
      </c>
      <c r="BY153" t="e">
        <f>AND(Bills!#REF!,"AAAAAH/8dEw=")</f>
        <v>#REF!</v>
      </c>
      <c r="BZ153" t="e">
        <f>AND(Bills!#REF!,"AAAAAH/8dE0=")</f>
        <v>#REF!</v>
      </c>
      <c r="CA153" t="e">
        <f>AND(Bills!#REF!,"AAAAAH/8dE4=")</f>
        <v>#REF!</v>
      </c>
      <c r="CB153" t="e">
        <f>AND(Bills!#REF!,"AAAAAH/8dE8=")</f>
        <v>#REF!</v>
      </c>
      <c r="CC153" t="e">
        <f>AND(Bills!#REF!,"AAAAAH/8dFA=")</f>
        <v>#REF!</v>
      </c>
      <c r="CD153" t="e">
        <f>AND(Bills!#REF!,"AAAAAH/8dFE=")</f>
        <v>#REF!</v>
      </c>
      <c r="CE153" t="e">
        <f>AND(Bills!#REF!,"AAAAAH/8dFI=")</f>
        <v>#REF!</v>
      </c>
      <c r="CF153" t="e">
        <f>AND(Bills!AA606,"AAAAAH/8dFM=")</f>
        <v>#VALUE!</v>
      </c>
      <c r="CG153" t="e">
        <f>AND(Bills!AB606,"AAAAAH/8dFQ=")</f>
        <v>#VALUE!</v>
      </c>
      <c r="CH153" t="e">
        <f>AND(Bills!#REF!,"AAAAAH/8dFU=")</f>
        <v>#REF!</v>
      </c>
      <c r="CI153" t="e">
        <f>AND(Bills!#REF!,"AAAAAH/8dFY=")</f>
        <v>#REF!</v>
      </c>
      <c r="CJ153" t="e">
        <f>AND(Bills!#REF!,"AAAAAH/8dFc=")</f>
        <v>#REF!</v>
      </c>
      <c r="CK153" t="e">
        <f>AND(Bills!AC606,"AAAAAH/8dFg=")</f>
        <v>#VALUE!</v>
      </c>
      <c r="CL153" t="e">
        <f>AND(Bills!AD606,"AAAAAH/8dFk=")</f>
        <v>#VALUE!</v>
      </c>
      <c r="CM153" t="e">
        <f>AND(Bills!AE606,"AAAAAH/8dFo=")</f>
        <v>#VALUE!</v>
      </c>
      <c r="CN153">
        <f>IF(Bills!607:607,"AAAAAH/8dFs=",0)</f>
        <v>0</v>
      </c>
      <c r="CO153" t="e">
        <f>AND(Bills!B607,"AAAAAH/8dFw=")</f>
        <v>#VALUE!</v>
      </c>
      <c r="CP153" t="e">
        <f>AND(Bills!#REF!,"AAAAAH/8dF0=")</f>
        <v>#REF!</v>
      </c>
      <c r="CQ153" t="e">
        <f>AND(Bills!C607,"AAAAAH/8dF4=")</f>
        <v>#VALUE!</v>
      </c>
      <c r="CR153" t="e">
        <f>AND(Bills!D607,"AAAAAH/8dF8=")</f>
        <v>#VALUE!</v>
      </c>
      <c r="CS153" t="e">
        <f>AND(Bills!E607,"AAAAAH/8dGA=")</f>
        <v>#VALUE!</v>
      </c>
      <c r="CT153" t="e">
        <f>AND(Bills!#REF!,"AAAAAH/8dGE=")</f>
        <v>#REF!</v>
      </c>
      <c r="CU153" t="e">
        <f>AND(Bills!#REF!,"AAAAAH/8dGI=")</f>
        <v>#REF!</v>
      </c>
      <c r="CV153" t="e">
        <f>AND(Bills!#REF!,"AAAAAH/8dGM=")</f>
        <v>#REF!</v>
      </c>
      <c r="CW153" t="e">
        <f>AND(Bills!F607,"AAAAAH/8dGQ=")</f>
        <v>#VALUE!</v>
      </c>
      <c r="CX153" t="e">
        <f>AND(Bills!#REF!,"AAAAAH/8dGU=")</f>
        <v>#REF!</v>
      </c>
      <c r="CY153" t="e">
        <f>AND(Bills!G607,"AAAAAH/8dGY=")</f>
        <v>#VALUE!</v>
      </c>
      <c r="CZ153" t="e">
        <f>AND(Bills!H607,"AAAAAH/8dGc=")</f>
        <v>#VALUE!</v>
      </c>
      <c r="DA153" t="e">
        <f>AND(Bills!I607,"AAAAAH/8dGg=")</f>
        <v>#VALUE!</v>
      </c>
      <c r="DB153" t="e">
        <f>AND(Bills!J607,"AAAAAH/8dGk=")</f>
        <v>#VALUE!</v>
      </c>
      <c r="DC153" t="e">
        <f>AND(Bills!K607,"AAAAAH/8dGo=")</f>
        <v>#VALUE!</v>
      </c>
      <c r="DD153" t="e">
        <f>AND(Bills!L607,"AAAAAH/8dGs=")</f>
        <v>#VALUE!</v>
      </c>
      <c r="DE153" t="e">
        <f>AND(Bills!#REF!,"AAAAAH/8dGw=")</f>
        <v>#REF!</v>
      </c>
      <c r="DF153" t="e">
        <f>AND(Bills!M607,"AAAAAH/8dG0=")</f>
        <v>#VALUE!</v>
      </c>
      <c r="DG153" t="e">
        <f>AND(Bills!N607,"AAAAAH/8dG4=")</f>
        <v>#VALUE!</v>
      </c>
      <c r="DH153" t="e">
        <f>AND(Bills!O607,"AAAAAH/8dG8=")</f>
        <v>#VALUE!</v>
      </c>
      <c r="DI153" t="e">
        <f>AND(Bills!P607,"AAAAAH/8dHA=")</f>
        <v>#VALUE!</v>
      </c>
      <c r="DJ153" t="e">
        <f>AND(Bills!Q607,"AAAAAH/8dHE=")</f>
        <v>#VALUE!</v>
      </c>
      <c r="DK153" t="e">
        <f>AND(Bills!R607,"AAAAAH/8dHI=")</f>
        <v>#VALUE!</v>
      </c>
      <c r="DL153" t="e">
        <f>AND(Bills!S607,"AAAAAH/8dHM=")</f>
        <v>#VALUE!</v>
      </c>
      <c r="DM153" t="e">
        <f>AND(Bills!T607,"AAAAAH/8dHQ=")</f>
        <v>#VALUE!</v>
      </c>
      <c r="DN153" t="e">
        <f>AND(Bills!#REF!,"AAAAAH/8dHU=")</f>
        <v>#REF!</v>
      </c>
      <c r="DO153" t="e">
        <f>AND(Bills!U607,"AAAAAH/8dHY=")</f>
        <v>#VALUE!</v>
      </c>
      <c r="DP153" t="e">
        <f>AND(Bills!V607,"AAAAAH/8dHc=")</f>
        <v>#VALUE!</v>
      </c>
      <c r="DQ153" t="e">
        <f>AND(Bills!W607,"AAAAAH/8dHg=")</f>
        <v>#VALUE!</v>
      </c>
      <c r="DR153" t="e">
        <f>AND(Bills!#REF!,"AAAAAH/8dHk=")</f>
        <v>#REF!</v>
      </c>
      <c r="DS153" t="e">
        <f>AND(Bills!#REF!,"AAAAAH/8dHo=")</f>
        <v>#REF!</v>
      </c>
      <c r="DT153" t="e">
        <f>AND(Bills!Y607,"AAAAAH/8dHs=")</f>
        <v>#VALUE!</v>
      </c>
      <c r="DU153" t="e">
        <f>AND(Bills!Z607,"AAAAAH/8dHw=")</f>
        <v>#VALUE!</v>
      </c>
      <c r="DV153" t="e">
        <f>AND(Bills!#REF!,"AAAAAH/8dH0=")</f>
        <v>#REF!</v>
      </c>
      <c r="DW153" t="e">
        <f>AND(Bills!#REF!,"AAAAAH/8dH4=")</f>
        <v>#REF!</v>
      </c>
      <c r="DX153" t="e">
        <f>AND(Bills!#REF!,"AAAAAH/8dH8=")</f>
        <v>#REF!</v>
      </c>
      <c r="DY153" t="e">
        <f>AND(Bills!#REF!,"AAAAAH/8dIA=")</f>
        <v>#REF!</v>
      </c>
      <c r="DZ153" t="e">
        <f>AND(Bills!#REF!,"AAAAAH/8dIE=")</f>
        <v>#REF!</v>
      </c>
      <c r="EA153" t="e">
        <f>AND(Bills!#REF!,"AAAAAH/8dII=")</f>
        <v>#REF!</v>
      </c>
      <c r="EB153" t="e">
        <f>AND(Bills!#REF!,"AAAAAH/8dIM=")</f>
        <v>#REF!</v>
      </c>
      <c r="EC153" t="e">
        <f>AND(Bills!#REF!,"AAAAAH/8dIQ=")</f>
        <v>#REF!</v>
      </c>
      <c r="ED153" t="e">
        <f>AND(Bills!#REF!,"AAAAAH/8dIU=")</f>
        <v>#REF!</v>
      </c>
      <c r="EE153" t="e">
        <f>AND(Bills!AA607,"AAAAAH/8dIY=")</f>
        <v>#VALUE!</v>
      </c>
      <c r="EF153" t="e">
        <f>AND(Bills!AB607,"AAAAAH/8dIc=")</f>
        <v>#VALUE!</v>
      </c>
      <c r="EG153" t="e">
        <f>AND(Bills!#REF!,"AAAAAH/8dIg=")</f>
        <v>#REF!</v>
      </c>
      <c r="EH153" t="e">
        <f>AND(Bills!#REF!,"AAAAAH/8dIk=")</f>
        <v>#REF!</v>
      </c>
      <c r="EI153" t="e">
        <f>AND(Bills!#REF!,"AAAAAH/8dIo=")</f>
        <v>#REF!</v>
      </c>
      <c r="EJ153" t="e">
        <f>AND(Bills!AC607,"AAAAAH/8dIs=")</f>
        <v>#VALUE!</v>
      </c>
      <c r="EK153" t="e">
        <f>AND(Bills!AD607,"AAAAAH/8dIw=")</f>
        <v>#VALUE!</v>
      </c>
      <c r="EL153" t="e">
        <f>AND(Bills!AE607,"AAAAAH/8dI0=")</f>
        <v>#VALUE!</v>
      </c>
      <c r="EM153">
        <f>IF(Bills!608:608,"AAAAAH/8dI4=",0)</f>
        <v>0</v>
      </c>
      <c r="EN153" t="e">
        <f>AND(Bills!B608,"AAAAAH/8dI8=")</f>
        <v>#VALUE!</v>
      </c>
      <c r="EO153" t="e">
        <f>AND(Bills!#REF!,"AAAAAH/8dJA=")</f>
        <v>#REF!</v>
      </c>
      <c r="EP153" t="e">
        <f>AND(Bills!C608,"AAAAAH/8dJE=")</f>
        <v>#VALUE!</v>
      </c>
      <c r="EQ153" t="e">
        <f>AND(Bills!D608,"AAAAAH/8dJI=")</f>
        <v>#VALUE!</v>
      </c>
      <c r="ER153" t="e">
        <f>AND(Bills!E608,"AAAAAH/8dJM=")</f>
        <v>#VALUE!</v>
      </c>
      <c r="ES153" t="e">
        <f>AND(Bills!#REF!,"AAAAAH/8dJQ=")</f>
        <v>#REF!</v>
      </c>
      <c r="ET153" t="e">
        <f>AND(Bills!#REF!,"AAAAAH/8dJU=")</f>
        <v>#REF!</v>
      </c>
      <c r="EU153" t="e">
        <f>AND(Bills!#REF!,"AAAAAH/8dJY=")</f>
        <v>#REF!</v>
      </c>
      <c r="EV153" t="e">
        <f>AND(Bills!F608,"AAAAAH/8dJc=")</f>
        <v>#VALUE!</v>
      </c>
      <c r="EW153" t="e">
        <f>AND(Bills!#REF!,"AAAAAH/8dJg=")</f>
        <v>#REF!</v>
      </c>
      <c r="EX153" t="e">
        <f>AND(Bills!G608,"AAAAAH/8dJk=")</f>
        <v>#VALUE!</v>
      </c>
      <c r="EY153" t="e">
        <f>AND(Bills!H608,"AAAAAH/8dJo=")</f>
        <v>#VALUE!</v>
      </c>
      <c r="EZ153" t="e">
        <f>AND(Bills!I608,"AAAAAH/8dJs=")</f>
        <v>#VALUE!</v>
      </c>
      <c r="FA153" t="e">
        <f>AND(Bills!J608,"AAAAAH/8dJw=")</f>
        <v>#VALUE!</v>
      </c>
      <c r="FB153" t="e">
        <f>AND(Bills!K608,"AAAAAH/8dJ0=")</f>
        <v>#VALUE!</v>
      </c>
      <c r="FC153" t="e">
        <f>AND(Bills!L608,"AAAAAH/8dJ4=")</f>
        <v>#VALUE!</v>
      </c>
      <c r="FD153" t="e">
        <f>AND(Bills!#REF!,"AAAAAH/8dJ8=")</f>
        <v>#REF!</v>
      </c>
      <c r="FE153" t="e">
        <f>AND(Bills!M608,"AAAAAH/8dKA=")</f>
        <v>#VALUE!</v>
      </c>
      <c r="FF153" t="e">
        <f>AND(Bills!N608,"AAAAAH/8dKE=")</f>
        <v>#VALUE!</v>
      </c>
      <c r="FG153" t="e">
        <f>AND(Bills!O608,"AAAAAH/8dKI=")</f>
        <v>#VALUE!</v>
      </c>
      <c r="FH153" t="e">
        <f>AND(Bills!P608,"AAAAAH/8dKM=")</f>
        <v>#VALUE!</v>
      </c>
      <c r="FI153" t="e">
        <f>AND(Bills!Q608,"AAAAAH/8dKQ=")</f>
        <v>#VALUE!</v>
      </c>
      <c r="FJ153" t="e">
        <f>AND(Bills!R608,"AAAAAH/8dKU=")</f>
        <v>#VALUE!</v>
      </c>
      <c r="FK153" t="e">
        <f>AND(Bills!S608,"AAAAAH/8dKY=")</f>
        <v>#VALUE!</v>
      </c>
      <c r="FL153" t="e">
        <f>AND(Bills!T608,"AAAAAH/8dKc=")</f>
        <v>#VALUE!</v>
      </c>
      <c r="FM153" t="e">
        <f>AND(Bills!#REF!,"AAAAAH/8dKg=")</f>
        <v>#REF!</v>
      </c>
      <c r="FN153" t="e">
        <f>AND(Bills!U608,"AAAAAH/8dKk=")</f>
        <v>#VALUE!</v>
      </c>
      <c r="FO153" t="e">
        <f>AND(Bills!V608,"AAAAAH/8dKo=")</f>
        <v>#VALUE!</v>
      </c>
      <c r="FP153" t="e">
        <f>AND(Bills!W608,"AAAAAH/8dKs=")</f>
        <v>#VALUE!</v>
      </c>
      <c r="FQ153" t="e">
        <f>AND(Bills!#REF!,"AAAAAH/8dKw=")</f>
        <v>#REF!</v>
      </c>
      <c r="FR153" t="e">
        <f>AND(Bills!#REF!,"AAAAAH/8dK0=")</f>
        <v>#REF!</v>
      </c>
      <c r="FS153" t="e">
        <f>AND(Bills!Y608,"AAAAAH/8dK4=")</f>
        <v>#VALUE!</v>
      </c>
      <c r="FT153" t="e">
        <f>AND(Bills!Z608,"AAAAAH/8dK8=")</f>
        <v>#VALUE!</v>
      </c>
      <c r="FU153" t="e">
        <f>AND(Bills!#REF!,"AAAAAH/8dLA=")</f>
        <v>#REF!</v>
      </c>
      <c r="FV153" t="e">
        <f>AND(Bills!#REF!,"AAAAAH/8dLE=")</f>
        <v>#REF!</v>
      </c>
      <c r="FW153" t="e">
        <f>AND(Bills!#REF!,"AAAAAH/8dLI=")</f>
        <v>#REF!</v>
      </c>
      <c r="FX153" t="e">
        <f>AND(Bills!#REF!,"AAAAAH/8dLM=")</f>
        <v>#REF!</v>
      </c>
      <c r="FY153" t="e">
        <f>AND(Bills!#REF!,"AAAAAH/8dLQ=")</f>
        <v>#REF!</v>
      </c>
      <c r="FZ153" t="e">
        <f>AND(Bills!#REF!,"AAAAAH/8dLU=")</f>
        <v>#REF!</v>
      </c>
      <c r="GA153" t="e">
        <f>AND(Bills!#REF!,"AAAAAH/8dLY=")</f>
        <v>#REF!</v>
      </c>
      <c r="GB153" t="e">
        <f>AND(Bills!#REF!,"AAAAAH/8dLc=")</f>
        <v>#REF!</v>
      </c>
      <c r="GC153" t="e">
        <f>AND(Bills!#REF!,"AAAAAH/8dLg=")</f>
        <v>#REF!</v>
      </c>
      <c r="GD153" t="e">
        <f>AND(Bills!AA608,"AAAAAH/8dLk=")</f>
        <v>#VALUE!</v>
      </c>
      <c r="GE153" t="e">
        <f>AND(Bills!AB608,"AAAAAH/8dLo=")</f>
        <v>#VALUE!</v>
      </c>
      <c r="GF153" t="e">
        <f>AND(Bills!#REF!,"AAAAAH/8dLs=")</f>
        <v>#REF!</v>
      </c>
      <c r="GG153" t="e">
        <f>AND(Bills!#REF!,"AAAAAH/8dLw=")</f>
        <v>#REF!</v>
      </c>
      <c r="GH153" t="e">
        <f>AND(Bills!#REF!,"AAAAAH/8dL0=")</f>
        <v>#REF!</v>
      </c>
      <c r="GI153" t="e">
        <f>AND(Bills!AC608,"AAAAAH/8dL4=")</f>
        <v>#VALUE!</v>
      </c>
      <c r="GJ153" t="e">
        <f>AND(Bills!AD608,"AAAAAH/8dL8=")</f>
        <v>#VALUE!</v>
      </c>
      <c r="GK153" t="e">
        <f>AND(Bills!AE608,"AAAAAH/8dMA=")</f>
        <v>#VALUE!</v>
      </c>
      <c r="GL153">
        <f>IF(Bills!609:609,"AAAAAH/8dME=",0)</f>
        <v>0</v>
      </c>
      <c r="GM153" t="e">
        <f>AND(Bills!B609,"AAAAAH/8dMI=")</f>
        <v>#VALUE!</v>
      </c>
      <c r="GN153" t="e">
        <f>AND(Bills!#REF!,"AAAAAH/8dMM=")</f>
        <v>#REF!</v>
      </c>
      <c r="GO153" t="e">
        <f>AND(Bills!C609,"AAAAAH/8dMQ=")</f>
        <v>#VALUE!</v>
      </c>
      <c r="GP153" t="e">
        <f>AND(Bills!D609,"AAAAAH/8dMU=")</f>
        <v>#VALUE!</v>
      </c>
      <c r="GQ153" t="e">
        <f>AND(Bills!E609,"AAAAAH/8dMY=")</f>
        <v>#VALUE!</v>
      </c>
      <c r="GR153" t="e">
        <f>AND(Bills!#REF!,"AAAAAH/8dMc=")</f>
        <v>#REF!</v>
      </c>
      <c r="GS153" t="e">
        <f>AND(Bills!#REF!,"AAAAAH/8dMg=")</f>
        <v>#REF!</v>
      </c>
      <c r="GT153" t="e">
        <f>AND(Bills!#REF!,"AAAAAH/8dMk=")</f>
        <v>#REF!</v>
      </c>
      <c r="GU153" t="e">
        <f>AND(Bills!F609,"AAAAAH/8dMo=")</f>
        <v>#VALUE!</v>
      </c>
      <c r="GV153" t="e">
        <f>AND(Bills!#REF!,"AAAAAH/8dMs=")</f>
        <v>#REF!</v>
      </c>
      <c r="GW153" t="e">
        <f>AND(Bills!G609,"AAAAAH/8dMw=")</f>
        <v>#VALUE!</v>
      </c>
      <c r="GX153" t="e">
        <f>AND(Bills!H609,"AAAAAH/8dM0=")</f>
        <v>#VALUE!</v>
      </c>
      <c r="GY153" t="e">
        <f>AND(Bills!I609,"AAAAAH/8dM4=")</f>
        <v>#VALUE!</v>
      </c>
      <c r="GZ153" t="e">
        <f>AND(Bills!J609,"AAAAAH/8dM8=")</f>
        <v>#VALUE!</v>
      </c>
      <c r="HA153" t="e">
        <f>AND(Bills!K609,"AAAAAH/8dNA=")</f>
        <v>#VALUE!</v>
      </c>
      <c r="HB153" t="e">
        <f>AND(Bills!L609,"AAAAAH/8dNE=")</f>
        <v>#VALUE!</v>
      </c>
      <c r="HC153" t="e">
        <f>AND(Bills!#REF!,"AAAAAH/8dNI=")</f>
        <v>#REF!</v>
      </c>
      <c r="HD153" t="e">
        <f>AND(Bills!M609,"AAAAAH/8dNM=")</f>
        <v>#VALUE!</v>
      </c>
      <c r="HE153" t="e">
        <f>AND(Bills!N609,"AAAAAH/8dNQ=")</f>
        <v>#VALUE!</v>
      </c>
      <c r="HF153" t="e">
        <f>AND(Bills!O609,"AAAAAH/8dNU=")</f>
        <v>#VALUE!</v>
      </c>
      <c r="HG153" t="e">
        <f>AND(Bills!P609,"AAAAAH/8dNY=")</f>
        <v>#VALUE!</v>
      </c>
      <c r="HH153" t="e">
        <f>AND(Bills!Q609,"AAAAAH/8dNc=")</f>
        <v>#VALUE!</v>
      </c>
      <c r="HI153" t="e">
        <f>AND(Bills!R609,"AAAAAH/8dNg=")</f>
        <v>#VALUE!</v>
      </c>
      <c r="HJ153" t="e">
        <f>AND(Bills!S609,"AAAAAH/8dNk=")</f>
        <v>#VALUE!</v>
      </c>
      <c r="HK153" t="e">
        <f>AND(Bills!T609,"AAAAAH/8dNo=")</f>
        <v>#VALUE!</v>
      </c>
      <c r="HL153" t="e">
        <f>AND(Bills!#REF!,"AAAAAH/8dNs=")</f>
        <v>#REF!</v>
      </c>
      <c r="HM153" t="e">
        <f>AND(Bills!U609,"AAAAAH/8dNw=")</f>
        <v>#VALUE!</v>
      </c>
      <c r="HN153" t="e">
        <f>AND(Bills!V609,"AAAAAH/8dN0=")</f>
        <v>#VALUE!</v>
      </c>
      <c r="HO153" t="e">
        <f>AND(Bills!W609,"AAAAAH/8dN4=")</f>
        <v>#VALUE!</v>
      </c>
      <c r="HP153" t="e">
        <f>AND(Bills!#REF!,"AAAAAH/8dN8=")</f>
        <v>#REF!</v>
      </c>
      <c r="HQ153" t="e">
        <f>AND(Bills!#REF!,"AAAAAH/8dOA=")</f>
        <v>#REF!</v>
      </c>
      <c r="HR153" t="e">
        <f>AND(Bills!Y609,"AAAAAH/8dOE=")</f>
        <v>#VALUE!</v>
      </c>
      <c r="HS153" t="e">
        <f>AND(Bills!Z609,"AAAAAH/8dOI=")</f>
        <v>#VALUE!</v>
      </c>
      <c r="HT153" t="e">
        <f>AND(Bills!#REF!,"AAAAAH/8dOM=")</f>
        <v>#REF!</v>
      </c>
      <c r="HU153" t="e">
        <f>AND(Bills!#REF!,"AAAAAH/8dOQ=")</f>
        <v>#REF!</v>
      </c>
      <c r="HV153" t="e">
        <f>AND(Bills!#REF!,"AAAAAH/8dOU=")</f>
        <v>#REF!</v>
      </c>
      <c r="HW153" t="e">
        <f>AND(Bills!#REF!,"AAAAAH/8dOY=")</f>
        <v>#REF!</v>
      </c>
      <c r="HX153" t="e">
        <f>AND(Bills!#REF!,"AAAAAH/8dOc=")</f>
        <v>#REF!</v>
      </c>
      <c r="HY153" t="e">
        <f>AND(Bills!#REF!,"AAAAAH/8dOg=")</f>
        <v>#REF!</v>
      </c>
      <c r="HZ153" t="e">
        <f>AND(Bills!#REF!,"AAAAAH/8dOk=")</f>
        <v>#REF!</v>
      </c>
      <c r="IA153" t="e">
        <f>AND(Bills!#REF!,"AAAAAH/8dOo=")</f>
        <v>#REF!</v>
      </c>
      <c r="IB153" t="e">
        <f>AND(Bills!#REF!,"AAAAAH/8dOs=")</f>
        <v>#REF!</v>
      </c>
      <c r="IC153" t="e">
        <f>AND(Bills!AA609,"AAAAAH/8dOw=")</f>
        <v>#VALUE!</v>
      </c>
      <c r="ID153" t="e">
        <f>AND(Bills!AB609,"AAAAAH/8dO0=")</f>
        <v>#VALUE!</v>
      </c>
      <c r="IE153" t="e">
        <f>AND(Bills!#REF!,"AAAAAH/8dO4=")</f>
        <v>#REF!</v>
      </c>
      <c r="IF153" t="e">
        <f>AND(Bills!#REF!,"AAAAAH/8dO8=")</f>
        <v>#REF!</v>
      </c>
      <c r="IG153" t="e">
        <f>AND(Bills!#REF!,"AAAAAH/8dPA=")</f>
        <v>#REF!</v>
      </c>
      <c r="IH153" t="e">
        <f>AND(Bills!AC609,"AAAAAH/8dPE=")</f>
        <v>#VALUE!</v>
      </c>
      <c r="II153" t="e">
        <f>AND(Bills!AD609,"AAAAAH/8dPI=")</f>
        <v>#VALUE!</v>
      </c>
      <c r="IJ153" t="e">
        <f>AND(Bills!AE609,"AAAAAH/8dPM=")</f>
        <v>#VALUE!</v>
      </c>
      <c r="IK153">
        <f>IF(Bills!610:610,"AAAAAH/8dPQ=",0)</f>
        <v>0</v>
      </c>
      <c r="IL153" t="e">
        <f>AND(Bills!B610,"AAAAAH/8dPU=")</f>
        <v>#VALUE!</v>
      </c>
      <c r="IM153" t="e">
        <f>AND(Bills!#REF!,"AAAAAH/8dPY=")</f>
        <v>#REF!</v>
      </c>
      <c r="IN153" t="e">
        <f>AND(Bills!C610,"AAAAAH/8dPc=")</f>
        <v>#VALUE!</v>
      </c>
      <c r="IO153" t="e">
        <f>AND(Bills!D610,"AAAAAH/8dPg=")</f>
        <v>#VALUE!</v>
      </c>
      <c r="IP153" t="e">
        <f>AND(Bills!E610,"AAAAAH/8dPk=")</f>
        <v>#VALUE!</v>
      </c>
      <c r="IQ153" t="e">
        <f>AND(Bills!#REF!,"AAAAAH/8dPo=")</f>
        <v>#REF!</v>
      </c>
      <c r="IR153" t="e">
        <f>AND(Bills!#REF!,"AAAAAH/8dPs=")</f>
        <v>#REF!</v>
      </c>
      <c r="IS153" t="e">
        <f>AND(Bills!#REF!,"AAAAAH/8dPw=")</f>
        <v>#REF!</v>
      </c>
      <c r="IT153" t="e">
        <f>AND(Bills!F610,"AAAAAH/8dP0=")</f>
        <v>#VALUE!</v>
      </c>
      <c r="IU153" t="e">
        <f>AND(Bills!#REF!,"AAAAAH/8dP4=")</f>
        <v>#REF!</v>
      </c>
      <c r="IV153" t="e">
        <f>AND(Bills!G610,"AAAAAH/8dP8=")</f>
        <v>#VALUE!</v>
      </c>
    </row>
    <row r="154" spans="1:256" x14ac:dyDescent="0.25">
      <c r="A154" t="e">
        <f>AND(Bills!H610,"AAAAAFGzPgA=")</f>
        <v>#VALUE!</v>
      </c>
      <c r="B154" t="e">
        <f>AND(Bills!I610,"AAAAAFGzPgE=")</f>
        <v>#VALUE!</v>
      </c>
      <c r="C154" t="e">
        <f>AND(Bills!J610,"AAAAAFGzPgI=")</f>
        <v>#VALUE!</v>
      </c>
      <c r="D154" t="e">
        <f>AND(Bills!K610,"AAAAAFGzPgM=")</f>
        <v>#VALUE!</v>
      </c>
      <c r="E154" t="e">
        <f>AND(Bills!L610,"AAAAAFGzPgQ=")</f>
        <v>#VALUE!</v>
      </c>
      <c r="F154" t="e">
        <f>AND(Bills!#REF!,"AAAAAFGzPgU=")</f>
        <v>#REF!</v>
      </c>
      <c r="G154" t="e">
        <f>AND(Bills!M610,"AAAAAFGzPgY=")</f>
        <v>#VALUE!</v>
      </c>
      <c r="H154" t="e">
        <f>AND(Bills!N610,"AAAAAFGzPgc=")</f>
        <v>#VALUE!</v>
      </c>
      <c r="I154" t="e">
        <f>AND(Bills!O610,"AAAAAFGzPgg=")</f>
        <v>#VALUE!</v>
      </c>
      <c r="J154" t="e">
        <f>AND(Bills!P610,"AAAAAFGzPgk=")</f>
        <v>#VALUE!</v>
      </c>
      <c r="K154" t="e">
        <f>AND(Bills!Q610,"AAAAAFGzPgo=")</f>
        <v>#VALUE!</v>
      </c>
      <c r="L154" t="e">
        <f>AND(Bills!R610,"AAAAAFGzPgs=")</f>
        <v>#VALUE!</v>
      </c>
      <c r="M154" t="e">
        <f>AND(Bills!S610,"AAAAAFGzPgw=")</f>
        <v>#VALUE!</v>
      </c>
      <c r="N154" t="e">
        <f>AND(Bills!T610,"AAAAAFGzPg0=")</f>
        <v>#VALUE!</v>
      </c>
      <c r="O154" t="e">
        <f>AND(Bills!#REF!,"AAAAAFGzPg4=")</f>
        <v>#REF!</v>
      </c>
      <c r="P154" t="e">
        <f>AND(Bills!U610,"AAAAAFGzPg8=")</f>
        <v>#VALUE!</v>
      </c>
      <c r="Q154" t="e">
        <f>AND(Bills!V610,"AAAAAFGzPhA=")</f>
        <v>#VALUE!</v>
      </c>
      <c r="R154" t="e">
        <f>AND(Bills!W610,"AAAAAFGzPhE=")</f>
        <v>#VALUE!</v>
      </c>
      <c r="S154" t="e">
        <f>AND(Bills!#REF!,"AAAAAFGzPhI=")</f>
        <v>#REF!</v>
      </c>
      <c r="T154" t="e">
        <f>AND(Bills!#REF!,"AAAAAFGzPhM=")</f>
        <v>#REF!</v>
      </c>
      <c r="U154" t="e">
        <f>AND(Bills!Y610,"AAAAAFGzPhQ=")</f>
        <v>#VALUE!</v>
      </c>
      <c r="V154" t="e">
        <f>AND(Bills!Z610,"AAAAAFGzPhU=")</f>
        <v>#VALUE!</v>
      </c>
      <c r="W154" t="e">
        <f>AND(Bills!#REF!,"AAAAAFGzPhY=")</f>
        <v>#REF!</v>
      </c>
      <c r="X154" t="e">
        <f>AND(Bills!#REF!,"AAAAAFGzPhc=")</f>
        <v>#REF!</v>
      </c>
      <c r="Y154" t="e">
        <f>AND(Bills!#REF!,"AAAAAFGzPhg=")</f>
        <v>#REF!</v>
      </c>
      <c r="Z154" t="e">
        <f>AND(Bills!#REF!,"AAAAAFGzPhk=")</f>
        <v>#REF!</v>
      </c>
      <c r="AA154" t="e">
        <f>AND(Bills!#REF!,"AAAAAFGzPho=")</f>
        <v>#REF!</v>
      </c>
      <c r="AB154" t="e">
        <f>AND(Bills!#REF!,"AAAAAFGzPhs=")</f>
        <v>#REF!</v>
      </c>
      <c r="AC154" t="e">
        <f>AND(Bills!#REF!,"AAAAAFGzPhw=")</f>
        <v>#REF!</v>
      </c>
      <c r="AD154" t="e">
        <f>AND(Bills!#REF!,"AAAAAFGzPh0=")</f>
        <v>#REF!</v>
      </c>
      <c r="AE154" t="e">
        <f>AND(Bills!#REF!,"AAAAAFGzPh4=")</f>
        <v>#REF!</v>
      </c>
      <c r="AF154" t="e">
        <f>AND(Bills!AA610,"AAAAAFGzPh8=")</f>
        <v>#VALUE!</v>
      </c>
      <c r="AG154" t="e">
        <f>AND(Bills!AB610,"AAAAAFGzPiA=")</f>
        <v>#VALUE!</v>
      </c>
      <c r="AH154" t="e">
        <f>AND(Bills!#REF!,"AAAAAFGzPiE=")</f>
        <v>#REF!</v>
      </c>
      <c r="AI154" t="e">
        <f>AND(Bills!#REF!,"AAAAAFGzPiI=")</f>
        <v>#REF!</v>
      </c>
      <c r="AJ154" t="e">
        <f>AND(Bills!#REF!,"AAAAAFGzPiM=")</f>
        <v>#REF!</v>
      </c>
      <c r="AK154" t="e">
        <f>AND(Bills!AC610,"AAAAAFGzPiQ=")</f>
        <v>#VALUE!</v>
      </c>
      <c r="AL154" t="e">
        <f>AND(Bills!AD610,"AAAAAFGzPiU=")</f>
        <v>#VALUE!</v>
      </c>
      <c r="AM154" t="e">
        <f>AND(Bills!AE610,"AAAAAFGzPiY=")</f>
        <v>#VALUE!</v>
      </c>
      <c r="AN154">
        <f>IF(Bills!611:611,"AAAAAFGzPic=",0)</f>
        <v>0</v>
      </c>
      <c r="AO154" t="e">
        <f>AND(Bills!B611,"AAAAAFGzPig=")</f>
        <v>#VALUE!</v>
      </c>
      <c r="AP154" t="e">
        <f>AND(Bills!#REF!,"AAAAAFGzPik=")</f>
        <v>#REF!</v>
      </c>
      <c r="AQ154" t="e">
        <f>AND(Bills!C611,"AAAAAFGzPio=")</f>
        <v>#VALUE!</v>
      </c>
      <c r="AR154" t="e">
        <f>AND(Bills!D611,"AAAAAFGzPis=")</f>
        <v>#VALUE!</v>
      </c>
      <c r="AS154" t="e">
        <f>AND(Bills!E611,"AAAAAFGzPiw=")</f>
        <v>#VALUE!</v>
      </c>
      <c r="AT154" t="e">
        <f>AND(Bills!#REF!,"AAAAAFGzPi0=")</f>
        <v>#REF!</v>
      </c>
      <c r="AU154" t="e">
        <f>AND(Bills!#REF!,"AAAAAFGzPi4=")</f>
        <v>#REF!</v>
      </c>
      <c r="AV154" t="e">
        <f>AND(Bills!#REF!,"AAAAAFGzPi8=")</f>
        <v>#REF!</v>
      </c>
      <c r="AW154" t="e">
        <f>AND(Bills!F611,"AAAAAFGzPjA=")</f>
        <v>#VALUE!</v>
      </c>
      <c r="AX154" t="e">
        <f>AND(Bills!#REF!,"AAAAAFGzPjE=")</f>
        <v>#REF!</v>
      </c>
      <c r="AY154" t="e">
        <f>AND(Bills!G611,"AAAAAFGzPjI=")</f>
        <v>#VALUE!</v>
      </c>
      <c r="AZ154" t="e">
        <f>AND(Bills!H611,"AAAAAFGzPjM=")</f>
        <v>#VALUE!</v>
      </c>
      <c r="BA154" t="e">
        <f>AND(Bills!I611,"AAAAAFGzPjQ=")</f>
        <v>#VALUE!</v>
      </c>
      <c r="BB154" t="e">
        <f>AND(Bills!J611,"AAAAAFGzPjU=")</f>
        <v>#VALUE!</v>
      </c>
      <c r="BC154" t="e">
        <f>AND(Bills!K611,"AAAAAFGzPjY=")</f>
        <v>#VALUE!</v>
      </c>
      <c r="BD154" t="e">
        <f>AND(Bills!L611,"AAAAAFGzPjc=")</f>
        <v>#VALUE!</v>
      </c>
      <c r="BE154" t="e">
        <f>AND(Bills!#REF!,"AAAAAFGzPjg=")</f>
        <v>#REF!</v>
      </c>
      <c r="BF154" t="e">
        <f>AND(Bills!M611,"AAAAAFGzPjk=")</f>
        <v>#VALUE!</v>
      </c>
      <c r="BG154" t="e">
        <f>AND(Bills!N611,"AAAAAFGzPjo=")</f>
        <v>#VALUE!</v>
      </c>
      <c r="BH154" t="e">
        <f>AND(Bills!O611,"AAAAAFGzPjs=")</f>
        <v>#VALUE!</v>
      </c>
      <c r="BI154" t="e">
        <f>AND(Bills!P611,"AAAAAFGzPjw=")</f>
        <v>#VALUE!</v>
      </c>
      <c r="BJ154" t="e">
        <f>AND(Bills!Q611,"AAAAAFGzPj0=")</f>
        <v>#VALUE!</v>
      </c>
      <c r="BK154" t="e">
        <f>AND(Bills!R611,"AAAAAFGzPj4=")</f>
        <v>#VALUE!</v>
      </c>
      <c r="BL154" t="e">
        <f>AND(Bills!S611,"AAAAAFGzPj8=")</f>
        <v>#VALUE!</v>
      </c>
      <c r="BM154" t="e">
        <f>AND(Bills!T611,"AAAAAFGzPkA=")</f>
        <v>#VALUE!</v>
      </c>
      <c r="BN154" t="e">
        <f>AND(Bills!#REF!,"AAAAAFGzPkE=")</f>
        <v>#REF!</v>
      </c>
      <c r="BO154" t="e">
        <f>AND(Bills!U611,"AAAAAFGzPkI=")</f>
        <v>#VALUE!</v>
      </c>
      <c r="BP154" t="e">
        <f>AND(Bills!V611,"AAAAAFGzPkM=")</f>
        <v>#VALUE!</v>
      </c>
      <c r="BQ154" t="e">
        <f>AND(Bills!W611,"AAAAAFGzPkQ=")</f>
        <v>#VALUE!</v>
      </c>
      <c r="BR154" t="e">
        <f>AND(Bills!#REF!,"AAAAAFGzPkU=")</f>
        <v>#REF!</v>
      </c>
      <c r="BS154" t="e">
        <f>AND(Bills!#REF!,"AAAAAFGzPkY=")</f>
        <v>#REF!</v>
      </c>
      <c r="BT154" t="e">
        <f>AND(Bills!Y611,"AAAAAFGzPkc=")</f>
        <v>#VALUE!</v>
      </c>
      <c r="BU154" t="e">
        <f>AND(Bills!Z611,"AAAAAFGzPkg=")</f>
        <v>#VALUE!</v>
      </c>
      <c r="BV154" t="e">
        <f>AND(Bills!#REF!,"AAAAAFGzPkk=")</f>
        <v>#REF!</v>
      </c>
      <c r="BW154" t="e">
        <f>AND(Bills!#REF!,"AAAAAFGzPko=")</f>
        <v>#REF!</v>
      </c>
      <c r="BX154" t="e">
        <f>AND(Bills!#REF!,"AAAAAFGzPks=")</f>
        <v>#REF!</v>
      </c>
      <c r="BY154" t="e">
        <f>AND(Bills!#REF!,"AAAAAFGzPkw=")</f>
        <v>#REF!</v>
      </c>
      <c r="BZ154" t="e">
        <f>AND(Bills!#REF!,"AAAAAFGzPk0=")</f>
        <v>#REF!</v>
      </c>
      <c r="CA154" t="e">
        <f>AND(Bills!#REF!,"AAAAAFGzPk4=")</f>
        <v>#REF!</v>
      </c>
      <c r="CB154" t="e">
        <f>AND(Bills!#REF!,"AAAAAFGzPk8=")</f>
        <v>#REF!</v>
      </c>
      <c r="CC154" t="e">
        <f>AND(Bills!#REF!,"AAAAAFGzPlA=")</f>
        <v>#REF!</v>
      </c>
      <c r="CD154" t="e">
        <f>AND(Bills!#REF!,"AAAAAFGzPlE=")</f>
        <v>#REF!</v>
      </c>
      <c r="CE154" t="e">
        <f>AND(Bills!AA611,"AAAAAFGzPlI=")</f>
        <v>#VALUE!</v>
      </c>
      <c r="CF154" t="e">
        <f>AND(Bills!AB611,"AAAAAFGzPlM=")</f>
        <v>#VALUE!</v>
      </c>
      <c r="CG154" t="e">
        <f>AND(Bills!#REF!,"AAAAAFGzPlQ=")</f>
        <v>#REF!</v>
      </c>
      <c r="CH154" t="e">
        <f>AND(Bills!#REF!,"AAAAAFGzPlU=")</f>
        <v>#REF!</v>
      </c>
      <c r="CI154" t="e">
        <f>AND(Bills!#REF!,"AAAAAFGzPlY=")</f>
        <v>#REF!</v>
      </c>
      <c r="CJ154" t="e">
        <f>AND(Bills!AC611,"AAAAAFGzPlc=")</f>
        <v>#VALUE!</v>
      </c>
      <c r="CK154" t="e">
        <f>AND(Bills!AD611,"AAAAAFGzPlg=")</f>
        <v>#VALUE!</v>
      </c>
      <c r="CL154" t="e">
        <f>AND(Bills!AE611,"AAAAAFGzPlk=")</f>
        <v>#VALUE!</v>
      </c>
      <c r="CM154">
        <f>IF(Bills!612:612,"AAAAAFGzPlo=",0)</f>
        <v>0</v>
      </c>
      <c r="CN154" t="e">
        <f>AND(Bills!B612,"AAAAAFGzPls=")</f>
        <v>#VALUE!</v>
      </c>
      <c r="CO154" t="e">
        <f>AND(Bills!#REF!,"AAAAAFGzPlw=")</f>
        <v>#REF!</v>
      </c>
      <c r="CP154" t="e">
        <f>AND(Bills!C612,"AAAAAFGzPl0=")</f>
        <v>#VALUE!</v>
      </c>
      <c r="CQ154" t="e">
        <f>AND(Bills!D612,"AAAAAFGzPl4=")</f>
        <v>#VALUE!</v>
      </c>
      <c r="CR154" t="e">
        <f>AND(Bills!E612,"AAAAAFGzPl8=")</f>
        <v>#VALUE!</v>
      </c>
      <c r="CS154" t="e">
        <f>AND(Bills!#REF!,"AAAAAFGzPmA=")</f>
        <v>#REF!</v>
      </c>
      <c r="CT154" t="e">
        <f>AND(Bills!#REF!,"AAAAAFGzPmE=")</f>
        <v>#REF!</v>
      </c>
      <c r="CU154" t="e">
        <f>AND(Bills!#REF!,"AAAAAFGzPmI=")</f>
        <v>#REF!</v>
      </c>
      <c r="CV154" t="e">
        <f>AND(Bills!F612,"AAAAAFGzPmM=")</f>
        <v>#VALUE!</v>
      </c>
      <c r="CW154" t="e">
        <f>AND(Bills!#REF!,"AAAAAFGzPmQ=")</f>
        <v>#REF!</v>
      </c>
      <c r="CX154" t="e">
        <f>AND(Bills!G612,"AAAAAFGzPmU=")</f>
        <v>#VALUE!</v>
      </c>
      <c r="CY154" t="e">
        <f>AND(Bills!H612,"AAAAAFGzPmY=")</f>
        <v>#VALUE!</v>
      </c>
      <c r="CZ154" t="e">
        <f>AND(Bills!I612,"AAAAAFGzPmc=")</f>
        <v>#VALUE!</v>
      </c>
      <c r="DA154" t="e">
        <f>AND(Bills!J612,"AAAAAFGzPmg=")</f>
        <v>#VALUE!</v>
      </c>
      <c r="DB154" t="e">
        <f>AND(Bills!K612,"AAAAAFGzPmk=")</f>
        <v>#VALUE!</v>
      </c>
      <c r="DC154" t="e">
        <f>AND(Bills!L612,"AAAAAFGzPmo=")</f>
        <v>#VALUE!</v>
      </c>
      <c r="DD154" t="e">
        <f>AND(Bills!#REF!,"AAAAAFGzPms=")</f>
        <v>#REF!</v>
      </c>
      <c r="DE154" t="e">
        <f>AND(Bills!M612,"AAAAAFGzPmw=")</f>
        <v>#VALUE!</v>
      </c>
      <c r="DF154" t="e">
        <f>AND(Bills!N612,"AAAAAFGzPm0=")</f>
        <v>#VALUE!</v>
      </c>
      <c r="DG154" t="e">
        <f>AND(Bills!O612,"AAAAAFGzPm4=")</f>
        <v>#VALUE!</v>
      </c>
      <c r="DH154" t="e">
        <f>AND(Bills!P612,"AAAAAFGzPm8=")</f>
        <v>#VALUE!</v>
      </c>
      <c r="DI154" t="e">
        <f>AND(Bills!Q612,"AAAAAFGzPnA=")</f>
        <v>#VALUE!</v>
      </c>
      <c r="DJ154" t="e">
        <f>AND(Bills!R612,"AAAAAFGzPnE=")</f>
        <v>#VALUE!</v>
      </c>
      <c r="DK154" t="e">
        <f>AND(Bills!S612,"AAAAAFGzPnI=")</f>
        <v>#VALUE!</v>
      </c>
      <c r="DL154" t="e">
        <f>AND(Bills!T612,"AAAAAFGzPnM=")</f>
        <v>#VALUE!</v>
      </c>
      <c r="DM154" t="e">
        <f>AND(Bills!#REF!,"AAAAAFGzPnQ=")</f>
        <v>#REF!</v>
      </c>
      <c r="DN154" t="e">
        <f>AND(Bills!U612,"AAAAAFGzPnU=")</f>
        <v>#VALUE!</v>
      </c>
      <c r="DO154" t="e">
        <f>AND(Bills!V612,"AAAAAFGzPnY=")</f>
        <v>#VALUE!</v>
      </c>
      <c r="DP154" t="e">
        <f>AND(Bills!W612,"AAAAAFGzPnc=")</f>
        <v>#VALUE!</v>
      </c>
      <c r="DQ154" t="e">
        <f>AND(Bills!#REF!,"AAAAAFGzPng=")</f>
        <v>#REF!</v>
      </c>
      <c r="DR154" t="e">
        <f>AND(Bills!#REF!,"AAAAAFGzPnk=")</f>
        <v>#REF!</v>
      </c>
      <c r="DS154" t="e">
        <f>AND(Bills!Y612,"AAAAAFGzPno=")</f>
        <v>#VALUE!</v>
      </c>
      <c r="DT154" t="e">
        <f>AND(Bills!Z612,"AAAAAFGzPns=")</f>
        <v>#VALUE!</v>
      </c>
      <c r="DU154" t="e">
        <f>AND(Bills!#REF!,"AAAAAFGzPnw=")</f>
        <v>#REF!</v>
      </c>
      <c r="DV154" t="e">
        <f>AND(Bills!#REF!,"AAAAAFGzPn0=")</f>
        <v>#REF!</v>
      </c>
      <c r="DW154" t="e">
        <f>AND(Bills!#REF!,"AAAAAFGzPn4=")</f>
        <v>#REF!</v>
      </c>
      <c r="DX154" t="e">
        <f>AND(Bills!#REF!,"AAAAAFGzPn8=")</f>
        <v>#REF!</v>
      </c>
      <c r="DY154" t="e">
        <f>AND(Bills!#REF!,"AAAAAFGzPoA=")</f>
        <v>#REF!</v>
      </c>
      <c r="DZ154" t="e">
        <f>AND(Bills!#REF!,"AAAAAFGzPoE=")</f>
        <v>#REF!</v>
      </c>
      <c r="EA154" t="e">
        <f>AND(Bills!#REF!,"AAAAAFGzPoI=")</f>
        <v>#REF!</v>
      </c>
      <c r="EB154" t="e">
        <f>AND(Bills!#REF!,"AAAAAFGzPoM=")</f>
        <v>#REF!</v>
      </c>
      <c r="EC154" t="e">
        <f>AND(Bills!#REF!,"AAAAAFGzPoQ=")</f>
        <v>#REF!</v>
      </c>
      <c r="ED154" t="e">
        <f>AND(Bills!AA612,"AAAAAFGzPoU=")</f>
        <v>#VALUE!</v>
      </c>
      <c r="EE154" t="e">
        <f>AND(Bills!AB612,"AAAAAFGzPoY=")</f>
        <v>#VALUE!</v>
      </c>
      <c r="EF154" t="e">
        <f>AND(Bills!#REF!,"AAAAAFGzPoc=")</f>
        <v>#REF!</v>
      </c>
      <c r="EG154" t="e">
        <f>AND(Bills!#REF!,"AAAAAFGzPog=")</f>
        <v>#REF!</v>
      </c>
      <c r="EH154" t="e">
        <f>AND(Bills!#REF!,"AAAAAFGzPok=")</f>
        <v>#REF!</v>
      </c>
      <c r="EI154" t="e">
        <f>AND(Bills!AC612,"AAAAAFGzPoo=")</f>
        <v>#VALUE!</v>
      </c>
      <c r="EJ154" t="e">
        <f>AND(Bills!AD612,"AAAAAFGzPos=")</f>
        <v>#VALUE!</v>
      </c>
      <c r="EK154" t="e">
        <f>AND(Bills!AE612,"AAAAAFGzPow=")</f>
        <v>#VALUE!</v>
      </c>
      <c r="EL154">
        <f>IF(Bills!613:613,"AAAAAFGzPo0=",0)</f>
        <v>0</v>
      </c>
      <c r="EM154" t="e">
        <f>AND(Bills!B613,"AAAAAFGzPo4=")</f>
        <v>#VALUE!</v>
      </c>
      <c r="EN154" t="e">
        <f>AND(Bills!#REF!,"AAAAAFGzPo8=")</f>
        <v>#REF!</v>
      </c>
      <c r="EO154" t="e">
        <f>AND(Bills!C613,"AAAAAFGzPpA=")</f>
        <v>#VALUE!</v>
      </c>
      <c r="EP154" t="e">
        <f>AND(Bills!D613,"AAAAAFGzPpE=")</f>
        <v>#VALUE!</v>
      </c>
      <c r="EQ154" t="e">
        <f>AND(Bills!E613,"AAAAAFGzPpI=")</f>
        <v>#VALUE!</v>
      </c>
      <c r="ER154" t="e">
        <f>AND(Bills!#REF!,"AAAAAFGzPpM=")</f>
        <v>#REF!</v>
      </c>
      <c r="ES154" t="e">
        <f>AND(Bills!#REF!,"AAAAAFGzPpQ=")</f>
        <v>#REF!</v>
      </c>
      <c r="ET154" t="e">
        <f>AND(Bills!#REF!,"AAAAAFGzPpU=")</f>
        <v>#REF!</v>
      </c>
      <c r="EU154" t="e">
        <f>AND(Bills!F613,"AAAAAFGzPpY=")</f>
        <v>#VALUE!</v>
      </c>
      <c r="EV154" t="e">
        <f>AND(Bills!#REF!,"AAAAAFGzPpc=")</f>
        <v>#REF!</v>
      </c>
      <c r="EW154" t="e">
        <f>AND(Bills!G613,"AAAAAFGzPpg=")</f>
        <v>#VALUE!</v>
      </c>
      <c r="EX154" t="e">
        <f>AND(Bills!H613,"AAAAAFGzPpk=")</f>
        <v>#VALUE!</v>
      </c>
      <c r="EY154" t="e">
        <f>AND(Bills!I613,"AAAAAFGzPpo=")</f>
        <v>#VALUE!</v>
      </c>
      <c r="EZ154" t="e">
        <f>AND(Bills!J613,"AAAAAFGzPps=")</f>
        <v>#VALUE!</v>
      </c>
      <c r="FA154" t="e">
        <f>AND(Bills!K613,"AAAAAFGzPpw=")</f>
        <v>#VALUE!</v>
      </c>
      <c r="FB154" t="e">
        <f>AND(Bills!L613,"AAAAAFGzPp0=")</f>
        <v>#VALUE!</v>
      </c>
      <c r="FC154" t="e">
        <f>AND(Bills!#REF!,"AAAAAFGzPp4=")</f>
        <v>#REF!</v>
      </c>
      <c r="FD154" t="e">
        <f>AND(Bills!M613,"AAAAAFGzPp8=")</f>
        <v>#VALUE!</v>
      </c>
      <c r="FE154" t="e">
        <f>AND(Bills!N613,"AAAAAFGzPqA=")</f>
        <v>#VALUE!</v>
      </c>
      <c r="FF154" t="e">
        <f>AND(Bills!O613,"AAAAAFGzPqE=")</f>
        <v>#VALUE!</v>
      </c>
      <c r="FG154" t="e">
        <f>AND(Bills!P613,"AAAAAFGzPqI=")</f>
        <v>#VALUE!</v>
      </c>
      <c r="FH154" t="e">
        <f>AND(Bills!Q613,"AAAAAFGzPqM=")</f>
        <v>#VALUE!</v>
      </c>
      <c r="FI154" t="e">
        <f>AND(Bills!R613,"AAAAAFGzPqQ=")</f>
        <v>#VALUE!</v>
      </c>
      <c r="FJ154" t="e">
        <f>AND(Bills!S613,"AAAAAFGzPqU=")</f>
        <v>#VALUE!</v>
      </c>
      <c r="FK154" t="e">
        <f>AND(Bills!T613,"AAAAAFGzPqY=")</f>
        <v>#VALUE!</v>
      </c>
      <c r="FL154" t="e">
        <f>AND(Bills!#REF!,"AAAAAFGzPqc=")</f>
        <v>#REF!</v>
      </c>
      <c r="FM154" t="e">
        <f>AND(Bills!U613,"AAAAAFGzPqg=")</f>
        <v>#VALUE!</v>
      </c>
      <c r="FN154" t="e">
        <f>AND(Bills!V613,"AAAAAFGzPqk=")</f>
        <v>#VALUE!</v>
      </c>
      <c r="FO154" t="e">
        <f>AND(Bills!W613,"AAAAAFGzPqo=")</f>
        <v>#VALUE!</v>
      </c>
      <c r="FP154" t="e">
        <f>AND(Bills!#REF!,"AAAAAFGzPqs=")</f>
        <v>#REF!</v>
      </c>
      <c r="FQ154" t="e">
        <f>AND(Bills!#REF!,"AAAAAFGzPqw=")</f>
        <v>#REF!</v>
      </c>
      <c r="FR154" t="e">
        <f>AND(Bills!Y613,"AAAAAFGzPq0=")</f>
        <v>#VALUE!</v>
      </c>
      <c r="FS154" t="e">
        <f>AND(Bills!Z613,"AAAAAFGzPq4=")</f>
        <v>#VALUE!</v>
      </c>
      <c r="FT154" t="e">
        <f>AND(Bills!#REF!,"AAAAAFGzPq8=")</f>
        <v>#REF!</v>
      </c>
      <c r="FU154" t="e">
        <f>AND(Bills!#REF!,"AAAAAFGzPrA=")</f>
        <v>#REF!</v>
      </c>
      <c r="FV154" t="e">
        <f>AND(Bills!#REF!,"AAAAAFGzPrE=")</f>
        <v>#REF!</v>
      </c>
      <c r="FW154" t="e">
        <f>AND(Bills!#REF!,"AAAAAFGzPrI=")</f>
        <v>#REF!</v>
      </c>
      <c r="FX154" t="e">
        <f>AND(Bills!#REF!,"AAAAAFGzPrM=")</f>
        <v>#REF!</v>
      </c>
      <c r="FY154" t="e">
        <f>AND(Bills!#REF!,"AAAAAFGzPrQ=")</f>
        <v>#REF!</v>
      </c>
      <c r="FZ154" t="e">
        <f>AND(Bills!#REF!,"AAAAAFGzPrU=")</f>
        <v>#REF!</v>
      </c>
      <c r="GA154" t="e">
        <f>AND(Bills!#REF!,"AAAAAFGzPrY=")</f>
        <v>#REF!</v>
      </c>
      <c r="GB154" t="e">
        <f>AND(Bills!#REF!,"AAAAAFGzPrc=")</f>
        <v>#REF!</v>
      </c>
      <c r="GC154" t="e">
        <f>AND(Bills!AA613,"AAAAAFGzPrg=")</f>
        <v>#VALUE!</v>
      </c>
      <c r="GD154" t="e">
        <f>AND(Bills!AB613,"AAAAAFGzPrk=")</f>
        <v>#VALUE!</v>
      </c>
      <c r="GE154" t="e">
        <f>AND(Bills!#REF!,"AAAAAFGzPro=")</f>
        <v>#REF!</v>
      </c>
      <c r="GF154" t="e">
        <f>AND(Bills!#REF!,"AAAAAFGzPrs=")</f>
        <v>#REF!</v>
      </c>
      <c r="GG154" t="e">
        <f>AND(Bills!#REF!,"AAAAAFGzPrw=")</f>
        <v>#REF!</v>
      </c>
      <c r="GH154" t="e">
        <f>AND(Bills!AC613,"AAAAAFGzPr0=")</f>
        <v>#VALUE!</v>
      </c>
      <c r="GI154" t="e">
        <f>AND(Bills!AD613,"AAAAAFGzPr4=")</f>
        <v>#VALUE!</v>
      </c>
      <c r="GJ154" t="e">
        <f>AND(Bills!AE613,"AAAAAFGzPr8=")</f>
        <v>#VALUE!</v>
      </c>
      <c r="GK154">
        <f>IF(Bills!614:614,"AAAAAFGzPsA=",0)</f>
        <v>0</v>
      </c>
      <c r="GL154" t="e">
        <f>AND(Bills!B614,"AAAAAFGzPsE=")</f>
        <v>#VALUE!</v>
      </c>
      <c r="GM154" t="e">
        <f>AND(Bills!#REF!,"AAAAAFGzPsI=")</f>
        <v>#REF!</v>
      </c>
      <c r="GN154" t="e">
        <f>AND(Bills!C614,"AAAAAFGzPsM=")</f>
        <v>#VALUE!</v>
      </c>
      <c r="GO154" t="e">
        <f>AND(Bills!D614,"AAAAAFGzPsQ=")</f>
        <v>#VALUE!</v>
      </c>
      <c r="GP154" t="e">
        <f>AND(Bills!E614,"AAAAAFGzPsU=")</f>
        <v>#VALUE!</v>
      </c>
      <c r="GQ154" t="e">
        <f>AND(Bills!#REF!,"AAAAAFGzPsY=")</f>
        <v>#REF!</v>
      </c>
      <c r="GR154" t="e">
        <f>AND(Bills!#REF!,"AAAAAFGzPsc=")</f>
        <v>#REF!</v>
      </c>
      <c r="GS154" t="e">
        <f>AND(Bills!#REF!,"AAAAAFGzPsg=")</f>
        <v>#REF!</v>
      </c>
      <c r="GT154" t="e">
        <f>AND(Bills!F614,"AAAAAFGzPsk=")</f>
        <v>#VALUE!</v>
      </c>
      <c r="GU154" t="e">
        <f>AND(Bills!#REF!,"AAAAAFGzPso=")</f>
        <v>#REF!</v>
      </c>
      <c r="GV154" t="e">
        <f>AND(Bills!G614,"AAAAAFGzPss=")</f>
        <v>#VALUE!</v>
      </c>
      <c r="GW154" t="e">
        <f>AND(Bills!H614,"AAAAAFGzPsw=")</f>
        <v>#VALUE!</v>
      </c>
      <c r="GX154" t="e">
        <f>AND(Bills!I614,"AAAAAFGzPs0=")</f>
        <v>#VALUE!</v>
      </c>
      <c r="GY154" t="e">
        <f>AND(Bills!J614,"AAAAAFGzPs4=")</f>
        <v>#VALUE!</v>
      </c>
      <c r="GZ154" t="e">
        <f>AND(Bills!K614,"AAAAAFGzPs8=")</f>
        <v>#VALUE!</v>
      </c>
      <c r="HA154" t="e">
        <f>AND(Bills!L614,"AAAAAFGzPtA=")</f>
        <v>#VALUE!</v>
      </c>
      <c r="HB154" t="e">
        <f>AND(Bills!#REF!,"AAAAAFGzPtE=")</f>
        <v>#REF!</v>
      </c>
      <c r="HC154" t="e">
        <f>AND(Bills!M614,"AAAAAFGzPtI=")</f>
        <v>#VALUE!</v>
      </c>
      <c r="HD154" t="e">
        <f>AND(Bills!N614,"AAAAAFGzPtM=")</f>
        <v>#VALUE!</v>
      </c>
      <c r="HE154" t="e">
        <f>AND(Bills!O614,"AAAAAFGzPtQ=")</f>
        <v>#VALUE!</v>
      </c>
      <c r="HF154" t="e">
        <f>AND(Bills!P614,"AAAAAFGzPtU=")</f>
        <v>#VALUE!</v>
      </c>
      <c r="HG154" t="e">
        <f>AND(Bills!Q614,"AAAAAFGzPtY=")</f>
        <v>#VALUE!</v>
      </c>
      <c r="HH154" t="e">
        <f>AND(Bills!R614,"AAAAAFGzPtc=")</f>
        <v>#VALUE!</v>
      </c>
      <c r="HI154" t="e">
        <f>AND(Bills!S614,"AAAAAFGzPtg=")</f>
        <v>#VALUE!</v>
      </c>
      <c r="HJ154" t="e">
        <f>AND(Bills!T614,"AAAAAFGzPtk=")</f>
        <v>#VALUE!</v>
      </c>
      <c r="HK154" t="e">
        <f>AND(Bills!#REF!,"AAAAAFGzPto=")</f>
        <v>#REF!</v>
      </c>
      <c r="HL154" t="e">
        <f>AND(Bills!U614,"AAAAAFGzPts=")</f>
        <v>#VALUE!</v>
      </c>
      <c r="HM154" t="e">
        <f>AND(Bills!V614,"AAAAAFGzPtw=")</f>
        <v>#VALUE!</v>
      </c>
      <c r="HN154" t="e">
        <f>AND(Bills!W614,"AAAAAFGzPt0=")</f>
        <v>#VALUE!</v>
      </c>
      <c r="HO154" t="e">
        <f>AND(Bills!#REF!,"AAAAAFGzPt4=")</f>
        <v>#REF!</v>
      </c>
      <c r="HP154" t="e">
        <f>AND(Bills!#REF!,"AAAAAFGzPt8=")</f>
        <v>#REF!</v>
      </c>
      <c r="HQ154" t="e">
        <f>AND(Bills!Y614,"AAAAAFGzPuA=")</f>
        <v>#VALUE!</v>
      </c>
      <c r="HR154" t="e">
        <f>AND(Bills!Z614,"AAAAAFGzPuE=")</f>
        <v>#VALUE!</v>
      </c>
      <c r="HS154" t="e">
        <f>AND(Bills!#REF!,"AAAAAFGzPuI=")</f>
        <v>#REF!</v>
      </c>
      <c r="HT154" t="e">
        <f>AND(Bills!#REF!,"AAAAAFGzPuM=")</f>
        <v>#REF!</v>
      </c>
      <c r="HU154" t="e">
        <f>AND(Bills!#REF!,"AAAAAFGzPuQ=")</f>
        <v>#REF!</v>
      </c>
      <c r="HV154" t="e">
        <f>AND(Bills!#REF!,"AAAAAFGzPuU=")</f>
        <v>#REF!</v>
      </c>
      <c r="HW154" t="e">
        <f>AND(Bills!#REF!,"AAAAAFGzPuY=")</f>
        <v>#REF!</v>
      </c>
      <c r="HX154" t="e">
        <f>AND(Bills!#REF!,"AAAAAFGzPuc=")</f>
        <v>#REF!</v>
      </c>
      <c r="HY154" t="e">
        <f>AND(Bills!#REF!,"AAAAAFGzPug=")</f>
        <v>#REF!</v>
      </c>
      <c r="HZ154" t="e">
        <f>AND(Bills!#REF!,"AAAAAFGzPuk=")</f>
        <v>#REF!</v>
      </c>
      <c r="IA154" t="e">
        <f>AND(Bills!#REF!,"AAAAAFGzPuo=")</f>
        <v>#REF!</v>
      </c>
      <c r="IB154" t="e">
        <f>AND(Bills!AA614,"AAAAAFGzPus=")</f>
        <v>#VALUE!</v>
      </c>
      <c r="IC154" t="e">
        <f>AND(Bills!AB614,"AAAAAFGzPuw=")</f>
        <v>#VALUE!</v>
      </c>
      <c r="ID154" t="e">
        <f>AND(Bills!#REF!,"AAAAAFGzPu0=")</f>
        <v>#REF!</v>
      </c>
      <c r="IE154" t="e">
        <f>AND(Bills!#REF!,"AAAAAFGzPu4=")</f>
        <v>#REF!</v>
      </c>
      <c r="IF154" t="e">
        <f>AND(Bills!#REF!,"AAAAAFGzPu8=")</f>
        <v>#REF!</v>
      </c>
      <c r="IG154" t="e">
        <f>AND(Bills!AC614,"AAAAAFGzPvA=")</f>
        <v>#VALUE!</v>
      </c>
      <c r="IH154" t="e">
        <f>AND(Bills!AD614,"AAAAAFGzPvE=")</f>
        <v>#VALUE!</v>
      </c>
      <c r="II154" t="e">
        <f>AND(Bills!AE614,"AAAAAFGzPvI=")</f>
        <v>#VALUE!</v>
      </c>
      <c r="IJ154">
        <f>IF(Bills!615:615,"AAAAAFGzPvM=",0)</f>
        <v>0</v>
      </c>
      <c r="IK154" t="e">
        <f>AND(Bills!B615,"AAAAAFGzPvQ=")</f>
        <v>#VALUE!</v>
      </c>
      <c r="IL154" t="e">
        <f>AND(Bills!#REF!,"AAAAAFGzPvU=")</f>
        <v>#REF!</v>
      </c>
      <c r="IM154" t="e">
        <f>AND(Bills!C615,"AAAAAFGzPvY=")</f>
        <v>#VALUE!</v>
      </c>
      <c r="IN154" t="e">
        <f>AND(Bills!D615,"AAAAAFGzPvc=")</f>
        <v>#VALUE!</v>
      </c>
      <c r="IO154" t="e">
        <f>AND(Bills!E615,"AAAAAFGzPvg=")</f>
        <v>#VALUE!</v>
      </c>
      <c r="IP154" t="e">
        <f>AND(Bills!#REF!,"AAAAAFGzPvk=")</f>
        <v>#REF!</v>
      </c>
      <c r="IQ154" t="e">
        <f>AND(Bills!#REF!,"AAAAAFGzPvo=")</f>
        <v>#REF!</v>
      </c>
      <c r="IR154" t="e">
        <f>AND(Bills!#REF!,"AAAAAFGzPvs=")</f>
        <v>#REF!</v>
      </c>
      <c r="IS154" t="e">
        <f>AND(Bills!F615,"AAAAAFGzPvw=")</f>
        <v>#VALUE!</v>
      </c>
      <c r="IT154" t="e">
        <f>AND(Bills!#REF!,"AAAAAFGzPv0=")</f>
        <v>#REF!</v>
      </c>
      <c r="IU154" t="e">
        <f>AND(Bills!G615,"AAAAAFGzPv4=")</f>
        <v>#VALUE!</v>
      </c>
      <c r="IV154" t="e">
        <f>AND(Bills!H615,"AAAAAFGzPv8=")</f>
        <v>#VALUE!</v>
      </c>
    </row>
    <row r="155" spans="1:256" x14ac:dyDescent="0.25">
      <c r="A155" t="e">
        <f>AND(Bills!I615,"AAAAAH/Z5wA=")</f>
        <v>#VALUE!</v>
      </c>
      <c r="B155" t="e">
        <f>AND(Bills!J615,"AAAAAH/Z5wE=")</f>
        <v>#VALUE!</v>
      </c>
      <c r="C155" t="e">
        <f>AND(Bills!K615,"AAAAAH/Z5wI=")</f>
        <v>#VALUE!</v>
      </c>
      <c r="D155" t="e">
        <f>AND(Bills!L615,"AAAAAH/Z5wM=")</f>
        <v>#VALUE!</v>
      </c>
      <c r="E155" t="e">
        <f>AND(Bills!#REF!,"AAAAAH/Z5wQ=")</f>
        <v>#REF!</v>
      </c>
      <c r="F155" t="e">
        <f>AND(Bills!M615,"AAAAAH/Z5wU=")</f>
        <v>#VALUE!</v>
      </c>
      <c r="G155" t="e">
        <f>AND(Bills!N615,"AAAAAH/Z5wY=")</f>
        <v>#VALUE!</v>
      </c>
      <c r="H155" t="e">
        <f>AND(Bills!O615,"AAAAAH/Z5wc=")</f>
        <v>#VALUE!</v>
      </c>
      <c r="I155" t="e">
        <f>AND(Bills!P615,"AAAAAH/Z5wg=")</f>
        <v>#VALUE!</v>
      </c>
      <c r="J155" t="e">
        <f>AND(Bills!Q615,"AAAAAH/Z5wk=")</f>
        <v>#VALUE!</v>
      </c>
      <c r="K155" t="e">
        <f>AND(Bills!R615,"AAAAAH/Z5wo=")</f>
        <v>#VALUE!</v>
      </c>
      <c r="L155" t="e">
        <f>AND(Bills!S615,"AAAAAH/Z5ws=")</f>
        <v>#VALUE!</v>
      </c>
      <c r="M155" t="e">
        <f>AND(Bills!T615,"AAAAAH/Z5ww=")</f>
        <v>#VALUE!</v>
      </c>
      <c r="N155" t="e">
        <f>AND(Bills!#REF!,"AAAAAH/Z5w0=")</f>
        <v>#REF!</v>
      </c>
      <c r="O155" t="e">
        <f>AND(Bills!U615,"AAAAAH/Z5w4=")</f>
        <v>#VALUE!</v>
      </c>
      <c r="P155" t="e">
        <f>AND(Bills!V615,"AAAAAH/Z5w8=")</f>
        <v>#VALUE!</v>
      </c>
      <c r="Q155" t="e">
        <f>AND(Bills!W615,"AAAAAH/Z5xA=")</f>
        <v>#VALUE!</v>
      </c>
      <c r="R155" t="e">
        <f>AND(Bills!#REF!,"AAAAAH/Z5xE=")</f>
        <v>#REF!</v>
      </c>
      <c r="S155" t="e">
        <f>AND(Bills!#REF!,"AAAAAH/Z5xI=")</f>
        <v>#REF!</v>
      </c>
      <c r="T155" t="e">
        <f>AND(Bills!Y615,"AAAAAH/Z5xM=")</f>
        <v>#VALUE!</v>
      </c>
      <c r="U155" t="e">
        <f>AND(Bills!Z615,"AAAAAH/Z5xQ=")</f>
        <v>#VALUE!</v>
      </c>
      <c r="V155" t="e">
        <f>AND(Bills!#REF!,"AAAAAH/Z5xU=")</f>
        <v>#REF!</v>
      </c>
      <c r="W155" t="e">
        <f>AND(Bills!#REF!,"AAAAAH/Z5xY=")</f>
        <v>#REF!</v>
      </c>
      <c r="X155" t="e">
        <f>AND(Bills!#REF!,"AAAAAH/Z5xc=")</f>
        <v>#REF!</v>
      </c>
      <c r="Y155" t="e">
        <f>AND(Bills!#REF!,"AAAAAH/Z5xg=")</f>
        <v>#REF!</v>
      </c>
      <c r="Z155" t="e">
        <f>AND(Bills!#REF!,"AAAAAH/Z5xk=")</f>
        <v>#REF!</v>
      </c>
      <c r="AA155" t="e">
        <f>AND(Bills!#REF!,"AAAAAH/Z5xo=")</f>
        <v>#REF!</v>
      </c>
      <c r="AB155" t="e">
        <f>AND(Bills!#REF!,"AAAAAH/Z5xs=")</f>
        <v>#REF!</v>
      </c>
      <c r="AC155" t="e">
        <f>AND(Bills!#REF!,"AAAAAH/Z5xw=")</f>
        <v>#REF!</v>
      </c>
      <c r="AD155" t="e">
        <f>AND(Bills!#REF!,"AAAAAH/Z5x0=")</f>
        <v>#REF!</v>
      </c>
      <c r="AE155" t="e">
        <f>AND(Bills!AA615,"AAAAAH/Z5x4=")</f>
        <v>#VALUE!</v>
      </c>
      <c r="AF155" t="e">
        <f>AND(Bills!AB615,"AAAAAH/Z5x8=")</f>
        <v>#VALUE!</v>
      </c>
      <c r="AG155" t="e">
        <f>AND(Bills!#REF!,"AAAAAH/Z5yA=")</f>
        <v>#REF!</v>
      </c>
      <c r="AH155" t="e">
        <f>AND(Bills!#REF!,"AAAAAH/Z5yE=")</f>
        <v>#REF!</v>
      </c>
      <c r="AI155" t="e">
        <f>AND(Bills!#REF!,"AAAAAH/Z5yI=")</f>
        <v>#REF!</v>
      </c>
      <c r="AJ155" t="e">
        <f>AND(Bills!AC615,"AAAAAH/Z5yM=")</f>
        <v>#VALUE!</v>
      </c>
      <c r="AK155" t="e">
        <f>AND(Bills!AD615,"AAAAAH/Z5yQ=")</f>
        <v>#VALUE!</v>
      </c>
      <c r="AL155" t="e">
        <f>AND(Bills!AE615,"AAAAAH/Z5yU=")</f>
        <v>#VALUE!</v>
      </c>
      <c r="AM155">
        <f>IF(Bills!616:616,"AAAAAH/Z5yY=",0)</f>
        <v>0</v>
      </c>
      <c r="AN155" t="e">
        <f>AND(Bills!B616,"AAAAAH/Z5yc=")</f>
        <v>#VALUE!</v>
      </c>
      <c r="AO155" t="e">
        <f>AND(Bills!#REF!,"AAAAAH/Z5yg=")</f>
        <v>#REF!</v>
      </c>
      <c r="AP155" t="e">
        <f>AND(Bills!C616,"AAAAAH/Z5yk=")</f>
        <v>#VALUE!</v>
      </c>
      <c r="AQ155" t="e">
        <f>AND(Bills!D616,"AAAAAH/Z5yo=")</f>
        <v>#VALUE!</v>
      </c>
      <c r="AR155" t="e">
        <f>AND(Bills!E616,"AAAAAH/Z5ys=")</f>
        <v>#VALUE!</v>
      </c>
      <c r="AS155" t="e">
        <f>AND(Bills!#REF!,"AAAAAH/Z5yw=")</f>
        <v>#REF!</v>
      </c>
      <c r="AT155" t="e">
        <f>AND(Bills!#REF!,"AAAAAH/Z5y0=")</f>
        <v>#REF!</v>
      </c>
      <c r="AU155" t="e">
        <f>AND(Bills!#REF!,"AAAAAH/Z5y4=")</f>
        <v>#REF!</v>
      </c>
      <c r="AV155" t="e">
        <f>AND(Bills!F616,"AAAAAH/Z5y8=")</f>
        <v>#VALUE!</v>
      </c>
      <c r="AW155" t="e">
        <f>AND(Bills!#REF!,"AAAAAH/Z5zA=")</f>
        <v>#REF!</v>
      </c>
      <c r="AX155" t="e">
        <f>AND(Bills!G616,"AAAAAH/Z5zE=")</f>
        <v>#VALUE!</v>
      </c>
      <c r="AY155" t="e">
        <f>AND(Bills!H616,"AAAAAH/Z5zI=")</f>
        <v>#VALUE!</v>
      </c>
      <c r="AZ155" t="e">
        <f>AND(Bills!I616,"AAAAAH/Z5zM=")</f>
        <v>#VALUE!</v>
      </c>
      <c r="BA155" t="e">
        <f>AND(Bills!J616,"AAAAAH/Z5zQ=")</f>
        <v>#VALUE!</v>
      </c>
      <c r="BB155" t="e">
        <f>AND(Bills!K616,"AAAAAH/Z5zU=")</f>
        <v>#VALUE!</v>
      </c>
      <c r="BC155" t="e">
        <f>AND(Bills!L616,"AAAAAH/Z5zY=")</f>
        <v>#VALUE!</v>
      </c>
      <c r="BD155" t="e">
        <f>AND(Bills!#REF!,"AAAAAH/Z5zc=")</f>
        <v>#REF!</v>
      </c>
      <c r="BE155" t="e">
        <f>AND(Bills!M616,"AAAAAH/Z5zg=")</f>
        <v>#VALUE!</v>
      </c>
      <c r="BF155" t="e">
        <f>AND(Bills!N616,"AAAAAH/Z5zk=")</f>
        <v>#VALUE!</v>
      </c>
      <c r="BG155" t="e">
        <f>AND(Bills!O616,"AAAAAH/Z5zo=")</f>
        <v>#VALUE!</v>
      </c>
      <c r="BH155" t="e">
        <f>AND(Bills!P616,"AAAAAH/Z5zs=")</f>
        <v>#VALUE!</v>
      </c>
      <c r="BI155" t="e">
        <f>AND(Bills!Q616,"AAAAAH/Z5zw=")</f>
        <v>#VALUE!</v>
      </c>
      <c r="BJ155" t="e">
        <f>AND(Bills!R616,"AAAAAH/Z5z0=")</f>
        <v>#VALUE!</v>
      </c>
      <c r="BK155" t="e">
        <f>AND(Bills!S616,"AAAAAH/Z5z4=")</f>
        <v>#VALUE!</v>
      </c>
      <c r="BL155" t="e">
        <f>AND(Bills!T616,"AAAAAH/Z5z8=")</f>
        <v>#VALUE!</v>
      </c>
      <c r="BM155" t="e">
        <f>AND(Bills!#REF!,"AAAAAH/Z50A=")</f>
        <v>#REF!</v>
      </c>
      <c r="BN155" t="e">
        <f>AND(Bills!U616,"AAAAAH/Z50E=")</f>
        <v>#VALUE!</v>
      </c>
      <c r="BO155" t="e">
        <f>AND(Bills!V616,"AAAAAH/Z50I=")</f>
        <v>#VALUE!</v>
      </c>
      <c r="BP155" t="e">
        <f>AND(Bills!W616,"AAAAAH/Z50M=")</f>
        <v>#VALUE!</v>
      </c>
      <c r="BQ155" t="e">
        <f>AND(Bills!#REF!,"AAAAAH/Z50Q=")</f>
        <v>#REF!</v>
      </c>
      <c r="BR155" t="e">
        <f>AND(Bills!#REF!,"AAAAAH/Z50U=")</f>
        <v>#REF!</v>
      </c>
      <c r="BS155" t="e">
        <f>AND(Bills!Y616,"AAAAAH/Z50Y=")</f>
        <v>#VALUE!</v>
      </c>
      <c r="BT155" t="e">
        <f>AND(Bills!Z616,"AAAAAH/Z50c=")</f>
        <v>#VALUE!</v>
      </c>
      <c r="BU155" t="e">
        <f>AND(Bills!#REF!,"AAAAAH/Z50g=")</f>
        <v>#REF!</v>
      </c>
      <c r="BV155" t="e">
        <f>AND(Bills!#REF!,"AAAAAH/Z50k=")</f>
        <v>#REF!</v>
      </c>
      <c r="BW155" t="e">
        <f>AND(Bills!#REF!,"AAAAAH/Z50o=")</f>
        <v>#REF!</v>
      </c>
      <c r="BX155" t="e">
        <f>AND(Bills!#REF!,"AAAAAH/Z50s=")</f>
        <v>#REF!</v>
      </c>
      <c r="BY155" t="e">
        <f>AND(Bills!#REF!,"AAAAAH/Z50w=")</f>
        <v>#REF!</v>
      </c>
      <c r="BZ155" t="e">
        <f>AND(Bills!#REF!,"AAAAAH/Z500=")</f>
        <v>#REF!</v>
      </c>
      <c r="CA155" t="e">
        <f>AND(Bills!#REF!,"AAAAAH/Z504=")</f>
        <v>#REF!</v>
      </c>
      <c r="CB155" t="e">
        <f>AND(Bills!#REF!,"AAAAAH/Z508=")</f>
        <v>#REF!</v>
      </c>
      <c r="CC155" t="e">
        <f>AND(Bills!#REF!,"AAAAAH/Z51A=")</f>
        <v>#REF!</v>
      </c>
      <c r="CD155" t="e">
        <f>AND(Bills!AA616,"AAAAAH/Z51E=")</f>
        <v>#VALUE!</v>
      </c>
      <c r="CE155" t="e">
        <f>AND(Bills!AB616,"AAAAAH/Z51I=")</f>
        <v>#VALUE!</v>
      </c>
      <c r="CF155" t="e">
        <f>AND(Bills!#REF!,"AAAAAH/Z51M=")</f>
        <v>#REF!</v>
      </c>
      <c r="CG155" t="e">
        <f>AND(Bills!#REF!,"AAAAAH/Z51Q=")</f>
        <v>#REF!</v>
      </c>
      <c r="CH155" t="e">
        <f>AND(Bills!#REF!,"AAAAAH/Z51U=")</f>
        <v>#REF!</v>
      </c>
      <c r="CI155" t="e">
        <f>AND(Bills!AC616,"AAAAAH/Z51Y=")</f>
        <v>#VALUE!</v>
      </c>
      <c r="CJ155" t="e">
        <f>AND(Bills!AD616,"AAAAAH/Z51c=")</f>
        <v>#VALUE!</v>
      </c>
      <c r="CK155" t="e">
        <f>AND(Bills!AE616,"AAAAAH/Z51g=")</f>
        <v>#VALUE!</v>
      </c>
      <c r="CL155">
        <f>IF(Bills!617:617,"AAAAAH/Z51k=",0)</f>
        <v>0</v>
      </c>
      <c r="CM155" t="e">
        <f>AND(Bills!B617,"AAAAAH/Z51o=")</f>
        <v>#VALUE!</v>
      </c>
      <c r="CN155" t="e">
        <f>AND(Bills!#REF!,"AAAAAH/Z51s=")</f>
        <v>#REF!</v>
      </c>
      <c r="CO155" t="e">
        <f>AND(Bills!C617,"AAAAAH/Z51w=")</f>
        <v>#VALUE!</v>
      </c>
      <c r="CP155" t="e">
        <f>AND(Bills!D617,"AAAAAH/Z510=")</f>
        <v>#VALUE!</v>
      </c>
      <c r="CQ155" t="e">
        <f>AND(Bills!E617,"AAAAAH/Z514=")</f>
        <v>#VALUE!</v>
      </c>
      <c r="CR155" t="e">
        <f>AND(Bills!#REF!,"AAAAAH/Z518=")</f>
        <v>#REF!</v>
      </c>
      <c r="CS155" t="e">
        <f>AND(Bills!#REF!,"AAAAAH/Z52A=")</f>
        <v>#REF!</v>
      </c>
      <c r="CT155" t="e">
        <f>AND(Bills!#REF!,"AAAAAH/Z52E=")</f>
        <v>#REF!</v>
      </c>
      <c r="CU155" t="e">
        <f>AND(Bills!F617,"AAAAAH/Z52I=")</f>
        <v>#VALUE!</v>
      </c>
      <c r="CV155" t="e">
        <f>AND(Bills!#REF!,"AAAAAH/Z52M=")</f>
        <v>#REF!</v>
      </c>
      <c r="CW155" t="e">
        <f>AND(Bills!G617,"AAAAAH/Z52Q=")</f>
        <v>#VALUE!</v>
      </c>
      <c r="CX155" t="e">
        <f>AND(Bills!H617,"AAAAAH/Z52U=")</f>
        <v>#VALUE!</v>
      </c>
      <c r="CY155" t="e">
        <f>AND(Bills!I617,"AAAAAH/Z52Y=")</f>
        <v>#VALUE!</v>
      </c>
      <c r="CZ155" t="e">
        <f>AND(Bills!J617,"AAAAAH/Z52c=")</f>
        <v>#VALUE!</v>
      </c>
      <c r="DA155" t="e">
        <f>AND(Bills!K617,"AAAAAH/Z52g=")</f>
        <v>#VALUE!</v>
      </c>
      <c r="DB155" t="e">
        <f>AND(Bills!L617,"AAAAAH/Z52k=")</f>
        <v>#VALUE!</v>
      </c>
      <c r="DC155" t="e">
        <f>AND(Bills!#REF!,"AAAAAH/Z52o=")</f>
        <v>#REF!</v>
      </c>
      <c r="DD155" t="e">
        <f>AND(Bills!M617,"AAAAAH/Z52s=")</f>
        <v>#VALUE!</v>
      </c>
      <c r="DE155" t="e">
        <f>AND(Bills!N617,"AAAAAH/Z52w=")</f>
        <v>#VALUE!</v>
      </c>
      <c r="DF155" t="e">
        <f>AND(Bills!O617,"AAAAAH/Z520=")</f>
        <v>#VALUE!</v>
      </c>
      <c r="DG155" t="e">
        <f>AND(Bills!P617,"AAAAAH/Z524=")</f>
        <v>#VALUE!</v>
      </c>
      <c r="DH155" t="e">
        <f>AND(Bills!Q617,"AAAAAH/Z528=")</f>
        <v>#VALUE!</v>
      </c>
      <c r="DI155" t="e">
        <f>AND(Bills!R617,"AAAAAH/Z53A=")</f>
        <v>#VALUE!</v>
      </c>
      <c r="DJ155" t="e">
        <f>AND(Bills!S617,"AAAAAH/Z53E=")</f>
        <v>#VALUE!</v>
      </c>
      <c r="DK155" t="e">
        <f>AND(Bills!T617,"AAAAAH/Z53I=")</f>
        <v>#VALUE!</v>
      </c>
      <c r="DL155" t="e">
        <f>AND(Bills!#REF!,"AAAAAH/Z53M=")</f>
        <v>#REF!</v>
      </c>
      <c r="DM155" t="e">
        <f>AND(Bills!U617,"AAAAAH/Z53Q=")</f>
        <v>#VALUE!</v>
      </c>
      <c r="DN155" t="e">
        <f>AND(Bills!V617,"AAAAAH/Z53U=")</f>
        <v>#VALUE!</v>
      </c>
      <c r="DO155" t="e">
        <f>AND(Bills!W617,"AAAAAH/Z53Y=")</f>
        <v>#VALUE!</v>
      </c>
      <c r="DP155" t="e">
        <f>AND(Bills!#REF!,"AAAAAH/Z53c=")</f>
        <v>#REF!</v>
      </c>
      <c r="DQ155" t="e">
        <f>AND(Bills!#REF!,"AAAAAH/Z53g=")</f>
        <v>#REF!</v>
      </c>
      <c r="DR155" t="e">
        <f>AND(Bills!Y617,"AAAAAH/Z53k=")</f>
        <v>#VALUE!</v>
      </c>
      <c r="DS155" t="e">
        <f>AND(Bills!Z617,"AAAAAH/Z53o=")</f>
        <v>#VALUE!</v>
      </c>
      <c r="DT155" t="e">
        <f>AND(Bills!#REF!,"AAAAAH/Z53s=")</f>
        <v>#REF!</v>
      </c>
      <c r="DU155" t="e">
        <f>AND(Bills!#REF!,"AAAAAH/Z53w=")</f>
        <v>#REF!</v>
      </c>
      <c r="DV155" t="e">
        <f>AND(Bills!#REF!,"AAAAAH/Z530=")</f>
        <v>#REF!</v>
      </c>
      <c r="DW155" t="e">
        <f>AND(Bills!#REF!,"AAAAAH/Z534=")</f>
        <v>#REF!</v>
      </c>
      <c r="DX155" t="e">
        <f>AND(Bills!#REF!,"AAAAAH/Z538=")</f>
        <v>#REF!</v>
      </c>
      <c r="DY155" t="e">
        <f>AND(Bills!#REF!,"AAAAAH/Z54A=")</f>
        <v>#REF!</v>
      </c>
      <c r="DZ155" t="e">
        <f>AND(Bills!#REF!,"AAAAAH/Z54E=")</f>
        <v>#REF!</v>
      </c>
      <c r="EA155" t="e">
        <f>AND(Bills!#REF!,"AAAAAH/Z54I=")</f>
        <v>#REF!</v>
      </c>
      <c r="EB155" t="e">
        <f>AND(Bills!#REF!,"AAAAAH/Z54M=")</f>
        <v>#REF!</v>
      </c>
      <c r="EC155" t="e">
        <f>AND(Bills!AA617,"AAAAAH/Z54Q=")</f>
        <v>#VALUE!</v>
      </c>
      <c r="ED155" t="e">
        <f>AND(Bills!AB617,"AAAAAH/Z54U=")</f>
        <v>#VALUE!</v>
      </c>
      <c r="EE155" t="e">
        <f>AND(Bills!#REF!,"AAAAAH/Z54Y=")</f>
        <v>#REF!</v>
      </c>
      <c r="EF155" t="e">
        <f>AND(Bills!#REF!,"AAAAAH/Z54c=")</f>
        <v>#REF!</v>
      </c>
      <c r="EG155" t="e">
        <f>AND(Bills!#REF!,"AAAAAH/Z54g=")</f>
        <v>#REF!</v>
      </c>
      <c r="EH155" t="e">
        <f>AND(Bills!AC617,"AAAAAH/Z54k=")</f>
        <v>#VALUE!</v>
      </c>
      <c r="EI155" t="e">
        <f>AND(Bills!AD617,"AAAAAH/Z54o=")</f>
        <v>#VALUE!</v>
      </c>
      <c r="EJ155" t="e">
        <f>AND(Bills!AE617,"AAAAAH/Z54s=")</f>
        <v>#VALUE!</v>
      </c>
      <c r="EK155">
        <f>IF(Bills!618:618,"AAAAAH/Z54w=",0)</f>
        <v>0</v>
      </c>
      <c r="EL155" t="e">
        <f>AND(Bills!B618,"AAAAAH/Z540=")</f>
        <v>#VALUE!</v>
      </c>
      <c r="EM155" t="e">
        <f>AND(Bills!#REF!,"AAAAAH/Z544=")</f>
        <v>#REF!</v>
      </c>
      <c r="EN155" t="e">
        <f>AND(Bills!C618,"AAAAAH/Z548=")</f>
        <v>#VALUE!</v>
      </c>
      <c r="EO155" t="e">
        <f>AND(Bills!D618,"AAAAAH/Z55A=")</f>
        <v>#VALUE!</v>
      </c>
      <c r="EP155" t="e">
        <f>AND(Bills!E618,"AAAAAH/Z55E=")</f>
        <v>#VALUE!</v>
      </c>
      <c r="EQ155" t="e">
        <f>AND(Bills!#REF!,"AAAAAH/Z55I=")</f>
        <v>#REF!</v>
      </c>
      <c r="ER155" t="e">
        <f>AND(Bills!#REF!,"AAAAAH/Z55M=")</f>
        <v>#REF!</v>
      </c>
      <c r="ES155" t="e">
        <f>AND(Bills!#REF!,"AAAAAH/Z55Q=")</f>
        <v>#REF!</v>
      </c>
      <c r="ET155" t="e">
        <f>AND(Bills!F618,"AAAAAH/Z55U=")</f>
        <v>#VALUE!</v>
      </c>
      <c r="EU155" t="e">
        <f>AND(Bills!#REF!,"AAAAAH/Z55Y=")</f>
        <v>#REF!</v>
      </c>
      <c r="EV155" t="e">
        <f>AND(Bills!G618,"AAAAAH/Z55c=")</f>
        <v>#VALUE!</v>
      </c>
      <c r="EW155" t="e">
        <f>AND(Bills!H618,"AAAAAH/Z55g=")</f>
        <v>#VALUE!</v>
      </c>
      <c r="EX155" t="e">
        <f>AND(Bills!I618,"AAAAAH/Z55k=")</f>
        <v>#VALUE!</v>
      </c>
      <c r="EY155" t="e">
        <f>AND(Bills!J618,"AAAAAH/Z55o=")</f>
        <v>#VALUE!</v>
      </c>
      <c r="EZ155" t="e">
        <f>AND(Bills!K618,"AAAAAH/Z55s=")</f>
        <v>#VALUE!</v>
      </c>
      <c r="FA155" t="e">
        <f>AND(Bills!L618,"AAAAAH/Z55w=")</f>
        <v>#VALUE!</v>
      </c>
      <c r="FB155" t="e">
        <f>AND(Bills!#REF!,"AAAAAH/Z550=")</f>
        <v>#REF!</v>
      </c>
      <c r="FC155" t="e">
        <f>AND(Bills!M618,"AAAAAH/Z554=")</f>
        <v>#VALUE!</v>
      </c>
      <c r="FD155" t="e">
        <f>AND(Bills!N618,"AAAAAH/Z558=")</f>
        <v>#VALUE!</v>
      </c>
      <c r="FE155" t="e">
        <f>AND(Bills!O618,"AAAAAH/Z56A=")</f>
        <v>#VALUE!</v>
      </c>
      <c r="FF155" t="e">
        <f>AND(Bills!P618,"AAAAAH/Z56E=")</f>
        <v>#VALUE!</v>
      </c>
      <c r="FG155" t="e">
        <f>AND(Bills!Q618,"AAAAAH/Z56I=")</f>
        <v>#VALUE!</v>
      </c>
      <c r="FH155" t="e">
        <f>AND(Bills!R618,"AAAAAH/Z56M=")</f>
        <v>#VALUE!</v>
      </c>
      <c r="FI155" t="e">
        <f>AND(Bills!S618,"AAAAAH/Z56Q=")</f>
        <v>#VALUE!</v>
      </c>
      <c r="FJ155" t="e">
        <f>AND(Bills!T618,"AAAAAH/Z56U=")</f>
        <v>#VALUE!</v>
      </c>
      <c r="FK155" t="e">
        <f>AND(Bills!#REF!,"AAAAAH/Z56Y=")</f>
        <v>#REF!</v>
      </c>
      <c r="FL155" t="e">
        <f>AND(Bills!U618,"AAAAAH/Z56c=")</f>
        <v>#VALUE!</v>
      </c>
      <c r="FM155" t="e">
        <f>AND(Bills!V618,"AAAAAH/Z56g=")</f>
        <v>#VALUE!</v>
      </c>
      <c r="FN155" t="e">
        <f>AND(Bills!W618,"AAAAAH/Z56k=")</f>
        <v>#VALUE!</v>
      </c>
      <c r="FO155" t="e">
        <f>AND(Bills!#REF!,"AAAAAH/Z56o=")</f>
        <v>#REF!</v>
      </c>
      <c r="FP155" t="e">
        <f>AND(Bills!#REF!,"AAAAAH/Z56s=")</f>
        <v>#REF!</v>
      </c>
      <c r="FQ155" t="e">
        <f>AND(Bills!Y618,"AAAAAH/Z56w=")</f>
        <v>#VALUE!</v>
      </c>
      <c r="FR155" t="e">
        <f>AND(Bills!Z618,"AAAAAH/Z560=")</f>
        <v>#VALUE!</v>
      </c>
      <c r="FS155" t="e">
        <f>AND(Bills!#REF!,"AAAAAH/Z564=")</f>
        <v>#REF!</v>
      </c>
      <c r="FT155" t="e">
        <f>AND(Bills!#REF!,"AAAAAH/Z568=")</f>
        <v>#REF!</v>
      </c>
      <c r="FU155" t="e">
        <f>AND(Bills!#REF!,"AAAAAH/Z57A=")</f>
        <v>#REF!</v>
      </c>
      <c r="FV155" t="e">
        <f>AND(Bills!#REF!,"AAAAAH/Z57E=")</f>
        <v>#REF!</v>
      </c>
      <c r="FW155" t="e">
        <f>AND(Bills!#REF!,"AAAAAH/Z57I=")</f>
        <v>#REF!</v>
      </c>
      <c r="FX155" t="e">
        <f>AND(Bills!#REF!,"AAAAAH/Z57M=")</f>
        <v>#REF!</v>
      </c>
      <c r="FY155" t="e">
        <f>AND(Bills!#REF!,"AAAAAH/Z57Q=")</f>
        <v>#REF!</v>
      </c>
      <c r="FZ155" t="e">
        <f>AND(Bills!#REF!,"AAAAAH/Z57U=")</f>
        <v>#REF!</v>
      </c>
      <c r="GA155" t="e">
        <f>AND(Bills!#REF!,"AAAAAH/Z57Y=")</f>
        <v>#REF!</v>
      </c>
      <c r="GB155" t="e">
        <f>AND(Bills!AA618,"AAAAAH/Z57c=")</f>
        <v>#VALUE!</v>
      </c>
      <c r="GC155" t="e">
        <f>AND(Bills!AB618,"AAAAAH/Z57g=")</f>
        <v>#VALUE!</v>
      </c>
      <c r="GD155" t="e">
        <f>AND(Bills!#REF!,"AAAAAH/Z57k=")</f>
        <v>#REF!</v>
      </c>
      <c r="GE155" t="e">
        <f>AND(Bills!#REF!,"AAAAAH/Z57o=")</f>
        <v>#REF!</v>
      </c>
      <c r="GF155" t="e">
        <f>AND(Bills!#REF!,"AAAAAH/Z57s=")</f>
        <v>#REF!</v>
      </c>
      <c r="GG155" t="e">
        <f>AND(Bills!AC618,"AAAAAH/Z57w=")</f>
        <v>#VALUE!</v>
      </c>
      <c r="GH155" t="e">
        <f>AND(Bills!AD618,"AAAAAH/Z570=")</f>
        <v>#VALUE!</v>
      </c>
      <c r="GI155" t="e">
        <f>AND(Bills!AE618,"AAAAAH/Z574=")</f>
        <v>#VALUE!</v>
      </c>
      <c r="GJ155">
        <f>IF(Bills!619:619,"AAAAAH/Z578=",0)</f>
        <v>0</v>
      </c>
      <c r="GK155" t="e">
        <f>AND(Bills!B619,"AAAAAH/Z58A=")</f>
        <v>#VALUE!</v>
      </c>
      <c r="GL155" t="e">
        <f>AND(Bills!#REF!,"AAAAAH/Z58E=")</f>
        <v>#REF!</v>
      </c>
      <c r="GM155" t="e">
        <f>AND(Bills!C619,"AAAAAH/Z58I=")</f>
        <v>#VALUE!</v>
      </c>
      <c r="GN155" t="e">
        <f>AND(Bills!D619,"AAAAAH/Z58M=")</f>
        <v>#VALUE!</v>
      </c>
      <c r="GO155" t="e">
        <f>AND(Bills!E619,"AAAAAH/Z58Q=")</f>
        <v>#VALUE!</v>
      </c>
      <c r="GP155" t="e">
        <f>AND(Bills!#REF!,"AAAAAH/Z58U=")</f>
        <v>#REF!</v>
      </c>
      <c r="GQ155" t="e">
        <f>AND(Bills!#REF!,"AAAAAH/Z58Y=")</f>
        <v>#REF!</v>
      </c>
      <c r="GR155" t="e">
        <f>AND(Bills!#REF!,"AAAAAH/Z58c=")</f>
        <v>#REF!</v>
      </c>
      <c r="GS155" t="e">
        <f>AND(Bills!F619,"AAAAAH/Z58g=")</f>
        <v>#VALUE!</v>
      </c>
      <c r="GT155" t="e">
        <f>AND(Bills!#REF!,"AAAAAH/Z58k=")</f>
        <v>#REF!</v>
      </c>
      <c r="GU155" t="e">
        <f>AND(Bills!G619,"AAAAAH/Z58o=")</f>
        <v>#VALUE!</v>
      </c>
      <c r="GV155" t="e">
        <f>AND(Bills!H619,"AAAAAH/Z58s=")</f>
        <v>#VALUE!</v>
      </c>
      <c r="GW155" t="e">
        <f>AND(Bills!I619,"AAAAAH/Z58w=")</f>
        <v>#VALUE!</v>
      </c>
      <c r="GX155" t="e">
        <f>AND(Bills!J619,"AAAAAH/Z580=")</f>
        <v>#VALUE!</v>
      </c>
      <c r="GY155" t="e">
        <f>AND(Bills!K619,"AAAAAH/Z584=")</f>
        <v>#VALUE!</v>
      </c>
      <c r="GZ155" t="e">
        <f>AND(Bills!L619,"AAAAAH/Z588=")</f>
        <v>#VALUE!</v>
      </c>
      <c r="HA155" t="e">
        <f>AND(Bills!#REF!,"AAAAAH/Z59A=")</f>
        <v>#REF!</v>
      </c>
      <c r="HB155" t="e">
        <f>AND(Bills!M619,"AAAAAH/Z59E=")</f>
        <v>#VALUE!</v>
      </c>
      <c r="HC155" t="e">
        <f>AND(Bills!N619,"AAAAAH/Z59I=")</f>
        <v>#VALUE!</v>
      </c>
      <c r="HD155" t="e">
        <f>AND(Bills!O619,"AAAAAH/Z59M=")</f>
        <v>#VALUE!</v>
      </c>
      <c r="HE155" t="e">
        <f>AND(Bills!P619,"AAAAAH/Z59Q=")</f>
        <v>#VALUE!</v>
      </c>
      <c r="HF155" t="e">
        <f>AND(Bills!Q619,"AAAAAH/Z59U=")</f>
        <v>#VALUE!</v>
      </c>
      <c r="HG155" t="e">
        <f>AND(Bills!R619,"AAAAAH/Z59Y=")</f>
        <v>#VALUE!</v>
      </c>
      <c r="HH155" t="e">
        <f>AND(Bills!S619,"AAAAAH/Z59c=")</f>
        <v>#VALUE!</v>
      </c>
      <c r="HI155" t="e">
        <f>AND(Bills!T619,"AAAAAH/Z59g=")</f>
        <v>#VALUE!</v>
      </c>
      <c r="HJ155" t="e">
        <f>AND(Bills!#REF!,"AAAAAH/Z59k=")</f>
        <v>#REF!</v>
      </c>
      <c r="HK155" t="e">
        <f>AND(Bills!U619,"AAAAAH/Z59o=")</f>
        <v>#VALUE!</v>
      </c>
      <c r="HL155" t="e">
        <f>AND(Bills!V619,"AAAAAH/Z59s=")</f>
        <v>#VALUE!</v>
      </c>
      <c r="HM155" t="e">
        <f>AND(Bills!W619,"AAAAAH/Z59w=")</f>
        <v>#VALUE!</v>
      </c>
      <c r="HN155" t="e">
        <f>AND(Bills!#REF!,"AAAAAH/Z590=")</f>
        <v>#REF!</v>
      </c>
      <c r="HO155" t="e">
        <f>AND(Bills!#REF!,"AAAAAH/Z594=")</f>
        <v>#REF!</v>
      </c>
      <c r="HP155" t="e">
        <f>AND(Bills!Y619,"AAAAAH/Z598=")</f>
        <v>#VALUE!</v>
      </c>
      <c r="HQ155" t="e">
        <f>AND(Bills!Z619,"AAAAAH/Z5+A=")</f>
        <v>#VALUE!</v>
      </c>
      <c r="HR155" t="e">
        <f>AND(Bills!#REF!,"AAAAAH/Z5+E=")</f>
        <v>#REF!</v>
      </c>
      <c r="HS155" t="e">
        <f>AND(Bills!#REF!,"AAAAAH/Z5+I=")</f>
        <v>#REF!</v>
      </c>
      <c r="HT155" t="e">
        <f>AND(Bills!#REF!,"AAAAAH/Z5+M=")</f>
        <v>#REF!</v>
      </c>
      <c r="HU155" t="e">
        <f>AND(Bills!#REF!,"AAAAAH/Z5+Q=")</f>
        <v>#REF!</v>
      </c>
      <c r="HV155" t="e">
        <f>AND(Bills!#REF!,"AAAAAH/Z5+U=")</f>
        <v>#REF!</v>
      </c>
      <c r="HW155" t="e">
        <f>AND(Bills!#REF!,"AAAAAH/Z5+Y=")</f>
        <v>#REF!</v>
      </c>
      <c r="HX155" t="e">
        <f>AND(Bills!#REF!,"AAAAAH/Z5+c=")</f>
        <v>#REF!</v>
      </c>
      <c r="HY155" t="e">
        <f>AND(Bills!#REF!,"AAAAAH/Z5+g=")</f>
        <v>#REF!</v>
      </c>
      <c r="HZ155" t="e">
        <f>AND(Bills!#REF!,"AAAAAH/Z5+k=")</f>
        <v>#REF!</v>
      </c>
      <c r="IA155" t="e">
        <f>AND(Bills!AA619,"AAAAAH/Z5+o=")</f>
        <v>#VALUE!</v>
      </c>
      <c r="IB155" t="e">
        <f>AND(Bills!AB619,"AAAAAH/Z5+s=")</f>
        <v>#VALUE!</v>
      </c>
      <c r="IC155" t="e">
        <f>AND(Bills!#REF!,"AAAAAH/Z5+w=")</f>
        <v>#REF!</v>
      </c>
      <c r="ID155" t="e">
        <f>AND(Bills!#REF!,"AAAAAH/Z5+0=")</f>
        <v>#REF!</v>
      </c>
      <c r="IE155" t="e">
        <f>AND(Bills!#REF!,"AAAAAH/Z5+4=")</f>
        <v>#REF!</v>
      </c>
      <c r="IF155" t="e">
        <f>AND(Bills!AC619,"AAAAAH/Z5+8=")</f>
        <v>#VALUE!</v>
      </c>
      <c r="IG155" t="e">
        <f>AND(Bills!AD619,"AAAAAH/Z5/A=")</f>
        <v>#VALUE!</v>
      </c>
      <c r="IH155" t="e">
        <f>AND(Bills!AE619,"AAAAAH/Z5/E=")</f>
        <v>#VALUE!</v>
      </c>
      <c r="II155">
        <f>IF(Bills!620:620,"AAAAAH/Z5/I=",0)</f>
        <v>0</v>
      </c>
      <c r="IJ155" t="e">
        <f>AND(Bills!B620,"AAAAAH/Z5/M=")</f>
        <v>#VALUE!</v>
      </c>
      <c r="IK155" t="e">
        <f>AND(Bills!#REF!,"AAAAAH/Z5/Q=")</f>
        <v>#REF!</v>
      </c>
      <c r="IL155" t="e">
        <f>AND(Bills!C620,"AAAAAH/Z5/U=")</f>
        <v>#VALUE!</v>
      </c>
      <c r="IM155" t="e">
        <f>AND(Bills!D620,"AAAAAH/Z5/Y=")</f>
        <v>#VALUE!</v>
      </c>
      <c r="IN155" t="e">
        <f>AND(Bills!E620,"AAAAAH/Z5/c=")</f>
        <v>#VALUE!</v>
      </c>
      <c r="IO155" t="e">
        <f>AND(Bills!#REF!,"AAAAAH/Z5/g=")</f>
        <v>#REF!</v>
      </c>
      <c r="IP155" t="e">
        <f>AND(Bills!#REF!,"AAAAAH/Z5/k=")</f>
        <v>#REF!</v>
      </c>
      <c r="IQ155" t="e">
        <f>AND(Bills!#REF!,"AAAAAH/Z5/o=")</f>
        <v>#REF!</v>
      </c>
      <c r="IR155" t="e">
        <f>AND(Bills!F620,"AAAAAH/Z5/s=")</f>
        <v>#VALUE!</v>
      </c>
      <c r="IS155" t="e">
        <f>AND(Bills!#REF!,"AAAAAH/Z5/w=")</f>
        <v>#REF!</v>
      </c>
      <c r="IT155" t="e">
        <f>AND(Bills!G620,"AAAAAH/Z5/0=")</f>
        <v>#VALUE!</v>
      </c>
      <c r="IU155" t="e">
        <f>AND(Bills!H620,"AAAAAH/Z5/4=")</f>
        <v>#VALUE!</v>
      </c>
      <c r="IV155" t="e">
        <f>AND(Bills!I620,"AAAAAH/Z5/8=")</f>
        <v>#VALUE!</v>
      </c>
    </row>
    <row r="156" spans="1:256" x14ac:dyDescent="0.25">
      <c r="A156" t="e">
        <f>AND(Bills!J620,"AAAAAE3/4wA=")</f>
        <v>#VALUE!</v>
      </c>
      <c r="B156" t="e">
        <f>AND(Bills!K620,"AAAAAE3/4wE=")</f>
        <v>#VALUE!</v>
      </c>
      <c r="C156" t="e">
        <f>AND(Bills!L620,"AAAAAE3/4wI=")</f>
        <v>#VALUE!</v>
      </c>
      <c r="D156" t="e">
        <f>AND(Bills!#REF!,"AAAAAE3/4wM=")</f>
        <v>#REF!</v>
      </c>
      <c r="E156" t="e">
        <f>AND(Bills!M620,"AAAAAE3/4wQ=")</f>
        <v>#VALUE!</v>
      </c>
      <c r="F156" t="e">
        <f>AND(Bills!N620,"AAAAAE3/4wU=")</f>
        <v>#VALUE!</v>
      </c>
      <c r="G156" t="e">
        <f>AND(Bills!O620,"AAAAAE3/4wY=")</f>
        <v>#VALUE!</v>
      </c>
      <c r="H156" t="e">
        <f>AND(Bills!P620,"AAAAAE3/4wc=")</f>
        <v>#VALUE!</v>
      </c>
      <c r="I156" t="e">
        <f>AND(Bills!Q620,"AAAAAE3/4wg=")</f>
        <v>#VALUE!</v>
      </c>
      <c r="J156" t="e">
        <f>AND(Bills!R620,"AAAAAE3/4wk=")</f>
        <v>#VALUE!</v>
      </c>
      <c r="K156" t="e">
        <f>AND(Bills!S620,"AAAAAE3/4wo=")</f>
        <v>#VALUE!</v>
      </c>
      <c r="L156" t="e">
        <f>AND(Bills!T620,"AAAAAE3/4ws=")</f>
        <v>#VALUE!</v>
      </c>
      <c r="M156" t="e">
        <f>AND(Bills!#REF!,"AAAAAE3/4ww=")</f>
        <v>#REF!</v>
      </c>
      <c r="N156" t="e">
        <f>AND(Bills!U620,"AAAAAE3/4w0=")</f>
        <v>#VALUE!</v>
      </c>
      <c r="O156" t="e">
        <f>AND(Bills!V620,"AAAAAE3/4w4=")</f>
        <v>#VALUE!</v>
      </c>
      <c r="P156" t="e">
        <f>AND(Bills!W620,"AAAAAE3/4w8=")</f>
        <v>#VALUE!</v>
      </c>
      <c r="Q156" t="e">
        <f>AND(Bills!#REF!,"AAAAAE3/4xA=")</f>
        <v>#REF!</v>
      </c>
      <c r="R156" t="e">
        <f>AND(Bills!#REF!,"AAAAAE3/4xE=")</f>
        <v>#REF!</v>
      </c>
      <c r="S156" t="e">
        <f>AND(Bills!Y620,"AAAAAE3/4xI=")</f>
        <v>#VALUE!</v>
      </c>
      <c r="T156" t="e">
        <f>AND(Bills!Z620,"AAAAAE3/4xM=")</f>
        <v>#VALUE!</v>
      </c>
      <c r="U156" t="e">
        <f>AND(Bills!#REF!,"AAAAAE3/4xQ=")</f>
        <v>#REF!</v>
      </c>
      <c r="V156" t="e">
        <f>AND(Bills!#REF!,"AAAAAE3/4xU=")</f>
        <v>#REF!</v>
      </c>
      <c r="W156" t="e">
        <f>AND(Bills!#REF!,"AAAAAE3/4xY=")</f>
        <v>#REF!</v>
      </c>
      <c r="X156" t="e">
        <f>AND(Bills!#REF!,"AAAAAE3/4xc=")</f>
        <v>#REF!</v>
      </c>
      <c r="Y156" t="e">
        <f>AND(Bills!#REF!,"AAAAAE3/4xg=")</f>
        <v>#REF!</v>
      </c>
      <c r="Z156" t="e">
        <f>AND(Bills!#REF!,"AAAAAE3/4xk=")</f>
        <v>#REF!</v>
      </c>
      <c r="AA156" t="e">
        <f>AND(Bills!#REF!,"AAAAAE3/4xo=")</f>
        <v>#REF!</v>
      </c>
      <c r="AB156" t="e">
        <f>AND(Bills!#REF!,"AAAAAE3/4xs=")</f>
        <v>#REF!</v>
      </c>
      <c r="AC156" t="e">
        <f>AND(Bills!#REF!,"AAAAAE3/4xw=")</f>
        <v>#REF!</v>
      </c>
      <c r="AD156" t="e">
        <f>AND(Bills!AA620,"AAAAAE3/4x0=")</f>
        <v>#VALUE!</v>
      </c>
      <c r="AE156" t="e">
        <f>AND(Bills!AB620,"AAAAAE3/4x4=")</f>
        <v>#VALUE!</v>
      </c>
      <c r="AF156" t="e">
        <f>AND(Bills!#REF!,"AAAAAE3/4x8=")</f>
        <v>#REF!</v>
      </c>
      <c r="AG156" t="e">
        <f>AND(Bills!#REF!,"AAAAAE3/4yA=")</f>
        <v>#REF!</v>
      </c>
      <c r="AH156" t="e">
        <f>AND(Bills!#REF!,"AAAAAE3/4yE=")</f>
        <v>#REF!</v>
      </c>
      <c r="AI156" t="e">
        <f>AND(Bills!AC620,"AAAAAE3/4yI=")</f>
        <v>#VALUE!</v>
      </c>
      <c r="AJ156" t="e">
        <f>AND(Bills!AD620,"AAAAAE3/4yM=")</f>
        <v>#VALUE!</v>
      </c>
      <c r="AK156" t="e">
        <f>AND(Bills!AE620,"AAAAAE3/4yQ=")</f>
        <v>#VALUE!</v>
      </c>
      <c r="AL156">
        <f>IF(Bills!621:621,"AAAAAE3/4yU=",0)</f>
        <v>0</v>
      </c>
      <c r="AM156" t="e">
        <f>AND(Bills!B621,"AAAAAE3/4yY=")</f>
        <v>#VALUE!</v>
      </c>
      <c r="AN156" t="e">
        <f>AND(Bills!#REF!,"AAAAAE3/4yc=")</f>
        <v>#REF!</v>
      </c>
      <c r="AO156" t="e">
        <f>AND(Bills!C621,"AAAAAE3/4yg=")</f>
        <v>#VALUE!</v>
      </c>
      <c r="AP156" t="e">
        <f>AND(Bills!D621,"AAAAAE3/4yk=")</f>
        <v>#VALUE!</v>
      </c>
      <c r="AQ156" t="e">
        <f>AND(Bills!E621,"AAAAAE3/4yo=")</f>
        <v>#VALUE!</v>
      </c>
      <c r="AR156" t="e">
        <f>AND(Bills!#REF!,"AAAAAE3/4ys=")</f>
        <v>#REF!</v>
      </c>
      <c r="AS156" t="e">
        <f>AND(Bills!#REF!,"AAAAAE3/4yw=")</f>
        <v>#REF!</v>
      </c>
      <c r="AT156" t="e">
        <f>AND(Bills!#REF!,"AAAAAE3/4y0=")</f>
        <v>#REF!</v>
      </c>
      <c r="AU156" t="e">
        <f>AND(Bills!F621,"AAAAAE3/4y4=")</f>
        <v>#VALUE!</v>
      </c>
      <c r="AV156" t="e">
        <f>AND(Bills!#REF!,"AAAAAE3/4y8=")</f>
        <v>#REF!</v>
      </c>
      <c r="AW156" t="e">
        <f>AND(Bills!G621,"AAAAAE3/4zA=")</f>
        <v>#VALUE!</v>
      </c>
      <c r="AX156" t="e">
        <f>AND(Bills!H621,"AAAAAE3/4zE=")</f>
        <v>#VALUE!</v>
      </c>
      <c r="AY156" t="e">
        <f>AND(Bills!I621,"AAAAAE3/4zI=")</f>
        <v>#VALUE!</v>
      </c>
      <c r="AZ156" t="e">
        <f>AND(Bills!J621,"AAAAAE3/4zM=")</f>
        <v>#VALUE!</v>
      </c>
      <c r="BA156" t="e">
        <f>AND(Bills!K621,"AAAAAE3/4zQ=")</f>
        <v>#VALUE!</v>
      </c>
      <c r="BB156" t="e">
        <f>AND(Bills!L621,"AAAAAE3/4zU=")</f>
        <v>#VALUE!</v>
      </c>
      <c r="BC156" t="e">
        <f>AND(Bills!#REF!,"AAAAAE3/4zY=")</f>
        <v>#REF!</v>
      </c>
      <c r="BD156" t="e">
        <f>AND(Bills!M621,"AAAAAE3/4zc=")</f>
        <v>#VALUE!</v>
      </c>
      <c r="BE156" t="e">
        <f>AND(Bills!N621,"AAAAAE3/4zg=")</f>
        <v>#VALUE!</v>
      </c>
      <c r="BF156" t="e">
        <f>AND(Bills!O621,"AAAAAE3/4zk=")</f>
        <v>#VALUE!</v>
      </c>
      <c r="BG156" t="e">
        <f>AND(Bills!P621,"AAAAAE3/4zo=")</f>
        <v>#VALUE!</v>
      </c>
      <c r="BH156" t="e">
        <f>AND(Bills!Q621,"AAAAAE3/4zs=")</f>
        <v>#VALUE!</v>
      </c>
      <c r="BI156" t="e">
        <f>AND(Bills!R621,"AAAAAE3/4zw=")</f>
        <v>#VALUE!</v>
      </c>
      <c r="BJ156" t="e">
        <f>AND(Bills!S621,"AAAAAE3/4z0=")</f>
        <v>#VALUE!</v>
      </c>
      <c r="BK156" t="e">
        <f>AND(Bills!T621,"AAAAAE3/4z4=")</f>
        <v>#VALUE!</v>
      </c>
      <c r="BL156" t="e">
        <f>AND(Bills!#REF!,"AAAAAE3/4z8=")</f>
        <v>#REF!</v>
      </c>
      <c r="BM156" t="e">
        <f>AND(Bills!U621,"AAAAAE3/40A=")</f>
        <v>#VALUE!</v>
      </c>
      <c r="BN156" t="e">
        <f>AND(Bills!V621,"AAAAAE3/40E=")</f>
        <v>#VALUE!</v>
      </c>
      <c r="BO156" t="e">
        <f>AND(Bills!W621,"AAAAAE3/40I=")</f>
        <v>#VALUE!</v>
      </c>
      <c r="BP156" t="e">
        <f>AND(Bills!#REF!,"AAAAAE3/40M=")</f>
        <v>#REF!</v>
      </c>
      <c r="BQ156" t="e">
        <f>AND(Bills!#REF!,"AAAAAE3/40Q=")</f>
        <v>#REF!</v>
      </c>
      <c r="BR156" t="e">
        <f>AND(Bills!Y621,"AAAAAE3/40U=")</f>
        <v>#VALUE!</v>
      </c>
      <c r="BS156" t="e">
        <f>AND(Bills!Z621,"AAAAAE3/40Y=")</f>
        <v>#VALUE!</v>
      </c>
      <c r="BT156" t="e">
        <f>AND(Bills!#REF!,"AAAAAE3/40c=")</f>
        <v>#REF!</v>
      </c>
      <c r="BU156" t="e">
        <f>AND(Bills!#REF!,"AAAAAE3/40g=")</f>
        <v>#REF!</v>
      </c>
      <c r="BV156" t="e">
        <f>AND(Bills!#REF!,"AAAAAE3/40k=")</f>
        <v>#REF!</v>
      </c>
      <c r="BW156" t="e">
        <f>AND(Bills!#REF!,"AAAAAE3/40o=")</f>
        <v>#REF!</v>
      </c>
      <c r="BX156" t="e">
        <f>AND(Bills!#REF!,"AAAAAE3/40s=")</f>
        <v>#REF!</v>
      </c>
      <c r="BY156" t="e">
        <f>AND(Bills!#REF!,"AAAAAE3/40w=")</f>
        <v>#REF!</v>
      </c>
      <c r="BZ156" t="e">
        <f>AND(Bills!#REF!,"AAAAAE3/400=")</f>
        <v>#REF!</v>
      </c>
      <c r="CA156" t="e">
        <f>AND(Bills!#REF!,"AAAAAE3/404=")</f>
        <v>#REF!</v>
      </c>
      <c r="CB156" t="e">
        <f>AND(Bills!#REF!,"AAAAAE3/408=")</f>
        <v>#REF!</v>
      </c>
      <c r="CC156" t="e">
        <f>AND(Bills!AA621,"AAAAAE3/41A=")</f>
        <v>#VALUE!</v>
      </c>
      <c r="CD156" t="e">
        <f>AND(Bills!AB621,"AAAAAE3/41E=")</f>
        <v>#VALUE!</v>
      </c>
      <c r="CE156" t="e">
        <f>AND(Bills!#REF!,"AAAAAE3/41I=")</f>
        <v>#REF!</v>
      </c>
      <c r="CF156" t="e">
        <f>AND(Bills!#REF!,"AAAAAE3/41M=")</f>
        <v>#REF!</v>
      </c>
      <c r="CG156" t="e">
        <f>AND(Bills!#REF!,"AAAAAE3/41Q=")</f>
        <v>#REF!</v>
      </c>
      <c r="CH156" t="e">
        <f>AND(Bills!AC621,"AAAAAE3/41U=")</f>
        <v>#VALUE!</v>
      </c>
      <c r="CI156" t="e">
        <f>AND(Bills!AD621,"AAAAAE3/41Y=")</f>
        <v>#VALUE!</v>
      </c>
      <c r="CJ156" t="e">
        <f>AND(Bills!AE621,"AAAAAE3/41c=")</f>
        <v>#VALUE!</v>
      </c>
      <c r="CK156">
        <f>IF(Bills!622:622,"AAAAAE3/41g=",0)</f>
        <v>0</v>
      </c>
      <c r="CL156" t="e">
        <f>AND(Bills!B622,"AAAAAE3/41k=")</f>
        <v>#VALUE!</v>
      </c>
      <c r="CM156" t="e">
        <f>AND(Bills!#REF!,"AAAAAE3/41o=")</f>
        <v>#REF!</v>
      </c>
      <c r="CN156" t="e">
        <f>AND(Bills!C622,"AAAAAE3/41s=")</f>
        <v>#VALUE!</v>
      </c>
      <c r="CO156" t="e">
        <f>AND(Bills!D622,"AAAAAE3/41w=")</f>
        <v>#VALUE!</v>
      </c>
      <c r="CP156" t="e">
        <f>AND(Bills!E622,"AAAAAE3/410=")</f>
        <v>#VALUE!</v>
      </c>
      <c r="CQ156" t="e">
        <f>AND(Bills!#REF!,"AAAAAE3/414=")</f>
        <v>#REF!</v>
      </c>
      <c r="CR156" t="e">
        <f>AND(Bills!#REF!,"AAAAAE3/418=")</f>
        <v>#REF!</v>
      </c>
      <c r="CS156" t="e">
        <f>AND(Bills!#REF!,"AAAAAE3/42A=")</f>
        <v>#REF!</v>
      </c>
      <c r="CT156" t="e">
        <f>AND(Bills!F622,"AAAAAE3/42E=")</f>
        <v>#VALUE!</v>
      </c>
      <c r="CU156" t="e">
        <f>AND(Bills!#REF!,"AAAAAE3/42I=")</f>
        <v>#REF!</v>
      </c>
      <c r="CV156" t="e">
        <f>AND(Bills!G622,"AAAAAE3/42M=")</f>
        <v>#VALUE!</v>
      </c>
      <c r="CW156" t="e">
        <f>AND(Bills!H622,"AAAAAE3/42Q=")</f>
        <v>#VALUE!</v>
      </c>
      <c r="CX156" t="e">
        <f>AND(Bills!I622,"AAAAAE3/42U=")</f>
        <v>#VALUE!</v>
      </c>
      <c r="CY156" t="e">
        <f>AND(Bills!J622,"AAAAAE3/42Y=")</f>
        <v>#VALUE!</v>
      </c>
      <c r="CZ156" t="e">
        <f>AND(Bills!K622,"AAAAAE3/42c=")</f>
        <v>#VALUE!</v>
      </c>
      <c r="DA156" t="e">
        <f>AND(Bills!L622,"AAAAAE3/42g=")</f>
        <v>#VALUE!</v>
      </c>
      <c r="DB156" t="e">
        <f>AND(Bills!#REF!,"AAAAAE3/42k=")</f>
        <v>#REF!</v>
      </c>
      <c r="DC156" t="e">
        <f>AND(Bills!M622,"AAAAAE3/42o=")</f>
        <v>#VALUE!</v>
      </c>
      <c r="DD156" t="e">
        <f>AND(Bills!N622,"AAAAAE3/42s=")</f>
        <v>#VALUE!</v>
      </c>
      <c r="DE156" t="e">
        <f>AND(Bills!O622,"AAAAAE3/42w=")</f>
        <v>#VALUE!</v>
      </c>
      <c r="DF156" t="e">
        <f>AND(Bills!P622,"AAAAAE3/420=")</f>
        <v>#VALUE!</v>
      </c>
      <c r="DG156" t="e">
        <f>AND(Bills!Q622,"AAAAAE3/424=")</f>
        <v>#VALUE!</v>
      </c>
      <c r="DH156" t="e">
        <f>AND(Bills!R622,"AAAAAE3/428=")</f>
        <v>#VALUE!</v>
      </c>
      <c r="DI156" t="e">
        <f>AND(Bills!S622,"AAAAAE3/43A=")</f>
        <v>#VALUE!</v>
      </c>
      <c r="DJ156" t="e">
        <f>AND(Bills!T622,"AAAAAE3/43E=")</f>
        <v>#VALUE!</v>
      </c>
      <c r="DK156" t="e">
        <f>AND(Bills!#REF!,"AAAAAE3/43I=")</f>
        <v>#REF!</v>
      </c>
      <c r="DL156" t="e">
        <f>AND(Bills!U622,"AAAAAE3/43M=")</f>
        <v>#VALUE!</v>
      </c>
      <c r="DM156" t="e">
        <f>AND(Bills!V622,"AAAAAE3/43Q=")</f>
        <v>#VALUE!</v>
      </c>
      <c r="DN156" t="e">
        <f>AND(Bills!W622,"AAAAAE3/43U=")</f>
        <v>#VALUE!</v>
      </c>
      <c r="DO156" t="e">
        <f>AND(Bills!#REF!,"AAAAAE3/43Y=")</f>
        <v>#REF!</v>
      </c>
      <c r="DP156" t="e">
        <f>AND(Bills!#REF!,"AAAAAE3/43c=")</f>
        <v>#REF!</v>
      </c>
      <c r="DQ156" t="e">
        <f>AND(Bills!Y622,"AAAAAE3/43g=")</f>
        <v>#VALUE!</v>
      </c>
      <c r="DR156" t="e">
        <f>AND(Bills!Z622,"AAAAAE3/43k=")</f>
        <v>#VALUE!</v>
      </c>
      <c r="DS156" t="e">
        <f>AND(Bills!#REF!,"AAAAAE3/43o=")</f>
        <v>#REF!</v>
      </c>
      <c r="DT156" t="e">
        <f>AND(Bills!#REF!,"AAAAAE3/43s=")</f>
        <v>#REF!</v>
      </c>
      <c r="DU156" t="e">
        <f>AND(Bills!#REF!,"AAAAAE3/43w=")</f>
        <v>#REF!</v>
      </c>
      <c r="DV156" t="e">
        <f>AND(Bills!#REF!,"AAAAAE3/430=")</f>
        <v>#REF!</v>
      </c>
      <c r="DW156" t="e">
        <f>AND(Bills!#REF!,"AAAAAE3/434=")</f>
        <v>#REF!</v>
      </c>
      <c r="DX156" t="e">
        <f>AND(Bills!#REF!,"AAAAAE3/438=")</f>
        <v>#REF!</v>
      </c>
      <c r="DY156" t="e">
        <f>AND(Bills!#REF!,"AAAAAE3/44A=")</f>
        <v>#REF!</v>
      </c>
      <c r="DZ156" t="e">
        <f>AND(Bills!#REF!,"AAAAAE3/44E=")</f>
        <v>#REF!</v>
      </c>
      <c r="EA156" t="e">
        <f>AND(Bills!#REF!,"AAAAAE3/44I=")</f>
        <v>#REF!</v>
      </c>
      <c r="EB156" t="e">
        <f>AND(Bills!AA622,"AAAAAE3/44M=")</f>
        <v>#VALUE!</v>
      </c>
      <c r="EC156" t="e">
        <f>AND(Bills!AB622,"AAAAAE3/44Q=")</f>
        <v>#VALUE!</v>
      </c>
      <c r="ED156" t="e">
        <f>AND(Bills!#REF!,"AAAAAE3/44U=")</f>
        <v>#REF!</v>
      </c>
      <c r="EE156" t="e">
        <f>AND(Bills!#REF!,"AAAAAE3/44Y=")</f>
        <v>#REF!</v>
      </c>
      <c r="EF156" t="e">
        <f>AND(Bills!#REF!,"AAAAAE3/44c=")</f>
        <v>#REF!</v>
      </c>
      <c r="EG156" t="e">
        <f>AND(Bills!AC622,"AAAAAE3/44g=")</f>
        <v>#VALUE!</v>
      </c>
      <c r="EH156" t="e">
        <f>AND(Bills!AD622,"AAAAAE3/44k=")</f>
        <v>#VALUE!</v>
      </c>
      <c r="EI156" t="e">
        <f>AND(Bills!AE622,"AAAAAE3/44o=")</f>
        <v>#VALUE!</v>
      </c>
      <c r="EJ156">
        <f>IF(Bills!623:623,"AAAAAE3/44s=",0)</f>
        <v>0</v>
      </c>
      <c r="EK156" t="e">
        <f>AND(Bills!B623,"AAAAAE3/44w=")</f>
        <v>#VALUE!</v>
      </c>
      <c r="EL156" t="e">
        <f>AND(Bills!#REF!,"AAAAAE3/440=")</f>
        <v>#REF!</v>
      </c>
      <c r="EM156" t="e">
        <f>AND(Bills!C623,"AAAAAE3/444=")</f>
        <v>#VALUE!</v>
      </c>
      <c r="EN156" t="e">
        <f>AND(Bills!D623,"AAAAAE3/448=")</f>
        <v>#VALUE!</v>
      </c>
      <c r="EO156" t="e">
        <f>AND(Bills!E623,"AAAAAE3/45A=")</f>
        <v>#VALUE!</v>
      </c>
      <c r="EP156" t="e">
        <f>AND(Bills!#REF!,"AAAAAE3/45E=")</f>
        <v>#REF!</v>
      </c>
      <c r="EQ156" t="e">
        <f>AND(Bills!#REF!,"AAAAAE3/45I=")</f>
        <v>#REF!</v>
      </c>
      <c r="ER156" t="e">
        <f>AND(Bills!#REF!,"AAAAAE3/45M=")</f>
        <v>#REF!</v>
      </c>
      <c r="ES156" t="e">
        <f>AND(Bills!F623,"AAAAAE3/45Q=")</f>
        <v>#VALUE!</v>
      </c>
      <c r="ET156" t="e">
        <f>AND(Bills!#REF!,"AAAAAE3/45U=")</f>
        <v>#REF!</v>
      </c>
      <c r="EU156" t="e">
        <f>AND(Bills!G623,"AAAAAE3/45Y=")</f>
        <v>#VALUE!</v>
      </c>
      <c r="EV156" t="e">
        <f>AND(Bills!H623,"AAAAAE3/45c=")</f>
        <v>#VALUE!</v>
      </c>
      <c r="EW156" t="e">
        <f>AND(Bills!I623,"AAAAAE3/45g=")</f>
        <v>#VALUE!</v>
      </c>
      <c r="EX156" t="e">
        <f>AND(Bills!J623,"AAAAAE3/45k=")</f>
        <v>#VALUE!</v>
      </c>
      <c r="EY156" t="e">
        <f>AND(Bills!K623,"AAAAAE3/45o=")</f>
        <v>#VALUE!</v>
      </c>
      <c r="EZ156" t="e">
        <f>AND(Bills!L623,"AAAAAE3/45s=")</f>
        <v>#VALUE!</v>
      </c>
      <c r="FA156" t="e">
        <f>AND(Bills!#REF!,"AAAAAE3/45w=")</f>
        <v>#REF!</v>
      </c>
      <c r="FB156" t="e">
        <f>AND(Bills!M623,"AAAAAE3/450=")</f>
        <v>#VALUE!</v>
      </c>
      <c r="FC156" t="e">
        <f>AND(Bills!N623,"AAAAAE3/454=")</f>
        <v>#VALUE!</v>
      </c>
      <c r="FD156" t="e">
        <f>AND(Bills!O623,"AAAAAE3/458=")</f>
        <v>#VALUE!</v>
      </c>
      <c r="FE156" t="e">
        <f>AND(Bills!P623,"AAAAAE3/46A=")</f>
        <v>#VALUE!</v>
      </c>
      <c r="FF156" t="e">
        <f>AND(Bills!Q623,"AAAAAE3/46E=")</f>
        <v>#VALUE!</v>
      </c>
      <c r="FG156" t="e">
        <f>AND(Bills!R623,"AAAAAE3/46I=")</f>
        <v>#VALUE!</v>
      </c>
      <c r="FH156" t="e">
        <f>AND(Bills!S623,"AAAAAE3/46M=")</f>
        <v>#VALUE!</v>
      </c>
      <c r="FI156" t="e">
        <f>AND(Bills!T623,"AAAAAE3/46Q=")</f>
        <v>#VALUE!</v>
      </c>
      <c r="FJ156" t="e">
        <f>AND(Bills!#REF!,"AAAAAE3/46U=")</f>
        <v>#REF!</v>
      </c>
      <c r="FK156" t="e">
        <f>AND(Bills!U623,"AAAAAE3/46Y=")</f>
        <v>#VALUE!</v>
      </c>
      <c r="FL156" t="e">
        <f>AND(Bills!V623,"AAAAAE3/46c=")</f>
        <v>#VALUE!</v>
      </c>
      <c r="FM156" t="e">
        <f>AND(Bills!W623,"AAAAAE3/46g=")</f>
        <v>#VALUE!</v>
      </c>
      <c r="FN156" t="e">
        <f>AND(Bills!#REF!,"AAAAAE3/46k=")</f>
        <v>#REF!</v>
      </c>
      <c r="FO156" t="e">
        <f>AND(Bills!#REF!,"AAAAAE3/46o=")</f>
        <v>#REF!</v>
      </c>
      <c r="FP156" t="e">
        <f>AND(Bills!Y623,"AAAAAE3/46s=")</f>
        <v>#VALUE!</v>
      </c>
      <c r="FQ156" t="e">
        <f>AND(Bills!Z623,"AAAAAE3/46w=")</f>
        <v>#VALUE!</v>
      </c>
      <c r="FR156" t="e">
        <f>AND(Bills!#REF!,"AAAAAE3/460=")</f>
        <v>#REF!</v>
      </c>
      <c r="FS156" t="e">
        <f>AND(Bills!#REF!,"AAAAAE3/464=")</f>
        <v>#REF!</v>
      </c>
      <c r="FT156" t="e">
        <f>AND(Bills!#REF!,"AAAAAE3/468=")</f>
        <v>#REF!</v>
      </c>
      <c r="FU156" t="e">
        <f>AND(Bills!#REF!,"AAAAAE3/47A=")</f>
        <v>#REF!</v>
      </c>
      <c r="FV156" t="e">
        <f>AND(Bills!#REF!,"AAAAAE3/47E=")</f>
        <v>#REF!</v>
      </c>
      <c r="FW156" t="e">
        <f>AND(Bills!#REF!,"AAAAAE3/47I=")</f>
        <v>#REF!</v>
      </c>
      <c r="FX156" t="e">
        <f>AND(Bills!#REF!,"AAAAAE3/47M=")</f>
        <v>#REF!</v>
      </c>
      <c r="FY156" t="e">
        <f>AND(Bills!#REF!,"AAAAAE3/47Q=")</f>
        <v>#REF!</v>
      </c>
      <c r="FZ156" t="e">
        <f>AND(Bills!#REF!,"AAAAAE3/47U=")</f>
        <v>#REF!</v>
      </c>
      <c r="GA156" t="e">
        <f>AND(Bills!AA623,"AAAAAE3/47Y=")</f>
        <v>#VALUE!</v>
      </c>
      <c r="GB156" t="e">
        <f>AND(Bills!AB623,"AAAAAE3/47c=")</f>
        <v>#VALUE!</v>
      </c>
      <c r="GC156" t="e">
        <f>AND(Bills!#REF!,"AAAAAE3/47g=")</f>
        <v>#REF!</v>
      </c>
      <c r="GD156" t="e">
        <f>AND(Bills!#REF!,"AAAAAE3/47k=")</f>
        <v>#REF!</v>
      </c>
      <c r="GE156" t="e">
        <f>AND(Bills!#REF!,"AAAAAE3/47o=")</f>
        <v>#REF!</v>
      </c>
      <c r="GF156" t="e">
        <f>AND(Bills!AC623,"AAAAAE3/47s=")</f>
        <v>#VALUE!</v>
      </c>
      <c r="GG156" t="e">
        <f>AND(Bills!AD623,"AAAAAE3/47w=")</f>
        <v>#VALUE!</v>
      </c>
      <c r="GH156" t="e">
        <f>AND(Bills!AE623,"AAAAAE3/470=")</f>
        <v>#VALUE!</v>
      </c>
      <c r="GI156">
        <f>IF(Bills!624:624,"AAAAAE3/474=",0)</f>
        <v>0</v>
      </c>
      <c r="GJ156" t="e">
        <f>AND(Bills!B624,"AAAAAE3/478=")</f>
        <v>#VALUE!</v>
      </c>
      <c r="GK156" t="e">
        <f>AND(Bills!#REF!,"AAAAAE3/48A=")</f>
        <v>#REF!</v>
      </c>
      <c r="GL156" t="e">
        <f>AND(Bills!C624,"AAAAAE3/48E=")</f>
        <v>#VALUE!</v>
      </c>
      <c r="GM156" t="e">
        <f>AND(Bills!D624,"AAAAAE3/48I=")</f>
        <v>#VALUE!</v>
      </c>
      <c r="GN156" t="e">
        <f>AND(Bills!E624,"AAAAAE3/48M=")</f>
        <v>#VALUE!</v>
      </c>
      <c r="GO156" t="e">
        <f>AND(Bills!#REF!,"AAAAAE3/48Q=")</f>
        <v>#REF!</v>
      </c>
      <c r="GP156" t="e">
        <f>AND(Bills!#REF!,"AAAAAE3/48U=")</f>
        <v>#REF!</v>
      </c>
      <c r="GQ156" t="e">
        <f>AND(Bills!#REF!,"AAAAAE3/48Y=")</f>
        <v>#REF!</v>
      </c>
      <c r="GR156" t="e">
        <f>AND(Bills!F624,"AAAAAE3/48c=")</f>
        <v>#VALUE!</v>
      </c>
      <c r="GS156" t="e">
        <f>AND(Bills!#REF!,"AAAAAE3/48g=")</f>
        <v>#REF!</v>
      </c>
      <c r="GT156" t="e">
        <f>AND(Bills!G624,"AAAAAE3/48k=")</f>
        <v>#VALUE!</v>
      </c>
      <c r="GU156" t="e">
        <f>AND(Bills!H624,"AAAAAE3/48o=")</f>
        <v>#VALUE!</v>
      </c>
      <c r="GV156" t="e">
        <f>AND(Bills!I624,"AAAAAE3/48s=")</f>
        <v>#VALUE!</v>
      </c>
      <c r="GW156" t="e">
        <f>AND(Bills!J624,"AAAAAE3/48w=")</f>
        <v>#VALUE!</v>
      </c>
      <c r="GX156" t="e">
        <f>AND(Bills!K624,"AAAAAE3/480=")</f>
        <v>#VALUE!</v>
      </c>
      <c r="GY156" t="e">
        <f>AND(Bills!L624,"AAAAAE3/484=")</f>
        <v>#VALUE!</v>
      </c>
      <c r="GZ156" t="e">
        <f>AND(Bills!#REF!,"AAAAAE3/488=")</f>
        <v>#REF!</v>
      </c>
      <c r="HA156" t="e">
        <f>AND(Bills!M624,"AAAAAE3/49A=")</f>
        <v>#VALUE!</v>
      </c>
      <c r="HB156" t="e">
        <f>AND(Bills!N624,"AAAAAE3/49E=")</f>
        <v>#VALUE!</v>
      </c>
      <c r="HC156" t="e">
        <f>AND(Bills!O624,"AAAAAE3/49I=")</f>
        <v>#VALUE!</v>
      </c>
      <c r="HD156" t="e">
        <f>AND(Bills!P624,"AAAAAE3/49M=")</f>
        <v>#VALUE!</v>
      </c>
      <c r="HE156" t="e">
        <f>AND(Bills!Q624,"AAAAAE3/49Q=")</f>
        <v>#VALUE!</v>
      </c>
      <c r="HF156" t="e">
        <f>AND(Bills!R624,"AAAAAE3/49U=")</f>
        <v>#VALUE!</v>
      </c>
      <c r="HG156" t="e">
        <f>AND(Bills!S624,"AAAAAE3/49Y=")</f>
        <v>#VALUE!</v>
      </c>
      <c r="HH156" t="e">
        <f>AND(Bills!T624,"AAAAAE3/49c=")</f>
        <v>#VALUE!</v>
      </c>
      <c r="HI156" t="e">
        <f>AND(Bills!#REF!,"AAAAAE3/49g=")</f>
        <v>#REF!</v>
      </c>
      <c r="HJ156" t="e">
        <f>AND(Bills!U624,"AAAAAE3/49k=")</f>
        <v>#VALUE!</v>
      </c>
      <c r="HK156" t="e">
        <f>AND(Bills!V624,"AAAAAE3/49o=")</f>
        <v>#VALUE!</v>
      </c>
      <c r="HL156" t="e">
        <f>AND(Bills!W624,"AAAAAE3/49s=")</f>
        <v>#VALUE!</v>
      </c>
      <c r="HM156" t="e">
        <f>AND(Bills!#REF!,"AAAAAE3/49w=")</f>
        <v>#REF!</v>
      </c>
      <c r="HN156" t="e">
        <f>AND(Bills!#REF!,"AAAAAE3/490=")</f>
        <v>#REF!</v>
      </c>
      <c r="HO156" t="e">
        <f>AND(Bills!Y624,"AAAAAE3/494=")</f>
        <v>#VALUE!</v>
      </c>
      <c r="HP156" t="e">
        <f>AND(Bills!Z624,"AAAAAE3/498=")</f>
        <v>#VALUE!</v>
      </c>
      <c r="HQ156" t="e">
        <f>AND(Bills!#REF!,"AAAAAE3/4+A=")</f>
        <v>#REF!</v>
      </c>
      <c r="HR156" t="e">
        <f>AND(Bills!#REF!,"AAAAAE3/4+E=")</f>
        <v>#REF!</v>
      </c>
      <c r="HS156" t="e">
        <f>AND(Bills!#REF!,"AAAAAE3/4+I=")</f>
        <v>#REF!</v>
      </c>
      <c r="HT156" t="e">
        <f>AND(Bills!#REF!,"AAAAAE3/4+M=")</f>
        <v>#REF!</v>
      </c>
      <c r="HU156" t="e">
        <f>AND(Bills!#REF!,"AAAAAE3/4+Q=")</f>
        <v>#REF!</v>
      </c>
      <c r="HV156" t="e">
        <f>AND(Bills!#REF!,"AAAAAE3/4+U=")</f>
        <v>#REF!</v>
      </c>
      <c r="HW156" t="e">
        <f>AND(Bills!#REF!,"AAAAAE3/4+Y=")</f>
        <v>#REF!</v>
      </c>
      <c r="HX156" t="e">
        <f>AND(Bills!#REF!,"AAAAAE3/4+c=")</f>
        <v>#REF!</v>
      </c>
      <c r="HY156" t="e">
        <f>AND(Bills!#REF!,"AAAAAE3/4+g=")</f>
        <v>#REF!</v>
      </c>
      <c r="HZ156" t="e">
        <f>AND(Bills!AA624,"AAAAAE3/4+k=")</f>
        <v>#VALUE!</v>
      </c>
      <c r="IA156" t="e">
        <f>AND(Bills!AB624,"AAAAAE3/4+o=")</f>
        <v>#VALUE!</v>
      </c>
      <c r="IB156" t="e">
        <f>AND(Bills!#REF!,"AAAAAE3/4+s=")</f>
        <v>#REF!</v>
      </c>
      <c r="IC156" t="e">
        <f>AND(Bills!#REF!,"AAAAAE3/4+w=")</f>
        <v>#REF!</v>
      </c>
      <c r="ID156" t="e">
        <f>AND(Bills!#REF!,"AAAAAE3/4+0=")</f>
        <v>#REF!</v>
      </c>
      <c r="IE156" t="e">
        <f>AND(Bills!AC624,"AAAAAE3/4+4=")</f>
        <v>#VALUE!</v>
      </c>
      <c r="IF156" t="e">
        <f>AND(Bills!AD624,"AAAAAE3/4+8=")</f>
        <v>#VALUE!</v>
      </c>
      <c r="IG156" t="e">
        <f>AND(Bills!AE624,"AAAAAE3/4/A=")</f>
        <v>#VALUE!</v>
      </c>
      <c r="IH156">
        <f>IF(Bills!625:625,"AAAAAE3/4/E=",0)</f>
        <v>0</v>
      </c>
      <c r="II156" t="e">
        <f>AND(Bills!B625,"AAAAAE3/4/I=")</f>
        <v>#VALUE!</v>
      </c>
      <c r="IJ156" t="e">
        <f>AND(Bills!#REF!,"AAAAAE3/4/M=")</f>
        <v>#REF!</v>
      </c>
      <c r="IK156" t="e">
        <f>AND(Bills!C625,"AAAAAE3/4/Q=")</f>
        <v>#VALUE!</v>
      </c>
      <c r="IL156" t="e">
        <f>AND(Bills!D625,"AAAAAE3/4/U=")</f>
        <v>#VALUE!</v>
      </c>
      <c r="IM156" t="e">
        <f>AND(Bills!E625,"AAAAAE3/4/Y=")</f>
        <v>#VALUE!</v>
      </c>
      <c r="IN156" t="e">
        <f>AND(Bills!#REF!,"AAAAAE3/4/c=")</f>
        <v>#REF!</v>
      </c>
      <c r="IO156" t="e">
        <f>AND(Bills!#REF!,"AAAAAE3/4/g=")</f>
        <v>#REF!</v>
      </c>
      <c r="IP156" t="e">
        <f>AND(Bills!#REF!,"AAAAAE3/4/k=")</f>
        <v>#REF!</v>
      </c>
      <c r="IQ156" t="e">
        <f>AND(Bills!F625,"AAAAAE3/4/o=")</f>
        <v>#VALUE!</v>
      </c>
      <c r="IR156" t="e">
        <f>AND(Bills!#REF!,"AAAAAE3/4/s=")</f>
        <v>#REF!</v>
      </c>
      <c r="IS156" t="e">
        <f>AND(Bills!G625,"AAAAAE3/4/w=")</f>
        <v>#VALUE!</v>
      </c>
      <c r="IT156" t="e">
        <f>AND(Bills!H625,"AAAAAE3/4/0=")</f>
        <v>#VALUE!</v>
      </c>
      <c r="IU156" t="e">
        <f>AND(Bills!I625,"AAAAAE3/4/4=")</f>
        <v>#VALUE!</v>
      </c>
      <c r="IV156" t="e">
        <f>AND(Bills!J625,"AAAAAE3/4/8=")</f>
        <v>#VALUE!</v>
      </c>
    </row>
    <row r="157" spans="1:256" x14ac:dyDescent="0.25">
      <c r="A157" t="e">
        <f>AND(Bills!K625,"AAAAAFt29wA=")</f>
        <v>#VALUE!</v>
      </c>
      <c r="B157" t="e">
        <f>AND(Bills!L625,"AAAAAFt29wE=")</f>
        <v>#VALUE!</v>
      </c>
      <c r="C157" t="e">
        <f>AND(Bills!#REF!,"AAAAAFt29wI=")</f>
        <v>#REF!</v>
      </c>
      <c r="D157" t="e">
        <f>AND(Bills!M625,"AAAAAFt29wM=")</f>
        <v>#VALUE!</v>
      </c>
      <c r="E157" t="e">
        <f>AND(Bills!N625,"AAAAAFt29wQ=")</f>
        <v>#VALUE!</v>
      </c>
      <c r="F157" t="e">
        <f>AND(Bills!O625,"AAAAAFt29wU=")</f>
        <v>#VALUE!</v>
      </c>
      <c r="G157" t="e">
        <f>AND(Bills!P625,"AAAAAFt29wY=")</f>
        <v>#VALUE!</v>
      </c>
      <c r="H157" t="e">
        <f>AND(Bills!Q625,"AAAAAFt29wc=")</f>
        <v>#VALUE!</v>
      </c>
      <c r="I157" t="e">
        <f>AND(Bills!R625,"AAAAAFt29wg=")</f>
        <v>#VALUE!</v>
      </c>
      <c r="J157" t="e">
        <f>AND(Bills!S625,"AAAAAFt29wk=")</f>
        <v>#VALUE!</v>
      </c>
      <c r="K157" t="e">
        <f>AND(Bills!T625,"AAAAAFt29wo=")</f>
        <v>#VALUE!</v>
      </c>
      <c r="L157" t="e">
        <f>AND(Bills!#REF!,"AAAAAFt29ws=")</f>
        <v>#REF!</v>
      </c>
      <c r="M157" t="e">
        <f>AND(Bills!U625,"AAAAAFt29ww=")</f>
        <v>#VALUE!</v>
      </c>
      <c r="N157" t="e">
        <f>AND(Bills!V625,"AAAAAFt29w0=")</f>
        <v>#VALUE!</v>
      </c>
      <c r="O157" t="e">
        <f>AND(Bills!W625,"AAAAAFt29w4=")</f>
        <v>#VALUE!</v>
      </c>
      <c r="P157" t="e">
        <f>AND(Bills!#REF!,"AAAAAFt29w8=")</f>
        <v>#REF!</v>
      </c>
      <c r="Q157" t="e">
        <f>AND(Bills!#REF!,"AAAAAFt29xA=")</f>
        <v>#REF!</v>
      </c>
      <c r="R157" t="e">
        <f>AND(Bills!Y625,"AAAAAFt29xE=")</f>
        <v>#VALUE!</v>
      </c>
      <c r="S157" t="e">
        <f>AND(Bills!Z625,"AAAAAFt29xI=")</f>
        <v>#VALUE!</v>
      </c>
      <c r="T157" t="e">
        <f>AND(Bills!#REF!,"AAAAAFt29xM=")</f>
        <v>#REF!</v>
      </c>
      <c r="U157" t="e">
        <f>AND(Bills!#REF!,"AAAAAFt29xQ=")</f>
        <v>#REF!</v>
      </c>
      <c r="V157" t="e">
        <f>AND(Bills!#REF!,"AAAAAFt29xU=")</f>
        <v>#REF!</v>
      </c>
      <c r="W157" t="e">
        <f>AND(Bills!#REF!,"AAAAAFt29xY=")</f>
        <v>#REF!</v>
      </c>
      <c r="X157" t="e">
        <f>AND(Bills!#REF!,"AAAAAFt29xc=")</f>
        <v>#REF!</v>
      </c>
      <c r="Y157" t="e">
        <f>AND(Bills!#REF!,"AAAAAFt29xg=")</f>
        <v>#REF!</v>
      </c>
      <c r="Z157" t="e">
        <f>AND(Bills!#REF!,"AAAAAFt29xk=")</f>
        <v>#REF!</v>
      </c>
      <c r="AA157" t="e">
        <f>AND(Bills!#REF!,"AAAAAFt29xo=")</f>
        <v>#REF!</v>
      </c>
      <c r="AB157" t="e">
        <f>AND(Bills!#REF!,"AAAAAFt29xs=")</f>
        <v>#REF!</v>
      </c>
      <c r="AC157" t="e">
        <f>AND(Bills!AA625,"AAAAAFt29xw=")</f>
        <v>#VALUE!</v>
      </c>
      <c r="AD157" t="e">
        <f>AND(Bills!AB625,"AAAAAFt29x0=")</f>
        <v>#VALUE!</v>
      </c>
      <c r="AE157" t="e">
        <f>AND(Bills!#REF!,"AAAAAFt29x4=")</f>
        <v>#REF!</v>
      </c>
      <c r="AF157" t="e">
        <f>AND(Bills!#REF!,"AAAAAFt29x8=")</f>
        <v>#REF!</v>
      </c>
      <c r="AG157" t="e">
        <f>AND(Bills!#REF!,"AAAAAFt29yA=")</f>
        <v>#REF!</v>
      </c>
      <c r="AH157" t="e">
        <f>AND(Bills!AC625,"AAAAAFt29yE=")</f>
        <v>#VALUE!</v>
      </c>
      <c r="AI157" t="e">
        <f>AND(Bills!AD625,"AAAAAFt29yI=")</f>
        <v>#VALUE!</v>
      </c>
      <c r="AJ157" t="e">
        <f>AND(Bills!AE625,"AAAAAFt29yM=")</f>
        <v>#VALUE!</v>
      </c>
      <c r="AK157">
        <f>IF(Bills!626:626,"AAAAAFt29yQ=",0)</f>
        <v>0</v>
      </c>
      <c r="AL157" t="e">
        <f>AND(Bills!B626,"AAAAAFt29yU=")</f>
        <v>#VALUE!</v>
      </c>
      <c r="AM157" t="e">
        <f>AND(Bills!#REF!,"AAAAAFt29yY=")</f>
        <v>#REF!</v>
      </c>
      <c r="AN157" t="e">
        <f>AND(Bills!C626,"AAAAAFt29yc=")</f>
        <v>#VALUE!</v>
      </c>
      <c r="AO157" t="e">
        <f>AND(Bills!D626,"AAAAAFt29yg=")</f>
        <v>#VALUE!</v>
      </c>
      <c r="AP157" t="e">
        <f>AND(Bills!E626,"AAAAAFt29yk=")</f>
        <v>#VALUE!</v>
      </c>
      <c r="AQ157" t="e">
        <f>AND(Bills!#REF!,"AAAAAFt29yo=")</f>
        <v>#REF!</v>
      </c>
      <c r="AR157" t="e">
        <f>AND(Bills!#REF!,"AAAAAFt29ys=")</f>
        <v>#REF!</v>
      </c>
      <c r="AS157" t="e">
        <f>AND(Bills!#REF!,"AAAAAFt29yw=")</f>
        <v>#REF!</v>
      </c>
      <c r="AT157" t="e">
        <f>AND(Bills!F626,"AAAAAFt29y0=")</f>
        <v>#VALUE!</v>
      </c>
      <c r="AU157" t="e">
        <f>AND(Bills!#REF!,"AAAAAFt29y4=")</f>
        <v>#REF!</v>
      </c>
      <c r="AV157" t="e">
        <f>AND(Bills!G626,"AAAAAFt29y8=")</f>
        <v>#VALUE!</v>
      </c>
      <c r="AW157" t="e">
        <f>AND(Bills!H626,"AAAAAFt29zA=")</f>
        <v>#VALUE!</v>
      </c>
      <c r="AX157" t="e">
        <f>AND(Bills!I626,"AAAAAFt29zE=")</f>
        <v>#VALUE!</v>
      </c>
      <c r="AY157" t="e">
        <f>AND(Bills!J626,"AAAAAFt29zI=")</f>
        <v>#VALUE!</v>
      </c>
      <c r="AZ157" t="e">
        <f>AND(Bills!K626,"AAAAAFt29zM=")</f>
        <v>#VALUE!</v>
      </c>
      <c r="BA157" t="e">
        <f>AND(Bills!L626,"AAAAAFt29zQ=")</f>
        <v>#VALUE!</v>
      </c>
      <c r="BB157" t="e">
        <f>AND(Bills!#REF!,"AAAAAFt29zU=")</f>
        <v>#REF!</v>
      </c>
      <c r="BC157" t="e">
        <f>AND(Bills!M626,"AAAAAFt29zY=")</f>
        <v>#VALUE!</v>
      </c>
      <c r="BD157" t="e">
        <f>AND(Bills!N626,"AAAAAFt29zc=")</f>
        <v>#VALUE!</v>
      </c>
      <c r="BE157" t="e">
        <f>AND(Bills!O626,"AAAAAFt29zg=")</f>
        <v>#VALUE!</v>
      </c>
      <c r="BF157" t="e">
        <f>AND(Bills!P626,"AAAAAFt29zk=")</f>
        <v>#VALUE!</v>
      </c>
      <c r="BG157" t="e">
        <f>AND(Bills!Q626,"AAAAAFt29zo=")</f>
        <v>#VALUE!</v>
      </c>
      <c r="BH157" t="e">
        <f>AND(Bills!R626,"AAAAAFt29zs=")</f>
        <v>#VALUE!</v>
      </c>
      <c r="BI157" t="e">
        <f>AND(Bills!S626,"AAAAAFt29zw=")</f>
        <v>#VALUE!</v>
      </c>
      <c r="BJ157" t="e">
        <f>AND(Bills!T626,"AAAAAFt29z0=")</f>
        <v>#VALUE!</v>
      </c>
      <c r="BK157" t="e">
        <f>AND(Bills!#REF!,"AAAAAFt29z4=")</f>
        <v>#REF!</v>
      </c>
      <c r="BL157" t="e">
        <f>AND(Bills!U626,"AAAAAFt29z8=")</f>
        <v>#VALUE!</v>
      </c>
      <c r="BM157" t="e">
        <f>AND(Bills!V626,"AAAAAFt290A=")</f>
        <v>#VALUE!</v>
      </c>
      <c r="BN157" t="e">
        <f>AND(Bills!W626,"AAAAAFt290E=")</f>
        <v>#VALUE!</v>
      </c>
      <c r="BO157" t="e">
        <f>AND(Bills!#REF!,"AAAAAFt290I=")</f>
        <v>#REF!</v>
      </c>
      <c r="BP157" t="e">
        <f>AND(Bills!#REF!,"AAAAAFt290M=")</f>
        <v>#REF!</v>
      </c>
      <c r="BQ157" t="e">
        <f>AND(Bills!Y626,"AAAAAFt290Q=")</f>
        <v>#VALUE!</v>
      </c>
      <c r="BR157" t="e">
        <f>AND(Bills!Z626,"AAAAAFt290U=")</f>
        <v>#VALUE!</v>
      </c>
      <c r="BS157" t="e">
        <f>AND(Bills!#REF!,"AAAAAFt290Y=")</f>
        <v>#REF!</v>
      </c>
      <c r="BT157" t="e">
        <f>AND(Bills!#REF!,"AAAAAFt290c=")</f>
        <v>#REF!</v>
      </c>
      <c r="BU157" t="e">
        <f>AND(Bills!#REF!,"AAAAAFt290g=")</f>
        <v>#REF!</v>
      </c>
      <c r="BV157" t="e">
        <f>AND(Bills!#REF!,"AAAAAFt290k=")</f>
        <v>#REF!</v>
      </c>
      <c r="BW157" t="e">
        <f>AND(Bills!#REF!,"AAAAAFt290o=")</f>
        <v>#REF!</v>
      </c>
      <c r="BX157" t="e">
        <f>AND(Bills!#REF!,"AAAAAFt290s=")</f>
        <v>#REF!</v>
      </c>
      <c r="BY157" t="e">
        <f>AND(Bills!#REF!,"AAAAAFt290w=")</f>
        <v>#REF!</v>
      </c>
      <c r="BZ157" t="e">
        <f>AND(Bills!#REF!,"AAAAAFt2900=")</f>
        <v>#REF!</v>
      </c>
      <c r="CA157" t="e">
        <f>AND(Bills!#REF!,"AAAAAFt2904=")</f>
        <v>#REF!</v>
      </c>
      <c r="CB157" t="e">
        <f>AND(Bills!AA626,"AAAAAFt2908=")</f>
        <v>#VALUE!</v>
      </c>
      <c r="CC157" t="e">
        <f>AND(Bills!AB626,"AAAAAFt291A=")</f>
        <v>#VALUE!</v>
      </c>
      <c r="CD157" t="e">
        <f>AND(Bills!#REF!,"AAAAAFt291E=")</f>
        <v>#REF!</v>
      </c>
      <c r="CE157" t="e">
        <f>AND(Bills!#REF!,"AAAAAFt291I=")</f>
        <v>#REF!</v>
      </c>
      <c r="CF157" t="e">
        <f>AND(Bills!#REF!,"AAAAAFt291M=")</f>
        <v>#REF!</v>
      </c>
      <c r="CG157" t="e">
        <f>AND(Bills!AC626,"AAAAAFt291Q=")</f>
        <v>#VALUE!</v>
      </c>
      <c r="CH157" t="e">
        <f>AND(Bills!AD626,"AAAAAFt291U=")</f>
        <v>#VALUE!</v>
      </c>
      <c r="CI157" t="e">
        <f>AND(Bills!AE626,"AAAAAFt291Y=")</f>
        <v>#VALUE!</v>
      </c>
      <c r="CJ157">
        <f>IF(Bills!627:627,"AAAAAFt291c=",0)</f>
        <v>0</v>
      </c>
      <c r="CK157" t="e">
        <f>AND(Bills!B627,"AAAAAFt291g=")</f>
        <v>#VALUE!</v>
      </c>
      <c r="CL157" t="e">
        <f>AND(Bills!#REF!,"AAAAAFt291k=")</f>
        <v>#REF!</v>
      </c>
      <c r="CM157" t="e">
        <f>AND(Bills!C627,"AAAAAFt291o=")</f>
        <v>#VALUE!</v>
      </c>
      <c r="CN157" t="e">
        <f>AND(Bills!D627,"AAAAAFt291s=")</f>
        <v>#VALUE!</v>
      </c>
      <c r="CO157" t="e">
        <f>AND(Bills!E627,"AAAAAFt291w=")</f>
        <v>#VALUE!</v>
      </c>
      <c r="CP157" t="e">
        <f>AND(Bills!#REF!,"AAAAAFt2910=")</f>
        <v>#REF!</v>
      </c>
      <c r="CQ157" t="e">
        <f>AND(Bills!#REF!,"AAAAAFt2914=")</f>
        <v>#REF!</v>
      </c>
      <c r="CR157" t="e">
        <f>AND(Bills!#REF!,"AAAAAFt2918=")</f>
        <v>#REF!</v>
      </c>
      <c r="CS157" t="e">
        <f>AND(Bills!F627,"AAAAAFt292A=")</f>
        <v>#VALUE!</v>
      </c>
      <c r="CT157" t="e">
        <f>AND(Bills!#REF!,"AAAAAFt292E=")</f>
        <v>#REF!</v>
      </c>
      <c r="CU157" t="e">
        <f>AND(Bills!G627,"AAAAAFt292I=")</f>
        <v>#VALUE!</v>
      </c>
      <c r="CV157" t="e">
        <f>AND(Bills!H627,"AAAAAFt292M=")</f>
        <v>#VALUE!</v>
      </c>
      <c r="CW157" t="e">
        <f>AND(Bills!I627,"AAAAAFt292Q=")</f>
        <v>#VALUE!</v>
      </c>
      <c r="CX157" t="e">
        <f>AND(Bills!J627,"AAAAAFt292U=")</f>
        <v>#VALUE!</v>
      </c>
      <c r="CY157" t="e">
        <f>AND(Bills!K627,"AAAAAFt292Y=")</f>
        <v>#VALUE!</v>
      </c>
      <c r="CZ157" t="e">
        <f>AND(Bills!L627,"AAAAAFt292c=")</f>
        <v>#VALUE!</v>
      </c>
      <c r="DA157" t="e">
        <f>AND(Bills!#REF!,"AAAAAFt292g=")</f>
        <v>#REF!</v>
      </c>
      <c r="DB157" t="e">
        <f>AND(Bills!M627,"AAAAAFt292k=")</f>
        <v>#VALUE!</v>
      </c>
      <c r="DC157" t="e">
        <f>AND(Bills!N627,"AAAAAFt292o=")</f>
        <v>#VALUE!</v>
      </c>
      <c r="DD157" t="e">
        <f>AND(Bills!O627,"AAAAAFt292s=")</f>
        <v>#VALUE!</v>
      </c>
      <c r="DE157" t="e">
        <f>AND(Bills!P627,"AAAAAFt292w=")</f>
        <v>#VALUE!</v>
      </c>
      <c r="DF157" t="e">
        <f>AND(Bills!Q627,"AAAAAFt2920=")</f>
        <v>#VALUE!</v>
      </c>
      <c r="DG157" t="e">
        <f>AND(Bills!R627,"AAAAAFt2924=")</f>
        <v>#VALUE!</v>
      </c>
      <c r="DH157" t="e">
        <f>AND(Bills!S627,"AAAAAFt2928=")</f>
        <v>#VALUE!</v>
      </c>
      <c r="DI157" t="e">
        <f>AND(Bills!T627,"AAAAAFt293A=")</f>
        <v>#VALUE!</v>
      </c>
      <c r="DJ157" t="e">
        <f>AND(Bills!#REF!,"AAAAAFt293E=")</f>
        <v>#REF!</v>
      </c>
      <c r="DK157" t="e">
        <f>AND(Bills!U627,"AAAAAFt293I=")</f>
        <v>#VALUE!</v>
      </c>
      <c r="DL157" t="e">
        <f>AND(Bills!V627,"AAAAAFt293M=")</f>
        <v>#VALUE!</v>
      </c>
      <c r="DM157" t="e">
        <f>AND(Bills!W627,"AAAAAFt293Q=")</f>
        <v>#VALUE!</v>
      </c>
      <c r="DN157" t="e">
        <f>AND(Bills!#REF!,"AAAAAFt293U=")</f>
        <v>#REF!</v>
      </c>
      <c r="DO157" t="e">
        <f>AND(Bills!#REF!,"AAAAAFt293Y=")</f>
        <v>#REF!</v>
      </c>
      <c r="DP157" t="e">
        <f>AND(Bills!Y627,"AAAAAFt293c=")</f>
        <v>#VALUE!</v>
      </c>
      <c r="DQ157" t="e">
        <f>AND(Bills!Z627,"AAAAAFt293g=")</f>
        <v>#VALUE!</v>
      </c>
      <c r="DR157" t="e">
        <f>AND(Bills!#REF!,"AAAAAFt293k=")</f>
        <v>#REF!</v>
      </c>
      <c r="DS157" t="e">
        <f>AND(Bills!#REF!,"AAAAAFt293o=")</f>
        <v>#REF!</v>
      </c>
      <c r="DT157" t="e">
        <f>AND(Bills!#REF!,"AAAAAFt293s=")</f>
        <v>#REF!</v>
      </c>
      <c r="DU157" t="e">
        <f>AND(Bills!#REF!,"AAAAAFt293w=")</f>
        <v>#REF!</v>
      </c>
      <c r="DV157" t="e">
        <f>AND(Bills!#REF!,"AAAAAFt2930=")</f>
        <v>#REF!</v>
      </c>
      <c r="DW157" t="e">
        <f>AND(Bills!#REF!,"AAAAAFt2934=")</f>
        <v>#REF!</v>
      </c>
      <c r="DX157" t="e">
        <f>AND(Bills!#REF!,"AAAAAFt2938=")</f>
        <v>#REF!</v>
      </c>
      <c r="DY157" t="e">
        <f>AND(Bills!#REF!,"AAAAAFt294A=")</f>
        <v>#REF!</v>
      </c>
      <c r="DZ157" t="e">
        <f>AND(Bills!#REF!,"AAAAAFt294E=")</f>
        <v>#REF!</v>
      </c>
      <c r="EA157" t="e">
        <f>AND(Bills!AA627,"AAAAAFt294I=")</f>
        <v>#VALUE!</v>
      </c>
      <c r="EB157" t="e">
        <f>AND(Bills!AB627,"AAAAAFt294M=")</f>
        <v>#VALUE!</v>
      </c>
      <c r="EC157" t="e">
        <f>AND(Bills!#REF!,"AAAAAFt294Q=")</f>
        <v>#REF!</v>
      </c>
      <c r="ED157" t="e">
        <f>AND(Bills!#REF!,"AAAAAFt294U=")</f>
        <v>#REF!</v>
      </c>
      <c r="EE157" t="e">
        <f>AND(Bills!#REF!,"AAAAAFt294Y=")</f>
        <v>#REF!</v>
      </c>
      <c r="EF157" t="e">
        <f>AND(Bills!AC627,"AAAAAFt294c=")</f>
        <v>#VALUE!</v>
      </c>
      <c r="EG157" t="e">
        <f>AND(Bills!AD627,"AAAAAFt294g=")</f>
        <v>#VALUE!</v>
      </c>
      <c r="EH157" t="e">
        <f>AND(Bills!AE627,"AAAAAFt294k=")</f>
        <v>#VALUE!</v>
      </c>
      <c r="EI157">
        <f>IF(Bills!628:628,"AAAAAFt294o=",0)</f>
        <v>0</v>
      </c>
      <c r="EJ157" t="e">
        <f>AND(Bills!B628,"AAAAAFt294s=")</f>
        <v>#VALUE!</v>
      </c>
      <c r="EK157" t="e">
        <f>AND(Bills!#REF!,"AAAAAFt294w=")</f>
        <v>#REF!</v>
      </c>
      <c r="EL157" t="e">
        <f>AND(Bills!C628,"AAAAAFt2940=")</f>
        <v>#VALUE!</v>
      </c>
      <c r="EM157" t="e">
        <f>AND(Bills!D628,"AAAAAFt2944=")</f>
        <v>#VALUE!</v>
      </c>
      <c r="EN157" t="e">
        <f>AND(Bills!E628,"AAAAAFt2948=")</f>
        <v>#VALUE!</v>
      </c>
      <c r="EO157" t="e">
        <f>AND(Bills!#REF!,"AAAAAFt295A=")</f>
        <v>#REF!</v>
      </c>
      <c r="EP157" t="e">
        <f>AND(Bills!#REF!,"AAAAAFt295E=")</f>
        <v>#REF!</v>
      </c>
      <c r="EQ157" t="e">
        <f>AND(Bills!#REF!,"AAAAAFt295I=")</f>
        <v>#REF!</v>
      </c>
      <c r="ER157" t="e">
        <f>AND(Bills!F628,"AAAAAFt295M=")</f>
        <v>#VALUE!</v>
      </c>
      <c r="ES157" t="e">
        <f>AND(Bills!#REF!,"AAAAAFt295Q=")</f>
        <v>#REF!</v>
      </c>
      <c r="ET157" t="e">
        <f>AND(Bills!G628,"AAAAAFt295U=")</f>
        <v>#VALUE!</v>
      </c>
      <c r="EU157" t="e">
        <f>AND(Bills!H628,"AAAAAFt295Y=")</f>
        <v>#VALUE!</v>
      </c>
      <c r="EV157" t="e">
        <f>AND(Bills!I628,"AAAAAFt295c=")</f>
        <v>#VALUE!</v>
      </c>
      <c r="EW157" t="e">
        <f>AND(Bills!J628,"AAAAAFt295g=")</f>
        <v>#VALUE!</v>
      </c>
      <c r="EX157" t="e">
        <f>AND(Bills!K628,"AAAAAFt295k=")</f>
        <v>#VALUE!</v>
      </c>
      <c r="EY157" t="e">
        <f>AND(Bills!L628,"AAAAAFt295o=")</f>
        <v>#VALUE!</v>
      </c>
      <c r="EZ157" t="e">
        <f>AND(Bills!#REF!,"AAAAAFt295s=")</f>
        <v>#REF!</v>
      </c>
      <c r="FA157" t="e">
        <f>AND(Bills!M628,"AAAAAFt295w=")</f>
        <v>#VALUE!</v>
      </c>
      <c r="FB157" t="e">
        <f>AND(Bills!N628,"AAAAAFt2950=")</f>
        <v>#VALUE!</v>
      </c>
      <c r="FC157" t="e">
        <f>AND(Bills!O628,"AAAAAFt2954=")</f>
        <v>#VALUE!</v>
      </c>
      <c r="FD157" t="e">
        <f>AND(Bills!P628,"AAAAAFt2958=")</f>
        <v>#VALUE!</v>
      </c>
      <c r="FE157" t="e">
        <f>AND(Bills!Q628,"AAAAAFt296A=")</f>
        <v>#VALUE!</v>
      </c>
      <c r="FF157" t="e">
        <f>AND(Bills!R628,"AAAAAFt296E=")</f>
        <v>#VALUE!</v>
      </c>
      <c r="FG157" t="e">
        <f>AND(Bills!S628,"AAAAAFt296I=")</f>
        <v>#VALUE!</v>
      </c>
      <c r="FH157" t="e">
        <f>AND(Bills!T628,"AAAAAFt296M=")</f>
        <v>#VALUE!</v>
      </c>
      <c r="FI157" t="e">
        <f>AND(Bills!#REF!,"AAAAAFt296Q=")</f>
        <v>#REF!</v>
      </c>
      <c r="FJ157" t="e">
        <f>AND(Bills!U628,"AAAAAFt296U=")</f>
        <v>#VALUE!</v>
      </c>
      <c r="FK157" t="e">
        <f>AND(Bills!V628,"AAAAAFt296Y=")</f>
        <v>#VALUE!</v>
      </c>
      <c r="FL157" t="e">
        <f>AND(Bills!W628,"AAAAAFt296c=")</f>
        <v>#VALUE!</v>
      </c>
      <c r="FM157" t="e">
        <f>AND(Bills!#REF!,"AAAAAFt296g=")</f>
        <v>#REF!</v>
      </c>
      <c r="FN157" t="e">
        <f>AND(Bills!#REF!,"AAAAAFt296k=")</f>
        <v>#REF!</v>
      </c>
      <c r="FO157" t="e">
        <f>AND(Bills!Y628,"AAAAAFt296o=")</f>
        <v>#VALUE!</v>
      </c>
      <c r="FP157" t="e">
        <f>AND(Bills!Z628,"AAAAAFt296s=")</f>
        <v>#VALUE!</v>
      </c>
      <c r="FQ157" t="e">
        <f>AND(Bills!#REF!,"AAAAAFt296w=")</f>
        <v>#REF!</v>
      </c>
      <c r="FR157" t="e">
        <f>AND(Bills!#REF!,"AAAAAFt2960=")</f>
        <v>#REF!</v>
      </c>
      <c r="FS157" t="e">
        <f>AND(Bills!#REF!,"AAAAAFt2964=")</f>
        <v>#REF!</v>
      </c>
      <c r="FT157" t="e">
        <f>AND(Bills!#REF!,"AAAAAFt2968=")</f>
        <v>#REF!</v>
      </c>
      <c r="FU157" t="e">
        <f>AND(Bills!#REF!,"AAAAAFt297A=")</f>
        <v>#REF!</v>
      </c>
      <c r="FV157" t="e">
        <f>AND(Bills!#REF!,"AAAAAFt297E=")</f>
        <v>#REF!</v>
      </c>
      <c r="FW157" t="e">
        <f>AND(Bills!#REF!,"AAAAAFt297I=")</f>
        <v>#REF!</v>
      </c>
      <c r="FX157" t="e">
        <f>AND(Bills!#REF!,"AAAAAFt297M=")</f>
        <v>#REF!</v>
      </c>
      <c r="FY157" t="e">
        <f>AND(Bills!#REF!,"AAAAAFt297Q=")</f>
        <v>#REF!</v>
      </c>
      <c r="FZ157" t="e">
        <f>AND(Bills!AA628,"AAAAAFt297U=")</f>
        <v>#VALUE!</v>
      </c>
      <c r="GA157" t="e">
        <f>AND(Bills!AB628,"AAAAAFt297Y=")</f>
        <v>#VALUE!</v>
      </c>
      <c r="GB157" t="e">
        <f>AND(Bills!#REF!,"AAAAAFt297c=")</f>
        <v>#REF!</v>
      </c>
      <c r="GC157" t="e">
        <f>AND(Bills!#REF!,"AAAAAFt297g=")</f>
        <v>#REF!</v>
      </c>
      <c r="GD157" t="e">
        <f>AND(Bills!#REF!,"AAAAAFt297k=")</f>
        <v>#REF!</v>
      </c>
      <c r="GE157" t="e">
        <f>AND(Bills!AC628,"AAAAAFt297o=")</f>
        <v>#VALUE!</v>
      </c>
      <c r="GF157" t="e">
        <f>AND(Bills!AD628,"AAAAAFt297s=")</f>
        <v>#VALUE!</v>
      </c>
      <c r="GG157" t="e">
        <f>AND(Bills!AE628,"AAAAAFt297w=")</f>
        <v>#VALUE!</v>
      </c>
      <c r="GH157">
        <f>IF(Bills!629:629,"AAAAAFt2970=",0)</f>
        <v>0</v>
      </c>
      <c r="GI157" t="e">
        <f>AND(Bills!B629,"AAAAAFt2974=")</f>
        <v>#VALUE!</v>
      </c>
      <c r="GJ157" t="e">
        <f>AND(Bills!#REF!,"AAAAAFt2978=")</f>
        <v>#REF!</v>
      </c>
      <c r="GK157" t="e">
        <f>AND(Bills!C629,"AAAAAFt298A=")</f>
        <v>#VALUE!</v>
      </c>
      <c r="GL157" t="e">
        <f>AND(Bills!D629,"AAAAAFt298E=")</f>
        <v>#VALUE!</v>
      </c>
      <c r="GM157" t="e">
        <f>AND(Bills!E629,"AAAAAFt298I=")</f>
        <v>#VALUE!</v>
      </c>
      <c r="GN157" t="e">
        <f>AND(Bills!#REF!,"AAAAAFt298M=")</f>
        <v>#REF!</v>
      </c>
      <c r="GO157" t="e">
        <f>AND(Bills!#REF!,"AAAAAFt298Q=")</f>
        <v>#REF!</v>
      </c>
      <c r="GP157" t="e">
        <f>AND(Bills!#REF!,"AAAAAFt298U=")</f>
        <v>#REF!</v>
      </c>
      <c r="GQ157" t="e">
        <f>AND(Bills!F629,"AAAAAFt298Y=")</f>
        <v>#VALUE!</v>
      </c>
      <c r="GR157" t="e">
        <f>AND(Bills!#REF!,"AAAAAFt298c=")</f>
        <v>#REF!</v>
      </c>
      <c r="GS157" t="e">
        <f>AND(Bills!G629,"AAAAAFt298g=")</f>
        <v>#VALUE!</v>
      </c>
      <c r="GT157" t="e">
        <f>AND(Bills!H629,"AAAAAFt298k=")</f>
        <v>#VALUE!</v>
      </c>
      <c r="GU157" t="e">
        <f>AND(Bills!I629,"AAAAAFt298o=")</f>
        <v>#VALUE!</v>
      </c>
      <c r="GV157" t="e">
        <f>AND(Bills!J629,"AAAAAFt298s=")</f>
        <v>#VALUE!</v>
      </c>
      <c r="GW157" t="e">
        <f>AND(Bills!K629,"AAAAAFt298w=")</f>
        <v>#VALUE!</v>
      </c>
      <c r="GX157" t="e">
        <f>AND(Bills!L629,"AAAAAFt2980=")</f>
        <v>#VALUE!</v>
      </c>
      <c r="GY157" t="e">
        <f>AND(Bills!#REF!,"AAAAAFt2984=")</f>
        <v>#REF!</v>
      </c>
      <c r="GZ157" t="e">
        <f>AND(Bills!M629,"AAAAAFt2988=")</f>
        <v>#VALUE!</v>
      </c>
      <c r="HA157" t="e">
        <f>AND(Bills!N629,"AAAAAFt299A=")</f>
        <v>#VALUE!</v>
      </c>
      <c r="HB157" t="e">
        <f>AND(Bills!O629,"AAAAAFt299E=")</f>
        <v>#VALUE!</v>
      </c>
      <c r="HC157" t="e">
        <f>AND(Bills!P629,"AAAAAFt299I=")</f>
        <v>#VALUE!</v>
      </c>
      <c r="HD157" t="e">
        <f>AND(Bills!Q629,"AAAAAFt299M=")</f>
        <v>#VALUE!</v>
      </c>
      <c r="HE157" t="e">
        <f>AND(Bills!R629,"AAAAAFt299Q=")</f>
        <v>#VALUE!</v>
      </c>
      <c r="HF157" t="e">
        <f>AND(Bills!S629,"AAAAAFt299U=")</f>
        <v>#VALUE!</v>
      </c>
      <c r="HG157" t="e">
        <f>AND(Bills!T629,"AAAAAFt299Y=")</f>
        <v>#VALUE!</v>
      </c>
      <c r="HH157" t="e">
        <f>AND(Bills!#REF!,"AAAAAFt299c=")</f>
        <v>#REF!</v>
      </c>
      <c r="HI157" t="e">
        <f>AND(Bills!U629,"AAAAAFt299g=")</f>
        <v>#VALUE!</v>
      </c>
      <c r="HJ157" t="e">
        <f>AND(Bills!V629,"AAAAAFt299k=")</f>
        <v>#VALUE!</v>
      </c>
      <c r="HK157" t="e">
        <f>AND(Bills!W629,"AAAAAFt299o=")</f>
        <v>#VALUE!</v>
      </c>
      <c r="HL157" t="e">
        <f>AND(Bills!#REF!,"AAAAAFt299s=")</f>
        <v>#REF!</v>
      </c>
      <c r="HM157" t="e">
        <f>AND(Bills!#REF!,"AAAAAFt299w=")</f>
        <v>#REF!</v>
      </c>
      <c r="HN157" t="e">
        <f>AND(Bills!Y629,"AAAAAFt2990=")</f>
        <v>#VALUE!</v>
      </c>
      <c r="HO157" t="e">
        <f>AND(Bills!Z629,"AAAAAFt2994=")</f>
        <v>#VALUE!</v>
      </c>
      <c r="HP157" t="e">
        <f>AND(Bills!#REF!,"AAAAAFt2998=")</f>
        <v>#REF!</v>
      </c>
      <c r="HQ157" t="e">
        <f>AND(Bills!#REF!,"AAAAAFt29+A=")</f>
        <v>#REF!</v>
      </c>
      <c r="HR157" t="e">
        <f>AND(Bills!#REF!,"AAAAAFt29+E=")</f>
        <v>#REF!</v>
      </c>
      <c r="HS157" t="e">
        <f>AND(Bills!#REF!,"AAAAAFt29+I=")</f>
        <v>#REF!</v>
      </c>
      <c r="HT157" t="e">
        <f>AND(Bills!#REF!,"AAAAAFt29+M=")</f>
        <v>#REF!</v>
      </c>
      <c r="HU157" t="e">
        <f>AND(Bills!#REF!,"AAAAAFt29+Q=")</f>
        <v>#REF!</v>
      </c>
      <c r="HV157" t="e">
        <f>AND(Bills!#REF!,"AAAAAFt29+U=")</f>
        <v>#REF!</v>
      </c>
      <c r="HW157" t="e">
        <f>AND(Bills!#REF!,"AAAAAFt29+Y=")</f>
        <v>#REF!</v>
      </c>
      <c r="HX157" t="e">
        <f>AND(Bills!#REF!,"AAAAAFt29+c=")</f>
        <v>#REF!</v>
      </c>
      <c r="HY157" t="e">
        <f>AND(Bills!AA629,"AAAAAFt29+g=")</f>
        <v>#VALUE!</v>
      </c>
      <c r="HZ157" t="e">
        <f>AND(Bills!AB629,"AAAAAFt29+k=")</f>
        <v>#VALUE!</v>
      </c>
      <c r="IA157" t="e">
        <f>AND(Bills!#REF!,"AAAAAFt29+o=")</f>
        <v>#REF!</v>
      </c>
      <c r="IB157" t="e">
        <f>AND(Bills!#REF!,"AAAAAFt29+s=")</f>
        <v>#REF!</v>
      </c>
      <c r="IC157" t="e">
        <f>AND(Bills!#REF!,"AAAAAFt29+w=")</f>
        <v>#REF!</v>
      </c>
      <c r="ID157" t="e">
        <f>AND(Bills!AC629,"AAAAAFt29+0=")</f>
        <v>#VALUE!</v>
      </c>
      <c r="IE157" t="e">
        <f>AND(Bills!AD629,"AAAAAFt29+4=")</f>
        <v>#VALUE!</v>
      </c>
      <c r="IF157" t="e">
        <f>AND(Bills!AE629,"AAAAAFt29+8=")</f>
        <v>#VALUE!</v>
      </c>
      <c r="IG157">
        <f>IF(Bills!630:630,"AAAAAFt29/A=",0)</f>
        <v>0</v>
      </c>
      <c r="IH157" t="e">
        <f>AND(Bills!B630,"AAAAAFt29/E=")</f>
        <v>#VALUE!</v>
      </c>
      <c r="II157" t="e">
        <f>AND(Bills!#REF!,"AAAAAFt29/I=")</f>
        <v>#REF!</v>
      </c>
      <c r="IJ157" t="e">
        <f>AND(Bills!C630,"AAAAAFt29/M=")</f>
        <v>#VALUE!</v>
      </c>
      <c r="IK157" t="e">
        <f>AND(Bills!D630,"AAAAAFt29/Q=")</f>
        <v>#VALUE!</v>
      </c>
      <c r="IL157" t="e">
        <f>AND(Bills!E630,"AAAAAFt29/U=")</f>
        <v>#VALUE!</v>
      </c>
      <c r="IM157" t="e">
        <f>AND(Bills!#REF!,"AAAAAFt29/Y=")</f>
        <v>#REF!</v>
      </c>
      <c r="IN157" t="e">
        <f>AND(Bills!#REF!,"AAAAAFt29/c=")</f>
        <v>#REF!</v>
      </c>
      <c r="IO157" t="e">
        <f>AND(Bills!#REF!,"AAAAAFt29/g=")</f>
        <v>#REF!</v>
      </c>
      <c r="IP157" t="e">
        <f>AND(Bills!F630,"AAAAAFt29/k=")</f>
        <v>#VALUE!</v>
      </c>
      <c r="IQ157" t="e">
        <f>AND(Bills!#REF!,"AAAAAFt29/o=")</f>
        <v>#REF!</v>
      </c>
      <c r="IR157" t="e">
        <f>AND(Bills!G630,"AAAAAFt29/s=")</f>
        <v>#VALUE!</v>
      </c>
      <c r="IS157" t="e">
        <f>AND(Bills!H630,"AAAAAFt29/w=")</f>
        <v>#VALUE!</v>
      </c>
      <c r="IT157" t="e">
        <f>AND(Bills!I630,"AAAAAFt29/0=")</f>
        <v>#VALUE!</v>
      </c>
      <c r="IU157" t="e">
        <f>AND(Bills!J630,"AAAAAFt29/4=")</f>
        <v>#VALUE!</v>
      </c>
      <c r="IV157" t="e">
        <f>AND(Bills!K630,"AAAAAFt29/8=")</f>
        <v>#VALUE!</v>
      </c>
    </row>
    <row r="158" spans="1:256" x14ac:dyDescent="0.25">
      <c r="A158" t="e">
        <f>AND(Bills!L630,"AAAAAH+1fwA=")</f>
        <v>#VALUE!</v>
      </c>
      <c r="B158" t="e">
        <f>AND(Bills!#REF!,"AAAAAH+1fwE=")</f>
        <v>#REF!</v>
      </c>
      <c r="C158" t="e">
        <f>AND(Bills!M630,"AAAAAH+1fwI=")</f>
        <v>#VALUE!</v>
      </c>
      <c r="D158" t="e">
        <f>AND(Bills!N630,"AAAAAH+1fwM=")</f>
        <v>#VALUE!</v>
      </c>
      <c r="E158" t="e">
        <f>AND(Bills!O630,"AAAAAH+1fwQ=")</f>
        <v>#VALUE!</v>
      </c>
      <c r="F158" t="e">
        <f>AND(Bills!P630,"AAAAAH+1fwU=")</f>
        <v>#VALUE!</v>
      </c>
      <c r="G158" t="e">
        <f>AND(Bills!Q630,"AAAAAH+1fwY=")</f>
        <v>#VALUE!</v>
      </c>
      <c r="H158" t="e">
        <f>AND(Bills!R630,"AAAAAH+1fwc=")</f>
        <v>#VALUE!</v>
      </c>
      <c r="I158" t="e">
        <f>AND(Bills!S630,"AAAAAH+1fwg=")</f>
        <v>#VALUE!</v>
      </c>
      <c r="J158" t="e">
        <f>AND(Bills!T630,"AAAAAH+1fwk=")</f>
        <v>#VALUE!</v>
      </c>
      <c r="K158" t="e">
        <f>AND(Bills!#REF!,"AAAAAH+1fwo=")</f>
        <v>#REF!</v>
      </c>
      <c r="L158" t="e">
        <f>AND(Bills!U630,"AAAAAH+1fws=")</f>
        <v>#VALUE!</v>
      </c>
      <c r="M158" t="e">
        <f>AND(Bills!V630,"AAAAAH+1fww=")</f>
        <v>#VALUE!</v>
      </c>
      <c r="N158" t="e">
        <f>AND(Bills!W630,"AAAAAH+1fw0=")</f>
        <v>#VALUE!</v>
      </c>
      <c r="O158" t="e">
        <f>AND(Bills!#REF!,"AAAAAH+1fw4=")</f>
        <v>#REF!</v>
      </c>
      <c r="P158" t="e">
        <f>AND(Bills!#REF!,"AAAAAH+1fw8=")</f>
        <v>#REF!</v>
      </c>
      <c r="Q158" t="e">
        <f>AND(Bills!Y630,"AAAAAH+1fxA=")</f>
        <v>#VALUE!</v>
      </c>
      <c r="R158" t="e">
        <f>AND(Bills!Z630,"AAAAAH+1fxE=")</f>
        <v>#VALUE!</v>
      </c>
      <c r="S158" t="e">
        <f>AND(Bills!#REF!,"AAAAAH+1fxI=")</f>
        <v>#REF!</v>
      </c>
      <c r="T158" t="e">
        <f>AND(Bills!#REF!,"AAAAAH+1fxM=")</f>
        <v>#REF!</v>
      </c>
      <c r="U158" t="e">
        <f>AND(Bills!#REF!,"AAAAAH+1fxQ=")</f>
        <v>#REF!</v>
      </c>
      <c r="V158" t="e">
        <f>AND(Bills!#REF!,"AAAAAH+1fxU=")</f>
        <v>#REF!</v>
      </c>
      <c r="W158" t="e">
        <f>AND(Bills!#REF!,"AAAAAH+1fxY=")</f>
        <v>#REF!</v>
      </c>
      <c r="X158" t="e">
        <f>AND(Bills!#REF!,"AAAAAH+1fxc=")</f>
        <v>#REF!</v>
      </c>
      <c r="Y158" t="e">
        <f>AND(Bills!#REF!,"AAAAAH+1fxg=")</f>
        <v>#REF!</v>
      </c>
      <c r="Z158" t="e">
        <f>AND(Bills!#REF!,"AAAAAH+1fxk=")</f>
        <v>#REF!</v>
      </c>
      <c r="AA158" t="e">
        <f>AND(Bills!#REF!,"AAAAAH+1fxo=")</f>
        <v>#REF!</v>
      </c>
      <c r="AB158" t="e">
        <f>AND(Bills!AA630,"AAAAAH+1fxs=")</f>
        <v>#VALUE!</v>
      </c>
      <c r="AC158" t="e">
        <f>AND(Bills!AB630,"AAAAAH+1fxw=")</f>
        <v>#VALUE!</v>
      </c>
      <c r="AD158" t="e">
        <f>AND(Bills!#REF!,"AAAAAH+1fx0=")</f>
        <v>#REF!</v>
      </c>
      <c r="AE158" t="e">
        <f>AND(Bills!#REF!,"AAAAAH+1fx4=")</f>
        <v>#REF!</v>
      </c>
      <c r="AF158" t="e">
        <f>AND(Bills!#REF!,"AAAAAH+1fx8=")</f>
        <v>#REF!</v>
      </c>
      <c r="AG158" t="e">
        <f>AND(Bills!AC630,"AAAAAH+1fyA=")</f>
        <v>#VALUE!</v>
      </c>
      <c r="AH158" t="e">
        <f>AND(Bills!AD630,"AAAAAH+1fyE=")</f>
        <v>#VALUE!</v>
      </c>
      <c r="AI158" t="e">
        <f>AND(Bills!AE630,"AAAAAH+1fyI=")</f>
        <v>#VALUE!</v>
      </c>
      <c r="AJ158">
        <f>IF(Bills!631:631,"AAAAAH+1fyM=",0)</f>
        <v>0</v>
      </c>
      <c r="AK158" t="e">
        <f>AND(Bills!B631,"AAAAAH+1fyQ=")</f>
        <v>#VALUE!</v>
      </c>
      <c r="AL158" t="e">
        <f>AND(Bills!#REF!,"AAAAAH+1fyU=")</f>
        <v>#REF!</v>
      </c>
      <c r="AM158" t="e">
        <f>AND(Bills!C631,"AAAAAH+1fyY=")</f>
        <v>#VALUE!</v>
      </c>
      <c r="AN158" t="e">
        <f>AND(Bills!D631,"AAAAAH+1fyc=")</f>
        <v>#VALUE!</v>
      </c>
      <c r="AO158" t="e">
        <f>AND(Bills!E631,"AAAAAH+1fyg=")</f>
        <v>#VALUE!</v>
      </c>
      <c r="AP158" t="e">
        <f>AND(Bills!#REF!,"AAAAAH+1fyk=")</f>
        <v>#REF!</v>
      </c>
      <c r="AQ158" t="e">
        <f>AND(Bills!#REF!,"AAAAAH+1fyo=")</f>
        <v>#REF!</v>
      </c>
      <c r="AR158" t="e">
        <f>AND(Bills!#REF!,"AAAAAH+1fys=")</f>
        <v>#REF!</v>
      </c>
      <c r="AS158" t="e">
        <f>AND(Bills!F631,"AAAAAH+1fyw=")</f>
        <v>#VALUE!</v>
      </c>
      <c r="AT158" t="e">
        <f>AND(Bills!#REF!,"AAAAAH+1fy0=")</f>
        <v>#REF!</v>
      </c>
      <c r="AU158" t="e">
        <f>AND(Bills!G631,"AAAAAH+1fy4=")</f>
        <v>#VALUE!</v>
      </c>
      <c r="AV158" t="e">
        <f>AND(Bills!H631,"AAAAAH+1fy8=")</f>
        <v>#VALUE!</v>
      </c>
      <c r="AW158" t="e">
        <f>AND(Bills!I631,"AAAAAH+1fzA=")</f>
        <v>#VALUE!</v>
      </c>
      <c r="AX158" t="e">
        <f>AND(Bills!J631,"AAAAAH+1fzE=")</f>
        <v>#VALUE!</v>
      </c>
      <c r="AY158" t="e">
        <f>AND(Bills!K631,"AAAAAH+1fzI=")</f>
        <v>#VALUE!</v>
      </c>
      <c r="AZ158" t="e">
        <f>AND(Bills!L631,"AAAAAH+1fzM=")</f>
        <v>#VALUE!</v>
      </c>
      <c r="BA158" t="e">
        <f>AND(Bills!#REF!,"AAAAAH+1fzQ=")</f>
        <v>#REF!</v>
      </c>
      <c r="BB158" t="e">
        <f>AND(Bills!M631,"AAAAAH+1fzU=")</f>
        <v>#VALUE!</v>
      </c>
      <c r="BC158" t="e">
        <f>AND(Bills!N631,"AAAAAH+1fzY=")</f>
        <v>#VALUE!</v>
      </c>
      <c r="BD158" t="e">
        <f>AND(Bills!O631,"AAAAAH+1fzc=")</f>
        <v>#VALUE!</v>
      </c>
      <c r="BE158" t="e">
        <f>AND(Bills!P631,"AAAAAH+1fzg=")</f>
        <v>#VALUE!</v>
      </c>
      <c r="BF158" t="e">
        <f>AND(Bills!Q631,"AAAAAH+1fzk=")</f>
        <v>#VALUE!</v>
      </c>
      <c r="BG158" t="e">
        <f>AND(Bills!R631,"AAAAAH+1fzo=")</f>
        <v>#VALUE!</v>
      </c>
      <c r="BH158" t="e">
        <f>AND(Bills!S631,"AAAAAH+1fzs=")</f>
        <v>#VALUE!</v>
      </c>
      <c r="BI158" t="e">
        <f>AND(Bills!T631,"AAAAAH+1fzw=")</f>
        <v>#VALUE!</v>
      </c>
      <c r="BJ158" t="e">
        <f>AND(Bills!#REF!,"AAAAAH+1fz0=")</f>
        <v>#REF!</v>
      </c>
      <c r="BK158" t="e">
        <f>AND(Bills!U631,"AAAAAH+1fz4=")</f>
        <v>#VALUE!</v>
      </c>
      <c r="BL158" t="e">
        <f>AND(Bills!V631,"AAAAAH+1fz8=")</f>
        <v>#VALUE!</v>
      </c>
      <c r="BM158" t="e">
        <f>AND(Bills!W631,"AAAAAH+1f0A=")</f>
        <v>#VALUE!</v>
      </c>
      <c r="BN158" t="e">
        <f>AND(Bills!#REF!,"AAAAAH+1f0E=")</f>
        <v>#REF!</v>
      </c>
      <c r="BO158" t="e">
        <f>AND(Bills!#REF!,"AAAAAH+1f0I=")</f>
        <v>#REF!</v>
      </c>
      <c r="BP158" t="e">
        <f>AND(Bills!Y631,"AAAAAH+1f0M=")</f>
        <v>#VALUE!</v>
      </c>
      <c r="BQ158" t="e">
        <f>AND(Bills!Z631,"AAAAAH+1f0Q=")</f>
        <v>#VALUE!</v>
      </c>
      <c r="BR158" t="e">
        <f>AND(Bills!#REF!,"AAAAAH+1f0U=")</f>
        <v>#REF!</v>
      </c>
      <c r="BS158" t="e">
        <f>AND(Bills!#REF!,"AAAAAH+1f0Y=")</f>
        <v>#REF!</v>
      </c>
      <c r="BT158" t="e">
        <f>AND(Bills!#REF!,"AAAAAH+1f0c=")</f>
        <v>#REF!</v>
      </c>
      <c r="BU158" t="e">
        <f>AND(Bills!#REF!,"AAAAAH+1f0g=")</f>
        <v>#REF!</v>
      </c>
      <c r="BV158" t="e">
        <f>AND(Bills!#REF!,"AAAAAH+1f0k=")</f>
        <v>#REF!</v>
      </c>
      <c r="BW158" t="e">
        <f>AND(Bills!#REF!,"AAAAAH+1f0o=")</f>
        <v>#REF!</v>
      </c>
      <c r="BX158" t="e">
        <f>AND(Bills!#REF!,"AAAAAH+1f0s=")</f>
        <v>#REF!</v>
      </c>
      <c r="BY158" t="e">
        <f>AND(Bills!#REF!,"AAAAAH+1f0w=")</f>
        <v>#REF!</v>
      </c>
      <c r="BZ158" t="e">
        <f>AND(Bills!#REF!,"AAAAAH+1f00=")</f>
        <v>#REF!</v>
      </c>
      <c r="CA158" t="e">
        <f>AND(Bills!AA631,"AAAAAH+1f04=")</f>
        <v>#VALUE!</v>
      </c>
      <c r="CB158" t="e">
        <f>AND(Bills!AB631,"AAAAAH+1f08=")</f>
        <v>#VALUE!</v>
      </c>
      <c r="CC158" t="e">
        <f>AND(Bills!#REF!,"AAAAAH+1f1A=")</f>
        <v>#REF!</v>
      </c>
      <c r="CD158" t="e">
        <f>AND(Bills!#REF!,"AAAAAH+1f1E=")</f>
        <v>#REF!</v>
      </c>
      <c r="CE158" t="e">
        <f>AND(Bills!#REF!,"AAAAAH+1f1I=")</f>
        <v>#REF!</v>
      </c>
      <c r="CF158" t="e">
        <f>AND(Bills!AC631,"AAAAAH+1f1M=")</f>
        <v>#VALUE!</v>
      </c>
      <c r="CG158" t="e">
        <f>AND(Bills!AD631,"AAAAAH+1f1Q=")</f>
        <v>#VALUE!</v>
      </c>
      <c r="CH158" t="e">
        <f>AND(Bills!AE631,"AAAAAH+1f1U=")</f>
        <v>#VALUE!</v>
      </c>
      <c r="CI158">
        <f>IF(Bills!632:632,"AAAAAH+1f1Y=",0)</f>
        <v>0</v>
      </c>
      <c r="CJ158" t="e">
        <f>AND(Bills!B632,"AAAAAH+1f1c=")</f>
        <v>#VALUE!</v>
      </c>
      <c r="CK158" t="e">
        <f>AND(Bills!#REF!,"AAAAAH+1f1g=")</f>
        <v>#REF!</v>
      </c>
      <c r="CL158" t="e">
        <f>AND(Bills!C632,"AAAAAH+1f1k=")</f>
        <v>#VALUE!</v>
      </c>
      <c r="CM158" t="e">
        <f>AND(Bills!D632,"AAAAAH+1f1o=")</f>
        <v>#VALUE!</v>
      </c>
      <c r="CN158" t="e">
        <f>AND(Bills!E632,"AAAAAH+1f1s=")</f>
        <v>#VALUE!</v>
      </c>
      <c r="CO158" t="e">
        <f>AND(Bills!#REF!,"AAAAAH+1f1w=")</f>
        <v>#REF!</v>
      </c>
      <c r="CP158" t="e">
        <f>AND(Bills!#REF!,"AAAAAH+1f10=")</f>
        <v>#REF!</v>
      </c>
      <c r="CQ158" t="e">
        <f>AND(Bills!#REF!,"AAAAAH+1f14=")</f>
        <v>#REF!</v>
      </c>
      <c r="CR158" t="e">
        <f>AND(Bills!F632,"AAAAAH+1f18=")</f>
        <v>#VALUE!</v>
      </c>
      <c r="CS158" t="e">
        <f>AND(Bills!#REF!,"AAAAAH+1f2A=")</f>
        <v>#REF!</v>
      </c>
      <c r="CT158" t="e">
        <f>AND(Bills!G632,"AAAAAH+1f2E=")</f>
        <v>#VALUE!</v>
      </c>
      <c r="CU158" t="e">
        <f>AND(Bills!H632,"AAAAAH+1f2I=")</f>
        <v>#VALUE!</v>
      </c>
      <c r="CV158" t="e">
        <f>AND(Bills!I632,"AAAAAH+1f2M=")</f>
        <v>#VALUE!</v>
      </c>
      <c r="CW158" t="e">
        <f>AND(Bills!J632,"AAAAAH+1f2Q=")</f>
        <v>#VALUE!</v>
      </c>
      <c r="CX158" t="e">
        <f>AND(Bills!K632,"AAAAAH+1f2U=")</f>
        <v>#VALUE!</v>
      </c>
      <c r="CY158" t="e">
        <f>AND(Bills!L632,"AAAAAH+1f2Y=")</f>
        <v>#VALUE!</v>
      </c>
      <c r="CZ158" t="e">
        <f>AND(Bills!#REF!,"AAAAAH+1f2c=")</f>
        <v>#REF!</v>
      </c>
      <c r="DA158" t="e">
        <f>AND(Bills!M632,"AAAAAH+1f2g=")</f>
        <v>#VALUE!</v>
      </c>
      <c r="DB158" t="e">
        <f>AND(Bills!N632,"AAAAAH+1f2k=")</f>
        <v>#VALUE!</v>
      </c>
      <c r="DC158" t="e">
        <f>AND(Bills!O632,"AAAAAH+1f2o=")</f>
        <v>#VALUE!</v>
      </c>
      <c r="DD158" t="e">
        <f>AND(Bills!P632,"AAAAAH+1f2s=")</f>
        <v>#VALUE!</v>
      </c>
      <c r="DE158" t="e">
        <f>AND(Bills!Q632,"AAAAAH+1f2w=")</f>
        <v>#VALUE!</v>
      </c>
      <c r="DF158" t="e">
        <f>AND(Bills!R632,"AAAAAH+1f20=")</f>
        <v>#VALUE!</v>
      </c>
      <c r="DG158" t="e">
        <f>AND(Bills!S632,"AAAAAH+1f24=")</f>
        <v>#VALUE!</v>
      </c>
      <c r="DH158" t="e">
        <f>AND(Bills!T632,"AAAAAH+1f28=")</f>
        <v>#VALUE!</v>
      </c>
      <c r="DI158" t="e">
        <f>AND(Bills!#REF!,"AAAAAH+1f3A=")</f>
        <v>#REF!</v>
      </c>
      <c r="DJ158" t="e">
        <f>AND(Bills!U632,"AAAAAH+1f3E=")</f>
        <v>#VALUE!</v>
      </c>
      <c r="DK158" t="e">
        <f>AND(Bills!V632,"AAAAAH+1f3I=")</f>
        <v>#VALUE!</v>
      </c>
      <c r="DL158" t="e">
        <f>AND(Bills!W632,"AAAAAH+1f3M=")</f>
        <v>#VALUE!</v>
      </c>
      <c r="DM158" t="e">
        <f>AND(Bills!#REF!,"AAAAAH+1f3Q=")</f>
        <v>#REF!</v>
      </c>
      <c r="DN158" t="e">
        <f>AND(Bills!#REF!,"AAAAAH+1f3U=")</f>
        <v>#REF!</v>
      </c>
      <c r="DO158" t="e">
        <f>AND(Bills!Y632,"AAAAAH+1f3Y=")</f>
        <v>#VALUE!</v>
      </c>
      <c r="DP158" t="e">
        <f>AND(Bills!Z632,"AAAAAH+1f3c=")</f>
        <v>#VALUE!</v>
      </c>
      <c r="DQ158" t="e">
        <f>AND(Bills!#REF!,"AAAAAH+1f3g=")</f>
        <v>#REF!</v>
      </c>
      <c r="DR158" t="e">
        <f>AND(Bills!#REF!,"AAAAAH+1f3k=")</f>
        <v>#REF!</v>
      </c>
      <c r="DS158" t="e">
        <f>AND(Bills!#REF!,"AAAAAH+1f3o=")</f>
        <v>#REF!</v>
      </c>
      <c r="DT158" t="e">
        <f>AND(Bills!#REF!,"AAAAAH+1f3s=")</f>
        <v>#REF!</v>
      </c>
      <c r="DU158" t="e">
        <f>AND(Bills!#REF!,"AAAAAH+1f3w=")</f>
        <v>#REF!</v>
      </c>
      <c r="DV158" t="e">
        <f>AND(Bills!#REF!,"AAAAAH+1f30=")</f>
        <v>#REF!</v>
      </c>
      <c r="DW158" t="e">
        <f>AND(Bills!#REF!,"AAAAAH+1f34=")</f>
        <v>#REF!</v>
      </c>
      <c r="DX158" t="e">
        <f>AND(Bills!#REF!,"AAAAAH+1f38=")</f>
        <v>#REF!</v>
      </c>
      <c r="DY158" t="e">
        <f>AND(Bills!#REF!,"AAAAAH+1f4A=")</f>
        <v>#REF!</v>
      </c>
      <c r="DZ158" t="e">
        <f>AND(Bills!AA632,"AAAAAH+1f4E=")</f>
        <v>#VALUE!</v>
      </c>
      <c r="EA158" t="e">
        <f>AND(Bills!AB632,"AAAAAH+1f4I=")</f>
        <v>#VALUE!</v>
      </c>
      <c r="EB158" t="e">
        <f>AND(Bills!#REF!,"AAAAAH+1f4M=")</f>
        <v>#REF!</v>
      </c>
      <c r="EC158" t="e">
        <f>AND(Bills!#REF!,"AAAAAH+1f4Q=")</f>
        <v>#REF!</v>
      </c>
      <c r="ED158" t="e">
        <f>AND(Bills!#REF!,"AAAAAH+1f4U=")</f>
        <v>#REF!</v>
      </c>
      <c r="EE158" t="e">
        <f>AND(Bills!AC632,"AAAAAH+1f4Y=")</f>
        <v>#VALUE!</v>
      </c>
      <c r="EF158" t="e">
        <f>AND(Bills!AD632,"AAAAAH+1f4c=")</f>
        <v>#VALUE!</v>
      </c>
      <c r="EG158" t="e">
        <f>AND(Bills!AE632,"AAAAAH+1f4g=")</f>
        <v>#VALUE!</v>
      </c>
      <c r="EH158">
        <f>IF(Bills!633:633,"AAAAAH+1f4k=",0)</f>
        <v>0</v>
      </c>
      <c r="EI158" t="e">
        <f>AND(Bills!B633,"AAAAAH+1f4o=")</f>
        <v>#VALUE!</v>
      </c>
      <c r="EJ158" t="e">
        <f>AND(Bills!#REF!,"AAAAAH+1f4s=")</f>
        <v>#REF!</v>
      </c>
      <c r="EK158" t="e">
        <f>AND(Bills!C633,"AAAAAH+1f4w=")</f>
        <v>#VALUE!</v>
      </c>
      <c r="EL158" t="e">
        <f>AND(Bills!D633,"AAAAAH+1f40=")</f>
        <v>#VALUE!</v>
      </c>
      <c r="EM158" t="e">
        <f>AND(Bills!E633,"AAAAAH+1f44=")</f>
        <v>#VALUE!</v>
      </c>
      <c r="EN158" t="e">
        <f>AND(Bills!#REF!,"AAAAAH+1f48=")</f>
        <v>#REF!</v>
      </c>
      <c r="EO158" t="e">
        <f>AND(Bills!#REF!,"AAAAAH+1f5A=")</f>
        <v>#REF!</v>
      </c>
      <c r="EP158" t="e">
        <f>AND(Bills!#REF!,"AAAAAH+1f5E=")</f>
        <v>#REF!</v>
      </c>
      <c r="EQ158" t="e">
        <f>AND(Bills!F633,"AAAAAH+1f5I=")</f>
        <v>#VALUE!</v>
      </c>
      <c r="ER158" t="e">
        <f>AND(Bills!#REF!,"AAAAAH+1f5M=")</f>
        <v>#REF!</v>
      </c>
      <c r="ES158" t="e">
        <f>AND(Bills!G633,"AAAAAH+1f5Q=")</f>
        <v>#VALUE!</v>
      </c>
      <c r="ET158" t="e">
        <f>AND(Bills!H633,"AAAAAH+1f5U=")</f>
        <v>#VALUE!</v>
      </c>
      <c r="EU158" t="e">
        <f>AND(Bills!I633,"AAAAAH+1f5Y=")</f>
        <v>#VALUE!</v>
      </c>
      <c r="EV158" t="e">
        <f>AND(Bills!J633,"AAAAAH+1f5c=")</f>
        <v>#VALUE!</v>
      </c>
      <c r="EW158" t="e">
        <f>AND(Bills!K633,"AAAAAH+1f5g=")</f>
        <v>#VALUE!</v>
      </c>
      <c r="EX158" t="e">
        <f>AND(Bills!L633,"AAAAAH+1f5k=")</f>
        <v>#VALUE!</v>
      </c>
      <c r="EY158" t="e">
        <f>AND(Bills!#REF!,"AAAAAH+1f5o=")</f>
        <v>#REF!</v>
      </c>
      <c r="EZ158" t="e">
        <f>AND(Bills!M633,"AAAAAH+1f5s=")</f>
        <v>#VALUE!</v>
      </c>
      <c r="FA158" t="e">
        <f>AND(Bills!N633,"AAAAAH+1f5w=")</f>
        <v>#VALUE!</v>
      </c>
      <c r="FB158" t="e">
        <f>AND(Bills!O633,"AAAAAH+1f50=")</f>
        <v>#VALUE!</v>
      </c>
      <c r="FC158" t="e">
        <f>AND(Bills!P633,"AAAAAH+1f54=")</f>
        <v>#VALUE!</v>
      </c>
      <c r="FD158" t="e">
        <f>AND(Bills!Q633,"AAAAAH+1f58=")</f>
        <v>#VALUE!</v>
      </c>
      <c r="FE158" t="e">
        <f>AND(Bills!R633,"AAAAAH+1f6A=")</f>
        <v>#VALUE!</v>
      </c>
      <c r="FF158" t="e">
        <f>AND(Bills!S633,"AAAAAH+1f6E=")</f>
        <v>#VALUE!</v>
      </c>
      <c r="FG158" t="e">
        <f>AND(Bills!T633,"AAAAAH+1f6I=")</f>
        <v>#VALUE!</v>
      </c>
      <c r="FH158" t="e">
        <f>AND(Bills!#REF!,"AAAAAH+1f6M=")</f>
        <v>#REF!</v>
      </c>
      <c r="FI158" t="e">
        <f>AND(Bills!U633,"AAAAAH+1f6Q=")</f>
        <v>#VALUE!</v>
      </c>
      <c r="FJ158" t="e">
        <f>AND(Bills!V633,"AAAAAH+1f6U=")</f>
        <v>#VALUE!</v>
      </c>
      <c r="FK158" t="e">
        <f>AND(Bills!W633,"AAAAAH+1f6Y=")</f>
        <v>#VALUE!</v>
      </c>
      <c r="FL158" t="e">
        <f>AND(Bills!#REF!,"AAAAAH+1f6c=")</f>
        <v>#REF!</v>
      </c>
      <c r="FM158" t="e">
        <f>AND(Bills!#REF!,"AAAAAH+1f6g=")</f>
        <v>#REF!</v>
      </c>
      <c r="FN158" t="e">
        <f>AND(Bills!Y633,"AAAAAH+1f6k=")</f>
        <v>#VALUE!</v>
      </c>
      <c r="FO158" t="e">
        <f>AND(Bills!Z633,"AAAAAH+1f6o=")</f>
        <v>#VALUE!</v>
      </c>
      <c r="FP158" t="e">
        <f>AND(Bills!#REF!,"AAAAAH+1f6s=")</f>
        <v>#REF!</v>
      </c>
      <c r="FQ158" t="e">
        <f>AND(Bills!#REF!,"AAAAAH+1f6w=")</f>
        <v>#REF!</v>
      </c>
      <c r="FR158" t="e">
        <f>AND(Bills!#REF!,"AAAAAH+1f60=")</f>
        <v>#REF!</v>
      </c>
      <c r="FS158" t="e">
        <f>AND(Bills!#REF!,"AAAAAH+1f64=")</f>
        <v>#REF!</v>
      </c>
      <c r="FT158" t="e">
        <f>AND(Bills!#REF!,"AAAAAH+1f68=")</f>
        <v>#REF!</v>
      </c>
      <c r="FU158" t="e">
        <f>AND(Bills!#REF!,"AAAAAH+1f7A=")</f>
        <v>#REF!</v>
      </c>
      <c r="FV158" t="e">
        <f>AND(Bills!#REF!,"AAAAAH+1f7E=")</f>
        <v>#REF!</v>
      </c>
      <c r="FW158" t="e">
        <f>AND(Bills!#REF!,"AAAAAH+1f7I=")</f>
        <v>#REF!</v>
      </c>
      <c r="FX158" t="e">
        <f>AND(Bills!#REF!,"AAAAAH+1f7M=")</f>
        <v>#REF!</v>
      </c>
      <c r="FY158" t="e">
        <f>AND(Bills!AA633,"AAAAAH+1f7Q=")</f>
        <v>#VALUE!</v>
      </c>
      <c r="FZ158" t="e">
        <f>AND(Bills!AB633,"AAAAAH+1f7U=")</f>
        <v>#VALUE!</v>
      </c>
      <c r="GA158" t="e">
        <f>AND(Bills!#REF!,"AAAAAH+1f7Y=")</f>
        <v>#REF!</v>
      </c>
      <c r="GB158" t="e">
        <f>AND(Bills!#REF!,"AAAAAH+1f7c=")</f>
        <v>#REF!</v>
      </c>
      <c r="GC158" t="e">
        <f>AND(Bills!#REF!,"AAAAAH+1f7g=")</f>
        <v>#REF!</v>
      </c>
      <c r="GD158" t="e">
        <f>AND(Bills!AC633,"AAAAAH+1f7k=")</f>
        <v>#VALUE!</v>
      </c>
      <c r="GE158" t="e">
        <f>AND(Bills!AD633,"AAAAAH+1f7o=")</f>
        <v>#VALUE!</v>
      </c>
      <c r="GF158" t="e">
        <f>AND(Bills!AE633,"AAAAAH+1f7s=")</f>
        <v>#VALUE!</v>
      </c>
      <c r="GG158">
        <f>IF(Bills!634:634,"AAAAAH+1f7w=",0)</f>
        <v>0</v>
      </c>
      <c r="GH158" t="e">
        <f>AND(Bills!B634,"AAAAAH+1f70=")</f>
        <v>#VALUE!</v>
      </c>
      <c r="GI158" t="e">
        <f>AND(Bills!#REF!,"AAAAAH+1f74=")</f>
        <v>#REF!</v>
      </c>
      <c r="GJ158" t="e">
        <f>AND(Bills!C634,"AAAAAH+1f78=")</f>
        <v>#VALUE!</v>
      </c>
      <c r="GK158" t="e">
        <f>AND(Bills!D634,"AAAAAH+1f8A=")</f>
        <v>#VALUE!</v>
      </c>
      <c r="GL158" t="e">
        <f>AND(Bills!E634,"AAAAAH+1f8E=")</f>
        <v>#VALUE!</v>
      </c>
      <c r="GM158" t="e">
        <f>AND(Bills!#REF!,"AAAAAH+1f8I=")</f>
        <v>#REF!</v>
      </c>
      <c r="GN158" t="e">
        <f>AND(Bills!#REF!,"AAAAAH+1f8M=")</f>
        <v>#REF!</v>
      </c>
      <c r="GO158" t="e">
        <f>AND(Bills!#REF!,"AAAAAH+1f8Q=")</f>
        <v>#REF!</v>
      </c>
      <c r="GP158" t="e">
        <f>AND(Bills!F634,"AAAAAH+1f8U=")</f>
        <v>#VALUE!</v>
      </c>
      <c r="GQ158" t="e">
        <f>AND(Bills!#REF!,"AAAAAH+1f8Y=")</f>
        <v>#REF!</v>
      </c>
      <c r="GR158" t="e">
        <f>AND(Bills!G634,"AAAAAH+1f8c=")</f>
        <v>#VALUE!</v>
      </c>
      <c r="GS158" t="e">
        <f>AND(Bills!H634,"AAAAAH+1f8g=")</f>
        <v>#VALUE!</v>
      </c>
      <c r="GT158" t="e">
        <f>AND(Bills!I634,"AAAAAH+1f8k=")</f>
        <v>#VALUE!</v>
      </c>
      <c r="GU158" t="e">
        <f>AND(Bills!J634,"AAAAAH+1f8o=")</f>
        <v>#VALUE!</v>
      </c>
      <c r="GV158" t="e">
        <f>AND(Bills!K634,"AAAAAH+1f8s=")</f>
        <v>#VALUE!</v>
      </c>
      <c r="GW158" t="e">
        <f>AND(Bills!L634,"AAAAAH+1f8w=")</f>
        <v>#VALUE!</v>
      </c>
      <c r="GX158" t="e">
        <f>AND(Bills!#REF!,"AAAAAH+1f80=")</f>
        <v>#REF!</v>
      </c>
      <c r="GY158" t="e">
        <f>AND(Bills!M634,"AAAAAH+1f84=")</f>
        <v>#VALUE!</v>
      </c>
      <c r="GZ158" t="e">
        <f>AND(Bills!N634,"AAAAAH+1f88=")</f>
        <v>#VALUE!</v>
      </c>
      <c r="HA158" t="e">
        <f>AND(Bills!O634,"AAAAAH+1f9A=")</f>
        <v>#VALUE!</v>
      </c>
      <c r="HB158" t="e">
        <f>AND(Bills!P634,"AAAAAH+1f9E=")</f>
        <v>#VALUE!</v>
      </c>
      <c r="HC158" t="e">
        <f>AND(Bills!Q634,"AAAAAH+1f9I=")</f>
        <v>#VALUE!</v>
      </c>
      <c r="HD158" t="e">
        <f>AND(Bills!R634,"AAAAAH+1f9M=")</f>
        <v>#VALUE!</v>
      </c>
      <c r="HE158" t="e">
        <f>AND(Bills!S634,"AAAAAH+1f9Q=")</f>
        <v>#VALUE!</v>
      </c>
      <c r="HF158" t="e">
        <f>AND(Bills!T634,"AAAAAH+1f9U=")</f>
        <v>#VALUE!</v>
      </c>
      <c r="HG158" t="e">
        <f>AND(Bills!#REF!,"AAAAAH+1f9Y=")</f>
        <v>#REF!</v>
      </c>
      <c r="HH158" t="e">
        <f>AND(Bills!U634,"AAAAAH+1f9c=")</f>
        <v>#VALUE!</v>
      </c>
      <c r="HI158" t="e">
        <f>AND(Bills!V634,"AAAAAH+1f9g=")</f>
        <v>#VALUE!</v>
      </c>
      <c r="HJ158" t="e">
        <f>AND(Bills!W634,"AAAAAH+1f9k=")</f>
        <v>#VALUE!</v>
      </c>
      <c r="HK158" t="e">
        <f>AND(Bills!#REF!,"AAAAAH+1f9o=")</f>
        <v>#REF!</v>
      </c>
      <c r="HL158" t="e">
        <f>AND(Bills!#REF!,"AAAAAH+1f9s=")</f>
        <v>#REF!</v>
      </c>
      <c r="HM158" t="e">
        <f>AND(Bills!Y634,"AAAAAH+1f9w=")</f>
        <v>#VALUE!</v>
      </c>
      <c r="HN158" t="e">
        <f>AND(Bills!Z634,"AAAAAH+1f90=")</f>
        <v>#VALUE!</v>
      </c>
      <c r="HO158" t="e">
        <f>AND(Bills!#REF!,"AAAAAH+1f94=")</f>
        <v>#REF!</v>
      </c>
      <c r="HP158" t="e">
        <f>AND(Bills!#REF!,"AAAAAH+1f98=")</f>
        <v>#REF!</v>
      </c>
      <c r="HQ158" t="e">
        <f>AND(Bills!#REF!,"AAAAAH+1f+A=")</f>
        <v>#REF!</v>
      </c>
      <c r="HR158" t="e">
        <f>AND(Bills!#REF!,"AAAAAH+1f+E=")</f>
        <v>#REF!</v>
      </c>
      <c r="HS158" t="e">
        <f>AND(Bills!#REF!,"AAAAAH+1f+I=")</f>
        <v>#REF!</v>
      </c>
      <c r="HT158" t="e">
        <f>AND(Bills!#REF!,"AAAAAH+1f+M=")</f>
        <v>#REF!</v>
      </c>
      <c r="HU158" t="e">
        <f>AND(Bills!#REF!,"AAAAAH+1f+Q=")</f>
        <v>#REF!</v>
      </c>
      <c r="HV158" t="e">
        <f>AND(Bills!#REF!,"AAAAAH+1f+U=")</f>
        <v>#REF!</v>
      </c>
      <c r="HW158" t="e">
        <f>AND(Bills!#REF!,"AAAAAH+1f+Y=")</f>
        <v>#REF!</v>
      </c>
      <c r="HX158" t="e">
        <f>AND(Bills!AA634,"AAAAAH+1f+c=")</f>
        <v>#VALUE!</v>
      </c>
      <c r="HY158" t="e">
        <f>AND(Bills!AB634,"AAAAAH+1f+g=")</f>
        <v>#VALUE!</v>
      </c>
      <c r="HZ158" t="e">
        <f>AND(Bills!#REF!,"AAAAAH+1f+k=")</f>
        <v>#REF!</v>
      </c>
      <c r="IA158" t="e">
        <f>AND(Bills!#REF!,"AAAAAH+1f+o=")</f>
        <v>#REF!</v>
      </c>
      <c r="IB158" t="e">
        <f>AND(Bills!#REF!,"AAAAAH+1f+s=")</f>
        <v>#REF!</v>
      </c>
      <c r="IC158" t="e">
        <f>AND(Bills!AC634,"AAAAAH+1f+w=")</f>
        <v>#VALUE!</v>
      </c>
      <c r="ID158" t="e">
        <f>AND(Bills!AD634,"AAAAAH+1f+0=")</f>
        <v>#VALUE!</v>
      </c>
      <c r="IE158" t="e">
        <f>AND(Bills!AE634,"AAAAAH+1f+4=")</f>
        <v>#VALUE!</v>
      </c>
      <c r="IF158">
        <f>IF(Bills!635:635,"AAAAAH+1f+8=",0)</f>
        <v>0</v>
      </c>
      <c r="IG158" t="e">
        <f>AND(Bills!B635,"AAAAAH+1f/A=")</f>
        <v>#VALUE!</v>
      </c>
      <c r="IH158" t="e">
        <f>AND(Bills!#REF!,"AAAAAH+1f/E=")</f>
        <v>#REF!</v>
      </c>
      <c r="II158" t="e">
        <f>AND(Bills!C635,"AAAAAH+1f/I=")</f>
        <v>#VALUE!</v>
      </c>
      <c r="IJ158" t="e">
        <f>AND(Bills!D635,"AAAAAH+1f/M=")</f>
        <v>#VALUE!</v>
      </c>
      <c r="IK158" t="e">
        <f>AND(Bills!E635,"AAAAAH+1f/Q=")</f>
        <v>#VALUE!</v>
      </c>
      <c r="IL158" t="e">
        <f>AND(Bills!#REF!,"AAAAAH+1f/U=")</f>
        <v>#REF!</v>
      </c>
      <c r="IM158" t="e">
        <f>AND(Bills!#REF!,"AAAAAH+1f/Y=")</f>
        <v>#REF!</v>
      </c>
      <c r="IN158" t="e">
        <f>AND(Bills!#REF!,"AAAAAH+1f/c=")</f>
        <v>#REF!</v>
      </c>
      <c r="IO158" t="e">
        <f>AND(Bills!F635,"AAAAAH+1f/g=")</f>
        <v>#VALUE!</v>
      </c>
      <c r="IP158" t="e">
        <f>AND(Bills!#REF!,"AAAAAH+1f/k=")</f>
        <v>#REF!</v>
      </c>
      <c r="IQ158" t="e">
        <f>AND(Bills!G635,"AAAAAH+1f/o=")</f>
        <v>#VALUE!</v>
      </c>
      <c r="IR158" t="e">
        <f>AND(Bills!H635,"AAAAAH+1f/s=")</f>
        <v>#VALUE!</v>
      </c>
      <c r="IS158" t="e">
        <f>AND(Bills!I635,"AAAAAH+1f/w=")</f>
        <v>#VALUE!</v>
      </c>
      <c r="IT158" t="e">
        <f>AND(Bills!J635,"AAAAAH+1f/0=")</f>
        <v>#VALUE!</v>
      </c>
      <c r="IU158" t="e">
        <f>AND(Bills!K635,"AAAAAH+1f/4=")</f>
        <v>#VALUE!</v>
      </c>
      <c r="IV158" t="e">
        <f>AND(Bills!L635,"AAAAAH+1f/8=")</f>
        <v>#VALUE!</v>
      </c>
    </row>
    <row r="159" spans="1:256" x14ac:dyDescent="0.25">
      <c r="A159" t="e">
        <f>AND(Bills!#REF!,"AAAAAH97egA=")</f>
        <v>#REF!</v>
      </c>
      <c r="B159" t="e">
        <f>AND(Bills!M635,"AAAAAH97egE=")</f>
        <v>#VALUE!</v>
      </c>
      <c r="C159" t="e">
        <f>AND(Bills!N635,"AAAAAH97egI=")</f>
        <v>#VALUE!</v>
      </c>
      <c r="D159" t="e">
        <f>AND(Bills!O635,"AAAAAH97egM=")</f>
        <v>#VALUE!</v>
      </c>
      <c r="E159" t="e">
        <f>AND(Bills!P635,"AAAAAH97egQ=")</f>
        <v>#VALUE!</v>
      </c>
      <c r="F159" t="e">
        <f>AND(Bills!Q635,"AAAAAH97egU=")</f>
        <v>#VALUE!</v>
      </c>
      <c r="G159" t="e">
        <f>AND(Bills!R635,"AAAAAH97egY=")</f>
        <v>#VALUE!</v>
      </c>
      <c r="H159" t="e">
        <f>AND(Bills!S635,"AAAAAH97egc=")</f>
        <v>#VALUE!</v>
      </c>
      <c r="I159" t="e">
        <f>AND(Bills!T635,"AAAAAH97egg=")</f>
        <v>#VALUE!</v>
      </c>
      <c r="J159" t="e">
        <f>AND(Bills!#REF!,"AAAAAH97egk=")</f>
        <v>#REF!</v>
      </c>
      <c r="K159" t="e">
        <f>AND(Bills!U635,"AAAAAH97ego=")</f>
        <v>#VALUE!</v>
      </c>
      <c r="L159" t="e">
        <f>AND(Bills!V635,"AAAAAH97egs=")</f>
        <v>#VALUE!</v>
      </c>
      <c r="M159" t="e">
        <f>AND(Bills!W635,"AAAAAH97egw=")</f>
        <v>#VALUE!</v>
      </c>
      <c r="N159" t="e">
        <f>AND(Bills!#REF!,"AAAAAH97eg0=")</f>
        <v>#REF!</v>
      </c>
      <c r="O159" t="e">
        <f>AND(Bills!#REF!,"AAAAAH97eg4=")</f>
        <v>#REF!</v>
      </c>
      <c r="P159" t="e">
        <f>AND(Bills!Y635,"AAAAAH97eg8=")</f>
        <v>#VALUE!</v>
      </c>
      <c r="Q159" t="e">
        <f>AND(Bills!Z635,"AAAAAH97ehA=")</f>
        <v>#VALUE!</v>
      </c>
      <c r="R159" t="e">
        <f>AND(Bills!#REF!,"AAAAAH97ehE=")</f>
        <v>#REF!</v>
      </c>
      <c r="S159" t="e">
        <f>AND(Bills!#REF!,"AAAAAH97ehI=")</f>
        <v>#REF!</v>
      </c>
      <c r="T159" t="e">
        <f>AND(Bills!#REF!,"AAAAAH97ehM=")</f>
        <v>#REF!</v>
      </c>
      <c r="U159" t="e">
        <f>AND(Bills!#REF!,"AAAAAH97ehQ=")</f>
        <v>#REF!</v>
      </c>
      <c r="V159" t="e">
        <f>AND(Bills!#REF!,"AAAAAH97ehU=")</f>
        <v>#REF!</v>
      </c>
      <c r="W159" t="e">
        <f>AND(Bills!#REF!,"AAAAAH97ehY=")</f>
        <v>#REF!</v>
      </c>
      <c r="X159" t="e">
        <f>AND(Bills!#REF!,"AAAAAH97ehc=")</f>
        <v>#REF!</v>
      </c>
      <c r="Y159" t="e">
        <f>AND(Bills!#REF!,"AAAAAH97ehg=")</f>
        <v>#REF!</v>
      </c>
      <c r="Z159" t="e">
        <f>AND(Bills!#REF!,"AAAAAH97ehk=")</f>
        <v>#REF!</v>
      </c>
      <c r="AA159" t="e">
        <f>AND(Bills!AA635,"AAAAAH97eho=")</f>
        <v>#VALUE!</v>
      </c>
      <c r="AB159" t="e">
        <f>AND(Bills!AB635,"AAAAAH97ehs=")</f>
        <v>#VALUE!</v>
      </c>
      <c r="AC159" t="e">
        <f>AND(Bills!#REF!,"AAAAAH97ehw=")</f>
        <v>#REF!</v>
      </c>
      <c r="AD159" t="e">
        <f>AND(Bills!#REF!,"AAAAAH97eh0=")</f>
        <v>#REF!</v>
      </c>
      <c r="AE159" t="e">
        <f>AND(Bills!#REF!,"AAAAAH97eh4=")</f>
        <v>#REF!</v>
      </c>
      <c r="AF159" t="e">
        <f>AND(Bills!AC635,"AAAAAH97eh8=")</f>
        <v>#VALUE!</v>
      </c>
      <c r="AG159" t="e">
        <f>AND(Bills!AD635,"AAAAAH97eiA=")</f>
        <v>#VALUE!</v>
      </c>
      <c r="AH159" t="e">
        <f>AND(Bills!AE635,"AAAAAH97eiE=")</f>
        <v>#VALUE!</v>
      </c>
      <c r="AI159">
        <f>IF(Bills!636:636,"AAAAAH97eiI=",0)</f>
        <v>0</v>
      </c>
      <c r="AJ159" t="e">
        <f>AND(Bills!B636,"AAAAAH97eiM=")</f>
        <v>#VALUE!</v>
      </c>
      <c r="AK159" t="e">
        <f>AND(Bills!#REF!,"AAAAAH97eiQ=")</f>
        <v>#REF!</v>
      </c>
      <c r="AL159" t="e">
        <f>AND(Bills!C636,"AAAAAH97eiU=")</f>
        <v>#VALUE!</v>
      </c>
      <c r="AM159" t="e">
        <f>AND(Bills!D636,"AAAAAH97eiY=")</f>
        <v>#VALUE!</v>
      </c>
      <c r="AN159" t="e">
        <f>AND(Bills!E636,"AAAAAH97eic=")</f>
        <v>#VALUE!</v>
      </c>
      <c r="AO159" t="e">
        <f>AND(Bills!#REF!,"AAAAAH97eig=")</f>
        <v>#REF!</v>
      </c>
      <c r="AP159" t="e">
        <f>AND(Bills!#REF!,"AAAAAH97eik=")</f>
        <v>#REF!</v>
      </c>
      <c r="AQ159" t="e">
        <f>AND(Bills!#REF!,"AAAAAH97eio=")</f>
        <v>#REF!</v>
      </c>
      <c r="AR159" t="e">
        <f>AND(Bills!F636,"AAAAAH97eis=")</f>
        <v>#VALUE!</v>
      </c>
      <c r="AS159" t="e">
        <f>AND(Bills!#REF!,"AAAAAH97eiw=")</f>
        <v>#REF!</v>
      </c>
      <c r="AT159" t="e">
        <f>AND(Bills!G636,"AAAAAH97ei0=")</f>
        <v>#VALUE!</v>
      </c>
      <c r="AU159" t="e">
        <f>AND(Bills!H636,"AAAAAH97ei4=")</f>
        <v>#VALUE!</v>
      </c>
      <c r="AV159" t="e">
        <f>AND(Bills!I636,"AAAAAH97ei8=")</f>
        <v>#VALUE!</v>
      </c>
      <c r="AW159" t="e">
        <f>AND(Bills!J636,"AAAAAH97ejA=")</f>
        <v>#VALUE!</v>
      </c>
      <c r="AX159" t="e">
        <f>AND(Bills!K636,"AAAAAH97ejE=")</f>
        <v>#VALUE!</v>
      </c>
      <c r="AY159" t="e">
        <f>AND(Bills!L636,"AAAAAH97ejI=")</f>
        <v>#VALUE!</v>
      </c>
      <c r="AZ159" t="e">
        <f>AND(Bills!#REF!,"AAAAAH97ejM=")</f>
        <v>#REF!</v>
      </c>
      <c r="BA159" t="e">
        <f>AND(Bills!M636,"AAAAAH97ejQ=")</f>
        <v>#VALUE!</v>
      </c>
      <c r="BB159" t="e">
        <f>AND(Bills!N636,"AAAAAH97ejU=")</f>
        <v>#VALUE!</v>
      </c>
      <c r="BC159" t="e">
        <f>AND(Bills!O636,"AAAAAH97ejY=")</f>
        <v>#VALUE!</v>
      </c>
      <c r="BD159" t="e">
        <f>AND(Bills!P636,"AAAAAH97ejc=")</f>
        <v>#VALUE!</v>
      </c>
      <c r="BE159" t="e">
        <f>AND(Bills!Q636,"AAAAAH97ejg=")</f>
        <v>#VALUE!</v>
      </c>
      <c r="BF159" t="e">
        <f>AND(Bills!R636,"AAAAAH97ejk=")</f>
        <v>#VALUE!</v>
      </c>
      <c r="BG159" t="e">
        <f>AND(Bills!S636,"AAAAAH97ejo=")</f>
        <v>#VALUE!</v>
      </c>
      <c r="BH159" t="e">
        <f>AND(Bills!T636,"AAAAAH97ejs=")</f>
        <v>#VALUE!</v>
      </c>
      <c r="BI159" t="e">
        <f>AND(Bills!#REF!,"AAAAAH97ejw=")</f>
        <v>#REF!</v>
      </c>
      <c r="BJ159" t="e">
        <f>AND(Bills!U636,"AAAAAH97ej0=")</f>
        <v>#VALUE!</v>
      </c>
      <c r="BK159" t="e">
        <f>AND(Bills!V636,"AAAAAH97ej4=")</f>
        <v>#VALUE!</v>
      </c>
      <c r="BL159" t="e">
        <f>AND(Bills!W636,"AAAAAH97ej8=")</f>
        <v>#VALUE!</v>
      </c>
      <c r="BM159" t="e">
        <f>AND(Bills!#REF!,"AAAAAH97ekA=")</f>
        <v>#REF!</v>
      </c>
      <c r="BN159" t="e">
        <f>AND(Bills!#REF!,"AAAAAH97ekE=")</f>
        <v>#REF!</v>
      </c>
      <c r="BO159" t="e">
        <f>AND(Bills!Y636,"AAAAAH97ekI=")</f>
        <v>#VALUE!</v>
      </c>
      <c r="BP159" t="e">
        <f>AND(Bills!Z636,"AAAAAH97ekM=")</f>
        <v>#VALUE!</v>
      </c>
      <c r="BQ159" t="e">
        <f>AND(Bills!#REF!,"AAAAAH97ekQ=")</f>
        <v>#REF!</v>
      </c>
      <c r="BR159" t="e">
        <f>AND(Bills!#REF!,"AAAAAH97ekU=")</f>
        <v>#REF!</v>
      </c>
      <c r="BS159" t="e">
        <f>AND(Bills!#REF!,"AAAAAH97ekY=")</f>
        <v>#REF!</v>
      </c>
      <c r="BT159" t="e">
        <f>AND(Bills!#REF!,"AAAAAH97ekc=")</f>
        <v>#REF!</v>
      </c>
      <c r="BU159" t="e">
        <f>AND(Bills!#REF!,"AAAAAH97ekg=")</f>
        <v>#REF!</v>
      </c>
      <c r="BV159" t="e">
        <f>AND(Bills!#REF!,"AAAAAH97ekk=")</f>
        <v>#REF!</v>
      </c>
      <c r="BW159" t="e">
        <f>AND(Bills!#REF!,"AAAAAH97eko=")</f>
        <v>#REF!</v>
      </c>
      <c r="BX159" t="e">
        <f>AND(Bills!#REF!,"AAAAAH97eks=")</f>
        <v>#REF!</v>
      </c>
      <c r="BY159" t="e">
        <f>AND(Bills!#REF!,"AAAAAH97ekw=")</f>
        <v>#REF!</v>
      </c>
      <c r="BZ159" t="e">
        <f>AND(Bills!AA636,"AAAAAH97ek0=")</f>
        <v>#VALUE!</v>
      </c>
      <c r="CA159" t="e">
        <f>AND(Bills!AB636,"AAAAAH97ek4=")</f>
        <v>#VALUE!</v>
      </c>
      <c r="CB159" t="e">
        <f>AND(Bills!#REF!,"AAAAAH97ek8=")</f>
        <v>#REF!</v>
      </c>
      <c r="CC159" t="e">
        <f>AND(Bills!#REF!,"AAAAAH97elA=")</f>
        <v>#REF!</v>
      </c>
      <c r="CD159" t="e">
        <f>AND(Bills!#REF!,"AAAAAH97elE=")</f>
        <v>#REF!</v>
      </c>
      <c r="CE159" t="e">
        <f>AND(Bills!AC636,"AAAAAH97elI=")</f>
        <v>#VALUE!</v>
      </c>
      <c r="CF159" t="e">
        <f>AND(Bills!AD636,"AAAAAH97elM=")</f>
        <v>#VALUE!</v>
      </c>
      <c r="CG159" t="e">
        <f>AND(Bills!AE636,"AAAAAH97elQ=")</f>
        <v>#VALUE!</v>
      </c>
      <c r="CH159">
        <f>IF(Bills!637:637,"AAAAAH97elU=",0)</f>
        <v>0</v>
      </c>
      <c r="CI159" t="e">
        <f>AND(Bills!B637,"AAAAAH97elY=")</f>
        <v>#VALUE!</v>
      </c>
      <c r="CJ159" t="e">
        <f>AND(Bills!#REF!,"AAAAAH97elc=")</f>
        <v>#REF!</v>
      </c>
      <c r="CK159" t="e">
        <f>AND(Bills!C637,"AAAAAH97elg=")</f>
        <v>#VALUE!</v>
      </c>
      <c r="CL159" t="e">
        <f>AND(Bills!D637,"AAAAAH97elk=")</f>
        <v>#VALUE!</v>
      </c>
      <c r="CM159" t="e">
        <f>AND(Bills!E637,"AAAAAH97elo=")</f>
        <v>#VALUE!</v>
      </c>
      <c r="CN159" t="e">
        <f>AND(Bills!#REF!,"AAAAAH97els=")</f>
        <v>#REF!</v>
      </c>
      <c r="CO159" t="e">
        <f>AND(Bills!#REF!,"AAAAAH97elw=")</f>
        <v>#REF!</v>
      </c>
      <c r="CP159" t="e">
        <f>AND(Bills!#REF!,"AAAAAH97el0=")</f>
        <v>#REF!</v>
      </c>
      <c r="CQ159" t="e">
        <f>AND(Bills!F637,"AAAAAH97el4=")</f>
        <v>#VALUE!</v>
      </c>
      <c r="CR159" t="e">
        <f>AND(Bills!#REF!,"AAAAAH97el8=")</f>
        <v>#REF!</v>
      </c>
      <c r="CS159" t="e">
        <f>AND(Bills!G637,"AAAAAH97emA=")</f>
        <v>#VALUE!</v>
      </c>
      <c r="CT159" t="e">
        <f>AND(Bills!H637,"AAAAAH97emE=")</f>
        <v>#VALUE!</v>
      </c>
      <c r="CU159" t="e">
        <f>AND(Bills!I637,"AAAAAH97emI=")</f>
        <v>#VALUE!</v>
      </c>
      <c r="CV159" t="e">
        <f>AND(Bills!J637,"AAAAAH97emM=")</f>
        <v>#VALUE!</v>
      </c>
      <c r="CW159" t="e">
        <f>AND(Bills!K637,"AAAAAH97emQ=")</f>
        <v>#VALUE!</v>
      </c>
      <c r="CX159" t="e">
        <f>AND(Bills!L637,"AAAAAH97emU=")</f>
        <v>#VALUE!</v>
      </c>
      <c r="CY159" t="e">
        <f>AND(Bills!#REF!,"AAAAAH97emY=")</f>
        <v>#REF!</v>
      </c>
      <c r="CZ159" t="e">
        <f>AND(Bills!M637,"AAAAAH97emc=")</f>
        <v>#VALUE!</v>
      </c>
      <c r="DA159" t="e">
        <f>AND(Bills!N637,"AAAAAH97emg=")</f>
        <v>#VALUE!</v>
      </c>
      <c r="DB159" t="e">
        <f>AND(Bills!O637,"AAAAAH97emk=")</f>
        <v>#VALUE!</v>
      </c>
      <c r="DC159" t="e">
        <f>AND(Bills!P637,"AAAAAH97emo=")</f>
        <v>#VALUE!</v>
      </c>
      <c r="DD159" t="e">
        <f>AND(Bills!Q637,"AAAAAH97ems=")</f>
        <v>#VALUE!</v>
      </c>
      <c r="DE159" t="e">
        <f>AND(Bills!R637,"AAAAAH97emw=")</f>
        <v>#VALUE!</v>
      </c>
      <c r="DF159" t="e">
        <f>AND(Bills!S637,"AAAAAH97em0=")</f>
        <v>#VALUE!</v>
      </c>
      <c r="DG159" t="e">
        <f>AND(Bills!T637,"AAAAAH97em4=")</f>
        <v>#VALUE!</v>
      </c>
      <c r="DH159" t="e">
        <f>AND(Bills!#REF!,"AAAAAH97em8=")</f>
        <v>#REF!</v>
      </c>
      <c r="DI159" t="e">
        <f>AND(Bills!U637,"AAAAAH97enA=")</f>
        <v>#VALUE!</v>
      </c>
      <c r="DJ159" t="e">
        <f>AND(Bills!V637,"AAAAAH97enE=")</f>
        <v>#VALUE!</v>
      </c>
      <c r="DK159" t="e">
        <f>AND(Bills!W637,"AAAAAH97enI=")</f>
        <v>#VALUE!</v>
      </c>
      <c r="DL159" t="e">
        <f>AND(Bills!#REF!,"AAAAAH97enM=")</f>
        <v>#REF!</v>
      </c>
      <c r="DM159" t="e">
        <f>AND(Bills!#REF!,"AAAAAH97enQ=")</f>
        <v>#REF!</v>
      </c>
      <c r="DN159" t="e">
        <f>AND(Bills!Y637,"AAAAAH97enU=")</f>
        <v>#VALUE!</v>
      </c>
      <c r="DO159" t="e">
        <f>AND(Bills!Z637,"AAAAAH97enY=")</f>
        <v>#VALUE!</v>
      </c>
      <c r="DP159" t="e">
        <f>AND(Bills!#REF!,"AAAAAH97enc=")</f>
        <v>#REF!</v>
      </c>
      <c r="DQ159" t="e">
        <f>AND(Bills!#REF!,"AAAAAH97eng=")</f>
        <v>#REF!</v>
      </c>
      <c r="DR159" t="e">
        <f>AND(Bills!#REF!,"AAAAAH97enk=")</f>
        <v>#REF!</v>
      </c>
      <c r="DS159" t="e">
        <f>AND(Bills!#REF!,"AAAAAH97eno=")</f>
        <v>#REF!</v>
      </c>
      <c r="DT159" t="e">
        <f>AND(Bills!#REF!,"AAAAAH97ens=")</f>
        <v>#REF!</v>
      </c>
      <c r="DU159" t="e">
        <f>AND(Bills!#REF!,"AAAAAH97enw=")</f>
        <v>#REF!</v>
      </c>
      <c r="DV159" t="e">
        <f>AND(Bills!#REF!,"AAAAAH97en0=")</f>
        <v>#REF!</v>
      </c>
      <c r="DW159" t="e">
        <f>AND(Bills!#REF!,"AAAAAH97en4=")</f>
        <v>#REF!</v>
      </c>
      <c r="DX159" t="e">
        <f>AND(Bills!#REF!,"AAAAAH97en8=")</f>
        <v>#REF!</v>
      </c>
      <c r="DY159" t="e">
        <f>AND(Bills!AA637,"AAAAAH97eoA=")</f>
        <v>#VALUE!</v>
      </c>
      <c r="DZ159" t="e">
        <f>AND(Bills!AB637,"AAAAAH97eoE=")</f>
        <v>#VALUE!</v>
      </c>
      <c r="EA159" t="e">
        <f>AND(Bills!#REF!,"AAAAAH97eoI=")</f>
        <v>#REF!</v>
      </c>
      <c r="EB159" t="e">
        <f>AND(Bills!#REF!,"AAAAAH97eoM=")</f>
        <v>#REF!</v>
      </c>
      <c r="EC159" t="e">
        <f>AND(Bills!#REF!,"AAAAAH97eoQ=")</f>
        <v>#REF!</v>
      </c>
      <c r="ED159" t="e">
        <f>AND(Bills!AC637,"AAAAAH97eoU=")</f>
        <v>#VALUE!</v>
      </c>
      <c r="EE159" t="e">
        <f>AND(Bills!AD637,"AAAAAH97eoY=")</f>
        <v>#VALUE!</v>
      </c>
      <c r="EF159" t="e">
        <f>AND(Bills!AE637,"AAAAAH97eoc=")</f>
        <v>#VALUE!</v>
      </c>
      <c r="EG159">
        <f>IF(Bills!638:638,"AAAAAH97eog=",0)</f>
        <v>0</v>
      </c>
      <c r="EH159" t="e">
        <f>AND(Bills!B638,"AAAAAH97eok=")</f>
        <v>#VALUE!</v>
      </c>
      <c r="EI159" t="e">
        <f>AND(Bills!#REF!,"AAAAAH97eoo=")</f>
        <v>#REF!</v>
      </c>
      <c r="EJ159" t="e">
        <f>AND(Bills!C638,"AAAAAH97eos=")</f>
        <v>#VALUE!</v>
      </c>
      <c r="EK159" t="e">
        <f>AND(Bills!D638,"AAAAAH97eow=")</f>
        <v>#VALUE!</v>
      </c>
      <c r="EL159" t="e">
        <f>AND(Bills!E638,"AAAAAH97eo0=")</f>
        <v>#VALUE!</v>
      </c>
      <c r="EM159" t="e">
        <f>AND(Bills!#REF!,"AAAAAH97eo4=")</f>
        <v>#REF!</v>
      </c>
      <c r="EN159" t="e">
        <f>AND(Bills!#REF!,"AAAAAH97eo8=")</f>
        <v>#REF!</v>
      </c>
      <c r="EO159" t="e">
        <f>AND(Bills!#REF!,"AAAAAH97epA=")</f>
        <v>#REF!</v>
      </c>
      <c r="EP159" t="e">
        <f>AND(Bills!F638,"AAAAAH97epE=")</f>
        <v>#VALUE!</v>
      </c>
      <c r="EQ159" t="e">
        <f>AND(Bills!#REF!,"AAAAAH97epI=")</f>
        <v>#REF!</v>
      </c>
      <c r="ER159" t="e">
        <f>AND(Bills!G638,"AAAAAH97epM=")</f>
        <v>#VALUE!</v>
      </c>
      <c r="ES159" t="e">
        <f>AND(Bills!H638,"AAAAAH97epQ=")</f>
        <v>#VALUE!</v>
      </c>
      <c r="ET159" t="e">
        <f>AND(Bills!I638,"AAAAAH97epU=")</f>
        <v>#VALUE!</v>
      </c>
      <c r="EU159" t="e">
        <f>AND(Bills!J638,"AAAAAH97epY=")</f>
        <v>#VALUE!</v>
      </c>
      <c r="EV159" t="e">
        <f>AND(Bills!K638,"AAAAAH97epc=")</f>
        <v>#VALUE!</v>
      </c>
      <c r="EW159" t="e">
        <f>AND(Bills!L638,"AAAAAH97epg=")</f>
        <v>#VALUE!</v>
      </c>
      <c r="EX159" t="e">
        <f>AND(Bills!#REF!,"AAAAAH97epk=")</f>
        <v>#REF!</v>
      </c>
      <c r="EY159" t="e">
        <f>AND(Bills!M638,"AAAAAH97epo=")</f>
        <v>#VALUE!</v>
      </c>
      <c r="EZ159" t="e">
        <f>AND(Bills!N638,"AAAAAH97eps=")</f>
        <v>#VALUE!</v>
      </c>
      <c r="FA159" t="e">
        <f>AND(Bills!O638,"AAAAAH97epw=")</f>
        <v>#VALUE!</v>
      </c>
      <c r="FB159" t="e">
        <f>AND(Bills!P638,"AAAAAH97ep0=")</f>
        <v>#VALUE!</v>
      </c>
      <c r="FC159" t="e">
        <f>AND(Bills!Q638,"AAAAAH97ep4=")</f>
        <v>#VALUE!</v>
      </c>
      <c r="FD159" t="e">
        <f>AND(Bills!R638,"AAAAAH97ep8=")</f>
        <v>#VALUE!</v>
      </c>
      <c r="FE159" t="e">
        <f>AND(Bills!S638,"AAAAAH97eqA=")</f>
        <v>#VALUE!</v>
      </c>
      <c r="FF159" t="e">
        <f>AND(Bills!T638,"AAAAAH97eqE=")</f>
        <v>#VALUE!</v>
      </c>
      <c r="FG159" t="e">
        <f>AND(Bills!#REF!,"AAAAAH97eqI=")</f>
        <v>#REF!</v>
      </c>
      <c r="FH159" t="e">
        <f>AND(Bills!U638,"AAAAAH97eqM=")</f>
        <v>#VALUE!</v>
      </c>
      <c r="FI159" t="e">
        <f>AND(Bills!V638,"AAAAAH97eqQ=")</f>
        <v>#VALUE!</v>
      </c>
      <c r="FJ159" t="e">
        <f>AND(Bills!W638,"AAAAAH97eqU=")</f>
        <v>#VALUE!</v>
      </c>
      <c r="FK159" t="e">
        <f>AND(Bills!#REF!,"AAAAAH97eqY=")</f>
        <v>#REF!</v>
      </c>
      <c r="FL159" t="e">
        <f>AND(Bills!#REF!,"AAAAAH97eqc=")</f>
        <v>#REF!</v>
      </c>
      <c r="FM159" t="e">
        <f>AND(Bills!Y638,"AAAAAH97eqg=")</f>
        <v>#VALUE!</v>
      </c>
      <c r="FN159" t="e">
        <f>AND(Bills!Z638,"AAAAAH97eqk=")</f>
        <v>#VALUE!</v>
      </c>
      <c r="FO159" t="e">
        <f>AND(Bills!#REF!,"AAAAAH97eqo=")</f>
        <v>#REF!</v>
      </c>
      <c r="FP159" t="e">
        <f>AND(Bills!#REF!,"AAAAAH97eqs=")</f>
        <v>#REF!</v>
      </c>
      <c r="FQ159" t="e">
        <f>AND(Bills!#REF!,"AAAAAH97eqw=")</f>
        <v>#REF!</v>
      </c>
      <c r="FR159" t="e">
        <f>AND(Bills!#REF!,"AAAAAH97eq0=")</f>
        <v>#REF!</v>
      </c>
      <c r="FS159" t="e">
        <f>AND(Bills!#REF!,"AAAAAH97eq4=")</f>
        <v>#REF!</v>
      </c>
      <c r="FT159" t="e">
        <f>AND(Bills!#REF!,"AAAAAH97eq8=")</f>
        <v>#REF!</v>
      </c>
      <c r="FU159" t="e">
        <f>AND(Bills!#REF!,"AAAAAH97erA=")</f>
        <v>#REF!</v>
      </c>
      <c r="FV159" t="e">
        <f>AND(Bills!#REF!,"AAAAAH97erE=")</f>
        <v>#REF!</v>
      </c>
      <c r="FW159" t="e">
        <f>AND(Bills!#REF!,"AAAAAH97erI=")</f>
        <v>#REF!</v>
      </c>
      <c r="FX159" t="e">
        <f>AND(Bills!AA638,"AAAAAH97erM=")</f>
        <v>#VALUE!</v>
      </c>
      <c r="FY159" t="e">
        <f>AND(Bills!AB638,"AAAAAH97erQ=")</f>
        <v>#VALUE!</v>
      </c>
      <c r="FZ159" t="e">
        <f>AND(Bills!#REF!,"AAAAAH97erU=")</f>
        <v>#REF!</v>
      </c>
      <c r="GA159" t="e">
        <f>AND(Bills!#REF!,"AAAAAH97erY=")</f>
        <v>#REF!</v>
      </c>
      <c r="GB159" t="e">
        <f>AND(Bills!#REF!,"AAAAAH97erc=")</f>
        <v>#REF!</v>
      </c>
      <c r="GC159" t="e">
        <f>AND(Bills!AC638,"AAAAAH97erg=")</f>
        <v>#VALUE!</v>
      </c>
      <c r="GD159" t="e">
        <f>AND(Bills!AD638,"AAAAAH97erk=")</f>
        <v>#VALUE!</v>
      </c>
      <c r="GE159" t="e">
        <f>AND(Bills!AE638,"AAAAAH97ero=")</f>
        <v>#VALUE!</v>
      </c>
      <c r="GF159">
        <f>IF(Bills!639:639,"AAAAAH97ers=",0)</f>
        <v>0</v>
      </c>
      <c r="GG159" t="e">
        <f>AND(Bills!B639,"AAAAAH97erw=")</f>
        <v>#VALUE!</v>
      </c>
      <c r="GH159" t="e">
        <f>AND(Bills!#REF!,"AAAAAH97er0=")</f>
        <v>#REF!</v>
      </c>
      <c r="GI159" t="e">
        <f>AND(Bills!C639,"AAAAAH97er4=")</f>
        <v>#VALUE!</v>
      </c>
      <c r="GJ159" t="e">
        <f>AND(Bills!D639,"AAAAAH97er8=")</f>
        <v>#VALUE!</v>
      </c>
      <c r="GK159" t="e">
        <f>AND(Bills!E639,"AAAAAH97esA=")</f>
        <v>#VALUE!</v>
      </c>
      <c r="GL159" t="e">
        <f>AND(Bills!#REF!,"AAAAAH97esE=")</f>
        <v>#REF!</v>
      </c>
      <c r="GM159" t="e">
        <f>AND(Bills!#REF!,"AAAAAH97esI=")</f>
        <v>#REF!</v>
      </c>
      <c r="GN159" t="e">
        <f>AND(Bills!#REF!,"AAAAAH97esM=")</f>
        <v>#REF!</v>
      </c>
      <c r="GO159" t="e">
        <f>AND(Bills!F639,"AAAAAH97esQ=")</f>
        <v>#VALUE!</v>
      </c>
      <c r="GP159" t="e">
        <f>AND(Bills!#REF!,"AAAAAH97esU=")</f>
        <v>#REF!</v>
      </c>
      <c r="GQ159" t="e">
        <f>AND(Bills!G639,"AAAAAH97esY=")</f>
        <v>#VALUE!</v>
      </c>
      <c r="GR159" t="e">
        <f>AND(Bills!H639,"AAAAAH97esc=")</f>
        <v>#VALUE!</v>
      </c>
      <c r="GS159" t="e">
        <f>AND(Bills!I639,"AAAAAH97esg=")</f>
        <v>#VALUE!</v>
      </c>
      <c r="GT159" t="e">
        <f>AND(Bills!J639,"AAAAAH97esk=")</f>
        <v>#VALUE!</v>
      </c>
      <c r="GU159" t="e">
        <f>AND(Bills!K639,"AAAAAH97eso=")</f>
        <v>#VALUE!</v>
      </c>
      <c r="GV159" t="e">
        <f>AND(Bills!L639,"AAAAAH97ess=")</f>
        <v>#VALUE!</v>
      </c>
      <c r="GW159" t="e">
        <f>AND(Bills!#REF!,"AAAAAH97esw=")</f>
        <v>#REF!</v>
      </c>
      <c r="GX159" t="e">
        <f>AND(Bills!M639,"AAAAAH97es0=")</f>
        <v>#VALUE!</v>
      </c>
      <c r="GY159" t="e">
        <f>AND(Bills!N639,"AAAAAH97es4=")</f>
        <v>#VALUE!</v>
      </c>
      <c r="GZ159" t="e">
        <f>AND(Bills!O639,"AAAAAH97es8=")</f>
        <v>#VALUE!</v>
      </c>
      <c r="HA159" t="e">
        <f>AND(Bills!P639,"AAAAAH97etA=")</f>
        <v>#VALUE!</v>
      </c>
      <c r="HB159" t="e">
        <f>AND(Bills!Q639,"AAAAAH97etE=")</f>
        <v>#VALUE!</v>
      </c>
      <c r="HC159" t="e">
        <f>AND(Bills!R639,"AAAAAH97etI=")</f>
        <v>#VALUE!</v>
      </c>
      <c r="HD159" t="e">
        <f>AND(Bills!S639,"AAAAAH97etM=")</f>
        <v>#VALUE!</v>
      </c>
      <c r="HE159" t="e">
        <f>AND(Bills!T639,"AAAAAH97etQ=")</f>
        <v>#VALUE!</v>
      </c>
      <c r="HF159" t="e">
        <f>AND(Bills!#REF!,"AAAAAH97etU=")</f>
        <v>#REF!</v>
      </c>
      <c r="HG159" t="e">
        <f>AND(Bills!U639,"AAAAAH97etY=")</f>
        <v>#VALUE!</v>
      </c>
      <c r="HH159" t="e">
        <f>AND(Bills!V639,"AAAAAH97etc=")</f>
        <v>#VALUE!</v>
      </c>
      <c r="HI159" t="e">
        <f>AND(Bills!W639,"AAAAAH97etg=")</f>
        <v>#VALUE!</v>
      </c>
      <c r="HJ159" t="e">
        <f>AND(Bills!#REF!,"AAAAAH97etk=")</f>
        <v>#REF!</v>
      </c>
      <c r="HK159" t="e">
        <f>AND(Bills!#REF!,"AAAAAH97eto=")</f>
        <v>#REF!</v>
      </c>
      <c r="HL159" t="e">
        <f>AND(Bills!Y639,"AAAAAH97ets=")</f>
        <v>#VALUE!</v>
      </c>
      <c r="HM159" t="e">
        <f>AND(Bills!Z639,"AAAAAH97etw=")</f>
        <v>#VALUE!</v>
      </c>
      <c r="HN159" t="e">
        <f>AND(Bills!#REF!,"AAAAAH97et0=")</f>
        <v>#REF!</v>
      </c>
      <c r="HO159" t="e">
        <f>AND(Bills!#REF!,"AAAAAH97et4=")</f>
        <v>#REF!</v>
      </c>
      <c r="HP159" t="e">
        <f>AND(Bills!#REF!,"AAAAAH97et8=")</f>
        <v>#REF!</v>
      </c>
      <c r="HQ159" t="e">
        <f>AND(Bills!#REF!,"AAAAAH97euA=")</f>
        <v>#REF!</v>
      </c>
      <c r="HR159" t="e">
        <f>AND(Bills!#REF!,"AAAAAH97euE=")</f>
        <v>#REF!</v>
      </c>
      <c r="HS159" t="e">
        <f>AND(Bills!#REF!,"AAAAAH97euI=")</f>
        <v>#REF!</v>
      </c>
      <c r="HT159" t="e">
        <f>AND(Bills!#REF!,"AAAAAH97euM=")</f>
        <v>#REF!</v>
      </c>
      <c r="HU159" t="e">
        <f>AND(Bills!#REF!,"AAAAAH97euQ=")</f>
        <v>#REF!</v>
      </c>
      <c r="HV159" t="e">
        <f>AND(Bills!#REF!,"AAAAAH97euU=")</f>
        <v>#REF!</v>
      </c>
      <c r="HW159" t="e">
        <f>AND(Bills!AA639,"AAAAAH97euY=")</f>
        <v>#VALUE!</v>
      </c>
      <c r="HX159" t="e">
        <f>AND(Bills!AB639,"AAAAAH97euc=")</f>
        <v>#VALUE!</v>
      </c>
      <c r="HY159" t="e">
        <f>AND(Bills!#REF!,"AAAAAH97eug=")</f>
        <v>#REF!</v>
      </c>
      <c r="HZ159" t="e">
        <f>AND(Bills!#REF!,"AAAAAH97euk=")</f>
        <v>#REF!</v>
      </c>
      <c r="IA159" t="e">
        <f>AND(Bills!#REF!,"AAAAAH97euo=")</f>
        <v>#REF!</v>
      </c>
      <c r="IB159" t="e">
        <f>AND(Bills!AC639,"AAAAAH97eus=")</f>
        <v>#VALUE!</v>
      </c>
      <c r="IC159" t="e">
        <f>AND(Bills!AD639,"AAAAAH97euw=")</f>
        <v>#VALUE!</v>
      </c>
      <c r="ID159" t="e">
        <f>AND(Bills!AE639,"AAAAAH97eu0=")</f>
        <v>#VALUE!</v>
      </c>
      <c r="IE159">
        <f>IF(Bills!640:640,"AAAAAH97eu4=",0)</f>
        <v>0</v>
      </c>
      <c r="IF159" t="e">
        <f>AND(Bills!B640,"AAAAAH97eu8=")</f>
        <v>#VALUE!</v>
      </c>
      <c r="IG159" t="e">
        <f>AND(Bills!#REF!,"AAAAAH97evA=")</f>
        <v>#REF!</v>
      </c>
      <c r="IH159" t="e">
        <f>AND(Bills!C640,"AAAAAH97evE=")</f>
        <v>#VALUE!</v>
      </c>
      <c r="II159" t="e">
        <f>AND(Bills!D640,"AAAAAH97evI=")</f>
        <v>#VALUE!</v>
      </c>
      <c r="IJ159" t="e">
        <f>AND(Bills!E640,"AAAAAH97evM=")</f>
        <v>#VALUE!</v>
      </c>
      <c r="IK159" t="e">
        <f>AND(Bills!#REF!,"AAAAAH97evQ=")</f>
        <v>#REF!</v>
      </c>
      <c r="IL159" t="e">
        <f>AND(Bills!#REF!,"AAAAAH97evU=")</f>
        <v>#REF!</v>
      </c>
      <c r="IM159" t="e">
        <f>AND(Bills!#REF!,"AAAAAH97evY=")</f>
        <v>#REF!</v>
      </c>
      <c r="IN159" t="e">
        <f>AND(Bills!F640,"AAAAAH97evc=")</f>
        <v>#VALUE!</v>
      </c>
      <c r="IO159" t="e">
        <f>AND(Bills!#REF!,"AAAAAH97evg=")</f>
        <v>#REF!</v>
      </c>
      <c r="IP159" t="e">
        <f>AND(Bills!G640,"AAAAAH97evk=")</f>
        <v>#VALUE!</v>
      </c>
      <c r="IQ159" t="e">
        <f>AND(Bills!H640,"AAAAAH97evo=")</f>
        <v>#VALUE!</v>
      </c>
      <c r="IR159" t="e">
        <f>AND(Bills!I640,"AAAAAH97evs=")</f>
        <v>#VALUE!</v>
      </c>
      <c r="IS159" t="e">
        <f>AND(Bills!J640,"AAAAAH97evw=")</f>
        <v>#VALUE!</v>
      </c>
      <c r="IT159" t="e">
        <f>AND(Bills!K640,"AAAAAH97ev0=")</f>
        <v>#VALUE!</v>
      </c>
      <c r="IU159" t="e">
        <f>AND(Bills!L640,"AAAAAH97ev4=")</f>
        <v>#VALUE!</v>
      </c>
      <c r="IV159" t="e">
        <f>AND(Bills!#REF!,"AAAAAH97ev8=")</f>
        <v>#REF!</v>
      </c>
    </row>
    <row r="160" spans="1:256" x14ac:dyDescent="0.25">
      <c r="A160" t="e">
        <f>AND(Bills!M640,"AAAAAH3xewA=")</f>
        <v>#VALUE!</v>
      </c>
      <c r="B160" t="e">
        <f>AND(Bills!N640,"AAAAAH3xewE=")</f>
        <v>#VALUE!</v>
      </c>
      <c r="C160" t="e">
        <f>AND(Bills!O640,"AAAAAH3xewI=")</f>
        <v>#VALUE!</v>
      </c>
      <c r="D160" t="e">
        <f>AND(Bills!P640,"AAAAAH3xewM=")</f>
        <v>#VALUE!</v>
      </c>
      <c r="E160" t="e">
        <f>AND(Bills!Q640,"AAAAAH3xewQ=")</f>
        <v>#VALUE!</v>
      </c>
      <c r="F160" t="e">
        <f>AND(Bills!R640,"AAAAAH3xewU=")</f>
        <v>#VALUE!</v>
      </c>
      <c r="G160" t="e">
        <f>AND(Bills!S640,"AAAAAH3xewY=")</f>
        <v>#VALUE!</v>
      </c>
      <c r="H160" t="e">
        <f>AND(Bills!T640,"AAAAAH3xewc=")</f>
        <v>#VALUE!</v>
      </c>
      <c r="I160" t="e">
        <f>AND(Bills!#REF!,"AAAAAH3xewg=")</f>
        <v>#REF!</v>
      </c>
      <c r="J160" t="e">
        <f>AND(Bills!U640,"AAAAAH3xewk=")</f>
        <v>#VALUE!</v>
      </c>
      <c r="K160" t="e">
        <f>AND(Bills!V640,"AAAAAH3xewo=")</f>
        <v>#VALUE!</v>
      </c>
      <c r="L160" t="e">
        <f>AND(Bills!W640,"AAAAAH3xews=")</f>
        <v>#VALUE!</v>
      </c>
      <c r="M160" t="e">
        <f>AND(Bills!#REF!,"AAAAAH3xeww=")</f>
        <v>#REF!</v>
      </c>
      <c r="N160" t="e">
        <f>AND(Bills!#REF!,"AAAAAH3xew0=")</f>
        <v>#REF!</v>
      </c>
      <c r="O160" t="e">
        <f>AND(Bills!Y640,"AAAAAH3xew4=")</f>
        <v>#VALUE!</v>
      </c>
      <c r="P160" t="e">
        <f>AND(Bills!Z640,"AAAAAH3xew8=")</f>
        <v>#VALUE!</v>
      </c>
      <c r="Q160" t="e">
        <f>AND(Bills!#REF!,"AAAAAH3xexA=")</f>
        <v>#REF!</v>
      </c>
      <c r="R160" t="e">
        <f>AND(Bills!#REF!,"AAAAAH3xexE=")</f>
        <v>#REF!</v>
      </c>
      <c r="S160" t="e">
        <f>AND(Bills!#REF!,"AAAAAH3xexI=")</f>
        <v>#REF!</v>
      </c>
      <c r="T160" t="e">
        <f>AND(Bills!#REF!,"AAAAAH3xexM=")</f>
        <v>#REF!</v>
      </c>
      <c r="U160" t="e">
        <f>AND(Bills!#REF!,"AAAAAH3xexQ=")</f>
        <v>#REF!</v>
      </c>
      <c r="V160" t="e">
        <f>AND(Bills!#REF!,"AAAAAH3xexU=")</f>
        <v>#REF!</v>
      </c>
      <c r="W160" t="e">
        <f>AND(Bills!#REF!,"AAAAAH3xexY=")</f>
        <v>#REF!</v>
      </c>
      <c r="X160" t="e">
        <f>AND(Bills!#REF!,"AAAAAH3xexc=")</f>
        <v>#REF!</v>
      </c>
      <c r="Y160" t="e">
        <f>AND(Bills!#REF!,"AAAAAH3xexg=")</f>
        <v>#REF!</v>
      </c>
      <c r="Z160" t="e">
        <f>AND(Bills!AA640,"AAAAAH3xexk=")</f>
        <v>#VALUE!</v>
      </c>
      <c r="AA160" t="e">
        <f>AND(Bills!AB640,"AAAAAH3xexo=")</f>
        <v>#VALUE!</v>
      </c>
      <c r="AB160" t="e">
        <f>AND(Bills!#REF!,"AAAAAH3xexs=")</f>
        <v>#REF!</v>
      </c>
      <c r="AC160" t="e">
        <f>AND(Bills!#REF!,"AAAAAH3xexw=")</f>
        <v>#REF!</v>
      </c>
      <c r="AD160" t="e">
        <f>AND(Bills!#REF!,"AAAAAH3xex0=")</f>
        <v>#REF!</v>
      </c>
      <c r="AE160" t="e">
        <f>AND(Bills!AC640,"AAAAAH3xex4=")</f>
        <v>#VALUE!</v>
      </c>
      <c r="AF160" t="e">
        <f>AND(Bills!AD640,"AAAAAH3xex8=")</f>
        <v>#VALUE!</v>
      </c>
      <c r="AG160" t="e">
        <f>AND(Bills!AE640,"AAAAAH3xeyA=")</f>
        <v>#VALUE!</v>
      </c>
      <c r="AH160">
        <f>IF(Bills!641:641,"AAAAAH3xeyE=",0)</f>
        <v>0</v>
      </c>
      <c r="AI160" t="e">
        <f>AND(Bills!B641,"AAAAAH3xeyI=")</f>
        <v>#VALUE!</v>
      </c>
      <c r="AJ160" t="e">
        <f>AND(Bills!#REF!,"AAAAAH3xeyM=")</f>
        <v>#REF!</v>
      </c>
      <c r="AK160" t="e">
        <f>AND(Bills!C641,"AAAAAH3xeyQ=")</f>
        <v>#VALUE!</v>
      </c>
      <c r="AL160" t="e">
        <f>AND(Bills!D641,"AAAAAH3xeyU=")</f>
        <v>#VALUE!</v>
      </c>
      <c r="AM160" t="e">
        <f>AND(Bills!E641,"AAAAAH3xeyY=")</f>
        <v>#VALUE!</v>
      </c>
      <c r="AN160" t="e">
        <f>AND(Bills!#REF!,"AAAAAH3xeyc=")</f>
        <v>#REF!</v>
      </c>
      <c r="AO160" t="e">
        <f>AND(Bills!#REF!,"AAAAAH3xeyg=")</f>
        <v>#REF!</v>
      </c>
      <c r="AP160" t="e">
        <f>AND(Bills!#REF!,"AAAAAH3xeyk=")</f>
        <v>#REF!</v>
      </c>
      <c r="AQ160" t="e">
        <f>AND(Bills!F641,"AAAAAH3xeyo=")</f>
        <v>#VALUE!</v>
      </c>
      <c r="AR160" t="e">
        <f>AND(Bills!#REF!,"AAAAAH3xeys=")</f>
        <v>#REF!</v>
      </c>
      <c r="AS160" t="e">
        <f>AND(Bills!G641,"AAAAAH3xeyw=")</f>
        <v>#VALUE!</v>
      </c>
      <c r="AT160" t="e">
        <f>AND(Bills!H641,"AAAAAH3xey0=")</f>
        <v>#VALUE!</v>
      </c>
      <c r="AU160" t="e">
        <f>AND(Bills!I641,"AAAAAH3xey4=")</f>
        <v>#VALUE!</v>
      </c>
      <c r="AV160" t="e">
        <f>AND(Bills!J641,"AAAAAH3xey8=")</f>
        <v>#VALUE!</v>
      </c>
      <c r="AW160" t="e">
        <f>AND(Bills!K641,"AAAAAH3xezA=")</f>
        <v>#VALUE!</v>
      </c>
      <c r="AX160" t="e">
        <f>AND(Bills!L641,"AAAAAH3xezE=")</f>
        <v>#VALUE!</v>
      </c>
      <c r="AY160" t="e">
        <f>AND(Bills!#REF!,"AAAAAH3xezI=")</f>
        <v>#REF!</v>
      </c>
      <c r="AZ160" t="e">
        <f>AND(Bills!M641,"AAAAAH3xezM=")</f>
        <v>#VALUE!</v>
      </c>
      <c r="BA160" t="e">
        <f>AND(Bills!N641,"AAAAAH3xezQ=")</f>
        <v>#VALUE!</v>
      </c>
      <c r="BB160" t="e">
        <f>AND(Bills!O641,"AAAAAH3xezU=")</f>
        <v>#VALUE!</v>
      </c>
      <c r="BC160" t="e">
        <f>AND(Bills!P641,"AAAAAH3xezY=")</f>
        <v>#VALUE!</v>
      </c>
      <c r="BD160" t="e">
        <f>AND(Bills!Q641,"AAAAAH3xezc=")</f>
        <v>#VALUE!</v>
      </c>
      <c r="BE160" t="e">
        <f>AND(Bills!R641,"AAAAAH3xezg=")</f>
        <v>#VALUE!</v>
      </c>
      <c r="BF160" t="e">
        <f>AND(Bills!S641,"AAAAAH3xezk=")</f>
        <v>#VALUE!</v>
      </c>
      <c r="BG160" t="e">
        <f>AND(Bills!T641,"AAAAAH3xezo=")</f>
        <v>#VALUE!</v>
      </c>
      <c r="BH160" t="e">
        <f>AND(Bills!#REF!,"AAAAAH3xezs=")</f>
        <v>#REF!</v>
      </c>
      <c r="BI160" t="e">
        <f>AND(Bills!U641,"AAAAAH3xezw=")</f>
        <v>#VALUE!</v>
      </c>
      <c r="BJ160" t="e">
        <f>AND(Bills!V641,"AAAAAH3xez0=")</f>
        <v>#VALUE!</v>
      </c>
      <c r="BK160" t="e">
        <f>AND(Bills!W641,"AAAAAH3xez4=")</f>
        <v>#VALUE!</v>
      </c>
      <c r="BL160" t="e">
        <f>AND(Bills!#REF!,"AAAAAH3xez8=")</f>
        <v>#REF!</v>
      </c>
      <c r="BM160" t="e">
        <f>AND(Bills!#REF!,"AAAAAH3xe0A=")</f>
        <v>#REF!</v>
      </c>
      <c r="BN160" t="e">
        <f>AND(Bills!Y641,"AAAAAH3xe0E=")</f>
        <v>#VALUE!</v>
      </c>
      <c r="BO160" t="e">
        <f>AND(Bills!Z641,"AAAAAH3xe0I=")</f>
        <v>#VALUE!</v>
      </c>
      <c r="BP160" t="e">
        <f>AND(Bills!#REF!,"AAAAAH3xe0M=")</f>
        <v>#REF!</v>
      </c>
      <c r="BQ160" t="e">
        <f>AND(Bills!#REF!,"AAAAAH3xe0Q=")</f>
        <v>#REF!</v>
      </c>
      <c r="BR160" t="e">
        <f>AND(Bills!#REF!,"AAAAAH3xe0U=")</f>
        <v>#REF!</v>
      </c>
      <c r="BS160" t="e">
        <f>AND(Bills!#REF!,"AAAAAH3xe0Y=")</f>
        <v>#REF!</v>
      </c>
      <c r="BT160" t="e">
        <f>AND(Bills!#REF!,"AAAAAH3xe0c=")</f>
        <v>#REF!</v>
      </c>
      <c r="BU160" t="e">
        <f>AND(Bills!#REF!,"AAAAAH3xe0g=")</f>
        <v>#REF!</v>
      </c>
      <c r="BV160" t="e">
        <f>AND(Bills!#REF!,"AAAAAH3xe0k=")</f>
        <v>#REF!</v>
      </c>
      <c r="BW160" t="e">
        <f>AND(Bills!#REF!,"AAAAAH3xe0o=")</f>
        <v>#REF!</v>
      </c>
      <c r="BX160" t="e">
        <f>AND(Bills!#REF!,"AAAAAH3xe0s=")</f>
        <v>#REF!</v>
      </c>
      <c r="BY160" t="e">
        <f>AND(Bills!AA641,"AAAAAH3xe0w=")</f>
        <v>#VALUE!</v>
      </c>
      <c r="BZ160" t="e">
        <f>AND(Bills!AB641,"AAAAAH3xe00=")</f>
        <v>#VALUE!</v>
      </c>
      <c r="CA160" t="e">
        <f>AND(Bills!#REF!,"AAAAAH3xe04=")</f>
        <v>#REF!</v>
      </c>
      <c r="CB160" t="e">
        <f>AND(Bills!#REF!,"AAAAAH3xe08=")</f>
        <v>#REF!</v>
      </c>
      <c r="CC160" t="e">
        <f>AND(Bills!#REF!,"AAAAAH3xe1A=")</f>
        <v>#REF!</v>
      </c>
      <c r="CD160" t="e">
        <f>AND(Bills!AC641,"AAAAAH3xe1E=")</f>
        <v>#VALUE!</v>
      </c>
      <c r="CE160" t="e">
        <f>AND(Bills!AD641,"AAAAAH3xe1I=")</f>
        <v>#VALUE!</v>
      </c>
      <c r="CF160" t="e">
        <f>AND(Bills!AE641,"AAAAAH3xe1M=")</f>
        <v>#VALUE!</v>
      </c>
      <c r="CG160">
        <f>IF(Bills!642:642,"AAAAAH3xe1Q=",0)</f>
        <v>0</v>
      </c>
      <c r="CH160" t="e">
        <f>AND(Bills!B642,"AAAAAH3xe1U=")</f>
        <v>#VALUE!</v>
      </c>
      <c r="CI160" t="e">
        <f>AND(Bills!#REF!,"AAAAAH3xe1Y=")</f>
        <v>#REF!</v>
      </c>
      <c r="CJ160" t="e">
        <f>AND(Bills!C642,"AAAAAH3xe1c=")</f>
        <v>#VALUE!</v>
      </c>
      <c r="CK160" t="e">
        <f>AND(Bills!D642,"AAAAAH3xe1g=")</f>
        <v>#VALUE!</v>
      </c>
      <c r="CL160" t="e">
        <f>AND(Bills!E642,"AAAAAH3xe1k=")</f>
        <v>#VALUE!</v>
      </c>
      <c r="CM160" t="e">
        <f>AND(Bills!#REF!,"AAAAAH3xe1o=")</f>
        <v>#REF!</v>
      </c>
      <c r="CN160" t="e">
        <f>AND(Bills!#REF!,"AAAAAH3xe1s=")</f>
        <v>#REF!</v>
      </c>
      <c r="CO160" t="e">
        <f>AND(Bills!#REF!,"AAAAAH3xe1w=")</f>
        <v>#REF!</v>
      </c>
      <c r="CP160" t="e">
        <f>AND(Bills!F642,"AAAAAH3xe10=")</f>
        <v>#VALUE!</v>
      </c>
      <c r="CQ160" t="e">
        <f>AND(Bills!#REF!,"AAAAAH3xe14=")</f>
        <v>#REF!</v>
      </c>
      <c r="CR160" t="e">
        <f>AND(Bills!G642,"AAAAAH3xe18=")</f>
        <v>#VALUE!</v>
      </c>
      <c r="CS160" t="e">
        <f>AND(Bills!H642,"AAAAAH3xe2A=")</f>
        <v>#VALUE!</v>
      </c>
      <c r="CT160" t="e">
        <f>AND(Bills!I642,"AAAAAH3xe2E=")</f>
        <v>#VALUE!</v>
      </c>
      <c r="CU160" t="e">
        <f>AND(Bills!J642,"AAAAAH3xe2I=")</f>
        <v>#VALUE!</v>
      </c>
      <c r="CV160" t="e">
        <f>AND(Bills!K642,"AAAAAH3xe2M=")</f>
        <v>#VALUE!</v>
      </c>
      <c r="CW160" t="e">
        <f>AND(Bills!L642,"AAAAAH3xe2Q=")</f>
        <v>#VALUE!</v>
      </c>
      <c r="CX160" t="e">
        <f>AND(Bills!#REF!,"AAAAAH3xe2U=")</f>
        <v>#REF!</v>
      </c>
      <c r="CY160" t="e">
        <f>AND(Bills!M642,"AAAAAH3xe2Y=")</f>
        <v>#VALUE!</v>
      </c>
      <c r="CZ160" t="e">
        <f>AND(Bills!N642,"AAAAAH3xe2c=")</f>
        <v>#VALUE!</v>
      </c>
      <c r="DA160" t="e">
        <f>AND(Bills!O642,"AAAAAH3xe2g=")</f>
        <v>#VALUE!</v>
      </c>
      <c r="DB160" t="e">
        <f>AND(Bills!P642,"AAAAAH3xe2k=")</f>
        <v>#VALUE!</v>
      </c>
      <c r="DC160" t="e">
        <f>AND(Bills!Q642,"AAAAAH3xe2o=")</f>
        <v>#VALUE!</v>
      </c>
      <c r="DD160" t="e">
        <f>AND(Bills!R642,"AAAAAH3xe2s=")</f>
        <v>#VALUE!</v>
      </c>
      <c r="DE160" t="e">
        <f>AND(Bills!S642,"AAAAAH3xe2w=")</f>
        <v>#VALUE!</v>
      </c>
      <c r="DF160" t="e">
        <f>AND(Bills!T642,"AAAAAH3xe20=")</f>
        <v>#VALUE!</v>
      </c>
      <c r="DG160" t="e">
        <f>AND(Bills!#REF!,"AAAAAH3xe24=")</f>
        <v>#REF!</v>
      </c>
      <c r="DH160" t="e">
        <f>AND(Bills!U642,"AAAAAH3xe28=")</f>
        <v>#VALUE!</v>
      </c>
      <c r="DI160" t="e">
        <f>AND(Bills!V642,"AAAAAH3xe3A=")</f>
        <v>#VALUE!</v>
      </c>
      <c r="DJ160" t="e">
        <f>AND(Bills!W642,"AAAAAH3xe3E=")</f>
        <v>#VALUE!</v>
      </c>
      <c r="DK160" t="e">
        <f>AND(Bills!#REF!,"AAAAAH3xe3I=")</f>
        <v>#REF!</v>
      </c>
      <c r="DL160" t="e">
        <f>AND(Bills!#REF!,"AAAAAH3xe3M=")</f>
        <v>#REF!</v>
      </c>
      <c r="DM160" t="e">
        <f>AND(Bills!Y642,"AAAAAH3xe3Q=")</f>
        <v>#VALUE!</v>
      </c>
      <c r="DN160" t="e">
        <f>AND(Bills!Z642,"AAAAAH3xe3U=")</f>
        <v>#VALUE!</v>
      </c>
      <c r="DO160" t="e">
        <f>AND(Bills!#REF!,"AAAAAH3xe3Y=")</f>
        <v>#REF!</v>
      </c>
      <c r="DP160" t="e">
        <f>AND(Bills!#REF!,"AAAAAH3xe3c=")</f>
        <v>#REF!</v>
      </c>
      <c r="DQ160" t="e">
        <f>AND(Bills!#REF!,"AAAAAH3xe3g=")</f>
        <v>#REF!</v>
      </c>
      <c r="DR160" t="e">
        <f>AND(Bills!#REF!,"AAAAAH3xe3k=")</f>
        <v>#REF!</v>
      </c>
      <c r="DS160" t="e">
        <f>AND(Bills!#REF!,"AAAAAH3xe3o=")</f>
        <v>#REF!</v>
      </c>
      <c r="DT160" t="e">
        <f>AND(Bills!#REF!,"AAAAAH3xe3s=")</f>
        <v>#REF!</v>
      </c>
      <c r="DU160" t="e">
        <f>AND(Bills!#REF!,"AAAAAH3xe3w=")</f>
        <v>#REF!</v>
      </c>
      <c r="DV160" t="e">
        <f>AND(Bills!#REF!,"AAAAAH3xe30=")</f>
        <v>#REF!</v>
      </c>
      <c r="DW160" t="e">
        <f>AND(Bills!#REF!,"AAAAAH3xe34=")</f>
        <v>#REF!</v>
      </c>
      <c r="DX160" t="e">
        <f>AND(Bills!AA642,"AAAAAH3xe38=")</f>
        <v>#VALUE!</v>
      </c>
      <c r="DY160" t="e">
        <f>AND(Bills!AB642,"AAAAAH3xe4A=")</f>
        <v>#VALUE!</v>
      </c>
      <c r="DZ160" t="e">
        <f>AND(Bills!#REF!,"AAAAAH3xe4E=")</f>
        <v>#REF!</v>
      </c>
      <c r="EA160" t="e">
        <f>AND(Bills!#REF!,"AAAAAH3xe4I=")</f>
        <v>#REF!</v>
      </c>
      <c r="EB160" t="e">
        <f>AND(Bills!#REF!,"AAAAAH3xe4M=")</f>
        <v>#REF!</v>
      </c>
      <c r="EC160" t="e">
        <f>AND(Bills!AC642,"AAAAAH3xe4Q=")</f>
        <v>#VALUE!</v>
      </c>
      <c r="ED160" t="e">
        <f>AND(Bills!AD642,"AAAAAH3xe4U=")</f>
        <v>#VALUE!</v>
      </c>
      <c r="EE160" t="e">
        <f>AND(Bills!AE642,"AAAAAH3xe4Y=")</f>
        <v>#VALUE!</v>
      </c>
      <c r="EF160">
        <f>IF(Bills!643:643,"AAAAAH3xe4c=",0)</f>
        <v>0</v>
      </c>
      <c r="EG160" t="e">
        <f>AND(Bills!B643,"AAAAAH3xe4g=")</f>
        <v>#VALUE!</v>
      </c>
      <c r="EH160" t="e">
        <f>AND(Bills!#REF!,"AAAAAH3xe4k=")</f>
        <v>#REF!</v>
      </c>
      <c r="EI160" t="e">
        <f>AND(Bills!C643,"AAAAAH3xe4o=")</f>
        <v>#VALUE!</v>
      </c>
      <c r="EJ160" t="e">
        <f>AND(Bills!D643,"AAAAAH3xe4s=")</f>
        <v>#VALUE!</v>
      </c>
      <c r="EK160" t="e">
        <f>AND(Bills!E643,"AAAAAH3xe4w=")</f>
        <v>#VALUE!</v>
      </c>
      <c r="EL160" t="e">
        <f>AND(Bills!#REF!,"AAAAAH3xe40=")</f>
        <v>#REF!</v>
      </c>
      <c r="EM160" t="e">
        <f>AND(Bills!#REF!,"AAAAAH3xe44=")</f>
        <v>#REF!</v>
      </c>
      <c r="EN160" t="e">
        <f>AND(Bills!#REF!,"AAAAAH3xe48=")</f>
        <v>#REF!</v>
      </c>
      <c r="EO160" t="e">
        <f>AND(Bills!F643,"AAAAAH3xe5A=")</f>
        <v>#VALUE!</v>
      </c>
      <c r="EP160" t="e">
        <f>AND(Bills!#REF!,"AAAAAH3xe5E=")</f>
        <v>#REF!</v>
      </c>
      <c r="EQ160" t="e">
        <f>AND(Bills!G643,"AAAAAH3xe5I=")</f>
        <v>#VALUE!</v>
      </c>
      <c r="ER160" t="e">
        <f>AND(Bills!H643,"AAAAAH3xe5M=")</f>
        <v>#VALUE!</v>
      </c>
      <c r="ES160" t="e">
        <f>AND(Bills!I643,"AAAAAH3xe5Q=")</f>
        <v>#VALUE!</v>
      </c>
      <c r="ET160" t="e">
        <f>AND(Bills!J643,"AAAAAH3xe5U=")</f>
        <v>#VALUE!</v>
      </c>
      <c r="EU160" t="e">
        <f>AND(Bills!K643,"AAAAAH3xe5Y=")</f>
        <v>#VALUE!</v>
      </c>
      <c r="EV160" t="e">
        <f>AND(Bills!L643,"AAAAAH3xe5c=")</f>
        <v>#VALUE!</v>
      </c>
      <c r="EW160" t="e">
        <f>AND(Bills!#REF!,"AAAAAH3xe5g=")</f>
        <v>#REF!</v>
      </c>
      <c r="EX160" t="e">
        <f>AND(Bills!M643,"AAAAAH3xe5k=")</f>
        <v>#VALUE!</v>
      </c>
      <c r="EY160" t="e">
        <f>AND(Bills!N643,"AAAAAH3xe5o=")</f>
        <v>#VALUE!</v>
      </c>
      <c r="EZ160" t="e">
        <f>AND(Bills!O643,"AAAAAH3xe5s=")</f>
        <v>#VALUE!</v>
      </c>
      <c r="FA160" t="e">
        <f>AND(Bills!P643,"AAAAAH3xe5w=")</f>
        <v>#VALUE!</v>
      </c>
      <c r="FB160" t="e">
        <f>AND(Bills!Q643,"AAAAAH3xe50=")</f>
        <v>#VALUE!</v>
      </c>
      <c r="FC160" t="e">
        <f>AND(Bills!R643,"AAAAAH3xe54=")</f>
        <v>#VALUE!</v>
      </c>
      <c r="FD160" t="e">
        <f>AND(Bills!S643,"AAAAAH3xe58=")</f>
        <v>#VALUE!</v>
      </c>
      <c r="FE160" t="e">
        <f>AND(Bills!T643,"AAAAAH3xe6A=")</f>
        <v>#VALUE!</v>
      </c>
      <c r="FF160" t="e">
        <f>AND(Bills!#REF!,"AAAAAH3xe6E=")</f>
        <v>#REF!</v>
      </c>
      <c r="FG160" t="e">
        <f>AND(Bills!U643,"AAAAAH3xe6I=")</f>
        <v>#VALUE!</v>
      </c>
      <c r="FH160" t="e">
        <f>AND(Bills!V643,"AAAAAH3xe6M=")</f>
        <v>#VALUE!</v>
      </c>
      <c r="FI160" t="e">
        <f>AND(Bills!W643,"AAAAAH3xe6Q=")</f>
        <v>#VALUE!</v>
      </c>
      <c r="FJ160" t="e">
        <f>AND(Bills!#REF!,"AAAAAH3xe6U=")</f>
        <v>#REF!</v>
      </c>
      <c r="FK160" t="e">
        <f>AND(Bills!#REF!,"AAAAAH3xe6Y=")</f>
        <v>#REF!</v>
      </c>
      <c r="FL160" t="e">
        <f>AND(Bills!Y643,"AAAAAH3xe6c=")</f>
        <v>#VALUE!</v>
      </c>
      <c r="FM160" t="e">
        <f>AND(Bills!Z643,"AAAAAH3xe6g=")</f>
        <v>#VALUE!</v>
      </c>
      <c r="FN160" t="e">
        <f>AND(Bills!#REF!,"AAAAAH3xe6k=")</f>
        <v>#REF!</v>
      </c>
      <c r="FO160" t="e">
        <f>AND(Bills!#REF!,"AAAAAH3xe6o=")</f>
        <v>#REF!</v>
      </c>
      <c r="FP160" t="e">
        <f>AND(Bills!#REF!,"AAAAAH3xe6s=")</f>
        <v>#REF!</v>
      </c>
      <c r="FQ160" t="e">
        <f>AND(Bills!#REF!,"AAAAAH3xe6w=")</f>
        <v>#REF!</v>
      </c>
      <c r="FR160" t="e">
        <f>AND(Bills!#REF!,"AAAAAH3xe60=")</f>
        <v>#REF!</v>
      </c>
      <c r="FS160" t="e">
        <f>AND(Bills!#REF!,"AAAAAH3xe64=")</f>
        <v>#REF!</v>
      </c>
      <c r="FT160" t="e">
        <f>AND(Bills!#REF!,"AAAAAH3xe68=")</f>
        <v>#REF!</v>
      </c>
      <c r="FU160" t="e">
        <f>AND(Bills!#REF!,"AAAAAH3xe7A=")</f>
        <v>#REF!</v>
      </c>
      <c r="FV160" t="e">
        <f>AND(Bills!#REF!,"AAAAAH3xe7E=")</f>
        <v>#REF!</v>
      </c>
      <c r="FW160" t="e">
        <f>AND(Bills!AA643,"AAAAAH3xe7I=")</f>
        <v>#VALUE!</v>
      </c>
      <c r="FX160" t="e">
        <f>AND(Bills!AB643,"AAAAAH3xe7M=")</f>
        <v>#VALUE!</v>
      </c>
      <c r="FY160" t="e">
        <f>AND(Bills!#REF!,"AAAAAH3xe7Q=")</f>
        <v>#REF!</v>
      </c>
      <c r="FZ160" t="e">
        <f>AND(Bills!#REF!,"AAAAAH3xe7U=")</f>
        <v>#REF!</v>
      </c>
      <c r="GA160" t="e">
        <f>AND(Bills!#REF!,"AAAAAH3xe7Y=")</f>
        <v>#REF!</v>
      </c>
      <c r="GB160" t="e">
        <f>AND(Bills!AC643,"AAAAAH3xe7c=")</f>
        <v>#VALUE!</v>
      </c>
      <c r="GC160" t="e">
        <f>AND(Bills!AD643,"AAAAAH3xe7g=")</f>
        <v>#VALUE!</v>
      </c>
      <c r="GD160" t="e">
        <f>AND(Bills!AE643,"AAAAAH3xe7k=")</f>
        <v>#VALUE!</v>
      </c>
      <c r="GE160">
        <f>IF(Bills!644:644,"AAAAAH3xe7o=",0)</f>
        <v>0</v>
      </c>
      <c r="GF160" t="e">
        <f>AND(Bills!B644,"AAAAAH3xe7s=")</f>
        <v>#VALUE!</v>
      </c>
      <c r="GG160" t="e">
        <f>AND(Bills!#REF!,"AAAAAH3xe7w=")</f>
        <v>#REF!</v>
      </c>
      <c r="GH160" t="e">
        <f>AND(Bills!C644,"AAAAAH3xe70=")</f>
        <v>#VALUE!</v>
      </c>
      <c r="GI160" t="e">
        <f>AND(Bills!D644,"AAAAAH3xe74=")</f>
        <v>#VALUE!</v>
      </c>
      <c r="GJ160" t="e">
        <f>AND(Bills!E644,"AAAAAH3xe78=")</f>
        <v>#VALUE!</v>
      </c>
      <c r="GK160" t="e">
        <f>AND(Bills!#REF!,"AAAAAH3xe8A=")</f>
        <v>#REF!</v>
      </c>
      <c r="GL160" t="e">
        <f>AND(Bills!#REF!,"AAAAAH3xe8E=")</f>
        <v>#REF!</v>
      </c>
      <c r="GM160" t="e">
        <f>AND(Bills!#REF!,"AAAAAH3xe8I=")</f>
        <v>#REF!</v>
      </c>
      <c r="GN160" t="e">
        <f>AND(Bills!F644,"AAAAAH3xe8M=")</f>
        <v>#VALUE!</v>
      </c>
      <c r="GO160" t="e">
        <f>AND(Bills!#REF!,"AAAAAH3xe8Q=")</f>
        <v>#REF!</v>
      </c>
      <c r="GP160" t="e">
        <f>AND(Bills!G644,"AAAAAH3xe8U=")</f>
        <v>#VALUE!</v>
      </c>
      <c r="GQ160" t="e">
        <f>AND(Bills!H644,"AAAAAH3xe8Y=")</f>
        <v>#VALUE!</v>
      </c>
      <c r="GR160" t="e">
        <f>AND(Bills!I644,"AAAAAH3xe8c=")</f>
        <v>#VALUE!</v>
      </c>
      <c r="GS160" t="e">
        <f>AND(Bills!J644,"AAAAAH3xe8g=")</f>
        <v>#VALUE!</v>
      </c>
      <c r="GT160" t="e">
        <f>AND(Bills!K644,"AAAAAH3xe8k=")</f>
        <v>#VALUE!</v>
      </c>
      <c r="GU160" t="e">
        <f>AND(Bills!L644,"AAAAAH3xe8o=")</f>
        <v>#VALUE!</v>
      </c>
      <c r="GV160" t="e">
        <f>AND(Bills!#REF!,"AAAAAH3xe8s=")</f>
        <v>#REF!</v>
      </c>
      <c r="GW160" t="e">
        <f>AND(Bills!M644,"AAAAAH3xe8w=")</f>
        <v>#VALUE!</v>
      </c>
      <c r="GX160" t="e">
        <f>AND(Bills!N644,"AAAAAH3xe80=")</f>
        <v>#VALUE!</v>
      </c>
      <c r="GY160" t="e">
        <f>AND(Bills!O644,"AAAAAH3xe84=")</f>
        <v>#VALUE!</v>
      </c>
      <c r="GZ160" t="e">
        <f>AND(Bills!P644,"AAAAAH3xe88=")</f>
        <v>#VALUE!</v>
      </c>
      <c r="HA160" t="e">
        <f>AND(Bills!Q644,"AAAAAH3xe9A=")</f>
        <v>#VALUE!</v>
      </c>
      <c r="HB160" t="e">
        <f>AND(Bills!R644,"AAAAAH3xe9E=")</f>
        <v>#VALUE!</v>
      </c>
      <c r="HC160" t="e">
        <f>AND(Bills!S644,"AAAAAH3xe9I=")</f>
        <v>#VALUE!</v>
      </c>
      <c r="HD160" t="e">
        <f>AND(Bills!T644,"AAAAAH3xe9M=")</f>
        <v>#VALUE!</v>
      </c>
      <c r="HE160" t="e">
        <f>AND(Bills!#REF!,"AAAAAH3xe9Q=")</f>
        <v>#REF!</v>
      </c>
      <c r="HF160" t="e">
        <f>AND(Bills!U644,"AAAAAH3xe9U=")</f>
        <v>#VALUE!</v>
      </c>
      <c r="HG160" t="e">
        <f>AND(Bills!V644,"AAAAAH3xe9Y=")</f>
        <v>#VALUE!</v>
      </c>
      <c r="HH160" t="e">
        <f>AND(Bills!W644,"AAAAAH3xe9c=")</f>
        <v>#VALUE!</v>
      </c>
      <c r="HI160" t="e">
        <f>AND(Bills!#REF!,"AAAAAH3xe9g=")</f>
        <v>#REF!</v>
      </c>
      <c r="HJ160" t="e">
        <f>AND(Bills!#REF!,"AAAAAH3xe9k=")</f>
        <v>#REF!</v>
      </c>
      <c r="HK160" t="e">
        <f>AND(Bills!Y644,"AAAAAH3xe9o=")</f>
        <v>#VALUE!</v>
      </c>
      <c r="HL160" t="e">
        <f>AND(Bills!Z644,"AAAAAH3xe9s=")</f>
        <v>#VALUE!</v>
      </c>
      <c r="HM160" t="e">
        <f>AND(Bills!#REF!,"AAAAAH3xe9w=")</f>
        <v>#REF!</v>
      </c>
      <c r="HN160" t="e">
        <f>AND(Bills!#REF!,"AAAAAH3xe90=")</f>
        <v>#REF!</v>
      </c>
      <c r="HO160" t="e">
        <f>AND(Bills!#REF!,"AAAAAH3xe94=")</f>
        <v>#REF!</v>
      </c>
      <c r="HP160" t="e">
        <f>AND(Bills!#REF!,"AAAAAH3xe98=")</f>
        <v>#REF!</v>
      </c>
      <c r="HQ160" t="e">
        <f>AND(Bills!#REF!,"AAAAAH3xe+A=")</f>
        <v>#REF!</v>
      </c>
      <c r="HR160" t="e">
        <f>AND(Bills!#REF!,"AAAAAH3xe+E=")</f>
        <v>#REF!</v>
      </c>
      <c r="HS160" t="e">
        <f>AND(Bills!#REF!,"AAAAAH3xe+I=")</f>
        <v>#REF!</v>
      </c>
      <c r="HT160" t="e">
        <f>AND(Bills!#REF!,"AAAAAH3xe+M=")</f>
        <v>#REF!</v>
      </c>
      <c r="HU160" t="e">
        <f>AND(Bills!#REF!,"AAAAAH3xe+Q=")</f>
        <v>#REF!</v>
      </c>
      <c r="HV160" t="e">
        <f>AND(Bills!AA644,"AAAAAH3xe+U=")</f>
        <v>#VALUE!</v>
      </c>
      <c r="HW160" t="e">
        <f>AND(Bills!AB644,"AAAAAH3xe+Y=")</f>
        <v>#VALUE!</v>
      </c>
      <c r="HX160" t="e">
        <f>AND(Bills!#REF!,"AAAAAH3xe+c=")</f>
        <v>#REF!</v>
      </c>
      <c r="HY160" t="e">
        <f>AND(Bills!#REF!,"AAAAAH3xe+g=")</f>
        <v>#REF!</v>
      </c>
      <c r="HZ160" t="e">
        <f>AND(Bills!#REF!,"AAAAAH3xe+k=")</f>
        <v>#REF!</v>
      </c>
      <c r="IA160" t="e">
        <f>AND(Bills!AC644,"AAAAAH3xe+o=")</f>
        <v>#VALUE!</v>
      </c>
      <c r="IB160" t="e">
        <f>AND(Bills!AD644,"AAAAAH3xe+s=")</f>
        <v>#VALUE!</v>
      </c>
      <c r="IC160" t="e">
        <f>AND(Bills!AE644,"AAAAAH3xe+w=")</f>
        <v>#VALUE!</v>
      </c>
      <c r="ID160">
        <f>IF(Bills!645:645,"AAAAAH3xe+0=",0)</f>
        <v>0</v>
      </c>
      <c r="IE160" t="e">
        <f>AND(Bills!B645,"AAAAAH3xe+4=")</f>
        <v>#VALUE!</v>
      </c>
      <c r="IF160" t="e">
        <f>AND(Bills!#REF!,"AAAAAH3xe+8=")</f>
        <v>#REF!</v>
      </c>
      <c r="IG160" t="e">
        <f>AND(Bills!C645,"AAAAAH3xe/A=")</f>
        <v>#VALUE!</v>
      </c>
      <c r="IH160" t="e">
        <f>AND(Bills!D645,"AAAAAH3xe/E=")</f>
        <v>#VALUE!</v>
      </c>
      <c r="II160" t="e">
        <f>AND(Bills!E645,"AAAAAH3xe/I=")</f>
        <v>#VALUE!</v>
      </c>
      <c r="IJ160" t="e">
        <f>AND(Bills!#REF!,"AAAAAH3xe/M=")</f>
        <v>#REF!</v>
      </c>
      <c r="IK160" t="e">
        <f>AND(Bills!#REF!,"AAAAAH3xe/Q=")</f>
        <v>#REF!</v>
      </c>
      <c r="IL160" t="e">
        <f>AND(Bills!#REF!,"AAAAAH3xe/U=")</f>
        <v>#REF!</v>
      </c>
      <c r="IM160" t="e">
        <f>AND(Bills!F645,"AAAAAH3xe/Y=")</f>
        <v>#VALUE!</v>
      </c>
      <c r="IN160" t="e">
        <f>AND(Bills!#REF!,"AAAAAH3xe/c=")</f>
        <v>#REF!</v>
      </c>
      <c r="IO160" t="e">
        <f>AND(Bills!G645,"AAAAAH3xe/g=")</f>
        <v>#VALUE!</v>
      </c>
      <c r="IP160" t="e">
        <f>AND(Bills!H645,"AAAAAH3xe/k=")</f>
        <v>#VALUE!</v>
      </c>
      <c r="IQ160" t="e">
        <f>AND(Bills!I645,"AAAAAH3xe/o=")</f>
        <v>#VALUE!</v>
      </c>
      <c r="IR160" t="e">
        <f>AND(Bills!J645,"AAAAAH3xe/s=")</f>
        <v>#VALUE!</v>
      </c>
      <c r="IS160" t="e">
        <f>AND(Bills!K645,"AAAAAH3xe/w=")</f>
        <v>#VALUE!</v>
      </c>
      <c r="IT160" t="e">
        <f>AND(Bills!L645,"AAAAAH3xe/0=")</f>
        <v>#VALUE!</v>
      </c>
      <c r="IU160" t="e">
        <f>AND(Bills!#REF!,"AAAAAH3xe/4=")</f>
        <v>#REF!</v>
      </c>
      <c r="IV160" t="e">
        <f>AND(Bills!M645,"AAAAAH3xe/8=")</f>
        <v>#VALUE!</v>
      </c>
    </row>
    <row r="161" spans="1:256" x14ac:dyDescent="0.25">
      <c r="A161" t="e">
        <f>AND(Bills!N645,"AAAAAFr/7AA=")</f>
        <v>#VALUE!</v>
      </c>
      <c r="B161" t="e">
        <f>AND(Bills!O645,"AAAAAFr/7AE=")</f>
        <v>#VALUE!</v>
      </c>
      <c r="C161" t="e">
        <f>AND(Bills!P645,"AAAAAFr/7AI=")</f>
        <v>#VALUE!</v>
      </c>
      <c r="D161" t="e">
        <f>AND(Bills!Q645,"AAAAAFr/7AM=")</f>
        <v>#VALUE!</v>
      </c>
      <c r="E161" t="e">
        <f>AND(Bills!R645,"AAAAAFr/7AQ=")</f>
        <v>#VALUE!</v>
      </c>
      <c r="F161" t="e">
        <f>AND(Bills!S645,"AAAAAFr/7AU=")</f>
        <v>#VALUE!</v>
      </c>
      <c r="G161" t="e">
        <f>AND(Bills!T645,"AAAAAFr/7AY=")</f>
        <v>#VALUE!</v>
      </c>
      <c r="H161" t="e">
        <f>AND(Bills!#REF!,"AAAAAFr/7Ac=")</f>
        <v>#REF!</v>
      </c>
      <c r="I161" t="e">
        <f>AND(Bills!U645,"AAAAAFr/7Ag=")</f>
        <v>#VALUE!</v>
      </c>
      <c r="J161" t="e">
        <f>AND(Bills!V645,"AAAAAFr/7Ak=")</f>
        <v>#VALUE!</v>
      </c>
      <c r="K161" t="e">
        <f>AND(Bills!W645,"AAAAAFr/7Ao=")</f>
        <v>#VALUE!</v>
      </c>
      <c r="L161" t="e">
        <f>AND(Bills!#REF!,"AAAAAFr/7As=")</f>
        <v>#REF!</v>
      </c>
      <c r="M161" t="e">
        <f>AND(Bills!#REF!,"AAAAAFr/7Aw=")</f>
        <v>#REF!</v>
      </c>
      <c r="N161" t="e">
        <f>AND(Bills!Y645,"AAAAAFr/7A0=")</f>
        <v>#VALUE!</v>
      </c>
      <c r="O161" t="e">
        <f>AND(Bills!Z645,"AAAAAFr/7A4=")</f>
        <v>#VALUE!</v>
      </c>
      <c r="P161" t="e">
        <f>AND(Bills!#REF!,"AAAAAFr/7A8=")</f>
        <v>#REF!</v>
      </c>
      <c r="Q161" t="e">
        <f>AND(Bills!#REF!,"AAAAAFr/7BA=")</f>
        <v>#REF!</v>
      </c>
      <c r="R161" t="e">
        <f>AND(Bills!#REF!,"AAAAAFr/7BE=")</f>
        <v>#REF!</v>
      </c>
      <c r="S161" t="e">
        <f>AND(Bills!#REF!,"AAAAAFr/7BI=")</f>
        <v>#REF!</v>
      </c>
      <c r="T161" t="e">
        <f>AND(Bills!#REF!,"AAAAAFr/7BM=")</f>
        <v>#REF!</v>
      </c>
      <c r="U161" t="e">
        <f>AND(Bills!#REF!,"AAAAAFr/7BQ=")</f>
        <v>#REF!</v>
      </c>
      <c r="V161" t="e">
        <f>AND(Bills!#REF!,"AAAAAFr/7BU=")</f>
        <v>#REF!</v>
      </c>
      <c r="W161" t="e">
        <f>AND(Bills!#REF!,"AAAAAFr/7BY=")</f>
        <v>#REF!</v>
      </c>
      <c r="X161" t="e">
        <f>AND(Bills!#REF!,"AAAAAFr/7Bc=")</f>
        <v>#REF!</v>
      </c>
      <c r="Y161" t="e">
        <f>AND(Bills!AA645,"AAAAAFr/7Bg=")</f>
        <v>#VALUE!</v>
      </c>
      <c r="Z161" t="e">
        <f>AND(Bills!AB645,"AAAAAFr/7Bk=")</f>
        <v>#VALUE!</v>
      </c>
      <c r="AA161" t="e">
        <f>AND(Bills!#REF!,"AAAAAFr/7Bo=")</f>
        <v>#REF!</v>
      </c>
      <c r="AB161" t="e">
        <f>AND(Bills!#REF!,"AAAAAFr/7Bs=")</f>
        <v>#REF!</v>
      </c>
      <c r="AC161" t="e">
        <f>AND(Bills!#REF!,"AAAAAFr/7Bw=")</f>
        <v>#REF!</v>
      </c>
      <c r="AD161" t="e">
        <f>AND(Bills!AC645,"AAAAAFr/7B0=")</f>
        <v>#VALUE!</v>
      </c>
      <c r="AE161" t="e">
        <f>AND(Bills!AD645,"AAAAAFr/7B4=")</f>
        <v>#VALUE!</v>
      </c>
      <c r="AF161" t="e">
        <f>AND(Bills!AE645,"AAAAAFr/7B8=")</f>
        <v>#VALUE!</v>
      </c>
      <c r="AG161">
        <f>IF(Bills!646:646,"AAAAAFr/7CA=",0)</f>
        <v>0</v>
      </c>
      <c r="AH161" t="e">
        <f>AND(Bills!B646,"AAAAAFr/7CE=")</f>
        <v>#VALUE!</v>
      </c>
      <c r="AI161" t="e">
        <f>AND(Bills!#REF!,"AAAAAFr/7CI=")</f>
        <v>#REF!</v>
      </c>
      <c r="AJ161" t="e">
        <f>AND(Bills!C646,"AAAAAFr/7CM=")</f>
        <v>#VALUE!</v>
      </c>
      <c r="AK161" t="e">
        <f>AND(Bills!D646,"AAAAAFr/7CQ=")</f>
        <v>#VALUE!</v>
      </c>
      <c r="AL161" t="e">
        <f>AND(Bills!E646,"AAAAAFr/7CU=")</f>
        <v>#VALUE!</v>
      </c>
      <c r="AM161" t="e">
        <f>AND(Bills!#REF!,"AAAAAFr/7CY=")</f>
        <v>#REF!</v>
      </c>
      <c r="AN161" t="e">
        <f>AND(Bills!#REF!,"AAAAAFr/7Cc=")</f>
        <v>#REF!</v>
      </c>
      <c r="AO161" t="e">
        <f>AND(Bills!#REF!,"AAAAAFr/7Cg=")</f>
        <v>#REF!</v>
      </c>
      <c r="AP161" t="e">
        <f>AND(Bills!F646,"AAAAAFr/7Ck=")</f>
        <v>#VALUE!</v>
      </c>
      <c r="AQ161" t="e">
        <f>AND(Bills!#REF!,"AAAAAFr/7Co=")</f>
        <v>#REF!</v>
      </c>
      <c r="AR161" t="e">
        <f>AND(Bills!G646,"AAAAAFr/7Cs=")</f>
        <v>#VALUE!</v>
      </c>
      <c r="AS161" t="e">
        <f>AND(Bills!H646,"AAAAAFr/7Cw=")</f>
        <v>#VALUE!</v>
      </c>
      <c r="AT161" t="e">
        <f>AND(Bills!I646,"AAAAAFr/7C0=")</f>
        <v>#VALUE!</v>
      </c>
      <c r="AU161" t="e">
        <f>AND(Bills!J646,"AAAAAFr/7C4=")</f>
        <v>#VALUE!</v>
      </c>
      <c r="AV161" t="e">
        <f>AND(Bills!K646,"AAAAAFr/7C8=")</f>
        <v>#VALUE!</v>
      </c>
      <c r="AW161" t="e">
        <f>AND(Bills!L646,"AAAAAFr/7DA=")</f>
        <v>#VALUE!</v>
      </c>
      <c r="AX161" t="e">
        <f>AND(Bills!#REF!,"AAAAAFr/7DE=")</f>
        <v>#REF!</v>
      </c>
      <c r="AY161" t="e">
        <f>AND(Bills!M646,"AAAAAFr/7DI=")</f>
        <v>#VALUE!</v>
      </c>
      <c r="AZ161" t="e">
        <f>AND(Bills!N646,"AAAAAFr/7DM=")</f>
        <v>#VALUE!</v>
      </c>
      <c r="BA161" t="e">
        <f>AND(Bills!O646,"AAAAAFr/7DQ=")</f>
        <v>#VALUE!</v>
      </c>
      <c r="BB161" t="e">
        <f>AND(Bills!P646,"AAAAAFr/7DU=")</f>
        <v>#VALUE!</v>
      </c>
      <c r="BC161" t="e">
        <f>AND(Bills!Q646,"AAAAAFr/7DY=")</f>
        <v>#VALUE!</v>
      </c>
      <c r="BD161" t="e">
        <f>AND(Bills!R646,"AAAAAFr/7Dc=")</f>
        <v>#VALUE!</v>
      </c>
      <c r="BE161" t="e">
        <f>AND(Bills!S646,"AAAAAFr/7Dg=")</f>
        <v>#VALUE!</v>
      </c>
      <c r="BF161" t="e">
        <f>AND(Bills!T646,"AAAAAFr/7Dk=")</f>
        <v>#VALUE!</v>
      </c>
      <c r="BG161" t="e">
        <f>AND(Bills!#REF!,"AAAAAFr/7Do=")</f>
        <v>#REF!</v>
      </c>
      <c r="BH161" t="e">
        <f>AND(Bills!U646,"AAAAAFr/7Ds=")</f>
        <v>#VALUE!</v>
      </c>
      <c r="BI161" t="e">
        <f>AND(Bills!V646,"AAAAAFr/7Dw=")</f>
        <v>#VALUE!</v>
      </c>
      <c r="BJ161" t="e">
        <f>AND(Bills!W646,"AAAAAFr/7D0=")</f>
        <v>#VALUE!</v>
      </c>
      <c r="BK161" t="e">
        <f>AND(Bills!#REF!,"AAAAAFr/7D4=")</f>
        <v>#REF!</v>
      </c>
      <c r="BL161" t="e">
        <f>AND(Bills!#REF!,"AAAAAFr/7D8=")</f>
        <v>#REF!</v>
      </c>
      <c r="BM161" t="e">
        <f>AND(Bills!Y646,"AAAAAFr/7EA=")</f>
        <v>#VALUE!</v>
      </c>
      <c r="BN161" t="e">
        <f>AND(Bills!Z646,"AAAAAFr/7EE=")</f>
        <v>#VALUE!</v>
      </c>
      <c r="BO161" t="e">
        <f>AND(Bills!#REF!,"AAAAAFr/7EI=")</f>
        <v>#REF!</v>
      </c>
      <c r="BP161" t="e">
        <f>AND(Bills!#REF!,"AAAAAFr/7EM=")</f>
        <v>#REF!</v>
      </c>
      <c r="BQ161" t="e">
        <f>AND(Bills!#REF!,"AAAAAFr/7EQ=")</f>
        <v>#REF!</v>
      </c>
      <c r="BR161" t="e">
        <f>AND(Bills!#REF!,"AAAAAFr/7EU=")</f>
        <v>#REF!</v>
      </c>
      <c r="BS161" t="e">
        <f>AND(Bills!#REF!,"AAAAAFr/7EY=")</f>
        <v>#REF!</v>
      </c>
      <c r="BT161" t="e">
        <f>AND(Bills!#REF!,"AAAAAFr/7Ec=")</f>
        <v>#REF!</v>
      </c>
      <c r="BU161" t="e">
        <f>AND(Bills!#REF!,"AAAAAFr/7Eg=")</f>
        <v>#REF!</v>
      </c>
      <c r="BV161" t="e">
        <f>AND(Bills!#REF!,"AAAAAFr/7Ek=")</f>
        <v>#REF!</v>
      </c>
      <c r="BW161" t="e">
        <f>AND(Bills!#REF!,"AAAAAFr/7Eo=")</f>
        <v>#REF!</v>
      </c>
      <c r="BX161" t="e">
        <f>AND(Bills!AA646,"AAAAAFr/7Es=")</f>
        <v>#VALUE!</v>
      </c>
      <c r="BY161" t="e">
        <f>AND(Bills!AB646,"AAAAAFr/7Ew=")</f>
        <v>#VALUE!</v>
      </c>
      <c r="BZ161" t="e">
        <f>AND(Bills!#REF!,"AAAAAFr/7E0=")</f>
        <v>#REF!</v>
      </c>
      <c r="CA161" t="e">
        <f>AND(Bills!#REF!,"AAAAAFr/7E4=")</f>
        <v>#REF!</v>
      </c>
      <c r="CB161" t="e">
        <f>AND(Bills!#REF!,"AAAAAFr/7E8=")</f>
        <v>#REF!</v>
      </c>
      <c r="CC161" t="e">
        <f>AND(Bills!AC646,"AAAAAFr/7FA=")</f>
        <v>#VALUE!</v>
      </c>
      <c r="CD161" t="e">
        <f>AND(Bills!AD646,"AAAAAFr/7FE=")</f>
        <v>#VALUE!</v>
      </c>
      <c r="CE161" t="e">
        <f>AND(Bills!AE646,"AAAAAFr/7FI=")</f>
        <v>#VALUE!</v>
      </c>
      <c r="CF161">
        <f>IF(Bills!647:647,"AAAAAFr/7FM=",0)</f>
        <v>0</v>
      </c>
      <c r="CG161" t="e">
        <f>AND(Bills!B647,"AAAAAFr/7FQ=")</f>
        <v>#VALUE!</v>
      </c>
      <c r="CH161" t="e">
        <f>AND(Bills!#REF!,"AAAAAFr/7FU=")</f>
        <v>#REF!</v>
      </c>
      <c r="CI161" t="e">
        <f>AND(Bills!C647,"AAAAAFr/7FY=")</f>
        <v>#VALUE!</v>
      </c>
      <c r="CJ161" t="e">
        <f>AND(Bills!D647,"AAAAAFr/7Fc=")</f>
        <v>#VALUE!</v>
      </c>
      <c r="CK161" t="e">
        <f>AND(Bills!E647,"AAAAAFr/7Fg=")</f>
        <v>#VALUE!</v>
      </c>
      <c r="CL161" t="e">
        <f>AND(Bills!#REF!,"AAAAAFr/7Fk=")</f>
        <v>#REF!</v>
      </c>
      <c r="CM161" t="e">
        <f>AND(Bills!#REF!,"AAAAAFr/7Fo=")</f>
        <v>#REF!</v>
      </c>
      <c r="CN161" t="e">
        <f>AND(Bills!#REF!,"AAAAAFr/7Fs=")</f>
        <v>#REF!</v>
      </c>
      <c r="CO161" t="e">
        <f>AND(Bills!F647,"AAAAAFr/7Fw=")</f>
        <v>#VALUE!</v>
      </c>
      <c r="CP161" t="e">
        <f>AND(Bills!#REF!,"AAAAAFr/7F0=")</f>
        <v>#REF!</v>
      </c>
      <c r="CQ161" t="e">
        <f>AND(Bills!G647,"AAAAAFr/7F4=")</f>
        <v>#VALUE!</v>
      </c>
      <c r="CR161" t="e">
        <f>AND(Bills!H647,"AAAAAFr/7F8=")</f>
        <v>#VALUE!</v>
      </c>
      <c r="CS161" t="e">
        <f>AND(Bills!I647,"AAAAAFr/7GA=")</f>
        <v>#VALUE!</v>
      </c>
      <c r="CT161" t="e">
        <f>AND(Bills!J647,"AAAAAFr/7GE=")</f>
        <v>#VALUE!</v>
      </c>
      <c r="CU161" t="e">
        <f>AND(Bills!K647,"AAAAAFr/7GI=")</f>
        <v>#VALUE!</v>
      </c>
      <c r="CV161" t="e">
        <f>AND(Bills!L647,"AAAAAFr/7GM=")</f>
        <v>#VALUE!</v>
      </c>
      <c r="CW161" t="e">
        <f>AND(Bills!#REF!,"AAAAAFr/7GQ=")</f>
        <v>#REF!</v>
      </c>
      <c r="CX161" t="e">
        <f>AND(Bills!M647,"AAAAAFr/7GU=")</f>
        <v>#VALUE!</v>
      </c>
      <c r="CY161" t="e">
        <f>AND(Bills!N647,"AAAAAFr/7GY=")</f>
        <v>#VALUE!</v>
      </c>
      <c r="CZ161" t="e">
        <f>AND(Bills!O647,"AAAAAFr/7Gc=")</f>
        <v>#VALUE!</v>
      </c>
      <c r="DA161" t="e">
        <f>AND(Bills!P647,"AAAAAFr/7Gg=")</f>
        <v>#VALUE!</v>
      </c>
      <c r="DB161" t="e">
        <f>AND(Bills!Q647,"AAAAAFr/7Gk=")</f>
        <v>#VALUE!</v>
      </c>
      <c r="DC161" t="e">
        <f>AND(Bills!R647,"AAAAAFr/7Go=")</f>
        <v>#VALUE!</v>
      </c>
      <c r="DD161" t="e">
        <f>AND(Bills!S647,"AAAAAFr/7Gs=")</f>
        <v>#VALUE!</v>
      </c>
      <c r="DE161" t="e">
        <f>AND(Bills!T647,"AAAAAFr/7Gw=")</f>
        <v>#VALUE!</v>
      </c>
      <c r="DF161" t="e">
        <f>AND(Bills!#REF!,"AAAAAFr/7G0=")</f>
        <v>#REF!</v>
      </c>
      <c r="DG161" t="e">
        <f>AND(Bills!U647,"AAAAAFr/7G4=")</f>
        <v>#VALUE!</v>
      </c>
      <c r="DH161" t="e">
        <f>AND(Bills!V647,"AAAAAFr/7G8=")</f>
        <v>#VALUE!</v>
      </c>
      <c r="DI161" t="e">
        <f>AND(Bills!W647,"AAAAAFr/7HA=")</f>
        <v>#VALUE!</v>
      </c>
      <c r="DJ161" t="e">
        <f>AND(Bills!#REF!,"AAAAAFr/7HE=")</f>
        <v>#REF!</v>
      </c>
      <c r="DK161" t="e">
        <f>AND(Bills!#REF!,"AAAAAFr/7HI=")</f>
        <v>#REF!</v>
      </c>
      <c r="DL161" t="e">
        <f>AND(Bills!Y647,"AAAAAFr/7HM=")</f>
        <v>#VALUE!</v>
      </c>
      <c r="DM161" t="e">
        <f>AND(Bills!Z647,"AAAAAFr/7HQ=")</f>
        <v>#VALUE!</v>
      </c>
      <c r="DN161" t="e">
        <f>AND(Bills!#REF!,"AAAAAFr/7HU=")</f>
        <v>#REF!</v>
      </c>
      <c r="DO161" t="e">
        <f>AND(Bills!#REF!,"AAAAAFr/7HY=")</f>
        <v>#REF!</v>
      </c>
      <c r="DP161" t="e">
        <f>AND(Bills!#REF!,"AAAAAFr/7Hc=")</f>
        <v>#REF!</v>
      </c>
      <c r="DQ161" t="e">
        <f>AND(Bills!#REF!,"AAAAAFr/7Hg=")</f>
        <v>#REF!</v>
      </c>
      <c r="DR161" t="e">
        <f>AND(Bills!#REF!,"AAAAAFr/7Hk=")</f>
        <v>#REF!</v>
      </c>
      <c r="DS161" t="e">
        <f>AND(Bills!#REF!,"AAAAAFr/7Ho=")</f>
        <v>#REF!</v>
      </c>
      <c r="DT161" t="e">
        <f>AND(Bills!#REF!,"AAAAAFr/7Hs=")</f>
        <v>#REF!</v>
      </c>
      <c r="DU161" t="e">
        <f>AND(Bills!#REF!,"AAAAAFr/7Hw=")</f>
        <v>#REF!</v>
      </c>
      <c r="DV161" t="e">
        <f>AND(Bills!#REF!,"AAAAAFr/7H0=")</f>
        <v>#REF!</v>
      </c>
      <c r="DW161" t="e">
        <f>AND(Bills!AA647,"AAAAAFr/7H4=")</f>
        <v>#VALUE!</v>
      </c>
      <c r="DX161" t="e">
        <f>AND(Bills!AB647,"AAAAAFr/7H8=")</f>
        <v>#VALUE!</v>
      </c>
      <c r="DY161" t="e">
        <f>AND(Bills!#REF!,"AAAAAFr/7IA=")</f>
        <v>#REF!</v>
      </c>
      <c r="DZ161" t="e">
        <f>AND(Bills!#REF!,"AAAAAFr/7IE=")</f>
        <v>#REF!</v>
      </c>
      <c r="EA161" t="e">
        <f>AND(Bills!#REF!,"AAAAAFr/7II=")</f>
        <v>#REF!</v>
      </c>
      <c r="EB161" t="e">
        <f>AND(Bills!AC647,"AAAAAFr/7IM=")</f>
        <v>#VALUE!</v>
      </c>
      <c r="EC161" t="e">
        <f>AND(Bills!AD647,"AAAAAFr/7IQ=")</f>
        <v>#VALUE!</v>
      </c>
      <c r="ED161" t="e">
        <f>AND(Bills!AE647,"AAAAAFr/7IU=")</f>
        <v>#VALUE!</v>
      </c>
      <c r="EE161">
        <f>IF(Bills!648:648,"AAAAAFr/7IY=",0)</f>
        <v>0</v>
      </c>
      <c r="EF161" t="e">
        <f>AND(Bills!B648,"AAAAAFr/7Ic=")</f>
        <v>#VALUE!</v>
      </c>
      <c r="EG161" t="e">
        <f>AND(Bills!#REF!,"AAAAAFr/7Ig=")</f>
        <v>#REF!</v>
      </c>
      <c r="EH161" t="e">
        <f>AND(Bills!C648,"AAAAAFr/7Ik=")</f>
        <v>#VALUE!</v>
      </c>
      <c r="EI161" t="e">
        <f>AND(Bills!D648,"AAAAAFr/7Io=")</f>
        <v>#VALUE!</v>
      </c>
      <c r="EJ161" t="e">
        <f>AND(Bills!E648,"AAAAAFr/7Is=")</f>
        <v>#VALUE!</v>
      </c>
      <c r="EK161" t="e">
        <f>AND(Bills!#REF!,"AAAAAFr/7Iw=")</f>
        <v>#REF!</v>
      </c>
      <c r="EL161" t="e">
        <f>AND(Bills!#REF!,"AAAAAFr/7I0=")</f>
        <v>#REF!</v>
      </c>
      <c r="EM161" t="e">
        <f>AND(Bills!#REF!,"AAAAAFr/7I4=")</f>
        <v>#REF!</v>
      </c>
      <c r="EN161" t="e">
        <f>AND(Bills!F648,"AAAAAFr/7I8=")</f>
        <v>#VALUE!</v>
      </c>
      <c r="EO161" t="e">
        <f>AND(Bills!#REF!,"AAAAAFr/7JA=")</f>
        <v>#REF!</v>
      </c>
      <c r="EP161" t="e">
        <f>AND(Bills!G648,"AAAAAFr/7JE=")</f>
        <v>#VALUE!</v>
      </c>
      <c r="EQ161" t="e">
        <f>AND(Bills!H648,"AAAAAFr/7JI=")</f>
        <v>#VALUE!</v>
      </c>
      <c r="ER161" t="e">
        <f>AND(Bills!I648,"AAAAAFr/7JM=")</f>
        <v>#VALUE!</v>
      </c>
      <c r="ES161" t="e">
        <f>AND(Bills!J648,"AAAAAFr/7JQ=")</f>
        <v>#VALUE!</v>
      </c>
      <c r="ET161" t="e">
        <f>AND(Bills!K648,"AAAAAFr/7JU=")</f>
        <v>#VALUE!</v>
      </c>
      <c r="EU161" t="e">
        <f>AND(Bills!L648,"AAAAAFr/7JY=")</f>
        <v>#VALUE!</v>
      </c>
      <c r="EV161" t="e">
        <f>AND(Bills!#REF!,"AAAAAFr/7Jc=")</f>
        <v>#REF!</v>
      </c>
      <c r="EW161" t="e">
        <f>AND(Bills!M648,"AAAAAFr/7Jg=")</f>
        <v>#VALUE!</v>
      </c>
      <c r="EX161" t="e">
        <f>AND(Bills!N648,"AAAAAFr/7Jk=")</f>
        <v>#VALUE!</v>
      </c>
      <c r="EY161" t="e">
        <f>AND(Bills!O648,"AAAAAFr/7Jo=")</f>
        <v>#VALUE!</v>
      </c>
      <c r="EZ161" t="e">
        <f>AND(Bills!P648,"AAAAAFr/7Js=")</f>
        <v>#VALUE!</v>
      </c>
      <c r="FA161" t="e">
        <f>AND(Bills!Q648,"AAAAAFr/7Jw=")</f>
        <v>#VALUE!</v>
      </c>
      <c r="FB161" t="e">
        <f>AND(Bills!R648,"AAAAAFr/7J0=")</f>
        <v>#VALUE!</v>
      </c>
      <c r="FC161" t="e">
        <f>AND(Bills!S648,"AAAAAFr/7J4=")</f>
        <v>#VALUE!</v>
      </c>
      <c r="FD161" t="e">
        <f>AND(Bills!T648,"AAAAAFr/7J8=")</f>
        <v>#VALUE!</v>
      </c>
      <c r="FE161" t="e">
        <f>AND(Bills!#REF!,"AAAAAFr/7KA=")</f>
        <v>#REF!</v>
      </c>
      <c r="FF161" t="e">
        <f>AND(Bills!U648,"AAAAAFr/7KE=")</f>
        <v>#VALUE!</v>
      </c>
      <c r="FG161" t="e">
        <f>AND(Bills!V648,"AAAAAFr/7KI=")</f>
        <v>#VALUE!</v>
      </c>
      <c r="FH161" t="e">
        <f>AND(Bills!W648,"AAAAAFr/7KM=")</f>
        <v>#VALUE!</v>
      </c>
      <c r="FI161" t="e">
        <f>AND(Bills!#REF!,"AAAAAFr/7KQ=")</f>
        <v>#REF!</v>
      </c>
      <c r="FJ161" t="e">
        <f>AND(Bills!#REF!,"AAAAAFr/7KU=")</f>
        <v>#REF!</v>
      </c>
      <c r="FK161" t="e">
        <f>AND(Bills!Y648,"AAAAAFr/7KY=")</f>
        <v>#VALUE!</v>
      </c>
      <c r="FL161" t="e">
        <f>AND(Bills!Z648,"AAAAAFr/7Kc=")</f>
        <v>#VALUE!</v>
      </c>
      <c r="FM161" t="e">
        <f>AND(Bills!#REF!,"AAAAAFr/7Kg=")</f>
        <v>#REF!</v>
      </c>
      <c r="FN161" t="e">
        <f>AND(Bills!#REF!,"AAAAAFr/7Kk=")</f>
        <v>#REF!</v>
      </c>
      <c r="FO161" t="e">
        <f>AND(Bills!#REF!,"AAAAAFr/7Ko=")</f>
        <v>#REF!</v>
      </c>
      <c r="FP161" t="e">
        <f>AND(Bills!#REF!,"AAAAAFr/7Ks=")</f>
        <v>#REF!</v>
      </c>
      <c r="FQ161" t="e">
        <f>AND(Bills!#REF!,"AAAAAFr/7Kw=")</f>
        <v>#REF!</v>
      </c>
      <c r="FR161" t="e">
        <f>AND(Bills!#REF!,"AAAAAFr/7K0=")</f>
        <v>#REF!</v>
      </c>
      <c r="FS161" t="e">
        <f>AND(Bills!#REF!,"AAAAAFr/7K4=")</f>
        <v>#REF!</v>
      </c>
      <c r="FT161" t="e">
        <f>AND(Bills!#REF!,"AAAAAFr/7K8=")</f>
        <v>#REF!</v>
      </c>
      <c r="FU161" t="e">
        <f>AND(Bills!#REF!,"AAAAAFr/7LA=")</f>
        <v>#REF!</v>
      </c>
      <c r="FV161" t="e">
        <f>AND(Bills!AA648,"AAAAAFr/7LE=")</f>
        <v>#VALUE!</v>
      </c>
      <c r="FW161" t="e">
        <f>AND(Bills!AB648,"AAAAAFr/7LI=")</f>
        <v>#VALUE!</v>
      </c>
      <c r="FX161" t="e">
        <f>AND(Bills!#REF!,"AAAAAFr/7LM=")</f>
        <v>#REF!</v>
      </c>
      <c r="FY161" t="e">
        <f>AND(Bills!#REF!,"AAAAAFr/7LQ=")</f>
        <v>#REF!</v>
      </c>
      <c r="FZ161" t="e">
        <f>AND(Bills!#REF!,"AAAAAFr/7LU=")</f>
        <v>#REF!</v>
      </c>
      <c r="GA161" t="e">
        <f>AND(Bills!AC648,"AAAAAFr/7LY=")</f>
        <v>#VALUE!</v>
      </c>
      <c r="GB161" t="e">
        <f>AND(Bills!AD648,"AAAAAFr/7Lc=")</f>
        <v>#VALUE!</v>
      </c>
      <c r="GC161" t="e">
        <f>AND(Bills!AE648,"AAAAAFr/7Lg=")</f>
        <v>#VALUE!</v>
      </c>
      <c r="GD161">
        <f>IF(Bills!649:649,"AAAAAFr/7Lk=",0)</f>
        <v>0</v>
      </c>
      <c r="GE161" t="e">
        <f>AND(Bills!B649,"AAAAAFr/7Lo=")</f>
        <v>#VALUE!</v>
      </c>
      <c r="GF161" t="e">
        <f>AND(Bills!#REF!,"AAAAAFr/7Ls=")</f>
        <v>#REF!</v>
      </c>
      <c r="GG161" t="e">
        <f>AND(Bills!C649,"AAAAAFr/7Lw=")</f>
        <v>#VALUE!</v>
      </c>
      <c r="GH161" t="e">
        <f>AND(Bills!D649,"AAAAAFr/7L0=")</f>
        <v>#VALUE!</v>
      </c>
      <c r="GI161" t="e">
        <f>AND(Bills!E649,"AAAAAFr/7L4=")</f>
        <v>#VALUE!</v>
      </c>
      <c r="GJ161" t="e">
        <f>AND(Bills!#REF!,"AAAAAFr/7L8=")</f>
        <v>#REF!</v>
      </c>
      <c r="GK161" t="e">
        <f>AND(Bills!#REF!,"AAAAAFr/7MA=")</f>
        <v>#REF!</v>
      </c>
      <c r="GL161" t="e">
        <f>AND(Bills!#REF!,"AAAAAFr/7ME=")</f>
        <v>#REF!</v>
      </c>
      <c r="GM161" t="e">
        <f>AND(Bills!F649,"AAAAAFr/7MI=")</f>
        <v>#VALUE!</v>
      </c>
      <c r="GN161" t="e">
        <f>AND(Bills!#REF!,"AAAAAFr/7MM=")</f>
        <v>#REF!</v>
      </c>
      <c r="GO161" t="e">
        <f>AND(Bills!G649,"AAAAAFr/7MQ=")</f>
        <v>#VALUE!</v>
      </c>
      <c r="GP161" t="e">
        <f>AND(Bills!H649,"AAAAAFr/7MU=")</f>
        <v>#VALUE!</v>
      </c>
      <c r="GQ161" t="e">
        <f>AND(Bills!I649,"AAAAAFr/7MY=")</f>
        <v>#VALUE!</v>
      </c>
      <c r="GR161" t="e">
        <f>AND(Bills!J649,"AAAAAFr/7Mc=")</f>
        <v>#VALUE!</v>
      </c>
      <c r="GS161" t="e">
        <f>AND(Bills!K649,"AAAAAFr/7Mg=")</f>
        <v>#VALUE!</v>
      </c>
      <c r="GT161" t="e">
        <f>AND(Bills!L649,"AAAAAFr/7Mk=")</f>
        <v>#VALUE!</v>
      </c>
      <c r="GU161" t="e">
        <f>AND(Bills!#REF!,"AAAAAFr/7Mo=")</f>
        <v>#REF!</v>
      </c>
      <c r="GV161" t="e">
        <f>AND(Bills!M649,"AAAAAFr/7Ms=")</f>
        <v>#VALUE!</v>
      </c>
      <c r="GW161" t="e">
        <f>AND(Bills!N649,"AAAAAFr/7Mw=")</f>
        <v>#VALUE!</v>
      </c>
      <c r="GX161" t="e">
        <f>AND(Bills!O649,"AAAAAFr/7M0=")</f>
        <v>#VALUE!</v>
      </c>
      <c r="GY161" t="e">
        <f>AND(Bills!P649,"AAAAAFr/7M4=")</f>
        <v>#VALUE!</v>
      </c>
      <c r="GZ161" t="e">
        <f>AND(Bills!Q649,"AAAAAFr/7M8=")</f>
        <v>#VALUE!</v>
      </c>
      <c r="HA161" t="e">
        <f>AND(Bills!R649,"AAAAAFr/7NA=")</f>
        <v>#VALUE!</v>
      </c>
      <c r="HB161" t="e">
        <f>AND(Bills!S649,"AAAAAFr/7NE=")</f>
        <v>#VALUE!</v>
      </c>
      <c r="HC161" t="e">
        <f>AND(Bills!T649,"AAAAAFr/7NI=")</f>
        <v>#VALUE!</v>
      </c>
      <c r="HD161" t="e">
        <f>AND(Bills!#REF!,"AAAAAFr/7NM=")</f>
        <v>#REF!</v>
      </c>
      <c r="HE161" t="e">
        <f>AND(Bills!U649,"AAAAAFr/7NQ=")</f>
        <v>#VALUE!</v>
      </c>
      <c r="HF161" t="e">
        <f>AND(Bills!V649,"AAAAAFr/7NU=")</f>
        <v>#VALUE!</v>
      </c>
      <c r="HG161" t="e">
        <f>AND(Bills!W649,"AAAAAFr/7NY=")</f>
        <v>#VALUE!</v>
      </c>
      <c r="HH161" t="e">
        <f>AND(Bills!#REF!,"AAAAAFr/7Nc=")</f>
        <v>#REF!</v>
      </c>
      <c r="HI161" t="e">
        <f>AND(Bills!#REF!,"AAAAAFr/7Ng=")</f>
        <v>#REF!</v>
      </c>
      <c r="HJ161" t="e">
        <f>AND(Bills!Y649,"AAAAAFr/7Nk=")</f>
        <v>#VALUE!</v>
      </c>
      <c r="HK161" t="e">
        <f>AND(Bills!Z649,"AAAAAFr/7No=")</f>
        <v>#VALUE!</v>
      </c>
      <c r="HL161" t="e">
        <f>AND(Bills!#REF!,"AAAAAFr/7Ns=")</f>
        <v>#REF!</v>
      </c>
      <c r="HM161" t="e">
        <f>AND(Bills!#REF!,"AAAAAFr/7Nw=")</f>
        <v>#REF!</v>
      </c>
      <c r="HN161" t="e">
        <f>AND(Bills!#REF!,"AAAAAFr/7N0=")</f>
        <v>#REF!</v>
      </c>
      <c r="HO161" t="e">
        <f>AND(Bills!#REF!,"AAAAAFr/7N4=")</f>
        <v>#REF!</v>
      </c>
      <c r="HP161" t="e">
        <f>AND(Bills!#REF!,"AAAAAFr/7N8=")</f>
        <v>#REF!</v>
      </c>
      <c r="HQ161" t="e">
        <f>AND(Bills!#REF!,"AAAAAFr/7OA=")</f>
        <v>#REF!</v>
      </c>
      <c r="HR161" t="e">
        <f>AND(Bills!#REF!,"AAAAAFr/7OE=")</f>
        <v>#REF!</v>
      </c>
      <c r="HS161" t="e">
        <f>AND(Bills!#REF!,"AAAAAFr/7OI=")</f>
        <v>#REF!</v>
      </c>
      <c r="HT161" t="e">
        <f>AND(Bills!#REF!,"AAAAAFr/7OM=")</f>
        <v>#REF!</v>
      </c>
      <c r="HU161" t="e">
        <f>AND(Bills!AA649,"AAAAAFr/7OQ=")</f>
        <v>#VALUE!</v>
      </c>
      <c r="HV161" t="e">
        <f>AND(Bills!AB649,"AAAAAFr/7OU=")</f>
        <v>#VALUE!</v>
      </c>
      <c r="HW161" t="e">
        <f>AND(Bills!#REF!,"AAAAAFr/7OY=")</f>
        <v>#REF!</v>
      </c>
      <c r="HX161" t="e">
        <f>AND(Bills!#REF!,"AAAAAFr/7Oc=")</f>
        <v>#REF!</v>
      </c>
      <c r="HY161" t="e">
        <f>AND(Bills!#REF!,"AAAAAFr/7Og=")</f>
        <v>#REF!</v>
      </c>
      <c r="HZ161" t="e">
        <f>AND(Bills!AC649,"AAAAAFr/7Ok=")</f>
        <v>#VALUE!</v>
      </c>
      <c r="IA161" t="e">
        <f>AND(Bills!AD649,"AAAAAFr/7Oo=")</f>
        <v>#VALUE!</v>
      </c>
      <c r="IB161" t="e">
        <f>AND(Bills!AE649,"AAAAAFr/7Os=")</f>
        <v>#VALUE!</v>
      </c>
      <c r="IC161">
        <f>IF(Bills!650:650,"AAAAAFr/7Ow=",0)</f>
        <v>0</v>
      </c>
      <c r="ID161" t="e">
        <f>AND(Bills!B650,"AAAAAFr/7O0=")</f>
        <v>#VALUE!</v>
      </c>
      <c r="IE161" t="e">
        <f>AND(Bills!#REF!,"AAAAAFr/7O4=")</f>
        <v>#REF!</v>
      </c>
      <c r="IF161" t="e">
        <f>AND(Bills!C650,"AAAAAFr/7O8=")</f>
        <v>#VALUE!</v>
      </c>
      <c r="IG161" t="e">
        <f>AND(Bills!D650,"AAAAAFr/7PA=")</f>
        <v>#VALUE!</v>
      </c>
      <c r="IH161" t="e">
        <f>AND(Bills!E650,"AAAAAFr/7PE=")</f>
        <v>#VALUE!</v>
      </c>
      <c r="II161" t="e">
        <f>AND(Bills!#REF!,"AAAAAFr/7PI=")</f>
        <v>#REF!</v>
      </c>
      <c r="IJ161" t="e">
        <f>AND(Bills!#REF!,"AAAAAFr/7PM=")</f>
        <v>#REF!</v>
      </c>
      <c r="IK161" t="e">
        <f>AND(Bills!#REF!,"AAAAAFr/7PQ=")</f>
        <v>#REF!</v>
      </c>
      <c r="IL161" t="e">
        <f>AND(Bills!F650,"AAAAAFr/7PU=")</f>
        <v>#VALUE!</v>
      </c>
      <c r="IM161" t="e">
        <f>AND(Bills!#REF!,"AAAAAFr/7PY=")</f>
        <v>#REF!</v>
      </c>
      <c r="IN161" t="e">
        <f>AND(Bills!G650,"AAAAAFr/7Pc=")</f>
        <v>#VALUE!</v>
      </c>
      <c r="IO161" t="e">
        <f>AND(Bills!H650,"AAAAAFr/7Pg=")</f>
        <v>#VALUE!</v>
      </c>
      <c r="IP161" t="e">
        <f>AND(Bills!I650,"AAAAAFr/7Pk=")</f>
        <v>#VALUE!</v>
      </c>
      <c r="IQ161" t="e">
        <f>AND(Bills!J650,"AAAAAFr/7Po=")</f>
        <v>#VALUE!</v>
      </c>
      <c r="IR161" t="e">
        <f>AND(Bills!K650,"AAAAAFr/7Ps=")</f>
        <v>#VALUE!</v>
      </c>
      <c r="IS161" t="e">
        <f>AND(Bills!L650,"AAAAAFr/7Pw=")</f>
        <v>#VALUE!</v>
      </c>
      <c r="IT161" t="e">
        <f>AND(Bills!#REF!,"AAAAAFr/7P0=")</f>
        <v>#REF!</v>
      </c>
      <c r="IU161" t="e">
        <f>AND(Bills!M650,"AAAAAFr/7P4=")</f>
        <v>#VALUE!</v>
      </c>
      <c r="IV161" t="e">
        <f>AND(Bills!N650,"AAAAAFr/7P8=")</f>
        <v>#VALUE!</v>
      </c>
    </row>
    <row r="162" spans="1:256" x14ac:dyDescent="0.25">
      <c r="A162" t="e">
        <f>AND(Bills!O650,"AAAAAHH/RQA=")</f>
        <v>#VALUE!</v>
      </c>
      <c r="B162" t="e">
        <f>AND(Bills!P650,"AAAAAHH/RQE=")</f>
        <v>#VALUE!</v>
      </c>
      <c r="C162" t="e">
        <f>AND(Bills!Q650,"AAAAAHH/RQI=")</f>
        <v>#VALUE!</v>
      </c>
      <c r="D162" t="e">
        <f>AND(Bills!R650,"AAAAAHH/RQM=")</f>
        <v>#VALUE!</v>
      </c>
      <c r="E162" t="e">
        <f>AND(Bills!S650,"AAAAAHH/RQQ=")</f>
        <v>#VALUE!</v>
      </c>
      <c r="F162" t="e">
        <f>AND(Bills!T650,"AAAAAHH/RQU=")</f>
        <v>#VALUE!</v>
      </c>
      <c r="G162" t="e">
        <f>AND(Bills!#REF!,"AAAAAHH/RQY=")</f>
        <v>#REF!</v>
      </c>
      <c r="H162" t="e">
        <f>AND(Bills!U650,"AAAAAHH/RQc=")</f>
        <v>#VALUE!</v>
      </c>
      <c r="I162" t="e">
        <f>AND(Bills!V650,"AAAAAHH/RQg=")</f>
        <v>#VALUE!</v>
      </c>
      <c r="J162" t="e">
        <f>AND(Bills!W650,"AAAAAHH/RQk=")</f>
        <v>#VALUE!</v>
      </c>
      <c r="K162" t="e">
        <f>AND(Bills!#REF!,"AAAAAHH/RQo=")</f>
        <v>#REF!</v>
      </c>
      <c r="L162" t="e">
        <f>AND(Bills!#REF!,"AAAAAHH/RQs=")</f>
        <v>#REF!</v>
      </c>
      <c r="M162" t="e">
        <f>AND(Bills!Y650,"AAAAAHH/RQw=")</f>
        <v>#VALUE!</v>
      </c>
      <c r="N162" t="e">
        <f>AND(Bills!Z650,"AAAAAHH/RQ0=")</f>
        <v>#VALUE!</v>
      </c>
      <c r="O162" t="e">
        <f>AND(Bills!#REF!,"AAAAAHH/RQ4=")</f>
        <v>#REF!</v>
      </c>
      <c r="P162" t="e">
        <f>AND(Bills!#REF!,"AAAAAHH/RQ8=")</f>
        <v>#REF!</v>
      </c>
      <c r="Q162" t="e">
        <f>AND(Bills!#REF!,"AAAAAHH/RRA=")</f>
        <v>#REF!</v>
      </c>
      <c r="R162" t="e">
        <f>AND(Bills!#REF!,"AAAAAHH/RRE=")</f>
        <v>#REF!</v>
      </c>
      <c r="S162" t="e">
        <f>AND(Bills!#REF!,"AAAAAHH/RRI=")</f>
        <v>#REF!</v>
      </c>
      <c r="T162" t="e">
        <f>AND(Bills!#REF!,"AAAAAHH/RRM=")</f>
        <v>#REF!</v>
      </c>
      <c r="U162" t="e">
        <f>AND(Bills!#REF!,"AAAAAHH/RRQ=")</f>
        <v>#REF!</v>
      </c>
      <c r="V162" t="e">
        <f>AND(Bills!#REF!,"AAAAAHH/RRU=")</f>
        <v>#REF!</v>
      </c>
      <c r="W162" t="e">
        <f>AND(Bills!#REF!,"AAAAAHH/RRY=")</f>
        <v>#REF!</v>
      </c>
      <c r="X162" t="e">
        <f>AND(Bills!AA650,"AAAAAHH/RRc=")</f>
        <v>#VALUE!</v>
      </c>
      <c r="Y162" t="e">
        <f>AND(Bills!AB650,"AAAAAHH/RRg=")</f>
        <v>#VALUE!</v>
      </c>
      <c r="Z162" t="e">
        <f>AND(Bills!#REF!,"AAAAAHH/RRk=")</f>
        <v>#REF!</v>
      </c>
      <c r="AA162" t="e">
        <f>AND(Bills!#REF!,"AAAAAHH/RRo=")</f>
        <v>#REF!</v>
      </c>
      <c r="AB162" t="e">
        <f>AND(Bills!#REF!,"AAAAAHH/RRs=")</f>
        <v>#REF!</v>
      </c>
      <c r="AC162" t="e">
        <f>AND(Bills!AC650,"AAAAAHH/RRw=")</f>
        <v>#VALUE!</v>
      </c>
      <c r="AD162" t="e">
        <f>AND(Bills!AD650,"AAAAAHH/RR0=")</f>
        <v>#VALUE!</v>
      </c>
      <c r="AE162" t="e">
        <f>AND(Bills!AE650,"AAAAAHH/RR4=")</f>
        <v>#VALUE!</v>
      </c>
      <c r="AF162">
        <f>IF(Bills!651:651,"AAAAAHH/RR8=",0)</f>
        <v>0</v>
      </c>
      <c r="AG162" t="e">
        <f>AND(Bills!B651,"AAAAAHH/RSA=")</f>
        <v>#VALUE!</v>
      </c>
      <c r="AH162" t="e">
        <f>AND(Bills!#REF!,"AAAAAHH/RSE=")</f>
        <v>#REF!</v>
      </c>
      <c r="AI162" t="e">
        <f>AND(Bills!C651,"AAAAAHH/RSI=")</f>
        <v>#VALUE!</v>
      </c>
      <c r="AJ162" t="e">
        <f>AND(Bills!D651,"AAAAAHH/RSM=")</f>
        <v>#VALUE!</v>
      </c>
      <c r="AK162" t="e">
        <f>AND(Bills!E651,"AAAAAHH/RSQ=")</f>
        <v>#VALUE!</v>
      </c>
      <c r="AL162" t="e">
        <f>AND(Bills!#REF!,"AAAAAHH/RSU=")</f>
        <v>#REF!</v>
      </c>
      <c r="AM162" t="e">
        <f>AND(Bills!#REF!,"AAAAAHH/RSY=")</f>
        <v>#REF!</v>
      </c>
      <c r="AN162" t="e">
        <f>AND(Bills!#REF!,"AAAAAHH/RSc=")</f>
        <v>#REF!</v>
      </c>
      <c r="AO162" t="e">
        <f>AND(Bills!F651,"AAAAAHH/RSg=")</f>
        <v>#VALUE!</v>
      </c>
      <c r="AP162" t="e">
        <f>AND(Bills!#REF!,"AAAAAHH/RSk=")</f>
        <v>#REF!</v>
      </c>
      <c r="AQ162" t="e">
        <f>AND(Bills!G651,"AAAAAHH/RSo=")</f>
        <v>#VALUE!</v>
      </c>
      <c r="AR162" t="e">
        <f>AND(Bills!H651,"AAAAAHH/RSs=")</f>
        <v>#VALUE!</v>
      </c>
      <c r="AS162" t="e">
        <f>AND(Bills!I651,"AAAAAHH/RSw=")</f>
        <v>#VALUE!</v>
      </c>
      <c r="AT162" t="e">
        <f>AND(Bills!J651,"AAAAAHH/RS0=")</f>
        <v>#VALUE!</v>
      </c>
      <c r="AU162" t="e">
        <f>AND(Bills!K651,"AAAAAHH/RS4=")</f>
        <v>#VALUE!</v>
      </c>
      <c r="AV162" t="e">
        <f>AND(Bills!L651,"AAAAAHH/RS8=")</f>
        <v>#VALUE!</v>
      </c>
      <c r="AW162" t="e">
        <f>AND(Bills!#REF!,"AAAAAHH/RTA=")</f>
        <v>#REF!</v>
      </c>
      <c r="AX162" t="e">
        <f>AND(Bills!M651,"AAAAAHH/RTE=")</f>
        <v>#VALUE!</v>
      </c>
      <c r="AY162" t="e">
        <f>AND(Bills!N651,"AAAAAHH/RTI=")</f>
        <v>#VALUE!</v>
      </c>
      <c r="AZ162" t="e">
        <f>AND(Bills!O651,"AAAAAHH/RTM=")</f>
        <v>#VALUE!</v>
      </c>
      <c r="BA162" t="e">
        <f>AND(Bills!P651,"AAAAAHH/RTQ=")</f>
        <v>#VALUE!</v>
      </c>
      <c r="BB162" t="e">
        <f>AND(Bills!Q651,"AAAAAHH/RTU=")</f>
        <v>#VALUE!</v>
      </c>
      <c r="BC162" t="e">
        <f>AND(Bills!R651,"AAAAAHH/RTY=")</f>
        <v>#VALUE!</v>
      </c>
      <c r="BD162" t="e">
        <f>AND(Bills!S651,"AAAAAHH/RTc=")</f>
        <v>#VALUE!</v>
      </c>
      <c r="BE162" t="e">
        <f>AND(Bills!T651,"AAAAAHH/RTg=")</f>
        <v>#VALUE!</v>
      </c>
      <c r="BF162" t="e">
        <f>AND(Bills!#REF!,"AAAAAHH/RTk=")</f>
        <v>#REF!</v>
      </c>
      <c r="BG162" t="e">
        <f>AND(Bills!U651,"AAAAAHH/RTo=")</f>
        <v>#VALUE!</v>
      </c>
      <c r="BH162" t="e">
        <f>AND(Bills!V651,"AAAAAHH/RTs=")</f>
        <v>#VALUE!</v>
      </c>
      <c r="BI162" t="e">
        <f>AND(Bills!W651,"AAAAAHH/RTw=")</f>
        <v>#VALUE!</v>
      </c>
      <c r="BJ162" t="e">
        <f>AND(Bills!#REF!,"AAAAAHH/RT0=")</f>
        <v>#REF!</v>
      </c>
      <c r="BK162" t="e">
        <f>AND(Bills!#REF!,"AAAAAHH/RT4=")</f>
        <v>#REF!</v>
      </c>
      <c r="BL162" t="e">
        <f>AND(Bills!Y651,"AAAAAHH/RT8=")</f>
        <v>#VALUE!</v>
      </c>
      <c r="BM162" t="e">
        <f>AND(Bills!Z651,"AAAAAHH/RUA=")</f>
        <v>#VALUE!</v>
      </c>
      <c r="BN162" t="e">
        <f>AND(Bills!#REF!,"AAAAAHH/RUE=")</f>
        <v>#REF!</v>
      </c>
      <c r="BO162" t="e">
        <f>AND(Bills!#REF!,"AAAAAHH/RUI=")</f>
        <v>#REF!</v>
      </c>
      <c r="BP162" t="e">
        <f>AND(Bills!#REF!,"AAAAAHH/RUM=")</f>
        <v>#REF!</v>
      </c>
      <c r="BQ162" t="e">
        <f>AND(Bills!#REF!,"AAAAAHH/RUQ=")</f>
        <v>#REF!</v>
      </c>
      <c r="BR162" t="e">
        <f>AND(Bills!#REF!,"AAAAAHH/RUU=")</f>
        <v>#REF!</v>
      </c>
      <c r="BS162" t="e">
        <f>AND(Bills!#REF!,"AAAAAHH/RUY=")</f>
        <v>#REF!</v>
      </c>
      <c r="BT162" t="e">
        <f>AND(Bills!#REF!,"AAAAAHH/RUc=")</f>
        <v>#REF!</v>
      </c>
      <c r="BU162" t="e">
        <f>AND(Bills!#REF!,"AAAAAHH/RUg=")</f>
        <v>#REF!</v>
      </c>
      <c r="BV162" t="e">
        <f>AND(Bills!#REF!,"AAAAAHH/RUk=")</f>
        <v>#REF!</v>
      </c>
      <c r="BW162" t="e">
        <f>AND(Bills!AA651,"AAAAAHH/RUo=")</f>
        <v>#VALUE!</v>
      </c>
      <c r="BX162" t="e">
        <f>AND(Bills!AB651,"AAAAAHH/RUs=")</f>
        <v>#VALUE!</v>
      </c>
      <c r="BY162" t="e">
        <f>AND(Bills!#REF!,"AAAAAHH/RUw=")</f>
        <v>#REF!</v>
      </c>
      <c r="BZ162" t="e">
        <f>AND(Bills!#REF!,"AAAAAHH/RU0=")</f>
        <v>#REF!</v>
      </c>
      <c r="CA162" t="e">
        <f>AND(Bills!#REF!,"AAAAAHH/RU4=")</f>
        <v>#REF!</v>
      </c>
      <c r="CB162" t="e">
        <f>AND(Bills!AC651,"AAAAAHH/RU8=")</f>
        <v>#VALUE!</v>
      </c>
      <c r="CC162" t="e">
        <f>AND(Bills!AD651,"AAAAAHH/RVA=")</f>
        <v>#VALUE!</v>
      </c>
      <c r="CD162" t="e">
        <f>AND(Bills!AE651,"AAAAAHH/RVE=")</f>
        <v>#VALUE!</v>
      </c>
      <c r="CE162">
        <f>IF(Bills!652:652,"AAAAAHH/RVI=",0)</f>
        <v>0</v>
      </c>
      <c r="CF162" t="e">
        <f>AND(Bills!B652,"AAAAAHH/RVM=")</f>
        <v>#VALUE!</v>
      </c>
      <c r="CG162" t="e">
        <f>AND(Bills!#REF!,"AAAAAHH/RVQ=")</f>
        <v>#REF!</v>
      </c>
      <c r="CH162" t="e">
        <f>AND(Bills!C652,"AAAAAHH/RVU=")</f>
        <v>#VALUE!</v>
      </c>
      <c r="CI162" t="e">
        <f>AND(Bills!D652,"AAAAAHH/RVY=")</f>
        <v>#VALUE!</v>
      </c>
      <c r="CJ162" t="e">
        <f>AND(Bills!E652,"AAAAAHH/RVc=")</f>
        <v>#VALUE!</v>
      </c>
      <c r="CK162" t="e">
        <f>AND(Bills!#REF!,"AAAAAHH/RVg=")</f>
        <v>#REF!</v>
      </c>
      <c r="CL162" t="e">
        <f>AND(Bills!#REF!,"AAAAAHH/RVk=")</f>
        <v>#REF!</v>
      </c>
      <c r="CM162" t="e">
        <f>AND(Bills!#REF!,"AAAAAHH/RVo=")</f>
        <v>#REF!</v>
      </c>
      <c r="CN162" t="e">
        <f>AND(Bills!F652,"AAAAAHH/RVs=")</f>
        <v>#VALUE!</v>
      </c>
      <c r="CO162" t="e">
        <f>AND(Bills!#REF!,"AAAAAHH/RVw=")</f>
        <v>#REF!</v>
      </c>
      <c r="CP162" t="e">
        <f>AND(Bills!G652,"AAAAAHH/RV0=")</f>
        <v>#VALUE!</v>
      </c>
      <c r="CQ162" t="e">
        <f>AND(Bills!H652,"AAAAAHH/RV4=")</f>
        <v>#VALUE!</v>
      </c>
      <c r="CR162" t="e">
        <f>AND(Bills!I652,"AAAAAHH/RV8=")</f>
        <v>#VALUE!</v>
      </c>
      <c r="CS162" t="e">
        <f>AND(Bills!J652,"AAAAAHH/RWA=")</f>
        <v>#VALUE!</v>
      </c>
      <c r="CT162" t="e">
        <f>AND(Bills!K652,"AAAAAHH/RWE=")</f>
        <v>#VALUE!</v>
      </c>
      <c r="CU162" t="e">
        <f>AND(Bills!L652,"AAAAAHH/RWI=")</f>
        <v>#VALUE!</v>
      </c>
      <c r="CV162" t="e">
        <f>AND(Bills!#REF!,"AAAAAHH/RWM=")</f>
        <v>#REF!</v>
      </c>
      <c r="CW162" t="e">
        <f>AND(Bills!M652,"AAAAAHH/RWQ=")</f>
        <v>#VALUE!</v>
      </c>
      <c r="CX162" t="e">
        <f>AND(Bills!N652,"AAAAAHH/RWU=")</f>
        <v>#VALUE!</v>
      </c>
      <c r="CY162" t="e">
        <f>AND(Bills!O652,"AAAAAHH/RWY=")</f>
        <v>#VALUE!</v>
      </c>
      <c r="CZ162" t="e">
        <f>AND(Bills!P652,"AAAAAHH/RWc=")</f>
        <v>#VALUE!</v>
      </c>
      <c r="DA162" t="e">
        <f>AND(Bills!Q652,"AAAAAHH/RWg=")</f>
        <v>#VALUE!</v>
      </c>
      <c r="DB162" t="e">
        <f>AND(Bills!R652,"AAAAAHH/RWk=")</f>
        <v>#VALUE!</v>
      </c>
      <c r="DC162" t="e">
        <f>AND(Bills!S652,"AAAAAHH/RWo=")</f>
        <v>#VALUE!</v>
      </c>
      <c r="DD162" t="e">
        <f>AND(Bills!T652,"AAAAAHH/RWs=")</f>
        <v>#VALUE!</v>
      </c>
      <c r="DE162" t="e">
        <f>AND(Bills!#REF!,"AAAAAHH/RWw=")</f>
        <v>#REF!</v>
      </c>
      <c r="DF162" t="e">
        <f>AND(Bills!U652,"AAAAAHH/RW0=")</f>
        <v>#VALUE!</v>
      </c>
      <c r="DG162" t="e">
        <f>AND(Bills!V652,"AAAAAHH/RW4=")</f>
        <v>#VALUE!</v>
      </c>
      <c r="DH162" t="e">
        <f>AND(Bills!W652,"AAAAAHH/RW8=")</f>
        <v>#VALUE!</v>
      </c>
      <c r="DI162" t="e">
        <f>AND(Bills!#REF!,"AAAAAHH/RXA=")</f>
        <v>#REF!</v>
      </c>
      <c r="DJ162" t="e">
        <f>AND(Bills!#REF!,"AAAAAHH/RXE=")</f>
        <v>#REF!</v>
      </c>
      <c r="DK162" t="e">
        <f>AND(Bills!Y652,"AAAAAHH/RXI=")</f>
        <v>#VALUE!</v>
      </c>
      <c r="DL162" t="e">
        <f>AND(Bills!Z652,"AAAAAHH/RXM=")</f>
        <v>#VALUE!</v>
      </c>
      <c r="DM162" t="e">
        <f>AND(Bills!#REF!,"AAAAAHH/RXQ=")</f>
        <v>#REF!</v>
      </c>
      <c r="DN162" t="e">
        <f>AND(Bills!#REF!,"AAAAAHH/RXU=")</f>
        <v>#REF!</v>
      </c>
      <c r="DO162" t="e">
        <f>AND(Bills!#REF!,"AAAAAHH/RXY=")</f>
        <v>#REF!</v>
      </c>
      <c r="DP162" t="e">
        <f>AND(Bills!#REF!,"AAAAAHH/RXc=")</f>
        <v>#REF!</v>
      </c>
      <c r="DQ162" t="e">
        <f>AND(Bills!#REF!,"AAAAAHH/RXg=")</f>
        <v>#REF!</v>
      </c>
      <c r="DR162" t="e">
        <f>AND(Bills!#REF!,"AAAAAHH/RXk=")</f>
        <v>#REF!</v>
      </c>
      <c r="DS162" t="e">
        <f>AND(Bills!#REF!,"AAAAAHH/RXo=")</f>
        <v>#REF!</v>
      </c>
      <c r="DT162" t="e">
        <f>AND(Bills!#REF!,"AAAAAHH/RXs=")</f>
        <v>#REF!</v>
      </c>
      <c r="DU162" t="e">
        <f>AND(Bills!#REF!,"AAAAAHH/RXw=")</f>
        <v>#REF!</v>
      </c>
      <c r="DV162" t="e">
        <f>AND(Bills!AA652,"AAAAAHH/RX0=")</f>
        <v>#VALUE!</v>
      </c>
      <c r="DW162" t="e">
        <f>AND(Bills!AB652,"AAAAAHH/RX4=")</f>
        <v>#VALUE!</v>
      </c>
      <c r="DX162" t="e">
        <f>AND(Bills!#REF!,"AAAAAHH/RX8=")</f>
        <v>#REF!</v>
      </c>
      <c r="DY162" t="e">
        <f>AND(Bills!#REF!,"AAAAAHH/RYA=")</f>
        <v>#REF!</v>
      </c>
      <c r="DZ162" t="e">
        <f>AND(Bills!#REF!,"AAAAAHH/RYE=")</f>
        <v>#REF!</v>
      </c>
      <c r="EA162" t="e">
        <f>AND(Bills!AC652,"AAAAAHH/RYI=")</f>
        <v>#VALUE!</v>
      </c>
      <c r="EB162" t="e">
        <f>AND(Bills!AD652,"AAAAAHH/RYM=")</f>
        <v>#VALUE!</v>
      </c>
      <c r="EC162" t="e">
        <f>AND(Bills!AE652,"AAAAAHH/RYQ=")</f>
        <v>#VALUE!</v>
      </c>
      <c r="ED162">
        <f>IF(Bills!653:653,"AAAAAHH/RYU=",0)</f>
        <v>0</v>
      </c>
      <c r="EE162" t="e">
        <f>AND(Bills!B653,"AAAAAHH/RYY=")</f>
        <v>#VALUE!</v>
      </c>
      <c r="EF162" t="e">
        <f>AND(Bills!#REF!,"AAAAAHH/RYc=")</f>
        <v>#REF!</v>
      </c>
      <c r="EG162" t="e">
        <f>AND(Bills!C653,"AAAAAHH/RYg=")</f>
        <v>#VALUE!</v>
      </c>
      <c r="EH162" t="e">
        <f>AND(Bills!D653,"AAAAAHH/RYk=")</f>
        <v>#VALUE!</v>
      </c>
      <c r="EI162" t="e">
        <f>AND(Bills!E653,"AAAAAHH/RYo=")</f>
        <v>#VALUE!</v>
      </c>
      <c r="EJ162" t="e">
        <f>AND(Bills!#REF!,"AAAAAHH/RYs=")</f>
        <v>#REF!</v>
      </c>
      <c r="EK162" t="e">
        <f>AND(Bills!#REF!,"AAAAAHH/RYw=")</f>
        <v>#REF!</v>
      </c>
      <c r="EL162" t="e">
        <f>AND(Bills!#REF!,"AAAAAHH/RY0=")</f>
        <v>#REF!</v>
      </c>
      <c r="EM162" t="e">
        <f>AND(Bills!F653,"AAAAAHH/RY4=")</f>
        <v>#VALUE!</v>
      </c>
      <c r="EN162" t="e">
        <f>AND(Bills!#REF!,"AAAAAHH/RY8=")</f>
        <v>#REF!</v>
      </c>
      <c r="EO162" t="e">
        <f>AND(Bills!G653,"AAAAAHH/RZA=")</f>
        <v>#VALUE!</v>
      </c>
      <c r="EP162" t="e">
        <f>AND(Bills!H653,"AAAAAHH/RZE=")</f>
        <v>#VALUE!</v>
      </c>
      <c r="EQ162" t="e">
        <f>AND(Bills!I653,"AAAAAHH/RZI=")</f>
        <v>#VALUE!</v>
      </c>
      <c r="ER162" t="e">
        <f>AND(Bills!J653,"AAAAAHH/RZM=")</f>
        <v>#VALUE!</v>
      </c>
      <c r="ES162" t="e">
        <f>AND(Bills!K653,"AAAAAHH/RZQ=")</f>
        <v>#VALUE!</v>
      </c>
      <c r="ET162" t="e">
        <f>AND(Bills!L653,"AAAAAHH/RZU=")</f>
        <v>#VALUE!</v>
      </c>
      <c r="EU162" t="e">
        <f>AND(Bills!#REF!,"AAAAAHH/RZY=")</f>
        <v>#REF!</v>
      </c>
      <c r="EV162" t="e">
        <f>AND(Bills!M653,"AAAAAHH/RZc=")</f>
        <v>#VALUE!</v>
      </c>
      <c r="EW162" t="e">
        <f>AND(Bills!N653,"AAAAAHH/RZg=")</f>
        <v>#VALUE!</v>
      </c>
      <c r="EX162" t="e">
        <f>AND(Bills!O653,"AAAAAHH/RZk=")</f>
        <v>#VALUE!</v>
      </c>
      <c r="EY162" t="e">
        <f>AND(Bills!P653,"AAAAAHH/RZo=")</f>
        <v>#VALUE!</v>
      </c>
      <c r="EZ162" t="e">
        <f>AND(Bills!Q653,"AAAAAHH/RZs=")</f>
        <v>#VALUE!</v>
      </c>
      <c r="FA162" t="e">
        <f>AND(Bills!R653,"AAAAAHH/RZw=")</f>
        <v>#VALUE!</v>
      </c>
      <c r="FB162" t="e">
        <f>AND(Bills!S653,"AAAAAHH/RZ0=")</f>
        <v>#VALUE!</v>
      </c>
      <c r="FC162" t="e">
        <f>AND(Bills!T653,"AAAAAHH/RZ4=")</f>
        <v>#VALUE!</v>
      </c>
      <c r="FD162" t="e">
        <f>AND(Bills!#REF!,"AAAAAHH/RZ8=")</f>
        <v>#REF!</v>
      </c>
      <c r="FE162" t="e">
        <f>AND(Bills!U653,"AAAAAHH/RaA=")</f>
        <v>#VALUE!</v>
      </c>
      <c r="FF162" t="e">
        <f>AND(Bills!V653,"AAAAAHH/RaE=")</f>
        <v>#VALUE!</v>
      </c>
      <c r="FG162" t="e">
        <f>AND(Bills!W653,"AAAAAHH/RaI=")</f>
        <v>#VALUE!</v>
      </c>
      <c r="FH162" t="e">
        <f>AND(Bills!#REF!,"AAAAAHH/RaM=")</f>
        <v>#REF!</v>
      </c>
      <c r="FI162" t="e">
        <f>AND(Bills!#REF!,"AAAAAHH/RaQ=")</f>
        <v>#REF!</v>
      </c>
      <c r="FJ162" t="e">
        <f>AND(Bills!Y653,"AAAAAHH/RaU=")</f>
        <v>#VALUE!</v>
      </c>
      <c r="FK162" t="e">
        <f>AND(Bills!Z653,"AAAAAHH/RaY=")</f>
        <v>#VALUE!</v>
      </c>
      <c r="FL162" t="e">
        <f>AND(Bills!#REF!,"AAAAAHH/Rac=")</f>
        <v>#REF!</v>
      </c>
      <c r="FM162" t="e">
        <f>AND(Bills!#REF!,"AAAAAHH/Rag=")</f>
        <v>#REF!</v>
      </c>
      <c r="FN162" t="e">
        <f>AND(Bills!#REF!,"AAAAAHH/Rak=")</f>
        <v>#REF!</v>
      </c>
      <c r="FO162" t="e">
        <f>AND(Bills!#REF!,"AAAAAHH/Rao=")</f>
        <v>#REF!</v>
      </c>
      <c r="FP162" t="e">
        <f>AND(Bills!#REF!,"AAAAAHH/Ras=")</f>
        <v>#REF!</v>
      </c>
      <c r="FQ162" t="e">
        <f>AND(Bills!#REF!,"AAAAAHH/Raw=")</f>
        <v>#REF!</v>
      </c>
      <c r="FR162" t="e">
        <f>AND(Bills!#REF!,"AAAAAHH/Ra0=")</f>
        <v>#REF!</v>
      </c>
      <c r="FS162" t="e">
        <f>AND(Bills!#REF!,"AAAAAHH/Ra4=")</f>
        <v>#REF!</v>
      </c>
      <c r="FT162" t="e">
        <f>AND(Bills!#REF!,"AAAAAHH/Ra8=")</f>
        <v>#REF!</v>
      </c>
      <c r="FU162" t="e">
        <f>AND(Bills!AA653,"AAAAAHH/RbA=")</f>
        <v>#VALUE!</v>
      </c>
      <c r="FV162" t="e">
        <f>AND(Bills!AB653,"AAAAAHH/RbE=")</f>
        <v>#VALUE!</v>
      </c>
      <c r="FW162" t="e">
        <f>AND(Bills!#REF!,"AAAAAHH/RbI=")</f>
        <v>#REF!</v>
      </c>
      <c r="FX162" t="e">
        <f>AND(Bills!#REF!,"AAAAAHH/RbM=")</f>
        <v>#REF!</v>
      </c>
      <c r="FY162" t="e">
        <f>AND(Bills!#REF!,"AAAAAHH/RbQ=")</f>
        <v>#REF!</v>
      </c>
      <c r="FZ162" t="e">
        <f>AND(Bills!AC653,"AAAAAHH/RbU=")</f>
        <v>#VALUE!</v>
      </c>
      <c r="GA162" t="e">
        <f>AND(Bills!AD653,"AAAAAHH/RbY=")</f>
        <v>#VALUE!</v>
      </c>
      <c r="GB162" t="e">
        <f>AND(Bills!AE653,"AAAAAHH/Rbc=")</f>
        <v>#VALUE!</v>
      </c>
      <c r="GC162">
        <f>IF(Bills!654:654,"AAAAAHH/Rbg=",0)</f>
        <v>0</v>
      </c>
      <c r="GD162" t="e">
        <f>AND(Bills!B654,"AAAAAHH/Rbk=")</f>
        <v>#VALUE!</v>
      </c>
      <c r="GE162" t="e">
        <f>AND(Bills!#REF!,"AAAAAHH/Rbo=")</f>
        <v>#REF!</v>
      </c>
      <c r="GF162" t="e">
        <f>AND(Bills!C654,"AAAAAHH/Rbs=")</f>
        <v>#VALUE!</v>
      </c>
      <c r="GG162" t="e">
        <f>AND(Bills!D654,"AAAAAHH/Rbw=")</f>
        <v>#VALUE!</v>
      </c>
      <c r="GH162" t="e">
        <f>AND(Bills!E654,"AAAAAHH/Rb0=")</f>
        <v>#VALUE!</v>
      </c>
      <c r="GI162" t="e">
        <f>AND(Bills!#REF!,"AAAAAHH/Rb4=")</f>
        <v>#REF!</v>
      </c>
      <c r="GJ162" t="e">
        <f>AND(Bills!#REF!,"AAAAAHH/Rb8=")</f>
        <v>#REF!</v>
      </c>
      <c r="GK162" t="e">
        <f>AND(Bills!#REF!,"AAAAAHH/RcA=")</f>
        <v>#REF!</v>
      </c>
      <c r="GL162" t="e">
        <f>AND(Bills!F654,"AAAAAHH/RcE=")</f>
        <v>#VALUE!</v>
      </c>
      <c r="GM162" t="e">
        <f>AND(Bills!#REF!,"AAAAAHH/RcI=")</f>
        <v>#REF!</v>
      </c>
      <c r="GN162" t="e">
        <f>AND(Bills!G654,"AAAAAHH/RcM=")</f>
        <v>#VALUE!</v>
      </c>
      <c r="GO162" t="e">
        <f>AND(Bills!H654,"AAAAAHH/RcQ=")</f>
        <v>#VALUE!</v>
      </c>
      <c r="GP162" t="e">
        <f>AND(Bills!I654,"AAAAAHH/RcU=")</f>
        <v>#VALUE!</v>
      </c>
      <c r="GQ162" t="e">
        <f>AND(Bills!J654,"AAAAAHH/RcY=")</f>
        <v>#VALUE!</v>
      </c>
      <c r="GR162" t="e">
        <f>AND(Bills!K654,"AAAAAHH/Rcc=")</f>
        <v>#VALUE!</v>
      </c>
      <c r="GS162" t="e">
        <f>AND(Bills!L654,"AAAAAHH/Rcg=")</f>
        <v>#VALUE!</v>
      </c>
      <c r="GT162" t="e">
        <f>AND(Bills!#REF!,"AAAAAHH/Rck=")</f>
        <v>#REF!</v>
      </c>
      <c r="GU162" t="e">
        <f>AND(Bills!M654,"AAAAAHH/Rco=")</f>
        <v>#VALUE!</v>
      </c>
      <c r="GV162" t="e">
        <f>AND(Bills!N654,"AAAAAHH/Rcs=")</f>
        <v>#VALUE!</v>
      </c>
      <c r="GW162" t="e">
        <f>AND(Bills!O654,"AAAAAHH/Rcw=")</f>
        <v>#VALUE!</v>
      </c>
      <c r="GX162" t="e">
        <f>AND(Bills!P654,"AAAAAHH/Rc0=")</f>
        <v>#VALUE!</v>
      </c>
      <c r="GY162" t="e">
        <f>AND(Bills!Q654,"AAAAAHH/Rc4=")</f>
        <v>#VALUE!</v>
      </c>
      <c r="GZ162" t="e">
        <f>AND(Bills!R654,"AAAAAHH/Rc8=")</f>
        <v>#VALUE!</v>
      </c>
      <c r="HA162" t="e">
        <f>AND(Bills!S654,"AAAAAHH/RdA=")</f>
        <v>#VALUE!</v>
      </c>
      <c r="HB162" t="e">
        <f>AND(Bills!T654,"AAAAAHH/RdE=")</f>
        <v>#VALUE!</v>
      </c>
      <c r="HC162" t="e">
        <f>AND(Bills!#REF!,"AAAAAHH/RdI=")</f>
        <v>#REF!</v>
      </c>
      <c r="HD162" t="e">
        <f>AND(Bills!U654,"AAAAAHH/RdM=")</f>
        <v>#VALUE!</v>
      </c>
      <c r="HE162" t="e">
        <f>AND(Bills!V654,"AAAAAHH/RdQ=")</f>
        <v>#VALUE!</v>
      </c>
      <c r="HF162" t="e">
        <f>AND(Bills!W654,"AAAAAHH/RdU=")</f>
        <v>#VALUE!</v>
      </c>
      <c r="HG162" t="e">
        <f>AND(Bills!#REF!,"AAAAAHH/RdY=")</f>
        <v>#REF!</v>
      </c>
      <c r="HH162" t="e">
        <f>AND(Bills!#REF!,"AAAAAHH/Rdc=")</f>
        <v>#REF!</v>
      </c>
      <c r="HI162" t="e">
        <f>AND(Bills!Y654,"AAAAAHH/Rdg=")</f>
        <v>#VALUE!</v>
      </c>
      <c r="HJ162" t="e">
        <f>AND(Bills!Z654,"AAAAAHH/Rdk=")</f>
        <v>#VALUE!</v>
      </c>
      <c r="HK162" t="e">
        <f>AND(Bills!#REF!,"AAAAAHH/Rdo=")</f>
        <v>#REF!</v>
      </c>
      <c r="HL162" t="e">
        <f>AND(Bills!#REF!,"AAAAAHH/Rds=")</f>
        <v>#REF!</v>
      </c>
      <c r="HM162" t="e">
        <f>AND(Bills!#REF!,"AAAAAHH/Rdw=")</f>
        <v>#REF!</v>
      </c>
      <c r="HN162" t="e">
        <f>AND(Bills!#REF!,"AAAAAHH/Rd0=")</f>
        <v>#REF!</v>
      </c>
      <c r="HO162" t="e">
        <f>AND(Bills!#REF!,"AAAAAHH/Rd4=")</f>
        <v>#REF!</v>
      </c>
      <c r="HP162" t="e">
        <f>AND(Bills!#REF!,"AAAAAHH/Rd8=")</f>
        <v>#REF!</v>
      </c>
      <c r="HQ162" t="e">
        <f>AND(Bills!#REF!,"AAAAAHH/ReA=")</f>
        <v>#REF!</v>
      </c>
      <c r="HR162" t="e">
        <f>AND(Bills!#REF!,"AAAAAHH/ReE=")</f>
        <v>#REF!</v>
      </c>
      <c r="HS162" t="e">
        <f>AND(Bills!#REF!,"AAAAAHH/ReI=")</f>
        <v>#REF!</v>
      </c>
      <c r="HT162" t="e">
        <f>AND(Bills!AA654,"AAAAAHH/ReM=")</f>
        <v>#VALUE!</v>
      </c>
      <c r="HU162" t="e">
        <f>AND(Bills!AB654,"AAAAAHH/ReQ=")</f>
        <v>#VALUE!</v>
      </c>
      <c r="HV162" t="e">
        <f>AND(Bills!#REF!,"AAAAAHH/ReU=")</f>
        <v>#REF!</v>
      </c>
      <c r="HW162" t="e">
        <f>AND(Bills!#REF!,"AAAAAHH/ReY=")</f>
        <v>#REF!</v>
      </c>
      <c r="HX162" t="e">
        <f>AND(Bills!#REF!,"AAAAAHH/Rec=")</f>
        <v>#REF!</v>
      </c>
      <c r="HY162" t="e">
        <f>AND(Bills!AC654,"AAAAAHH/Reg=")</f>
        <v>#VALUE!</v>
      </c>
      <c r="HZ162" t="e">
        <f>AND(Bills!AD654,"AAAAAHH/Rek=")</f>
        <v>#VALUE!</v>
      </c>
      <c r="IA162" t="e">
        <f>AND(Bills!AE654,"AAAAAHH/Reo=")</f>
        <v>#VALUE!</v>
      </c>
      <c r="IB162">
        <f>IF(Bills!655:655,"AAAAAHH/Res=",0)</f>
        <v>0</v>
      </c>
      <c r="IC162" t="e">
        <f>AND(Bills!B655,"AAAAAHH/Rew=")</f>
        <v>#VALUE!</v>
      </c>
      <c r="ID162" t="e">
        <f>AND(Bills!#REF!,"AAAAAHH/Re0=")</f>
        <v>#REF!</v>
      </c>
      <c r="IE162" t="e">
        <f>AND(Bills!C655,"AAAAAHH/Re4=")</f>
        <v>#VALUE!</v>
      </c>
      <c r="IF162" t="e">
        <f>AND(Bills!D655,"AAAAAHH/Re8=")</f>
        <v>#VALUE!</v>
      </c>
      <c r="IG162" t="e">
        <f>AND(Bills!E655,"AAAAAHH/RfA=")</f>
        <v>#VALUE!</v>
      </c>
      <c r="IH162" t="e">
        <f>AND(Bills!#REF!,"AAAAAHH/RfE=")</f>
        <v>#REF!</v>
      </c>
      <c r="II162" t="e">
        <f>AND(Bills!#REF!,"AAAAAHH/RfI=")</f>
        <v>#REF!</v>
      </c>
      <c r="IJ162" t="e">
        <f>AND(Bills!#REF!,"AAAAAHH/RfM=")</f>
        <v>#REF!</v>
      </c>
      <c r="IK162" t="e">
        <f>AND(Bills!F655,"AAAAAHH/RfQ=")</f>
        <v>#VALUE!</v>
      </c>
      <c r="IL162" t="e">
        <f>AND(Bills!#REF!,"AAAAAHH/RfU=")</f>
        <v>#REF!</v>
      </c>
      <c r="IM162" t="e">
        <f>AND(Bills!G655,"AAAAAHH/RfY=")</f>
        <v>#VALUE!</v>
      </c>
      <c r="IN162" t="e">
        <f>AND(Bills!H655,"AAAAAHH/Rfc=")</f>
        <v>#VALUE!</v>
      </c>
      <c r="IO162" t="e">
        <f>AND(Bills!I655,"AAAAAHH/Rfg=")</f>
        <v>#VALUE!</v>
      </c>
      <c r="IP162" t="e">
        <f>AND(Bills!J655,"AAAAAHH/Rfk=")</f>
        <v>#VALUE!</v>
      </c>
      <c r="IQ162" t="e">
        <f>AND(Bills!K655,"AAAAAHH/Rfo=")</f>
        <v>#VALUE!</v>
      </c>
      <c r="IR162" t="e">
        <f>AND(Bills!L655,"AAAAAHH/Rfs=")</f>
        <v>#VALUE!</v>
      </c>
      <c r="IS162" t="e">
        <f>AND(Bills!#REF!,"AAAAAHH/Rfw=")</f>
        <v>#REF!</v>
      </c>
      <c r="IT162" t="e">
        <f>AND(Bills!M655,"AAAAAHH/Rf0=")</f>
        <v>#VALUE!</v>
      </c>
      <c r="IU162" t="e">
        <f>AND(Bills!N655,"AAAAAHH/Rf4=")</f>
        <v>#VALUE!</v>
      </c>
      <c r="IV162" t="e">
        <f>AND(Bills!O655,"AAAAAHH/Rf8=")</f>
        <v>#VALUE!</v>
      </c>
    </row>
    <row r="163" spans="1:256" x14ac:dyDescent="0.25">
      <c r="A163" t="e">
        <f>AND(Bills!P655,"AAAAAHZ+vwA=")</f>
        <v>#VALUE!</v>
      </c>
      <c r="B163" t="e">
        <f>AND(Bills!Q655,"AAAAAHZ+vwE=")</f>
        <v>#VALUE!</v>
      </c>
      <c r="C163" t="e">
        <f>AND(Bills!R655,"AAAAAHZ+vwI=")</f>
        <v>#VALUE!</v>
      </c>
      <c r="D163" t="e">
        <f>AND(Bills!S655,"AAAAAHZ+vwM=")</f>
        <v>#VALUE!</v>
      </c>
      <c r="E163" t="e">
        <f>AND(Bills!T655,"AAAAAHZ+vwQ=")</f>
        <v>#VALUE!</v>
      </c>
      <c r="F163" t="e">
        <f>AND(Bills!#REF!,"AAAAAHZ+vwU=")</f>
        <v>#REF!</v>
      </c>
      <c r="G163" t="e">
        <f>AND(Bills!U655,"AAAAAHZ+vwY=")</f>
        <v>#VALUE!</v>
      </c>
      <c r="H163" t="e">
        <f>AND(Bills!V655,"AAAAAHZ+vwc=")</f>
        <v>#VALUE!</v>
      </c>
      <c r="I163" t="e">
        <f>AND(Bills!W655,"AAAAAHZ+vwg=")</f>
        <v>#VALUE!</v>
      </c>
      <c r="J163" t="e">
        <f>AND(Bills!#REF!,"AAAAAHZ+vwk=")</f>
        <v>#REF!</v>
      </c>
      <c r="K163" t="e">
        <f>AND(Bills!#REF!,"AAAAAHZ+vwo=")</f>
        <v>#REF!</v>
      </c>
      <c r="L163" t="e">
        <f>AND(Bills!Y655,"AAAAAHZ+vws=")</f>
        <v>#VALUE!</v>
      </c>
      <c r="M163" t="e">
        <f>AND(Bills!Z655,"AAAAAHZ+vww=")</f>
        <v>#VALUE!</v>
      </c>
      <c r="N163" t="e">
        <f>AND(Bills!#REF!,"AAAAAHZ+vw0=")</f>
        <v>#REF!</v>
      </c>
      <c r="O163" t="e">
        <f>AND(Bills!#REF!,"AAAAAHZ+vw4=")</f>
        <v>#REF!</v>
      </c>
      <c r="P163" t="e">
        <f>AND(Bills!#REF!,"AAAAAHZ+vw8=")</f>
        <v>#REF!</v>
      </c>
      <c r="Q163" t="e">
        <f>AND(Bills!#REF!,"AAAAAHZ+vxA=")</f>
        <v>#REF!</v>
      </c>
      <c r="R163" t="e">
        <f>AND(Bills!#REF!,"AAAAAHZ+vxE=")</f>
        <v>#REF!</v>
      </c>
      <c r="S163" t="e">
        <f>AND(Bills!#REF!,"AAAAAHZ+vxI=")</f>
        <v>#REF!</v>
      </c>
      <c r="T163" t="e">
        <f>AND(Bills!#REF!,"AAAAAHZ+vxM=")</f>
        <v>#REF!</v>
      </c>
      <c r="U163" t="e">
        <f>AND(Bills!#REF!,"AAAAAHZ+vxQ=")</f>
        <v>#REF!</v>
      </c>
      <c r="V163" t="e">
        <f>AND(Bills!#REF!,"AAAAAHZ+vxU=")</f>
        <v>#REF!</v>
      </c>
      <c r="W163" t="e">
        <f>AND(Bills!AA655,"AAAAAHZ+vxY=")</f>
        <v>#VALUE!</v>
      </c>
      <c r="X163" t="e">
        <f>AND(Bills!AB655,"AAAAAHZ+vxc=")</f>
        <v>#VALUE!</v>
      </c>
      <c r="Y163" t="e">
        <f>AND(Bills!#REF!,"AAAAAHZ+vxg=")</f>
        <v>#REF!</v>
      </c>
      <c r="Z163" t="e">
        <f>AND(Bills!#REF!,"AAAAAHZ+vxk=")</f>
        <v>#REF!</v>
      </c>
      <c r="AA163" t="e">
        <f>AND(Bills!#REF!,"AAAAAHZ+vxo=")</f>
        <v>#REF!</v>
      </c>
      <c r="AB163" t="e">
        <f>AND(Bills!AC655,"AAAAAHZ+vxs=")</f>
        <v>#VALUE!</v>
      </c>
      <c r="AC163" t="e">
        <f>AND(Bills!AD655,"AAAAAHZ+vxw=")</f>
        <v>#VALUE!</v>
      </c>
      <c r="AD163" t="e">
        <f>AND(Bills!AE655,"AAAAAHZ+vx0=")</f>
        <v>#VALUE!</v>
      </c>
      <c r="AE163" t="e">
        <f>IF(Bills!656:656,"AAAAAHZ+vx4=",0)</f>
        <v>#REF!</v>
      </c>
      <c r="AF163" t="e">
        <f>AND(Bills!B656,"AAAAAHZ+vx8=")</f>
        <v>#VALUE!</v>
      </c>
      <c r="AG163" t="e">
        <f>AND(Bills!#REF!,"AAAAAHZ+vyA=")</f>
        <v>#REF!</v>
      </c>
      <c r="AH163" t="e">
        <f>AND(Bills!C656,"AAAAAHZ+vyE=")</f>
        <v>#VALUE!</v>
      </c>
      <c r="AI163" t="e">
        <f>AND(Bills!D656,"AAAAAHZ+vyI=")</f>
        <v>#VALUE!</v>
      </c>
      <c r="AJ163" t="e">
        <f>AND(Bills!E656,"AAAAAHZ+vyM=")</f>
        <v>#VALUE!</v>
      </c>
      <c r="AK163" t="e">
        <f>AND(Bills!#REF!,"AAAAAHZ+vyQ=")</f>
        <v>#REF!</v>
      </c>
      <c r="AL163" t="e">
        <f>AND(Bills!#REF!,"AAAAAHZ+vyU=")</f>
        <v>#REF!</v>
      </c>
      <c r="AM163" t="e">
        <f>AND(Bills!#REF!,"AAAAAHZ+vyY=")</f>
        <v>#REF!</v>
      </c>
      <c r="AN163" t="e">
        <f>AND(Bills!F656,"AAAAAHZ+vyc=")</f>
        <v>#VALUE!</v>
      </c>
      <c r="AO163" t="e">
        <f>AND(Bills!#REF!,"AAAAAHZ+vyg=")</f>
        <v>#REF!</v>
      </c>
      <c r="AP163" t="e">
        <f>AND(Bills!G656,"AAAAAHZ+vyk=")</f>
        <v>#VALUE!</v>
      </c>
      <c r="AQ163" t="e">
        <f>AND(Bills!H656,"AAAAAHZ+vyo=")</f>
        <v>#VALUE!</v>
      </c>
      <c r="AR163" t="e">
        <f>AND(Bills!I656,"AAAAAHZ+vys=")</f>
        <v>#VALUE!</v>
      </c>
      <c r="AS163" t="e">
        <f>AND(Bills!J656,"AAAAAHZ+vyw=")</f>
        <v>#VALUE!</v>
      </c>
      <c r="AT163" t="e">
        <f>AND(Bills!K656,"AAAAAHZ+vy0=")</f>
        <v>#VALUE!</v>
      </c>
      <c r="AU163" t="e">
        <f>AND(Bills!L656,"AAAAAHZ+vy4=")</f>
        <v>#VALUE!</v>
      </c>
      <c r="AV163" t="e">
        <f>AND(Bills!#REF!,"AAAAAHZ+vy8=")</f>
        <v>#REF!</v>
      </c>
      <c r="AW163" t="e">
        <f>AND(Bills!M656,"AAAAAHZ+vzA=")</f>
        <v>#VALUE!</v>
      </c>
      <c r="AX163" t="e">
        <f>AND(Bills!N656,"AAAAAHZ+vzE=")</f>
        <v>#VALUE!</v>
      </c>
      <c r="AY163" t="e">
        <f>AND(Bills!O656,"AAAAAHZ+vzI=")</f>
        <v>#VALUE!</v>
      </c>
      <c r="AZ163" t="e">
        <f>AND(Bills!P656,"AAAAAHZ+vzM=")</f>
        <v>#VALUE!</v>
      </c>
      <c r="BA163" t="e">
        <f>AND(Bills!Q656,"AAAAAHZ+vzQ=")</f>
        <v>#VALUE!</v>
      </c>
      <c r="BB163" t="e">
        <f>AND(Bills!R656,"AAAAAHZ+vzU=")</f>
        <v>#VALUE!</v>
      </c>
      <c r="BC163" t="e">
        <f>AND(Bills!S656,"AAAAAHZ+vzY=")</f>
        <v>#VALUE!</v>
      </c>
      <c r="BD163" t="e">
        <f>AND(Bills!T656,"AAAAAHZ+vzc=")</f>
        <v>#VALUE!</v>
      </c>
      <c r="BE163" t="e">
        <f>AND(Bills!#REF!,"AAAAAHZ+vzg=")</f>
        <v>#REF!</v>
      </c>
      <c r="BF163" t="e">
        <f>AND(Bills!U656,"AAAAAHZ+vzk=")</f>
        <v>#VALUE!</v>
      </c>
      <c r="BG163" t="e">
        <f>AND(Bills!V656,"AAAAAHZ+vzo=")</f>
        <v>#VALUE!</v>
      </c>
      <c r="BH163" t="e">
        <f>AND(Bills!W656,"AAAAAHZ+vzs=")</f>
        <v>#VALUE!</v>
      </c>
      <c r="BI163" t="e">
        <f>AND(Bills!#REF!,"AAAAAHZ+vzw=")</f>
        <v>#REF!</v>
      </c>
      <c r="BJ163" t="e">
        <f>AND(Bills!#REF!,"AAAAAHZ+vz0=")</f>
        <v>#REF!</v>
      </c>
      <c r="BK163" t="e">
        <f>AND(Bills!Y656,"AAAAAHZ+vz4=")</f>
        <v>#VALUE!</v>
      </c>
      <c r="BL163" t="e">
        <f>AND(Bills!Z656,"AAAAAHZ+vz8=")</f>
        <v>#VALUE!</v>
      </c>
      <c r="BM163" t="e">
        <f>AND(Bills!#REF!,"AAAAAHZ+v0A=")</f>
        <v>#REF!</v>
      </c>
      <c r="BN163" t="e">
        <f>AND(Bills!#REF!,"AAAAAHZ+v0E=")</f>
        <v>#REF!</v>
      </c>
      <c r="BO163" t="e">
        <f>AND(Bills!#REF!,"AAAAAHZ+v0I=")</f>
        <v>#REF!</v>
      </c>
      <c r="BP163" t="e">
        <f>AND(Bills!#REF!,"AAAAAHZ+v0M=")</f>
        <v>#REF!</v>
      </c>
      <c r="BQ163" t="e">
        <f>AND(Bills!#REF!,"AAAAAHZ+v0Q=")</f>
        <v>#REF!</v>
      </c>
      <c r="BR163" t="e">
        <f>AND(Bills!#REF!,"AAAAAHZ+v0U=")</f>
        <v>#REF!</v>
      </c>
      <c r="BS163" t="e">
        <f>AND(Bills!#REF!,"AAAAAHZ+v0Y=")</f>
        <v>#REF!</v>
      </c>
      <c r="BT163" t="e">
        <f>AND(Bills!#REF!,"AAAAAHZ+v0c=")</f>
        <v>#REF!</v>
      </c>
      <c r="BU163" t="e">
        <f>AND(Bills!#REF!,"AAAAAHZ+v0g=")</f>
        <v>#REF!</v>
      </c>
      <c r="BV163" t="e">
        <f>AND(Bills!AA656,"AAAAAHZ+v0k=")</f>
        <v>#VALUE!</v>
      </c>
      <c r="BW163" t="e">
        <f>AND(Bills!AB656,"AAAAAHZ+v0o=")</f>
        <v>#VALUE!</v>
      </c>
      <c r="BX163" t="e">
        <f>AND(Bills!#REF!,"AAAAAHZ+v0s=")</f>
        <v>#REF!</v>
      </c>
      <c r="BY163" t="e">
        <f>AND(Bills!#REF!,"AAAAAHZ+v0w=")</f>
        <v>#REF!</v>
      </c>
      <c r="BZ163" t="e">
        <f>AND(Bills!#REF!,"AAAAAHZ+v00=")</f>
        <v>#REF!</v>
      </c>
      <c r="CA163" t="e">
        <f>AND(Bills!AC656,"AAAAAHZ+v04=")</f>
        <v>#VALUE!</v>
      </c>
      <c r="CB163" t="e">
        <f>AND(Bills!AD656,"AAAAAHZ+v08=")</f>
        <v>#VALUE!</v>
      </c>
      <c r="CC163" t="e">
        <f>AND(Bills!AE656,"AAAAAHZ+v1A=")</f>
        <v>#VALUE!</v>
      </c>
      <c r="CD163">
        <f>IF(Bills!657:657,"AAAAAHZ+v1E=",0)</f>
        <v>0</v>
      </c>
      <c r="CE163" t="e">
        <f>AND(Bills!B657,"AAAAAHZ+v1I=")</f>
        <v>#VALUE!</v>
      </c>
      <c r="CF163" t="e">
        <f>AND(Bills!#REF!,"AAAAAHZ+v1M=")</f>
        <v>#REF!</v>
      </c>
      <c r="CG163" t="e">
        <f>AND(Bills!C657,"AAAAAHZ+v1Q=")</f>
        <v>#VALUE!</v>
      </c>
      <c r="CH163" t="e">
        <f>AND(Bills!D657,"AAAAAHZ+v1U=")</f>
        <v>#VALUE!</v>
      </c>
      <c r="CI163" t="e">
        <f>AND(Bills!E657,"AAAAAHZ+v1Y=")</f>
        <v>#VALUE!</v>
      </c>
      <c r="CJ163" t="e">
        <f>AND(Bills!#REF!,"AAAAAHZ+v1c=")</f>
        <v>#REF!</v>
      </c>
      <c r="CK163" t="e">
        <f>AND(Bills!#REF!,"AAAAAHZ+v1g=")</f>
        <v>#REF!</v>
      </c>
      <c r="CL163" t="e">
        <f>AND(Bills!#REF!,"AAAAAHZ+v1k=")</f>
        <v>#REF!</v>
      </c>
      <c r="CM163" t="e">
        <f>AND(Bills!F657,"AAAAAHZ+v1o=")</f>
        <v>#VALUE!</v>
      </c>
      <c r="CN163" t="e">
        <f>AND(Bills!#REF!,"AAAAAHZ+v1s=")</f>
        <v>#REF!</v>
      </c>
      <c r="CO163" t="e">
        <f>AND(Bills!G657,"AAAAAHZ+v1w=")</f>
        <v>#VALUE!</v>
      </c>
      <c r="CP163" t="e">
        <f>AND(Bills!H657,"AAAAAHZ+v10=")</f>
        <v>#VALUE!</v>
      </c>
      <c r="CQ163" t="e">
        <f>AND(Bills!I657,"AAAAAHZ+v14=")</f>
        <v>#VALUE!</v>
      </c>
      <c r="CR163" t="e">
        <f>AND(Bills!J657,"AAAAAHZ+v18=")</f>
        <v>#VALUE!</v>
      </c>
      <c r="CS163" t="e">
        <f>AND(Bills!K657,"AAAAAHZ+v2A=")</f>
        <v>#VALUE!</v>
      </c>
      <c r="CT163" t="e">
        <f>AND(Bills!L657,"AAAAAHZ+v2E=")</f>
        <v>#VALUE!</v>
      </c>
      <c r="CU163" t="e">
        <f>AND(Bills!#REF!,"AAAAAHZ+v2I=")</f>
        <v>#REF!</v>
      </c>
      <c r="CV163" t="e">
        <f>AND(Bills!M657,"AAAAAHZ+v2M=")</f>
        <v>#VALUE!</v>
      </c>
      <c r="CW163" t="e">
        <f>AND(Bills!N657,"AAAAAHZ+v2Q=")</f>
        <v>#VALUE!</v>
      </c>
      <c r="CX163" t="e">
        <f>AND(Bills!O657,"AAAAAHZ+v2U=")</f>
        <v>#VALUE!</v>
      </c>
      <c r="CY163" t="e">
        <f>AND(Bills!P657,"AAAAAHZ+v2Y=")</f>
        <v>#VALUE!</v>
      </c>
      <c r="CZ163" t="e">
        <f>AND(Bills!Q657,"AAAAAHZ+v2c=")</f>
        <v>#VALUE!</v>
      </c>
      <c r="DA163" t="e">
        <f>AND(Bills!R657,"AAAAAHZ+v2g=")</f>
        <v>#VALUE!</v>
      </c>
      <c r="DB163" t="e">
        <f>AND(Bills!S657,"AAAAAHZ+v2k=")</f>
        <v>#VALUE!</v>
      </c>
      <c r="DC163" t="e">
        <f>AND(Bills!T657,"AAAAAHZ+v2o=")</f>
        <v>#VALUE!</v>
      </c>
      <c r="DD163" t="e">
        <f>AND(Bills!#REF!,"AAAAAHZ+v2s=")</f>
        <v>#REF!</v>
      </c>
      <c r="DE163" t="e">
        <f>AND(Bills!U657,"AAAAAHZ+v2w=")</f>
        <v>#VALUE!</v>
      </c>
      <c r="DF163" t="e">
        <f>AND(Bills!V657,"AAAAAHZ+v20=")</f>
        <v>#VALUE!</v>
      </c>
      <c r="DG163" t="e">
        <f>AND(Bills!W657,"AAAAAHZ+v24=")</f>
        <v>#VALUE!</v>
      </c>
      <c r="DH163" t="e">
        <f>AND(Bills!#REF!,"AAAAAHZ+v28=")</f>
        <v>#REF!</v>
      </c>
      <c r="DI163" t="e">
        <f>AND(Bills!#REF!,"AAAAAHZ+v3A=")</f>
        <v>#REF!</v>
      </c>
      <c r="DJ163" t="e">
        <f>AND(Bills!Y657,"AAAAAHZ+v3E=")</f>
        <v>#VALUE!</v>
      </c>
      <c r="DK163" t="e">
        <f>AND(Bills!Z657,"AAAAAHZ+v3I=")</f>
        <v>#VALUE!</v>
      </c>
      <c r="DL163" t="e">
        <f>AND(Bills!#REF!,"AAAAAHZ+v3M=")</f>
        <v>#REF!</v>
      </c>
      <c r="DM163" t="e">
        <f>AND(Bills!#REF!,"AAAAAHZ+v3Q=")</f>
        <v>#REF!</v>
      </c>
      <c r="DN163" t="e">
        <f>AND(Bills!#REF!,"AAAAAHZ+v3U=")</f>
        <v>#REF!</v>
      </c>
      <c r="DO163" t="e">
        <f>AND(Bills!#REF!,"AAAAAHZ+v3Y=")</f>
        <v>#REF!</v>
      </c>
      <c r="DP163" t="e">
        <f>AND(Bills!#REF!,"AAAAAHZ+v3c=")</f>
        <v>#REF!</v>
      </c>
      <c r="DQ163" t="e">
        <f>AND(Bills!#REF!,"AAAAAHZ+v3g=")</f>
        <v>#REF!</v>
      </c>
      <c r="DR163" t="e">
        <f>AND(Bills!#REF!,"AAAAAHZ+v3k=")</f>
        <v>#REF!</v>
      </c>
      <c r="DS163" t="e">
        <f>AND(Bills!#REF!,"AAAAAHZ+v3o=")</f>
        <v>#REF!</v>
      </c>
      <c r="DT163" t="e">
        <f>AND(Bills!#REF!,"AAAAAHZ+v3s=")</f>
        <v>#REF!</v>
      </c>
      <c r="DU163" t="e">
        <f>AND(Bills!AA657,"AAAAAHZ+v3w=")</f>
        <v>#VALUE!</v>
      </c>
      <c r="DV163" t="e">
        <f>AND(Bills!AB657,"AAAAAHZ+v30=")</f>
        <v>#VALUE!</v>
      </c>
      <c r="DW163" t="e">
        <f>AND(Bills!#REF!,"AAAAAHZ+v34=")</f>
        <v>#REF!</v>
      </c>
      <c r="DX163" t="e">
        <f>AND(Bills!#REF!,"AAAAAHZ+v38=")</f>
        <v>#REF!</v>
      </c>
      <c r="DY163" t="e">
        <f>AND(Bills!#REF!,"AAAAAHZ+v4A=")</f>
        <v>#REF!</v>
      </c>
      <c r="DZ163" t="e">
        <f>AND(Bills!AC657,"AAAAAHZ+v4E=")</f>
        <v>#VALUE!</v>
      </c>
      <c r="EA163" t="e">
        <f>AND(Bills!AD657,"AAAAAHZ+v4I=")</f>
        <v>#VALUE!</v>
      </c>
      <c r="EB163" t="e">
        <f>AND(Bills!AE657,"AAAAAHZ+v4M=")</f>
        <v>#VALUE!</v>
      </c>
      <c r="EC163">
        <f>IF(Bills!658:658,"AAAAAHZ+v4Q=",0)</f>
        <v>0</v>
      </c>
      <c r="ED163" t="e">
        <f>AND(Bills!B658,"AAAAAHZ+v4U=")</f>
        <v>#VALUE!</v>
      </c>
      <c r="EE163" t="e">
        <f>AND(Bills!#REF!,"AAAAAHZ+v4Y=")</f>
        <v>#REF!</v>
      </c>
      <c r="EF163" t="e">
        <f>AND(Bills!C658,"AAAAAHZ+v4c=")</f>
        <v>#VALUE!</v>
      </c>
      <c r="EG163" t="e">
        <f>AND(Bills!D658,"AAAAAHZ+v4g=")</f>
        <v>#VALUE!</v>
      </c>
      <c r="EH163" t="e">
        <f>AND(Bills!E658,"AAAAAHZ+v4k=")</f>
        <v>#VALUE!</v>
      </c>
      <c r="EI163" t="e">
        <f>AND(Bills!#REF!,"AAAAAHZ+v4o=")</f>
        <v>#REF!</v>
      </c>
      <c r="EJ163" t="e">
        <f>AND(Bills!#REF!,"AAAAAHZ+v4s=")</f>
        <v>#REF!</v>
      </c>
      <c r="EK163" t="e">
        <f>AND(Bills!#REF!,"AAAAAHZ+v4w=")</f>
        <v>#REF!</v>
      </c>
      <c r="EL163" t="e">
        <f>AND(Bills!F658,"AAAAAHZ+v40=")</f>
        <v>#VALUE!</v>
      </c>
      <c r="EM163" t="e">
        <f>AND(Bills!#REF!,"AAAAAHZ+v44=")</f>
        <v>#REF!</v>
      </c>
      <c r="EN163" t="e">
        <f>AND(Bills!G658,"AAAAAHZ+v48=")</f>
        <v>#VALUE!</v>
      </c>
      <c r="EO163" t="e">
        <f>AND(Bills!H658,"AAAAAHZ+v5A=")</f>
        <v>#VALUE!</v>
      </c>
      <c r="EP163" t="e">
        <f>AND(Bills!I658,"AAAAAHZ+v5E=")</f>
        <v>#VALUE!</v>
      </c>
      <c r="EQ163" t="e">
        <f>AND(Bills!J658,"AAAAAHZ+v5I=")</f>
        <v>#VALUE!</v>
      </c>
      <c r="ER163" t="e">
        <f>AND(Bills!K658,"AAAAAHZ+v5M=")</f>
        <v>#VALUE!</v>
      </c>
      <c r="ES163" t="e">
        <f>AND(Bills!L658,"AAAAAHZ+v5Q=")</f>
        <v>#VALUE!</v>
      </c>
      <c r="ET163" t="e">
        <f>AND(Bills!#REF!,"AAAAAHZ+v5U=")</f>
        <v>#REF!</v>
      </c>
      <c r="EU163" t="e">
        <f>AND(Bills!M658,"AAAAAHZ+v5Y=")</f>
        <v>#VALUE!</v>
      </c>
      <c r="EV163" t="e">
        <f>AND(Bills!N658,"AAAAAHZ+v5c=")</f>
        <v>#VALUE!</v>
      </c>
      <c r="EW163" t="e">
        <f>AND(Bills!O658,"AAAAAHZ+v5g=")</f>
        <v>#VALUE!</v>
      </c>
      <c r="EX163" t="e">
        <f>AND(Bills!P658,"AAAAAHZ+v5k=")</f>
        <v>#VALUE!</v>
      </c>
      <c r="EY163" t="e">
        <f>AND(Bills!Q658,"AAAAAHZ+v5o=")</f>
        <v>#VALUE!</v>
      </c>
      <c r="EZ163" t="e">
        <f>AND(Bills!R658,"AAAAAHZ+v5s=")</f>
        <v>#VALUE!</v>
      </c>
      <c r="FA163" t="e">
        <f>AND(Bills!S658,"AAAAAHZ+v5w=")</f>
        <v>#VALUE!</v>
      </c>
      <c r="FB163" t="e">
        <f>AND(Bills!T658,"AAAAAHZ+v50=")</f>
        <v>#VALUE!</v>
      </c>
      <c r="FC163" t="e">
        <f>AND(Bills!#REF!,"AAAAAHZ+v54=")</f>
        <v>#REF!</v>
      </c>
      <c r="FD163" t="e">
        <f>AND(Bills!U658,"AAAAAHZ+v58=")</f>
        <v>#VALUE!</v>
      </c>
      <c r="FE163" t="e">
        <f>AND(Bills!V658,"AAAAAHZ+v6A=")</f>
        <v>#VALUE!</v>
      </c>
      <c r="FF163" t="e">
        <f>AND(Bills!W658,"AAAAAHZ+v6E=")</f>
        <v>#VALUE!</v>
      </c>
      <c r="FG163" t="e">
        <f>AND(Bills!#REF!,"AAAAAHZ+v6I=")</f>
        <v>#REF!</v>
      </c>
      <c r="FH163" t="e">
        <f>AND(Bills!#REF!,"AAAAAHZ+v6M=")</f>
        <v>#REF!</v>
      </c>
      <c r="FI163" t="e">
        <f>AND(Bills!Y658,"AAAAAHZ+v6Q=")</f>
        <v>#VALUE!</v>
      </c>
      <c r="FJ163" t="e">
        <f>AND(Bills!Z658,"AAAAAHZ+v6U=")</f>
        <v>#VALUE!</v>
      </c>
      <c r="FK163" t="e">
        <f>AND(Bills!#REF!,"AAAAAHZ+v6Y=")</f>
        <v>#REF!</v>
      </c>
      <c r="FL163" t="e">
        <f>AND(Bills!#REF!,"AAAAAHZ+v6c=")</f>
        <v>#REF!</v>
      </c>
      <c r="FM163" t="e">
        <f>AND(Bills!#REF!,"AAAAAHZ+v6g=")</f>
        <v>#REF!</v>
      </c>
      <c r="FN163" t="e">
        <f>AND(Bills!#REF!,"AAAAAHZ+v6k=")</f>
        <v>#REF!</v>
      </c>
      <c r="FO163" t="e">
        <f>AND(Bills!#REF!,"AAAAAHZ+v6o=")</f>
        <v>#REF!</v>
      </c>
      <c r="FP163" t="e">
        <f>AND(Bills!#REF!,"AAAAAHZ+v6s=")</f>
        <v>#REF!</v>
      </c>
      <c r="FQ163" t="e">
        <f>AND(Bills!#REF!,"AAAAAHZ+v6w=")</f>
        <v>#REF!</v>
      </c>
      <c r="FR163" t="e">
        <f>AND(Bills!#REF!,"AAAAAHZ+v60=")</f>
        <v>#REF!</v>
      </c>
      <c r="FS163" t="e">
        <f>AND(Bills!#REF!,"AAAAAHZ+v64=")</f>
        <v>#REF!</v>
      </c>
      <c r="FT163" t="e">
        <f>AND(Bills!AA658,"AAAAAHZ+v68=")</f>
        <v>#VALUE!</v>
      </c>
      <c r="FU163" t="e">
        <f>AND(Bills!AB658,"AAAAAHZ+v7A=")</f>
        <v>#VALUE!</v>
      </c>
      <c r="FV163" t="e">
        <f>AND(Bills!#REF!,"AAAAAHZ+v7E=")</f>
        <v>#REF!</v>
      </c>
      <c r="FW163" t="e">
        <f>AND(Bills!#REF!,"AAAAAHZ+v7I=")</f>
        <v>#REF!</v>
      </c>
      <c r="FX163" t="e">
        <f>AND(Bills!#REF!,"AAAAAHZ+v7M=")</f>
        <v>#REF!</v>
      </c>
      <c r="FY163" t="e">
        <f>AND(Bills!AC658,"AAAAAHZ+v7Q=")</f>
        <v>#VALUE!</v>
      </c>
      <c r="FZ163" t="e">
        <f>AND(Bills!AD658,"AAAAAHZ+v7U=")</f>
        <v>#VALUE!</v>
      </c>
      <c r="GA163" t="e">
        <f>AND(Bills!AE658,"AAAAAHZ+v7Y=")</f>
        <v>#VALUE!</v>
      </c>
      <c r="GB163">
        <f>IF(Bills!659:659,"AAAAAHZ+v7c=",0)</f>
        <v>0</v>
      </c>
      <c r="GC163" t="e">
        <f>AND(Bills!B659,"AAAAAHZ+v7g=")</f>
        <v>#VALUE!</v>
      </c>
      <c r="GD163" t="e">
        <f>AND(Bills!#REF!,"AAAAAHZ+v7k=")</f>
        <v>#REF!</v>
      </c>
      <c r="GE163" t="e">
        <f>AND(Bills!C659,"AAAAAHZ+v7o=")</f>
        <v>#VALUE!</v>
      </c>
      <c r="GF163" t="e">
        <f>AND(Bills!D659,"AAAAAHZ+v7s=")</f>
        <v>#VALUE!</v>
      </c>
      <c r="GG163" t="e">
        <f>AND(Bills!E659,"AAAAAHZ+v7w=")</f>
        <v>#VALUE!</v>
      </c>
      <c r="GH163" t="e">
        <f>AND(Bills!#REF!,"AAAAAHZ+v70=")</f>
        <v>#REF!</v>
      </c>
      <c r="GI163" t="e">
        <f>AND(Bills!#REF!,"AAAAAHZ+v74=")</f>
        <v>#REF!</v>
      </c>
      <c r="GJ163" t="e">
        <f>AND(Bills!#REF!,"AAAAAHZ+v78=")</f>
        <v>#REF!</v>
      </c>
      <c r="GK163" t="e">
        <f>AND(Bills!F659,"AAAAAHZ+v8A=")</f>
        <v>#VALUE!</v>
      </c>
      <c r="GL163" t="e">
        <f>AND(Bills!#REF!,"AAAAAHZ+v8E=")</f>
        <v>#REF!</v>
      </c>
      <c r="GM163" t="e">
        <f>AND(Bills!G659,"AAAAAHZ+v8I=")</f>
        <v>#VALUE!</v>
      </c>
      <c r="GN163" t="e">
        <f>AND(Bills!H659,"AAAAAHZ+v8M=")</f>
        <v>#VALUE!</v>
      </c>
      <c r="GO163" t="e">
        <f>AND(Bills!I659,"AAAAAHZ+v8Q=")</f>
        <v>#VALUE!</v>
      </c>
      <c r="GP163" t="e">
        <f>AND(Bills!J659,"AAAAAHZ+v8U=")</f>
        <v>#VALUE!</v>
      </c>
      <c r="GQ163" t="e">
        <f>AND(Bills!K659,"AAAAAHZ+v8Y=")</f>
        <v>#VALUE!</v>
      </c>
      <c r="GR163" t="e">
        <f>AND(Bills!L659,"AAAAAHZ+v8c=")</f>
        <v>#VALUE!</v>
      </c>
      <c r="GS163" t="e">
        <f>AND(Bills!#REF!,"AAAAAHZ+v8g=")</f>
        <v>#REF!</v>
      </c>
      <c r="GT163" t="e">
        <f>AND(Bills!M659,"AAAAAHZ+v8k=")</f>
        <v>#VALUE!</v>
      </c>
      <c r="GU163" t="e">
        <f>AND(Bills!N659,"AAAAAHZ+v8o=")</f>
        <v>#VALUE!</v>
      </c>
      <c r="GV163" t="e">
        <f>AND(Bills!O659,"AAAAAHZ+v8s=")</f>
        <v>#VALUE!</v>
      </c>
      <c r="GW163" t="e">
        <f>AND(Bills!P659,"AAAAAHZ+v8w=")</f>
        <v>#VALUE!</v>
      </c>
      <c r="GX163" t="e">
        <f>AND(Bills!Q659,"AAAAAHZ+v80=")</f>
        <v>#VALUE!</v>
      </c>
      <c r="GY163" t="e">
        <f>AND(Bills!R659,"AAAAAHZ+v84=")</f>
        <v>#VALUE!</v>
      </c>
      <c r="GZ163" t="e">
        <f>AND(Bills!S659,"AAAAAHZ+v88=")</f>
        <v>#VALUE!</v>
      </c>
      <c r="HA163" t="e">
        <f>AND(Bills!T659,"AAAAAHZ+v9A=")</f>
        <v>#VALUE!</v>
      </c>
      <c r="HB163" t="e">
        <f>AND(Bills!#REF!,"AAAAAHZ+v9E=")</f>
        <v>#REF!</v>
      </c>
      <c r="HC163" t="e">
        <f>AND(Bills!U659,"AAAAAHZ+v9I=")</f>
        <v>#VALUE!</v>
      </c>
      <c r="HD163" t="e">
        <f>AND(Bills!V659,"AAAAAHZ+v9M=")</f>
        <v>#VALUE!</v>
      </c>
      <c r="HE163" t="e">
        <f>AND(Bills!W659,"AAAAAHZ+v9Q=")</f>
        <v>#VALUE!</v>
      </c>
      <c r="HF163" t="e">
        <f>AND(Bills!#REF!,"AAAAAHZ+v9U=")</f>
        <v>#REF!</v>
      </c>
      <c r="HG163" t="e">
        <f>AND(Bills!#REF!,"AAAAAHZ+v9Y=")</f>
        <v>#REF!</v>
      </c>
      <c r="HH163" t="e">
        <f>AND(Bills!Y659,"AAAAAHZ+v9c=")</f>
        <v>#VALUE!</v>
      </c>
      <c r="HI163" t="e">
        <f>AND(Bills!Z659,"AAAAAHZ+v9g=")</f>
        <v>#VALUE!</v>
      </c>
      <c r="HJ163" t="e">
        <f>AND(Bills!#REF!,"AAAAAHZ+v9k=")</f>
        <v>#REF!</v>
      </c>
      <c r="HK163" t="e">
        <f>AND(Bills!#REF!,"AAAAAHZ+v9o=")</f>
        <v>#REF!</v>
      </c>
      <c r="HL163" t="e">
        <f>AND(Bills!#REF!,"AAAAAHZ+v9s=")</f>
        <v>#REF!</v>
      </c>
      <c r="HM163" t="e">
        <f>AND(Bills!#REF!,"AAAAAHZ+v9w=")</f>
        <v>#REF!</v>
      </c>
      <c r="HN163" t="e">
        <f>AND(Bills!#REF!,"AAAAAHZ+v90=")</f>
        <v>#REF!</v>
      </c>
      <c r="HO163" t="e">
        <f>AND(Bills!#REF!,"AAAAAHZ+v94=")</f>
        <v>#REF!</v>
      </c>
      <c r="HP163" t="e">
        <f>AND(Bills!#REF!,"AAAAAHZ+v98=")</f>
        <v>#REF!</v>
      </c>
      <c r="HQ163" t="e">
        <f>AND(Bills!#REF!,"AAAAAHZ+v+A=")</f>
        <v>#REF!</v>
      </c>
      <c r="HR163" t="e">
        <f>AND(Bills!#REF!,"AAAAAHZ+v+E=")</f>
        <v>#REF!</v>
      </c>
      <c r="HS163" t="e">
        <f>AND(Bills!AA659,"AAAAAHZ+v+I=")</f>
        <v>#VALUE!</v>
      </c>
      <c r="HT163" t="e">
        <f>AND(Bills!AB659,"AAAAAHZ+v+M=")</f>
        <v>#VALUE!</v>
      </c>
      <c r="HU163" t="e">
        <f>AND(Bills!#REF!,"AAAAAHZ+v+Q=")</f>
        <v>#REF!</v>
      </c>
      <c r="HV163" t="e">
        <f>AND(Bills!#REF!,"AAAAAHZ+v+U=")</f>
        <v>#REF!</v>
      </c>
      <c r="HW163" t="e">
        <f>AND(Bills!#REF!,"AAAAAHZ+v+Y=")</f>
        <v>#REF!</v>
      </c>
      <c r="HX163" t="e">
        <f>AND(Bills!AC659,"AAAAAHZ+v+c=")</f>
        <v>#VALUE!</v>
      </c>
      <c r="HY163" t="e">
        <f>AND(Bills!AD659,"AAAAAHZ+v+g=")</f>
        <v>#VALUE!</v>
      </c>
      <c r="HZ163" t="e">
        <f>AND(Bills!AE659,"AAAAAHZ+v+k=")</f>
        <v>#VALUE!</v>
      </c>
      <c r="IA163">
        <f>IF(Bills!660:660,"AAAAAHZ+v+o=",0)</f>
        <v>0</v>
      </c>
      <c r="IB163" t="e">
        <f>AND(Bills!B660,"AAAAAHZ+v+s=")</f>
        <v>#VALUE!</v>
      </c>
      <c r="IC163" t="e">
        <f>AND(Bills!#REF!,"AAAAAHZ+v+w=")</f>
        <v>#REF!</v>
      </c>
      <c r="ID163" t="e">
        <f>AND(Bills!C660,"AAAAAHZ+v+0=")</f>
        <v>#VALUE!</v>
      </c>
      <c r="IE163" t="e">
        <f>AND(Bills!D660,"AAAAAHZ+v+4=")</f>
        <v>#VALUE!</v>
      </c>
      <c r="IF163" t="e">
        <f>AND(Bills!E660,"AAAAAHZ+v+8=")</f>
        <v>#VALUE!</v>
      </c>
      <c r="IG163" t="e">
        <f>AND(Bills!#REF!,"AAAAAHZ+v/A=")</f>
        <v>#REF!</v>
      </c>
      <c r="IH163" t="e">
        <f>AND(Bills!#REF!,"AAAAAHZ+v/E=")</f>
        <v>#REF!</v>
      </c>
      <c r="II163" t="e">
        <f>AND(Bills!#REF!,"AAAAAHZ+v/I=")</f>
        <v>#REF!</v>
      </c>
      <c r="IJ163" t="e">
        <f>AND(Bills!F660,"AAAAAHZ+v/M=")</f>
        <v>#VALUE!</v>
      </c>
      <c r="IK163" t="e">
        <f>AND(Bills!#REF!,"AAAAAHZ+v/Q=")</f>
        <v>#REF!</v>
      </c>
      <c r="IL163" t="e">
        <f>AND(Bills!G660,"AAAAAHZ+v/U=")</f>
        <v>#VALUE!</v>
      </c>
      <c r="IM163" t="e">
        <f>AND(Bills!H660,"AAAAAHZ+v/Y=")</f>
        <v>#VALUE!</v>
      </c>
      <c r="IN163" t="e">
        <f>AND(Bills!I660,"AAAAAHZ+v/c=")</f>
        <v>#VALUE!</v>
      </c>
      <c r="IO163" t="e">
        <f>AND(Bills!J660,"AAAAAHZ+v/g=")</f>
        <v>#VALUE!</v>
      </c>
      <c r="IP163" t="e">
        <f>AND(Bills!K660,"AAAAAHZ+v/k=")</f>
        <v>#VALUE!</v>
      </c>
      <c r="IQ163" t="e">
        <f>AND(Bills!L660,"AAAAAHZ+v/o=")</f>
        <v>#VALUE!</v>
      </c>
      <c r="IR163" t="e">
        <f>AND(Bills!#REF!,"AAAAAHZ+v/s=")</f>
        <v>#REF!</v>
      </c>
      <c r="IS163" t="e">
        <f>AND(Bills!M660,"AAAAAHZ+v/w=")</f>
        <v>#VALUE!</v>
      </c>
      <c r="IT163" t="e">
        <f>AND(Bills!N660,"AAAAAHZ+v/0=")</f>
        <v>#VALUE!</v>
      </c>
      <c r="IU163" t="e">
        <f>AND(Bills!O660,"AAAAAHZ+v/4=")</f>
        <v>#VALUE!</v>
      </c>
      <c r="IV163" t="e">
        <f>AND(Bills!P660,"AAAAAHZ+v/8=")</f>
        <v>#VALUE!</v>
      </c>
    </row>
    <row r="164" spans="1:256" x14ac:dyDescent="0.25">
      <c r="A164" t="e">
        <f>AND(Bills!Q660,"AAAAADe32wA=")</f>
        <v>#VALUE!</v>
      </c>
      <c r="B164" t="e">
        <f>AND(Bills!R660,"AAAAADe32wE=")</f>
        <v>#VALUE!</v>
      </c>
      <c r="C164" t="e">
        <f>AND(Bills!S660,"AAAAADe32wI=")</f>
        <v>#VALUE!</v>
      </c>
      <c r="D164" t="e">
        <f>AND(Bills!T660,"AAAAADe32wM=")</f>
        <v>#VALUE!</v>
      </c>
      <c r="E164" t="e">
        <f>AND(Bills!#REF!,"AAAAADe32wQ=")</f>
        <v>#REF!</v>
      </c>
      <c r="F164" t="e">
        <f>AND(Bills!U660,"AAAAADe32wU=")</f>
        <v>#VALUE!</v>
      </c>
      <c r="G164" t="e">
        <f>AND(Bills!V660,"AAAAADe32wY=")</f>
        <v>#VALUE!</v>
      </c>
      <c r="H164" t="e">
        <f>AND(Bills!W660,"AAAAADe32wc=")</f>
        <v>#VALUE!</v>
      </c>
      <c r="I164" t="e">
        <f>AND(Bills!#REF!,"AAAAADe32wg=")</f>
        <v>#REF!</v>
      </c>
      <c r="J164" t="e">
        <f>AND(Bills!#REF!,"AAAAADe32wk=")</f>
        <v>#REF!</v>
      </c>
      <c r="K164" t="e">
        <f>AND(Bills!Y660,"AAAAADe32wo=")</f>
        <v>#VALUE!</v>
      </c>
      <c r="L164" t="e">
        <f>AND(Bills!Z660,"AAAAADe32ws=")</f>
        <v>#VALUE!</v>
      </c>
      <c r="M164" t="e">
        <f>AND(Bills!#REF!,"AAAAADe32ww=")</f>
        <v>#REF!</v>
      </c>
      <c r="N164" t="e">
        <f>AND(Bills!#REF!,"AAAAADe32w0=")</f>
        <v>#REF!</v>
      </c>
      <c r="O164" t="e">
        <f>AND(Bills!#REF!,"AAAAADe32w4=")</f>
        <v>#REF!</v>
      </c>
      <c r="P164" t="e">
        <f>AND(Bills!#REF!,"AAAAADe32w8=")</f>
        <v>#REF!</v>
      </c>
      <c r="Q164" t="e">
        <f>AND(Bills!#REF!,"AAAAADe32xA=")</f>
        <v>#REF!</v>
      </c>
      <c r="R164" t="e">
        <f>AND(Bills!#REF!,"AAAAADe32xE=")</f>
        <v>#REF!</v>
      </c>
      <c r="S164" t="e">
        <f>AND(Bills!#REF!,"AAAAADe32xI=")</f>
        <v>#REF!</v>
      </c>
      <c r="T164" t="e">
        <f>AND(Bills!#REF!,"AAAAADe32xM=")</f>
        <v>#REF!</v>
      </c>
      <c r="U164" t="e">
        <f>AND(Bills!#REF!,"AAAAADe32xQ=")</f>
        <v>#REF!</v>
      </c>
      <c r="V164" t="e">
        <f>AND(Bills!AA660,"AAAAADe32xU=")</f>
        <v>#VALUE!</v>
      </c>
      <c r="W164" t="e">
        <f>AND(Bills!AB660,"AAAAADe32xY=")</f>
        <v>#VALUE!</v>
      </c>
      <c r="X164" t="e">
        <f>AND(Bills!#REF!,"AAAAADe32xc=")</f>
        <v>#REF!</v>
      </c>
      <c r="Y164" t="e">
        <f>AND(Bills!#REF!,"AAAAADe32xg=")</f>
        <v>#REF!</v>
      </c>
      <c r="Z164" t="e">
        <f>AND(Bills!#REF!,"AAAAADe32xk=")</f>
        <v>#REF!</v>
      </c>
      <c r="AA164" t="e">
        <f>AND(Bills!AC660,"AAAAADe32xo=")</f>
        <v>#VALUE!</v>
      </c>
      <c r="AB164" t="e">
        <f>AND(Bills!AD660,"AAAAADe32xs=")</f>
        <v>#VALUE!</v>
      </c>
      <c r="AC164" t="e">
        <f>AND(Bills!AE660,"AAAAADe32xw=")</f>
        <v>#VALUE!</v>
      </c>
      <c r="AD164">
        <f>IF(Bills!661:661,"AAAAADe32x0=",0)</f>
        <v>0</v>
      </c>
      <c r="AE164" t="e">
        <f>AND(Bills!B661,"AAAAADe32x4=")</f>
        <v>#VALUE!</v>
      </c>
      <c r="AF164" t="e">
        <f>AND(Bills!#REF!,"AAAAADe32x8=")</f>
        <v>#REF!</v>
      </c>
      <c r="AG164" t="e">
        <f>AND(Bills!C661,"AAAAADe32yA=")</f>
        <v>#VALUE!</v>
      </c>
      <c r="AH164" t="e">
        <f>AND(Bills!D661,"AAAAADe32yE=")</f>
        <v>#VALUE!</v>
      </c>
      <c r="AI164" t="e">
        <f>AND(Bills!E661,"AAAAADe32yI=")</f>
        <v>#VALUE!</v>
      </c>
      <c r="AJ164" t="e">
        <f>AND(Bills!#REF!,"AAAAADe32yM=")</f>
        <v>#REF!</v>
      </c>
      <c r="AK164" t="e">
        <f>AND(Bills!#REF!,"AAAAADe32yQ=")</f>
        <v>#REF!</v>
      </c>
      <c r="AL164" t="e">
        <f>AND(Bills!#REF!,"AAAAADe32yU=")</f>
        <v>#REF!</v>
      </c>
      <c r="AM164" t="e">
        <f>AND(Bills!F661,"AAAAADe32yY=")</f>
        <v>#VALUE!</v>
      </c>
      <c r="AN164" t="e">
        <f>AND(Bills!#REF!,"AAAAADe32yc=")</f>
        <v>#REF!</v>
      </c>
      <c r="AO164" t="e">
        <f>AND(Bills!G661,"AAAAADe32yg=")</f>
        <v>#VALUE!</v>
      </c>
      <c r="AP164" t="e">
        <f>AND(Bills!H661,"AAAAADe32yk=")</f>
        <v>#VALUE!</v>
      </c>
      <c r="AQ164" t="e">
        <f>AND(Bills!I661,"AAAAADe32yo=")</f>
        <v>#VALUE!</v>
      </c>
      <c r="AR164" t="e">
        <f>AND(Bills!J661,"AAAAADe32ys=")</f>
        <v>#VALUE!</v>
      </c>
      <c r="AS164" t="e">
        <f>AND(Bills!K661,"AAAAADe32yw=")</f>
        <v>#VALUE!</v>
      </c>
      <c r="AT164" t="e">
        <f>AND(Bills!L661,"AAAAADe32y0=")</f>
        <v>#VALUE!</v>
      </c>
      <c r="AU164" t="e">
        <f>AND(Bills!#REF!,"AAAAADe32y4=")</f>
        <v>#REF!</v>
      </c>
      <c r="AV164" t="e">
        <f>AND(Bills!M661,"AAAAADe32y8=")</f>
        <v>#VALUE!</v>
      </c>
      <c r="AW164" t="e">
        <f>AND(Bills!N661,"AAAAADe32zA=")</f>
        <v>#VALUE!</v>
      </c>
      <c r="AX164" t="e">
        <f>AND(Bills!O661,"AAAAADe32zE=")</f>
        <v>#VALUE!</v>
      </c>
      <c r="AY164" t="e">
        <f>AND(Bills!P661,"AAAAADe32zI=")</f>
        <v>#VALUE!</v>
      </c>
      <c r="AZ164" t="e">
        <f>AND(Bills!Q661,"AAAAADe32zM=")</f>
        <v>#VALUE!</v>
      </c>
      <c r="BA164" t="e">
        <f>AND(Bills!R661,"AAAAADe32zQ=")</f>
        <v>#VALUE!</v>
      </c>
      <c r="BB164" t="e">
        <f>AND(Bills!S661,"AAAAADe32zU=")</f>
        <v>#VALUE!</v>
      </c>
      <c r="BC164" t="e">
        <f>AND(Bills!T661,"AAAAADe32zY=")</f>
        <v>#VALUE!</v>
      </c>
      <c r="BD164" t="e">
        <f>AND(Bills!#REF!,"AAAAADe32zc=")</f>
        <v>#REF!</v>
      </c>
      <c r="BE164" t="e">
        <f>AND(Bills!U661,"AAAAADe32zg=")</f>
        <v>#VALUE!</v>
      </c>
      <c r="BF164" t="e">
        <f>AND(Bills!V661,"AAAAADe32zk=")</f>
        <v>#VALUE!</v>
      </c>
      <c r="BG164" t="e">
        <f>AND(Bills!W661,"AAAAADe32zo=")</f>
        <v>#VALUE!</v>
      </c>
      <c r="BH164" t="e">
        <f>AND(Bills!#REF!,"AAAAADe32zs=")</f>
        <v>#REF!</v>
      </c>
      <c r="BI164" t="e">
        <f>AND(Bills!#REF!,"AAAAADe32zw=")</f>
        <v>#REF!</v>
      </c>
      <c r="BJ164" t="e">
        <f>AND(Bills!Y661,"AAAAADe32z0=")</f>
        <v>#VALUE!</v>
      </c>
      <c r="BK164" t="e">
        <f>AND(Bills!Z661,"AAAAADe32z4=")</f>
        <v>#VALUE!</v>
      </c>
      <c r="BL164" t="e">
        <f>AND(Bills!#REF!,"AAAAADe32z8=")</f>
        <v>#REF!</v>
      </c>
      <c r="BM164" t="e">
        <f>AND(Bills!#REF!,"AAAAADe320A=")</f>
        <v>#REF!</v>
      </c>
      <c r="BN164" t="e">
        <f>AND(Bills!#REF!,"AAAAADe320E=")</f>
        <v>#REF!</v>
      </c>
      <c r="BO164" t="e">
        <f>AND(Bills!#REF!,"AAAAADe320I=")</f>
        <v>#REF!</v>
      </c>
      <c r="BP164" t="e">
        <f>AND(Bills!#REF!,"AAAAADe320M=")</f>
        <v>#REF!</v>
      </c>
      <c r="BQ164" t="e">
        <f>AND(Bills!#REF!,"AAAAADe320Q=")</f>
        <v>#REF!</v>
      </c>
      <c r="BR164" t="e">
        <f>AND(Bills!#REF!,"AAAAADe320U=")</f>
        <v>#REF!</v>
      </c>
      <c r="BS164" t="e">
        <f>AND(Bills!#REF!,"AAAAADe320Y=")</f>
        <v>#REF!</v>
      </c>
      <c r="BT164" t="e">
        <f>AND(Bills!#REF!,"AAAAADe320c=")</f>
        <v>#REF!</v>
      </c>
      <c r="BU164" t="e">
        <f>AND(Bills!AA661,"AAAAADe320g=")</f>
        <v>#VALUE!</v>
      </c>
      <c r="BV164" t="e">
        <f>AND(Bills!AB661,"AAAAADe320k=")</f>
        <v>#VALUE!</v>
      </c>
      <c r="BW164" t="e">
        <f>AND(Bills!#REF!,"AAAAADe320o=")</f>
        <v>#REF!</v>
      </c>
      <c r="BX164" t="e">
        <f>AND(Bills!#REF!,"AAAAADe320s=")</f>
        <v>#REF!</v>
      </c>
      <c r="BY164" t="e">
        <f>AND(Bills!#REF!,"AAAAADe320w=")</f>
        <v>#REF!</v>
      </c>
      <c r="BZ164" t="e">
        <f>AND(Bills!AC661,"AAAAADe3200=")</f>
        <v>#VALUE!</v>
      </c>
      <c r="CA164" t="e">
        <f>AND(Bills!AD661,"AAAAADe3204=")</f>
        <v>#VALUE!</v>
      </c>
      <c r="CB164" t="e">
        <f>AND(Bills!AE661,"AAAAADe3208=")</f>
        <v>#VALUE!</v>
      </c>
      <c r="CC164">
        <f>IF(Bills!662:662,"AAAAADe321A=",0)</f>
        <v>0</v>
      </c>
      <c r="CD164" t="e">
        <f>AND(Bills!B662,"AAAAADe321E=")</f>
        <v>#VALUE!</v>
      </c>
      <c r="CE164" t="e">
        <f>AND(Bills!#REF!,"AAAAADe321I=")</f>
        <v>#REF!</v>
      </c>
      <c r="CF164" t="e">
        <f>AND(Bills!C662,"AAAAADe321M=")</f>
        <v>#VALUE!</v>
      </c>
      <c r="CG164" t="e">
        <f>AND(Bills!D662,"AAAAADe321Q=")</f>
        <v>#VALUE!</v>
      </c>
      <c r="CH164" t="e">
        <f>AND(Bills!E662,"AAAAADe321U=")</f>
        <v>#VALUE!</v>
      </c>
      <c r="CI164" t="e">
        <f>AND(Bills!#REF!,"AAAAADe321Y=")</f>
        <v>#REF!</v>
      </c>
      <c r="CJ164" t="e">
        <f>AND(Bills!#REF!,"AAAAADe321c=")</f>
        <v>#REF!</v>
      </c>
      <c r="CK164" t="e">
        <f>AND(Bills!#REF!,"AAAAADe321g=")</f>
        <v>#REF!</v>
      </c>
      <c r="CL164" t="e">
        <f>AND(Bills!F662,"AAAAADe321k=")</f>
        <v>#VALUE!</v>
      </c>
      <c r="CM164" t="e">
        <f>AND(Bills!#REF!,"AAAAADe321o=")</f>
        <v>#REF!</v>
      </c>
      <c r="CN164" t="e">
        <f>AND(Bills!G662,"AAAAADe321s=")</f>
        <v>#VALUE!</v>
      </c>
      <c r="CO164" t="e">
        <f>AND(Bills!H662,"AAAAADe321w=")</f>
        <v>#VALUE!</v>
      </c>
      <c r="CP164" t="e">
        <f>AND(Bills!I662,"AAAAADe3210=")</f>
        <v>#VALUE!</v>
      </c>
      <c r="CQ164" t="e">
        <f>AND(Bills!J662,"AAAAADe3214=")</f>
        <v>#VALUE!</v>
      </c>
      <c r="CR164" t="e">
        <f>AND(Bills!K662,"AAAAADe3218=")</f>
        <v>#VALUE!</v>
      </c>
      <c r="CS164" t="e">
        <f>AND(Bills!L662,"AAAAADe322A=")</f>
        <v>#VALUE!</v>
      </c>
      <c r="CT164" t="e">
        <f>AND(Bills!#REF!,"AAAAADe322E=")</f>
        <v>#REF!</v>
      </c>
      <c r="CU164" t="e">
        <f>AND(Bills!M662,"AAAAADe322I=")</f>
        <v>#VALUE!</v>
      </c>
      <c r="CV164" t="e">
        <f>AND(Bills!N662,"AAAAADe322M=")</f>
        <v>#VALUE!</v>
      </c>
      <c r="CW164" t="e">
        <f>AND(Bills!O662,"AAAAADe322Q=")</f>
        <v>#VALUE!</v>
      </c>
      <c r="CX164" t="e">
        <f>AND(Bills!P662,"AAAAADe322U=")</f>
        <v>#VALUE!</v>
      </c>
      <c r="CY164" t="e">
        <f>AND(Bills!Q662,"AAAAADe322Y=")</f>
        <v>#VALUE!</v>
      </c>
      <c r="CZ164" t="e">
        <f>AND(Bills!R662,"AAAAADe322c=")</f>
        <v>#VALUE!</v>
      </c>
      <c r="DA164" t="e">
        <f>AND(Bills!S662,"AAAAADe322g=")</f>
        <v>#VALUE!</v>
      </c>
      <c r="DB164" t="e">
        <f>AND(Bills!T662,"AAAAADe322k=")</f>
        <v>#VALUE!</v>
      </c>
      <c r="DC164" t="e">
        <f>AND(Bills!#REF!,"AAAAADe322o=")</f>
        <v>#REF!</v>
      </c>
      <c r="DD164" t="e">
        <f>AND(Bills!U662,"AAAAADe322s=")</f>
        <v>#VALUE!</v>
      </c>
      <c r="DE164" t="e">
        <f>AND(Bills!V662,"AAAAADe322w=")</f>
        <v>#VALUE!</v>
      </c>
      <c r="DF164" t="e">
        <f>AND(Bills!W662,"AAAAADe3220=")</f>
        <v>#VALUE!</v>
      </c>
      <c r="DG164" t="e">
        <f>AND(Bills!#REF!,"AAAAADe3224=")</f>
        <v>#REF!</v>
      </c>
      <c r="DH164" t="e">
        <f>AND(Bills!#REF!,"AAAAADe3228=")</f>
        <v>#REF!</v>
      </c>
      <c r="DI164" t="e">
        <f>AND(Bills!Y662,"AAAAADe323A=")</f>
        <v>#VALUE!</v>
      </c>
      <c r="DJ164" t="e">
        <f>AND(Bills!Z662,"AAAAADe323E=")</f>
        <v>#VALUE!</v>
      </c>
      <c r="DK164" t="e">
        <f>AND(Bills!#REF!,"AAAAADe323I=")</f>
        <v>#REF!</v>
      </c>
      <c r="DL164" t="e">
        <f>AND(Bills!#REF!,"AAAAADe323M=")</f>
        <v>#REF!</v>
      </c>
      <c r="DM164" t="e">
        <f>AND(Bills!#REF!,"AAAAADe323Q=")</f>
        <v>#REF!</v>
      </c>
      <c r="DN164" t="e">
        <f>AND(Bills!#REF!,"AAAAADe323U=")</f>
        <v>#REF!</v>
      </c>
      <c r="DO164" t="e">
        <f>AND(Bills!#REF!,"AAAAADe323Y=")</f>
        <v>#REF!</v>
      </c>
      <c r="DP164" t="e">
        <f>AND(Bills!#REF!,"AAAAADe323c=")</f>
        <v>#REF!</v>
      </c>
      <c r="DQ164" t="e">
        <f>AND(Bills!#REF!,"AAAAADe323g=")</f>
        <v>#REF!</v>
      </c>
      <c r="DR164" t="e">
        <f>AND(Bills!#REF!,"AAAAADe323k=")</f>
        <v>#REF!</v>
      </c>
      <c r="DS164" t="e">
        <f>AND(Bills!#REF!,"AAAAADe323o=")</f>
        <v>#REF!</v>
      </c>
      <c r="DT164" t="e">
        <f>AND(Bills!AA662,"AAAAADe323s=")</f>
        <v>#VALUE!</v>
      </c>
      <c r="DU164" t="e">
        <f>AND(Bills!AB662,"AAAAADe323w=")</f>
        <v>#VALUE!</v>
      </c>
      <c r="DV164" t="e">
        <f>AND(Bills!#REF!,"AAAAADe3230=")</f>
        <v>#REF!</v>
      </c>
      <c r="DW164" t="e">
        <f>AND(Bills!#REF!,"AAAAADe3234=")</f>
        <v>#REF!</v>
      </c>
      <c r="DX164" t="e">
        <f>AND(Bills!#REF!,"AAAAADe3238=")</f>
        <v>#REF!</v>
      </c>
      <c r="DY164" t="e">
        <f>AND(Bills!AC662,"AAAAADe324A=")</f>
        <v>#VALUE!</v>
      </c>
      <c r="DZ164" t="e">
        <f>AND(Bills!AD662,"AAAAADe324E=")</f>
        <v>#VALUE!</v>
      </c>
      <c r="EA164" t="e">
        <f>AND(Bills!AE662,"AAAAADe324I=")</f>
        <v>#VALUE!</v>
      </c>
      <c r="EB164">
        <f>IF(Bills!663:663,"AAAAADe324M=",0)</f>
        <v>0</v>
      </c>
      <c r="EC164" t="e">
        <f>AND(Bills!B663,"AAAAADe324Q=")</f>
        <v>#VALUE!</v>
      </c>
      <c r="ED164" t="e">
        <f>AND(Bills!#REF!,"AAAAADe324U=")</f>
        <v>#REF!</v>
      </c>
      <c r="EE164" t="e">
        <f>AND(Bills!C663,"AAAAADe324Y=")</f>
        <v>#VALUE!</v>
      </c>
      <c r="EF164" t="e">
        <f>AND(Bills!D663,"AAAAADe324c=")</f>
        <v>#VALUE!</v>
      </c>
      <c r="EG164" t="e">
        <f>AND(Bills!E663,"AAAAADe324g=")</f>
        <v>#VALUE!</v>
      </c>
      <c r="EH164" t="e">
        <f>AND(Bills!#REF!,"AAAAADe324k=")</f>
        <v>#REF!</v>
      </c>
      <c r="EI164" t="e">
        <f>AND(Bills!#REF!,"AAAAADe324o=")</f>
        <v>#REF!</v>
      </c>
      <c r="EJ164" t="e">
        <f>AND(Bills!#REF!,"AAAAADe324s=")</f>
        <v>#REF!</v>
      </c>
      <c r="EK164" t="e">
        <f>AND(Bills!F663,"AAAAADe324w=")</f>
        <v>#VALUE!</v>
      </c>
      <c r="EL164" t="e">
        <f>AND(Bills!#REF!,"AAAAADe3240=")</f>
        <v>#REF!</v>
      </c>
      <c r="EM164" t="e">
        <f>AND(Bills!G663,"AAAAADe3244=")</f>
        <v>#VALUE!</v>
      </c>
      <c r="EN164" t="e">
        <f>AND(Bills!H663,"AAAAADe3248=")</f>
        <v>#VALUE!</v>
      </c>
      <c r="EO164" t="e">
        <f>AND(Bills!I663,"AAAAADe325A=")</f>
        <v>#VALUE!</v>
      </c>
      <c r="EP164" t="e">
        <f>AND(Bills!J663,"AAAAADe325E=")</f>
        <v>#VALUE!</v>
      </c>
      <c r="EQ164" t="e">
        <f>AND(Bills!K663,"AAAAADe325I=")</f>
        <v>#VALUE!</v>
      </c>
      <c r="ER164" t="e">
        <f>AND(Bills!L663,"AAAAADe325M=")</f>
        <v>#VALUE!</v>
      </c>
      <c r="ES164" t="e">
        <f>AND(Bills!#REF!,"AAAAADe325Q=")</f>
        <v>#REF!</v>
      </c>
      <c r="ET164" t="e">
        <f>AND(Bills!M663,"AAAAADe325U=")</f>
        <v>#VALUE!</v>
      </c>
      <c r="EU164" t="e">
        <f>AND(Bills!N663,"AAAAADe325Y=")</f>
        <v>#VALUE!</v>
      </c>
      <c r="EV164" t="e">
        <f>AND(Bills!O663,"AAAAADe325c=")</f>
        <v>#VALUE!</v>
      </c>
      <c r="EW164" t="e">
        <f>AND(Bills!P663,"AAAAADe325g=")</f>
        <v>#VALUE!</v>
      </c>
      <c r="EX164" t="e">
        <f>AND(Bills!Q663,"AAAAADe325k=")</f>
        <v>#VALUE!</v>
      </c>
      <c r="EY164" t="e">
        <f>AND(Bills!R663,"AAAAADe325o=")</f>
        <v>#VALUE!</v>
      </c>
      <c r="EZ164" t="e">
        <f>AND(Bills!S663,"AAAAADe325s=")</f>
        <v>#VALUE!</v>
      </c>
      <c r="FA164" t="e">
        <f>AND(Bills!T663,"AAAAADe325w=")</f>
        <v>#VALUE!</v>
      </c>
      <c r="FB164" t="e">
        <f>AND(Bills!#REF!,"AAAAADe3250=")</f>
        <v>#REF!</v>
      </c>
      <c r="FC164" t="e">
        <f>AND(Bills!U663,"AAAAADe3254=")</f>
        <v>#VALUE!</v>
      </c>
      <c r="FD164" t="e">
        <f>AND(Bills!V663,"AAAAADe3258=")</f>
        <v>#VALUE!</v>
      </c>
      <c r="FE164" t="e">
        <f>AND(Bills!W663,"AAAAADe326A=")</f>
        <v>#VALUE!</v>
      </c>
      <c r="FF164" t="e">
        <f>AND(Bills!#REF!,"AAAAADe326E=")</f>
        <v>#REF!</v>
      </c>
      <c r="FG164" t="e">
        <f>AND(Bills!#REF!,"AAAAADe326I=")</f>
        <v>#REF!</v>
      </c>
      <c r="FH164" t="e">
        <f>AND(Bills!Y663,"AAAAADe326M=")</f>
        <v>#VALUE!</v>
      </c>
      <c r="FI164" t="e">
        <f>AND(Bills!Z663,"AAAAADe326Q=")</f>
        <v>#VALUE!</v>
      </c>
      <c r="FJ164" t="e">
        <f>AND(Bills!#REF!,"AAAAADe326U=")</f>
        <v>#REF!</v>
      </c>
      <c r="FK164" t="e">
        <f>AND(Bills!#REF!,"AAAAADe326Y=")</f>
        <v>#REF!</v>
      </c>
      <c r="FL164" t="e">
        <f>AND(Bills!#REF!,"AAAAADe326c=")</f>
        <v>#REF!</v>
      </c>
      <c r="FM164" t="e">
        <f>AND(Bills!#REF!,"AAAAADe326g=")</f>
        <v>#REF!</v>
      </c>
      <c r="FN164" t="e">
        <f>AND(Bills!#REF!,"AAAAADe326k=")</f>
        <v>#REF!</v>
      </c>
      <c r="FO164" t="e">
        <f>AND(Bills!#REF!,"AAAAADe326o=")</f>
        <v>#REF!</v>
      </c>
      <c r="FP164" t="e">
        <f>AND(Bills!#REF!,"AAAAADe326s=")</f>
        <v>#REF!</v>
      </c>
      <c r="FQ164" t="e">
        <f>AND(Bills!#REF!,"AAAAADe326w=")</f>
        <v>#REF!</v>
      </c>
      <c r="FR164" t="e">
        <f>AND(Bills!#REF!,"AAAAADe3260=")</f>
        <v>#REF!</v>
      </c>
      <c r="FS164" t="e">
        <f>AND(Bills!AA663,"AAAAADe3264=")</f>
        <v>#VALUE!</v>
      </c>
      <c r="FT164" t="e">
        <f>AND(Bills!AB663,"AAAAADe3268=")</f>
        <v>#VALUE!</v>
      </c>
      <c r="FU164" t="e">
        <f>AND(Bills!#REF!,"AAAAADe327A=")</f>
        <v>#REF!</v>
      </c>
      <c r="FV164" t="e">
        <f>AND(Bills!#REF!,"AAAAADe327E=")</f>
        <v>#REF!</v>
      </c>
      <c r="FW164" t="e">
        <f>AND(Bills!#REF!,"AAAAADe327I=")</f>
        <v>#REF!</v>
      </c>
      <c r="FX164" t="e">
        <f>AND(Bills!AC663,"AAAAADe327M=")</f>
        <v>#VALUE!</v>
      </c>
      <c r="FY164" t="e">
        <f>AND(Bills!AD663,"AAAAADe327Q=")</f>
        <v>#VALUE!</v>
      </c>
      <c r="FZ164" t="e">
        <f>AND(Bills!AE663,"AAAAADe327U=")</f>
        <v>#VALUE!</v>
      </c>
      <c r="GA164">
        <f>IF(Bills!664:664,"AAAAADe327Y=",0)</f>
        <v>0</v>
      </c>
      <c r="GB164" t="e">
        <f>AND(Bills!B664,"AAAAADe327c=")</f>
        <v>#VALUE!</v>
      </c>
      <c r="GC164" t="e">
        <f>AND(Bills!#REF!,"AAAAADe327g=")</f>
        <v>#REF!</v>
      </c>
      <c r="GD164" t="e">
        <f>AND(Bills!C664,"AAAAADe327k=")</f>
        <v>#VALUE!</v>
      </c>
      <c r="GE164" t="e">
        <f>AND(Bills!D664,"AAAAADe327o=")</f>
        <v>#VALUE!</v>
      </c>
      <c r="GF164" t="e">
        <f>AND(Bills!E664,"AAAAADe327s=")</f>
        <v>#VALUE!</v>
      </c>
      <c r="GG164" t="e">
        <f>AND(Bills!#REF!,"AAAAADe327w=")</f>
        <v>#REF!</v>
      </c>
      <c r="GH164" t="e">
        <f>AND(Bills!#REF!,"AAAAADe3270=")</f>
        <v>#REF!</v>
      </c>
      <c r="GI164" t="e">
        <f>AND(Bills!#REF!,"AAAAADe3274=")</f>
        <v>#REF!</v>
      </c>
      <c r="GJ164" t="e">
        <f>AND(Bills!F664,"AAAAADe3278=")</f>
        <v>#VALUE!</v>
      </c>
      <c r="GK164" t="e">
        <f>AND(Bills!#REF!,"AAAAADe328A=")</f>
        <v>#REF!</v>
      </c>
      <c r="GL164" t="e">
        <f>AND(Bills!G664,"AAAAADe328E=")</f>
        <v>#VALUE!</v>
      </c>
      <c r="GM164" t="e">
        <f>AND(Bills!H664,"AAAAADe328I=")</f>
        <v>#VALUE!</v>
      </c>
      <c r="GN164" t="e">
        <f>AND(Bills!I664,"AAAAADe328M=")</f>
        <v>#VALUE!</v>
      </c>
      <c r="GO164" t="e">
        <f>AND(Bills!J664,"AAAAADe328Q=")</f>
        <v>#VALUE!</v>
      </c>
      <c r="GP164" t="e">
        <f>AND(Bills!K664,"AAAAADe328U=")</f>
        <v>#VALUE!</v>
      </c>
      <c r="GQ164" t="e">
        <f>AND(Bills!L664,"AAAAADe328Y=")</f>
        <v>#VALUE!</v>
      </c>
      <c r="GR164" t="e">
        <f>AND(Bills!#REF!,"AAAAADe328c=")</f>
        <v>#REF!</v>
      </c>
      <c r="GS164" t="e">
        <f>AND(Bills!M664,"AAAAADe328g=")</f>
        <v>#VALUE!</v>
      </c>
      <c r="GT164" t="e">
        <f>AND(Bills!N664,"AAAAADe328k=")</f>
        <v>#VALUE!</v>
      </c>
      <c r="GU164" t="e">
        <f>AND(Bills!O664,"AAAAADe328o=")</f>
        <v>#VALUE!</v>
      </c>
      <c r="GV164" t="e">
        <f>AND(Bills!P664,"AAAAADe328s=")</f>
        <v>#VALUE!</v>
      </c>
      <c r="GW164" t="e">
        <f>AND(Bills!Q664,"AAAAADe328w=")</f>
        <v>#VALUE!</v>
      </c>
      <c r="GX164" t="e">
        <f>AND(Bills!R664,"AAAAADe3280=")</f>
        <v>#VALUE!</v>
      </c>
      <c r="GY164" t="e">
        <f>AND(Bills!S664,"AAAAADe3284=")</f>
        <v>#VALUE!</v>
      </c>
      <c r="GZ164" t="e">
        <f>AND(Bills!T664,"AAAAADe3288=")</f>
        <v>#VALUE!</v>
      </c>
      <c r="HA164" t="e">
        <f>AND(Bills!#REF!,"AAAAADe329A=")</f>
        <v>#REF!</v>
      </c>
      <c r="HB164" t="e">
        <f>AND(Bills!U664,"AAAAADe329E=")</f>
        <v>#VALUE!</v>
      </c>
      <c r="HC164" t="e">
        <f>AND(Bills!V664,"AAAAADe329I=")</f>
        <v>#VALUE!</v>
      </c>
      <c r="HD164" t="e">
        <f>AND(Bills!W664,"AAAAADe329M=")</f>
        <v>#VALUE!</v>
      </c>
      <c r="HE164" t="e">
        <f>AND(Bills!#REF!,"AAAAADe329Q=")</f>
        <v>#REF!</v>
      </c>
      <c r="HF164" t="e">
        <f>AND(Bills!#REF!,"AAAAADe329U=")</f>
        <v>#REF!</v>
      </c>
      <c r="HG164" t="e">
        <f>AND(Bills!Y664,"AAAAADe329Y=")</f>
        <v>#VALUE!</v>
      </c>
      <c r="HH164" t="e">
        <f>AND(Bills!Z664,"AAAAADe329c=")</f>
        <v>#VALUE!</v>
      </c>
      <c r="HI164" t="e">
        <f>AND(Bills!#REF!,"AAAAADe329g=")</f>
        <v>#REF!</v>
      </c>
      <c r="HJ164" t="e">
        <f>AND(Bills!#REF!,"AAAAADe329k=")</f>
        <v>#REF!</v>
      </c>
      <c r="HK164" t="e">
        <f>AND(Bills!#REF!,"AAAAADe329o=")</f>
        <v>#REF!</v>
      </c>
      <c r="HL164" t="e">
        <f>AND(Bills!#REF!,"AAAAADe329s=")</f>
        <v>#REF!</v>
      </c>
      <c r="HM164" t="e">
        <f>AND(Bills!#REF!,"AAAAADe329w=")</f>
        <v>#REF!</v>
      </c>
      <c r="HN164" t="e">
        <f>AND(Bills!#REF!,"AAAAADe3290=")</f>
        <v>#REF!</v>
      </c>
      <c r="HO164" t="e">
        <f>AND(Bills!#REF!,"AAAAADe3294=")</f>
        <v>#REF!</v>
      </c>
      <c r="HP164" t="e">
        <f>AND(Bills!#REF!,"AAAAADe3298=")</f>
        <v>#REF!</v>
      </c>
      <c r="HQ164" t="e">
        <f>AND(Bills!#REF!,"AAAAADe32+A=")</f>
        <v>#REF!</v>
      </c>
      <c r="HR164" t="e">
        <f>AND(Bills!AA664,"AAAAADe32+E=")</f>
        <v>#VALUE!</v>
      </c>
      <c r="HS164" t="e">
        <f>AND(Bills!AB664,"AAAAADe32+I=")</f>
        <v>#VALUE!</v>
      </c>
      <c r="HT164" t="e">
        <f>AND(Bills!#REF!,"AAAAADe32+M=")</f>
        <v>#REF!</v>
      </c>
      <c r="HU164" t="e">
        <f>AND(Bills!#REF!,"AAAAADe32+Q=")</f>
        <v>#REF!</v>
      </c>
      <c r="HV164" t="e">
        <f>AND(Bills!#REF!,"AAAAADe32+U=")</f>
        <v>#REF!</v>
      </c>
      <c r="HW164" t="e">
        <f>AND(Bills!AC664,"AAAAADe32+Y=")</f>
        <v>#VALUE!</v>
      </c>
      <c r="HX164" t="e">
        <f>AND(Bills!AD664,"AAAAADe32+c=")</f>
        <v>#VALUE!</v>
      </c>
      <c r="HY164" t="e">
        <f>AND(Bills!AE664,"AAAAADe32+g=")</f>
        <v>#VALUE!</v>
      </c>
      <c r="HZ164">
        <f>IF(Bills!665:665,"AAAAADe32+k=",0)</f>
        <v>0</v>
      </c>
      <c r="IA164" t="e">
        <f>AND(Bills!B665,"AAAAADe32+o=")</f>
        <v>#VALUE!</v>
      </c>
      <c r="IB164" t="e">
        <f>AND(Bills!#REF!,"AAAAADe32+s=")</f>
        <v>#REF!</v>
      </c>
      <c r="IC164" t="e">
        <f>AND(Bills!C665,"AAAAADe32+w=")</f>
        <v>#VALUE!</v>
      </c>
      <c r="ID164" t="e">
        <f>AND(Bills!D665,"AAAAADe32+0=")</f>
        <v>#VALUE!</v>
      </c>
      <c r="IE164" t="e">
        <f>AND(Bills!E665,"AAAAADe32+4=")</f>
        <v>#VALUE!</v>
      </c>
      <c r="IF164" t="e">
        <f>AND(Bills!#REF!,"AAAAADe32+8=")</f>
        <v>#REF!</v>
      </c>
      <c r="IG164" t="e">
        <f>AND(Bills!#REF!,"AAAAADe32/A=")</f>
        <v>#REF!</v>
      </c>
      <c r="IH164" t="e">
        <f>AND(Bills!#REF!,"AAAAADe32/E=")</f>
        <v>#REF!</v>
      </c>
      <c r="II164" t="e">
        <f>AND(Bills!F665,"AAAAADe32/I=")</f>
        <v>#VALUE!</v>
      </c>
      <c r="IJ164" t="e">
        <f>AND(Bills!#REF!,"AAAAADe32/M=")</f>
        <v>#REF!</v>
      </c>
      <c r="IK164" t="e">
        <f>AND(Bills!G665,"AAAAADe32/Q=")</f>
        <v>#VALUE!</v>
      </c>
      <c r="IL164" t="e">
        <f>AND(Bills!H665,"AAAAADe32/U=")</f>
        <v>#VALUE!</v>
      </c>
      <c r="IM164" t="e">
        <f>AND(Bills!I665,"AAAAADe32/Y=")</f>
        <v>#VALUE!</v>
      </c>
      <c r="IN164" t="e">
        <f>AND(Bills!J665,"AAAAADe32/c=")</f>
        <v>#VALUE!</v>
      </c>
      <c r="IO164" t="e">
        <f>AND(Bills!K665,"AAAAADe32/g=")</f>
        <v>#VALUE!</v>
      </c>
      <c r="IP164" t="e">
        <f>AND(Bills!L665,"AAAAADe32/k=")</f>
        <v>#VALUE!</v>
      </c>
      <c r="IQ164" t="e">
        <f>AND(Bills!#REF!,"AAAAADe32/o=")</f>
        <v>#REF!</v>
      </c>
      <c r="IR164" t="e">
        <f>AND(Bills!M665,"AAAAADe32/s=")</f>
        <v>#VALUE!</v>
      </c>
      <c r="IS164" t="e">
        <f>AND(Bills!N665,"AAAAADe32/w=")</f>
        <v>#VALUE!</v>
      </c>
      <c r="IT164" t="e">
        <f>AND(Bills!O665,"AAAAADe32/0=")</f>
        <v>#VALUE!</v>
      </c>
      <c r="IU164" t="e">
        <f>AND(Bills!P665,"AAAAADe32/4=")</f>
        <v>#VALUE!</v>
      </c>
      <c r="IV164" t="e">
        <f>AND(Bills!Q665,"AAAAADe32/8=")</f>
        <v>#VALUE!</v>
      </c>
    </row>
    <row r="165" spans="1:256" x14ac:dyDescent="0.25">
      <c r="A165" t="e">
        <f>AND(Bills!R665,"AAAAAFp/JQA=")</f>
        <v>#VALUE!</v>
      </c>
      <c r="B165" t="e">
        <f>AND(Bills!S665,"AAAAAFp/JQE=")</f>
        <v>#VALUE!</v>
      </c>
      <c r="C165" t="e">
        <f>AND(Bills!T665,"AAAAAFp/JQI=")</f>
        <v>#VALUE!</v>
      </c>
      <c r="D165" t="e">
        <f>AND(Bills!#REF!,"AAAAAFp/JQM=")</f>
        <v>#REF!</v>
      </c>
      <c r="E165" t="e">
        <f>AND(Bills!U665,"AAAAAFp/JQQ=")</f>
        <v>#VALUE!</v>
      </c>
      <c r="F165" t="e">
        <f>AND(Bills!V665,"AAAAAFp/JQU=")</f>
        <v>#VALUE!</v>
      </c>
      <c r="G165" t="e">
        <f>AND(Bills!W665,"AAAAAFp/JQY=")</f>
        <v>#VALUE!</v>
      </c>
      <c r="H165" t="e">
        <f>AND(Bills!#REF!,"AAAAAFp/JQc=")</f>
        <v>#REF!</v>
      </c>
      <c r="I165" t="e">
        <f>AND(Bills!#REF!,"AAAAAFp/JQg=")</f>
        <v>#REF!</v>
      </c>
      <c r="J165" t="e">
        <f>AND(Bills!Y665,"AAAAAFp/JQk=")</f>
        <v>#VALUE!</v>
      </c>
      <c r="K165" t="e">
        <f>AND(Bills!Z665,"AAAAAFp/JQo=")</f>
        <v>#VALUE!</v>
      </c>
      <c r="L165" t="e">
        <f>AND(Bills!#REF!,"AAAAAFp/JQs=")</f>
        <v>#REF!</v>
      </c>
      <c r="M165" t="e">
        <f>AND(Bills!#REF!,"AAAAAFp/JQw=")</f>
        <v>#REF!</v>
      </c>
      <c r="N165" t="e">
        <f>AND(Bills!#REF!,"AAAAAFp/JQ0=")</f>
        <v>#REF!</v>
      </c>
      <c r="O165" t="e">
        <f>AND(Bills!#REF!,"AAAAAFp/JQ4=")</f>
        <v>#REF!</v>
      </c>
      <c r="P165" t="e">
        <f>AND(Bills!#REF!,"AAAAAFp/JQ8=")</f>
        <v>#REF!</v>
      </c>
      <c r="Q165" t="e">
        <f>AND(Bills!#REF!,"AAAAAFp/JRA=")</f>
        <v>#REF!</v>
      </c>
      <c r="R165" t="e">
        <f>AND(Bills!#REF!,"AAAAAFp/JRE=")</f>
        <v>#REF!</v>
      </c>
      <c r="S165" t="e">
        <f>AND(Bills!#REF!,"AAAAAFp/JRI=")</f>
        <v>#REF!</v>
      </c>
      <c r="T165" t="e">
        <f>AND(Bills!#REF!,"AAAAAFp/JRM=")</f>
        <v>#REF!</v>
      </c>
      <c r="U165" t="e">
        <f>AND(Bills!AA665,"AAAAAFp/JRQ=")</f>
        <v>#VALUE!</v>
      </c>
      <c r="V165" t="e">
        <f>AND(Bills!AB665,"AAAAAFp/JRU=")</f>
        <v>#VALUE!</v>
      </c>
      <c r="W165" t="e">
        <f>AND(Bills!#REF!,"AAAAAFp/JRY=")</f>
        <v>#REF!</v>
      </c>
      <c r="X165" t="e">
        <f>AND(Bills!#REF!,"AAAAAFp/JRc=")</f>
        <v>#REF!</v>
      </c>
      <c r="Y165" t="e">
        <f>AND(Bills!#REF!,"AAAAAFp/JRg=")</f>
        <v>#REF!</v>
      </c>
      <c r="Z165" t="e">
        <f>AND(Bills!AC665,"AAAAAFp/JRk=")</f>
        <v>#VALUE!</v>
      </c>
      <c r="AA165" t="e">
        <f>AND(Bills!AD665,"AAAAAFp/JRo=")</f>
        <v>#VALUE!</v>
      </c>
      <c r="AB165" t="e">
        <f>AND(Bills!AE665,"AAAAAFp/JRs=")</f>
        <v>#VALUE!</v>
      </c>
      <c r="AC165">
        <f>IF(Bills!666:666,"AAAAAFp/JRw=",0)</f>
        <v>0</v>
      </c>
      <c r="AD165" t="e">
        <f>AND(Bills!B666,"AAAAAFp/JR0=")</f>
        <v>#VALUE!</v>
      </c>
      <c r="AE165" t="e">
        <f>AND(Bills!#REF!,"AAAAAFp/JR4=")</f>
        <v>#REF!</v>
      </c>
      <c r="AF165" t="e">
        <f>AND(Bills!C666,"AAAAAFp/JR8=")</f>
        <v>#VALUE!</v>
      </c>
      <c r="AG165" t="e">
        <f>AND(Bills!D666,"AAAAAFp/JSA=")</f>
        <v>#VALUE!</v>
      </c>
      <c r="AH165" t="e">
        <f>AND(Bills!E666,"AAAAAFp/JSE=")</f>
        <v>#VALUE!</v>
      </c>
      <c r="AI165" t="e">
        <f>AND(Bills!#REF!,"AAAAAFp/JSI=")</f>
        <v>#REF!</v>
      </c>
      <c r="AJ165" t="e">
        <f>AND(Bills!#REF!,"AAAAAFp/JSM=")</f>
        <v>#REF!</v>
      </c>
      <c r="AK165" t="e">
        <f>AND(Bills!#REF!,"AAAAAFp/JSQ=")</f>
        <v>#REF!</v>
      </c>
      <c r="AL165" t="e">
        <f>AND(Bills!F666,"AAAAAFp/JSU=")</f>
        <v>#VALUE!</v>
      </c>
      <c r="AM165" t="e">
        <f>AND(Bills!#REF!,"AAAAAFp/JSY=")</f>
        <v>#REF!</v>
      </c>
      <c r="AN165" t="e">
        <f>AND(Bills!G666,"AAAAAFp/JSc=")</f>
        <v>#VALUE!</v>
      </c>
      <c r="AO165" t="e">
        <f>AND(Bills!H666,"AAAAAFp/JSg=")</f>
        <v>#VALUE!</v>
      </c>
      <c r="AP165" t="e">
        <f>AND(Bills!I666,"AAAAAFp/JSk=")</f>
        <v>#VALUE!</v>
      </c>
      <c r="AQ165" t="e">
        <f>AND(Bills!J666,"AAAAAFp/JSo=")</f>
        <v>#VALUE!</v>
      </c>
      <c r="AR165" t="e">
        <f>AND(Bills!K666,"AAAAAFp/JSs=")</f>
        <v>#VALUE!</v>
      </c>
      <c r="AS165" t="e">
        <f>AND(Bills!L666,"AAAAAFp/JSw=")</f>
        <v>#VALUE!</v>
      </c>
      <c r="AT165" t="e">
        <f>AND(Bills!#REF!,"AAAAAFp/JS0=")</f>
        <v>#REF!</v>
      </c>
      <c r="AU165" t="e">
        <f>AND(Bills!M666,"AAAAAFp/JS4=")</f>
        <v>#VALUE!</v>
      </c>
      <c r="AV165" t="e">
        <f>AND(Bills!N666,"AAAAAFp/JS8=")</f>
        <v>#VALUE!</v>
      </c>
      <c r="AW165" t="e">
        <f>AND(Bills!O666,"AAAAAFp/JTA=")</f>
        <v>#VALUE!</v>
      </c>
      <c r="AX165" t="e">
        <f>AND(Bills!P666,"AAAAAFp/JTE=")</f>
        <v>#VALUE!</v>
      </c>
      <c r="AY165" t="e">
        <f>AND(Bills!Q666,"AAAAAFp/JTI=")</f>
        <v>#VALUE!</v>
      </c>
      <c r="AZ165" t="e">
        <f>AND(Bills!R666,"AAAAAFp/JTM=")</f>
        <v>#VALUE!</v>
      </c>
      <c r="BA165" t="e">
        <f>AND(Bills!S666,"AAAAAFp/JTQ=")</f>
        <v>#VALUE!</v>
      </c>
      <c r="BB165" t="e">
        <f>AND(Bills!T666,"AAAAAFp/JTU=")</f>
        <v>#VALUE!</v>
      </c>
      <c r="BC165" t="e">
        <f>AND(Bills!#REF!,"AAAAAFp/JTY=")</f>
        <v>#REF!</v>
      </c>
      <c r="BD165" t="e">
        <f>AND(Bills!U666,"AAAAAFp/JTc=")</f>
        <v>#VALUE!</v>
      </c>
      <c r="BE165" t="e">
        <f>AND(Bills!V666,"AAAAAFp/JTg=")</f>
        <v>#VALUE!</v>
      </c>
      <c r="BF165" t="e">
        <f>AND(Bills!W666,"AAAAAFp/JTk=")</f>
        <v>#VALUE!</v>
      </c>
      <c r="BG165" t="e">
        <f>AND(Bills!#REF!,"AAAAAFp/JTo=")</f>
        <v>#REF!</v>
      </c>
      <c r="BH165" t="e">
        <f>AND(Bills!#REF!,"AAAAAFp/JTs=")</f>
        <v>#REF!</v>
      </c>
      <c r="BI165" t="e">
        <f>AND(Bills!Y666,"AAAAAFp/JTw=")</f>
        <v>#VALUE!</v>
      </c>
      <c r="BJ165" t="e">
        <f>AND(Bills!Z666,"AAAAAFp/JT0=")</f>
        <v>#VALUE!</v>
      </c>
      <c r="BK165" t="e">
        <f>AND(Bills!#REF!,"AAAAAFp/JT4=")</f>
        <v>#REF!</v>
      </c>
      <c r="BL165" t="e">
        <f>AND(Bills!#REF!,"AAAAAFp/JT8=")</f>
        <v>#REF!</v>
      </c>
      <c r="BM165" t="e">
        <f>AND(Bills!#REF!,"AAAAAFp/JUA=")</f>
        <v>#REF!</v>
      </c>
      <c r="BN165" t="e">
        <f>AND(Bills!#REF!,"AAAAAFp/JUE=")</f>
        <v>#REF!</v>
      </c>
      <c r="BO165" t="e">
        <f>AND(Bills!#REF!,"AAAAAFp/JUI=")</f>
        <v>#REF!</v>
      </c>
      <c r="BP165" t="e">
        <f>AND(Bills!#REF!,"AAAAAFp/JUM=")</f>
        <v>#REF!</v>
      </c>
      <c r="BQ165" t="e">
        <f>AND(Bills!#REF!,"AAAAAFp/JUQ=")</f>
        <v>#REF!</v>
      </c>
      <c r="BR165" t="e">
        <f>AND(Bills!#REF!,"AAAAAFp/JUU=")</f>
        <v>#REF!</v>
      </c>
      <c r="BS165" t="e">
        <f>AND(Bills!#REF!,"AAAAAFp/JUY=")</f>
        <v>#REF!</v>
      </c>
      <c r="BT165" t="e">
        <f>AND(Bills!AA666,"AAAAAFp/JUc=")</f>
        <v>#VALUE!</v>
      </c>
      <c r="BU165" t="e">
        <f>AND(Bills!AB666,"AAAAAFp/JUg=")</f>
        <v>#VALUE!</v>
      </c>
      <c r="BV165" t="e">
        <f>AND(Bills!#REF!,"AAAAAFp/JUk=")</f>
        <v>#REF!</v>
      </c>
      <c r="BW165" t="e">
        <f>AND(Bills!#REF!,"AAAAAFp/JUo=")</f>
        <v>#REF!</v>
      </c>
      <c r="BX165" t="e">
        <f>AND(Bills!#REF!,"AAAAAFp/JUs=")</f>
        <v>#REF!</v>
      </c>
      <c r="BY165" t="e">
        <f>AND(Bills!AC666,"AAAAAFp/JUw=")</f>
        <v>#VALUE!</v>
      </c>
      <c r="BZ165" t="e">
        <f>AND(Bills!AD666,"AAAAAFp/JU0=")</f>
        <v>#VALUE!</v>
      </c>
      <c r="CA165" t="e">
        <f>AND(Bills!AE666,"AAAAAFp/JU4=")</f>
        <v>#VALUE!</v>
      </c>
      <c r="CB165">
        <f>IF(Bills!667:667,"AAAAAFp/JU8=",0)</f>
        <v>0</v>
      </c>
      <c r="CC165" t="e">
        <f>AND(Bills!B667,"AAAAAFp/JVA=")</f>
        <v>#VALUE!</v>
      </c>
      <c r="CD165" t="e">
        <f>AND(Bills!#REF!,"AAAAAFp/JVE=")</f>
        <v>#REF!</v>
      </c>
      <c r="CE165" t="e">
        <f>AND(Bills!C667,"AAAAAFp/JVI=")</f>
        <v>#VALUE!</v>
      </c>
      <c r="CF165" t="e">
        <f>AND(Bills!D667,"AAAAAFp/JVM=")</f>
        <v>#VALUE!</v>
      </c>
      <c r="CG165" t="e">
        <f>AND(Bills!E667,"AAAAAFp/JVQ=")</f>
        <v>#VALUE!</v>
      </c>
      <c r="CH165" t="e">
        <f>AND(Bills!#REF!,"AAAAAFp/JVU=")</f>
        <v>#REF!</v>
      </c>
      <c r="CI165" t="e">
        <f>AND(Bills!#REF!,"AAAAAFp/JVY=")</f>
        <v>#REF!</v>
      </c>
      <c r="CJ165" t="e">
        <f>AND(Bills!#REF!,"AAAAAFp/JVc=")</f>
        <v>#REF!</v>
      </c>
      <c r="CK165" t="e">
        <f>AND(Bills!F667,"AAAAAFp/JVg=")</f>
        <v>#VALUE!</v>
      </c>
      <c r="CL165" t="e">
        <f>AND(Bills!#REF!,"AAAAAFp/JVk=")</f>
        <v>#REF!</v>
      </c>
      <c r="CM165" t="e">
        <f>AND(Bills!G667,"AAAAAFp/JVo=")</f>
        <v>#VALUE!</v>
      </c>
      <c r="CN165" t="e">
        <f>AND(Bills!H667,"AAAAAFp/JVs=")</f>
        <v>#VALUE!</v>
      </c>
      <c r="CO165" t="e">
        <f>AND(Bills!I667,"AAAAAFp/JVw=")</f>
        <v>#VALUE!</v>
      </c>
      <c r="CP165" t="e">
        <f>AND(Bills!J667,"AAAAAFp/JV0=")</f>
        <v>#VALUE!</v>
      </c>
      <c r="CQ165" t="e">
        <f>AND(Bills!K667,"AAAAAFp/JV4=")</f>
        <v>#VALUE!</v>
      </c>
      <c r="CR165" t="e">
        <f>AND(Bills!L667,"AAAAAFp/JV8=")</f>
        <v>#VALUE!</v>
      </c>
      <c r="CS165" t="e">
        <f>AND(Bills!#REF!,"AAAAAFp/JWA=")</f>
        <v>#REF!</v>
      </c>
      <c r="CT165" t="e">
        <f>AND(Bills!M667,"AAAAAFp/JWE=")</f>
        <v>#VALUE!</v>
      </c>
      <c r="CU165" t="e">
        <f>AND(Bills!N667,"AAAAAFp/JWI=")</f>
        <v>#VALUE!</v>
      </c>
      <c r="CV165" t="e">
        <f>AND(Bills!O667,"AAAAAFp/JWM=")</f>
        <v>#VALUE!</v>
      </c>
      <c r="CW165" t="e">
        <f>AND(Bills!P667,"AAAAAFp/JWQ=")</f>
        <v>#VALUE!</v>
      </c>
      <c r="CX165" t="e">
        <f>AND(Bills!Q667,"AAAAAFp/JWU=")</f>
        <v>#VALUE!</v>
      </c>
      <c r="CY165" t="e">
        <f>AND(Bills!R667,"AAAAAFp/JWY=")</f>
        <v>#VALUE!</v>
      </c>
      <c r="CZ165" t="e">
        <f>AND(Bills!S667,"AAAAAFp/JWc=")</f>
        <v>#VALUE!</v>
      </c>
      <c r="DA165" t="e">
        <f>AND(Bills!T667,"AAAAAFp/JWg=")</f>
        <v>#VALUE!</v>
      </c>
      <c r="DB165" t="e">
        <f>AND(Bills!#REF!,"AAAAAFp/JWk=")</f>
        <v>#REF!</v>
      </c>
      <c r="DC165" t="e">
        <f>AND(Bills!U667,"AAAAAFp/JWo=")</f>
        <v>#VALUE!</v>
      </c>
      <c r="DD165" t="e">
        <f>AND(Bills!V667,"AAAAAFp/JWs=")</f>
        <v>#VALUE!</v>
      </c>
      <c r="DE165" t="e">
        <f>AND(Bills!W667,"AAAAAFp/JWw=")</f>
        <v>#VALUE!</v>
      </c>
      <c r="DF165" t="e">
        <f>AND(Bills!#REF!,"AAAAAFp/JW0=")</f>
        <v>#REF!</v>
      </c>
      <c r="DG165" t="e">
        <f>AND(Bills!#REF!,"AAAAAFp/JW4=")</f>
        <v>#REF!</v>
      </c>
      <c r="DH165" t="e">
        <f>AND(Bills!Y667,"AAAAAFp/JW8=")</f>
        <v>#VALUE!</v>
      </c>
      <c r="DI165" t="e">
        <f>AND(Bills!Z667,"AAAAAFp/JXA=")</f>
        <v>#VALUE!</v>
      </c>
      <c r="DJ165" t="e">
        <f>AND(Bills!#REF!,"AAAAAFp/JXE=")</f>
        <v>#REF!</v>
      </c>
      <c r="DK165" t="e">
        <f>AND(Bills!#REF!,"AAAAAFp/JXI=")</f>
        <v>#REF!</v>
      </c>
      <c r="DL165" t="e">
        <f>AND(Bills!#REF!,"AAAAAFp/JXM=")</f>
        <v>#REF!</v>
      </c>
      <c r="DM165" t="e">
        <f>AND(Bills!#REF!,"AAAAAFp/JXQ=")</f>
        <v>#REF!</v>
      </c>
      <c r="DN165" t="e">
        <f>AND(Bills!#REF!,"AAAAAFp/JXU=")</f>
        <v>#REF!</v>
      </c>
      <c r="DO165" t="e">
        <f>AND(Bills!#REF!,"AAAAAFp/JXY=")</f>
        <v>#REF!</v>
      </c>
      <c r="DP165" t="e">
        <f>AND(Bills!#REF!,"AAAAAFp/JXc=")</f>
        <v>#REF!</v>
      </c>
      <c r="DQ165" t="e">
        <f>AND(Bills!#REF!,"AAAAAFp/JXg=")</f>
        <v>#REF!</v>
      </c>
      <c r="DR165" t="e">
        <f>AND(Bills!#REF!,"AAAAAFp/JXk=")</f>
        <v>#REF!</v>
      </c>
      <c r="DS165" t="e">
        <f>AND(Bills!AA667,"AAAAAFp/JXo=")</f>
        <v>#VALUE!</v>
      </c>
      <c r="DT165" t="e">
        <f>AND(Bills!AB667,"AAAAAFp/JXs=")</f>
        <v>#VALUE!</v>
      </c>
      <c r="DU165" t="e">
        <f>AND(Bills!#REF!,"AAAAAFp/JXw=")</f>
        <v>#REF!</v>
      </c>
      <c r="DV165" t="e">
        <f>AND(Bills!#REF!,"AAAAAFp/JX0=")</f>
        <v>#REF!</v>
      </c>
      <c r="DW165" t="e">
        <f>AND(Bills!#REF!,"AAAAAFp/JX4=")</f>
        <v>#REF!</v>
      </c>
      <c r="DX165" t="e">
        <f>AND(Bills!AC667,"AAAAAFp/JX8=")</f>
        <v>#VALUE!</v>
      </c>
      <c r="DY165" t="e">
        <f>AND(Bills!AD667,"AAAAAFp/JYA=")</f>
        <v>#VALUE!</v>
      </c>
      <c r="DZ165" t="e">
        <f>AND(Bills!AE667,"AAAAAFp/JYE=")</f>
        <v>#VALUE!</v>
      </c>
      <c r="EA165">
        <f>IF(Bills!668:668,"AAAAAFp/JYI=",0)</f>
        <v>0</v>
      </c>
      <c r="EB165" t="e">
        <f>AND(Bills!B668,"AAAAAFp/JYM=")</f>
        <v>#VALUE!</v>
      </c>
      <c r="EC165" t="e">
        <f>AND(Bills!#REF!,"AAAAAFp/JYQ=")</f>
        <v>#REF!</v>
      </c>
      <c r="ED165" t="e">
        <f>AND(Bills!C668,"AAAAAFp/JYU=")</f>
        <v>#VALUE!</v>
      </c>
      <c r="EE165" t="e">
        <f>AND(Bills!D668,"AAAAAFp/JYY=")</f>
        <v>#VALUE!</v>
      </c>
      <c r="EF165" t="e">
        <f>AND(Bills!E668,"AAAAAFp/JYc=")</f>
        <v>#VALUE!</v>
      </c>
      <c r="EG165" t="e">
        <f>AND(Bills!#REF!,"AAAAAFp/JYg=")</f>
        <v>#REF!</v>
      </c>
      <c r="EH165" t="e">
        <f>AND(Bills!#REF!,"AAAAAFp/JYk=")</f>
        <v>#REF!</v>
      </c>
      <c r="EI165" t="e">
        <f>AND(Bills!#REF!,"AAAAAFp/JYo=")</f>
        <v>#REF!</v>
      </c>
      <c r="EJ165" t="e">
        <f>AND(Bills!F668,"AAAAAFp/JYs=")</f>
        <v>#VALUE!</v>
      </c>
      <c r="EK165" t="e">
        <f>AND(Bills!#REF!,"AAAAAFp/JYw=")</f>
        <v>#REF!</v>
      </c>
      <c r="EL165" t="e">
        <f>AND(Bills!G668,"AAAAAFp/JY0=")</f>
        <v>#VALUE!</v>
      </c>
      <c r="EM165" t="e">
        <f>AND(Bills!H668,"AAAAAFp/JY4=")</f>
        <v>#VALUE!</v>
      </c>
      <c r="EN165" t="e">
        <f>AND(Bills!I668,"AAAAAFp/JY8=")</f>
        <v>#VALUE!</v>
      </c>
      <c r="EO165" t="e">
        <f>AND(Bills!J668,"AAAAAFp/JZA=")</f>
        <v>#VALUE!</v>
      </c>
      <c r="EP165" t="e">
        <f>AND(Bills!K668,"AAAAAFp/JZE=")</f>
        <v>#VALUE!</v>
      </c>
      <c r="EQ165" t="e">
        <f>AND(Bills!L668,"AAAAAFp/JZI=")</f>
        <v>#VALUE!</v>
      </c>
      <c r="ER165" t="e">
        <f>AND(Bills!#REF!,"AAAAAFp/JZM=")</f>
        <v>#REF!</v>
      </c>
      <c r="ES165" t="e">
        <f>AND(Bills!M668,"AAAAAFp/JZQ=")</f>
        <v>#VALUE!</v>
      </c>
      <c r="ET165" t="e">
        <f>AND(Bills!N668,"AAAAAFp/JZU=")</f>
        <v>#VALUE!</v>
      </c>
      <c r="EU165" t="e">
        <f>AND(Bills!O668,"AAAAAFp/JZY=")</f>
        <v>#VALUE!</v>
      </c>
      <c r="EV165" t="e">
        <f>AND(Bills!P668,"AAAAAFp/JZc=")</f>
        <v>#VALUE!</v>
      </c>
      <c r="EW165" t="e">
        <f>AND(Bills!Q668,"AAAAAFp/JZg=")</f>
        <v>#VALUE!</v>
      </c>
      <c r="EX165" t="e">
        <f>AND(Bills!R668,"AAAAAFp/JZk=")</f>
        <v>#VALUE!</v>
      </c>
      <c r="EY165" t="e">
        <f>AND(Bills!S668,"AAAAAFp/JZo=")</f>
        <v>#VALUE!</v>
      </c>
      <c r="EZ165" t="e">
        <f>AND(Bills!T668,"AAAAAFp/JZs=")</f>
        <v>#VALUE!</v>
      </c>
      <c r="FA165" t="e">
        <f>AND(Bills!#REF!,"AAAAAFp/JZw=")</f>
        <v>#REF!</v>
      </c>
      <c r="FB165" t="e">
        <f>AND(Bills!U668,"AAAAAFp/JZ0=")</f>
        <v>#VALUE!</v>
      </c>
      <c r="FC165" t="e">
        <f>AND(Bills!V668,"AAAAAFp/JZ4=")</f>
        <v>#VALUE!</v>
      </c>
      <c r="FD165" t="e">
        <f>AND(Bills!W668,"AAAAAFp/JZ8=")</f>
        <v>#VALUE!</v>
      </c>
      <c r="FE165" t="e">
        <f>AND(Bills!#REF!,"AAAAAFp/JaA=")</f>
        <v>#REF!</v>
      </c>
      <c r="FF165" t="e">
        <f>AND(Bills!#REF!,"AAAAAFp/JaE=")</f>
        <v>#REF!</v>
      </c>
      <c r="FG165" t="e">
        <f>AND(Bills!Y668,"AAAAAFp/JaI=")</f>
        <v>#VALUE!</v>
      </c>
      <c r="FH165" t="e">
        <f>AND(Bills!Z668,"AAAAAFp/JaM=")</f>
        <v>#VALUE!</v>
      </c>
      <c r="FI165" t="e">
        <f>AND(Bills!#REF!,"AAAAAFp/JaQ=")</f>
        <v>#REF!</v>
      </c>
      <c r="FJ165" t="e">
        <f>AND(Bills!#REF!,"AAAAAFp/JaU=")</f>
        <v>#REF!</v>
      </c>
      <c r="FK165" t="e">
        <f>AND(Bills!#REF!,"AAAAAFp/JaY=")</f>
        <v>#REF!</v>
      </c>
      <c r="FL165" t="e">
        <f>AND(Bills!#REF!,"AAAAAFp/Jac=")</f>
        <v>#REF!</v>
      </c>
      <c r="FM165" t="e">
        <f>AND(Bills!#REF!,"AAAAAFp/Jag=")</f>
        <v>#REF!</v>
      </c>
      <c r="FN165" t="e">
        <f>AND(Bills!#REF!,"AAAAAFp/Jak=")</f>
        <v>#REF!</v>
      </c>
      <c r="FO165" t="e">
        <f>AND(Bills!#REF!,"AAAAAFp/Jao=")</f>
        <v>#REF!</v>
      </c>
      <c r="FP165" t="e">
        <f>AND(Bills!#REF!,"AAAAAFp/Jas=")</f>
        <v>#REF!</v>
      </c>
      <c r="FQ165" t="e">
        <f>AND(Bills!#REF!,"AAAAAFp/Jaw=")</f>
        <v>#REF!</v>
      </c>
      <c r="FR165" t="e">
        <f>AND(Bills!AA668,"AAAAAFp/Ja0=")</f>
        <v>#VALUE!</v>
      </c>
      <c r="FS165" t="e">
        <f>AND(Bills!AB668,"AAAAAFp/Ja4=")</f>
        <v>#VALUE!</v>
      </c>
      <c r="FT165" t="e">
        <f>AND(Bills!#REF!,"AAAAAFp/Ja8=")</f>
        <v>#REF!</v>
      </c>
      <c r="FU165" t="e">
        <f>AND(Bills!#REF!,"AAAAAFp/JbA=")</f>
        <v>#REF!</v>
      </c>
      <c r="FV165" t="e">
        <f>AND(Bills!#REF!,"AAAAAFp/JbE=")</f>
        <v>#REF!</v>
      </c>
      <c r="FW165" t="e">
        <f>AND(Bills!AC668,"AAAAAFp/JbI=")</f>
        <v>#VALUE!</v>
      </c>
      <c r="FX165" t="e">
        <f>AND(Bills!AD668,"AAAAAFp/JbM=")</f>
        <v>#VALUE!</v>
      </c>
      <c r="FY165" t="e">
        <f>AND(Bills!AE668,"AAAAAFp/JbQ=")</f>
        <v>#VALUE!</v>
      </c>
      <c r="FZ165">
        <f>IF(Bills!669:669,"AAAAAFp/JbU=",0)</f>
        <v>0</v>
      </c>
      <c r="GA165" t="e">
        <f>AND(Bills!B669,"AAAAAFp/JbY=")</f>
        <v>#VALUE!</v>
      </c>
      <c r="GB165" t="e">
        <f>AND(Bills!#REF!,"AAAAAFp/Jbc=")</f>
        <v>#REF!</v>
      </c>
      <c r="GC165" t="e">
        <f>AND(Bills!C669,"AAAAAFp/Jbg=")</f>
        <v>#VALUE!</v>
      </c>
      <c r="GD165" t="e">
        <f>AND(Bills!D669,"AAAAAFp/Jbk=")</f>
        <v>#VALUE!</v>
      </c>
      <c r="GE165" t="e">
        <f>AND(Bills!E669,"AAAAAFp/Jbo=")</f>
        <v>#VALUE!</v>
      </c>
      <c r="GF165" t="e">
        <f>AND(Bills!#REF!,"AAAAAFp/Jbs=")</f>
        <v>#REF!</v>
      </c>
      <c r="GG165" t="e">
        <f>AND(Bills!#REF!,"AAAAAFp/Jbw=")</f>
        <v>#REF!</v>
      </c>
      <c r="GH165" t="e">
        <f>AND(Bills!#REF!,"AAAAAFp/Jb0=")</f>
        <v>#REF!</v>
      </c>
      <c r="GI165" t="e">
        <f>AND(Bills!F669,"AAAAAFp/Jb4=")</f>
        <v>#VALUE!</v>
      </c>
      <c r="GJ165" t="e">
        <f>AND(Bills!#REF!,"AAAAAFp/Jb8=")</f>
        <v>#REF!</v>
      </c>
      <c r="GK165" t="e">
        <f>AND(Bills!G669,"AAAAAFp/JcA=")</f>
        <v>#VALUE!</v>
      </c>
      <c r="GL165" t="e">
        <f>AND(Bills!H669,"AAAAAFp/JcE=")</f>
        <v>#VALUE!</v>
      </c>
      <c r="GM165" t="e">
        <f>AND(Bills!I669,"AAAAAFp/JcI=")</f>
        <v>#VALUE!</v>
      </c>
      <c r="GN165" t="e">
        <f>AND(Bills!J669,"AAAAAFp/JcM=")</f>
        <v>#VALUE!</v>
      </c>
      <c r="GO165" t="e">
        <f>AND(Bills!K669,"AAAAAFp/JcQ=")</f>
        <v>#VALUE!</v>
      </c>
      <c r="GP165" t="e">
        <f>AND(Bills!L669,"AAAAAFp/JcU=")</f>
        <v>#VALUE!</v>
      </c>
      <c r="GQ165" t="e">
        <f>AND(Bills!#REF!,"AAAAAFp/JcY=")</f>
        <v>#REF!</v>
      </c>
      <c r="GR165" t="e">
        <f>AND(Bills!M669,"AAAAAFp/Jcc=")</f>
        <v>#VALUE!</v>
      </c>
      <c r="GS165" t="e">
        <f>AND(Bills!N669,"AAAAAFp/Jcg=")</f>
        <v>#VALUE!</v>
      </c>
      <c r="GT165" t="e">
        <f>AND(Bills!O669,"AAAAAFp/Jck=")</f>
        <v>#VALUE!</v>
      </c>
      <c r="GU165" t="e">
        <f>AND(Bills!P669,"AAAAAFp/Jco=")</f>
        <v>#VALUE!</v>
      </c>
      <c r="GV165" t="e">
        <f>AND(Bills!Q669,"AAAAAFp/Jcs=")</f>
        <v>#VALUE!</v>
      </c>
      <c r="GW165" t="e">
        <f>AND(Bills!R669,"AAAAAFp/Jcw=")</f>
        <v>#VALUE!</v>
      </c>
      <c r="GX165" t="e">
        <f>AND(Bills!S669,"AAAAAFp/Jc0=")</f>
        <v>#VALUE!</v>
      </c>
      <c r="GY165" t="e">
        <f>AND(Bills!T669,"AAAAAFp/Jc4=")</f>
        <v>#VALUE!</v>
      </c>
      <c r="GZ165" t="e">
        <f>AND(Bills!#REF!,"AAAAAFp/Jc8=")</f>
        <v>#REF!</v>
      </c>
      <c r="HA165" t="e">
        <f>AND(Bills!U669,"AAAAAFp/JdA=")</f>
        <v>#VALUE!</v>
      </c>
      <c r="HB165" t="e">
        <f>AND(Bills!V669,"AAAAAFp/JdE=")</f>
        <v>#VALUE!</v>
      </c>
      <c r="HC165" t="e">
        <f>AND(Bills!W669,"AAAAAFp/JdI=")</f>
        <v>#VALUE!</v>
      </c>
      <c r="HD165" t="e">
        <f>AND(Bills!#REF!,"AAAAAFp/JdM=")</f>
        <v>#REF!</v>
      </c>
      <c r="HE165" t="e">
        <f>AND(Bills!#REF!,"AAAAAFp/JdQ=")</f>
        <v>#REF!</v>
      </c>
      <c r="HF165" t="e">
        <f>AND(Bills!Y669,"AAAAAFp/JdU=")</f>
        <v>#VALUE!</v>
      </c>
      <c r="HG165" t="e">
        <f>AND(Bills!Z669,"AAAAAFp/JdY=")</f>
        <v>#VALUE!</v>
      </c>
      <c r="HH165" t="e">
        <f>AND(Bills!#REF!,"AAAAAFp/Jdc=")</f>
        <v>#REF!</v>
      </c>
      <c r="HI165" t="e">
        <f>AND(Bills!#REF!,"AAAAAFp/Jdg=")</f>
        <v>#REF!</v>
      </c>
      <c r="HJ165" t="e">
        <f>AND(Bills!#REF!,"AAAAAFp/Jdk=")</f>
        <v>#REF!</v>
      </c>
      <c r="HK165" t="e">
        <f>AND(Bills!#REF!,"AAAAAFp/Jdo=")</f>
        <v>#REF!</v>
      </c>
      <c r="HL165" t="e">
        <f>AND(Bills!#REF!,"AAAAAFp/Jds=")</f>
        <v>#REF!</v>
      </c>
      <c r="HM165" t="e">
        <f>AND(Bills!#REF!,"AAAAAFp/Jdw=")</f>
        <v>#REF!</v>
      </c>
      <c r="HN165" t="e">
        <f>AND(Bills!#REF!,"AAAAAFp/Jd0=")</f>
        <v>#REF!</v>
      </c>
      <c r="HO165" t="e">
        <f>AND(Bills!#REF!,"AAAAAFp/Jd4=")</f>
        <v>#REF!</v>
      </c>
      <c r="HP165" t="e">
        <f>AND(Bills!#REF!,"AAAAAFp/Jd8=")</f>
        <v>#REF!</v>
      </c>
      <c r="HQ165" t="e">
        <f>AND(Bills!AA669,"AAAAAFp/JeA=")</f>
        <v>#VALUE!</v>
      </c>
      <c r="HR165" t="e">
        <f>AND(Bills!AB669,"AAAAAFp/JeE=")</f>
        <v>#VALUE!</v>
      </c>
      <c r="HS165" t="e">
        <f>AND(Bills!#REF!,"AAAAAFp/JeI=")</f>
        <v>#REF!</v>
      </c>
      <c r="HT165" t="e">
        <f>AND(Bills!#REF!,"AAAAAFp/JeM=")</f>
        <v>#REF!</v>
      </c>
      <c r="HU165" t="e">
        <f>AND(Bills!#REF!,"AAAAAFp/JeQ=")</f>
        <v>#REF!</v>
      </c>
      <c r="HV165" t="e">
        <f>AND(Bills!AC669,"AAAAAFp/JeU=")</f>
        <v>#VALUE!</v>
      </c>
      <c r="HW165" t="e">
        <f>AND(Bills!AD669,"AAAAAFp/JeY=")</f>
        <v>#VALUE!</v>
      </c>
      <c r="HX165" t="e">
        <f>AND(Bills!AE669,"AAAAAFp/Jec=")</f>
        <v>#VALUE!</v>
      </c>
      <c r="HY165">
        <f>IF(Bills!670:670,"AAAAAFp/Jeg=",0)</f>
        <v>0</v>
      </c>
      <c r="HZ165" t="e">
        <f>AND(Bills!B670,"AAAAAFp/Jek=")</f>
        <v>#VALUE!</v>
      </c>
      <c r="IA165" t="e">
        <f>AND(Bills!#REF!,"AAAAAFp/Jeo=")</f>
        <v>#REF!</v>
      </c>
      <c r="IB165" t="e">
        <f>AND(Bills!C670,"AAAAAFp/Jes=")</f>
        <v>#VALUE!</v>
      </c>
      <c r="IC165" t="e">
        <f>AND(Bills!D670,"AAAAAFp/Jew=")</f>
        <v>#VALUE!</v>
      </c>
      <c r="ID165" t="e">
        <f>AND(Bills!E670,"AAAAAFp/Je0=")</f>
        <v>#VALUE!</v>
      </c>
      <c r="IE165" t="e">
        <f>AND(Bills!#REF!,"AAAAAFp/Je4=")</f>
        <v>#REF!</v>
      </c>
      <c r="IF165" t="e">
        <f>AND(Bills!#REF!,"AAAAAFp/Je8=")</f>
        <v>#REF!</v>
      </c>
      <c r="IG165" t="e">
        <f>AND(Bills!#REF!,"AAAAAFp/JfA=")</f>
        <v>#REF!</v>
      </c>
      <c r="IH165" t="e">
        <f>AND(Bills!F670,"AAAAAFp/JfE=")</f>
        <v>#VALUE!</v>
      </c>
      <c r="II165" t="e">
        <f>AND(Bills!#REF!,"AAAAAFp/JfI=")</f>
        <v>#REF!</v>
      </c>
      <c r="IJ165" t="e">
        <f>AND(Bills!G670,"AAAAAFp/JfM=")</f>
        <v>#VALUE!</v>
      </c>
      <c r="IK165" t="e">
        <f>AND(Bills!H670,"AAAAAFp/JfQ=")</f>
        <v>#VALUE!</v>
      </c>
      <c r="IL165" t="e">
        <f>AND(Bills!I670,"AAAAAFp/JfU=")</f>
        <v>#VALUE!</v>
      </c>
      <c r="IM165" t="e">
        <f>AND(Bills!J670,"AAAAAFp/JfY=")</f>
        <v>#VALUE!</v>
      </c>
      <c r="IN165" t="e">
        <f>AND(Bills!K670,"AAAAAFp/Jfc=")</f>
        <v>#VALUE!</v>
      </c>
      <c r="IO165" t="e">
        <f>AND(Bills!L670,"AAAAAFp/Jfg=")</f>
        <v>#VALUE!</v>
      </c>
      <c r="IP165" t="e">
        <f>AND(Bills!#REF!,"AAAAAFp/Jfk=")</f>
        <v>#REF!</v>
      </c>
      <c r="IQ165" t="e">
        <f>AND(Bills!M670,"AAAAAFp/Jfo=")</f>
        <v>#VALUE!</v>
      </c>
      <c r="IR165" t="e">
        <f>AND(Bills!N670,"AAAAAFp/Jfs=")</f>
        <v>#VALUE!</v>
      </c>
      <c r="IS165" t="e">
        <f>AND(Bills!O670,"AAAAAFp/Jfw=")</f>
        <v>#VALUE!</v>
      </c>
      <c r="IT165" t="e">
        <f>AND(Bills!P670,"AAAAAFp/Jf0=")</f>
        <v>#VALUE!</v>
      </c>
      <c r="IU165" t="e">
        <f>AND(Bills!Q670,"AAAAAFp/Jf4=")</f>
        <v>#VALUE!</v>
      </c>
      <c r="IV165" t="e">
        <f>AND(Bills!R670,"AAAAAFp/Jf8=")</f>
        <v>#VALUE!</v>
      </c>
    </row>
    <row r="166" spans="1:256" x14ac:dyDescent="0.25">
      <c r="A166" t="e">
        <f>AND(Bills!S670,"AAAAAH2XPwA=")</f>
        <v>#VALUE!</v>
      </c>
      <c r="B166" t="e">
        <f>AND(Bills!T670,"AAAAAH2XPwE=")</f>
        <v>#VALUE!</v>
      </c>
      <c r="C166" t="e">
        <f>AND(Bills!#REF!,"AAAAAH2XPwI=")</f>
        <v>#REF!</v>
      </c>
      <c r="D166" t="e">
        <f>AND(Bills!U670,"AAAAAH2XPwM=")</f>
        <v>#VALUE!</v>
      </c>
      <c r="E166" t="e">
        <f>AND(Bills!V670,"AAAAAH2XPwQ=")</f>
        <v>#VALUE!</v>
      </c>
      <c r="F166" t="e">
        <f>AND(Bills!W670,"AAAAAH2XPwU=")</f>
        <v>#VALUE!</v>
      </c>
      <c r="G166" t="e">
        <f>AND(Bills!#REF!,"AAAAAH2XPwY=")</f>
        <v>#REF!</v>
      </c>
      <c r="H166" t="e">
        <f>AND(Bills!#REF!,"AAAAAH2XPwc=")</f>
        <v>#REF!</v>
      </c>
      <c r="I166" t="e">
        <f>AND(Bills!Y670,"AAAAAH2XPwg=")</f>
        <v>#VALUE!</v>
      </c>
      <c r="J166" t="e">
        <f>AND(Bills!Z670,"AAAAAH2XPwk=")</f>
        <v>#VALUE!</v>
      </c>
      <c r="K166" t="e">
        <f>AND(Bills!#REF!,"AAAAAH2XPwo=")</f>
        <v>#REF!</v>
      </c>
      <c r="L166" t="e">
        <f>AND(Bills!#REF!,"AAAAAH2XPws=")</f>
        <v>#REF!</v>
      </c>
      <c r="M166" t="e">
        <f>AND(Bills!#REF!,"AAAAAH2XPww=")</f>
        <v>#REF!</v>
      </c>
      <c r="N166" t="e">
        <f>AND(Bills!#REF!,"AAAAAH2XPw0=")</f>
        <v>#REF!</v>
      </c>
      <c r="O166" t="e">
        <f>AND(Bills!#REF!,"AAAAAH2XPw4=")</f>
        <v>#REF!</v>
      </c>
      <c r="P166" t="e">
        <f>AND(Bills!#REF!,"AAAAAH2XPw8=")</f>
        <v>#REF!</v>
      </c>
      <c r="Q166" t="e">
        <f>AND(Bills!#REF!,"AAAAAH2XPxA=")</f>
        <v>#REF!</v>
      </c>
      <c r="R166" t="e">
        <f>AND(Bills!#REF!,"AAAAAH2XPxE=")</f>
        <v>#REF!</v>
      </c>
      <c r="S166" t="e">
        <f>AND(Bills!#REF!,"AAAAAH2XPxI=")</f>
        <v>#REF!</v>
      </c>
      <c r="T166" t="e">
        <f>AND(Bills!AA670,"AAAAAH2XPxM=")</f>
        <v>#VALUE!</v>
      </c>
      <c r="U166" t="e">
        <f>AND(Bills!AB670,"AAAAAH2XPxQ=")</f>
        <v>#VALUE!</v>
      </c>
      <c r="V166" t="e">
        <f>AND(Bills!#REF!,"AAAAAH2XPxU=")</f>
        <v>#REF!</v>
      </c>
      <c r="W166" t="e">
        <f>AND(Bills!#REF!,"AAAAAH2XPxY=")</f>
        <v>#REF!</v>
      </c>
      <c r="X166" t="e">
        <f>AND(Bills!#REF!,"AAAAAH2XPxc=")</f>
        <v>#REF!</v>
      </c>
      <c r="Y166" t="e">
        <f>AND(Bills!AC670,"AAAAAH2XPxg=")</f>
        <v>#VALUE!</v>
      </c>
      <c r="Z166" t="e">
        <f>AND(Bills!AD670,"AAAAAH2XPxk=")</f>
        <v>#VALUE!</v>
      </c>
      <c r="AA166" t="e">
        <f>AND(Bills!AE670,"AAAAAH2XPxo=")</f>
        <v>#VALUE!</v>
      </c>
      <c r="AB166">
        <f>IF(Bills!671:671,"AAAAAH2XPxs=",0)</f>
        <v>0</v>
      </c>
      <c r="AC166" t="e">
        <f>AND(Bills!B671,"AAAAAH2XPxw=")</f>
        <v>#VALUE!</v>
      </c>
      <c r="AD166" t="e">
        <f>AND(Bills!#REF!,"AAAAAH2XPx0=")</f>
        <v>#REF!</v>
      </c>
      <c r="AE166" t="e">
        <f>AND(Bills!C671,"AAAAAH2XPx4=")</f>
        <v>#VALUE!</v>
      </c>
      <c r="AF166" t="e">
        <f>AND(Bills!D671,"AAAAAH2XPx8=")</f>
        <v>#VALUE!</v>
      </c>
      <c r="AG166" t="e">
        <f>AND(Bills!E671,"AAAAAH2XPyA=")</f>
        <v>#VALUE!</v>
      </c>
      <c r="AH166" t="e">
        <f>AND(Bills!#REF!,"AAAAAH2XPyE=")</f>
        <v>#REF!</v>
      </c>
      <c r="AI166" t="e">
        <f>AND(Bills!#REF!,"AAAAAH2XPyI=")</f>
        <v>#REF!</v>
      </c>
      <c r="AJ166" t="e">
        <f>AND(Bills!#REF!,"AAAAAH2XPyM=")</f>
        <v>#REF!</v>
      </c>
      <c r="AK166" t="e">
        <f>AND(Bills!F671,"AAAAAH2XPyQ=")</f>
        <v>#VALUE!</v>
      </c>
      <c r="AL166" t="e">
        <f>AND(Bills!#REF!,"AAAAAH2XPyU=")</f>
        <v>#REF!</v>
      </c>
      <c r="AM166" t="e">
        <f>AND(Bills!G671,"AAAAAH2XPyY=")</f>
        <v>#VALUE!</v>
      </c>
      <c r="AN166" t="e">
        <f>AND(Bills!H671,"AAAAAH2XPyc=")</f>
        <v>#VALUE!</v>
      </c>
      <c r="AO166" t="e">
        <f>AND(Bills!I671,"AAAAAH2XPyg=")</f>
        <v>#VALUE!</v>
      </c>
      <c r="AP166" t="e">
        <f>AND(Bills!J671,"AAAAAH2XPyk=")</f>
        <v>#VALUE!</v>
      </c>
      <c r="AQ166" t="e">
        <f>AND(Bills!K671,"AAAAAH2XPyo=")</f>
        <v>#VALUE!</v>
      </c>
      <c r="AR166" t="e">
        <f>AND(Bills!L671,"AAAAAH2XPys=")</f>
        <v>#VALUE!</v>
      </c>
      <c r="AS166" t="e">
        <f>AND(Bills!#REF!,"AAAAAH2XPyw=")</f>
        <v>#REF!</v>
      </c>
      <c r="AT166" t="e">
        <f>AND(Bills!M671,"AAAAAH2XPy0=")</f>
        <v>#VALUE!</v>
      </c>
      <c r="AU166" t="e">
        <f>AND(Bills!N671,"AAAAAH2XPy4=")</f>
        <v>#VALUE!</v>
      </c>
      <c r="AV166" t="e">
        <f>AND(Bills!O671,"AAAAAH2XPy8=")</f>
        <v>#VALUE!</v>
      </c>
      <c r="AW166" t="e">
        <f>AND(Bills!P671,"AAAAAH2XPzA=")</f>
        <v>#VALUE!</v>
      </c>
      <c r="AX166" t="e">
        <f>AND(Bills!Q671,"AAAAAH2XPzE=")</f>
        <v>#VALUE!</v>
      </c>
      <c r="AY166" t="e">
        <f>AND(Bills!R671,"AAAAAH2XPzI=")</f>
        <v>#VALUE!</v>
      </c>
      <c r="AZ166" t="e">
        <f>AND(Bills!S671,"AAAAAH2XPzM=")</f>
        <v>#VALUE!</v>
      </c>
      <c r="BA166" t="e">
        <f>AND(Bills!T671,"AAAAAH2XPzQ=")</f>
        <v>#VALUE!</v>
      </c>
      <c r="BB166" t="e">
        <f>AND(Bills!#REF!,"AAAAAH2XPzU=")</f>
        <v>#REF!</v>
      </c>
      <c r="BC166" t="e">
        <f>AND(Bills!U671,"AAAAAH2XPzY=")</f>
        <v>#VALUE!</v>
      </c>
      <c r="BD166" t="e">
        <f>AND(Bills!V671,"AAAAAH2XPzc=")</f>
        <v>#VALUE!</v>
      </c>
      <c r="BE166" t="e">
        <f>AND(Bills!W671,"AAAAAH2XPzg=")</f>
        <v>#VALUE!</v>
      </c>
      <c r="BF166" t="e">
        <f>AND(Bills!#REF!,"AAAAAH2XPzk=")</f>
        <v>#REF!</v>
      </c>
      <c r="BG166" t="e">
        <f>AND(Bills!#REF!,"AAAAAH2XPzo=")</f>
        <v>#REF!</v>
      </c>
      <c r="BH166" t="e">
        <f>AND(Bills!Y671,"AAAAAH2XPzs=")</f>
        <v>#VALUE!</v>
      </c>
      <c r="BI166" t="e">
        <f>AND(Bills!Z671,"AAAAAH2XPzw=")</f>
        <v>#VALUE!</v>
      </c>
      <c r="BJ166" t="e">
        <f>AND(Bills!#REF!,"AAAAAH2XPz0=")</f>
        <v>#REF!</v>
      </c>
      <c r="BK166" t="e">
        <f>AND(Bills!#REF!,"AAAAAH2XPz4=")</f>
        <v>#REF!</v>
      </c>
      <c r="BL166" t="e">
        <f>AND(Bills!#REF!,"AAAAAH2XPz8=")</f>
        <v>#REF!</v>
      </c>
      <c r="BM166" t="e">
        <f>AND(Bills!#REF!,"AAAAAH2XP0A=")</f>
        <v>#REF!</v>
      </c>
      <c r="BN166" t="e">
        <f>AND(Bills!#REF!,"AAAAAH2XP0E=")</f>
        <v>#REF!</v>
      </c>
      <c r="BO166" t="e">
        <f>AND(Bills!#REF!,"AAAAAH2XP0I=")</f>
        <v>#REF!</v>
      </c>
      <c r="BP166" t="e">
        <f>AND(Bills!#REF!,"AAAAAH2XP0M=")</f>
        <v>#REF!</v>
      </c>
      <c r="BQ166" t="e">
        <f>AND(Bills!#REF!,"AAAAAH2XP0Q=")</f>
        <v>#REF!</v>
      </c>
      <c r="BR166" t="e">
        <f>AND(Bills!#REF!,"AAAAAH2XP0U=")</f>
        <v>#REF!</v>
      </c>
      <c r="BS166" t="e">
        <f>AND(Bills!AA671,"AAAAAH2XP0Y=")</f>
        <v>#VALUE!</v>
      </c>
      <c r="BT166" t="e">
        <f>AND(Bills!AB671,"AAAAAH2XP0c=")</f>
        <v>#VALUE!</v>
      </c>
      <c r="BU166" t="e">
        <f>AND(Bills!#REF!,"AAAAAH2XP0g=")</f>
        <v>#REF!</v>
      </c>
      <c r="BV166" t="e">
        <f>AND(Bills!#REF!,"AAAAAH2XP0k=")</f>
        <v>#REF!</v>
      </c>
      <c r="BW166" t="e">
        <f>AND(Bills!#REF!,"AAAAAH2XP0o=")</f>
        <v>#REF!</v>
      </c>
      <c r="BX166" t="e">
        <f>AND(Bills!AC671,"AAAAAH2XP0s=")</f>
        <v>#VALUE!</v>
      </c>
      <c r="BY166" t="e">
        <f>AND(Bills!AD671,"AAAAAH2XP0w=")</f>
        <v>#VALUE!</v>
      </c>
      <c r="BZ166" t="e">
        <f>AND(Bills!AE671,"AAAAAH2XP00=")</f>
        <v>#VALUE!</v>
      </c>
      <c r="CA166">
        <f>IF(Bills!672:672,"AAAAAH2XP04=",0)</f>
        <v>0</v>
      </c>
      <c r="CB166" t="e">
        <f>AND(Bills!B672,"AAAAAH2XP08=")</f>
        <v>#VALUE!</v>
      </c>
      <c r="CC166" t="e">
        <f>AND(Bills!#REF!,"AAAAAH2XP1A=")</f>
        <v>#REF!</v>
      </c>
      <c r="CD166" t="e">
        <f>AND(Bills!C672,"AAAAAH2XP1E=")</f>
        <v>#VALUE!</v>
      </c>
      <c r="CE166" t="e">
        <f>AND(Bills!D672,"AAAAAH2XP1I=")</f>
        <v>#VALUE!</v>
      </c>
      <c r="CF166" t="e">
        <f>AND(Bills!E672,"AAAAAH2XP1M=")</f>
        <v>#VALUE!</v>
      </c>
      <c r="CG166" t="e">
        <f>AND(Bills!#REF!,"AAAAAH2XP1Q=")</f>
        <v>#REF!</v>
      </c>
      <c r="CH166" t="e">
        <f>AND(Bills!#REF!,"AAAAAH2XP1U=")</f>
        <v>#REF!</v>
      </c>
      <c r="CI166" t="e">
        <f>AND(Bills!#REF!,"AAAAAH2XP1Y=")</f>
        <v>#REF!</v>
      </c>
      <c r="CJ166" t="e">
        <f>AND(Bills!F672,"AAAAAH2XP1c=")</f>
        <v>#VALUE!</v>
      </c>
      <c r="CK166" t="e">
        <f>AND(Bills!#REF!,"AAAAAH2XP1g=")</f>
        <v>#REF!</v>
      </c>
      <c r="CL166" t="e">
        <f>AND(Bills!G672,"AAAAAH2XP1k=")</f>
        <v>#VALUE!</v>
      </c>
      <c r="CM166" t="e">
        <f>AND(Bills!H672,"AAAAAH2XP1o=")</f>
        <v>#VALUE!</v>
      </c>
      <c r="CN166" t="e">
        <f>AND(Bills!I672,"AAAAAH2XP1s=")</f>
        <v>#VALUE!</v>
      </c>
      <c r="CO166" t="e">
        <f>AND(Bills!J672,"AAAAAH2XP1w=")</f>
        <v>#VALUE!</v>
      </c>
      <c r="CP166" t="e">
        <f>AND(Bills!K672,"AAAAAH2XP10=")</f>
        <v>#VALUE!</v>
      </c>
      <c r="CQ166" t="e">
        <f>AND(Bills!L672,"AAAAAH2XP14=")</f>
        <v>#VALUE!</v>
      </c>
      <c r="CR166" t="e">
        <f>AND(Bills!#REF!,"AAAAAH2XP18=")</f>
        <v>#REF!</v>
      </c>
      <c r="CS166" t="e">
        <f>AND(Bills!M672,"AAAAAH2XP2A=")</f>
        <v>#VALUE!</v>
      </c>
      <c r="CT166" t="e">
        <f>AND(Bills!N672,"AAAAAH2XP2E=")</f>
        <v>#VALUE!</v>
      </c>
      <c r="CU166" t="e">
        <f>AND(Bills!O672,"AAAAAH2XP2I=")</f>
        <v>#VALUE!</v>
      </c>
      <c r="CV166" t="e">
        <f>AND(Bills!P672,"AAAAAH2XP2M=")</f>
        <v>#VALUE!</v>
      </c>
      <c r="CW166" t="e">
        <f>AND(Bills!Q672,"AAAAAH2XP2Q=")</f>
        <v>#VALUE!</v>
      </c>
      <c r="CX166" t="e">
        <f>AND(Bills!R672,"AAAAAH2XP2U=")</f>
        <v>#VALUE!</v>
      </c>
      <c r="CY166" t="e">
        <f>AND(Bills!S672,"AAAAAH2XP2Y=")</f>
        <v>#VALUE!</v>
      </c>
      <c r="CZ166" t="e">
        <f>AND(Bills!T672,"AAAAAH2XP2c=")</f>
        <v>#VALUE!</v>
      </c>
      <c r="DA166" t="e">
        <f>AND(Bills!#REF!,"AAAAAH2XP2g=")</f>
        <v>#REF!</v>
      </c>
      <c r="DB166" t="e">
        <f>AND(Bills!U672,"AAAAAH2XP2k=")</f>
        <v>#VALUE!</v>
      </c>
      <c r="DC166" t="e">
        <f>AND(Bills!V672,"AAAAAH2XP2o=")</f>
        <v>#VALUE!</v>
      </c>
      <c r="DD166" t="e">
        <f>AND(Bills!W672,"AAAAAH2XP2s=")</f>
        <v>#VALUE!</v>
      </c>
      <c r="DE166" t="e">
        <f>AND(Bills!#REF!,"AAAAAH2XP2w=")</f>
        <v>#REF!</v>
      </c>
      <c r="DF166" t="e">
        <f>AND(Bills!#REF!,"AAAAAH2XP20=")</f>
        <v>#REF!</v>
      </c>
      <c r="DG166" t="e">
        <f>AND(Bills!Y672,"AAAAAH2XP24=")</f>
        <v>#VALUE!</v>
      </c>
      <c r="DH166" t="e">
        <f>AND(Bills!Z672,"AAAAAH2XP28=")</f>
        <v>#VALUE!</v>
      </c>
      <c r="DI166" t="e">
        <f>AND(Bills!#REF!,"AAAAAH2XP3A=")</f>
        <v>#REF!</v>
      </c>
      <c r="DJ166" t="e">
        <f>AND(Bills!#REF!,"AAAAAH2XP3E=")</f>
        <v>#REF!</v>
      </c>
      <c r="DK166" t="e">
        <f>AND(Bills!#REF!,"AAAAAH2XP3I=")</f>
        <v>#REF!</v>
      </c>
      <c r="DL166" t="e">
        <f>AND(Bills!#REF!,"AAAAAH2XP3M=")</f>
        <v>#REF!</v>
      </c>
      <c r="DM166" t="e">
        <f>AND(Bills!#REF!,"AAAAAH2XP3Q=")</f>
        <v>#REF!</v>
      </c>
      <c r="DN166" t="e">
        <f>AND(Bills!#REF!,"AAAAAH2XP3U=")</f>
        <v>#REF!</v>
      </c>
      <c r="DO166" t="e">
        <f>AND(Bills!#REF!,"AAAAAH2XP3Y=")</f>
        <v>#REF!</v>
      </c>
      <c r="DP166" t="e">
        <f>AND(Bills!#REF!,"AAAAAH2XP3c=")</f>
        <v>#REF!</v>
      </c>
      <c r="DQ166" t="e">
        <f>AND(Bills!#REF!,"AAAAAH2XP3g=")</f>
        <v>#REF!</v>
      </c>
      <c r="DR166" t="e">
        <f>AND(Bills!AA672,"AAAAAH2XP3k=")</f>
        <v>#VALUE!</v>
      </c>
      <c r="DS166" t="e">
        <f>AND(Bills!AB672,"AAAAAH2XP3o=")</f>
        <v>#VALUE!</v>
      </c>
      <c r="DT166" t="e">
        <f>AND(Bills!#REF!,"AAAAAH2XP3s=")</f>
        <v>#REF!</v>
      </c>
      <c r="DU166" t="e">
        <f>AND(Bills!#REF!,"AAAAAH2XP3w=")</f>
        <v>#REF!</v>
      </c>
      <c r="DV166" t="e">
        <f>AND(Bills!#REF!,"AAAAAH2XP30=")</f>
        <v>#REF!</v>
      </c>
      <c r="DW166" t="e">
        <f>AND(Bills!AC672,"AAAAAH2XP34=")</f>
        <v>#VALUE!</v>
      </c>
      <c r="DX166" t="e">
        <f>AND(Bills!AD672,"AAAAAH2XP38=")</f>
        <v>#VALUE!</v>
      </c>
      <c r="DY166" t="e">
        <f>AND(Bills!AE672,"AAAAAH2XP4A=")</f>
        <v>#VALUE!</v>
      </c>
      <c r="DZ166">
        <f>IF(Bills!673:673,"AAAAAH2XP4E=",0)</f>
        <v>0</v>
      </c>
      <c r="EA166" t="e">
        <f>AND(Bills!B673,"AAAAAH2XP4I=")</f>
        <v>#VALUE!</v>
      </c>
      <c r="EB166" t="e">
        <f>AND(Bills!#REF!,"AAAAAH2XP4M=")</f>
        <v>#REF!</v>
      </c>
      <c r="EC166" t="e">
        <f>AND(Bills!C673,"AAAAAH2XP4Q=")</f>
        <v>#VALUE!</v>
      </c>
      <c r="ED166" t="e">
        <f>AND(Bills!D673,"AAAAAH2XP4U=")</f>
        <v>#VALUE!</v>
      </c>
      <c r="EE166" t="e">
        <f>AND(Bills!E673,"AAAAAH2XP4Y=")</f>
        <v>#VALUE!</v>
      </c>
      <c r="EF166" t="e">
        <f>AND(Bills!#REF!,"AAAAAH2XP4c=")</f>
        <v>#REF!</v>
      </c>
      <c r="EG166" t="e">
        <f>AND(Bills!#REF!,"AAAAAH2XP4g=")</f>
        <v>#REF!</v>
      </c>
      <c r="EH166" t="e">
        <f>AND(Bills!#REF!,"AAAAAH2XP4k=")</f>
        <v>#REF!</v>
      </c>
      <c r="EI166" t="e">
        <f>AND(Bills!F673,"AAAAAH2XP4o=")</f>
        <v>#VALUE!</v>
      </c>
      <c r="EJ166" t="e">
        <f>AND(Bills!#REF!,"AAAAAH2XP4s=")</f>
        <v>#REF!</v>
      </c>
      <c r="EK166" t="e">
        <f>AND(Bills!G673,"AAAAAH2XP4w=")</f>
        <v>#VALUE!</v>
      </c>
      <c r="EL166" t="e">
        <f>AND(Bills!H673,"AAAAAH2XP40=")</f>
        <v>#VALUE!</v>
      </c>
      <c r="EM166" t="e">
        <f>AND(Bills!I673,"AAAAAH2XP44=")</f>
        <v>#VALUE!</v>
      </c>
      <c r="EN166" t="e">
        <f>AND(Bills!J673,"AAAAAH2XP48=")</f>
        <v>#VALUE!</v>
      </c>
      <c r="EO166" t="e">
        <f>AND(Bills!K673,"AAAAAH2XP5A=")</f>
        <v>#VALUE!</v>
      </c>
      <c r="EP166" t="e">
        <f>AND(Bills!L673,"AAAAAH2XP5E=")</f>
        <v>#VALUE!</v>
      </c>
      <c r="EQ166" t="e">
        <f>AND(Bills!#REF!,"AAAAAH2XP5I=")</f>
        <v>#REF!</v>
      </c>
      <c r="ER166" t="e">
        <f>AND(Bills!M673,"AAAAAH2XP5M=")</f>
        <v>#VALUE!</v>
      </c>
      <c r="ES166" t="e">
        <f>AND(Bills!N673,"AAAAAH2XP5Q=")</f>
        <v>#VALUE!</v>
      </c>
      <c r="ET166" t="e">
        <f>AND(Bills!O673,"AAAAAH2XP5U=")</f>
        <v>#VALUE!</v>
      </c>
      <c r="EU166" t="e">
        <f>AND(Bills!P673,"AAAAAH2XP5Y=")</f>
        <v>#VALUE!</v>
      </c>
      <c r="EV166" t="e">
        <f>AND(Bills!Q673,"AAAAAH2XP5c=")</f>
        <v>#VALUE!</v>
      </c>
      <c r="EW166" t="e">
        <f>AND(Bills!R673,"AAAAAH2XP5g=")</f>
        <v>#VALUE!</v>
      </c>
      <c r="EX166" t="e">
        <f>AND(Bills!S673,"AAAAAH2XP5k=")</f>
        <v>#VALUE!</v>
      </c>
      <c r="EY166" t="e">
        <f>AND(Bills!T673,"AAAAAH2XP5o=")</f>
        <v>#VALUE!</v>
      </c>
      <c r="EZ166" t="e">
        <f>AND(Bills!#REF!,"AAAAAH2XP5s=")</f>
        <v>#REF!</v>
      </c>
      <c r="FA166" t="e">
        <f>AND(Bills!U673,"AAAAAH2XP5w=")</f>
        <v>#VALUE!</v>
      </c>
      <c r="FB166" t="e">
        <f>AND(Bills!V673,"AAAAAH2XP50=")</f>
        <v>#VALUE!</v>
      </c>
      <c r="FC166" t="e">
        <f>AND(Bills!W673,"AAAAAH2XP54=")</f>
        <v>#VALUE!</v>
      </c>
      <c r="FD166" t="e">
        <f>AND(Bills!#REF!,"AAAAAH2XP58=")</f>
        <v>#REF!</v>
      </c>
      <c r="FE166" t="e">
        <f>AND(Bills!#REF!,"AAAAAH2XP6A=")</f>
        <v>#REF!</v>
      </c>
      <c r="FF166" t="e">
        <f>AND(Bills!Y673,"AAAAAH2XP6E=")</f>
        <v>#VALUE!</v>
      </c>
      <c r="FG166" t="e">
        <f>AND(Bills!Z673,"AAAAAH2XP6I=")</f>
        <v>#VALUE!</v>
      </c>
      <c r="FH166" t="e">
        <f>AND(Bills!#REF!,"AAAAAH2XP6M=")</f>
        <v>#REF!</v>
      </c>
      <c r="FI166" t="e">
        <f>AND(Bills!#REF!,"AAAAAH2XP6Q=")</f>
        <v>#REF!</v>
      </c>
      <c r="FJ166" t="e">
        <f>AND(Bills!#REF!,"AAAAAH2XP6U=")</f>
        <v>#REF!</v>
      </c>
      <c r="FK166" t="e">
        <f>AND(Bills!#REF!,"AAAAAH2XP6Y=")</f>
        <v>#REF!</v>
      </c>
      <c r="FL166" t="e">
        <f>AND(Bills!#REF!,"AAAAAH2XP6c=")</f>
        <v>#REF!</v>
      </c>
      <c r="FM166" t="e">
        <f>AND(Bills!#REF!,"AAAAAH2XP6g=")</f>
        <v>#REF!</v>
      </c>
      <c r="FN166" t="e">
        <f>AND(Bills!#REF!,"AAAAAH2XP6k=")</f>
        <v>#REF!</v>
      </c>
      <c r="FO166" t="e">
        <f>AND(Bills!#REF!,"AAAAAH2XP6o=")</f>
        <v>#REF!</v>
      </c>
      <c r="FP166" t="e">
        <f>AND(Bills!#REF!,"AAAAAH2XP6s=")</f>
        <v>#REF!</v>
      </c>
      <c r="FQ166" t="e">
        <f>AND(Bills!AA673,"AAAAAH2XP6w=")</f>
        <v>#VALUE!</v>
      </c>
      <c r="FR166" t="e">
        <f>AND(Bills!AB673,"AAAAAH2XP60=")</f>
        <v>#VALUE!</v>
      </c>
      <c r="FS166" t="e">
        <f>AND(Bills!#REF!,"AAAAAH2XP64=")</f>
        <v>#REF!</v>
      </c>
      <c r="FT166" t="e">
        <f>AND(Bills!#REF!,"AAAAAH2XP68=")</f>
        <v>#REF!</v>
      </c>
      <c r="FU166" t="e">
        <f>AND(Bills!#REF!,"AAAAAH2XP7A=")</f>
        <v>#REF!</v>
      </c>
      <c r="FV166" t="e">
        <f>AND(Bills!AC673,"AAAAAH2XP7E=")</f>
        <v>#VALUE!</v>
      </c>
      <c r="FW166" t="e">
        <f>AND(Bills!AD673,"AAAAAH2XP7I=")</f>
        <v>#VALUE!</v>
      </c>
      <c r="FX166" t="e">
        <f>AND(Bills!AE673,"AAAAAH2XP7M=")</f>
        <v>#VALUE!</v>
      </c>
      <c r="FY166">
        <f>IF(Bills!674:674,"AAAAAH2XP7Q=",0)</f>
        <v>0</v>
      </c>
      <c r="FZ166" t="e">
        <f>AND(Bills!B674,"AAAAAH2XP7U=")</f>
        <v>#VALUE!</v>
      </c>
      <c r="GA166" t="e">
        <f>AND(Bills!#REF!,"AAAAAH2XP7Y=")</f>
        <v>#REF!</v>
      </c>
      <c r="GB166" t="e">
        <f>AND(Bills!C674,"AAAAAH2XP7c=")</f>
        <v>#VALUE!</v>
      </c>
      <c r="GC166" t="e">
        <f>AND(Bills!D674,"AAAAAH2XP7g=")</f>
        <v>#VALUE!</v>
      </c>
      <c r="GD166" t="e">
        <f>AND(Bills!E674,"AAAAAH2XP7k=")</f>
        <v>#VALUE!</v>
      </c>
      <c r="GE166" t="e">
        <f>AND(Bills!#REF!,"AAAAAH2XP7o=")</f>
        <v>#REF!</v>
      </c>
      <c r="GF166" t="e">
        <f>AND(Bills!#REF!,"AAAAAH2XP7s=")</f>
        <v>#REF!</v>
      </c>
      <c r="GG166" t="e">
        <f>AND(Bills!#REF!,"AAAAAH2XP7w=")</f>
        <v>#REF!</v>
      </c>
      <c r="GH166" t="e">
        <f>AND(Bills!F674,"AAAAAH2XP70=")</f>
        <v>#VALUE!</v>
      </c>
      <c r="GI166" t="e">
        <f>AND(Bills!#REF!,"AAAAAH2XP74=")</f>
        <v>#REF!</v>
      </c>
      <c r="GJ166" t="e">
        <f>AND(Bills!G674,"AAAAAH2XP78=")</f>
        <v>#VALUE!</v>
      </c>
      <c r="GK166" t="e">
        <f>AND(Bills!H674,"AAAAAH2XP8A=")</f>
        <v>#VALUE!</v>
      </c>
      <c r="GL166" t="e">
        <f>AND(Bills!I674,"AAAAAH2XP8E=")</f>
        <v>#VALUE!</v>
      </c>
      <c r="GM166" t="e">
        <f>AND(Bills!J674,"AAAAAH2XP8I=")</f>
        <v>#VALUE!</v>
      </c>
      <c r="GN166" t="e">
        <f>AND(Bills!K674,"AAAAAH2XP8M=")</f>
        <v>#VALUE!</v>
      </c>
      <c r="GO166" t="e">
        <f>AND(Bills!L674,"AAAAAH2XP8Q=")</f>
        <v>#VALUE!</v>
      </c>
      <c r="GP166" t="e">
        <f>AND(Bills!#REF!,"AAAAAH2XP8U=")</f>
        <v>#REF!</v>
      </c>
      <c r="GQ166" t="e">
        <f>AND(Bills!M674,"AAAAAH2XP8Y=")</f>
        <v>#VALUE!</v>
      </c>
      <c r="GR166" t="e">
        <f>AND(Bills!N674,"AAAAAH2XP8c=")</f>
        <v>#VALUE!</v>
      </c>
      <c r="GS166" t="e">
        <f>AND(Bills!O674,"AAAAAH2XP8g=")</f>
        <v>#VALUE!</v>
      </c>
      <c r="GT166" t="e">
        <f>AND(Bills!P674,"AAAAAH2XP8k=")</f>
        <v>#VALUE!</v>
      </c>
      <c r="GU166" t="e">
        <f>AND(Bills!Q674,"AAAAAH2XP8o=")</f>
        <v>#VALUE!</v>
      </c>
      <c r="GV166" t="e">
        <f>AND(Bills!R674,"AAAAAH2XP8s=")</f>
        <v>#VALUE!</v>
      </c>
      <c r="GW166" t="e">
        <f>AND(Bills!S674,"AAAAAH2XP8w=")</f>
        <v>#VALUE!</v>
      </c>
      <c r="GX166" t="e">
        <f>AND(Bills!T674,"AAAAAH2XP80=")</f>
        <v>#VALUE!</v>
      </c>
      <c r="GY166" t="e">
        <f>AND(Bills!#REF!,"AAAAAH2XP84=")</f>
        <v>#REF!</v>
      </c>
      <c r="GZ166" t="e">
        <f>AND(Bills!U674,"AAAAAH2XP88=")</f>
        <v>#VALUE!</v>
      </c>
      <c r="HA166" t="e">
        <f>AND(Bills!V674,"AAAAAH2XP9A=")</f>
        <v>#VALUE!</v>
      </c>
      <c r="HB166" t="e">
        <f>AND(Bills!W674,"AAAAAH2XP9E=")</f>
        <v>#VALUE!</v>
      </c>
      <c r="HC166" t="e">
        <f>AND(Bills!#REF!,"AAAAAH2XP9I=")</f>
        <v>#REF!</v>
      </c>
      <c r="HD166" t="e">
        <f>AND(Bills!#REF!,"AAAAAH2XP9M=")</f>
        <v>#REF!</v>
      </c>
      <c r="HE166" t="e">
        <f>AND(Bills!Y674,"AAAAAH2XP9Q=")</f>
        <v>#VALUE!</v>
      </c>
      <c r="HF166" t="e">
        <f>AND(Bills!Z674,"AAAAAH2XP9U=")</f>
        <v>#VALUE!</v>
      </c>
      <c r="HG166" t="e">
        <f>AND(Bills!#REF!,"AAAAAH2XP9Y=")</f>
        <v>#REF!</v>
      </c>
      <c r="HH166" t="e">
        <f>AND(Bills!#REF!,"AAAAAH2XP9c=")</f>
        <v>#REF!</v>
      </c>
      <c r="HI166" t="e">
        <f>AND(Bills!#REF!,"AAAAAH2XP9g=")</f>
        <v>#REF!</v>
      </c>
      <c r="HJ166" t="e">
        <f>AND(Bills!#REF!,"AAAAAH2XP9k=")</f>
        <v>#REF!</v>
      </c>
      <c r="HK166" t="e">
        <f>AND(Bills!#REF!,"AAAAAH2XP9o=")</f>
        <v>#REF!</v>
      </c>
      <c r="HL166" t="e">
        <f>AND(Bills!#REF!,"AAAAAH2XP9s=")</f>
        <v>#REF!</v>
      </c>
      <c r="HM166" t="e">
        <f>AND(Bills!#REF!,"AAAAAH2XP9w=")</f>
        <v>#REF!</v>
      </c>
      <c r="HN166" t="e">
        <f>AND(Bills!#REF!,"AAAAAH2XP90=")</f>
        <v>#REF!</v>
      </c>
      <c r="HO166" t="e">
        <f>AND(Bills!#REF!,"AAAAAH2XP94=")</f>
        <v>#REF!</v>
      </c>
      <c r="HP166" t="e">
        <f>AND(Bills!AA674,"AAAAAH2XP98=")</f>
        <v>#VALUE!</v>
      </c>
      <c r="HQ166" t="e">
        <f>AND(Bills!AB674,"AAAAAH2XP+A=")</f>
        <v>#VALUE!</v>
      </c>
      <c r="HR166" t="e">
        <f>AND(Bills!#REF!,"AAAAAH2XP+E=")</f>
        <v>#REF!</v>
      </c>
      <c r="HS166" t="e">
        <f>AND(Bills!#REF!,"AAAAAH2XP+I=")</f>
        <v>#REF!</v>
      </c>
      <c r="HT166" t="e">
        <f>AND(Bills!#REF!,"AAAAAH2XP+M=")</f>
        <v>#REF!</v>
      </c>
      <c r="HU166" t="e">
        <f>AND(Bills!AC674,"AAAAAH2XP+Q=")</f>
        <v>#VALUE!</v>
      </c>
      <c r="HV166" t="e">
        <f>AND(Bills!AD674,"AAAAAH2XP+U=")</f>
        <v>#VALUE!</v>
      </c>
      <c r="HW166" t="e">
        <f>AND(Bills!AE674,"AAAAAH2XP+Y=")</f>
        <v>#VALUE!</v>
      </c>
      <c r="HX166">
        <f>IF(Bills!675:675,"AAAAAH2XP+c=",0)</f>
        <v>0</v>
      </c>
      <c r="HY166" t="e">
        <f>AND(Bills!B675,"AAAAAH2XP+g=")</f>
        <v>#VALUE!</v>
      </c>
      <c r="HZ166" t="e">
        <f>AND(Bills!#REF!,"AAAAAH2XP+k=")</f>
        <v>#REF!</v>
      </c>
      <c r="IA166" t="e">
        <f>AND(Bills!C675,"AAAAAH2XP+o=")</f>
        <v>#VALUE!</v>
      </c>
      <c r="IB166" t="e">
        <f>AND(Bills!D675,"AAAAAH2XP+s=")</f>
        <v>#VALUE!</v>
      </c>
      <c r="IC166" t="e">
        <f>AND(Bills!E675,"AAAAAH2XP+w=")</f>
        <v>#VALUE!</v>
      </c>
      <c r="ID166" t="e">
        <f>AND(Bills!#REF!,"AAAAAH2XP+0=")</f>
        <v>#REF!</v>
      </c>
      <c r="IE166" t="e">
        <f>AND(Bills!#REF!,"AAAAAH2XP+4=")</f>
        <v>#REF!</v>
      </c>
      <c r="IF166" t="e">
        <f>AND(Bills!#REF!,"AAAAAH2XP+8=")</f>
        <v>#REF!</v>
      </c>
      <c r="IG166" t="e">
        <f>AND(Bills!F675,"AAAAAH2XP/A=")</f>
        <v>#VALUE!</v>
      </c>
      <c r="IH166" t="e">
        <f>AND(Bills!#REF!,"AAAAAH2XP/E=")</f>
        <v>#REF!</v>
      </c>
      <c r="II166" t="e">
        <f>AND(Bills!G675,"AAAAAH2XP/I=")</f>
        <v>#VALUE!</v>
      </c>
      <c r="IJ166" t="e">
        <f>AND(Bills!H675,"AAAAAH2XP/M=")</f>
        <v>#VALUE!</v>
      </c>
      <c r="IK166" t="e">
        <f>AND(Bills!I675,"AAAAAH2XP/Q=")</f>
        <v>#VALUE!</v>
      </c>
      <c r="IL166" t="e">
        <f>AND(Bills!J675,"AAAAAH2XP/U=")</f>
        <v>#VALUE!</v>
      </c>
      <c r="IM166" t="e">
        <f>AND(Bills!K675,"AAAAAH2XP/Y=")</f>
        <v>#VALUE!</v>
      </c>
      <c r="IN166" t="e">
        <f>AND(Bills!L675,"AAAAAH2XP/c=")</f>
        <v>#VALUE!</v>
      </c>
      <c r="IO166" t="e">
        <f>AND(Bills!#REF!,"AAAAAH2XP/g=")</f>
        <v>#REF!</v>
      </c>
      <c r="IP166" t="e">
        <f>AND(Bills!M675,"AAAAAH2XP/k=")</f>
        <v>#VALUE!</v>
      </c>
      <c r="IQ166" t="e">
        <f>AND(Bills!N675,"AAAAAH2XP/o=")</f>
        <v>#VALUE!</v>
      </c>
      <c r="IR166" t="e">
        <f>AND(Bills!O675,"AAAAAH2XP/s=")</f>
        <v>#VALUE!</v>
      </c>
      <c r="IS166" t="e">
        <f>AND(Bills!P675,"AAAAAH2XP/w=")</f>
        <v>#VALUE!</v>
      </c>
      <c r="IT166" t="e">
        <f>AND(Bills!Q675,"AAAAAH2XP/0=")</f>
        <v>#VALUE!</v>
      </c>
      <c r="IU166" t="e">
        <f>AND(Bills!R675,"AAAAAH2XP/4=")</f>
        <v>#VALUE!</v>
      </c>
      <c r="IV166" t="e">
        <f>AND(Bills!S675,"AAAAAH2XP/8=")</f>
        <v>#VALUE!</v>
      </c>
    </row>
    <row r="167" spans="1:256" x14ac:dyDescent="0.25">
      <c r="A167" t="e">
        <f>AND(Bills!T675,"AAAAAH/egwA=")</f>
        <v>#VALUE!</v>
      </c>
      <c r="B167" t="e">
        <f>AND(Bills!#REF!,"AAAAAH/egwE=")</f>
        <v>#REF!</v>
      </c>
      <c r="C167" t="e">
        <f>AND(Bills!U675,"AAAAAH/egwI=")</f>
        <v>#VALUE!</v>
      </c>
      <c r="D167" t="e">
        <f>AND(Bills!V675,"AAAAAH/egwM=")</f>
        <v>#VALUE!</v>
      </c>
      <c r="E167" t="e">
        <f>AND(Bills!W675,"AAAAAH/egwQ=")</f>
        <v>#VALUE!</v>
      </c>
      <c r="F167" t="e">
        <f>AND(Bills!#REF!,"AAAAAH/egwU=")</f>
        <v>#REF!</v>
      </c>
      <c r="G167" t="e">
        <f>AND(Bills!#REF!,"AAAAAH/egwY=")</f>
        <v>#REF!</v>
      </c>
      <c r="H167" t="e">
        <f>AND(Bills!Y675,"AAAAAH/egwc=")</f>
        <v>#VALUE!</v>
      </c>
      <c r="I167" t="e">
        <f>AND(Bills!Z675,"AAAAAH/egwg=")</f>
        <v>#VALUE!</v>
      </c>
      <c r="J167" t="e">
        <f>AND(Bills!#REF!,"AAAAAH/egwk=")</f>
        <v>#REF!</v>
      </c>
      <c r="K167" t="e">
        <f>AND(Bills!#REF!,"AAAAAH/egwo=")</f>
        <v>#REF!</v>
      </c>
      <c r="L167" t="e">
        <f>AND(Bills!#REF!,"AAAAAH/egws=")</f>
        <v>#REF!</v>
      </c>
      <c r="M167" t="e">
        <f>AND(Bills!#REF!,"AAAAAH/egww=")</f>
        <v>#REF!</v>
      </c>
      <c r="N167" t="e">
        <f>AND(Bills!#REF!,"AAAAAH/egw0=")</f>
        <v>#REF!</v>
      </c>
      <c r="O167" t="e">
        <f>AND(Bills!#REF!,"AAAAAH/egw4=")</f>
        <v>#REF!</v>
      </c>
      <c r="P167" t="e">
        <f>AND(Bills!#REF!,"AAAAAH/egw8=")</f>
        <v>#REF!</v>
      </c>
      <c r="Q167" t="e">
        <f>AND(Bills!#REF!,"AAAAAH/egxA=")</f>
        <v>#REF!</v>
      </c>
      <c r="R167" t="e">
        <f>AND(Bills!#REF!,"AAAAAH/egxE=")</f>
        <v>#REF!</v>
      </c>
      <c r="S167" t="e">
        <f>AND(Bills!AA675,"AAAAAH/egxI=")</f>
        <v>#VALUE!</v>
      </c>
      <c r="T167" t="e">
        <f>AND(Bills!AB675,"AAAAAH/egxM=")</f>
        <v>#VALUE!</v>
      </c>
      <c r="U167" t="e">
        <f>AND(Bills!#REF!,"AAAAAH/egxQ=")</f>
        <v>#REF!</v>
      </c>
      <c r="V167" t="e">
        <f>AND(Bills!#REF!,"AAAAAH/egxU=")</f>
        <v>#REF!</v>
      </c>
      <c r="W167" t="e">
        <f>AND(Bills!#REF!,"AAAAAH/egxY=")</f>
        <v>#REF!</v>
      </c>
      <c r="X167" t="e">
        <f>AND(Bills!AC675,"AAAAAH/egxc=")</f>
        <v>#VALUE!</v>
      </c>
      <c r="Y167" t="e">
        <f>AND(Bills!AD675,"AAAAAH/egxg=")</f>
        <v>#VALUE!</v>
      </c>
      <c r="Z167" t="e">
        <f>AND(Bills!AE675,"AAAAAH/egxk=")</f>
        <v>#VALUE!</v>
      </c>
      <c r="AA167">
        <f>IF(Bills!676:676,"AAAAAH/egxo=",0)</f>
        <v>0</v>
      </c>
      <c r="AB167" t="e">
        <f>AND(Bills!B676,"AAAAAH/egxs=")</f>
        <v>#VALUE!</v>
      </c>
      <c r="AC167" t="e">
        <f>AND(Bills!#REF!,"AAAAAH/egxw=")</f>
        <v>#REF!</v>
      </c>
      <c r="AD167" t="e">
        <f>AND(Bills!C676,"AAAAAH/egx0=")</f>
        <v>#VALUE!</v>
      </c>
      <c r="AE167" t="e">
        <f>AND(Bills!D676,"AAAAAH/egx4=")</f>
        <v>#VALUE!</v>
      </c>
      <c r="AF167" t="e">
        <f>AND(Bills!E676,"AAAAAH/egx8=")</f>
        <v>#VALUE!</v>
      </c>
      <c r="AG167" t="e">
        <f>AND(Bills!#REF!,"AAAAAH/egyA=")</f>
        <v>#REF!</v>
      </c>
      <c r="AH167" t="e">
        <f>AND(Bills!#REF!,"AAAAAH/egyE=")</f>
        <v>#REF!</v>
      </c>
      <c r="AI167" t="e">
        <f>AND(Bills!#REF!,"AAAAAH/egyI=")</f>
        <v>#REF!</v>
      </c>
      <c r="AJ167" t="e">
        <f>AND(Bills!F676,"AAAAAH/egyM=")</f>
        <v>#VALUE!</v>
      </c>
      <c r="AK167" t="e">
        <f>AND(Bills!#REF!,"AAAAAH/egyQ=")</f>
        <v>#REF!</v>
      </c>
      <c r="AL167" t="e">
        <f>AND(Bills!G676,"AAAAAH/egyU=")</f>
        <v>#VALUE!</v>
      </c>
      <c r="AM167" t="e">
        <f>AND(Bills!H676,"AAAAAH/egyY=")</f>
        <v>#VALUE!</v>
      </c>
      <c r="AN167" t="e">
        <f>AND(Bills!I676,"AAAAAH/egyc=")</f>
        <v>#VALUE!</v>
      </c>
      <c r="AO167" t="e">
        <f>AND(Bills!J676,"AAAAAH/egyg=")</f>
        <v>#VALUE!</v>
      </c>
      <c r="AP167" t="e">
        <f>AND(Bills!K676,"AAAAAH/egyk=")</f>
        <v>#VALUE!</v>
      </c>
      <c r="AQ167" t="e">
        <f>AND(Bills!L676,"AAAAAH/egyo=")</f>
        <v>#VALUE!</v>
      </c>
      <c r="AR167" t="e">
        <f>AND(Bills!#REF!,"AAAAAH/egys=")</f>
        <v>#REF!</v>
      </c>
      <c r="AS167" t="e">
        <f>AND(Bills!M676,"AAAAAH/egyw=")</f>
        <v>#VALUE!</v>
      </c>
      <c r="AT167" t="e">
        <f>AND(Bills!N676,"AAAAAH/egy0=")</f>
        <v>#VALUE!</v>
      </c>
      <c r="AU167" t="e">
        <f>AND(Bills!O676,"AAAAAH/egy4=")</f>
        <v>#VALUE!</v>
      </c>
      <c r="AV167" t="e">
        <f>AND(Bills!P676,"AAAAAH/egy8=")</f>
        <v>#VALUE!</v>
      </c>
      <c r="AW167" t="e">
        <f>AND(Bills!Q676,"AAAAAH/egzA=")</f>
        <v>#VALUE!</v>
      </c>
      <c r="AX167" t="e">
        <f>AND(Bills!R676,"AAAAAH/egzE=")</f>
        <v>#VALUE!</v>
      </c>
      <c r="AY167" t="e">
        <f>AND(Bills!S676,"AAAAAH/egzI=")</f>
        <v>#VALUE!</v>
      </c>
      <c r="AZ167" t="e">
        <f>AND(Bills!T676,"AAAAAH/egzM=")</f>
        <v>#VALUE!</v>
      </c>
      <c r="BA167" t="e">
        <f>AND(Bills!#REF!,"AAAAAH/egzQ=")</f>
        <v>#REF!</v>
      </c>
      <c r="BB167" t="e">
        <f>AND(Bills!U676,"AAAAAH/egzU=")</f>
        <v>#VALUE!</v>
      </c>
      <c r="BC167" t="e">
        <f>AND(Bills!V676,"AAAAAH/egzY=")</f>
        <v>#VALUE!</v>
      </c>
      <c r="BD167" t="e">
        <f>AND(Bills!W676,"AAAAAH/egzc=")</f>
        <v>#VALUE!</v>
      </c>
      <c r="BE167" t="e">
        <f>AND(Bills!#REF!,"AAAAAH/egzg=")</f>
        <v>#REF!</v>
      </c>
      <c r="BF167" t="e">
        <f>AND(Bills!#REF!,"AAAAAH/egzk=")</f>
        <v>#REF!</v>
      </c>
      <c r="BG167" t="e">
        <f>AND(Bills!Y676,"AAAAAH/egzo=")</f>
        <v>#VALUE!</v>
      </c>
      <c r="BH167" t="e">
        <f>AND(Bills!Z676,"AAAAAH/egzs=")</f>
        <v>#VALUE!</v>
      </c>
      <c r="BI167" t="e">
        <f>AND(Bills!#REF!,"AAAAAH/egzw=")</f>
        <v>#REF!</v>
      </c>
      <c r="BJ167" t="e">
        <f>AND(Bills!#REF!,"AAAAAH/egz0=")</f>
        <v>#REF!</v>
      </c>
      <c r="BK167" t="e">
        <f>AND(Bills!#REF!,"AAAAAH/egz4=")</f>
        <v>#REF!</v>
      </c>
      <c r="BL167" t="e">
        <f>AND(Bills!#REF!,"AAAAAH/egz8=")</f>
        <v>#REF!</v>
      </c>
      <c r="BM167" t="e">
        <f>AND(Bills!#REF!,"AAAAAH/eg0A=")</f>
        <v>#REF!</v>
      </c>
      <c r="BN167" t="e">
        <f>AND(Bills!#REF!,"AAAAAH/eg0E=")</f>
        <v>#REF!</v>
      </c>
      <c r="BO167" t="e">
        <f>AND(Bills!#REF!,"AAAAAH/eg0I=")</f>
        <v>#REF!</v>
      </c>
      <c r="BP167" t="e">
        <f>AND(Bills!#REF!,"AAAAAH/eg0M=")</f>
        <v>#REF!</v>
      </c>
      <c r="BQ167" t="e">
        <f>AND(Bills!#REF!,"AAAAAH/eg0Q=")</f>
        <v>#REF!</v>
      </c>
      <c r="BR167" t="e">
        <f>AND(Bills!AA676,"AAAAAH/eg0U=")</f>
        <v>#VALUE!</v>
      </c>
      <c r="BS167" t="e">
        <f>AND(Bills!AB676,"AAAAAH/eg0Y=")</f>
        <v>#VALUE!</v>
      </c>
      <c r="BT167" t="e">
        <f>AND(Bills!#REF!,"AAAAAH/eg0c=")</f>
        <v>#REF!</v>
      </c>
      <c r="BU167" t="e">
        <f>AND(Bills!#REF!,"AAAAAH/eg0g=")</f>
        <v>#REF!</v>
      </c>
      <c r="BV167" t="e">
        <f>AND(Bills!#REF!,"AAAAAH/eg0k=")</f>
        <v>#REF!</v>
      </c>
      <c r="BW167" t="e">
        <f>AND(Bills!AC676,"AAAAAH/eg0o=")</f>
        <v>#VALUE!</v>
      </c>
      <c r="BX167" t="e">
        <f>AND(Bills!AD676,"AAAAAH/eg0s=")</f>
        <v>#VALUE!</v>
      </c>
      <c r="BY167" t="e">
        <f>AND(Bills!AE676,"AAAAAH/eg0w=")</f>
        <v>#VALUE!</v>
      </c>
      <c r="BZ167">
        <f>IF(Bills!677:677,"AAAAAH/eg00=",0)</f>
        <v>0</v>
      </c>
      <c r="CA167" t="e">
        <f>AND(Bills!B677,"AAAAAH/eg04=")</f>
        <v>#VALUE!</v>
      </c>
      <c r="CB167" t="e">
        <f>AND(Bills!#REF!,"AAAAAH/eg08=")</f>
        <v>#REF!</v>
      </c>
      <c r="CC167" t="e">
        <f>AND(Bills!C677,"AAAAAH/eg1A=")</f>
        <v>#VALUE!</v>
      </c>
      <c r="CD167" t="e">
        <f>AND(Bills!D677,"AAAAAH/eg1E=")</f>
        <v>#VALUE!</v>
      </c>
      <c r="CE167" t="e">
        <f>AND(Bills!E677,"AAAAAH/eg1I=")</f>
        <v>#VALUE!</v>
      </c>
      <c r="CF167" t="e">
        <f>AND(Bills!#REF!,"AAAAAH/eg1M=")</f>
        <v>#REF!</v>
      </c>
      <c r="CG167" t="e">
        <f>AND(Bills!#REF!,"AAAAAH/eg1Q=")</f>
        <v>#REF!</v>
      </c>
      <c r="CH167" t="e">
        <f>AND(Bills!#REF!,"AAAAAH/eg1U=")</f>
        <v>#REF!</v>
      </c>
      <c r="CI167" t="e">
        <f>AND(Bills!F677,"AAAAAH/eg1Y=")</f>
        <v>#VALUE!</v>
      </c>
      <c r="CJ167" t="e">
        <f>AND(Bills!#REF!,"AAAAAH/eg1c=")</f>
        <v>#REF!</v>
      </c>
      <c r="CK167" t="e">
        <f>AND(Bills!G677,"AAAAAH/eg1g=")</f>
        <v>#VALUE!</v>
      </c>
      <c r="CL167" t="e">
        <f>AND(Bills!H677,"AAAAAH/eg1k=")</f>
        <v>#VALUE!</v>
      </c>
      <c r="CM167" t="e">
        <f>AND(Bills!I677,"AAAAAH/eg1o=")</f>
        <v>#VALUE!</v>
      </c>
      <c r="CN167" t="e">
        <f>AND(Bills!J677,"AAAAAH/eg1s=")</f>
        <v>#VALUE!</v>
      </c>
      <c r="CO167" t="e">
        <f>AND(Bills!K677,"AAAAAH/eg1w=")</f>
        <v>#VALUE!</v>
      </c>
      <c r="CP167" t="e">
        <f>AND(Bills!L677,"AAAAAH/eg10=")</f>
        <v>#VALUE!</v>
      </c>
      <c r="CQ167" t="e">
        <f>AND(Bills!#REF!,"AAAAAH/eg14=")</f>
        <v>#REF!</v>
      </c>
      <c r="CR167" t="e">
        <f>AND(Bills!M677,"AAAAAH/eg18=")</f>
        <v>#VALUE!</v>
      </c>
      <c r="CS167" t="e">
        <f>AND(Bills!N677,"AAAAAH/eg2A=")</f>
        <v>#VALUE!</v>
      </c>
      <c r="CT167" t="e">
        <f>AND(Bills!O677,"AAAAAH/eg2E=")</f>
        <v>#VALUE!</v>
      </c>
      <c r="CU167" t="e">
        <f>AND(Bills!P677,"AAAAAH/eg2I=")</f>
        <v>#VALUE!</v>
      </c>
      <c r="CV167" t="e">
        <f>AND(Bills!Q677,"AAAAAH/eg2M=")</f>
        <v>#VALUE!</v>
      </c>
      <c r="CW167" t="e">
        <f>AND(Bills!R677,"AAAAAH/eg2Q=")</f>
        <v>#VALUE!</v>
      </c>
      <c r="CX167" t="e">
        <f>AND(Bills!S677,"AAAAAH/eg2U=")</f>
        <v>#VALUE!</v>
      </c>
      <c r="CY167" t="e">
        <f>AND(Bills!T677,"AAAAAH/eg2Y=")</f>
        <v>#VALUE!</v>
      </c>
      <c r="CZ167" t="e">
        <f>AND(Bills!#REF!,"AAAAAH/eg2c=")</f>
        <v>#REF!</v>
      </c>
      <c r="DA167" t="e">
        <f>AND(Bills!U677,"AAAAAH/eg2g=")</f>
        <v>#VALUE!</v>
      </c>
      <c r="DB167" t="e">
        <f>AND(Bills!V677,"AAAAAH/eg2k=")</f>
        <v>#VALUE!</v>
      </c>
      <c r="DC167" t="e">
        <f>AND(Bills!W677,"AAAAAH/eg2o=")</f>
        <v>#VALUE!</v>
      </c>
      <c r="DD167" t="e">
        <f>AND(Bills!#REF!,"AAAAAH/eg2s=")</f>
        <v>#REF!</v>
      </c>
      <c r="DE167" t="e">
        <f>AND(Bills!#REF!,"AAAAAH/eg2w=")</f>
        <v>#REF!</v>
      </c>
      <c r="DF167" t="e">
        <f>AND(Bills!Y677,"AAAAAH/eg20=")</f>
        <v>#VALUE!</v>
      </c>
      <c r="DG167" t="e">
        <f>AND(Bills!Z677,"AAAAAH/eg24=")</f>
        <v>#VALUE!</v>
      </c>
      <c r="DH167" t="e">
        <f>AND(Bills!#REF!,"AAAAAH/eg28=")</f>
        <v>#REF!</v>
      </c>
      <c r="DI167" t="e">
        <f>AND(Bills!#REF!,"AAAAAH/eg3A=")</f>
        <v>#REF!</v>
      </c>
      <c r="DJ167" t="e">
        <f>AND(Bills!#REF!,"AAAAAH/eg3E=")</f>
        <v>#REF!</v>
      </c>
      <c r="DK167" t="e">
        <f>AND(Bills!#REF!,"AAAAAH/eg3I=")</f>
        <v>#REF!</v>
      </c>
      <c r="DL167" t="e">
        <f>AND(Bills!#REF!,"AAAAAH/eg3M=")</f>
        <v>#REF!</v>
      </c>
      <c r="DM167" t="e">
        <f>AND(Bills!#REF!,"AAAAAH/eg3Q=")</f>
        <v>#REF!</v>
      </c>
      <c r="DN167" t="e">
        <f>AND(Bills!#REF!,"AAAAAH/eg3U=")</f>
        <v>#REF!</v>
      </c>
      <c r="DO167" t="e">
        <f>AND(Bills!#REF!,"AAAAAH/eg3Y=")</f>
        <v>#REF!</v>
      </c>
      <c r="DP167" t="e">
        <f>AND(Bills!#REF!,"AAAAAH/eg3c=")</f>
        <v>#REF!</v>
      </c>
      <c r="DQ167" t="e">
        <f>AND(Bills!AA677,"AAAAAH/eg3g=")</f>
        <v>#VALUE!</v>
      </c>
      <c r="DR167" t="e">
        <f>AND(Bills!AB677,"AAAAAH/eg3k=")</f>
        <v>#VALUE!</v>
      </c>
      <c r="DS167" t="e">
        <f>AND(Bills!#REF!,"AAAAAH/eg3o=")</f>
        <v>#REF!</v>
      </c>
      <c r="DT167" t="e">
        <f>AND(Bills!#REF!,"AAAAAH/eg3s=")</f>
        <v>#REF!</v>
      </c>
      <c r="DU167" t="e">
        <f>AND(Bills!#REF!,"AAAAAH/eg3w=")</f>
        <v>#REF!</v>
      </c>
      <c r="DV167" t="e">
        <f>AND(Bills!AC677,"AAAAAH/eg30=")</f>
        <v>#VALUE!</v>
      </c>
      <c r="DW167" t="e">
        <f>AND(Bills!AD677,"AAAAAH/eg34=")</f>
        <v>#VALUE!</v>
      </c>
      <c r="DX167" t="e">
        <f>AND(Bills!AE677,"AAAAAH/eg38=")</f>
        <v>#VALUE!</v>
      </c>
      <c r="DY167">
        <f>IF(Bills!678:678,"AAAAAH/eg4A=",0)</f>
        <v>0</v>
      </c>
      <c r="DZ167" t="e">
        <f>AND(Bills!B678,"AAAAAH/eg4E=")</f>
        <v>#VALUE!</v>
      </c>
      <c r="EA167" t="e">
        <f>AND(Bills!#REF!,"AAAAAH/eg4I=")</f>
        <v>#REF!</v>
      </c>
      <c r="EB167" t="e">
        <f>AND(Bills!C678,"AAAAAH/eg4M=")</f>
        <v>#VALUE!</v>
      </c>
      <c r="EC167" t="e">
        <f>AND(Bills!D678,"AAAAAH/eg4Q=")</f>
        <v>#VALUE!</v>
      </c>
      <c r="ED167" t="e">
        <f>AND(Bills!E678,"AAAAAH/eg4U=")</f>
        <v>#VALUE!</v>
      </c>
      <c r="EE167" t="e">
        <f>AND(Bills!#REF!,"AAAAAH/eg4Y=")</f>
        <v>#REF!</v>
      </c>
      <c r="EF167" t="e">
        <f>AND(Bills!#REF!,"AAAAAH/eg4c=")</f>
        <v>#REF!</v>
      </c>
      <c r="EG167" t="e">
        <f>AND(Bills!#REF!,"AAAAAH/eg4g=")</f>
        <v>#REF!</v>
      </c>
      <c r="EH167" t="e">
        <f>AND(Bills!F678,"AAAAAH/eg4k=")</f>
        <v>#VALUE!</v>
      </c>
      <c r="EI167" t="e">
        <f>AND(Bills!#REF!,"AAAAAH/eg4o=")</f>
        <v>#REF!</v>
      </c>
      <c r="EJ167" t="e">
        <f>AND(Bills!G678,"AAAAAH/eg4s=")</f>
        <v>#VALUE!</v>
      </c>
      <c r="EK167" t="e">
        <f>AND(Bills!H678,"AAAAAH/eg4w=")</f>
        <v>#VALUE!</v>
      </c>
      <c r="EL167" t="e">
        <f>AND(Bills!I678,"AAAAAH/eg40=")</f>
        <v>#VALUE!</v>
      </c>
      <c r="EM167" t="e">
        <f>AND(Bills!J678,"AAAAAH/eg44=")</f>
        <v>#VALUE!</v>
      </c>
      <c r="EN167" t="e">
        <f>AND(Bills!K678,"AAAAAH/eg48=")</f>
        <v>#VALUE!</v>
      </c>
      <c r="EO167" t="e">
        <f>AND(Bills!L678,"AAAAAH/eg5A=")</f>
        <v>#VALUE!</v>
      </c>
      <c r="EP167" t="e">
        <f>AND(Bills!#REF!,"AAAAAH/eg5E=")</f>
        <v>#REF!</v>
      </c>
      <c r="EQ167" t="e">
        <f>AND(Bills!M678,"AAAAAH/eg5I=")</f>
        <v>#VALUE!</v>
      </c>
      <c r="ER167" t="e">
        <f>AND(Bills!N678,"AAAAAH/eg5M=")</f>
        <v>#VALUE!</v>
      </c>
      <c r="ES167" t="e">
        <f>AND(Bills!O678,"AAAAAH/eg5Q=")</f>
        <v>#VALUE!</v>
      </c>
      <c r="ET167" t="e">
        <f>AND(Bills!P678,"AAAAAH/eg5U=")</f>
        <v>#VALUE!</v>
      </c>
      <c r="EU167" t="e">
        <f>AND(Bills!Q678,"AAAAAH/eg5Y=")</f>
        <v>#VALUE!</v>
      </c>
      <c r="EV167" t="e">
        <f>AND(Bills!R678,"AAAAAH/eg5c=")</f>
        <v>#VALUE!</v>
      </c>
      <c r="EW167" t="e">
        <f>AND(Bills!S678,"AAAAAH/eg5g=")</f>
        <v>#VALUE!</v>
      </c>
      <c r="EX167" t="e">
        <f>AND(Bills!T678,"AAAAAH/eg5k=")</f>
        <v>#VALUE!</v>
      </c>
      <c r="EY167" t="e">
        <f>AND(Bills!#REF!,"AAAAAH/eg5o=")</f>
        <v>#REF!</v>
      </c>
      <c r="EZ167" t="e">
        <f>AND(Bills!U678,"AAAAAH/eg5s=")</f>
        <v>#VALUE!</v>
      </c>
      <c r="FA167" t="e">
        <f>AND(Bills!V678,"AAAAAH/eg5w=")</f>
        <v>#VALUE!</v>
      </c>
      <c r="FB167" t="e">
        <f>AND(Bills!W678,"AAAAAH/eg50=")</f>
        <v>#VALUE!</v>
      </c>
      <c r="FC167" t="e">
        <f>AND(Bills!#REF!,"AAAAAH/eg54=")</f>
        <v>#REF!</v>
      </c>
      <c r="FD167" t="e">
        <f>AND(Bills!#REF!,"AAAAAH/eg58=")</f>
        <v>#REF!</v>
      </c>
      <c r="FE167" t="e">
        <f>AND(Bills!Y678,"AAAAAH/eg6A=")</f>
        <v>#VALUE!</v>
      </c>
      <c r="FF167" t="e">
        <f>AND(Bills!Z678,"AAAAAH/eg6E=")</f>
        <v>#VALUE!</v>
      </c>
      <c r="FG167" t="e">
        <f>AND(Bills!#REF!,"AAAAAH/eg6I=")</f>
        <v>#REF!</v>
      </c>
      <c r="FH167" t="e">
        <f>AND(Bills!#REF!,"AAAAAH/eg6M=")</f>
        <v>#REF!</v>
      </c>
      <c r="FI167" t="e">
        <f>AND(Bills!#REF!,"AAAAAH/eg6Q=")</f>
        <v>#REF!</v>
      </c>
      <c r="FJ167" t="e">
        <f>AND(Bills!#REF!,"AAAAAH/eg6U=")</f>
        <v>#REF!</v>
      </c>
      <c r="FK167" t="e">
        <f>AND(Bills!#REF!,"AAAAAH/eg6Y=")</f>
        <v>#REF!</v>
      </c>
      <c r="FL167" t="e">
        <f>AND(Bills!#REF!,"AAAAAH/eg6c=")</f>
        <v>#REF!</v>
      </c>
      <c r="FM167" t="e">
        <f>AND(Bills!#REF!,"AAAAAH/eg6g=")</f>
        <v>#REF!</v>
      </c>
      <c r="FN167" t="e">
        <f>AND(Bills!#REF!,"AAAAAH/eg6k=")</f>
        <v>#REF!</v>
      </c>
      <c r="FO167" t="e">
        <f>AND(Bills!#REF!,"AAAAAH/eg6o=")</f>
        <v>#REF!</v>
      </c>
      <c r="FP167" t="e">
        <f>AND(Bills!AA678,"AAAAAH/eg6s=")</f>
        <v>#VALUE!</v>
      </c>
      <c r="FQ167" t="e">
        <f>AND(Bills!AB678,"AAAAAH/eg6w=")</f>
        <v>#VALUE!</v>
      </c>
      <c r="FR167" t="e">
        <f>AND(Bills!#REF!,"AAAAAH/eg60=")</f>
        <v>#REF!</v>
      </c>
      <c r="FS167" t="e">
        <f>AND(Bills!#REF!,"AAAAAH/eg64=")</f>
        <v>#REF!</v>
      </c>
      <c r="FT167" t="e">
        <f>AND(Bills!#REF!,"AAAAAH/eg68=")</f>
        <v>#REF!</v>
      </c>
      <c r="FU167" t="e">
        <f>AND(Bills!AC678,"AAAAAH/eg7A=")</f>
        <v>#VALUE!</v>
      </c>
      <c r="FV167" t="e">
        <f>AND(Bills!AD678,"AAAAAH/eg7E=")</f>
        <v>#VALUE!</v>
      </c>
      <c r="FW167" t="e">
        <f>AND(Bills!AE678,"AAAAAH/eg7I=")</f>
        <v>#VALUE!</v>
      </c>
      <c r="FX167">
        <f>IF(Bills!679:679,"AAAAAH/eg7M=",0)</f>
        <v>0</v>
      </c>
      <c r="FY167" t="e">
        <f>AND(Bills!B679,"AAAAAH/eg7Q=")</f>
        <v>#VALUE!</v>
      </c>
      <c r="FZ167" t="e">
        <f>AND(Bills!#REF!,"AAAAAH/eg7U=")</f>
        <v>#REF!</v>
      </c>
      <c r="GA167" t="e">
        <f>AND(Bills!C679,"AAAAAH/eg7Y=")</f>
        <v>#VALUE!</v>
      </c>
      <c r="GB167" t="e">
        <f>AND(Bills!D679,"AAAAAH/eg7c=")</f>
        <v>#VALUE!</v>
      </c>
      <c r="GC167" t="e">
        <f>AND(Bills!E679,"AAAAAH/eg7g=")</f>
        <v>#VALUE!</v>
      </c>
      <c r="GD167" t="e">
        <f>AND(Bills!#REF!,"AAAAAH/eg7k=")</f>
        <v>#REF!</v>
      </c>
      <c r="GE167" t="e">
        <f>AND(Bills!#REF!,"AAAAAH/eg7o=")</f>
        <v>#REF!</v>
      </c>
      <c r="GF167" t="e">
        <f>AND(Bills!#REF!,"AAAAAH/eg7s=")</f>
        <v>#REF!</v>
      </c>
      <c r="GG167" t="e">
        <f>AND(Bills!F679,"AAAAAH/eg7w=")</f>
        <v>#VALUE!</v>
      </c>
      <c r="GH167" t="e">
        <f>AND(Bills!#REF!,"AAAAAH/eg70=")</f>
        <v>#REF!</v>
      </c>
      <c r="GI167" t="e">
        <f>AND(Bills!G679,"AAAAAH/eg74=")</f>
        <v>#VALUE!</v>
      </c>
      <c r="GJ167" t="e">
        <f>AND(Bills!H679,"AAAAAH/eg78=")</f>
        <v>#VALUE!</v>
      </c>
      <c r="GK167" t="e">
        <f>AND(Bills!I679,"AAAAAH/eg8A=")</f>
        <v>#VALUE!</v>
      </c>
      <c r="GL167" t="e">
        <f>AND(Bills!J679,"AAAAAH/eg8E=")</f>
        <v>#VALUE!</v>
      </c>
      <c r="GM167" t="e">
        <f>AND(Bills!K679,"AAAAAH/eg8I=")</f>
        <v>#VALUE!</v>
      </c>
      <c r="GN167" t="e">
        <f>AND(Bills!L679,"AAAAAH/eg8M=")</f>
        <v>#VALUE!</v>
      </c>
      <c r="GO167" t="e">
        <f>AND(Bills!#REF!,"AAAAAH/eg8Q=")</f>
        <v>#REF!</v>
      </c>
      <c r="GP167" t="e">
        <f>AND(Bills!M679,"AAAAAH/eg8U=")</f>
        <v>#VALUE!</v>
      </c>
      <c r="GQ167" t="e">
        <f>AND(Bills!N679,"AAAAAH/eg8Y=")</f>
        <v>#VALUE!</v>
      </c>
      <c r="GR167" t="e">
        <f>AND(Bills!O679,"AAAAAH/eg8c=")</f>
        <v>#VALUE!</v>
      </c>
      <c r="GS167" t="e">
        <f>AND(Bills!P679,"AAAAAH/eg8g=")</f>
        <v>#VALUE!</v>
      </c>
      <c r="GT167" t="e">
        <f>AND(Bills!Q679,"AAAAAH/eg8k=")</f>
        <v>#VALUE!</v>
      </c>
      <c r="GU167" t="e">
        <f>AND(Bills!R679,"AAAAAH/eg8o=")</f>
        <v>#VALUE!</v>
      </c>
      <c r="GV167" t="e">
        <f>AND(Bills!S679,"AAAAAH/eg8s=")</f>
        <v>#VALUE!</v>
      </c>
      <c r="GW167" t="e">
        <f>AND(Bills!T679,"AAAAAH/eg8w=")</f>
        <v>#VALUE!</v>
      </c>
      <c r="GX167" t="e">
        <f>AND(Bills!#REF!,"AAAAAH/eg80=")</f>
        <v>#REF!</v>
      </c>
      <c r="GY167" t="e">
        <f>AND(Bills!U679,"AAAAAH/eg84=")</f>
        <v>#VALUE!</v>
      </c>
      <c r="GZ167" t="e">
        <f>AND(Bills!V679,"AAAAAH/eg88=")</f>
        <v>#VALUE!</v>
      </c>
      <c r="HA167" t="e">
        <f>AND(Bills!W679,"AAAAAH/eg9A=")</f>
        <v>#VALUE!</v>
      </c>
      <c r="HB167" t="e">
        <f>AND(Bills!#REF!,"AAAAAH/eg9E=")</f>
        <v>#REF!</v>
      </c>
      <c r="HC167" t="e">
        <f>AND(Bills!#REF!,"AAAAAH/eg9I=")</f>
        <v>#REF!</v>
      </c>
      <c r="HD167" t="e">
        <f>AND(Bills!Y679,"AAAAAH/eg9M=")</f>
        <v>#VALUE!</v>
      </c>
      <c r="HE167" t="e">
        <f>AND(Bills!Z679,"AAAAAH/eg9Q=")</f>
        <v>#VALUE!</v>
      </c>
      <c r="HF167" t="e">
        <f>AND(Bills!#REF!,"AAAAAH/eg9U=")</f>
        <v>#REF!</v>
      </c>
      <c r="HG167" t="e">
        <f>AND(Bills!#REF!,"AAAAAH/eg9Y=")</f>
        <v>#REF!</v>
      </c>
      <c r="HH167" t="e">
        <f>AND(Bills!#REF!,"AAAAAH/eg9c=")</f>
        <v>#REF!</v>
      </c>
      <c r="HI167" t="e">
        <f>AND(Bills!#REF!,"AAAAAH/eg9g=")</f>
        <v>#REF!</v>
      </c>
      <c r="HJ167" t="e">
        <f>AND(Bills!#REF!,"AAAAAH/eg9k=")</f>
        <v>#REF!</v>
      </c>
      <c r="HK167" t="e">
        <f>AND(Bills!#REF!,"AAAAAH/eg9o=")</f>
        <v>#REF!</v>
      </c>
      <c r="HL167" t="e">
        <f>AND(Bills!#REF!,"AAAAAH/eg9s=")</f>
        <v>#REF!</v>
      </c>
      <c r="HM167" t="e">
        <f>AND(Bills!#REF!,"AAAAAH/eg9w=")</f>
        <v>#REF!</v>
      </c>
      <c r="HN167" t="e">
        <f>AND(Bills!#REF!,"AAAAAH/eg90=")</f>
        <v>#REF!</v>
      </c>
      <c r="HO167" t="e">
        <f>AND(Bills!AA679,"AAAAAH/eg94=")</f>
        <v>#VALUE!</v>
      </c>
      <c r="HP167" t="e">
        <f>AND(Bills!AB679,"AAAAAH/eg98=")</f>
        <v>#VALUE!</v>
      </c>
      <c r="HQ167" t="e">
        <f>AND(Bills!#REF!,"AAAAAH/eg+A=")</f>
        <v>#REF!</v>
      </c>
      <c r="HR167" t="e">
        <f>AND(Bills!#REF!,"AAAAAH/eg+E=")</f>
        <v>#REF!</v>
      </c>
      <c r="HS167" t="e">
        <f>AND(Bills!#REF!,"AAAAAH/eg+I=")</f>
        <v>#REF!</v>
      </c>
      <c r="HT167" t="e">
        <f>AND(Bills!AC679,"AAAAAH/eg+M=")</f>
        <v>#VALUE!</v>
      </c>
      <c r="HU167" t="e">
        <f>AND(Bills!AD679,"AAAAAH/eg+Q=")</f>
        <v>#VALUE!</v>
      </c>
      <c r="HV167" t="e">
        <f>AND(Bills!AE679,"AAAAAH/eg+U=")</f>
        <v>#VALUE!</v>
      </c>
      <c r="HW167">
        <f>IF(Bills!680:680,"AAAAAH/eg+Y=",0)</f>
        <v>0</v>
      </c>
      <c r="HX167" t="e">
        <f>AND(Bills!B680,"AAAAAH/eg+c=")</f>
        <v>#VALUE!</v>
      </c>
      <c r="HY167" t="e">
        <f>AND(Bills!#REF!,"AAAAAH/eg+g=")</f>
        <v>#REF!</v>
      </c>
      <c r="HZ167" t="e">
        <f>AND(Bills!C680,"AAAAAH/eg+k=")</f>
        <v>#VALUE!</v>
      </c>
      <c r="IA167" t="e">
        <f>AND(Bills!D680,"AAAAAH/eg+o=")</f>
        <v>#VALUE!</v>
      </c>
      <c r="IB167" t="e">
        <f>AND(Bills!E680,"AAAAAH/eg+s=")</f>
        <v>#VALUE!</v>
      </c>
      <c r="IC167" t="e">
        <f>AND(Bills!#REF!,"AAAAAH/eg+w=")</f>
        <v>#REF!</v>
      </c>
      <c r="ID167" t="e">
        <f>AND(Bills!#REF!,"AAAAAH/eg+0=")</f>
        <v>#REF!</v>
      </c>
      <c r="IE167" t="e">
        <f>AND(Bills!#REF!,"AAAAAH/eg+4=")</f>
        <v>#REF!</v>
      </c>
      <c r="IF167" t="e">
        <f>AND(Bills!F680,"AAAAAH/eg+8=")</f>
        <v>#VALUE!</v>
      </c>
      <c r="IG167" t="e">
        <f>AND(Bills!#REF!,"AAAAAH/eg/A=")</f>
        <v>#REF!</v>
      </c>
      <c r="IH167" t="e">
        <f>AND(Bills!G680,"AAAAAH/eg/E=")</f>
        <v>#VALUE!</v>
      </c>
      <c r="II167" t="e">
        <f>AND(Bills!H680,"AAAAAH/eg/I=")</f>
        <v>#VALUE!</v>
      </c>
      <c r="IJ167" t="e">
        <f>AND(Bills!I680,"AAAAAH/eg/M=")</f>
        <v>#VALUE!</v>
      </c>
      <c r="IK167" t="e">
        <f>AND(Bills!J680,"AAAAAH/eg/Q=")</f>
        <v>#VALUE!</v>
      </c>
      <c r="IL167" t="e">
        <f>AND(Bills!K680,"AAAAAH/eg/U=")</f>
        <v>#VALUE!</v>
      </c>
      <c r="IM167" t="e">
        <f>AND(Bills!L680,"AAAAAH/eg/Y=")</f>
        <v>#VALUE!</v>
      </c>
      <c r="IN167" t="e">
        <f>AND(Bills!#REF!,"AAAAAH/eg/c=")</f>
        <v>#REF!</v>
      </c>
      <c r="IO167" t="e">
        <f>AND(Bills!M680,"AAAAAH/eg/g=")</f>
        <v>#VALUE!</v>
      </c>
      <c r="IP167" t="e">
        <f>AND(Bills!N680,"AAAAAH/eg/k=")</f>
        <v>#VALUE!</v>
      </c>
      <c r="IQ167" t="e">
        <f>AND(Bills!O680,"AAAAAH/eg/o=")</f>
        <v>#VALUE!</v>
      </c>
      <c r="IR167" t="e">
        <f>AND(Bills!P680,"AAAAAH/eg/s=")</f>
        <v>#VALUE!</v>
      </c>
      <c r="IS167" t="e">
        <f>AND(Bills!Q680,"AAAAAH/eg/w=")</f>
        <v>#VALUE!</v>
      </c>
      <c r="IT167" t="e">
        <f>AND(Bills!R680,"AAAAAH/eg/0=")</f>
        <v>#VALUE!</v>
      </c>
      <c r="IU167" t="e">
        <f>AND(Bills!S680,"AAAAAH/eg/4=")</f>
        <v>#VALUE!</v>
      </c>
      <c r="IV167" t="e">
        <f>AND(Bills!T680,"AAAAAH/eg/8=")</f>
        <v>#VALUE!</v>
      </c>
    </row>
    <row r="168" spans="1:256" x14ac:dyDescent="0.25">
      <c r="A168" t="e">
        <f>AND(Bills!#REF!,"AAAAAA3v3wA=")</f>
        <v>#REF!</v>
      </c>
      <c r="B168" t="e">
        <f>AND(Bills!U680,"AAAAAA3v3wE=")</f>
        <v>#VALUE!</v>
      </c>
      <c r="C168" t="e">
        <f>AND(Bills!V680,"AAAAAA3v3wI=")</f>
        <v>#VALUE!</v>
      </c>
      <c r="D168" t="e">
        <f>AND(Bills!W680,"AAAAAA3v3wM=")</f>
        <v>#VALUE!</v>
      </c>
      <c r="E168" t="e">
        <f>AND(Bills!#REF!,"AAAAAA3v3wQ=")</f>
        <v>#REF!</v>
      </c>
      <c r="F168" t="e">
        <f>AND(Bills!#REF!,"AAAAAA3v3wU=")</f>
        <v>#REF!</v>
      </c>
      <c r="G168" t="e">
        <f>AND(Bills!Y680,"AAAAAA3v3wY=")</f>
        <v>#VALUE!</v>
      </c>
      <c r="H168" t="e">
        <f>AND(Bills!Z680,"AAAAAA3v3wc=")</f>
        <v>#VALUE!</v>
      </c>
      <c r="I168" t="e">
        <f>AND(Bills!#REF!,"AAAAAA3v3wg=")</f>
        <v>#REF!</v>
      </c>
      <c r="J168" t="e">
        <f>AND(Bills!#REF!,"AAAAAA3v3wk=")</f>
        <v>#REF!</v>
      </c>
      <c r="K168" t="e">
        <f>AND(Bills!#REF!,"AAAAAA3v3wo=")</f>
        <v>#REF!</v>
      </c>
      <c r="L168" t="e">
        <f>AND(Bills!#REF!,"AAAAAA3v3ws=")</f>
        <v>#REF!</v>
      </c>
      <c r="M168" t="e">
        <f>AND(Bills!#REF!,"AAAAAA3v3ww=")</f>
        <v>#REF!</v>
      </c>
      <c r="N168" t="e">
        <f>AND(Bills!#REF!,"AAAAAA3v3w0=")</f>
        <v>#REF!</v>
      </c>
      <c r="O168" t="e">
        <f>AND(Bills!#REF!,"AAAAAA3v3w4=")</f>
        <v>#REF!</v>
      </c>
      <c r="P168" t="e">
        <f>AND(Bills!#REF!,"AAAAAA3v3w8=")</f>
        <v>#REF!</v>
      </c>
      <c r="Q168" t="e">
        <f>AND(Bills!#REF!,"AAAAAA3v3xA=")</f>
        <v>#REF!</v>
      </c>
      <c r="R168" t="e">
        <f>AND(Bills!AA680,"AAAAAA3v3xE=")</f>
        <v>#VALUE!</v>
      </c>
      <c r="S168" t="e">
        <f>AND(Bills!AB680,"AAAAAA3v3xI=")</f>
        <v>#VALUE!</v>
      </c>
      <c r="T168" t="e">
        <f>AND(Bills!#REF!,"AAAAAA3v3xM=")</f>
        <v>#REF!</v>
      </c>
      <c r="U168" t="e">
        <f>AND(Bills!#REF!,"AAAAAA3v3xQ=")</f>
        <v>#REF!</v>
      </c>
      <c r="V168" t="e">
        <f>AND(Bills!#REF!,"AAAAAA3v3xU=")</f>
        <v>#REF!</v>
      </c>
      <c r="W168" t="e">
        <f>AND(Bills!AC680,"AAAAAA3v3xY=")</f>
        <v>#VALUE!</v>
      </c>
      <c r="X168" t="e">
        <f>AND(Bills!AD680,"AAAAAA3v3xc=")</f>
        <v>#VALUE!</v>
      </c>
      <c r="Y168" t="e">
        <f>AND(Bills!AE680,"AAAAAA3v3xg=")</f>
        <v>#VALUE!</v>
      </c>
      <c r="Z168">
        <f>IF(Bills!681:681,"AAAAAA3v3xk=",0)</f>
        <v>0</v>
      </c>
      <c r="AA168" t="e">
        <f>AND(Bills!B681,"AAAAAA3v3xo=")</f>
        <v>#VALUE!</v>
      </c>
      <c r="AB168" t="e">
        <f>AND(Bills!#REF!,"AAAAAA3v3xs=")</f>
        <v>#REF!</v>
      </c>
      <c r="AC168" t="e">
        <f>AND(Bills!C681,"AAAAAA3v3xw=")</f>
        <v>#VALUE!</v>
      </c>
      <c r="AD168" t="e">
        <f>AND(Bills!D681,"AAAAAA3v3x0=")</f>
        <v>#VALUE!</v>
      </c>
      <c r="AE168" t="e">
        <f>AND(Bills!E681,"AAAAAA3v3x4=")</f>
        <v>#VALUE!</v>
      </c>
      <c r="AF168" t="e">
        <f>AND(Bills!#REF!,"AAAAAA3v3x8=")</f>
        <v>#REF!</v>
      </c>
      <c r="AG168" t="e">
        <f>AND(Bills!#REF!,"AAAAAA3v3yA=")</f>
        <v>#REF!</v>
      </c>
      <c r="AH168" t="e">
        <f>AND(Bills!#REF!,"AAAAAA3v3yE=")</f>
        <v>#REF!</v>
      </c>
      <c r="AI168" t="e">
        <f>AND(Bills!F681,"AAAAAA3v3yI=")</f>
        <v>#VALUE!</v>
      </c>
      <c r="AJ168" t="e">
        <f>AND(Bills!#REF!,"AAAAAA3v3yM=")</f>
        <v>#REF!</v>
      </c>
      <c r="AK168" t="e">
        <f>AND(Bills!G681,"AAAAAA3v3yQ=")</f>
        <v>#VALUE!</v>
      </c>
      <c r="AL168" t="e">
        <f>AND(Bills!H681,"AAAAAA3v3yU=")</f>
        <v>#VALUE!</v>
      </c>
      <c r="AM168" t="e">
        <f>AND(Bills!I681,"AAAAAA3v3yY=")</f>
        <v>#VALUE!</v>
      </c>
      <c r="AN168" t="e">
        <f>AND(Bills!J681,"AAAAAA3v3yc=")</f>
        <v>#VALUE!</v>
      </c>
      <c r="AO168" t="e">
        <f>AND(Bills!K681,"AAAAAA3v3yg=")</f>
        <v>#VALUE!</v>
      </c>
      <c r="AP168" t="e">
        <f>AND(Bills!L681,"AAAAAA3v3yk=")</f>
        <v>#VALUE!</v>
      </c>
      <c r="AQ168" t="e">
        <f>AND(Bills!#REF!,"AAAAAA3v3yo=")</f>
        <v>#REF!</v>
      </c>
      <c r="AR168" t="e">
        <f>AND(Bills!M681,"AAAAAA3v3ys=")</f>
        <v>#VALUE!</v>
      </c>
      <c r="AS168" t="e">
        <f>AND(Bills!N681,"AAAAAA3v3yw=")</f>
        <v>#VALUE!</v>
      </c>
      <c r="AT168" t="e">
        <f>AND(Bills!O681,"AAAAAA3v3y0=")</f>
        <v>#VALUE!</v>
      </c>
      <c r="AU168" t="e">
        <f>AND(Bills!P681,"AAAAAA3v3y4=")</f>
        <v>#VALUE!</v>
      </c>
      <c r="AV168" t="e">
        <f>AND(Bills!Q681,"AAAAAA3v3y8=")</f>
        <v>#VALUE!</v>
      </c>
      <c r="AW168" t="e">
        <f>AND(Bills!R681,"AAAAAA3v3zA=")</f>
        <v>#VALUE!</v>
      </c>
      <c r="AX168" t="e">
        <f>AND(Bills!S681,"AAAAAA3v3zE=")</f>
        <v>#VALUE!</v>
      </c>
      <c r="AY168" t="e">
        <f>AND(Bills!T681,"AAAAAA3v3zI=")</f>
        <v>#VALUE!</v>
      </c>
      <c r="AZ168" t="e">
        <f>AND(Bills!#REF!,"AAAAAA3v3zM=")</f>
        <v>#REF!</v>
      </c>
      <c r="BA168" t="e">
        <f>AND(Bills!U681,"AAAAAA3v3zQ=")</f>
        <v>#VALUE!</v>
      </c>
      <c r="BB168" t="e">
        <f>AND(Bills!V681,"AAAAAA3v3zU=")</f>
        <v>#VALUE!</v>
      </c>
      <c r="BC168" t="e">
        <f>AND(Bills!W681,"AAAAAA3v3zY=")</f>
        <v>#VALUE!</v>
      </c>
      <c r="BD168" t="e">
        <f>AND(Bills!#REF!,"AAAAAA3v3zc=")</f>
        <v>#REF!</v>
      </c>
      <c r="BE168" t="e">
        <f>AND(Bills!#REF!,"AAAAAA3v3zg=")</f>
        <v>#REF!</v>
      </c>
      <c r="BF168" t="e">
        <f>AND(Bills!Y681,"AAAAAA3v3zk=")</f>
        <v>#VALUE!</v>
      </c>
      <c r="BG168" t="e">
        <f>AND(Bills!Z681,"AAAAAA3v3zo=")</f>
        <v>#VALUE!</v>
      </c>
      <c r="BH168" t="e">
        <f>AND(Bills!#REF!,"AAAAAA3v3zs=")</f>
        <v>#REF!</v>
      </c>
      <c r="BI168" t="e">
        <f>AND(Bills!#REF!,"AAAAAA3v3zw=")</f>
        <v>#REF!</v>
      </c>
      <c r="BJ168" t="e">
        <f>AND(Bills!#REF!,"AAAAAA3v3z0=")</f>
        <v>#REF!</v>
      </c>
      <c r="BK168" t="e">
        <f>AND(Bills!#REF!,"AAAAAA3v3z4=")</f>
        <v>#REF!</v>
      </c>
      <c r="BL168" t="e">
        <f>AND(Bills!#REF!,"AAAAAA3v3z8=")</f>
        <v>#REF!</v>
      </c>
      <c r="BM168" t="e">
        <f>AND(Bills!#REF!,"AAAAAA3v30A=")</f>
        <v>#REF!</v>
      </c>
      <c r="BN168" t="e">
        <f>AND(Bills!#REF!,"AAAAAA3v30E=")</f>
        <v>#REF!</v>
      </c>
      <c r="BO168" t="e">
        <f>AND(Bills!#REF!,"AAAAAA3v30I=")</f>
        <v>#REF!</v>
      </c>
      <c r="BP168" t="e">
        <f>AND(Bills!#REF!,"AAAAAA3v30M=")</f>
        <v>#REF!</v>
      </c>
      <c r="BQ168" t="e">
        <f>AND(Bills!AA681,"AAAAAA3v30Q=")</f>
        <v>#VALUE!</v>
      </c>
      <c r="BR168" t="e">
        <f>AND(Bills!AB681,"AAAAAA3v30U=")</f>
        <v>#VALUE!</v>
      </c>
      <c r="BS168" t="e">
        <f>AND(Bills!#REF!,"AAAAAA3v30Y=")</f>
        <v>#REF!</v>
      </c>
      <c r="BT168" t="e">
        <f>AND(Bills!#REF!,"AAAAAA3v30c=")</f>
        <v>#REF!</v>
      </c>
      <c r="BU168" t="e">
        <f>AND(Bills!#REF!,"AAAAAA3v30g=")</f>
        <v>#REF!</v>
      </c>
      <c r="BV168" t="e">
        <f>AND(Bills!AC681,"AAAAAA3v30k=")</f>
        <v>#VALUE!</v>
      </c>
      <c r="BW168" t="e">
        <f>AND(Bills!AD681,"AAAAAA3v30o=")</f>
        <v>#VALUE!</v>
      </c>
      <c r="BX168" t="e">
        <f>AND(Bills!AE681,"AAAAAA3v30s=")</f>
        <v>#VALUE!</v>
      </c>
      <c r="BY168">
        <f>IF(Bills!682:682,"AAAAAA3v30w=",0)</f>
        <v>0</v>
      </c>
      <c r="BZ168" t="e">
        <f>AND(Bills!B682,"AAAAAA3v300=")</f>
        <v>#VALUE!</v>
      </c>
      <c r="CA168" t="e">
        <f>AND(Bills!#REF!,"AAAAAA3v304=")</f>
        <v>#REF!</v>
      </c>
      <c r="CB168" t="e">
        <f>AND(Bills!C682,"AAAAAA3v308=")</f>
        <v>#VALUE!</v>
      </c>
      <c r="CC168" t="e">
        <f>AND(Bills!D682,"AAAAAA3v31A=")</f>
        <v>#VALUE!</v>
      </c>
      <c r="CD168" t="e">
        <f>AND(Bills!E682,"AAAAAA3v31E=")</f>
        <v>#VALUE!</v>
      </c>
      <c r="CE168" t="e">
        <f>AND(Bills!#REF!,"AAAAAA3v31I=")</f>
        <v>#REF!</v>
      </c>
      <c r="CF168" t="e">
        <f>AND(Bills!#REF!,"AAAAAA3v31M=")</f>
        <v>#REF!</v>
      </c>
      <c r="CG168" t="e">
        <f>AND(Bills!#REF!,"AAAAAA3v31Q=")</f>
        <v>#REF!</v>
      </c>
      <c r="CH168" t="e">
        <f>AND(Bills!F682,"AAAAAA3v31U=")</f>
        <v>#VALUE!</v>
      </c>
      <c r="CI168" t="e">
        <f>AND(Bills!#REF!,"AAAAAA3v31Y=")</f>
        <v>#REF!</v>
      </c>
      <c r="CJ168" t="e">
        <f>AND(Bills!G682,"AAAAAA3v31c=")</f>
        <v>#VALUE!</v>
      </c>
      <c r="CK168" t="e">
        <f>AND(Bills!H682,"AAAAAA3v31g=")</f>
        <v>#VALUE!</v>
      </c>
      <c r="CL168" t="e">
        <f>AND(Bills!I682,"AAAAAA3v31k=")</f>
        <v>#VALUE!</v>
      </c>
      <c r="CM168" t="e">
        <f>AND(Bills!J682,"AAAAAA3v31o=")</f>
        <v>#VALUE!</v>
      </c>
      <c r="CN168" t="e">
        <f>AND(Bills!K682,"AAAAAA3v31s=")</f>
        <v>#VALUE!</v>
      </c>
      <c r="CO168" t="e">
        <f>AND(Bills!L682,"AAAAAA3v31w=")</f>
        <v>#VALUE!</v>
      </c>
      <c r="CP168" t="e">
        <f>AND(Bills!#REF!,"AAAAAA3v310=")</f>
        <v>#REF!</v>
      </c>
      <c r="CQ168" t="e">
        <f>AND(Bills!M682,"AAAAAA3v314=")</f>
        <v>#VALUE!</v>
      </c>
      <c r="CR168" t="e">
        <f>AND(Bills!N682,"AAAAAA3v318=")</f>
        <v>#VALUE!</v>
      </c>
      <c r="CS168" t="e">
        <f>AND(Bills!O682,"AAAAAA3v32A=")</f>
        <v>#VALUE!</v>
      </c>
      <c r="CT168" t="e">
        <f>AND(Bills!P682,"AAAAAA3v32E=")</f>
        <v>#VALUE!</v>
      </c>
      <c r="CU168" t="e">
        <f>AND(Bills!Q682,"AAAAAA3v32I=")</f>
        <v>#VALUE!</v>
      </c>
      <c r="CV168" t="e">
        <f>AND(Bills!R682,"AAAAAA3v32M=")</f>
        <v>#VALUE!</v>
      </c>
      <c r="CW168" t="e">
        <f>AND(Bills!S682,"AAAAAA3v32Q=")</f>
        <v>#VALUE!</v>
      </c>
      <c r="CX168" t="e">
        <f>AND(Bills!T682,"AAAAAA3v32U=")</f>
        <v>#VALUE!</v>
      </c>
      <c r="CY168" t="e">
        <f>AND(Bills!#REF!,"AAAAAA3v32Y=")</f>
        <v>#REF!</v>
      </c>
      <c r="CZ168" t="e">
        <f>AND(Bills!U682,"AAAAAA3v32c=")</f>
        <v>#VALUE!</v>
      </c>
      <c r="DA168" t="e">
        <f>AND(Bills!V682,"AAAAAA3v32g=")</f>
        <v>#VALUE!</v>
      </c>
      <c r="DB168" t="e">
        <f>AND(Bills!W682,"AAAAAA3v32k=")</f>
        <v>#VALUE!</v>
      </c>
      <c r="DC168" t="e">
        <f>AND(Bills!#REF!,"AAAAAA3v32o=")</f>
        <v>#REF!</v>
      </c>
      <c r="DD168" t="e">
        <f>AND(Bills!#REF!,"AAAAAA3v32s=")</f>
        <v>#REF!</v>
      </c>
      <c r="DE168" t="e">
        <f>AND(Bills!Y682,"AAAAAA3v32w=")</f>
        <v>#VALUE!</v>
      </c>
      <c r="DF168" t="e">
        <f>AND(Bills!Z682,"AAAAAA3v320=")</f>
        <v>#VALUE!</v>
      </c>
      <c r="DG168" t="e">
        <f>AND(Bills!#REF!,"AAAAAA3v324=")</f>
        <v>#REF!</v>
      </c>
      <c r="DH168" t="e">
        <f>AND(Bills!#REF!,"AAAAAA3v328=")</f>
        <v>#REF!</v>
      </c>
      <c r="DI168" t="e">
        <f>AND(Bills!#REF!,"AAAAAA3v33A=")</f>
        <v>#REF!</v>
      </c>
      <c r="DJ168" t="e">
        <f>AND(Bills!#REF!,"AAAAAA3v33E=")</f>
        <v>#REF!</v>
      </c>
      <c r="DK168" t="e">
        <f>AND(Bills!#REF!,"AAAAAA3v33I=")</f>
        <v>#REF!</v>
      </c>
      <c r="DL168" t="e">
        <f>AND(Bills!#REF!,"AAAAAA3v33M=")</f>
        <v>#REF!</v>
      </c>
      <c r="DM168" t="e">
        <f>AND(Bills!#REF!,"AAAAAA3v33Q=")</f>
        <v>#REF!</v>
      </c>
      <c r="DN168" t="e">
        <f>AND(Bills!#REF!,"AAAAAA3v33U=")</f>
        <v>#REF!</v>
      </c>
      <c r="DO168" t="e">
        <f>AND(Bills!#REF!,"AAAAAA3v33Y=")</f>
        <v>#REF!</v>
      </c>
      <c r="DP168" t="e">
        <f>AND(Bills!AA682,"AAAAAA3v33c=")</f>
        <v>#VALUE!</v>
      </c>
      <c r="DQ168" t="e">
        <f>AND(Bills!AB682,"AAAAAA3v33g=")</f>
        <v>#VALUE!</v>
      </c>
      <c r="DR168" t="e">
        <f>AND(Bills!#REF!,"AAAAAA3v33k=")</f>
        <v>#REF!</v>
      </c>
      <c r="DS168" t="e">
        <f>AND(Bills!#REF!,"AAAAAA3v33o=")</f>
        <v>#REF!</v>
      </c>
      <c r="DT168" t="e">
        <f>AND(Bills!#REF!,"AAAAAA3v33s=")</f>
        <v>#REF!</v>
      </c>
      <c r="DU168" t="e">
        <f>AND(Bills!AC682,"AAAAAA3v33w=")</f>
        <v>#VALUE!</v>
      </c>
      <c r="DV168" t="e">
        <f>AND(Bills!AD682,"AAAAAA3v330=")</f>
        <v>#VALUE!</v>
      </c>
      <c r="DW168" t="e">
        <f>AND(Bills!AE682,"AAAAAA3v334=")</f>
        <v>#VALUE!</v>
      </c>
      <c r="DX168">
        <f>IF(Bills!683:683,"AAAAAA3v338=",0)</f>
        <v>0</v>
      </c>
      <c r="DY168" t="e">
        <f>AND(Bills!B683,"AAAAAA3v34A=")</f>
        <v>#VALUE!</v>
      </c>
      <c r="DZ168" t="e">
        <f>AND(Bills!#REF!,"AAAAAA3v34E=")</f>
        <v>#REF!</v>
      </c>
      <c r="EA168" t="e">
        <f>AND(Bills!C683,"AAAAAA3v34I=")</f>
        <v>#VALUE!</v>
      </c>
      <c r="EB168" t="e">
        <f>AND(Bills!D683,"AAAAAA3v34M=")</f>
        <v>#VALUE!</v>
      </c>
      <c r="EC168" t="e">
        <f>AND(Bills!E683,"AAAAAA3v34Q=")</f>
        <v>#VALUE!</v>
      </c>
      <c r="ED168" t="e">
        <f>AND(Bills!#REF!,"AAAAAA3v34U=")</f>
        <v>#REF!</v>
      </c>
      <c r="EE168" t="e">
        <f>AND(Bills!#REF!,"AAAAAA3v34Y=")</f>
        <v>#REF!</v>
      </c>
      <c r="EF168" t="e">
        <f>AND(Bills!#REF!,"AAAAAA3v34c=")</f>
        <v>#REF!</v>
      </c>
      <c r="EG168" t="e">
        <f>AND(Bills!F683,"AAAAAA3v34g=")</f>
        <v>#VALUE!</v>
      </c>
      <c r="EH168" t="e">
        <f>AND(Bills!#REF!,"AAAAAA3v34k=")</f>
        <v>#REF!</v>
      </c>
      <c r="EI168" t="e">
        <f>AND(Bills!G683,"AAAAAA3v34o=")</f>
        <v>#VALUE!</v>
      </c>
      <c r="EJ168" t="e">
        <f>AND(Bills!H683,"AAAAAA3v34s=")</f>
        <v>#VALUE!</v>
      </c>
      <c r="EK168" t="e">
        <f>AND(Bills!I683,"AAAAAA3v34w=")</f>
        <v>#VALUE!</v>
      </c>
      <c r="EL168" t="e">
        <f>AND(Bills!J683,"AAAAAA3v340=")</f>
        <v>#VALUE!</v>
      </c>
      <c r="EM168" t="e">
        <f>AND(Bills!K683,"AAAAAA3v344=")</f>
        <v>#VALUE!</v>
      </c>
      <c r="EN168" t="e">
        <f>AND(Bills!L683,"AAAAAA3v348=")</f>
        <v>#VALUE!</v>
      </c>
      <c r="EO168" t="e">
        <f>AND(Bills!#REF!,"AAAAAA3v35A=")</f>
        <v>#REF!</v>
      </c>
      <c r="EP168" t="e">
        <f>AND(Bills!M683,"AAAAAA3v35E=")</f>
        <v>#VALUE!</v>
      </c>
      <c r="EQ168" t="e">
        <f>AND(Bills!N683,"AAAAAA3v35I=")</f>
        <v>#VALUE!</v>
      </c>
      <c r="ER168" t="e">
        <f>AND(Bills!O683,"AAAAAA3v35M=")</f>
        <v>#VALUE!</v>
      </c>
      <c r="ES168" t="e">
        <f>AND(Bills!P683,"AAAAAA3v35Q=")</f>
        <v>#VALUE!</v>
      </c>
      <c r="ET168" t="e">
        <f>AND(Bills!Q683,"AAAAAA3v35U=")</f>
        <v>#VALUE!</v>
      </c>
      <c r="EU168" t="e">
        <f>AND(Bills!R683,"AAAAAA3v35Y=")</f>
        <v>#VALUE!</v>
      </c>
      <c r="EV168" t="e">
        <f>AND(Bills!S683,"AAAAAA3v35c=")</f>
        <v>#VALUE!</v>
      </c>
      <c r="EW168" t="e">
        <f>AND(Bills!T683,"AAAAAA3v35g=")</f>
        <v>#VALUE!</v>
      </c>
      <c r="EX168" t="e">
        <f>AND(Bills!#REF!,"AAAAAA3v35k=")</f>
        <v>#REF!</v>
      </c>
      <c r="EY168" t="e">
        <f>AND(Bills!U683,"AAAAAA3v35o=")</f>
        <v>#VALUE!</v>
      </c>
      <c r="EZ168" t="e">
        <f>AND(Bills!V683,"AAAAAA3v35s=")</f>
        <v>#VALUE!</v>
      </c>
      <c r="FA168" t="e">
        <f>AND(Bills!W683,"AAAAAA3v35w=")</f>
        <v>#VALUE!</v>
      </c>
      <c r="FB168" t="e">
        <f>AND(Bills!#REF!,"AAAAAA3v350=")</f>
        <v>#REF!</v>
      </c>
      <c r="FC168" t="e">
        <f>AND(Bills!#REF!,"AAAAAA3v354=")</f>
        <v>#REF!</v>
      </c>
      <c r="FD168" t="e">
        <f>AND(Bills!Y683,"AAAAAA3v358=")</f>
        <v>#VALUE!</v>
      </c>
      <c r="FE168" t="e">
        <f>AND(Bills!Z683,"AAAAAA3v36A=")</f>
        <v>#VALUE!</v>
      </c>
      <c r="FF168" t="e">
        <f>AND(Bills!#REF!,"AAAAAA3v36E=")</f>
        <v>#REF!</v>
      </c>
      <c r="FG168" t="e">
        <f>AND(Bills!#REF!,"AAAAAA3v36I=")</f>
        <v>#REF!</v>
      </c>
      <c r="FH168" t="e">
        <f>AND(Bills!#REF!,"AAAAAA3v36M=")</f>
        <v>#REF!</v>
      </c>
      <c r="FI168" t="e">
        <f>AND(Bills!#REF!,"AAAAAA3v36Q=")</f>
        <v>#REF!</v>
      </c>
      <c r="FJ168" t="e">
        <f>AND(Bills!#REF!,"AAAAAA3v36U=")</f>
        <v>#REF!</v>
      </c>
      <c r="FK168" t="e">
        <f>AND(Bills!#REF!,"AAAAAA3v36Y=")</f>
        <v>#REF!</v>
      </c>
      <c r="FL168" t="e">
        <f>AND(Bills!#REF!,"AAAAAA3v36c=")</f>
        <v>#REF!</v>
      </c>
      <c r="FM168" t="e">
        <f>AND(Bills!#REF!,"AAAAAA3v36g=")</f>
        <v>#REF!</v>
      </c>
      <c r="FN168" t="e">
        <f>AND(Bills!#REF!,"AAAAAA3v36k=")</f>
        <v>#REF!</v>
      </c>
      <c r="FO168" t="e">
        <f>AND(Bills!AA683,"AAAAAA3v36o=")</f>
        <v>#VALUE!</v>
      </c>
      <c r="FP168" t="e">
        <f>AND(Bills!AB683,"AAAAAA3v36s=")</f>
        <v>#VALUE!</v>
      </c>
      <c r="FQ168" t="e">
        <f>AND(Bills!#REF!,"AAAAAA3v36w=")</f>
        <v>#REF!</v>
      </c>
      <c r="FR168" t="e">
        <f>AND(Bills!#REF!,"AAAAAA3v360=")</f>
        <v>#REF!</v>
      </c>
      <c r="FS168" t="e">
        <f>AND(Bills!#REF!,"AAAAAA3v364=")</f>
        <v>#REF!</v>
      </c>
      <c r="FT168" t="e">
        <f>AND(Bills!AC683,"AAAAAA3v368=")</f>
        <v>#VALUE!</v>
      </c>
      <c r="FU168" t="e">
        <f>AND(Bills!AD683,"AAAAAA3v37A=")</f>
        <v>#VALUE!</v>
      </c>
      <c r="FV168" t="e">
        <f>AND(Bills!AE683,"AAAAAA3v37E=")</f>
        <v>#VALUE!</v>
      </c>
      <c r="FW168">
        <f>IF(Bills!684:684,"AAAAAA3v37I=",0)</f>
        <v>0</v>
      </c>
      <c r="FX168" t="e">
        <f>AND(Bills!B684,"AAAAAA3v37M=")</f>
        <v>#VALUE!</v>
      </c>
      <c r="FY168" t="e">
        <f>AND(Bills!#REF!,"AAAAAA3v37Q=")</f>
        <v>#REF!</v>
      </c>
      <c r="FZ168" t="e">
        <f>AND(Bills!C684,"AAAAAA3v37U=")</f>
        <v>#VALUE!</v>
      </c>
      <c r="GA168" t="e">
        <f>AND(Bills!D684,"AAAAAA3v37Y=")</f>
        <v>#VALUE!</v>
      </c>
      <c r="GB168" t="e">
        <f>AND(Bills!E684,"AAAAAA3v37c=")</f>
        <v>#VALUE!</v>
      </c>
      <c r="GC168" t="e">
        <f>AND(Bills!#REF!,"AAAAAA3v37g=")</f>
        <v>#REF!</v>
      </c>
      <c r="GD168" t="e">
        <f>AND(Bills!#REF!,"AAAAAA3v37k=")</f>
        <v>#REF!</v>
      </c>
      <c r="GE168" t="e">
        <f>AND(Bills!#REF!,"AAAAAA3v37o=")</f>
        <v>#REF!</v>
      </c>
      <c r="GF168" t="e">
        <f>AND(Bills!F684,"AAAAAA3v37s=")</f>
        <v>#VALUE!</v>
      </c>
      <c r="GG168" t="e">
        <f>AND(Bills!#REF!,"AAAAAA3v37w=")</f>
        <v>#REF!</v>
      </c>
      <c r="GH168" t="e">
        <f>AND(Bills!G684,"AAAAAA3v370=")</f>
        <v>#VALUE!</v>
      </c>
      <c r="GI168" t="e">
        <f>AND(Bills!H684,"AAAAAA3v374=")</f>
        <v>#VALUE!</v>
      </c>
      <c r="GJ168" t="e">
        <f>AND(Bills!I684,"AAAAAA3v378=")</f>
        <v>#VALUE!</v>
      </c>
      <c r="GK168" t="e">
        <f>AND(Bills!J684,"AAAAAA3v38A=")</f>
        <v>#VALUE!</v>
      </c>
      <c r="GL168" t="e">
        <f>AND(Bills!K684,"AAAAAA3v38E=")</f>
        <v>#VALUE!</v>
      </c>
      <c r="GM168" t="e">
        <f>AND(Bills!L684,"AAAAAA3v38I=")</f>
        <v>#VALUE!</v>
      </c>
      <c r="GN168" t="e">
        <f>AND(Bills!#REF!,"AAAAAA3v38M=")</f>
        <v>#REF!</v>
      </c>
      <c r="GO168" t="e">
        <f>AND(Bills!M684,"AAAAAA3v38Q=")</f>
        <v>#VALUE!</v>
      </c>
      <c r="GP168" t="e">
        <f>AND(Bills!N684,"AAAAAA3v38U=")</f>
        <v>#VALUE!</v>
      </c>
      <c r="GQ168" t="e">
        <f>AND(Bills!O684,"AAAAAA3v38Y=")</f>
        <v>#VALUE!</v>
      </c>
      <c r="GR168" t="e">
        <f>AND(Bills!P684,"AAAAAA3v38c=")</f>
        <v>#VALUE!</v>
      </c>
      <c r="GS168" t="e">
        <f>AND(Bills!Q684,"AAAAAA3v38g=")</f>
        <v>#VALUE!</v>
      </c>
      <c r="GT168" t="e">
        <f>AND(Bills!R684,"AAAAAA3v38k=")</f>
        <v>#VALUE!</v>
      </c>
      <c r="GU168" t="e">
        <f>AND(Bills!S684,"AAAAAA3v38o=")</f>
        <v>#VALUE!</v>
      </c>
      <c r="GV168" t="e">
        <f>AND(Bills!T684,"AAAAAA3v38s=")</f>
        <v>#VALUE!</v>
      </c>
      <c r="GW168" t="e">
        <f>AND(Bills!#REF!,"AAAAAA3v38w=")</f>
        <v>#REF!</v>
      </c>
      <c r="GX168" t="e">
        <f>AND(Bills!U684,"AAAAAA3v380=")</f>
        <v>#VALUE!</v>
      </c>
      <c r="GY168" t="e">
        <f>AND(Bills!V684,"AAAAAA3v384=")</f>
        <v>#VALUE!</v>
      </c>
      <c r="GZ168" t="e">
        <f>AND(Bills!W684,"AAAAAA3v388=")</f>
        <v>#VALUE!</v>
      </c>
      <c r="HA168" t="e">
        <f>AND(Bills!#REF!,"AAAAAA3v39A=")</f>
        <v>#REF!</v>
      </c>
      <c r="HB168" t="e">
        <f>AND(Bills!#REF!,"AAAAAA3v39E=")</f>
        <v>#REF!</v>
      </c>
      <c r="HC168" t="e">
        <f>AND(Bills!Y684,"AAAAAA3v39I=")</f>
        <v>#VALUE!</v>
      </c>
      <c r="HD168" t="e">
        <f>AND(Bills!Z684,"AAAAAA3v39M=")</f>
        <v>#VALUE!</v>
      </c>
      <c r="HE168" t="e">
        <f>AND(Bills!#REF!,"AAAAAA3v39Q=")</f>
        <v>#REF!</v>
      </c>
      <c r="HF168" t="e">
        <f>AND(Bills!#REF!,"AAAAAA3v39U=")</f>
        <v>#REF!</v>
      </c>
      <c r="HG168" t="e">
        <f>AND(Bills!#REF!,"AAAAAA3v39Y=")</f>
        <v>#REF!</v>
      </c>
      <c r="HH168" t="e">
        <f>AND(Bills!#REF!,"AAAAAA3v39c=")</f>
        <v>#REF!</v>
      </c>
      <c r="HI168" t="e">
        <f>AND(Bills!#REF!,"AAAAAA3v39g=")</f>
        <v>#REF!</v>
      </c>
      <c r="HJ168" t="e">
        <f>AND(Bills!#REF!,"AAAAAA3v39k=")</f>
        <v>#REF!</v>
      </c>
      <c r="HK168" t="e">
        <f>AND(Bills!#REF!,"AAAAAA3v39o=")</f>
        <v>#REF!</v>
      </c>
      <c r="HL168" t="e">
        <f>AND(Bills!#REF!,"AAAAAA3v39s=")</f>
        <v>#REF!</v>
      </c>
      <c r="HM168" t="e">
        <f>AND(Bills!#REF!,"AAAAAA3v39w=")</f>
        <v>#REF!</v>
      </c>
      <c r="HN168" t="e">
        <f>AND(Bills!AA684,"AAAAAA3v390=")</f>
        <v>#VALUE!</v>
      </c>
      <c r="HO168" t="e">
        <f>AND(Bills!AB684,"AAAAAA3v394=")</f>
        <v>#VALUE!</v>
      </c>
      <c r="HP168" t="e">
        <f>AND(Bills!#REF!,"AAAAAA3v398=")</f>
        <v>#REF!</v>
      </c>
      <c r="HQ168" t="e">
        <f>AND(Bills!#REF!,"AAAAAA3v3+A=")</f>
        <v>#REF!</v>
      </c>
      <c r="HR168" t="e">
        <f>AND(Bills!#REF!,"AAAAAA3v3+E=")</f>
        <v>#REF!</v>
      </c>
      <c r="HS168" t="e">
        <f>AND(Bills!AC684,"AAAAAA3v3+I=")</f>
        <v>#VALUE!</v>
      </c>
      <c r="HT168" t="e">
        <f>AND(Bills!AD684,"AAAAAA3v3+M=")</f>
        <v>#VALUE!</v>
      </c>
      <c r="HU168" t="e">
        <f>AND(Bills!AE684,"AAAAAA3v3+Q=")</f>
        <v>#VALUE!</v>
      </c>
      <c r="HV168">
        <f>IF(Bills!685:685,"AAAAAA3v3+U=",0)</f>
        <v>0</v>
      </c>
      <c r="HW168" t="e">
        <f>AND(Bills!B685,"AAAAAA3v3+Y=")</f>
        <v>#VALUE!</v>
      </c>
      <c r="HX168" t="e">
        <f>AND(Bills!#REF!,"AAAAAA3v3+c=")</f>
        <v>#REF!</v>
      </c>
      <c r="HY168" t="e">
        <f>AND(Bills!C685,"AAAAAA3v3+g=")</f>
        <v>#VALUE!</v>
      </c>
      <c r="HZ168" t="e">
        <f>AND(Bills!D685,"AAAAAA3v3+k=")</f>
        <v>#VALUE!</v>
      </c>
      <c r="IA168" t="e">
        <f>AND(Bills!E685,"AAAAAA3v3+o=")</f>
        <v>#VALUE!</v>
      </c>
      <c r="IB168" t="e">
        <f>AND(Bills!#REF!,"AAAAAA3v3+s=")</f>
        <v>#REF!</v>
      </c>
      <c r="IC168" t="e">
        <f>AND(Bills!#REF!,"AAAAAA3v3+w=")</f>
        <v>#REF!</v>
      </c>
      <c r="ID168" t="e">
        <f>AND(Bills!#REF!,"AAAAAA3v3+0=")</f>
        <v>#REF!</v>
      </c>
      <c r="IE168" t="e">
        <f>AND(Bills!F685,"AAAAAA3v3+4=")</f>
        <v>#VALUE!</v>
      </c>
      <c r="IF168" t="e">
        <f>AND(Bills!#REF!,"AAAAAA3v3+8=")</f>
        <v>#REF!</v>
      </c>
      <c r="IG168" t="e">
        <f>AND(Bills!G685,"AAAAAA3v3/A=")</f>
        <v>#VALUE!</v>
      </c>
      <c r="IH168" t="e">
        <f>AND(Bills!H685,"AAAAAA3v3/E=")</f>
        <v>#VALUE!</v>
      </c>
      <c r="II168" t="e">
        <f>AND(Bills!I685,"AAAAAA3v3/I=")</f>
        <v>#VALUE!</v>
      </c>
      <c r="IJ168" t="e">
        <f>AND(Bills!J685,"AAAAAA3v3/M=")</f>
        <v>#VALUE!</v>
      </c>
      <c r="IK168" t="e">
        <f>AND(Bills!K685,"AAAAAA3v3/Q=")</f>
        <v>#VALUE!</v>
      </c>
      <c r="IL168" t="e">
        <f>AND(Bills!L685,"AAAAAA3v3/U=")</f>
        <v>#VALUE!</v>
      </c>
      <c r="IM168" t="e">
        <f>AND(Bills!#REF!,"AAAAAA3v3/Y=")</f>
        <v>#REF!</v>
      </c>
      <c r="IN168" t="e">
        <f>AND(Bills!M685,"AAAAAA3v3/c=")</f>
        <v>#VALUE!</v>
      </c>
      <c r="IO168" t="e">
        <f>AND(Bills!N685,"AAAAAA3v3/g=")</f>
        <v>#VALUE!</v>
      </c>
      <c r="IP168" t="e">
        <f>AND(Bills!O685,"AAAAAA3v3/k=")</f>
        <v>#VALUE!</v>
      </c>
      <c r="IQ168" t="e">
        <f>AND(Bills!P685,"AAAAAA3v3/o=")</f>
        <v>#VALUE!</v>
      </c>
      <c r="IR168" t="e">
        <f>AND(Bills!Q685,"AAAAAA3v3/s=")</f>
        <v>#VALUE!</v>
      </c>
      <c r="IS168" t="e">
        <f>AND(Bills!R685,"AAAAAA3v3/w=")</f>
        <v>#VALUE!</v>
      </c>
      <c r="IT168" t="e">
        <f>AND(Bills!S685,"AAAAAA3v3/0=")</f>
        <v>#VALUE!</v>
      </c>
      <c r="IU168" t="e">
        <f>AND(Bills!T685,"AAAAAA3v3/4=")</f>
        <v>#VALUE!</v>
      </c>
      <c r="IV168" t="e">
        <f>AND(Bills!#REF!,"AAAAAA3v3/8=")</f>
        <v>#REF!</v>
      </c>
    </row>
    <row r="169" spans="1:256" x14ac:dyDescent="0.25">
      <c r="A169" t="e">
        <f>AND(Bills!U685,"AAAAAD9uuwA=")</f>
        <v>#VALUE!</v>
      </c>
      <c r="B169" t="e">
        <f>AND(Bills!V685,"AAAAAD9uuwE=")</f>
        <v>#VALUE!</v>
      </c>
      <c r="C169" t="e">
        <f>AND(Bills!W685,"AAAAAD9uuwI=")</f>
        <v>#VALUE!</v>
      </c>
      <c r="D169" t="e">
        <f>AND(Bills!#REF!,"AAAAAD9uuwM=")</f>
        <v>#REF!</v>
      </c>
      <c r="E169" t="e">
        <f>AND(Bills!#REF!,"AAAAAD9uuwQ=")</f>
        <v>#REF!</v>
      </c>
      <c r="F169" t="e">
        <f>AND(Bills!Y685,"AAAAAD9uuwU=")</f>
        <v>#VALUE!</v>
      </c>
      <c r="G169" t="e">
        <f>AND(Bills!Z685,"AAAAAD9uuwY=")</f>
        <v>#VALUE!</v>
      </c>
      <c r="H169" t="e">
        <f>AND(Bills!#REF!,"AAAAAD9uuwc=")</f>
        <v>#REF!</v>
      </c>
      <c r="I169" t="e">
        <f>AND(Bills!#REF!,"AAAAAD9uuwg=")</f>
        <v>#REF!</v>
      </c>
      <c r="J169" t="e">
        <f>AND(Bills!#REF!,"AAAAAD9uuwk=")</f>
        <v>#REF!</v>
      </c>
      <c r="K169" t="e">
        <f>AND(Bills!#REF!,"AAAAAD9uuwo=")</f>
        <v>#REF!</v>
      </c>
      <c r="L169" t="e">
        <f>AND(Bills!#REF!,"AAAAAD9uuws=")</f>
        <v>#REF!</v>
      </c>
      <c r="M169" t="e">
        <f>AND(Bills!#REF!,"AAAAAD9uuww=")</f>
        <v>#REF!</v>
      </c>
      <c r="N169" t="e">
        <f>AND(Bills!#REF!,"AAAAAD9uuw0=")</f>
        <v>#REF!</v>
      </c>
      <c r="O169" t="e">
        <f>AND(Bills!#REF!,"AAAAAD9uuw4=")</f>
        <v>#REF!</v>
      </c>
      <c r="P169" t="e">
        <f>AND(Bills!#REF!,"AAAAAD9uuw8=")</f>
        <v>#REF!</v>
      </c>
      <c r="Q169" t="e">
        <f>AND(Bills!AA685,"AAAAAD9uuxA=")</f>
        <v>#VALUE!</v>
      </c>
      <c r="R169" t="e">
        <f>AND(Bills!AB685,"AAAAAD9uuxE=")</f>
        <v>#VALUE!</v>
      </c>
      <c r="S169" t="e">
        <f>AND(Bills!#REF!,"AAAAAD9uuxI=")</f>
        <v>#REF!</v>
      </c>
      <c r="T169" t="e">
        <f>AND(Bills!#REF!,"AAAAAD9uuxM=")</f>
        <v>#REF!</v>
      </c>
      <c r="U169" t="e">
        <f>AND(Bills!#REF!,"AAAAAD9uuxQ=")</f>
        <v>#REF!</v>
      </c>
      <c r="V169" t="e">
        <f>AND(Bills!AC685,"AAAAAD9uuxU=")</f>
        <v>#VALUE!</v>
      </c>
      <c r="W169" t="e">
        <f>AND(Bills!AD685,"AAAAAD9uuxY=")</f>
        <v>#VALUE!</v>
      </c>
      <c r="X169" t="e">
        <f>AND(Bills!AE685,"AAAAAD9uuxc=")</f>
        <v>#VALUE!</v>
      </c>
      <c r="Y169">
        <f>IF(Bills!686:686,"AAAAAD9uuxg=",0)</f>
        <v>0</v>
      </c>
      <c r="Z169" t="e">
        <f>AND(Bills!B686,"AAAAAD9uuxk=")</f>
        <v>#VALUE!</v>
      </c>
      <c r="AA169" t="e">
        <f>AND(Bills!#REF!,"AAAAAD9uuxo=")</f>
        <v>#REF!</v>
      </c>
      <c r="AB169" t="e">
        <f>AND(Bills!C686,"AAAAAD9uuxs=")</f>
        <v>#VALUE!</v>
      </c>
      <c r="AC169" t="e">
        <f>AND(Bills!D686,"AAAAAD9uuxw=")</f>
        <v>#VALUE!</v>
      </c>
      <c r="AD169" t="e">
        <f>AND(Bills!E686,"AAAAAD9uux0=")</f>
        <v>#VALUE!</v>
      </c>
      <c r="AE169" t="e">
        <f>AND(Bills!#REF!,"AAAAAD9uux4=")</f>
        <v>#REF!</v>
      </c>
      <c r="AF169" t="e">
        <f>AND(Bills!#REF!,"AAAAAD9uux8=")</f>
        <v>#REF!</v>
      </c>
      <c r="AG169" t="e">
        <f>AND(Bills!#REF!,"AAAAAD9uuyA=")</f>
        <v>#REF!</v>
      </c>
      <c r="AH169" t="e">
        <f>AND(Bills!F686,"AAAAAD9uuyE=")</f>
        <v>#VALUE!</v>
      </c>
      <c r="AI169" t="e">
        <f>AND(Bills!#REF!,"AAAAAD9uuyI=")</f>
        <v>#REF!</v>
      </c>
      <c r="AJ169" t="e">
        <f>AND(Bills!G686,"AAAAAD9uuyM=")</f>
        <v>#VALUE!</v>
      </c>
      <c r="AK169" t="e">
        <f>AND(Bills!H686,"AAAAAD9uuyQ=")</f>
        <v>#VALUE!</v>
      </c>
      <c r="AL169" t="e">
        <f>AND(Bills!I686,"AAAAAD9uuyU=")</f>
        <v>#VALUE!</v>
      </c>
      <c r="AM169" t="e">
        <f>AND(Bills!J686,"AAAAAD9uuyY=")</f>
        <v>#VALUE!</v>
      </c>
      <c r="AN169" t="e">
        <f>AND(Bills!K686,"AAAAAD9uuyc=")</f>
        <v>#VALUE!</v>
      </c>
      <c r="AO169" t="e">
        <f>AND(Bills!L686,"AAAAAD9uuyg=")</f>
        <v>#VALUE!</v>
      </c>
      <c r="AP169" t="e">
        <f>AND(Bills!#REF!,"AAAAAD9uuyk=")</f>
        <v>#REF!</v>
      </c>
      <c r="AQ169" t="e">
        <f>AND(Bills!M686,"AAAAAD9uuyo=")</f>
        <v>#VALUE!</v>
      </c>
      <c r="AR169" t="e">
        <f>AND(Bills!N686,"AAAAAD9uuys=")</f>
        <v>#VALUE!</v>
      </c>
      <c r="AS169" t="e">
        <f>AND(Bills!O686,"AAAAAD9uuyw=")</f>
        <v>#VALUE!</v>
      </c>
      <c r="AT169" t="e">
        <f>AND(Bills!P686,"AAAAAD9uuy0=")</f>
        <v>#VALUE!</v>
      </c>
      <c r="AU169" t="e">
        <f>AND(Bills!Q686,"AAAAAD9uuy4=")</f>
        <v>#VALUE!</v>
      </c>
      <c r="AV169" t="e">
        <f>AND(Bills!R686,"AAAAAD9uuy8=")</f>
        <v>#VALUE!</v>
      </c>
      <c r="AW169" t="e">
        <f>AND(Bills!S686,"AAAAAD9uuzA=")</f>
        <v>#VALUE!</v>
      </c>
      <c r="AX169" t="e">
        <f>AND(Bills!T686,"AAAAAD9uuzE=")</f>
        <v>#VALUE!</v>
      </c>
      <c r="AY169" t="e">
        <f>AND(Bills!#REF!,"AAAAAD9uuzI=")</f>
        <v>#REF!</v>
      </c>
      <c r="AZ169" t="e">
        <f>AND(Bills!U686,"AAAAAD9uuzM=")</f>
        <v>#VALUE!</v>
      </c>
      <c r="BA169" t="e">
        <f>AND(Bills!V686,"AAAAAD9uuzQ=")</f>
        <v>#VALUE!</v>
      </c>
      <c r="BB169" t="e">
        <f>AND(Bills!W686,"AAAAAD9uuzU=")</f>
        <v>#VALUE!</v>
      </c>
      <c r="BC169" t="e">
        <f>AND(Bills!#REF!,"AAAAAD9uuzY=")</f>
        <v>#REF!</v>
      </c>
      <c r="BD169" t="e">
        <f>AND(Bills!#REF!,"AAAAAD9uuzc=")</f>
        <v>#REF!</v>
      </c>
      <c r="BE169" t="e">
        <f>AND(Bills!Y686,"AAAAAD9uuzg=")</f>
        <v>#VALUE!</v>
      </c>
      <c r="BF169" t="e">
        <f>AND(Bills!Z686,"AAAAAD9uuzk=")</f>
        <v>#VALUE!</v>
      </c>
      <c r="BG169" t="e">
        <f>AND(Bills!#REF!,"AAAAAD9uuzo=")</f>
        <v>#REF!</v>
      </c>
      <c r="BH169" t="e">
        <f>AND(Bills!#REF!,"AAAAAD9uuzs=")</f>
        <v>#REF!</v>
      </c>
      <c r="BI169" t="e">
        <f>AND(Bills!#REF!,"AAAAAD9uuzw=")</f>
        <v>#REF!</v>
      </c>
      <c r="BJ169" t="e">
        <f>AND(Bills!#REF!,"AAAAAD9uuz0=")</f>
        <v>#REF!</v>
      </c>
      <c r="BK169" t="e">
        <f>AND(Bills!#REF!,"AAAAAD9uuz4=")</f>
        <v>#REF!</v>
      </c>
      <c r="BL169" t="e">
        <f>AND(Bills!#REF!,"AAAAAD9uuz8=")</f>
        <v>#REF!</v>
      </c>
      <c r="BM169" t="e">
        <f>AND(Bills!#REF!,"AAAAAD9uu0A=")</f>
        <v>#REF!</v>
      </c>
      <c r="BN169" t="e">
        <f>AND(Bills!#REF!,"AAAAAD9uu0E=")</f>
        <v>#REF!</v>
      </c>
      <c r="BO169" t="e">
        <f>AND(Bills!#REF!,"AAAAAD9uu0I=")</f>
        <v>#REF!</v>
      </c>
      <c r="BP169" t="e">
        <f>AND(Bills!AA686,"AAAAAD9uu0M=")</f>
        <v>#VALUE!</v>
      </c>
      <c r="BQ169" t="e">
        <f>AND(Bills!AB686,"AAAAAD9uu0Q=")</f>
        <v>#VALUE!</v>
      </c>
      <c r="BR169" t="e">
        <f>AND(Bills!#REF!,"AAAAAD9uu0U=")</f>
        <v>#REF!</v>
      </c>
      <c r="BS169" t="e">
        <f>AND(Bills!#REF!,"AAAAAD9uu0Y=")</f>
        <v>#REF!</v>
      </c>
      <c r="BT169" t="e">
        <f>AND(Bills!#REF!,"AAAAAD9uu0c=")</f>
        <v>#REF!</v>
      </c>
      <c r="BU169" t="e">
        <f>AND(Bills!AC686,"AAAAAD9uu0g=")</f>
        <v>#VALUE!</v>
      </c>
      <c r="BV169" t="e">
        <f>AND(Bills!AD686,"AAAAAD9uu0k=")</f>
        <v>#VALUE!</v>
      </c>
      <c r="BW169" t="e">
        <f>AND(Bills!AE686,"AAAAAD9uu0o=")</f>
        <v>#VALUE!</v>
      </c>
      <c r="BX169">
        <f>IF(Bills!687:687,"AAAAAD9uu0s=",0)</f>
        <v>0</v>
      </c>
      <c r="BY169" t="e">
        <f>AND(Bills!B687,"AAAAAD9uu0w=")</f>
        <v>#VALUE!</v>
      </c>
      <c r="BZ169" t="e">
        <f>AND(Bills!#REF!,"AAAAAD9uu00=")</f>
        <v>#REF!</v>
      </c>
      <c r="CA169" t="e">
        <f>AND(Bills!C687,"AAAAAD9uu04=")</f>
        <v>#VALUE!</v>
      </c>
      <c r="CB169" t="e">
        <f>AND(Bills!D687,"AAAAAD9uu08=")</f>
        <v>#VALUE!</v>
      </c>
      <c r="CC169" t="e">
        <f>AND(Bills!E687,"AAAAAD9uu1A=")</f>
        <v>#VALUE!</v>
      </c>
      <c r="CD169" t="e">
        <f>AND(Bills!#REF!,"AAAAAD9uu1E=")</f>
        <v>#REF!</v>
      </c>
      <c r="CE169" t="e">
        <f>AND(Bills!#REF!,"AAAAAD9uu1I=")</f>
        <v>#REF!</v>
      </c>
      <c r="CF169" t="e">
        <f>AND(Bills!#REF!,"AAAAAD9uu1M=")</f>
        <v>#REF!</v>
      </c>
      <c r="CG169" t="e">
        <f>AND(Bills!F687,"AAAAAD9uu1Q=")</f>
        <v>#VALUE!</v>
      </c>
      <c r="CH169" t="e">
        <f>AND(Bills!#REF!,"AAAAAD9uu1U=")</f>
        <v>#REF!</v>
      </c>
      <c r="CI169" t="e">
        <f>AND(Bills!G687,"AAAAAD9uu1Y=")</f>
        <v>#VALUE!</v>
      </c>
      <c r="CJ169" t="e">
        <f>AND(Bills!H687,"AAAAAD9uu1c=")</f>
        <v>#VALUE!</v>
      </c>
      <c r="CK169" t="e">
        <f>AND(Bills!I687,"AAAAAD9uu1g=")</f>
        <v>#VALUE!</v>
      </c>
      <c r="CL169" t="e">
        <f>AND(Bills!J687,"AAAAAD9uu1k=")</f>
        <v>#VALUE!</v>
      </c>
      <c r="CM169" t="e">
        <f>AND(Bills!K687,"AAAAAD9uu1o=")</f>
        <v>#VALUE!</v>
      </c>
      <c r="CN169" t="e">
        <f>AND(Bills!L687,"AAAAAD9uu1s=")</f>
        <v>#VALUE!</v>
      </c>
      <c r="CO169" t="e">
        <f>AND(Bills!#REF!,"AAAAAD9uu1w=")</f>
        <v>#REF!</v>
      </c>
      <c r="CP169" t="e">
        <f>AND(Bills!M687,"AAAAAD9uu10=")</f>
        <v>#VALUE!</v>
      </c>
      <c r="CQ169" t="e">
        <f>AND(Bills!N687,"AAAAAD9uu14=")</f>
        <v>#VALUE!</v>
      </c>
      <c r="CR169" t="e">
        <f>AND(Bills!O687,"AAAAAD9uu18=")</f>
        <v>#VALUE!</v>
      </c>
      <c r="CS169" t="e">
        <f>AND(Bills!P687,"AAAAAD9uu2A=")</f>
        <v>#VALUE!</v>
      </c>
      <c r="CT169" t="e">
        <f>AND(Bills!Q687,"AAAAAD9uu2E=")</f>
        <v>#VALUE!</v>
      </c>
      <c r="CU169" t="e">
        <f>AND(Bills!R687,"AAAAAD9uu2I=")</f>
        <v>#VALUE!</v>
      </c>
      <c r="CV169" t="e">
        <f>AND(Bills!S687,"AAAAAD9uu2M=")</f>
        <v>#VALUE!</v>
      </c>
      <c r="CW169" t="e">
        <f>AND(Bills!T687,"AAAAAD9uu2Q=")</f>
        <v>#VALUE!</v>
      </c>
      <c r="CX169" t="e">
        <f>AND(Bills!#REF!,"AAAAAD9uu2U=")</f>
        <v>#REF!</v>
      </c>
      <c r="CY169" t="e">
        <f>AND(Bills!U687,"AAAAAD9uu2Y=")</f>
        <v>#VALUE!</v>
      </c>
      <c r="CZ169" t="e">
        <f>AND(Bills!V687,"AAAAAD9uu2c=")</f>
        <v>#VALUE!</v>
      </c>
      <c r="DA169" t="e">
        <f>AND(Bills!W687,"AAAAAD9uu2g=")</f>
        <v>#VALUE!</v>
      </c>
      <c r="DB169" t="e">
        <f>AND(Bills!#REF!,"AAAAAD9uu2k=")</f>
        <v>#REF!</v>
      </c>
      <c r="DC169" t="e">
        <f>AND(Bills!#REF!,"AAAAAD9uu2o=")</f>
        <v>#REF!</v>
      </c>
      <c r="DD169" t="e">
        <f>AND(Bills!Y687,"AAAAAD9uu2s=")</f>
        <v>#VALUE!</v>
      </c>
      <c r="DE169" t="e">
        <f>AND(Bills!Z687,"AAAAAD9uu2w=")</f>
        <v>#VALUE!</v>
      </c>
      <c r="DF169" t="e">
        <f>AND(Bills!#REF!,"AAAAAD9uu20=")</f>
        <v>#REF!</v>
      </c>
      <c r="DG169" t="e">
        <f>AND(Bills!#REF!,"AAAAAD9uu24=")</f>
        <v>#REF!</v>
      </c>
      <c r="DH169" t="e">
        <f>AND(Bills!#REF!,"AAAAAD9uu28=")</f>
        <v>#REF!</v>
      </c>
      <c r="DI169" t="e">
        <f>AND(Bills!#REF!,"AAAAAD9uu3A=")</f>
        <v>#REF!</v>
      </c>
      <c r="DJ169" t="e">
        <f>AND(Bills!#REF!,"AAAAAD9uu3E=")</f>
        <v>#REF!</v>
      </c>
      <c r="DK169" t="e">
        <f>AND(Bills!#REF!,"AAAAAD9uu3I=")</f>
        <v>#REF!</v>
      </c>
      <c r="DL169" t="e">
        <f>AND(Bills!#REF!,"AAAAAD9uu3M=")</f>
        <v>#REF!</v>
      </c>
      <c r="DM169" t="e">
        <f>AND(Bills!#REF!,"AAAAAD9uu3Q=")</f>
        <v>#REF!</v>
      </c>
      <c r="DN169" t="e">
        <f>AND(Bills!#REF!,"AAAAAD9uu3U=")</f>
        <v>#REF!</v>
      </c>
      <c r="DO169" t="e">
        <f>AND(Bills!AA687,"AAAAAD9uu3Y=")</f>
        <v>#VALUE!</v>
      </c>
      <c r="DP169" t="e">
        <f>AND(Bills!AB687,"AAAAAD9uu3c=")</f>
        <v>#VALUE!</v>
      </c>
      <c r="DQ169" t="e">
        <f>AND(Bills!#REF!,"AAAAAD9uu3g=")</f>
        <v>#REF!</v>
      </c>
      <c r="DR169" t="e">
        <f>AND(Bills!#REF!,"AAAAAD9uu3k=")</f>
        <v>#REF!</v>
      </c>
      <c r="DS169" t="e">
        <f>AND(Bills!#REF!,"AAAAAD9uu3o=")</f>
        <v>#REF!</v>
      </c>
      <c r="DT169" t="e">
        <f>AND(Bills!AC687,"AAAAAD9uu3s=")</f>
        <v>#VALUE!</v>
      </c>
      <c r="DU169" t="e">
        <f>AND(Bills!AD687,"AAAAAD9uu3w=")</f>
        <v>#VALUE!</v>
      </c>
      <c r="DV169" t="e">
        <f>AND(Bills!AE687,"AAAAAD9uu30=")</f>
        <v>#VALUE!</v>
      </c>
      <c r="DW169">
        <f>IF(Bills!688:688,"AAAAAD9uu34=",0)</f>
        <v>0</v>
      </c>
      <c r="DX169" t="e">
        <f>AND(Bills!B688,"AAAAAD9uu38=")</f>
        <v>#VALUE!</v>
      </c>
      <c r="DY169" t="e">
        <f>AND(Bills!#REF!,"AAAAAD9uu4A=")</f>
        <v>#REF!</v>
      </c>
      <c r="DZ169" t="e">
        <f>AND(Bills!C688,"AAAAAD9uu4E=")</f>
        <v>#VALUE!</v>
      </c>
      <c r="EA169" t="e">
        <f>AND(Bills!D688,"AAAAAD9uu4I=")</f>
        <v>#VALUE!</v>
      </c>
      <c r="EB169" t="e">
        <f>AND(Bills!E688,"AAAAAD9uu4M=")</f>
        <v>#VALUE!</v>
      </c>
      <c r="EC169" t="e">
        <f>AND(Bills!#REF!,"AAAAAD9uu4Q=")</f>
        <v>#REF!</v>
      </c>
      <c r="ED169" t="e">
        <f>AND(Bills!#REF!,"AAAAAD9uu4U=")</f>
        <v>#REF!</v>
      </c>
      <c r="EE169" t="e">
        <f>AND(Bills!#REF!,"AAAAAD9uu4Y=")</f>
        <v>#REF!</v>
      </c>
      <c r="EF169" t="e">
        <f>AND(Bills!F688,"AAAAAD9uu4c=")</f>
        <v>#VALUE!</v>
      </c>
      <c r="EG169" t="e">
        <f>AND(Bills!#REF!,"AAAAAD9uu4g=")</f>
        <v>#REF!</v>
      </c>
      <c r="EH169" t="e">
        <f>AND(Bills!G688,"AAAAAD9uu4k=")</f>
        <v>#VALUE!</v>
      </c>
      <c r="EI169" t="e">
        <f>AND(Bills!H688,"AAAAAD9uu4o=")</f>
        <v>#VALUE!</v>
      </c>
      <c r="EJ169" t="e">
        <f>AND(Bills!I688,"AAAAAD9uu4s=")</f>
        <v>#VALUE!</v>
      </c>
      <c r="EK169" t="e">
        <f>AND(Bills!J688,"AAAAAD9uu4w=")</f>
        <v>#VALUE!</v>
      </c>
      <c r="EL169" t="e">
        <f>AND(Bills!K688,"AAAAAD9uu40=")</f>
        <v>#VALUE!</v>
      </c>
      <c r="EM169" t="e">
        <f>AND(Bills!L688,"AAAAAD9uu44=")</f>
        <v>#VALUE!</v>
      </c>
      <c r="EN169" t="e">
        <f>AND(Bills!#REF!,"AAAAAD9uu48=")</f>
        <v>#REF!</v>
      </c>
      <c r="EO169" t="e">
        <f>AND(Bills!M688,"AAAAAD9uu5A=")</f>
        <v>#VALUE!</v>
      </c>
      <c r="EP169" t="e">
        <f>AND(Bills!N688,"AAAAAD9uu5E=")</f>
        <v>#VALUE!</v>
      </c>
      <c r="EQ169" t="e">
        <f>AND(Bills!O688,"AAAAAD9uu5I=")</f>
        <v>#VALUE!</v>
      </c>
      <c r="ER169" t="e">
        <f>AND(Bills!P688,"AAAAAD9uu5M=")</f>
        <v>#VALUE!</v>
      </c>
      <c r="ES169" t="e">
        <f>AND(Bills!Q688,"AAAAAD9uu5Q=")</f>
        <v>#VALUE!</v>
      </c>
      <c r="ET169" t="e">
        <f>AND(Bills!R688,"AAAAAD9uu5U=")</f>
        <v>#VALUE!</v>
      </c>
      <c r="EU169" t="e">
        <f>AND(Bills!S688,"AAAAAD9uu5Y=")</f>
        <v>#VALUE!</v>
      </c>
      <c r="EV169" t="e">
        <f>AND(Bills!T688,"AAAAAD9uu5c=")</f>
        <v>#VALUE!</v>
      </c>
      <c r="EW169" t="e">
        <f>AND(Bills!#REF!,"AAAAAD9uu5g=")</f>
        <v>#REF!</v>
      </c>
      <c r="EX169" t="e">
        <f>AND(Bills!U688,"AAAAAD9uu5k=")</f>
        <v>#VALUE!</v>
      </c>
      <c r="EY169" t="e">
        <f>AND(Bills!V688,"AAAAAD9uu5o=")</f>
        <v>#VALUE!</v>
      </c>
      <c r="EZ169" t="e">
        <f>AND(Bills!W688,"AAAAAD9uu5s=")</f>
        <v>#VALUE!</v>
      </c>
      <c r="FA169" t="e">
        <f>AND(Bills!#REF!,"AAAAAD9uu5w=")</f>
        <v>#REF!</v>
      </c>
      <c r="FB169" t="e">
        <f>AND(Bills!#REF!,"AAAAAD9uu50=")</f>
        <v>#REF!</v>
      </c>
      <c r="FC169" t="e">
        <f>AND(Bills!Y688,"AAAAAD9uu54=")</f>
        <v>#VALUE!</v>
      </c>
      <c r="FD169" t="e">
        <f>AND(Bills!Z688,"AAAAAD9uu58=")</f>
        <v>#VALUE!</v>
      </c>
      <c r="FE169" t="e">
        <f>AND(Bills!#REF!,"AAAAAD9uu6A=")</f>
        <v>#REF!</v>
      </c>
      <c r="FF169" t="e">
        <f>AND(Bills!#REF!,"AAAAAD9uu6E=")</f>
        <v>#REF!</v>
      </c>
      <c r="FG169" t="e">
        <f>AND(Bills!#REF!,"AAAAAD9uu6I=")</f>
        <v>#REF!</v>
      </c>
      <c r="FH169" t="e">
        <f>AND(Bills!#REF!,"AAAAAD9uu6M=")</f>
        <v>#REF!</v>
      </c>
      <c r="FI169" t="e">
        <f>AND(Bills!#REF!,"AAAAAD9uu6Q=")</f>
        <v>#REF!</v>
      </c>
      <c r="FJ169" t="e">
        <f>AND(Bills!#REF!,"AAAAAD9uu6U=")</f>
        <v>#REF!</v>
      </c>
      <c r="FK169" t="e">
        <f>AND(Bills!#REF!,"AAAAAD9uu6Y=")</f>
        <v>#REF!</v>
      </c>
      <c r="FL169" t="e">
        <f>AND(Bills!#REF!,"AAAAAD9uu6c=")</f>
        <v>#REF!</v>
      </c>
      <c r="FM169" t="e">
        <f>AND(Bills!#REF!,"AAAAAD9uu6g=")</f>
        <v>#REF!</v>
      </c>
      <c r="FN169" t="e">
        <f>AND(Bills!AA688,"AAAAAD9uu6k=")</f>
        <v>#VALUE!</v>
      </c>
      <c r="FO169" t="e">
        <f>AND(Bills!AB688,"AAAAAD9uu6o=")</f>
        <v>#VALUE!</v>
      </c>
      <c r="FP169" t="e">
        <f>AND(Bills!#REF!,"AAAAAD9uu6s=")</f>
        <v>#REF!</v>
      </c>
      <c r="FQ169" t="e">
        <f>AND(Bills!#REF!,"AAAAAD9uu6w=")</f>
        <v>#REF!</v>
      </c>
      <c r="FR169" t="e">
        <f>AND(Bills!#REF!,"AAAAAD9uu60=")</f>
        <v>#REF!</v>
      </c>
      <c r="FS169" t="e">
        <f>AND(Bills!AC688,"AAAAAD9uu64=")</f>
        <v>#VALUE!</v>
      </c>
      <c r="FT169" t="e">
        <f>AND(Bills!AD688,"AAAAAD9uu68=")</f>
        <v>#VALUE!</v>
      </c>
      <c r="FU169" t="e">
        <f>AND(Bills!AE688,"AAAAAD9uu7A=")</f>
        <v>#VALUE!</v>
      </c>
      <c r="FV169">
        <f>IF(Bills!689:689,"AAAAAD9uu7E=",0)</f>
        <v>0</v>
      </c>
      <c r="FW169" t="e">
        <f>AND(Bills!B689,"AAAAAD9uu7I=")</f>
        <v>#VALUE!</v>
      </c>
      <c r="FX169" t="e">
        <f>AND(Bills!#REF!,"AAAAAD9uu7M=")</f>
        <v>#REF!</v>
      </c>
      <c r="FY169" t="e">
        <f>AND(Bills!C689,"AAAAAD9uu7Q=")</f>
        <v>#VALUE!</v>
      </c>
      <c r="FZ169" t="e">
        <f>AND(Bills!D689,"AAAAAD9uu7U=")</f>
        <v>#VALUE!</v>
      </c>
      <c r="GA169" t="e">
        <f>AND(Bills!E689,"AAAAAD9uu7Y=")</f>
        <v>#VALUE!</v>
      </c>
      <c r="GB169" t="e">
        <f>AND(Bills!#REF!,"AAAAAD9uu7c=")</f>
        <v>#REF!</v>
      </c>
      <c r="GC169" t="e">
        <f>AND(Bills!#REF!,"AAAAAD9uu7g=")</f>
        <v>#REF!</v>
      </c>
      <c r="GD169" t="e">
        <f>AND(Bills!#REF!,"AAAAAD9uu7k=")</f>
        <v>#REF!</v>
      </c>
      <c r="GE169" t="e">
        <f>AND(Bills!F689,"AAAAAD9uu7o=")</f>
        <v>#VALUE!</v>
      </c>
      <c r="GF169" t="e">
        <f>AND(Bills!#REF!,"AAAAAD9uu7s=")</f>
        <v>#REF!</v>
      </c>
      <c r="GG169" t="e">
        <f>AND(Bills!G689,"AAAAAD9uu7w=")</f>
        <v>#VALUE!</v>
      </c>
      <c r="GH169" t="e">
        <f>AND(Bills!H689,"AAAAAD9uu70=")</f>
        <v>#VALUE!</v>
      </c>
      <c r="GI169" t="e">
        <f>AND(Bills!I689,"AAAAAD9uu74=")</f>
        <v>#VALUE!</v>
      </c>
      <c r="GJ169" t="e">
        <f>AND(Bills!J689,"AAAAAD9uu78=")</f>
        <v>#VALUE!</v>
      </c>
      <c r="GK169" t="e">
        <f>AND(Bills!K689,"AAAAAD9uu8A=")</f>
        <v>#VALUE!</v>
      </c>
      <c r="GL169" t="e">
        <f>AND(Bills!L689,"AAAAAD9uu8E=")</f>
        <v>#VALUE!</v>
      </c>
      <c r="GM169" t="e">
        <f>AND(Bills!#REF!,"AAAAAD9uu8I=")</f>
        <v>#REF!</v>
      </c>
      <c r="GN169" t="e">
        <f>AND(Bills!M689,"AAAAAD9uu8M=")</f>
        <v>#VALUE!</v>
      </c>
      <c r="GO169" t="e">
        <f>AND(Bills!N689,"AAAAAD9uu8Q=")</f>
        <v>#VALUE!</v>
      </c>
      <c r="GP169" t="e">
        <f>AND(Bills!O689,"AAAAAD9uu8U=")</f>
        <v>#VALUE!</v>
      </c>
      <c r="GQ169" t="e">
        <f>AND(Bills!P689,"AAAAAD9uu8Y=")</f>
        <v>#VALUE!</v>
      </c>
      <c r="GR169" t="e">
        <f>AND(Bills!Q689,"AAAAAD9uu8c=")</f>
        <v>#VALUE!</v>
      </c>
      <c r="GS169" t="e">
        <f>AND(Bills!R689,"AAAAAD9uu8g=")</f>
        <v>#VALUE!</v>
      </c>
      <c r="GT169" t="e">
        <f>AND(Bills!S689,"AAAAAD9uu8k=")</f>
        <v>#VALUE!</v>
      </c>
      <c r="GU169" t="e">
        <f>AND(Bills!T689,"AAAAAD9uu8o=")</f>
        <v>#VALUE!</v>
      </c>
      <c r="GV169" t="e">
        <f>AND(Bills!#REF!,"AAAAAD9uu8s=")</f>
        <v>#REF!</v>
      </c>
      <c r="GW169" t="e">
        <f>AND(Bills!U689,"AAAAAD9uu8w=")</f>
        <v>#VALUE!</v>
      </c>
      <c r="GX169" t="e">
        <f>AND(Bills!V689,"AAAAAD9uu80=")</f>
        <v>#VALUE!</v>
      </c>
      <c r="GY169" t="e">
        <f>AND(Bills!W689,"AAAAAD9uu84=")</f>
        <v>#VALUE!</v>
      </c>
      <c r="GZ169" t="e">
        <f>AND(Bills!#REF!,"AAAAAD9uu88=")</f>
        <v>#REF!</v>
      </c>
      <c r="HA169" t="e">
        <f>AND(Bills!#REF!,"AAAAAD9uu9A=")</f>
        <v>#REF!</v>
      </c>
      <c r="HB169" t="e">
        <f>AND(Bills!Y689,"AAAAAD9uu9E=")</f>
        <v>#VALUE!</v>
      </c>
      <c r="HC169" t="e">
        <f>AND(Bills!Z689,"AAAAAD9uu9I=")</f>
        <v>#VALUE!</v>
      </c>
      <c r="HD169" t="e">
        <f>AND(Bills!#REF!,"AAAAAD9uu9M=")</f>
        <v>#REF!</v>
      </c>
      <c r="HE169" t="e">
        <f>AND(Bills!#REF!,"AAAAAD9uu9Q=")</f>
        <v>#REF!</v>
      </c>
      <c r="HF169" t="e">
        <f>AND(Bills!#REF!,"AAAAAD9uu9U=")</f>
        <v>#REF!</v>
      </c>
      <c r="HG169" t="e">
        <f>AND(Bills!#REF!,"AAAAAD9uu9Y=")</f>
        <v>#REF!</v>
      </c>
      <c r="HH169" t="e">
        <f>AND(Bills!#REF!,"AAAAAD9uu9c=")</f>
        <v>#REF!</v>
      </c>
      <c r="HI169" t="e">
        <f>AND(Bills!#REF!,"AAAAAD9uu9g=")</f>
        <v>#REF!</v>
      </c>
      <c r="HJ169" t="e">
        <f>AND(Bills!#REF!,"AAAAAD9uu9k=")</f>
        <v>#REF!</v>
      </c>
      <c r="HK169" t="e">
        <f>AND(Bills!#REF!,"AAAAAD9uu9o=")</f>
        <v>#REF!</v>
      </c>
      <c r="HL169" t="e">
        <f>AND(Bills!#REF!,"AAAAAD9uu9s=")</f>
        <v>#REF!</v>
      </c>
      <c r="HM169" t="e">
        <f>AND(Bills!AA689,"AAAAAD9uu9w=")</f>
        <v>#VALUE!</v>
      </c>
      <c r="HN169" t="e">
        <f>AND(Bills!AB689,"AAAAAD9uu90=")</f>
        <v>#VALUE!</v>
      </c>
      <c r="HO169" t="e">
        <f>AND(Bills!#REF!,"AAAAAD9uu94=")</f>
        <v>#REF!</v>
      </c>
      <c r="HP169" t="e">
        <f>AND(Bills!#REF!,"AAAAAD9uu98=")</f>
        <v>#REF!</v>
      </c>
      <c r="HQ169" t="e">
        <f>AND(Bills!#REF!,"AAAAAD9uu+A=")</f>
        <v>#REF!</v>
      </c>
      <c r="HR169" t="e">
        <f>AND(Bills!AC689,"AAAAAD9uu+E=")</f>
        <v>#VALUE!</v>
      </c>
      <c r="HS169" t="e">
        <f>AND(Bills!AD689,"AAAAAD9uu+I=")</f>
        <v>#VALUE!</v>
      </c>
      <c r="HT169" t="e">
        <f>AND(Bills!AE689,"AAAAAD9uu+M=")</f>
        <v>#VALUE!</v>
      </c>
      <c r="HU169">
        <f>IF(Bills!690:690,"AAAAAD9uu+Q=",0)</f>
        <v>0</v>
      </c>
      <c r="HV169" t="e">
        <f>AND(Bills!B690,"AAAAAD9uu+U=")</f>
        <v>#VALUE!</v>
      </c>
      <c r="HW169" t="e">
        <f>AND(Bills!#REF!,"AAAAAD9uu+Y=")</f>
        <v>#REF!</v>
      </c>
      <c r="HX169" t="e">
        <f>AND(Bills!C690,"AAAAAD9uu+c=")</f>
        <v>#VALUE!</v>
      </c>
      <c r="HY169" t="e">
        <f>AND(Bills!D690,"AAAAAD9uu+g=")</f>
        <v>#VALUE!</v>
      </c>
      <c r="HZ169" t="e">
        <f>AND(Bills!E690,"AAAAAD9uu+k=")</f>
        <v>#VALUE!</v>
      </c>
      <c r="IA169" t="e">
        <f>AND(Bills!#REF!,"AAAAAD9uu+o=")</f>
        <v>#REF!</v>
      </c>
      <c r="IB169" t="e">
        <f>AND(Bills!#REF!,"AAAAAD9uu+s=")</f>
        <v>#REF!</v>
      </c>
      <c r="IC169" t="e">
        <f>AND(Bills!#REF!,"AAAAAD9uu+w=")</f>
        <v>#REF!</v>
      </c>
      <c r="ID169" t="e">
        <f>AND(Bills!F690,"AAAAAD9uu+0=")</f>
        <v>#VALUE!</v>
      </c>
      <c r="IE169" t="e">
        <f>AND(Bills!#REF!,"AAAAAD9uu+4=")</f>
        <v>#REF!</v>
      </c>
      <c r="IF169" t="e">
        <f>AND(Bills!G690,"AAAAAD9uu+8=")</f>
        <v>#VALUE!</v>
      </c>
      <c r="IG169" t="e">
        <f>AND(Bills!H690,"AAAAAD9uu/A=")</f>
        <v>#VALUE!</v>
      </c>
      <c r="IH169" t="e">
        <f>AND(Bills!I690,"AAAAAD9uu/E=")</f>
        <v>#VALUE!</v>
      </c>
      <c r="II169" t="e">
        <f>AND(Bills!J690,"AAAAAD9uu/I=")</f>
        <v>#VALUE!</v>
      </c>
      <c r="IJ169" t="e">
        <f>AND(Bills!K690,"AAAAAD9uu/M=")</f>
        <v>#VALUE!</v>
      </c>
      <c r="IK169" t="e">
        <f>AND(Bills!L690,"AAAAAD9uu/Q=")</f>
        <v>#VALUE!</v>
      </c>
      <c r="IL169" t="e">
        <f>AND(Bills!#REF!,"AAAAAD9uu/U=")</f>
        <v>#REF!</v>
      </c>
      <c r="IM169" t="e">
        <f>AND(Bills!M690,"AAAAAD9uu/Y=")</f>
        <v>#VALUE!</v>
      </c>
      <c r="IN169" t="e">
        <f>AND(Bills!N690,"AAAAAD9uu/c=")</f>
        <v>#VALUE!</v>
      </c>
      <c r="IO169" t="e">
        <f>AND(Bills!O690,"AAAAAD9uu/g=")</f>
        <v>#VALUE!</v>
      </c>
      <c r="IP169" t="e">
        <f>AND(Bills!P690,"AAAAAD9uu/k=")</f>
        <v>#VALUE!</v>
      </c>
      <c r="IQ169" t="e">
        <f>AND(Bills!Q690,"AAAAAD9uu/o=")</f>
        <v>#VALUE!</v>
      </c>
      <c r="IR169" t="e">
        <f>AND(Bills!R690,"AAAAAD9uu/s=")</f>
        <v>#VALUE!</v>
      </c>
      <c r="IS169" t="e">
        <f>AND(Bills!S690,"AAAAAD9uu/w=")</f>
        <v>#VALUE!</v>
      </c>
      <c r="IT169" t="e">
        <f>AND(Bills!T690,"AAAAAD9uu/0=")</f>
        <v>#VALUE!</v>
      </c>
      <c r="IU169" t="e">
        <f>AND(Bills!#REF!,"AAAAAD9uu/4=")</f>
        <v>#REF!</v>
      </c>
      <c r="IV169" t="e">
        <f>AND(Bills!U690,"AAAAAD9uu/8=")</f>
        <v>#VALUE!</v>
      </c>
    </row>
    <row r="170" spans="1:256" x14ac:dyDescent="0.25">
      <c r="A170" t="e">
        <f>AND(Bills!V690,"AAAAAD/+PwA=")</f>
        <v>#VALUE!</v>
      </c>
      <c r="B170" t="e">
        <f>AND(Bills!W690,"AAAAAD/+PwE=")</f>
        <v>#VALUE!</v>
      </c>
      <c r="C170" t="e">
        <f>AND(Bills!#REF!,"AAAAAD/+PwI=")</f>
        <v>#REF!</v>
      </c>
      <c r="D170" t="e">
        <f>AND(Bills!#REF!,"AAAAAD/+PwM=")</f>
        <v>#REF!</v>
      </c>
      <c r="E170" t="e">
        <f>AND(Bills!Y690,"AAAAAD/+PwQ=")</f>
        <v>#VALUE!</v>
      </c>
      <c r="F170" t="e">
        <f>AND(Bills!Z690,"AAAAAD/+PwU=")</f>
        <v>#VALUE!</v>
      </c>
      <c r="G170" t="e">
        <f>AND(Bills!#REF!,"AAAAAD/+PwY=")</f>
        <v>#REF!</v>
      </c>
      <c r="H170" t="e">
        <f>AND(Bills!#REF!,"AAAAAD/+Pwc=")</f>
        <v>#REF!</v>
      </c>
      <c r="I170" t="e">
        <f>AND(Bills!#REF!,"AAAAAD/+Pwg=")</f>
        <v>#REF!</v>
      </c>
      <c r="J170" t="e">
        <f>AND(Bills!#REF!,"AAAAAD/+Pwk=")</f>
        <v>#REF!</v>
      </c>
      <c r="K170" t="e">
        <f>AND(Bills!#REF!,"AAAAAD/+Pwo=")</f>
        <v>#REF!</v>
      </c>
      <c r="L170" t="e">
        <f>AND(Bills!#REF!,"AAAAAD/+Pws=")</f>
        <v>#REF!</v>
      </c>
      <c r="M170" t="e">
        <f>AND(Bills!#REF!,"AAAAAD/+Pww=")</f>
        <v>#REF!</v>
      </c>
      <c r="N170" t="e">
        <f>AND(Bills!#REF!,"AAAAAD/+Pw0=")</f>
        <v>#REF!</v>
      </c>
      <c r="O170" t="e">
        <f>AND(Bills!#REF!,"AAAAAD/+Pw4=")</f>
        <v>#REF!</v>
      </c>
      <c r="P170" t="e">
        <f>AND(Bills!AA690,"AAAAAD/+Pw8=")</f>
        <v>#VALUE!</v>
      </c>
      <c r="Q170" t="e">
        <f>AND(Bills!AB690,"AAAAAD/+PxA=")</f>
        <v>#VALUE!</v>
      </c>
      <c r="R170" t="e">
        <f>AND(Bills!#REF!,"AAAAAD/+PxE=")</f>
        <v>#REF!</v>
      </c>
      <c r="S170" t="e">
        <f>AND(Bills!#REF!,"AAAAAD/+PxI=")</f>
        <v>#REF!</v>
      </c>
      <c r="T170" t="e">
        <f>AND(Bills!#REF!,"AAAAAD/+PxM=")</f>
        <v>#REF!</v>
      </c>
      <c r="U170" t="e">
        <f>AND(Bills!AC690,"AAAAAD/+PxQ=")</f>
        <v>#VALUE!</v>
      </c>
      <c r="V170" t="e">
        <f>AND(Bills!AD690,"AAAAAD/+PxU=")</f>
        <v>#VALUE!</v>
      </c>
      <c r="W170" t="e">
        <f>AND(Bills!AE690,"AAAAAD/+PxY=")</f>
        <v>#VALUE!</v>
      </c>
      <c r="X170">
        <f>IF(Bills!691:691,"AAAAAD/+Pxc=",0)</f>
        <v>0</v>
      </c>
      <c r="Y170" t="e">
        <f>AND(Bills!B691,"AAAAAD/+Pxg=")</f>
        <v>#VALUE!</v>
      </c>
      <c r="Z170" t="e">
        <f>AND(Bills!#REF!,"AAAAAD/+Pxk=")</f>
        <v>#REF!</v>
      </c>
      <c r="AA170" t="e">
        <f>AND(Bills!C691,"AAAAAD/+Pxo=")</f>
        <v>#VALUE!</v>
      </c>
      <c r="AB170" t="e">
        <f>AND(Bills!D691,"AAAAAD/+Pxs=")</f>
        <v>#VALUE!</v>
      </c>
      <c r="AC170" t="e">
        <f>AND(Bills!E691,"AAAAAD/+Pxw=")</f>
        <v>#VALUE!</v>
      </c>
      <c r="AD170" t="e">
        <f>AND(Bills!#REF!,"AAAAAD/+Px0=")</f>
        <v>#REF!</v>
      </c>
      <c r="AE170" t="e">
        <f>AND(Bills!#REF!,"AAAAAD/+Px4=")</f>
        <v>#REF!</v>
      </c>
      <c r="AF170" t="e">
        <f>AND(Bills!#REF!,"AAAAAD/+Px8=")</f>
        <v>#REF!</v>
      </c>
      <c r="AG170" t="e">
        <f>AND(Bills!F691,"AAAAAD/+PyA=")</f>
        <v>#VALUE!</v>
      </c>
      <c r="AH170" t="e">
        <f>AND(Bills!#REF!,"AAAAAD/+PyE=")</f>
        <v>#REF!</v>
      </c>
      <c r="AI170" t="e">
        <f>AND(Bills!G691,"AAAAAD/+PyI=")</f>
        <v>#VALUE!</v>
      </c>
      <c r="AJ170" t="e">
        <f>AND(Bills!H691,"AAAAAD/+PyM=")</f>
        <v>#VALUE!</v>
      </c>
      <c r="AK170" t="e">
        <f>AND(Bills!I691,"AAAAAD/+PyQ=")</f>
        <v>#VALUE!</v>
      </c>
      <c r="AL170" t="e">
        <f>AND(Bills!J691,"AAAAAD/+PyU=")</f>
        <v>#VALUE!</v>
      </c>
      <c r="AM170" t="e">
        <f>AND(Bills!K691,"AAAAAD/+PyY=")</f>
        <v>#VALUE!</v>
      </c>
      <c r="AN170" t="e">
        <f>AND(Bills!L691,"AAAAAD/+Pyc=")</f>
        <v>#VALUE!</v>
      </c>
      <c r="AO170" t="e">
        <f>AND(Bills!#REF!,"AAAAAD/+Pyg=")</f>
        <v>#REF!</v>
      </c>
      <c r="AP170" t="e">
        <f>AND(Bills!M691,"AAAAAD/+Pyk=")</f>
        <v>#VALUE!</v>
      </c>
      <c r="AQ170" t="e">
        <f>AND(Bills!N691,"AAAAAD/+Pyo=")</f>
        <v>#VALUE!</v>
      </c>
      <c r="AR170" t="e">
        <f>AND(Bills!O691,"AAAAAD/+Pys=")</f>
        <v>#VALUE!</v>
      </c>
      <c r="AS170" t="e">
        <f>AND(Bills!P691,"AAAAAD/+Pyw=")</f>
        <v>#VALUE!</v>
      </c>
      <c r="AT170" t="e">
        <f>AND(Bills!Q691,"AAAAAD/+Py0=")</f>
        <v>#VALUE!</v>
      </c>
      <c r="AU170" t="e">
        <f>AND(Bills!R691,"AAAAAD/+Py4=")</f>
        <v>#VALUE!</v>
      </c>
      <c r="AV170" t="e">
        <f>AND(Bills!S691,"AAAAAD/+Py8=")</f>
        <v>#VALUE!</v>
      </c>
      <c r="AW170" t="e">
        <f>AND(Bills!T691,"AAAAAD/+PzA=")</f>
        <v>#VALUE!</v>
      </c>
      <c r="AX170" t="e">
        <f>AND(Bills!#REF!,"AAAAAD/+PzE=")</f>
        <v>#REF!</v>
      </c>
      <c r="AY170" t="e">
        <f>AND(Bills!U691,"AAAAAD/+PzI=")</f>
        <v>#VALUE!</v>
      </c>
      <c r="AZ170" t="e">
        <f>AND(Bills!V691,"AAAAAD/+PzM=")</f>
        <v>#VALUE!</v>
      </c>
      <c r="BA170" t="e">
        <f>AND(Bills!W691,"AAAAAD/+PzQ=")</f>
        <v>#VALUE!</v>
      </c>
      <c r="BB170" t="e">
        <f>AND(Bills!#REF!,"AAAAAD/+PzU=")</f>
        <v>#REF!</v>
      </c>
      <c r="BC170" t="e">
        <f>AND(Bills!#REF!,"AAAAAD/+PzY=")</f>
        <v>#REF!</v>
      </c>
      <c r="BD170" t="e">
        <f>AND(Bills!Y691,"AAAAAD/+Pzc=")</f>
        <v>#VALUE!</v>
      </c>
      <c r="BE170" t="e">
        <f>AND(Bills!Z691,"AAAAAD/+Pzg=")</f>
        <v>#VALUE!</v>
      </c>
      <c r="BF170" t="e">
        <f>AND(Bills!#REF!,"AAAAAD/+Pzk=")</f>
        <v>#REF!</v>
      </c>
      <c r="BG170" t="e">
        <f>AND(Bills!#REF!,"AAAAAD/+Pzo=")</f>
        <v>#REF!</v>
      </c>
      <c r="BH170" t="e">
        <f>AND(Bills!#REF!,"AAAAAD/+Pzs=")</f>
        <v>#REF!</v>
      </c>
      <c r="BI170" t="e">
        <f>AND(Bills!#REF!,"AAAAAD/+Pzw=")</f>
        <v>#REF!</v>
      </c>
      <c r="BJ170" t="e">
        <f>AND(Bills!#REF!,"AAAAAD/+Pz0=")</f>
        <v>#REF!</v>
      </c>
      <c r="BK170" t="e">
        <f>AND(Bills!#REF!,"AAAAAD/+Pz4=")</f>
        <v>#REF!</v>
      </c>
      <c r="BL170" t="e">
        <f>AND(Bills!#REF!,"AAAAAD/+Pz8=")</f>
        <v>#REF!</v>
      </c>
      <c r="BM170" t="e">
        <f>AND(Bills!#REF!,"AAAAAD/+P0A=")</f>
        <v>#REF!</v>
      </c>
      <c r="BN170" t="e">
        <f>AND(Bills!#REF!,"AAAAAD/+P0E=")</f>
        <v>#REF!</v>
      </c>
      <c r="BO170" t="e">
        <f>AND(Bills!AA691,"AAAAAD/+P0I=")</f>
        <v>#VALUE!</v>
      </c>
      <c r="BP170" t="e">
        <f>AND(Bills!AB691,"AAAAAD/+P0M=")</f>
        <v>#VALUE!</v>
      </c>
      <c r="BQ170" t="e">
        <f>AND(Bills!#REF!,"AAAAAD/+P0Q=")</f>
        <v>#REF!</v>
      </c>
      <c r="BR170" t="e">
        <f>AND(Bills!#REF!,"AAAAAD/+P0U=")</f>
        <v>#REF!</v>
      </c>
      <c r="BS170" t="e">
        <f>AND(Bills!#REF!,"AAAAAD/+P0Y=")</f>
        <v>#REF!</v>
      </c>
      <c r="BT170" t="e">
        <f>AND(Bills!AC691,"AAAAAD/+P0c=")</f>
        <v>#VALUE!</v>
      </c>
      <c r="BU170" t="e">
        <f>AND(Bills!AD691,"AAAAAD/+P0g=")</f>
        <v>#VALUE!</v>
      </c>
      <c r="BV170" t="e">
        <f>AND(Bills!AE691,"AAAAAD/+P0k=")</f>
        <v>#VALUE!</v>
      </c>
      <c r="BW170">
        <f>IF(Bills!692:692,"AAAAAD/+P0o=",0)</f>
        <v>0</v>
      </c>
      <c r="BX170" t="e">
        <f>AND(Bills!B692,"AAAAAD/+P0s=")</f>
        <v>#VALUE!</v>
      </c>
      <c r="BY170" t="e">
        <f>AND(Bills!#REF!,"AAAAAD/+P0w=")</f>
        <v>#REF!</v>
      </c>
      <c r="BZ170" t="e">
        <f>AND(Bills!C692,"AAAAAD/+P00=")</f>
        <v>#VALUE!</v>
      </c>
      <c r="CA170" t="e">
        <f>AND(Bills!D692,"AAAAAD/+P04=")</f>
        <v>#VALUE!</v>
      </c>
      <c r="CB170" t="e">
        <f>AND(Bills!E692,"AAAAAD/+P08=")</f>
        <v>#VALUE!</v>
      </c>
      <c r="CC170" t="e">
        <f>AND(Bills!#REF!,"AAAAAD/+P1A=")</f>
        <v>#REF!</v>
      </c>
      <c r="CD170" t="e">
        <f>AND(Bills!#REF!,"AAAAAD/+P1E=")</f>
        <v>#REF!</v>
      </c>
      <c r="CE170" t="e">
        <f>AND(Bills!#REF!,"AAAAAD/+P1I=")</f>
        <v>#REF!</v>
      </c>
      <c r="CF170" t="e">
        <f>AND(Bills!F692,"AAAAAD/+P1M=")</f>
        <v>#VALUE!</v>
      </c>
      <c r="CG170" t="e">
        <f>AND(Bills!#REF!,"AAAAAD/+P1Q=")</f>
        <v>#REF!</v>
      </c>
      <c r="CH170" t="e">
        <f>AND(Bills!G692,"AAAAAD/+P1U=")</f>
        <v>#VALUE!</v>
      </c>
      <c r="CI170" t="e">
        <f>AND(Bills!H692,"AAAAAD/+P1Y=")</f>
        <v>#VALUE!</v>
      </c>
      <c r="CJ170" t="e">
        <f>AND(Bills!I692,"AAAAAD/+P1c=")</f>
        <v>#VALUE!</v>
      </c>
      <c r="CK170" t="e">
        <f>AND(Bills!J692,"AAAAAD/+P1g=")</f>
        <v>#VALUE!</v>
      </c>
      <c r="CL170" t="e">
        <f>AND(Bills!K692,"AAAAAD/+P1k=")</f>
        <v>#VALUE!</v>
      </c>
      <c r="CM170" t="e">
        <f>AND(Bills!L692,"AAAAAD/+P1o=")</f>
        <v>#VALUE!</v>
      </c>
      <c r="CN170" t="e">
        <f>AND(Bills!#REF!,"AAAAAD/+P1s=")</f>
        <v>#REF!</v>
      </c>
      <c r="CO170" t="e">
        <f>AND(Bills!M692,"AAAAAD/+P1w=")</f>
        <v>#VALUE!</v>
      </c>
      <c r="CP170" t="e">
        <f>AND(Bills!N692,"AAAAAD/+P10=")</f>
        <v>#VALUE!</v>
      </c>
      <c r="CQ170" t="e">
        <f>AND(Bills!O692,"AAAAAD/+P14=")</f>
        <v>#VALUE!</v>
      </c>
      <c r="CR170" t="e">
        <f>AND(Bills!P692,"AAAAAD/+P18=")</f>
        <v>#VALUE!</v>
      </c>
      <c r="CS170" t="e">
        <f>AND(Bills!Q692,"AAAAAD/+P2A=")</f>
        <v>#VALUE!</v>
      </c>
      <c r="CT170" t="e">
        <f>AND(Bills!R692,"AAAAAD/+P2E=")</f>
        <v>#VALUE!</v>
      </c>
      <c r="CU170" t="e">
        <f>AND(Bills!S692,"AAAAAD/+P2I=")</f>
        <v>#VALUE!</v>
      </c>
      <c r="CV170" t="e">
        <f>AND(Bills!T692,"AAAAAD/+P2M=")</f>
        <v>#VALUE!</v>
      </c>
      <c r="CW170" t="e">
        <f>AND(Bills!#REF!,"AAAAAD/+P2Q=")</f>
        <v>#REF!</v>
      </c>
      <c r="CX170" t="e">
        <f>AND(Bills!U692,"AAAAAD/+P2U=")</f>
        <v>#VALUE!</v>
      </c>
      <c r="CY170" t="e">
        <f>AND(Bills!V692,"AAAAAD/+P2Y=")</f>
        <v>#VALUE!</v>
      </c>
      <c r="CZ170" t="e">
        <f>AND(Bills!W692,"AAAAAD/+P2c=")</f>
        <v>#VALUE!</v>
      </c>
      <c r="DA170" t="e">
        <f>AND(Bills!#REF!,"AAAAAD/+P2g=")</f>
        <v>#REF!</v>
      </c>
      <c r="DB170" t="e">
        <f>AND(Bills!#REF!,"AAAAAD/+P2k=")</f>
        <v>#REF!</v>
      </c>
      <c r="DC170" t="e">
        <f>AND(Bills!Y692,"AAAAAD/+P2o=")</f>
        <v>#VALUE!</v>
      </c>
      <c r="DD170" t="e">
        <f>AND(Bills!Z692,"AAAAAD/+P2s=")</f>
        <v>#VALUE!</v>
      </c>
      <c r="DE170" t="e">
        <f>AND(Bills!#REF!,"AAAAAD/+P2w=")</f>
        <v>#REF!</v>
      </c>
      <c r="DF170" t="e">
        <f>AND(Bills!#REF!,"AAAAAD/+P20=")</f>
        <v>#REF!</v>
      </c>
      <c r="DG170" t="e">
        <f>AND(Bills!#REF!,"AAAAAD/+P24=")</f>
        <v>#REF!</v>
      </c>
      <c r="DH170" t="e">
        <f>AND(Bills!#REF!,"AAAAAD/+P28=")</f>
        <v>#REF!</v>
      </c>
      <c r="DI170" t="e">
        <f>AND(Bills!#REF!,"AAAAAD/+P3A=")</f>
        <v>#REF!</v>
      </c>
      <c r="DJ170" t="e">
        <f>AND(Bills!#REF!,"AAAAAD/+P3E=")</f>
        <v>#REF!</v>
      </c>
      <c r="DK170" t="e">
        <f>AND(Bills!#REF!,"AAAAAD/+P3I=")</f>
        <v>#REF!</v>
      </c>
      <c r="DL170" t="e">
        <f>AND(Bills!#REF!,"AAAAAD/+P3M=")</f>
        <v>#REF!</v>
      </c>
      <c r="DM170" t="e">
        <f>AND(Bills!#REF!,"AAAAAD/+P3Q=")</f>
        <v>#REF!</v>
      </c>
      <c r="DN170" t="e">
        <f>AND(Bills!AA692,"AAAAAD/+P3U=")</f>
        <v>#VALUE!</v>
      </c>
      <c r="DO170" t="e">
        <f>AND(Bills!AB692,"AAAAAD/+P3Y=")</f>
        <v>#VALUE!</v>
      </c>
      <c r="DP170" t="e">
        <f>AND(Bills!#REF!,"AAAAAD/+P3c=")</f>
        <v>#REF!</v>
      </c>
      <c r="DQ170" t="e">
        <f>AND(Bills!#REF!,"AAAAAD/+P3g=")</f>
        <v>#REF!</v>
      </c>
      <c r="DR170" t="e">
        <f>AND(Bills!#REF!,"AAAAAD/+P3k=")</f>
        <v>#REF!</v>
      </c>
      <c r="DS170" t="e">
        <f>AND(Bills!AC692,"AAAAAD/+P3o=")</f>
        <v>#VALUE!</v>
      </c>
      <c r="DT170" t="e">
        <f>AND(Bills!AD692,"AAAAAD/+P3s=")</f>
        <v>#VALUE!</v>
      </c>
      <c r="DU170" t="e">
        <f>AND(Bills!AE692,"AAAAAD/+P3w=")</f>
        <v>#VALUE!</v>
      </c>
      <c r="DV170">
        <f>IF(Bills!693:693,"AAAAAD/+P30=",0)</f>
        <v>0</v>
      </c>
      <c r="DW170" t="e">
        <f>AND(Bills!B693,"AAAAAD/+P34=")</f>
        <v>#VALUE!</v>
      </c>
      <c r="DX170" t="e">
        <f>AND(Bills!#REF!,"AAAAAD/+P38=")</f>
        <v>#REF!</v>
      </c>
      <c r="DY170" t="e">
        <f>AND(Bills!C693,"AAAAAD/+P4A=")</f>
        <v>#VALUE!</v>
      </c>
      <c r="DZ170" t="e">
        <f>AND(Bills!D693,"AAAAAD/+P4E=")</f>
        <v>#VALUE!</v>
      </c>
      <c r="EA170" t="e">
        <f>AND(Bills!E693,"AAAAAD/+P4I=")</f>
        <v>#VALUE!</v>
      </c>
      <c r="EB170" t="e">
        <f>AND(Bills!#REF!,"AAAAAD/+P4M=")</f>
        <v>#REF!</v>
      </c>
      <c r="EC170" t="e">
        <f>AND(Bills!#REF!,"AAAAAD/+P4Q=")</f>
        <v>#REF!</v>
      </c>
      <c r="ED170" t="e">
        <f>AND(Bills!#REF!,"AAAAAD/+P4U=")</f>
        <v>#REF!</v>
      </c>
      <c r="EE170" t="e">
        <f>AND(Bills!F693,"AAAAAD/+P4Y=")</f>
        <v>#VALUE!</v>
      </c>
      <c r="EF170" t="e">
        <f>AND(Bills!#REF!,"AAAAAD/+P4c=")</f>
        <v>#REF!</v>
      </c>
      <c r="EG170" t="e">
        <f>AND(Bills!G693,"AAAAAD/+P4g=")</f>
        <v>#VALUE!</v>
      </c>
      <c r="EH170" t="e">
        <f>AND(Bills!H693,"AAAAAD/+P4k=")</f>
        <v>#VALUE!</v>
      </c>
      <c r="EI170" t="e">
        <f>AND(Bills!I693,"AAAAAD/+P4o=")</f>
        <v>#VALUE!</v>
      </c>
      <c r="EJ170" t="e">
        <f>AND(Bills!J693,"AAAAAD/+P4s=")</f>
        <v>#VALUE!</v>
      </c>
      <c r="EK170" t="e">
        <f>AND(Bills!K693,"AAAAAD/+P4w=")</f>
        <v>#VALUE!</v>
      </c>
      <c r="EL170" t="e">
        <f>AND(Bills!L693,"AAAAAD/+P40=")</f>
        <v>#VALUE!</v>
      </c>
      <c r="EM170" t="e">
        <f>AND(Bills!#REF!,"AAAAAD/+P44=")</f>
        <v>#REF!</v>
      </c>
      <c r="EN170" t="e">
        <f>AND(Bills!M693,"AAAAAD/+P48=")</f>
        <v>#VALUE!</v>
      </c>
      <c r="EO170" t="e">
        <f>AND(Bills!N693,"AAAAAD/+P5A=")</f>
        <v>#VALUE!</v>
      </c>
      <c r="EP170" t="e">
        <f>AND(Bills!O693,"AAAAAD/+P5E=")</f>
        <v>#VALUE!</v>
      </c>
      <c r="EQ170" t="e">
        <f>AND(Bills!P693,"AAAAAD/+P5I=")</f>
        <v>#VALUE!</v>
      </c>
      <c r="ER170" t="e">
        <f>AND(Bills!Q693,"AAAAAD/+P5M=")</f>
        <v>#VALUE!</v>
      </c>
      <c r="ES170" t="e">
        <f>AND(Bills!R693,"AAAAAD/+P5Q=")</f>
        <v>#VALUE!</v>
      </c>
      <c r="ET170" t="e">
        <f>AND(Bills!S693,"AAAAAD/+P5U=")</f>
        <v>#VALUE!</v>
      </c>
      <c r="EU170" t="e">
        <f>AND(Bills!T693,"AAAAAD/+P5Y=")</f>
        <v>#VALUE!</v>
      </c>
      <c r="EV170" t="e">
        <f>AND(Bills!#REF!,"AAAAAD/+P5c=")</f>
        <v>#REF!</v>
      </c>
      <c r="EW170" t="e">
        <f>AND(Bills!U693,"AAAAAD/+P5g=")</f>
        <v>#VALUE!</v>
      </c>
      <c r="EX170" t="e">
        <f>AND(Bills!V693,"AAAAAD/+P5k=")</f>
        <v>#VALUE!</v>
      </c>
      <c r="EY170" t="e">
        <f>AND(Bills!W693,"AAAAAD/+P5o=")</f>
        <v>#VALUE!</v>
      </c>
      <c r="EZ170" t="e">
        <f>AND(Bills!#REF!,"AAAAAD/+P5s=")</f>
        <v>#REF!</v>
      </c>
      <c r="FA170" t="e">
        <f>AND(Bills!#REF!,"AAAAAD/+P5w=")</f>
        <v>#REF!</v>
      </c>
      <c r="FB170" t="e">
        <f>AND(Bills!Y693,"AAAAAD/+P50=")</f>
        <v>#VALUE!</v>
      </c>
      <c r="FC170" t="e">
        <f>AND(Bills!Z693,"AAAAAD/+P54=")</f>
        <v>#VALUE!</v>
      </c>
      <c r="FD170" t="e">
        <f>AND(Bills!#REF!,"AAAAAD/+P58=")</f>
        <v>#REF!</v>
      </c>
      <c r="FE170" t="e">
        <f>AND(Bills!#REF!,"AAAAAD/+P6A=")</f>
        <v>#REF!</v>
      </c>
      <c r="FF170" t="e">
        <f>AND(Bills!#REF!,"AAAAAD/+P6E=")</f>
        <v>#REF!</v>
      </c>
      <c r="FG170" t="e">
        <f>AND(Bills!#REF!,"AAAAAD/+P6I=")</f>
        <v>#REF!</v>
      </c>
      <c r="FH170" t="e">
        <f>AND(Bills!#REF!,"AAAAAD/+P6M=")</f>
        <v>#REF!</v>
      </c>
      <c r="FI170" t="e">
        <f>AND(Bills!#REF!,"AAAAAD/+P6Q=")</f>
        <v>#REF!</v>
      </c>
      <c r="FJ170" t="e">
        <f>AND(Bills!#REF!,"AAAAAD/+P6U=")</f>
        <v>#REF!</v>
      </c>
      <c r="FK170" t="e">
        <f>AND(Bills!#REF!,"AAAAAD/+P6Y=")</f>
        <v>#REF!</v>
      </c>
      <c r="FL170" t="e">
        <f>AND(Bills!#REF!,"AAAAAD/+P6c=")</f>
        <v>#REF!</v>
      </c>
      <c r="FM170" t="e">
        <f>AND(Bills!AA693,"AAAAAD/+P6g=")</f>
        <v>#VALUE!</v>
      </c>
      <c r="FN170" t="e">
        <f>AND(Bills!AB693,"AAAAAD/+P6k=")</f>
        <v>#VALUE!</v>
      </c>
      <c r="FO170" t="e">
        <f>AND(Bills!#REF!,"AAAAAD/+P6o=")</f>
        <v>#REF!</v>
      </c>
      <c r="FP170" t="e">
        <f>AND(Bills!#REF!,"AAAAAD/+P6s=")</f>
        <v>#REF!</v>
      </c>
      <c r="FQ170" t="e">
        <f>AND(Bills!#REF!,"AAAAAD/+P6w=")</f>
        <v>#REF!</v>
      </c>
      <c r="FR170" t="e">
        <f>AND(Bills!AC693,"AAAAAD/+P60=")</f>
        <v>#VALUE!</v>
      </c>
      <c r="FS170" t="e">
        <f>AND(Bills!AD693,"AAAAAD/+P64=")</f>
        <v>#VALUE!</v>
      </c>
      <c r="FT170" t="e">
        <f>AND(Bills!AE693,"AAAAAD/+P68=")</f>
        <v>#VALUE!</v>
      </c>
      <c r="FU170">
        <f>IF(Bills!694:694,"AAAAAD/+P7A=",0)</f>
        <v>0</v>
      </c>
      <c r="FV170" t="e">
        <f>AND(Bills!B694,"AAAAAD/+P7E=")</f>
        <v>#VALUE!</v>
      </c>
      <c r="FW170" t="e">
        <f>AND(Bills!#REF!,"AAAAAD/+P7I=")</f>
        <v>#REF!</v>
      </c>
      <c r="FX170" t="e">
        <f>AND(Bills!C694,"AAAAAD/+P7M=")</f>
        <v>#VALUE!</v>
      </c>
      <c r="FY170" t="e">
        <f>AND(Bills!D694,"AAAAAD/+P7Q=")</f>
        <v>#VALUE!</v>
      </c>
      <c r="FZ170" t="e">
        <f>AND(Bills!E694,"AAAAAD/+P7U=")</f>
        <v>#VALUE!</v>
      </c>
      <c r="GA170" t="e">
        <f>AND(Bills!#REF!,"AAAAAD/+P7Y=")</f>
        <v>#REF!</v>
      </c>
      <c r="GB170" t="e">
        <f>AND(Bills!#REF!,"AAAAAD/+P7c=")</f>
        <v>#REF!</v>
      </c>
      <c r="GC170" t="e">
        <f>AND(Bills!#REF!,"AAAAAD/+P7g=")</f>
        <v>#REF!</v>
      </c>
      <c r="GD170" t="e">
        <f>AND(Bills!F694,"AAAAAD/+P7k=")</f>
        <v>#VALUE!</v>
      </c>
      <c r="GE170" t="e">
        <f>AND(Bills!#REF!,"AAAAAD/+P7o=")</f>
        <v>#REF!</v>
      </c>
      <c r="GF170" t="e">
        <f>AND(Bills!G694,"AAAAAD/+P7s=")</f>
        <v>#VALUE!</v>
      </c>
      <c r="GG170" t="e">
        <f>AND(Bills!H694,"AAAAAD/+P7w=")</f>
        <v>#VALUE!</v>
      </c>
      <c r="GH170" t="e">
        <f>AND(Bills!I694,"AAAAAD/+P70=")</f>
        <v>#VALUE!</v>
      </c>
      <c r="GI170" t="e">
        <f>AND(Bills!J694,"AAAAAD/+P74=")</f>
        <v>#VALUE!</v>
      </c>
      <c r="GJ170" t="e">
        <f>AND(Bills!K694,"AAAAAD/+P78=")</f>
        <v>#VALUE!</v>
      </c>
      <c r="GK170" t="e">
        <f>AND(Bills!L694,"AAAAAD/+P8A=")</f>
        <v>#VALUE!</v>
      </c>
      <c r="GL170" t="e">
        <f>AND(Bills!#REF!,"AAAAAD/+P8E=")</f>
        <v>#REF!</v>
      </c>
      <c r="GM170" t="e">
        <f>AND(Bills!M694,"AAAAAD/+P8I=")</f>
        <v>#VALUE!</v>
      </c>
      <c r="GN170" t="e">
        <f>AND(Bills!N694,"AAAAAD/+P8M=")</f>
        <v>#VALUE!</v>
      </c>
      <c r="GO170" t="e">
        <f>AND(Bills!O694,"AAAAAD/+P8Q=")</f>
        <v>#VALUE!</v>
      </c>
      <c r="GP170" t="e">
        <f>AND(Bills!P694,"AAAAAD/+P8U=")</f>
        <v>#VALUE!</v>
      </c>
      <c r="GQ170" t="e">
        <f>AND(Bills!Q694,"AAAAAD/+P8Y=")</f>
        <v>#VALUE!</v>
      </c>
      <c r="GR170" t="e">
        <f>AND(Bills!R694,"AAAAAD/+P8c=")</f>
        <v>#VALUE!</v>
      </c>
      <c r="GS170" t="e">
        <f>AND(Bills!S694,"AAAAAD/+P8g=")</f>
        <v>#VALUE!</v>
      </c>
      <c r="GT170" t="e">
        <f>AND(Bills!T694,"AAAAAD/+P8k=")</f>
        <v>#VALUE!</v>
      </c>
      <c r="GU170" t="e">
        <f>AND(Bills!#REF!,"AAAAAD/+P8o=")</f>
        <v>#REF!</v>
      </c>
      <c r="GV170" t="e">
        <f>AND(Bills!U694,"AAAAAD/+P8s=")</f>
        <v>#VALUE!</v>
      </c>
      <c r="GW170" t="e">
        <f>AND(Bills!V694,"AAAAAD/+P8w=")</f>
        <v>#VALUE!</v>
      </c>
      <c r="GX170" t="e">
        <f>AND(Bills!W694,"AAAAAD/+P80=")</f>
        <v>#VALUE!</v>
      </c>
      <c r="GY170" t="e">
        <f>AND(Bills!#REF!,"AAAAAD/+P84=")</f>
        <v>#REF!</v>
      </c>
      <c r="GZ170" t="e">
        <f>AND(Bills!#REF!,"AAAAAD/+P88=")</f>
        <v>#REF!</v>
      </c>
      <c r="HA170" t="e">
        <f>AND(Bills!Y694,"AAAAAD/+P9A=")</f>
        <v>#VALUE!</v>
      </c>
      <c r="HB170" t="e">
        <f>AND(Bills!Z694,"AAAAAD/+P9E=")</f>
        <v>#VALUE!</v>
      </c>
      <c r="HC170" t="e">
        <f>AND(Bills!#REF!,"AAAAAD/+P9I=")</f>
        <v>#REF!</v>
      </c>
      <c r="HD170" t="e">
        <f>AND(Bills!#REF!,"AAAAAD/+P9M=")</f>
        <v>#REF!</v>
      </c>
      <c r="HE170" t="e">
        <f>AND(Bills!#REF!,"AAAAAD/+P9Q=")</f>
        <v>#REF!</v>
      </c>
      <c r="HF170" t="e">
        <f>AND(Bills!#REF!,"AAAAAD/+P9U=")</f>
        <v>#REF!</v>
      </c>
      <c r="HG170" t="e">
        <f>AND(Bills!#REF!,"AAAAAD/+P9Y=")</f>
        <v>#REF!</v>
      </c>
      <c r="HH170" t="e">
        <f>AND(Bills!#REF!,"AAAAAD/+P9c=")</f>
        <v>#REF!</v>
      </c>
      <c r="HI170" t="e">
        <f>AND(Bills!#REF!,"AAAAAD/+P9g=")</f>
        <v>#REF!</v>
      </c>
      <c r="HJ170" t="e">
        <f>AND(Bills!#REF!,"AAAAAD/+P9k=")</f>
        <v>#REF!</v>
      </c>
      <c r="HK170" t="e">
        <f>AND(Bills!#REF!,"AAAAAD/+P9o=")</f>
        <v>#REF!</v>
      </c>
      <c r="HL170" t="e">
        <f>AND(Bills!AA694,"AAAAAD/+P9s=")</f>
        <v>#VALUE!</v>
      </c>
      <c r="HM170" t="e">
        <f>AND(Bills!AB694,"AAAAAD/+P9w=")</f>
        <v>#VALUE!</v>
      </c>
      <c r="HN170" t="e">
        <f>AND(Bills!#REF!,"AAAAAD/+P90=")</f>
        <v>#REF!</v>
      </c>
      <c r="HO170" t="e">
        <f>AND(Bills!#REF!,"AAAAAD/+P94=")</f>
        <v>#REF!</v>
      </c>
      <c r="HP170" t="e">
        <f>AND(Bills!#REF!,"AAAAAD/+P98=")</f>
        <v>#REF!</v>
      </c>
      <c r="HQ170" t="e">
        <f>AND(Bills!AC694,"AAAAAD/+P+A=")</f>
        <v>#VALUE!</v>
      </c>
      <c r="HR170" t="e">
        <f>AND(Bills!AD694,"AAAAAD/+P+E=")</f>
        <v>#VALUE!</v>
      </c>
      <c r="HS170" t="e">
        <f>AND(Bills!AE694,"AAAAAD/+P+I=")</f>
        <v>#VALUE!</v>
      </c>
      <c r="HT170">
        <f>IF(Bills!695:695,"AAAAAD/+P+M=",0)</f>
        <v>0</v>
      </c>
      <c r="HU170" t="e">
        <f>AND(Bills!B695,"AAAAAD/+P+Q=")</f>
        <v>#VALUE!</v>
      </c>
      <c r="HV170" t="e">
        <f>AND(Bills!#REF!,"AAAAAD/+P+U=")</f>
        <v>#REF!</v>
      </c>
      <c r="HW170" t="e">
        <f>AND(Bills!C695,"AAAAAD/+P+Y=")</f>
        <v>#VALUE!</v>
      </c>
      <c r="HX170" t="e">
        <f>AND(Bills!D695,"AAAAAD/+P+c=")</f>
        <v>#VALUE!</v>
      </c>
      <c r="HY170" t="e">
        <f>AND(Bills!E695,"AAAAAD/+P+g=")</f>
        <v>#VALUE!</v>
      </c>
      <c r="HZ170" t="e">
        <f>AND(Bills!#REF!,"AAAAAD/+P+k=")</f>
        <v>#REF!</v>
      </c>
      <c r="IA170" t="e">
        <f>AND(Bills!#REF!,"AAAAAD/+P+o=")</f>
        <v>#REF!</v>
      </c>
      <c r="IB170" t="e">
        <f>AND(Bills!#REF!,"AAAAAD/+P+s=")</f>
        <v>#REF!</v>
      </c>
      <c r="IC170" t="e">
        <f>AND(Bills!F695,"AAAAAD/+P+w=")</f>
        <v>#VALUE!</v>
      </c>
      <c r="ID170" t="e">
        <f>AND(Bills!#REF!,"AAAAAD/+P+0=")</f>
        <v>#REF!</v>
      </c>
      <c r="IE170" t="e">
        <f>AND(Bills!G695,"AAAAAD/+P+4=")</f>
        <v>#VALUE!</v>
      </c>
      <c r="IF170" t="e">
        <f>AND(Bills!H695,"AAAAAD/+P+8=")</f>
        <v>#VALUE!</v>
      </c>
      <c r="IG170" t="e">
        <f>AND(Bills!I695,"AAAAAD/+P/A=")</f>
        <v>#VALUE!</v>
      </c>
      <c r="IH170" t="e">
        <f>AND(Bills!J695,"AAAAAD/+P/E=")</f>
        <v>#VALUE!</v>
      </c>
      <c r="II170" t="e">
        <f>AND(Bills!K695,"AAAAAD/+P/I=")</f>
        <v>#VALUE!</v>
      </c>
      <c r="IJ170" t="e">
        <f>AND(Bills!L695,"AAAAAD/+P/M=")</f>
        <v>#VALUE!</v>
      </c>
      <c r="IK170" t="e">
        <f>AND(Bills!#REF!,"AAAAAD/+P/Q=")</f>
        <v>#REF!</v>
      </c>
      <c r="IL170" t="e">
        <f>AND(Bills!M695,"AAAAAD/+P/U=")</f>
        <v>#VALUE!</v>
      </c>
      <c r="IM170" t="e">
        <f>AND(Bills!N695,"AAAAAD/+P/Y=")</f>
        <v>#VALUE!</v>
      </c>
      <c r="IN170" t="e">
        <f>AND(Bills!O695,"AAAAAD/+P/c=")</f>
        <v>#VALUE!</v>
      </c>
      <c r="IO170" t="e">
        <f>AND(Bills!P695,"AAAAAD/+P/g=")</f>
        <v>#VALUE!</v>
      </c>
      <c r="IP170" t="e">
        <f>AND(Bills!Q695,"AAAAAD/+P/k=")</f>
        <v>#VALUE!</v>
      </c>
      <c r="IQ170" t="e">
        <f>AND(Bills!R695,"AAAAAD/+P/o=")</f>
        <v>#VALUE!</v>
      </c>
      <c r="IR170" t="e">
        <f>AND(Bills!S695,"AAAAAD/+P/s=")</f>
        <v>#VALUE!</v>
      </c>
      <c r="IS170" t="e">
        <f>AND(Bills!T695,"AAAAAD/+P/w=")</f>
        <v>#VALUE!</v>
      </c>
      <c r="IT170" t="e">
        <f>AND(Bills!#REF!,"AAAAAD/+P/0=")</f>
        <v>#REF!</v>
      </c>
      <c r="IU170" t="e">
        <f>AND(Bills!U695,"AAAAAD/+P/4=")</f>
        <v>#VALUE!</v>
      </c>
      <c r="IV170" t="e">
        <f>AND(Bills!V695,"AAAAAD/+P/8=")</f>
        <v>#VALUE!</v>
      </c>
    </row>
    <row r="171" spans="1:256" x14ac:dyDescent="0.25">
      <c r="A171" t="e">
        <f>AND(Bills!W695,"AAAAAH087wA=")</f>
        <v>#VALUE!</v>
      </c>
      <c r="B171" t="e">
        <f>AND(Bills!#REF!,"AAAAAH087wE=")</f>
        <v>#REF!</v>
      </c>
      <c r="C171" t="e">
        <f>AND(Bills!#REF!,"AAAAAH087wI=")</f>
        <v>#REF!</v>
      </c>
      <c r="D171" t="e">
        <f>AND(Bills!Y695,"AAAAAH087wM=")</f>
        <v>#VALUE!</v>
      </c>
      <c r="E171" t="e">
        <f>AND(Bills!Z695,"AAAAAH087wQ=")</f>
        <v>#VALUE!</v>
      </c>
      <c r="F171" t="e">
        <f>AND(Bills!#REF!,"AAAAAH087wU=")</f>
        <v>#REF!</v>
      </c>
      <c r="G171" t="e">
        <f>AND(Bills!#REF!,"AAAAAH087wY=")</f>
        <v>#REF!</v>
      </c>
      <c r="H171" t="e">
        <f>AND(Bills!#REF!,"AAAAAH087wc=")</f>
        <v>#REF!</v>
      </c>
      <c r="I171" t="e">
        <f>AND(Bills!#REF!,"AAAAAH087wg=")</f>
        <v>#REF!</v>
      </c>
      <c r="J171" t="e">
        <f>AND(Bills!#REF!,"AAAAAH087wk=")</f>
        <v>#REF!</v>
      </c>
      <c r="K171" t="e">
        <f>AND(Bills!#REF!,"AAAAAH087wo=")</f>
        <v>#REF!</v>
      </c>
      <c r="L171" t="e">
        <f>AND(Bills!#REF!,"AAAAAH087ws=")</f>
        <v>#REF!</v>
      </c>
      <c r="M171" t="e">
        <f>AND(Bills!#REF!,"AAAAAH087ww=")</f>
        <v>#REF!</v>
      </c>
      <c r="N171" t="e">
        <f>AND(Bills!#REF!,"AAAAAH087w0=")</f>
        <v>#REF!</v>
      </c>
      <c r="O171" t="e">
        <f>AND(Bills!AA695,"AAAAAH087w4=")</f>
        <v>#VALUE!</v>
      </c>
      <c r="P171" t="e">
        <f>AND(Bills!AB695,"AAAAAH087w8=")</f>
        <v>#VALUE!</v>
      </c>
      <c r="Q171" t="e">
        <f>AND(Bills!#REF!,"AAAAAH087xA=")</f>
        <v>#REF!</v>
      </c>
      <c r="R171" t="e">
        <f>AND(Bills!#REF!,"AAAAAH087xE=")</f>
        <v>#REF!</v>
      </c>
      <c r="S171" t="e">
        <f>AND(Bills!#REF!,"AAAAAH087xI=")</f>
        <v>#REF!</v>
      </c>
      <c r="T171" t="e">
        <f>AND(Bills!AC695,"AAAAAH087xM=")</f>
        <v>#VALUE!</v>
      </c>
      <c r="U171" t="e">
        <f>AND(Bills!AD695,"AAAAAH087xQ=")</f>
        <v>#VALUE!</v>
      </c>
      <c r="V171" t="e">
        <f>AND(Bills!AE695,"AAAAAH087xU=")</f>
        <v>#VALUE!</v>
      </c>
      <c r="W171">
        <f>IF(Bills!696:696,"AAAAAH087xY=",0)</f>
        <v>0</v>
      </c>
      <c r="X171" t="e">
        <f>AND(Bills!B696,"AAAAAH087xc=")</f>
        <v>#VALUE!</v>
      </c>
      <c r="Y171" t="e">
        <f>AND(Bills!#REF!,"AAAAAH087xg=")</f>
        <v>#REF!</v>
      </c>
      <c r="Z171" t="e">
        <f>AND(Bills!C696,"AAAAAH087xk=")</f>
        <v>#VALUE!</v>
      </c>
      <c r="AA171" t="e">
        <f>AND(Bills!D696,"AAAAAH087xo=")</f>
        <v>#VALUE!</v>
      </c>
      <c r="AB171" t="e">
        <f>AND(Bills!E696,"AAAAAH087xs=")</f>
        <v>#VALUE!</v>
      </c>
      <c r="AC171" t="e">
        <f>AND(Bills!#REF!,"AAAAAH087xw=")</f>
        <v>#REF!</v>
      </c>
      <c r="AD171" t="e">
        <f>AND(Bills!#REF!,"AAAAAH087x0=")</f>
        <v>#REF!</v>
      </c>
      <c r="AE171" t="e">
        <f>AND(Bills!#REF!,"AAAAAH087x4=")</f>
        <v>#REF!</v>
      </c>
      <c r="AF171" t="e">
        <f>AND(Bills!F696,"AAAAAH087x8=")</f>
        <v>#VALUE!</v>
      </c>
      <c r="AG171" t="e">
        <f>AND(Bills!#REF!,"AAAAAH087yA=")</f>
        <v>#REF!</v>
      </c>
      <c r="AH171" t="e">
        <f>AND(Bills!G696,"AAAAAH087yE=")</f>
        <v>#VALUE!</v>
      </c>
      <c r="AI171" t="e">
        <f>AND(Bills!H696,"AAAAAH087yI=")</f>
        <v>#VALUE!</v>
      </c>
      <c r="AJ171" t="e">
        <f>AND(Bills!I696,"AAAAAH087yM=")</f>
        <v>#VALUE!</v>
      </c>
      <c r="AK171" t="e">
        <f>AND(Bills!J696,"AAAAAH087yQ=")</f>
        <v>#VALUE!</v>
      </c>
      <c r="AL171" t="e">
        <f>AND(Bills!K696,"AAAAAH087yU=")</f>
        <v>#VALUE!</v>
      </c>
      <c r="AM171" t="e">
        <f>AND(Bills!L696,"AAAAAH087yY=")</f>
        <v>#VALUE!</v>
      </c>
      <c r="AN171" t="e">
        <f>AND(Bills!#REF!,"AAAAAH087yc=")</f>
        <v>#REF!</v>
      </c>
      <c r="AO171" t="e">
        <f>AND(Bills!M696,"AAAAAH087yg=")</f>
        <v>#VALUE!</v>
      </c>
      <c r="AP171" t="e">
        <f>AND(Bills!N696,"AAAAAH087yk=")</f>
        <v>#VALUE!</v>
      </c>
      <c r="AQ171" t="e">
        <f>AND(Bills!O696,"AAAAAH087yo=")</f>
        <v>#VALUE!</v>
      </c>
      <c r="AR171" t="e">
        <f>AND(Bills!P696,"AAAAAH087ys=")</f>
        <v>#VALUE!</v>
      </c>
      <c r="AS171" t="e">
        <f>AND(Bills!Q696,"AAAAAH087yw=")</f>
        <v>#VALUE!</v>
      </c>
      <c r="AT171" t="e">
        <f>AND(Bills!R696,"AAAAAH087y0=")</f>
        <v>#VALUE!</v>
      </c>
      <c r="AU171" t="e">
        <f>AND(Bills!S696,"AAAAAH087y4=")</f>
        <v>#VALUE!</v>
      </c>
      <c r="AV171" t="e">
        <f>AND(Bills!T696,"AAAAAH087y8=")</f>
        <v>#VALUE!</v>
      </c>
      <c r="AW171" t="e">
        <f>AND(Bills!#REF!,"AAAAAH087zA=")</f>
        <v>#REF!</v>
      </c>
      <c r="AX171" t="e">
        <f>AND(Bills!U696,"AAAAAH087zE=")</f>
        <v>#VALUE!</v>
      </c>
      <c r="AY171" t="e">
        <f>AND(Bills!V696,"AAAAAH087zI=")</f>
        <v>#VALUE!</v>
      </c>
      <c r="AZ171" t="e">
        <f>AND(Bills!W696,"AAAAAH087zM=")</f>
        <v>#VALUE!</v>
      </c>
      <c r="BA171" t="e">
        <f>AND(Bills!#REF!,"AAAAAH087zQ=")</f>
        <v>#REF!</v>
      </c>
      <c r="BB171" t="e">
        <f>AND(Bills!#REF!,"AAAAAH087zU=")</f>
        <v>#REF!</v>
      </c>
      <c r="BC171" t="e">
        <f>AND(Bills!Y696,"AAAAAH087zY=")</f>
        <v>#VALUE!</v>
      </c>
      <c r="BD171" t="e">
        <f>AND(Bills!Z696,"AAAAAH087zc=")</f>
        <v>#VALUE!</v>
      </c>
      <c r="BE171" t="e">
        <f>AND(Bills!#REF!,"AAAAAH087zg=")</f>
        <v>#REF!</v>
      </c>
      <c r="BF171" t="e">
        <f>AND(Bills!#REF!,"AAAAAH087zk=")</f>
        <v>#REF!</v>
      </c>
      <c r="BG171" t="e">
        <f>AND(Bills!#REF!,"AAAAAH087zo=")</f>
        <v>#REF!</v>
      </c>
      <c r="BH171" t="e">
        <f>AND(Bills!#REF!,"AAAAAH087zs=")</f>
        <v>#REF!</v>
      </c>
      <c r="BI171" t="e">
        <f>AND(Bills!#REF!,"AAAAAH087zw=")</f>
        <v>#REF!</v>
      </c>
      <c r="BJ171" t="e">
        <f>AND(Bills!#REF!,"AAAAAH087z0=")</f>
        <v>#REF!</v>
      </c>
      <c r="BK171" t="e">
        <f>AND(Bills!#REF!,"AAAAAH087z4=")</f>
        <v>#REF!</v>
      </c>
      <c r="BL171" t="e">
        <f>AND(Bills!#REF!,"AAAAAH087z8=")</f>
        <v>#REF!</v>
      </c>
      <c r="BM171" t="e">
        <f>AND(Bills!#REF!,"AAAAAH0870A=")</f>
        <v>#REF!</v>
      </c>
      <c r="BN171" t="e">
        <f>AND(Bills!AA696,"AAAAAH0870E=")</f>
        <v>#VALUE!</v>
      </c>
      <c r="BO171" t="e">
        <f>AND(Bills!AB696,"AAAAAH0870I=")</f>
        <v>#VALUE!</v>
      </c>
      <c r="BP171" t="e">
        <f>AND(Bills!#REF!,"AAAAAH0870M=")</f>
        <v>#REF!</v>
      </c>
      <c r="BQ171" t="e">
        <f>AND(Bills!#REF!,"AAAAAH0870Q=")</f>
        <v>#REF!</v>
      </c>
      <c r="BR171" t="e">
        <f>AND(Bills!#REF!,"AAAAAH0870U=")</f>
        <v>#REF!</v>
      </c>
      <c r="BS171" t="e">
        <f>AND(Bills!AC696,"AAAAAH0870Y=")</f>
        <v>#VALUE!</v>
      </c>
      <c r="BT171" t="e">
        <f>AND(Bills!AD696,"AAAAAH0870c=")</f>
        <v>#VALUE!</v>
      </c>
      <c r="BU171" t="e">
        <f>AND(Bills!AE696,"AAAAAH0870g=")</f>
        <v>#VALUE!</v>
      </c>
      <c r="BV171">
        <f>IF(Bills!697:697,"AAAAAH0870k=",0)</f>
        <v>0</v>
      </c>
      <c r="BW171" t="e">
        <f>AND(Bills!B697,"AAAAAH0870o=")</f>
        <v>#VALUE!</v>
      </c>
      <c r="BX171" t="e">
        <f>AND(Bills!#REF!,"AAAAAH0870s=")</f>
        <v>#REF!</v>
      </c>
      <c r="BY171" t="e">
        <f>AND(Bills!C697,"AAAAAH0870w=")</f>
        <v>#VALUE!</v>
      </c>
      <c r="BZ171" t="e">
        <f>AND(Bills!D697,"AAAAAH08700=")</f>
        <v>#VALUE!</v>
      </c>
      <c r="CA171" t="e">
        <f>AND(Bills!E697,"AAAAAH08704=")</f>
        <v>#VALUE!</v>
      </c>
      <c r="CB171" t="e">
        <f>AND(Bills!#REF!,"AAAAAH08708=")</f>
        <v>#REF!</v>
      </c>
      <c r="CC171" t="e">
        <f>AND(Bills!#REF!,"AAAAAH0871A=")</f>
        <v>#REF!</v>
      </c>
      <c r="CD171" t="e">
        <f>AND(Bills!#REF!,"AAAAAH0871E=")</f>
        <v>#REF!</v>
      </c>
      <c r="CE171" t="e">
        <f>AND(Bills!F697,"AAAAAH0871I=")</f>
        <v>#VALUE!</v>
      </c>
      <c r="CF171" t="e">
        <f>AND(Bills!#REF!,"AAAAAH0871M=")</f>
        <v>#REF!</v>
      </c>
      <c r="CG171" t="e">
        <f>AND(Bills!G697,"AAAAAH0871Q=")</f>
        <v>#VALUE!</v>
      </c>
      <c r="CH171" t="e">
        <f>AND(Bills!H697,"AAAAAH0871U=")</f>
        <v>#VALUE!</v>
      </c>
      <c r="CI171" t="e">
        <f>AND(Bills!I697,"AAAAAH0871Y=")</f>
        <v>#VALUE!</v>
      </c>
      <c r="CJ171" t="e">
        <f>AND(Bills!J697,"AAAAAH0871c=")</f>
        <v>#VALUE!</v>
      </c>
      <c r="CK171" t="e">
        <f>AND(Bills!K697,"AAAAAH0871g=")</f>
        <v>#VALUE!</v>
      </c>
      <c r="CL171" t="e">
        <f>AND(Bills!L697,"AAAAAH0871k=")</f>
        <v>#VALUE!</v>
      </c>
      <c r="CM171" t="e">
        <f>AND(Bills!#REF!,"AAAAAH0871o=")</f>
        <v>#REF!</v>
      </c>
      <c r="CN171" t="e">
        <f>AND(Bills!M697,"AAAAAH0871s=")</f>
        <v>#VALUE!</v>
      </c>
      <c r="CO171" t="e">
        <f>AND(Bills!N697,"AAAAAH0871w=")</f>
        <v>#VALUE!</v>
      </c>
      <c r="CP171" t="e">
        <f>AND(Bills!O697,"AAAAAH08710=")</f>
        <v>#VALUE!</v>
      </c>
      <c r="CQ171" t="e">
        <f>AND(Bills!P697,"AAAAAH08714=")</f>
        <v>#VALUE!</v>
      </c>
      <c r="CR171" t="e">
        <f>AND(Bills!Q697,"AAAAAH08718=")</f>
        <v>#VALUE!</v>
      </c>
      <c r="CS171" t="e">
        <f>AND(Bills!R697,"AAAAAH0872A=")</f>
        <v>#VALUE!</v>
      </c>
      <c r="CT171" t="e">
        <f>AND(Bills!S697,"AAAAAH0872E=")</f>
        <v>#VALUE!</v>
      </c>
      <c r="CU171" t="e">
        <f>AND(Bills!T697,"AAAAAH0872I=")</f>
        <v>#VALUE!</v>
      </c>
      <c r="CV171" t="e">
        <f>AND(Bills!#REF!,"AAAAAH0872M=")</f>
        <v>#REF!</v>
      </c>
      <c r="CW171" t="e">
        <f>AND(Bills!U697,"AAAAAH0872Q=")</f>
        <v>#VALUE!</v>
      </c>
      <c r="CX171" t="e">
        <f>AND(Bills!V697,"AAAAAH0872U=")</f>
        <v>#VALUE!</v>
      </c>
      <c r="CY171" t="e">
        <f>AND(Bills!W697,"AAAAAH0872Y=")</f>
        <v>#VALUE!</v>
      </c>
      <c r="CZ171" t="e">
        <f>AND(Bills!#REF!,"AAAAAH0872c=")</f>
        <v>#REF!</v>
      </c>
      <c r="DA171" t="e">
        <f>AND(Bills!#REF!,"AAAAAH0872g=")</f>
        <v>#REF!</v>
      </c>
      <c r="DB171" t="e">
        <f>AND(Bills!Y697,"AAAAAH0872k=")</f>
        <v>#VALUE!</v>
      </c>
      <c r="DC171" t="e">
        <f>AND(Bills!Z697,"AAAAAH0872o=")</f>
        <v>#VALUE!</v>
      </c>
      <c r="DD171" t="e">
        <f>AND(Bills!#REF!,"AAAAAH0872s=")</f>
        <v>#REF!</v>
      </c>
      <c r="DE171" t="e">
        <f>AND(Bills!#REF!,"AAAAAH0872w=")</f>
        <v>#REF!</v>
      </c>
      <c r="DF171" t="e">
        <f>AND(Bills!#REF!,"AAAAAH08720=")</f>
        <v>#REF!</v>
      </c>
      <c r="DG171" t="e">
        <f>AND(Bills!#REF!,"AAAAAH08724=")</f>
        <v>#REF!</v>
      </c>
      <c r="DH171" t="e">
        <f>AND(Bills!#REF!,"AAAAAH08728=")</f>
        <v>#REF!</v>
      </c>
      <c r="DI171" t="e">
        <f>AND(Bills!#REF!,"AAAAAH0873A=")</f>
        <v>#REF!</v>
      </c>
      <c r="DJ171" t="e">
        <f>AND(Bills!#REF!,"AAAAAH0873E=")</f>
        <v>#REF!</v>
      </c>
      <c r="DK171" t="e">
        <f>AND(Bills!#REF!,"AAAAAH0873I=")</f>
        <v>#REF!</v>
      </c>
      <c r="DL171" t="e">
        <f>AND(Bills!#REF!,"AAAAAH0873M=")</f>
        <v>#REF!</v>
      </c>
      <c r="DM171" t="e">
        <f>AND(Bills!AA697,"AAAAAH0873Q=")</f>
        <v>#VALUE!</v>
      </c>
      <c r="DN171" t="e">
        <f>AND(Bills!AB697,"AAAAAH0873U=")</f>
        <v>#VALUE!</v>
      </c>
      <c r="DO171" t="e">
        <f>AND(Bills!#REF!,"AAAAAH0873Y=")</f>
        <v>#REF!</v>
      </c>
      <c r="DP171" t="e">
        <f>AND(Bills!#REF!,"AAAAAH0873c=")</f>
        <v>#REF!</v>
      </c>
      <c r="DQ171" t="e">
        <f>AND(Bills!#REF!,"AAAAAH0873g=")</f>
        <v>#REF!</v>
      </c>
      <c r="DR171" t="e">
        <f>AND(Bills!AC697,"AAAAAH0873k=")</f>
        <v>#VALUE!</v>
      </c>
      <c r="DS171" t="e">
        <f>AND(Bills!AD697,"AAAAAH0873o=")</f>
        <v>#VALUE!</v>
      </c>
      <c r="DT171" t="e">
        <f>AND(Bills!AE697,"AAAAAH0873s=")</f>
        <v>#VALUE!</v>
      </c>
      <c r="DU171">
        <f>IF(Bills!698:698,"AAAAAH0873w=",0)</f>
        <v>0</v>
      </c>
      <c r="DV171" t="e">
        <f>AND(Bills!B698,"AAAAAH08730=")</f>
        <v>#VALUE!</v>
      </c>
      <c r="DW171" t="e">
        <f>AND(Bills!#REF!,"AAAAAH08734=")</f>
        <v>#REF!</v>
      </c>
      <c r="DX171" t="e">
        <f>AND(Bills!C698,"AAAAAH08738=")</f>
        <v>#VALUE!</v>
      </c>
      <c r="DY171" t="e">
        <f>AND(Bills!D698,"AAAAAH0874A=")</f>
        <v>#VALUE!</v>
      </c>
      <c r="DZ171" t="e">
        <f>AND(Bills!E698,"AAAAAH0874E=")</f>
        <v>#VALUE!</v>
      </c>
      <c r="EA171" t="e">
        <f>AND(Bills!#REF!,"AAAAAH0874I=")</f>
        <v>#REF!</v>
      </c>
      <c r="EB171" t="e">
        <f>AND(Bills!#REF!,"AAAAAH0874M=")</f>
        <v>#REF!</v>
      </c>
      <c r="EC171" t="e">
        <f>AND(Bills!#REF!,"AAAAAH0874Q=")</f>
        <v>#REF!</v>
      </c>
      <c r="ED171" t="e">
        <f>AND(Bills!F698,"AAAAAH0874U=")</f>
        <v>#VALUE!</v>
      </c>
      <c r="EE171" t="e">
        <f>AND(Bills!#REF!,"AAAAAH0874Y=")</f>
        <v>#REF!</v>
      </c>
      <c r="EF171" t="e">
        <f>AND(Bills!G698,"AAAAAH0874c=")</f>
        <v>#VALUE!</v>
      </c>
      <c r="EG171" t="e">
        <f>AND(Bills!H698,"AAAAAH0874g=")</f>
        <v>#VALUE!</v>
      </c>
      <c r="EH171" t="e">
        <f>AND(Bills!I698,"AAAAAH0874k=")</f>
        <v>#VALUE!</v>
      </c>
      <c r="EI171" t="e">
        <f>AND(Bills!J698,"AAAAAH0874o=")</f>
        <v>#VALUE!</v>
      </c>
      <c r="EJ171" t="e">
        <f>AND(Bills!K698,"AAAAAH0874s=")</f>
        <v>#VALUE!</v>
      </c>
      <c r="EK171" t="e">
        <f>AND(Bills!L698,"AAAAAH0874w=")</f>
        <v>#VALUE!</v>
      </c>
      <c r="EL171" t="e">
        <f>AND(Bills!#REF!,"AAAAAH08740=")</f>
        <v>#REF!</v>
      </c>
      <c r="EM171" t="e">
        <f>AND(Bills!M698,"AAAAAH08744=")</f>
        <v>#VALUE!</v>
      </c>
      <c r="EN171" t="e">
        <f>AND(Bills!N698,"AAAAAH08748=")</f>
        <v>#VALUE!</v>
      </c>
      <c r="EO171" t="e">
        <f>AND(Bills!O698,"AAAAAH0875A=")</f>
        <v>#VALUE!</v>
      </c>
      <c r="EP171" t="e">
        <f>AND(Bills!P698,"AAAAAH0875E=")</f>
        <v>#VALUE!</v>
      </c>
      <c r="EQ171" t="e">
        <f>AND(Bills!Q698,"AAAAAH0875I=")</f>
        <v>#VALUE!</v>
      </c>
      <c r="ER171" t="e">
        <f>AND(Bills!R698,"AAAAAH0875M=")</f>
        <v>#VALUE!</v>
      </c>
      <c r="ES171" t="e">
        <f>AND(Bills!S698,"AAAAAH0875Q=")</f>
        <v>#VALUE!</v>
      </c>
      <c r="ET171" t="e">
        <f>AND(Bills!T698,"AAAAAH0875U=")</f>
        <v>#VALUE!</v>
      </c>
      <c r="EU171" t="e">
        <f>AND(Bills!#REF!,"AAAAAH0875Y=")</f>
        <v>#REF!</v>
      </c>
      <c r="EV171" t="e">
        <f>AND(Bills!U698,"AAAAAH0875c=")</f>
        <v>#VALUE!</v>
      </c>
      <c r="EW171" t="e">
        <f>AND(Bills!V698,"AAAAAH0875g=")</f>
        <v>#VALUE!</v>
      </c>
      <c r="EX171" t="e">
        <f>AND(Bills!W698,"AAAAAH0875k=")</f>
        <v>#VALUE!</v>
      </c>
      <c r="EY171" t="e">
        <f>AND(Bills!#REF!,"AAAAAH0875o=")</f>
        <v>#REF!</v>
      </c>
      <c r="EZ171" t="e">
        <f>AND(Bills!#REF!,"AAAAAH0875s=")</f>
        <v>#REF!</v>
      </c>
      <c r="FA171" t="e">
        <f>AND(Bills!Y698,"AAAAAH0875w=")</f>
        <v>#VALUE!</v>
      </c>
      <c r="FB171" t="e">
        <f>AND(Bills!Z698,"AAAAAH08750=")</f>
        <v>#VALUE!</v>
      </c>
      <c r="FC171" t="e">
        <f>AND(Bills!#REF!,"AAAAAH08754=")</f>
        <v>#REF!</v>
      </c>
      <c r="FD171" t="e">
        <f>AND(Bills!#REF!,"AAAAAH08758=")</f>
        <v>#REF!</v>
      </c>
      <c r="FE171" t="e">
        <f>AND(Bills!#REF!,"AAAAAH0876A=")</f>
        <v>#REF!</v>
      </c>
      <c r="FF171" t="e">
        <f>AND(Bills!#REF!,"AAAAAH0876E=")</f>
        <v>#REF!</v>
      </c>
      <c r="FG171" t="e">
        <f>AND(Bills!#REF!,"AAAAAH0876I=")</f>
        <v>#REF!</v>
      </c>
      <c r="FH171" t="e">
        <f>AND(Bills!#REF!,"AAAAAH0876M=")</f>
        <v>#REF!</v>
      </c>
      <c r="FI171" t="e">
        <f>AND(Bills!#REF!,"AAAAAH0876Q=")</f>
        <v>#REF!</v>
      </c>
      <c r="FJ171" t="e">
        <f>AND(Bills!#REF!,"AAAAAH0876U=")</f>
        <v>#REF!</v>
      </c>
      <c r="FK171" t="e">
        <f>AND(Bills!#REF!,"AAAAAH0876Y=")</f>
        <v>#REF!</v>
      </c>
      <c r="FL171" t="e">
        <f>AND(Bills!AA698,"AAAAAH0876c=")</f>
        <v>#VALUE!</v>
      </c>
      <c r="FM171" t="e">
        <f>AND(Bills!AB698,"AAAAAH0876g=")</f>
        <v>#VALUE!</v>
      </c>
      <c r="FN171" t="e">
        <f>AND(Bills!#REF!,"AAAAAH0876k=")</f>
        <v>#REF!</v>
      </c>
      <c r="FO171" t="e">
        <f>AND(Bills!#REF!,"AAAAAH0876o=")</f>
        <v>#REF!</v>
      </c>
      <c r="FP171" t="e">
        <f>AND(Bills!#REF!,"AAAAAH0876s=")</f>
        <v>#REF!</v>
      </c>
      <c r="FQ171" t="e">
        <f>AND(Bills!AC698,"AAAAAH0876w=")</f>
        <v>#VALUE!</v>
      </c>
      <c r="FR171" t="e">
        <f>AND(Bills!AD698,"AAAAAH08760=")</f>
        <v>#VALUE!</v>
      </c>
      <c r="FS171" t="e">
        <f>AND(Bills!AE698,"AAAAAH08764=")</f>
        <v>#VALUE!</v>
      </c>
      <c r="FT171">
        <f>IF(Bills!699:699,"AAAAAH08768=",0)</f>
        <v>0</v>
      </c>
      <c r="FU171" t="e">
        <f>AND(Bills!B699,"AAAAAH0877A=")</f>
        <v>#VALUE!</v>
      </c>
      <c r="FV171" t="e">
        <f>AND(Bills!#REF!,"AAAAAH0877E=")</f>
        <v>#REF!</v>
      </c>
      <c r="FW171" t="e">
        <f>AND(Bills!C699,"AAAAAH0877I=")</f>
        <v>#VALUE!</v>
      </c>
      <c r="FX171" t="e">
        <f>AND(Bills!D699,"AAAAAH0877M=")</f>
        <v>#VALUE!</v>
      </c>
      <c r="FY171" t="e">
        <f>AND(Bills!E699,"AAAAAH0877Q=")</f>
        <v>#VALUE!</v>
      </c>
      <c r="FZ171" t="e">
        <f>AND(Bills!#REF!,"AAAAAH0877U=")</f>
        <v>#REF!</v>
      </c>
      <c r="GA171" t="e">
        <f>AND(Bills!#REF!,"AAAAAH0877Y=")</f>
        <v>#REF!</v>
      </c>
      <c r="GB171" t="e">
        <f>AND(Bills!#REF!,"AAAAAH0877c=")</f>
        <v>#REF!</v>
      </c>
      <c r="GC171" t="e">
        <f>AND(Bills!F699,"AAAAAH0877g=")</f>
        <v>#VALUE!</v>
      </c>
      <c r="GD171" t="e">
        <f>AND(Bills!#REF!,"AAAAAH0877k=")</f>
        <v>#REF!</v>
      </c>
      <c r="GE171" t="e">
        <f>AND(Bills!G699,"AAAAAH0877o=")</f>
        <v>#VALUE!</v>
      </c>
      <c r="GF171" t="e">
        <f>AND(Bills!H699,"AAAAAH0877s=")</f>
        <v>#VALUE!</v>
      </c>
      <c r="GG171" t="e">
        <f>AND(Bills!I699,"AAAAAH0877w=")</f>
        <v>#VALUE!</v>
      </c>
      <c r="GH171" t="e">
        <f>AND(Bills!J699,"AAAAAH08770=")</f>
        <v>#VALUE!</v>
      </c>
      <c r="GI171" t="e">
        <f>AND(Bills!K699,"AAAAAH08774=")</f>
        <v>#VALUE!</v>
      </c>
      <c r="GJ171" t="e">
        <f>AND(Bills!L699,"AAAAAH08778=")</f>
        <v>#VALUE!</v>
      </c>
      <c r="GK171" t="e">
        <f>AND(Bills!#REF!,"AAAAAH0878A=")</f>
        <v>#REF!</v>
      </c>
      <c r="GL171" t="e">
        <f>AND(Bills!M699,"AAAAAH0878E=")</f>
        <v>#VALUE!</v>
      </c>
      <c r="GM171" t="e">
        <f>AND(Bills!N699,"AAAAAH0878I=")</f>
        <v>#VALUE!</v>
      </c>
      <c r="GN171" t="e">
        <f>AND(Bills!O699,"AAAAAH0878M=")</f>
        <v>#VALUE!</v>
      </c>
      <c r="GO171" t="e">
        <f>AND(Bills!P699,"AAAAAH0878Q=")</f>
        <v>#VALUE!</v>
      </c>
      <c r="GP171" t="e">
        <f>AND(Bills!Q699,"AAAAAH0878U=")</f>
        <v>#VALUE!</v>
      </c>
      <c r="GQ171" t="e">
        <f>AND(Bills!R699,"AAAAAH0878Y=")</f>
        <v>#VALUE!</v>
      </c>
      <c r="GR171" t="e">
        <f>AND(Bills!S699,"AAAAAH0878c=")</f>
        <v>#VALUE!</v>
      </c>
      <c r="GS171" t="e">
        <f>AND(Bills!T699,"AAAAAH0878g=")</f>
        <v>#VALUE!</v>
      </c>
      <c r="GT171" t="e">
        <f>AND(Bills!#REF!,"AAAAAH0878k=")</f>
        <v>#REF!</v>
      </c>
      <c r="GU171" t="e">
        <f>AND(Bills!U699,"AAAAAH0878o=")</f>
        <v>#VALUE!</v>
      </c>
      <c r="GV171" t="e">
        <f>AND(Bills!V699,"AAAAAH0878s=")</f>
        <v>#VALUE!</v>
      </c>
      <c r="GW171" t="e">
        <f>AND(Bills!W699,"AAAAAH0878w=")</f>
        <v>#VALUE!</v>
      </c>
      <c r="GX171" t="e">
        <f>AND(Bills!#REF!,"AAAAAH08780=")</f>
        <v>#REF!</v>
      </c>
      <c r="GY171" t="e">
        <f>AND(Bills!#REF!,"AAAAAH08784=")</f>
        <v>#REF!</v>
      </c>
      <c r="GZ171" t="e">
        <f>AND(Bills!Y699,"AAAAAH08788=")</f>
        <v>#VALUE!</v>
      </c>
      <c r="HA171" t="e">
        <f>AND(Bills!Z699,"AAAAAH0879A=")</f>
        <v>#VALUE!</v>
      </c>
      <c r="HB171" t="e">
        <f>AND(Bills!#REF!,"AAAAAH0879E=")</f>
        <v>#REF!</v>
      </c>
      <c r="HC171" t="e">
        <f>AND(Bills!#REF!,"AAAAAH0879I=")</f>
        <v>#REF!</v>
      </c>
      <c r="HD171" t="e">
        <f>AND(Bills!#REF!,"AAAAAH0879M=")</f>
        <v>#REF!</v>
      </c>
      <c r="HE171" t="e">
        <f>AND(Bills!#REF!,"AAAAAH0879Q=")</f>
        <v>#REF!</v>
      </c>
      <c r="HF171" t="e">
        <f>AND(Bills!#REF!,"AAAAAH0879U=")</f>
        <v>#REF!</v>
      </c>
      <c r="HG171" t="e">
        <f>AND(Bills!#REF!,"AAAAAH0879Y=")</f>
        <v>#REF!</v>
      </c>
      <c r="HH171" t="e">
        <f>AND(Bills!#REF!,"AAAAAH0879c=")</f>
        <v>#REF!</v>
      </c>
      <c r="HI171" t="e">
        <f>AND(Bills!#REF!,"AAAAAH0879g=")</f>
        <v>#REF!</v>
      </c>
      <c r="HJ171" t="e">
        <f>AND(Bills!#REF!,"AAAAAH0879k=")</f>
        <v>#REF!</v>
      </c>
      <c r="HK171" t="e">
        <f>AND(Bills!AA699,"AAAAAH0879o=")</f>
        <v>#VALUE!</v>
      </c>
      <c r="HL171" t="e">
        <f>AND(Bills!AB699,"AAAAAH0879s=")</f>
        <v>#VALUE!</v>
      </c>
      <c r="HM171" t="e">
        <f>AND(Bills!#REF!,"AAAAAH0879w=")</f>
        <v>#REF!</v>
      </c>
      <c r="HN171" t="e">
        <f>AND(Bills!#REF!,"AAAAAH08790=")</f>
        <v>#REF!</v>
      </c>
      <c r="HO171" t="e">
        <f>AND(Bills!#REF!,"AAAAAH08794=")</f>
        <v>#REF!</v>
      </c>
      <c r="HP171" t="e">
        <f>AND(Bills!AC699,"AAAAAH08798=")</f>
        <v>#VALUE!</v>
      </c>
      <c r="HQ171" t="e">
        <f>AND(Bills!AD699,"AAAAAH087+A=")</f>
        <v>#VALUE!</v>
      </c>
      <c r="HR171" t="e">
        <f>AND(Bills!AE699,"AAAAAH087+E=")</f>
        <v>#VALUE!</v>
      </c>
      <c r="HS171">
        <f>IF(Bills!700:700,"AAAAAH087+I=",0)</f>
        <v>0</v>
      </c>
      <c r="HT171" t="e">
        <f>AND(Bills!B700,"AAAAAH087+M=")</f>
        <v>#VALUE!</v>
      </c>
      <c r="HU171" t="e">
        <f>AND(Bills!#REF!,"AAAAAH087+Q=")</f>
        <v>#REF!</v>
      </c>
      <c r="HV171" t="e">
        <f>AND(Bills!C700,"AAAAAH087+U=")</f>
        <v>#VALUE!</v>
      </c>
      <c r="HW171" t="e">
        <f>AND(Bills!D700,"AAAAAH087+Y=")</f>
        <v>#VALUE!</v>
      </c>
      <c r="HX171" t="e">
        <f>AND(Bills!E700,"AAAAAH087+c=")</f>
        <v>#VALUE!</v>
      </c>
      <c r="HY171" t="e">
        <f>AND(Bills!#REF!,"AAAAAH087+g=")</f>
        <v>#REF!</v>
      </c>
      <c r="HZ171" t="e">
        <f>AND(Bills!#REF!,"AAAAAH087+k=")</f>
        <v>#REF!</v>
      </c>
      <c r="IA171" t="e">
        <f>AND(Bills!#REF!,"AAAAAH087+o=")</f>
        <v>#REF!</v>
      </c>
      <c r="IB171" t="e">
        <f>AND(Bills!F700,"AAAAAH087+s=")</f>
        <v>#VALUE!</v>
      </c>
      <c r="IC171" t="e">
        <f>AND(Bills!#REF!,"AAAAAH087+w=")</f>
        <v>#REF!</v>
      </c>
      <c r="ID171" t="e">
        <f>AND(Bills!G700,"AAAAAH087+0=")</f>
        <v>#VALUE!</v>
      </c>
      <c r="IE171" t="e">
        <f>AND(Bills!H700,"AAAAAH087+4=")</f>
        <v>#VALUE!</v>
      </c>
      <c r="IF171" t="e">
        <f>AND(Bills!I700,"AAAAAH087+8=")</f>
        <v>#VALUE!</v>
      </c>
      <c r="IG171" t="e">
        <f>AND(Bills!J700,"AAAAAH087/A=")</f>
        <v>#VALUE!</v>
      </c>
      <c r="IH171" t="e">
        <f>AND(Bills!K700,"AAAAAH087/E=")</f>
        <v>#VALUE!</v>
      </c>
      <c r="II171" t="e">
        <f>AND(Bills!L700,"AAAAAH087/I=")</f>
        <v>#VALUE!</v>
      </c>
      <c r="IJ171" t="e">
        <f>AND(Bills!#REF!,"AAAAAH087/M=")</f>
        <v>#REF!</v>
      </c>
      <c r="IK171" t="e">
        <f>AND(Bills!M700,"AAAAAH087/Q=")</f>
        <v>#VALUE!</v>
      </c>
      <c r="IL171" t="e">
        <f>AND(Bills!N700,"AAAAAH087/U=")</f>
        <v>#VALUE!</v>
      </c>
      <c r="IM171" t="e">
        <f>AND(Bills!O700,"AAAAAH087/Y=")</f>
        <v>#VALUE!</v>
      </c>
      <c r="IN171" t="e">
        <f>AND(Bills!P700,"AAAAAH087/c=")</f>
        <v>#VALUE!</v>
      </c>
      <c r="IO171" t="e">
        <f>AND(Bills!Q700,"AAAAAH087/g=")</f>
        <v>#VALUE!</v>
      </c>
      <c r="IP171" t="e">
        <f>AND(Bills!R700,"AAAAAH087/k=")</f>
        <v>#VALUE!</v>
      </c>
      <c r="IQ171" t="e">
        <f>AND(Bills!S700,"AAAAAH087/o=")</f>
        <v>#VALUE!</v>
      </c>
      <c r="IR171" t="e">
        <f>AND(Bills!T700,"AAAAAH087/s=")</f>
        <v>#VALUE!</v>
      </c>
      <c r="IS171" t="e">
        <f>AND(Bills!#REF!,"AAAAAH087/w=")</f>
        <v>#REF!</v>
      </c>
      <c r="IT171" t="e">
        <f>AND(Bills!U700,"AAAAAH087/0=")</f>
        <v>#VALUE!</v>
      </c>
      <c r="IU171" t="e">
        <f>AND(Bills!V700,"AAAAAH087/4=")</f>
        <v>#VALUE!</v>
      </c>
      <c r="IV171" t="e">
        <f>AND(Bills!W700,"AAAAAH087/8=")</f>
        <v>#VALUE!</v>
      </c>
    </row>
    <row r="172" spans="1:256" x14ac:dyDescent="0.25">
      <c r="A172" t="e">
        <f>AND(Bills!#REF!,"AAAAAGf7/wA=")</f>
        <v>#REF!</v>
      </c>
      <c r="B172" t="e">
        <f>AND(Bills!#REF!,"AAAAAGf7/wE=")</f>
        <v>#REF!</v>
      </c>
      <c r="C172" t="e">
        <f>AND(Bills!Y700,"AAAAAGf7/wI=")</f>
        <v>#VALUE!</v>
      </c>
      <c r="D172" t="e">
        <f>AND(Bills!Z700,"AAAAAGf7/wM=")</f>
        <v>#VALUE!</v>
      </c>
      <c r="E172" t="e">
        <f>AND(Bills!#REF!,"AAAAAGf7/wQ=")</f>
        <v>#REF!</v>
      </c>
      <c r="F172" t="e">
        <f>AND(Bills!#REF!,"AAAAAGf7/wU=")</f>
        <v>#REF!</v>
      </c>
      <c r="G172" t="e">
        <f>AND(Bills!#REF!,"AAAAAGf7/wY=")</f>
        <v>#REF!</v>
      </c>
      <c r="H172" t="e">
        <f>AND(Bills!#REF!,"AAAAAGf7/wc=")</f>
        <v>#REF!</v>
      </c>
      <c r="I172" t="e">
        <f>AND(Bills!#REF!,"AAAAAGf7/wg=")</f>
        <v>#REF!</v>
      </c>
      <c r="J172" t="e">
        <f>AND(Bills!#REF!,"AAAAAGf7/wk=")</f>
        <v>#REF!</v>
      </c>
      <c r="K172" t="e">
        <f>AND(Bills!#REF!,"AAAAAGf7/wo=")</f>
        <v>#REF!</v>
      </c>
      <c r="L172" t="e">
        <f>AND(Bills!#REF!,"AAAAAGf7/ws=")</f>
        <v>#REF!</v>
      </c>
      <c r="M172" t="e">
        <f>AND(Bills!#REF!,"AAAAAGf7/ww=")</f>
        <v>#REF!</v>
      </c>
      <c r="N172" t="e">
        <f>AND(Bills!AA700,"AAAAAGf7/w0=")</f>
        <v>#VALUE!</v>
      </c>
      <c r="O172" t="e">
        <f>AND(Bills!AB700,"AAAAAGf7/w4=")</f>
        <v>#VALUE!</v>
      </c>
      <c r="P172" t="e">
        <f>AND(Bills!#REF!,"AAAAAGf7/w8=")</f>
        <v>#REF!</v>
      </c>
      <c r="Q172" t="e">
        <f>AND(Bills!#REF!,"AAAAAGf7/xA=")</f>
        <v>#REF!</v>
      </c>
      <c r="R172" t="e">
        <f>AND(Bills!#REF!,"AAAAAGf7/xE=")</f>
        <v>#REF!</v>
      </c>
      <c r="S172" t="e">
        <f>AND(Bills!AC700,"AAAAAGf7/xI=")</f>
        <v>#VALUE!</v>
      </c>
      <c r="T172" t="e">
        <f>AND(Bills!AD700,"AAAAAGf7/xM=")</f>
        <v>#VALUE!</v>
      </c>
      <c r="U172" t="e">
        <f>AND(Bills!AE700,"AAAAAGf7/xQ=")</f>
        <v>#VALUE!</v>
      </c>
      <c r="V172">
        <f>IF(Bills!701:701,"AAAAAGf7/xU=",0)</f>
        <v>0</v>
      </c>
      <c r="W172" t="e">
        <f>AND(Bills!B701,"AAAAAGf7/xY=")</f>
        <v>#VALUE!</v>
      </c>
      <c r="X172" t="e">
        <f>AND(Bills!#REF!,"AAAAAGf7/xc=")</f>
        <v>#REF!</v>
      </c>
      <c r="Y172" t="e">
        <f>AND(Bills!C701,"AAAAAGf7/xg=")</f>
        <v>#VALUE!</v>
      </c>
      <c r="Z172" t="e">
        <f>AND(Bills!D701,"AAAAAGf7/xk=")</f>
        <v>#VALUE!</v>
      </c>
      <c r="AA172" t="e">
        <f>AND(Bills!E701,"AAAAAGf7/xo=")</f>
        <v>#VALUE!</v>
      </c>
      <c r="AB172" t="e">
        <f>AND(Bills!#REF!,"AAAAAGf7/xs=")</f>
        <v>#REF!</v>
      </c>
      <c r="AC172" t="e">
        <f>AND(Bills!#REF!,"AAAAAGf7/xw=")</f>
        <v>#REF!</v>
      </c>
      <c r="AD172" t="e">
        <f>AND(Bills!#REF!,"AAAAAGf7/x0=")</f>
        <v>#REF!</v>
      </c>
      <c r="AE172" t="e">
        <f>AND(Bills!F701,"AAAAAGf7/x4=")</f>
        <v>#VALUE!</v>
      </c>
      <c r="AF172" t="e">
        <f>AND(Bills!#REF!,"AAAAAGf7/x8=")</f>
        <v>#REF!</v>
      </c>
      <c r="AG172" t="e">
        <f>AND(Bills!G701,"AAAAAGf7/yA=")</f>
        <v>#VALUE!</v>
      </c>
      <c r="AH172" t="e">
        <f>AND(Bills!H701,"AAAAAGf7/yE=")</f>
        <v>#VALUE!</v>
      </c>
      <c r="AI172" t="e">
        <f>AND(Bills!I701,"AAAAAGf7/yI=")</f>
        <v>#VALUE!</v>
      </c>
      <c r="AJ172" t="e">
        <f>AND(Bills!J701,"AAAAAGf7/yM=")</f>
        <v>#VALUE!</v>
      </c>
      <c r="AK172" t="e">
        <f>AND(Bills!K701,"AAAAAGf7/yQ=")</f>
        <v>#VALUE!</v>
      </c>
      <c r="AL172" t="e">
        <f>AND(Bills!L701,"AAAAAGf7/yU=")</f>
        <v>#VALUE!</v>
      </c>
      <c r="AM172" t="e">
        <f>AND(Bills!#REF!,"AAAAAGf7/yY=")</f>
        <v>#REF!</v>
      </c>
      <c r="AN172" t="e">
        <f>AND(Bills!M701,"AAAAAGf7/yc=")</f>
        <v>#VALUE!</v>
      </c>
      <c r="AO172" t="e">
        <f>AND(Bills!N701,"AAAAAGf7/yg=")</f>
        <v>#VALUE!</v>
      </c>
      <c r="AP172" t="e">
        <f>AND(Bills!O701,"AAAAAGf7/yk=")</f>
        <v>#VALUE!</v>
      </c>
      <c r="AQ172" t="e">
        <f>AND(Bills!P701,"AAAAAGf7/yo=")</f>
        <v>#VALUE!</v>
      </c>
      <c r="AR172" t="e">
        <f>AND(Bills!Q701,"AAAAAGf7/ys=")</f>
        <v>#VALUE!</v>
      </c>
      <c r="AS172" t="e">
        <f>AND(Bills!R701,"AAAAAGf7/yw=")</f>
        <v>#VALUE!</v>
      </c>
      <c r="AT172" t="e">
        <f>AND(Bills!S701,"AAAAAGf7/y0=")</f>
        <v>#VALUE!</v>
      </c>
      <c r="AU172" t="e">
        <f>AND(Bills!T701,"AAAAAGf7/y4=")</f>
        <v>#VALUE!</v>
      </c>
      <c r="AV172" t="e">
        <f>AND(Bills!#REF!,"AAAAAGf7/y8=")</f>
        <v>#REF!</v>
      </c>
      <c r="AW172" t="e">
        <f>AND(Bills!U701,"AAAAAGf7/zA=")</f>
        <v>#VALUE!</v>
      </c>
      <c r="AX172" t="e">
        <f>AND(Bills!V701,"AAAAAGf7/zE=")</f>
        <v>#VALUE!</v>
      </c>
      <c r="AY172" t="e">
        <f>AND(Bills!W701,"AAAAAGf7/zI=")</f>
        <v>#VALUE!</v>
      </c>
      <c r="AZ172" t="e">
        <f>AND(Bills!#REF!,"AAAAAGf7/zM=")</f>
        <v>#REF!</v>
      </c>
      <c r="BA172" t="e">
        <f>AND(Bills!#REF!,"AAAAAGf7/zQ=")</f>
        <v>#REF!</v>
      </c>
      <c r="BB172" t="e">
        <f>AND(Bills!Y701,"AAAAAGf7/zU=")</f>
        <v>#VALUE!</v>
      </c>
      <c r="BC172" t="e">
        <f>AND(Bills!Z701,"AAAAAGf7/zY=")</f>
        <v>#VALUE!</v>
      </c>
      <c r="BD172" t="e">
        <f>AND(Bills!#REF!,"AAAAAGf7/zc=")</f>
        <v>#REF!</v>
      </c>
      <c r="BE172" t="e">
        <f>AND(Bills!#REF!,"AAAAAGf7/zg=")</f>
        <v>#REF!</v>
      </c>
      <c r="BF172" t="e">
        <f>AND(Bills!#REF!,"AAAAAGf7/zk=")</f>
        <v>#REF!</v>
      </c>
      <c r="BG172" t="e">
        <f>AND(Bills!#REF!,"AAAAAGf7/zo=")</f>
        <v>#REF!</v>
      </c>
      <c r="BH172" t="e">
        <f>AND(Bills!#REF!,"AAAAAGf7/zs=")</f>
        <v>#REF!</v>
      </c>
      <c r="BI172" t="e">
        <f>AND(Bills!#REF!,"AAAAAGf7/zw=")</f>
        <v>#REF!</v>
      </c>
      <c r="BJ172" t="e">
        <f>AND(Bills!#REF!,"AAAAAGf7/z0=")</f>
        <v>#REF!</v>
      </c>
      <c r="BK172" t="e">
        <f>AND(Bills!#REF!,"AAAAAGf7/z4=")</f>
        <v>#REF!</v>
      </c>
      <c r="BL172" t="e">
        <f>AND(Bills!#REF!,"AAAAAGf7/z8=")</f>
        <v>#REF!</v>
      </c>
      <c r="BM172" t="e">
        <f>AND(Bills!AA701,"AAAAAGf7/0A=")</f>
        <v>#VALUE!</v>
      </c>
      <c r="BN172" t="e">
        <f>AND(Bills!AB701,"AAAAAGf7/0E=")</f>
        <v>#VALUE!</v>
      </c>
      <c r="BO172" t="e">
        <f>AND(Bills!#REF!,"AAAAAGf7/0I=")</f>
        <v>#REF!</v>
      </c>
      <c r="BP172" t="e">
        <f>AND(Bills!#REF!,"AAAAAGf7/0M=")</f>
        <v>#REF!</v>
      </c>
      <c r="BQ172" t="e">
        <f>AND(Bills!#REF!,"AAAAAGf7/0Q=")</f>
        <v>#REF!</v>
      </c>
      <c r="BR172" t="e">
        <f>AND(Bills!AC701,"AAAAAGf7/0U=")</f>
        <v>#VALUE!</v>
      </c>
      <c r="BS172" t="e">
        <f>AND(Bills!AD701,"AAAAAGf7/0Y=")</f>
        <v>#VALUE!</v>
      </c>
      <c r="BT172" t="e">
        <f>AND(Bills!AE701,"AAAAAGf7/0c=")</f>
        <v>#VALUE!</v>
      </c>
      <c r="BU172">
        <f>IF(Bills!702:702,"AAAAAGf7/0g=",0)</f>
        <v>0</v>
      </c>
      <c r="BV172" t="e">
        <f>AND(Bills!B702,"AAAAAGf7/0k=")</f>
        <v>#VALUE!</v>
      </c>
      <c r="BW172" t="e">
        <f>AND(Bills!#REF!,"AAAAAGf7/0o=")</f>
        <v>#REF!</v>
      </c>
      <c r="BX172" t="e">
        <f>AND(Bills!C702,"AAAAAGf7/0s=")</f>
        <v>#VALUE!</v>
      </c>
      <c r="BY172" t="e">
        <f>AND(Bills!D702,"AAAAAGf7/0w=")</f>
        <v>#VALUE!</v>
      </c>
      <c r="BZ172" t="e">
        <f>AND(Bills!E702,"AAAAAGf7/00=")</f>
        <v>#VALUE!</v>
      </c>
      <c r="CA172" t="e">
        <f>AND(Bills!#REF!,"AAAAAGf7/04=")</f>
        <v>#REF!</v>
      </c>
      <c r="CB172" t="e">
        <f>AND(Bills!#REF!,"AAAAAGf7/08=")</f>
        <v>#REF!</v>
      </c>
      <c r="CC172" t="e">
        <f>AND(Bills!#REF!,"AAAAAGf7/1A=")</f>
        <v>#REF!</v>
      </c>
      <c r="CD172" t="e">
        <f>AND(Bills!F702,"AAAAAGf7/1E=")</f>
        <v>#VALUE!</v>
      </c>
      <c r="CE172" t="e">
        <f>AND(Bills!#REF!,"AAAAAGf7/1I=")</f>
        <v>#REF!</v>
      </c>
      <c r="CF172" t="e">
        <f>AND(Bills!G702,"AAAAAGf7/1M=")</f>
        <v>#VALUE!</v>
      </c>
      <c r="CG172" t="e">
        <f>AND(Bills!H702,"AAAAAGf7/1Q=")</f>
        <v>#VALUE!</v>
      </c>
      <c r="CH172" t="e">
        <f>AND(Bills!I702,"AAAAAGf7/1U=")</f>
        <v>#VALUE!</v>
      </c>
      <c r="CI172" t="e">
        <f>AND(Bills!J702,"AAAAAGf7/1Y=")</f>
        <v>#VALUE!</v>
      </c>
      <c r="CJ172" t="e">
        <f>AND(Bills!K702,"AAAAAGf7/1c=")</f>
        <v>#VALUE!</v>
      </c>
      <c r="CK172" t="e">
        <f>AND(Bills!L702,"AAAAAGf7/1g=")</f>
        <v>#VALUE!</v>
      </c>
      <c r="CL172" t="e">
        <f>AND(Bills!#REF!,"AAAAAGf7/1k=")</f>
        <v>#REF!</v>
      </c>
      <c r="CM172" t="e">
        <f>AND(Bills!M702,"AAAAAGf7/1o=")</f>
        <v>#VALUE!</v>
      </c>
      <c r="CN172" t="e">
        <f>AND(Bills!N702,"AAAAAGf7/1s=")</f>
        <v>#VALUE!</v>
      </c>
      <c r="CO172" t="e">
        <f>AND(Bills!O702,"AAAAAGf7/1w=")</f>
        <v>#VALUE!</v>
      </c>
      <c r="CP172" t="e">
        <f>AND(Bills!P702,"AAAAAGf7/10=")</f>
        <v>#VALUE!</v>
      </c>
      <c r="CQ172" t="e">
        <f>AND(Bills!Q702,"AAAAAGf7/14=")</f>
        <v>#VALUE!</v>
      </c>
      <c r="CR172" t="e">
        <f>AND(Bills!R702,"AAAAAGf7/18=")</f>
        <v>#VALUE!</v>
      </c>
      <c r="CS172" t="e">
        <f>AND(Bills!S702,"AAAAAGf7/2A=")</f>
        <v>#VALUE!</v>
      </c>
      <c r="CT172" t="e">
        <f>AND(Bills!T702,"AAAAAGf7/2E=")</f>
        <v>#VALUE!</v>
      </c>
      <c r="CU172" t="e">
        <f>AND(Bills!#REF!,"AAAAAGf7/2I=")</f>
        <v>#REF!</v>
      </c>
      <c r="CV172" t="e">
        <f>AND(Bills!U702,"AAAAAGf7/2M=")</f>
        <v>#VALUE!</v>
      </c>
      <c r="CW172" t="e">
        <f>AND(Bills!V702,"AAAAAGf7/2Q=")</f>
        <v>#VALUE!</v>
      </c>
      <c r="CX172" t="e">
        <f>AND(Bills!W702,"AAAAAGf7/2U=")</f>
        <v>#VALUE!</v>
      </c>
      <c r="CY172" t="e">
        <f>AND(Bills!#REF!,"AAAAAGf7/2Y=")</f>
        <v>#REF!</v>
      </c>
      <c r="CZ172" t="e">
        <f>AND(Bills!#REF!,"AAAAAGf7/2c=")</f>
        <v>#REF!</v>
      </c>
      <c r="DA172" t="e">
        <f>AND(Bills!Y702,"AAAAAGf7/2g=")</f>
        <v>#VALUE!</v>
      </c>
      <c r="DB172" t="e">
        <f>AND(Bills!Z702,"AAAAAGf7/2k=")</f>
        <v>#VALUE!</v>
      </c>
      <c r="DC172" t="e">
        <f>AND(Bills!#REF!,"AAAAAGf7/2o=")</f>
        <v>#REF!</v>
      </c>
      <c r="DD172" t="e">
        <f>AND(Bills!#REF!,"AAAAAGf7/2s=")</f>
        <v>#REF!</v>
      </c>
      <c r="DE172" t="e">
        <f>AND(Bills!#REF!,"AAAAAGf7/2w=")</f>
        <v>#REF!</v>
      </c>
      <c r="DF172" t="e">
        <f>AND(Bills!#REF!,"AAAAAGf7/20=")</f>
        <v>#REF!</v>
      </c>
      <c r="DG172" t="e">
        <f>AND(Bills!#REF!,"AAAAAGf7/24=")</f>
        <v>#REF!</v>
      </c>
      <c r="DH172" t="e">
        <f>AND(Bills!#REF!,"AAAAAGf7/28=")</f>
        <v>#REF!</v>
      </c>
      <c r="DI172" t="e">
        <f>AND(Bills!#REF!,"AAAAAGf7/3A=")</f>
        <v>#REF!</v>
      </c>
      <c r="DJ172" t="e">
        <f>AND(Bills!#REF!,"AAAAAGf7/3E=")</f>
        <v>#REF!</v>
      </c>
      <c r="DK172" t="e">
        <f>AND(Bills!#REF!,"AAAAAGf7/3I=")</f>
        <v>#REF!</v>
      </c>
      <c r="DL172" t="e">
        <f>AND(Bills!AA702,"AAAAAGf7/3M=")</f>
        <v>#VALUE!</v>
      </c>
      <c r="DM172" t="e">
        <f>AND(Bills!AB702,"AAAAAGf7/3Q=")</f>
        <v>#VALUE!</v>
      </c>
      <c r="DN172" t="e">
        <f>AND(Bills!#REF!,"AAAAAGf7/3U=")</f>
        <v>#REF!</v>
      </c>
      <c r="DO172" t="e">
        <f>AND(Bills!#REF!,"AAAAAGf7/3Y=")</f>
        <v>#REF!</v>
      </c>
      <c r="DP172" t="e">
        <f>AND(Bills!#REF!,"AAAAAGf7/3c=")</f>
        <v>#REF!</v>
      </c>
      <c r="DQ172" t="e">
        <f>AND(Bills!AC702,"AAAAAGf7/3g=")</f>
        <v>#VALUE!</v>
      </c>
      <c r="DR172" t="e">
        <f>AND(Bills!AD702,"AAAAAGf7/3k=")</f>
        <v>#VALUE!</v>
      </c>
      <c r="DS172" t="e">
        <f>AND(Bills!AE702,"AAAAAGf7/3o=")</f>
        <v>#VALUE!</v>
      </c>
      <c r="DT172">
        <f>IF(Bills!703:703,"AAAAAGf7/3s=",0)</f>
        <v>0</v>
      </c>
      <c r="DU172" t="e">
        <f>AND(Bills!B703,"AAAAAGf7/3w=")</f>
        <v>#VALUE!</v>
      </c>
      <c r="DV172" t="e">
        <f>AND(Bills!#REF!,"AAAAAGf7/30=")</f>
        <v>#REF!</v>
      </c>
      <c r="DW172" t="e">
        <f>AND(Bills!C703,"AAAAAGf7/34=")</f>
        <v>#VALUE!</v>
      </c>
      <c r="DX172" t="e">
        <f>AND(Bills!D703,"AAAAAGf7/38=")</f>
        <v>#VALUE!</v>
      </c>
      <c r="DY172" t="e">
        <f>AND(Bills!E703,"AAAAAGf7/4A=")</f>
        <v>#VALUE!</v>
      </c>
      <c r="DZ172" t="e">
        <f>AND(Bills!#REF!,"AAAAAGf7/4E=")</f>
        <v>#REF!</v>
      </c>
      <c r="EA172" t="e">
        <f>AND(Bills!#REF!,"AAAAAGf7/4I=")</f>
        <v>#REF!</v>
      </c>
      <c r="EB172" t="e">
        <f>AND(Bills!#REF!,"AAAAAGf7/4M=")</f>
        <v>#REF!</v>
      </c>
      <c r="EC172" t="e">
        <f>AND(Bills!F703,"AAAAAGf7/4Q=")</f>
        <v>#VALUE!</v>
      </c>
      <c r="ED172" t="e">
        <f>AND(Bills!#REF!,"AAAAAGf7/4U=")</f>
        <v>#REF!</v>
      </c>
      <c r="EE172" t="e">
        <f>AND(Bills!G703,"AAAAAGf7/4Y=")</f>
        <v>#VALUE!</v>
      </c>
      <c r="EF172" t="e">
        <f>AND(Bills!H703,"AAAAAGf7/4c=")</f>
        <v>#VALUE!</v>
      </c>
      <c r="EG172" t="e">
        <f>AND(Bills!I703,"AAAAAGf7/4g=")</f>
        <v>#VALUE!</v>
      </c>
      <c r="EH172" t="e">
        <f>AND(Bills!J703,"AAAAAGf7/4k=")</f>
        <v>#VALUE!</v>
      </c>
      <c r="EI172" t="e">
        <f>AND(Bills!K703,"AAAAAGf7/4o=")</f>
        <v>#VALUE!</v>
      </c>
      <c r="EJ172" t="e">
        <f>AND(Bills!L703,"AAAAAGf7/4s=")</f>
        <v>#VALUE!</v>
      </c>
      <c r="EK172" t="e">
        <f>AND(Bills!#REF!,"AAAAAGf7/4w=")</f>
        <v>#REF!</v>
      </c>
      <c r="EL172" t="e">
        <f>AND(Bills!M703,"AAAAAGf7/40=")</f>
        <v>#VALUE!</v>
      </c>
      <c r="EM172" t="e">
        <f>AND(Bills!N703,"AAAAAGf7/44=")</f>
        <v>#VALUE!</v>
      </c>
      <c r="EN172" t="e">
        <f>AND(Bills!O703,"AAAAAGf7/48=")</f>
        <v>#VALUE!</v>
      </c>
      <c r="EO172" t="e">
        <f>AND(Bills!P703,"AAAAAGf7/5A=")</f>
        <v>#VALUE!</v>
      </c>
      <c r="EP172" t="e">
        <f>AND(Bills!Q703,"AAAAAGf7/5E=")</f>
        <v>#VALUE!</v>
      </c>
      <c r="EQ172" t="e">
        <f>AND(Bills!R703,"AAAAAGf7/5I=")</f>
        <v>#VALUE!</v>
      </c>
      <c r="ER172" t="e">
        <f>AND(Bills!S703,"AAAAAGf7/5M=")</f>
        <v>#VALUE!</v>
      </c>
      <c r="ES172" t="e">
        <f>AND(Bills!T703,"AAAAAGf7/5Q=")</f>
        <v>#VALUE!</v>
      </c>
      <c r="ET172" t="e">
        <f>AND(Bills!#REF!,"AAAAAGf7/5U=")</f>
        <v>#REF!</v>
      </c>
      <c r="EU172" t="e">
        <f>AND(Bills!U703,"AAAAAGf7/5Y=")</f>
        <v>#VALUE!</v>
      </c>
      <c r="EV172" t="e">
        <f>AND(Bills!V703,"AAAAAGf7/5c=")</f>
        <v>#VALUE!</v>
      </c>
      <c r="EW172" t="e">
        <f>AND(Bills!W703,"AAAAAGf7/5g=")</f>
        <v>#VALUE!</v>
      </c>
      <c r="EX172" t="e">
        <f>AND(Bills!#REF!,"AAAAAGf7/5k=")</f>
        <v>#REF!</v>
      </c>
      <c r="EY172" t="e">
        <f>AND(Bills!#REF!,"AAAAAGf7/5o=")</f>
        <v>#REF!</v>
      </c>
      <c r="EZ172" t="e">
        <f>AND(Bills!Y703,"AAAAAGf7/5s=")</f>
        <v>#VALUE!</v>
      </c>
      <c r="FA172" t="e">
        <f>AND(Bills!Z703,"AAAAAGf7/5w=")</f>
        <v>#VALUE!</v>
      </c>
      <c r="FB172" t="e">
        <f>AND(Bills!#REF!,"AAAAAGf7/50=")</f>
        <v>#REF!</v>
      </c>
      <c r="FC172" t="e">
        <f>AND(Bills!#REF!,"AAAAAGf7/54=")</f>
        <v>#REF!</v>
      </c>
      <c r="FD172" t="e">
        <f>AND(Bills!#REF!,"AAAAAGf7/58=")</f>
        <v>#REF!</v>
      </c>
      <c r="FE172" t="e">
        <f>AND(Bills!#REF!,"AAAAAGf7/6A=")</f>
        <v>#REF!</v>
      </c>
      <c r="FF172" t="e">
        <f>AND(Bills!#REF!,"AAAAAGf7/6E=")</f>
        <v>#REF!</v>
      </c>
      <c r="FG172" t="e">
        <f>AND(Bills!#REF!,"AAAAAGf7/6I=")</f>
        <v>#REF!</v>
      </c>
      <c r="FH172" t="e">
        <f>AND(Bills!#REF!,"AAAAAGf7/6M=")</f>
        <v>#REF!</v>
      </c>
      <c r="FI172" t="e">
        <f>AND(Bills!#REF!,"AAAAAGf7/6Q=")</f>
        <v>#REF!</v>
      </c>
      <c r="FJ172" t="e">
        <f>AND(Bills!#REF!,"AAAAAGf7/6U=")</f>
        <v>#REF!</v>
      </c>
      <c r="FK172" t="e">
        <f>AND(Bills!AA703,"AAAAAGf7/6Y=")</f>
        <v>#VALUE!</v>
      </c>
      <c r="FL172" t="e">
        <f>AND(Bills!AB703,"AAAAAGf7/6c=")</f>
        <v>#VALUE!</v>
      </c>
      <c r="FM172" t="e">
        <f>AND(Bills!#REF!,"AAAAAGf7/6g=")</f>
        <v>#REF!</v>
      </c>
      <c r="FN172" t="e">
        <f>AND(Bills!#REF!,"AAAAAGf7/6k=")</f>
        <v>#REF!</v>
      </c>
      <c r="FO172" t="e">
        <f>AND(Bills!#REF!,"AAAAAGf7/6o=")</f>
        <v>#REF!</v>
      </c>
      <c r="FP172" t="e">
        <f>AND(Bills!AC703,"AAAAAGf7/6s=")</f>
        <v>#VALUE!</v>
      </c>
      <c r="FQ172" t="e">
        <f>AND(Bills!AD703,"AAAAAGf7/6w=")</f>
        <v>#VALUE!</v>
      </c>
      <c r="FR172" t="e">
        <f>AND(Bills!AE703,"AAAAAGf7/60=")</f>
        <v>#VALUE!</v>
      </c>
      <c r="FS172">
        <f>IF(Bills!704:704,"AAAAAGf7/64=",0)</f>
        <v>0</v>
      </c>
      <c r="FT172" t="e">
        <f>AND(Bills!B704,"AAAAAGf7/68=")</f>
        <v>#VALUE!</v>
      </c>
      <c r="FU172" t="e">
        <f>AND(Bills!#REF!,"AAAAAGf7/7A=")</f>
        <v>#REF!</v>
      </c>
      <c r="FV172" t="e">
        <f>AND(Bills!C704,"AAAAAGf7/7E=")</f>
        <v>#VALUE!</v>
      </c>
      <c r="FW172" t="e">
        <f>AND(Bills!D704,"AAAAAGf7/7I=")</f>
        <v>#VALUE!</v>
      </c>
      <c r="FX172" t="e">
        <f>AND(Bills!E704,"AAAAAGf7/7M=")</f>
        <v>#VALUE!</v>
      </c>
      <c r="FY172" t="e">
        <f>AND(Bills!#REF!,"AAAAAGf7/7Q=")</f>
        <v>#REF!</v>
      </c>
      <c r="FZ172" t="e">
        <f>AND(Bills!#REF!,"AAAAAGf7/7U=")</f>
        <v>#REF!</v>
      </c>
      <c r="GA172" t="e">
        <f>AND(Bills!#REF!,"AAAAAGf7/7Y=")</f>
        <v>#REF!</v>
      </c>
      <c r="GB172" t="e">
        <f>AND(Bills!F704,"AAAAAGf7/7c=")</f>
        <v>#VALUE!</v>
      </c>
      <c r="GC172" t="e">
        <f>AND(Bills!#REF!,"AAAAAGf7/7g=")</f>
        <v>#REF!</v>
      </c>
      <c r="GD172" t="e">
        <f>AND(Bills!G704,"AAAAAGf7/7k=")</f>
        <v>#VALUE!</v>
      </c>
      <c r="GE172" t="e">
        <f>AND(Bills!H704,"AAAAAGf7/7o=")</f>
        <v>#VALUE!</v>
      </c>
      <c r="GF172" t="e">
        <f>AND(Bills!I704,"AAAAAGf7/7s=")</f>
        <v>#VALUE!</v>
      </c>
      <c r="GG172" t="e">
        <f>AND(Bills!J704,"AAAAAGf7/7w=")</f>
        <v>#VALUE!</v>
      </c>
      <c r="GH172" t="e">
        <f>AND(Bills!K704,"AAAAAGf7/70=")</f>
        <v>#VALUE!</v>
      </c>
      <c r="GI172" t="e">
        <f>AND(Bills!L704,"AAAAAGf7/74=")</f>
        <v>#VALUE!</v>
      </c>
      <c r="GJ172" t="e">
        <f>AND(Bills!#REF!,"AAAAAGf7/78=")</f>
        <v>#REF!</v>
      </c>
      <c r="GK172" t="e">
        <f>AND(Bills!M704,"AAAAAGf7/8A=")</f>
        <v>#VALUE!</v>
      </c>
      <c r="GL172" t="e">
        <f>AND(Bills!N704,"AAAAAGf7/8E=")</f>
        <v>#VALUE!</v>
      </c>
      <c r="GM172" t="e">
        <f>AND(Bills!O704,"AAAAAGf7/8I=")</f>
        <v>#VALUE!</v>
      </c>
      <c r="GN172" t="e">
        <f>AND(Bills!P704,"AAAAAGf7/8M=")</f>
        <v>#VALUE!</v>
      </c>
      <c r="GO172" t="e">
        <f>AND(Bills!Q704,"AAAAAGf7/8Q=")</f>
        <v>#VALUE!</v>
      </c>
      <c r="GP172" t="e">
        <f>AND(Bills!R704,"AAAAAGf7/8U=")</f>
        <v>#VALUE!</v>
      </c>
      <c r="GQ172" t="e">
        <f>AND(Bills!S704,"AAAAAGf7/8Y=")</f>
        <v>#VALUE!</v>
      </c>
      <c r="GR172" t="e">
        <f>AND(Bills!T704,"AAAAAGf7/8c=")</f>
        <v>#VALUE!</v>
      </c>
      <c r="GS172" t="e">
        <f>AND(Bills!#REF!,"AAAAAGf7/8g=")</f>
        <v>#REF!</v>
      </c>
      <c r="GT172" t="e">
        <f>AND(Bills!U704,"AAAAAGf7/8k=")</f>
        <v>#VALUE!</v>
      </c>
      <c r="GU172" t="e">
        <f>AND(Bills!V704,"AAAAAGf7/8o=")</f>
        <v>#VALUE!</v>
      </c>
      <c r="GV172" t="e">
        <f>AND(Bills!W704,"AAAAAGf7/8s=")</f>
        <v>#VALUE!</v>
      </c>
      <c r="GW172" t="e">
        <f>AND(Bills!#REF!,"AAAAAGf7/8w=")</f>
        <v>#REF!</v>
      </c>
      <c r="GX172" t="e">
        <f>AND(Bills!#REF!,"AAAAAGf7/80=")</f>
        <v>#REF!</v>
      </c>
      <c r="GY172" t="e">
        <f>AND(Bills!Y704,"AAAAAGf7/84=")</f>
        <v>#VALUE!</v>
      </c>
      <c r="GZ172" t="e">
        <f>AND(Bills!Z704,"AAAAAGf7/88=")</f>
        <v>#VALUE!</v>
      </c>
      <c r="HA172" t="e">
        <f>AND(Bills!#REF!,"AAAAAGf7/9A=")</f>
        <v>#REF!</v>
      </c>
      <c r="HB172" t="e">
        <f>AND(Bills!#REF!,"AAAAAGf7/9E=")</f>
        <v>#REF!</v>
      </c>
      <c r="HC172" t="e">
        <f>AND(Bills!#REF!,"AAAAAGf7/9I=")</f>
        <v>#REF!</v>
      </c>
      <c r="HD172" t="e">
        <f>AND(Bills!#REF!,"AAAAAGf7/9M=")</f>
        <v>#REF!</v>
      </c>
      <c r="HE172" t="e">
        <f>AND(Bills!#REF!,"AAAAAGf7/9Q=")</f>
        <v>#REF!</v>
      </c>
      <c r="HF172" t="e">
        <f>AND(Bills!#REF!,"AAAAAGf7/9U=")</f>
        <v>#REF!</v>
      </c>
      <c r="HG172" t="e">
        <f>AND(Bills!#REF!,"AAAAAGf7/9Y=")</f>
        <v>#REF!</v>
      </c>
      <c r="HH172" t="e">
        <f>AND(Bills!#REF!,"AAAAAGf7/9c=")</f>
        <v>#REF!</v>
      </c>
      <c r="HI172" t="e">
        <f>AND(Bills!#REF!,"AAAAAGf7/9g=")</f>
        <v>#REF!</v>
      </c>
      <c r="HJ172" t="e">
        <f>AND(Bills!AA704,"AAAAAGf7/9k=")</f>
        <v>#VALUE!</v>
      </c>
      <c r="HK172" t="e">
        <f>AND(Bills!AB704,"AAAAAGf7/9o=")</f>
        <v>#VALUE!</v>
      </c>
      <c r="HL172" t="e">
        <f>AND(Bills!#REF!,"AAAAAGf7/9s=")</f>
        <v>#REF!</v>
      </c>
      <c r="HM172" t="e">
        <f>AND(Bills!#REF!,"AAAAAGf7/9w=")</f>
        <v>#REF!</v>
      </c>
      <c r="HN172" t="e">
        <f>AND(Bills!#REF!,"AAAAAGf7/90=")</f>
        <v>#REF!</v>
      </c>
      <c r="HO172" t="e">
        <f>AND(Bills!AC704,"AAAAAGf7/94=")</f>
        <v>#VALUE!</v>
      </c>
      <c r="HP172" t="e">
        <f>AND(Bills!AD704,"AAAAAGf7/98=")</f>
        <v>#VALUE!</v>
      </c>
      <c r="HQ172" t="e">
        <f>AND(Bills!AE704,"AAAAAGf7/+A=")</f>
        <v>#VALUE!</v>
      </c>
      <c r="HR172">
        <f>IF(Bills!705:705,"AAAAAGf7/+E=",0)</f>
        <v>0</v>
      </c>
      <c r="HS172" t="e">
        <f>AND(Bills!B705,"AAAAAGf7/+I=")</f>
        <v>#VALUE!</v>
      </c>
      <c r="HT172" t="e">
        <f>AND(Bills!#REF!,"AAAAAGf7/+M=")</f>
        <v>#REF!</v>
      </c>
      <c r="HU172" t="e">
        <f>AND(Bills!C705,"AAAAAGf7/+Q=")</f>
        <v>#VALUE!</v>
      </c>
      <c r="HV172" t="e">
        <f>AND(Bills!D705,"AAAAAGf7/+U=")</f>
        <v>#VALUE!</v>
      </c>
      <c r="HW172" t="e">
        <f>AND(Bills!E705,"AAAAAGf7/+Y=")</f>
        <v>#VALUE!</v>
      </c>
      <c r="HX172" t="e">
        <f>AND(Bills!#REF!,"AAAAAGf7/+c=")</f>
        <v>#REF!</v>
      </c>
      <c r="HY172" t="e">
        <f>AND(Bills!#REF!,"AAAAAGf7/+g=")</f>
        <v>#REF!</v>
      </c>
      <c r="HZ172" t="e">
        <f>AND(Bills!#REF!,"AAAAAGf7/+k=")</f>
        <v>#REF!</v>
      </c>
      <c r="IA172" t="e">
        <f>AND(Bills!F705,"AAAAAGf7/+o=")</f>
        <v>#VALUE!</v>
      </c>
      <c r="IB172" t="e">
        <f>AND(Bills!#REF!,"AAAAAGf7/+s=")</f>
        <v>#REF!</v>
      </c>
      <c r="IC172" t="e">
        <f>AND(Bills!G705,"AAAAAGf7/+w=")</f>
        <v>#VALUE!</v>
      </c>
      <c r="ID172" t="e">
        <f>AND(Bills!H705,"AAAAAGf7/+0=")</f>
        <v>#VALUE!</v>
      </c>
      <c r="IE172" t="e">
        <f>AND(Bills!I705,"AAAAAGf7/+4=")</f>
        <v>#VALUE!</v>
      </c>
      <c r="IF172" t="e">
        <f>AND(Bills!J705,"AAAAAGf7/+8=")</f>
        <v>#VALUE!</v>
      </c>
      <c r="IG172" t="e">
        <f>AND(Bills!K705,"AAAAAGf7//A=")</f>
        <v>#VALUE!</v>
      </c>
      <c r="IH172" t="e">
        <f>AND(Bills!L705,"AAAAAGf7//E=")</f>
        <v>#VALUE!</v>
      </c>
      <c r="II172" t="e">
        <f>AND(Bills!#REF!,"AAAAAGf7//I=")</f>
        <v>#REF!</v>
      </c>
      <c r="IJ172" t="e">
        <f>AND(Bills!M705,"AAAAAGf7//M=")</f>
        <v>#VALUE!</v>
      </c>
      <c r="IK172" t="e">
        <f>AND(Bills!N705,"AAAAAGf7//Q=")</f>
        <v>#VALUE!</v>
      </c>
      <c r="IL172" t="e">
        <f>AND(Bills!O705,"AAAAAGf7//U=")</f>
        <v>#VALUE!</v>
      </c>
      <c r="IM172" t="e">
        <f>AND(Bills!P705,"AAAAAGf7//Y=")</f>
        <v>#VALUE!</v>
      </c>
      <c r="IN172" t="e">
        <f>AND(Bills!Q705,"AAAAAGf7//c=")</f>
        <v>#VALUE!</v>
      </c>
      <c r="IO172" t="e">
        <f>AND(Bills!R705,"AAAAAGf7//g=")</f>
        <v>#VALUE!</v>
      </c>
      <c r="IP172" t="e">
        <f>AND(Bills!S705,"AAAAAGf7//k=")</f>
        <v>#VALUE!</v>
      </c>
      <c r="IQ172" t="e">
        <f>AND(Bills!T705,"AAAAAGf7//o=")</f>
        <v>#VALUE!</v>
      </c>
      <c r="IR172" t="e">
        <f>AND(Bills!#REF!,"AAAAAGf7//s=")</f>
        <v>#REF!</v>
      </c>
      <c r="IS172" t="e">
        <f>AND(Bills!U705,"AAAAAGf7//w=")</f>
        <v>#VALUE!</v>
      </c>
      <c r="IT172" t="e">
        <f>AND(Bills!V705,"AAAAAGf7//0=")</f>
        <v>#VALUE!</v>
      </c>
      <c r="IU172" t="e">
        <f>AND(Bills!W705,"AAAAAGf7//4=")</f>
        <v>#VALUE!</v>
      </c>
      <c r="IV172" t="e">
        <f>AND(Bills!#REF!,"AAAAAGf7//8=")</f>
        <v>#REF!</v>
      </c>
    </row>
    <row r="173" spans="1:256" x14ac:dyDescent="0.25">
      <c r="A173" t="e">
        <f>AND(Bills!#REF!,"AAAAAH9fOwA=")</f>
        <v>#REF!</v>
      </c>
      <c r="B173" t="e">
        <f>AND(Bills!Y705,"AAAAAH9fOwE=")</f>
        <v>#VALUE!</v>
      </c>
      <c r="C173" t="e">
        <f>AND(Bills!Z705,"AAAAAH9fOwI=")</f>
        <v>#VALUE!</v>
      </c>
      <c r="D173" t="e">
        <f>AND(Bills!#REF!,"AAAAAH9fOwM=")</f>
        <v>#REF!</v>
      </c>
      <c r="E173" t="e">
        <f>AND(Bills!#REF!,"AAAAAH9fOwQ=")</f>
        <v>#REF!</v>
      </c>
      <c r="F173" t="e">
        <f>AND(Bills!#REF!,"AAAAAH9fOwU=")</f>
        <v>#REF!</v>
      </c>
      <c r="G173" t="e">
        <f>AND(Bills!#REF!,"AAAAAH9fOwY=")</f>
        <v>#REF!</v>
      </c>
      <c r="H173" t="e">
        <f>AND(Bills!#REF!,"AAAAAH9fOwc=")</f>
        <v>#REF!</v>
      </c>
      <c r="I173" t="e">
        <f>AND(Bills!#REF!,"AAAAAH9fOwg=")</f>
        <v>#REF!</v>
      </c>
      <c r="J173" t="e">
        <f>AND(Bills!#REF!,"AAAAAH9fOwk=")</f>
        <v>#REF!</v>
      </c>
      <c r="K173" t="e">
        <f>AND(Bills!#REF!,"AAAAAH9fOwo=")</f>
        <v>#REF!</v>
      </c>
      <c r="L173" t="e">
        <f>AND(Bills!#REF!,"AAAAAH9fOws=")</f>
        <v>#REF!</v>
      </c>
      <c r="M173" t="e">
        <f>AND(Bills!AA705,"AAAAAH9fOww=")</f>
        <v>#VALUE!</v>
      </c>
      <c r="N173" t="e">
        <f>AND(Bills!AB705,"AAAAAH9fOw0=")</f>
        <v>#VALUE!</v>
      </c>
      <c r="O173" t="e">
        <f>AND(Bills!#REF!,"AAAAAH9fOw4=")</f>
        <v>#REF!</v>
      </c>
      <c r="P173" t="e">
        <f>AND(Bills!#REF!,"AAAAAH9fOw8=")</f>
        <v>#REF!</v>
      </c>
      <c r="Q173" t="e">
        <f>AND(Bills!#REF!,"AAAAAH9fOxA=")</f>
        <v>#REF!</v>
      </c>
      <c r="R173" t="e">
        <f>AND(Bills!AC705,"AAAAAH9fOxE=")</f>
        <v>#VALUE!</v>
      </c>
      <c r="S173" t="e">
        <f>AND(Bills!AD705,"AAAAAH9fOxI=")</f>
        <v>#VALUE!</v>
      </c>
      <c r="T173" t="e">
        <f>AND(Bills!AE705,"AAAAAH9fOxM=")</f>
        <v>#VALUE!</v>
      </c>
      <c r="U173">
        <f>IF(Bills!706:706,"AAAAAH9fOxQ=",0)</f>
        <v>0</v>
      </c>
      <c r="V173" t="e">
        <f>AND(Bills!B706,"AAAAAH9fOxU=")</f>
        <v>#VALUE!</v>
      </c>
      <c r="W173" t="e">
        <f>AND(Bills!#REF!,"AAAAAH9fOxY=")</f>
        <v>#REF!</v>
      </c>
      <c r="X173" t="e">
        <f>AND(Bills!C706,"AAAAAH9fOxc=")</f>
        <v>#VALUE!</v>
      </c>
      <c r="Y173" t="e">
        <f>AND(Bills!D706,"AAAAAH9fOxg=")</f>
        <v>#VALUE!</v>
      </c>
      <c r="Z173" t="e">
        <f>AND(Bills!E706,"AAAAAH9fOxk=")</f>
        <v>#VALUE!</v>
      </c>
      <c r="AA173" t="e">
        <f>AND(Bills!#REF!,"AAAAAH9fOxo=")</f>
        <v>#REF!</v>
      </c>
      <c r="AB173" t="e">
        <f>AND(Bills!#REF!,"AAAAAH9fOxs=")</f>
        <v>#REF!</v>
      </c>
      <c r="AC173" t="e">
        <f>AND(Bills!#REF!,"AAAAAH9fOxw=")</f>
        <v>#REF!</v>
      </c>
      <c r="AD173" t="e">
        <f>AND(Bills!F706,"AAAAAH9fOx0=")</f>
        <v>#VALUE!</v>
      </c>
      <c r="AE173" t="e">
        <f>AND(Bills!#REF!,"AAAAAH9fOx4=")</f>
        <v>#REF!</v>
      </c>
      <c r="AF173" t="e">
        <f>AND(Bills!G706,"AAAAAH9fOx8=")</f>
        <v>#VALUE!</v>
      </c>
      <c r="AG173" t="e">
        <f>AND(Bills!H706,"AAAAAH9fOyA=")</f>
        <v>#VALUE!</v>
      </c>
      <c r="AH173" t="e">
        <f>AND(Bills!I706,"AAAAAH9fOyE=")</f>
        <v>#VALUE!</v>
      </c>
      <c r="AI173" t="e">
        <f>AND(Bills!J706,"AAAAAH9fOyI=")</f>
        <v>#VALUE!</v>
      </c>
      <c r="AJ173" t="e">
        <f>AND(Bills!K706,"AAAAAH9fOyM=")</f>
        <v>#VALUE!</v>
      </c>
      <c r="AK173" t="e">
        <f>AND(Bills!L706,"AAAAAH9fOyQ=")</f>
        <v>#VALUE!</v>
      </c>
      <c r="AL173" t="e">
        <f>AND(Bills!#REF!,"AAAAAH9fOyU=")</f>
        <v>#REF!</v>
      </c>
      <c r="AM173" t="e">
        <f>AND(Bills!M706,"AAAAAH9fOyY=")</f>
        <v>#VALUE!</v>
      </c>
      <c r="AN173" t="e">
        <f>AND(Bills!N706,"AAAAAH9fOyc=")</f>
        <v>#VALUE!</v>
      </c>
      <c r="AO173" t="e">
        <f>AND(Bills!O706,"AAAAAH9fOyg=")</f>
        <v>#VALUE!</v>
      </c>
      <c r="AP173" t="e">
        <f>AND(Bills!P706,"AAAAAH9fOyk=")</f>
        <v>#VALUE!</v>
      </c>
      <c r="AQ173" t="e">
        <f>AND(Bills!Q706,"AAAAAH9fOyo=")</f>
        <v>#VALUE!</v>
      </c>
      <c r="AR173" t="e">
        <f>AND(Bills!R706,"AAAAAH9fOys=")</f>
        <v>#VALUE!</v>
      </c>
      <c r="AS173" t="e">
        <f>AND(Bills!S706,"AAAAAH9fOyw=")</f>
        <v>#VALUE!</v>
      </c>
      <c r="AT173" t="e">
        <f>AND(Bills!T706,"AAAAAH9fOy0=")</f>
        <v>#VALUE!</v>
      </c>
      <c r="AU173" t="e">
        <f>AND(Bills!#REF!,"AAAAAH9fOy4=")</f>
        <v>#REF!</v>
      </c>
      <c r="AV173" t="e">
        <f>AND(Bills!U706,"AAAAAH9fOy8=")</f>
        <v>#VALUE!</v>
      </c>
      <c r="AW173" t="e">
        <f>AND(Bills!V706,"AAAAAH9fOzA=")</f>
        <v>#VALUE!</v>
      </c>
      <c r="AX173" t="e">
        <f>AND(Bills!W706,"AAAAAH9fOzE=")</f>
        <v>#VALUE!</v>
      </c>
      <c r="AY173" t="e">
        <f>AND(Bills!#REF!,"AAAAAH9fOzI=")</f>
        <v>#REF!</v>
      </c>
      <c r="AZ173" t="e">
        <f>AND(Bills!#REF!,"AAAAAH9fOzM=")</f>
        <v>#REF!</v>
      </c>
      <c r="BA173" t="e">
        <f>AND(Bills!Y706,"AAAAAH9fOzQ=")</f>
        <v>#VALUE!</v>
      </c>
      <c r="BB173" t="e">
        <f>AND(Bills!Z706,"AAAAAH9fOzU=")</f>
        <v>#VALUE!</v>
      </c>
      <c r="BC173" t="e">
        <f>AND(Bills!#REF!,"AAAAAH9fOzY=")</f>
        <v>#REF!</v>
      </c>
      <c r="BD173" t="e">
        <f>AND(Bills!#REF!,"AAAAAH9fOzc=")</f>
        <v>#REF!</v>
      </c>
      <c r="BE173" t="e">
        <f>AND(Bills!#REF!,"AAAAAH9fOzg=")</f>
        <v>#REF!</v>
      </c>
      <c r="BF173" t="e">
        <f>AND(Bills!#REF!,"AAAAAH9fOzk=")</f>
        <v>#REF!</v>
      </c>
      <c r="BG173" t="e">
        <f>AND(Bills!#REF!,"AAAAAH9fOzo=")</f>
        <v>#REF!</v>
      </c>
      <c r="BH173" t="e">
        <f>AND(Bills!#REF!,"AAAAAH9fOzs=")</f>
        <v>#REF!</v>
      </c>
      <c r="BI173" t="e">
        <f>AND(Bills!#REF!,"AAAAAH9fOzw=")</f>
        <v>#REF!</v>
      </c>
      <c r="BJ173" t="e">
        <f>AND(Bills!#REF!,"AAAAAH9fOz0=")</f>
        <v>#REF!</v>
      </c>
      <c r="BK173" t="e">
        <f>AND(Bills!#REF!,"AAAAAH9fOz4=")</f>
        <v>#REF!</v>
      </c>
      <c r="BL173" t="e">
        <f>AND(Bills!AA706,"AAAAAH9fOz8=")</f>
        <v>#VALUE!</v>
      </c>
      <c r="BM173" t="e">
        <f>AND(Bills!AB706,"AAAAAH9fO0A=")</f>
        <v>#VALUE!</v>
      </c>
      <c r="BN173" t="e">
        <f>AND(Bills!#REF!,"AAAAAH9fO0E=")</f>
        <v>#REF!</v>
      </c>
      <c r="BO173" t="e">
        <f>AND(Bills!#REF!,"AAAAAH9fO0I=")</f>
        <v>#REF!</v>
      </c>
      <c r="BP173" t="e">
        <f>AND(Bills!#REF!,"AAAAAH9fO0M=")</f>
        <v>#REF!</v>
      </c>
      <c r="BQ173" t="e">
        <f>AND(Bills!AC706,"AAAAAH9fO0Q=")</f>
        <v>#VALUE!</v>
      </c>
      <c r="BR173" t="e">
        <f>AND(Bills!AD706,"AAAAAH9fO0U=")</f>
        <v>#VALUE!</v>
      </c>
      <c r="BS173" t="e">
        <f>AND(Bills!AE706,"AAAAAH9fO0Y=")</f>
        <v>#VALUE!</v>
      </c>
      <c r="BT173">
        <f>IF(Bills!707:707,"AAAAAH9fO0c=",0)</f>
        <v>0</v>
      </c>
      <c r="BU173" t="e">
        <f>AND(Bills!B707,"AAAAAH9fO0g=")</f>
        <v>#VALUE!</v>
      </c>
      <c r="BV173" t="e">
        <f>AND(Bills!#REF!,"AAAAAH9fO0k=")</f>
        <v>#REF!</v>
      </c>
      <c r="BW173" t="e">
        <f>AND(Bills!C707,"AAAAAH9fO0o=")</f>
        <v>#VALUE!</v>
      </c>
      <c r="BX173" t="e">
        <f>AND(Bills!D707,"AAAAAH9fO0s=")</f>
        <v>#VALUE!</v>
      </c>
      <c r="BY173" t="e">
        <f>AND(Bills!E707,"AAAAAH9fO0w=")</f>
        <v>#VALUE!</v>
      </c>
      <c r="BZ173" t="e">
        <f>AND(Bills!#REF!,"AAAAAH9fO00=")</f>
        <v>#REF!</v>
      </c>
      <c r="CA173" t="e">
        <f>AND(Bills!#REF!,"AAAAAH9fO04=")</f>
        <v>#REF!</v>
      </c>
      <c r="CB173" t="e">
        <f>AND(Bills!#REF!,"AAAAAH9fO08=")</f>
        <v>#REF!</v>
      </c>
      <c r="CC173" t="e">
        <f>AND(Bills!F707,"AAAAAH9fO1A=")</f>
        <v>#VALUE!</v>
      </c>
      <c r="CD173" t="e">
        <f>AND(Bills!#REF!,"AAAAAH9fO1E=")</f>
        <v>#REF!</v>
      </c>
      <c r="CE173" t="e">
        <f>AND(Bills!G707,"AAAAAH9fO1I=")</f>
        <v>#VALUE!</v>
      </c>
      <c r="CF173" t="e">
        <f>AND(Bills!H707,"AAAAAH9fO1M=")</f>
        <v>#VALUE!</v>
      </c>
      <c r="CG173" t="e">
        <f>AND(Bills!I707,"AAAAAH9fO1Q=")</f>
        <v>#VALUE!</v>
      </c>
      <c r="CH173" t="e">
        <f>AND(Bills!J707,"AAAAAH9fO1U=")</f>
        <v>#VALUE!</v>
      </c>
      <c r="CI173" t="e">
        <f>AND(Bills!K707,"AAAAAH9fO1Y=")</f>
        <v>#VALUE!</v>
      </c>
      <c r="CJ173" t="e">
        <f>AND(Bills!L707,"AAAAAH9fO1c=")</f>
        <v>#VALUE!</v>
      </c>
      <c r="CK173" t="e">
        <f>AND(Bills!#REF!,"AAAAAH9fO1g=")</f>
        <v>#REF!</v>
      </c>
      <c r="CL173" t="e">
        <f>AND(Bills!M707,"AAAAAH9fO1k=")</f>
        <v>#VALUE!</v>
      </c>
      <c r="CM173" t="e">
        <f>AND(Bills!N707,"AAAAAH9fO1o=")</f>
        <v>#VALUE!</v>
      </c>
      <c r="CN173" t="e">
        <f>AND(Bills!O707,"AAAAAH9fO1s=")</f>
        <v>#VALUE!</v>
      </c>
      <c r="CO173" t="e">
        <f>AND(Bills!P707,"AAAAAH9fO1w=")</f>
        <v>#VALUE!</v>
      </c>
      <c r="CP173" t="e">
        <f>AND(Bills!Q707,"AAAAAH9fO10=")</f>
        <v>#VALUE!</v>
      </c>
      <c r="CQ173" t="e">
        <f>AND(Bills!R707,"AAAAAH9fO14=")</f>
        <v>#VALUE!</v>
      </c>
      <c r="CR173" t="e">
        <f>AND(Bills!S707,"AAAAAH9fO18=")</f>
        <v>#VALUE!</v>
      </c>
      <c r="CS173" t="e">
        <f>AND(Bills!T707,"AAAAAH9fO2A=")</f>
        <v>#VALUE!</v>
      </c>
      <c r="CT173" t="e">
        <f>AND(Bills!#REF!,"AAAAAH9fO2E=")</f>
        <v>#REF!</v>
      </c>
      <c r="CU173" t="e">
        <f>AND(Bills!U707,"AAAAAH9fO2I=")</f>
        <v>#VALUE!</v>
      </c>
      <c r="CV173" t="e">
        <f>AND(Bills!V707,"AAAAAH9fO2M=")</f>
        <v>#VALUE!</v>
      </c>
      <c r="CW173" t="e">
        <f>AND(Bills!W707,"AAAAAH9fO2Q=")</f>
        <v>#VALUE!</v>
      </c>
      <c r="CX173" t="e">
        <f>AND(Bills!#REF!,"AAAAAH9fO2U=")</f>
        <v>#REF!</v>
      </c>
      <c r="CY173" t="e">
        <f>AND(Bills!#REF!,"AAAAAH9fO2Y=")</f>
        <v>#REF!</v>
      </c>
      <c r="CZ173" t="e">
        <f>AND(Bills!Y707,"AAAAAH9fO2c=")</f>
        <v>#VALUE!</v>
      </c>
      <c r="DA173" t="e">
        <f>AND(Bills!Z707,"AAAAAH9fO2g=")</f>
        <v>#VALUE!</v>
      </c>
      <c r="DB173" t="e">
        <f>AND(Bills!#REF!,"AAAAAH9fO2k=")</f>
        <v>#REF!</v>
      </c>
      <c r="DC173" t="e">
        <f>AND(Bills!#REF!,"AAAAAH9fO2o=")</f>
        <v>#REF!</v>
      </c>
      <c r="DD173" t="e">
        <f>AND(Bills!#REF!,"AAAAAH9fO2s=")</f>
        <v>#REF!</v>
      </c>
      <c r="DE173" t="e">
        <f>AND(Bills!#REF!,"AAAAAH9fO2w=")</f>
        <v>#REF!</v>
      </c>
      <c r="DF173" t="e">
        <f>AND(Bills!#REF!,"AAAAAH9fO20=")</f>
        <v>#REF!</v>
      </c>
      <c r="DG173" t="e">
        <f>AND(Bills!#REF!,"AAAAAH9fO24=")</f>
        <v>#REF!</v>
      </c>
      <c r="DH173" t="e">
        <f>AND(Bills!#REF!,"AAAAAH9fO28=")</f>
        <v>#REF!</v>
      </c>
      <c r="DI173" t="e">
        <f>AND(Bills!#REF!,"AAAAAH9fO3A=")</f>
        <v>#REF!</v>
      </c>
      <c r="DJ173" t="e">
        <f>AND(Bills!#REF!,"AAAAAH9fO3E=")</f>
        <v>#REF!</v>
      </c>
      <c r="DK173" t="e">
        <f>AND(Bills!AA707,"AAAAAH9fO3I=")</f>
        <v>#VALUE!</v>
      </c>
      <c r="DL173" t="e">
        <f>AND(Bills!AB707,"AAAAAH9fO3M=")</f>
        <v>#VALUE!</v>
      </c>
      <c r="DM173" t="e">
        <f>AND(Bills!#REF!,"AAAAAH9fO3Q=")</f>
        <v>#REF!</v>
      </c>
      <c r="DN173" t="e">
        <f>AND(Bills!#REF!,"AAAAAH9fO3U=")</f>
        <v>#REF!</v>
      </c>
      <c r="DO173" t="e">
        <f>AND(Bills!#REF!,"AAAAAH9fO3Y=")</f>
        <v>#REF!</v>
      </c>
      <c r="DP173" t="e">
        <f>AND(Bills!AC707,"AAAAAH9fO3c=")</f>
        <v>#VALUE!</v>
      </c>
      <c r="DQ173" t="e">
        <f>AND(Bills!AD707,"AAAAAH9fO3g=")</f>
        <v>#VALUE!</v>
      </c>
      <c r="DR173" t="e">
        <f>AND(Bills!AE707,"AAAAAH9fO3k=")</f>
        <v>#VALUE!</v>
      </c>
      <c r="DS173">
        <f>IF(Bills!708:708,"AAAAAH9fO3o=",0)</f>
        <v>0</v>
      </c>
      <c r="DT173" t="e">
        <f>AND(Bills!B708,"AAAAAH9fO3s=")</f>
        <v>#VALUE!</v>
      </c>
      <c r="DU173" t="e">
        <f>AND(Bills!#REF!,"AAAAAH9fO3w=")</f>
        <v>#REF!</v>
      </c>
      <c r="DV173" t="e">
        <f>AND(Bills!C708,"AAAAAH9fO30=")</f>
        <v>#VALUE!</v>
      </c>
      <c r="DW173" t="e">
        <f>AND(Bills!D708,"AAAAAH9fO34=")</f>
        <v>#VALUE!</v>
      </c>
      <c r="DX173" t="e">
        <f>AND(Bills!E708,"AAAAAH9fO38=")</f>
        <v>#VALUE!</v>
      </c>
      <c r="DY173" t="e">
        <f>AND(Bills!#REF!,"AAAAAH9fO4A=")</f>
        <v>#REF!</v>
      </c>
      <c r="DZ173" t="e">
        <f>AND(Bills!#REF!,"AAAAAH9fO4E=")</f>
        <v>#REF!</v>
      </c>
      <c r="EA173" t="e">
        <f>AND(Bills!#REF!,"AAAAAH9fO4I=")</f>
        <v>#REF!</v>
      </c>
      <c r="EB173" t="e">
        <f>AND(Bills!F708,"AAAAAH9fO4M=")</f>
        <v>#VALUE!</v>
      </c>
      <c r="EC173" t="e">
        <f>AND(Bills!#REF!,"AAAAAH9fO4Q=")</f>
        <v>#REF!</v>
      </c>
      <c r="ED173" t="e">
        <f>AND(Bills!G708,"AAAAAH9fO4U=")</f>
        <v>#VALUE!</v>
      </c>
      <c r="EE173" t="e">
        <f>AND(Bills!H708,"AAAAAH9fO4Y=")</f>
        <v>#VALUE!</v>
      </c>
      <c r="EF173" t="e">
        <f>AND(Bills!I708,"AAAAAH9fO4c=")</f>
        <v>#VALUE!</v>
      </c>
      <c r="EG173" t="e">
        <f>AND(Bills!J708,"AAAAAH9fO4g=")</f>
        <v>#VALUE!</v>
      </c>
      <c r="EH173" t="e">
        <f>AND(Bills!K708,"AAAAAH9fO4k=")</f>
        <v>#VALUE!</v>
      </c>
      <c r="EI173" t="e">
        <f>AND(Bills!L708,"AAAAAH9fO4o=")</f>
        <v>#VALUE!</v>
      </c>
      <c r="EJ173" t="e">
        <f>AND(Bills!#REF!,"AAAAAH9fO4s=")</f>
        <v>#REF!</v>
      </c>
      <c r="EK173" t="e">
        <f>AND(Bills!M708,"AAAAAH9fO4w=")</f>
        <v>#VALUE!</v>
      </c>
      <c r="EL173" t="e">
        <f>AND(Bills!N708,"AAAAAH9fO40=")</f>
        <v>#VALUE!</v>
      </c>
      <c r="EM173" t="e">
        <f>AND(Bills!O708,"AAAAAH9fO44=")</f>
        <v>#VALUE!</v>
      </c>
      <c r="EN173" t="e">
        <f>AND(Bills!P708,"AAAAAH9fO48=")</f>
        <v>#VALUE!</v>
      </c>
      <c r="EO173" t="e">
        <f>AND(Bills!Q708,"AAAAAH9fO5A=")</f>
        <v>#VALUE!</v>
      </c>
      <c r="EP173" t="e">
        <f>AND(Bills!R708,"AAAAAH9fO5E=")</f>
        <v>#VALUE!</v>
      </c>
      <c r="EQ173" t="e">
        <f>AND(Bills!S708,"AAAAAH9fO5I=")</f>
        <v>#VALUE!</v>
      </c>
      <c r="ER173" t="e">
        <f>AND(Bills!T708,"AAAAAH9fO5M=")</f>
        <v>#VALUE!</v>
      </c>
      <c r="ES173" t="e">
        <f>AND(Bills!#REF!,"AAAAAH9fO5Q=")</f>
        <v>#REF!</v>
      </c>
      <c r="ET173" t="e">
        <f>AND(Bills!U708,"AAAAAH9fO5U=")</f>
        <v>#VALUE!</v>
      </c>
      <c r="EU173" t="e">
        <f>AND(Bills!V708,"AAAAAH9fO5Y=")</f>
        <v>#VALUE!</v>
      </c>
      <c r="EV173" t="e">
        <f>AND(Bills!W708,"AAAAAH9fO5c=")</f>
        <v>#VALUE!</v>
      </c>
      <c r="EW173" t="e">
        <f>AND(Bills!#REF!,"AAAAAH9fO5g=")</f>
        <v>#REF!</v>
      </c>
      <c r="EX173" t="e">
        <f>AND(Bills!#REF!,"AAAAAH9fO5k=")</f>
        <v>#REF!</v>
      </c>
      <c r="EY173" t="e">
        <f>AND(Bills!Y708,"AAAAAH9fO5o=")</f>
        <v>#VALUE!</v>
      </c>
      <c r="EZ173" t="e">
        <f>AND(Bills!Z708,"AAAAAH9fO5s=")</f>
        <v>#VALUE!</v>
      </c>
      <c r="FA173" t="e">
        <f>AND(Bills!#REF!,"AAAAAH9fO5w=")</f>
        <v>#REF!</v>
      </c>
      <c r="FB173" t="e">
        <f>AND(Bills!#REF!,"AAAAAH9fO50=")</f>
        <v>#REF!</v>
      </c>
      <c r="FC173" t="e">
        <f>AND(Bills!#REF!,"AAAAAH9fO54=")</f>
        <v>#REF!</v>
      </c>
      <c r="FD173" t="e">
        <f>AND(Bills!#REF!,"AAAAAH9fO58=")</f>
        <v>#REF!</v>
      </c>
      <c r="FE173" t="e">
        <f>AND(Bills!#REF!,"AAAAAH9fO6A=")</f>
        <v>#REF!</v>
      </c>
      <c r="FF173" t="e">
        <f>AND(Bills!#REF!,"AAAAAH9fO6E=")</f>
        <v>#REF!</v>
      </c>
      <c r="FG173" t="e">
        <f>AND(Bills!#REF!,"AAAAAH9fO6I=")</f>
        <v>#REF!</v>
      </c>
      <c r="FH173" t="e">
        <f>AND(Bills!#REF!,"AAAAAH9fO6M=")</f>
        <v>#REF!</v>
      </c>
      <c r="FI173" t="e">
        <f>AND(Bills!#REF!,"AAAAAH9fO6Q=")</f>
        <v>#REF!</v>
      </c>
      <c r="FJ173" t="e">
        <f>AND(Bills!AA708,"AAAAAH9fO6U=")</f>
        <v>#VALUE!</v>
      </c>
      <c r="FK173" t="e">
        <f>AND(Bills!AB708,"AAAAAH9fO6Y=")</f>
        <v>#VALUE!</v>
      </c>
      <c r="FL173" t="e">
        <f>AND(Bills!#REF!,"AAAAAH9fO6c=")</f>
        <v>#REF!</v>
      </c>
      <c r="FM173" t="e">
        <f>AND(Bills!#REF!,"AAAAAH9fO6g=")</f>
        <v>#REF!</v>
      </c>
      <c r="FN173" t="e">
        <f>AND(Bills!#REF!,"AAAAAH9fO6k=")</f>
        <v>#REF!</v>
      </c>
      <c r="FO173" t="e">
        <f>AND(Bills!AC708,"AAAAAH9fO6o=")</f>
        <v>#VALUE!</v>
      </c>
      <c r="FP173" t="e">
        <f>AND(Bills!AD708,"AAAAAH9fO6s=")</f>
        <v>#VALUE!</v>
      </c>
      <c r="FQ173" t="e">
        <f>AND(Bills!AE708,"AAAAAH9fO6w=")</f>
        <v>#VALUE!</v>
      </c>
      <c r="FR173">
        <f>IF(Bills!709:709,"AAAAAH9fO60=",0)</f>
        <v>0</v>
      </c>
      <c r="FS173" t="e">
        <f>AND(Bills!B709,"AAAAAH9fO64=")</f>
        <v>#VALUE!</v>
      </c>
      <c r="FT173" t="e">
        <f>AND(Bills!#REF!,"AAAAAH9fO68=")</f>
        <v>#REF!</v>
      </c>
      <c r="FU173" t="e">
        <f>AND(Bills!C709,"AAAAAH9fO7A=")</f>
        <v>#VALUE!</v>
      </c>
      <c r="FV173" t="e">
        <f>AND(Bills!D709,"AAAAAH9fO7E=")</f>
        <v>#VALUE!</v>
      </c>
      <c r="FW173" t="e">
        <f>AND(Bills!E709,"AAAAAH9fO7I=")</f>
        <v>#VALUE!</v>
      </c>
      <c r="FX173" t="e">
        <f>AND(Bills!#REF!,"AAAAAH9fO7M=")</f>
        <v>#REF!</v>
      </c>
      <c r="FY173" t="e">
        <f>AND(Bills!#REF!,"AAAAAH9fO7Q=")</f>
        <v>#REF!</v>
      </c>
      <c r="FZ173" t="e">
        <f>AND(Bills!#REF!,"AAAAAH9fO7U=")</f>
        <v>#REF!</v>
      </c>
      <c r="GA173" t="e">
        <f>AND(Bills!F709,"AAAAAH9fO7Y=")</f>
        <v>#VALUE!</v>
      </c>
      <c r="GB173" t="e">
        <f>AND(Bills!#REF!,"AAAAAH9fO7c=")</f>
        <v>#REF!</v>
      </c>
      <c r="GC173" t="e">
        <f>AND(Bills!G709,"AAAAAH9fO7g=")</f>
        <v>#VALUE!</v>
      </c>
      <c r="GD173" t="e">
        <f>AND(Bills!H709,"AAAAAH9fO7k=")</f>
        <v>#VALUE!</v>
      </c>
      <c r="GE173" t="e">
        <f>AND(Bills!I709,"AAAAAH9fO7o=")</f>
        <v>#VALUE!</v>
      </c>
      <c r="GF173" t="e">
        <f>AND(Bills!J709,"AAAAAH9fO7s=")</f>
        <v>#VALUE!</v>
      </c>
      <c r="GG173" t="e">
        <f>AND(Bills!K709,"AAAAAH9fO7w=")</f>
        <v>#VALUE!</v>
      </c>
      <c r="GH173" t="e">
        <f>AND(Bills!L709,"AAAAAH9fO70=")</f>
        <v>#VALUE!</v>
      </c>
      <c r="GI173" t="e">
        <f>AND(Bills!#REF!,"AAAAAH9fO74=")</f>
        <v>#REF!</v>
      </c>
      <c r="GJ173" t="e">
        <f>AND(Bills!M709,"AAAAAH9fO78=")</f>
        <v>#VALUE!</v>
      </c>
      <c r="GK173" t="e">
        <f>AND(Bills!N709,"AAAAAH9fO8A=")</f>
        <v>#VALUE!</v>
      </c>
      <c r="GL173" t="e">
        <f>AND(Bills!O709,"AAAAAH9fO8E=")</f>
        <v>#VALUE!</v>
      </c>
      <c r="GM173" t="e">
        <f>AND(Bills!P709,"AAAAAH9fO8I=")</f>
        <v>#VALUE!</v>
      </c>
      <c r="GN173" t="e">
        <f>AND(Bills!Q709,"AAAAAH9fO8M=")</f>
        <v>#VALUE!</v>
      </c>
      <c r="GO173" t="e">
        <f>AND(Bills!R709,"AAAAAH9fO8Q=")</f>
        <v>#VALUE!</v>
      </c>
      <c r="GP173" t="e">
        <f>AND(Bills!S709,"AAAAAH9fO8U=")</f>
        <v>#VALUE!</v>
      </c>
      <c r="GQ173" t="e">
        <f>AND(Bills!T709,"AAAAAH9fO8Y=")</f>
        <v>#VALUE!</v>
      </c>
      <c r="GR173" t="e">
        <f>AND(Bills!#REF!,"AAAAAH9fO8c=")</f>
        <v>#REF!</v>
      </c>
      <c r="GS173" t="e">
        <f>AND(Bills!U709,"AAAAAH9fO8g=")</f>
        <v>#VALUE!</v>
      </c>
      <c r="GT173" t="e">
        <f>AND(Bills!V709,"AAAAAH9fO8k=")</f>
        <v>#VALUE!</v>
      </c>
      <c r="GU173" t="e">
        <f>AND(Bills!W709,"AAAAAH9fO8o=")</f>
        <v>#VALUE!</v>
      </c>
      <c r="GV173" t="e">
        <f>AND(Bills!#REF!,"AAAAAH9fO8s=")</f>
        <v>#REF!</v>
      </c>
      <c r="GW173" t="e">
        <f>AND(Bills!#REF!,"AAAAAH9fO8w=")</f>
        <v>#REF!</v>
      </c>
      <c r="GX173" t="e">
        <f>AND(Bills!Y709,"AAAAAH9fO80=")</f>
        <v>#VALUE!</v>
      </c>
      <c r="GY173" t="e">
        <f>AND(Bills!Z709,"AAAAAH9fO84=")</f>
        <v>#VALUE!</v>
      </c>
      <c r="GZ173" t="e">
        <f>AND(Bills!#REF!,"AAAAAH9fO88=")</f>
        <v>#REF!</v>
      </c>
      <c r="HA173" t="e">
        <f>AND(Bills!#REF!,"AAAAAH9fO9A=")</f>
        <v>#REF!</v>
      </c>
      <c r="HB173" t="e">
        <f>AND(Bills!#REF!,"AAAAAH9fO9E=")</f>
        <v>#REF!</v>
      </c>
      <c r="HC173" t="e">
        <f>AND(Bills!#REF!,"AAAAAH9fO9I=")</f>
        <v>#REF!</v>
      </c>
      <c r="HD173" t="e">
        <f>AND(Bills!#REF!,"AAAAAH9fO9M=")</f>
        <v>#REF!</v>
      </c>
      <c r="HE173" t="e">
        <f>AND(Bills!#REF!,"AAAAAH9fO9Q=")</f>
        <v>#REF!</v>
      </c>
      <c r="HF173" t="e">
        <f>AND(Bills!#REF!,"AAAAAH9fO9U=")</f>
        <v>#REF!</v>
      </c>
      <c r="HG173" t="e">
        <f>AND(Bills!#REF!,"AAAAAH9fO9Y=")</f>
        <v>#REF!</v>
      </c>
      <c r="HH173" t="e">
        <f>AND(Bills!#REF!,"AAAAAH9fO9c=")</f>
        <v>#REF!</v>
      </c>
      <c r="HI173" t="e">
        <f>AND(Bills!AA709,"AAAAAH9fO9g=")</f>
        <v>#VALUE!</v>
      </c>
      <c r="HJ173" t="e">
        <f>AND(Bills!AB709,"AAAAAH9fO9k=")</f>
        <v>#VALUE!</v>
      </c>
      <c r="HK173" t="e">
        <f>AND(Bills!#REF!,"AAAAAH9fO9o=")</f>
        <v>#REF!</v>
      </c>
      <c r="HL173" t="e">
        <f>AND(Bills!#REF!,"AAAAAH9fO9s=")</f>
        <v>#REF!</v>
      </c>
      <c r="HM173" t="e">
        <f>AND(Bills!#REF!,"AAAAAH9fO9w=")</f>
        <v>#REF!</v>
      </c>
      <c r="HN173" t="e">
        <f>AND(Bills!AC709,"AAAAAH9fO90=")</f>
        <v>#VALUE!</v>
      </c>
      <c r="HO173" t="e">
        <f>AND(Bills!AD709,"AAAAAH9fO94=")</f>
        <v>#VALUE!</v>
      </c>
      <c r="HP173" t="e">
        <f>AND(Bills!AE709,"AAAAAH9fO98=")</f>
        <v>#VALUE!</v>
      </c>
      <c r="HQ173">
        <f>IF(Bills!710:710,"AAAAAH9fO+A=",0)</f>
        <v>0</v>
      </c>
      <c r="HR173" t="e">
        <f>AND(Bills!B710,"AAAAAH9fO+E=")</f>
        <v>#VALUE!</v>
      </c>
      <c r="HS173" t="e">
        <f>AND(Bills!#REF!,"AAAAAH9fO+I=")</f>
        <v>#REF!</v>
      </c>
      <c r="HT173" t="e">
        <f>AND(Bills!C710,"AAAAAH9fO+M=")</f>
        <v>#VALUE!</v>
      </c>
      <c r="HU173" t="e">
        <f>AND(Bills!D710,"AAAAAH9fO+Q=")</f>
        <v>#VALUE!</v>
      </c>
      <c r="HV173" t="e">
        <f>AND(Bills!E710,"AAAAAH9fO+U=")</f>
        <v>#VALUE!</v>
      </c>
      <c r="HW173" t="e">
        <f>AND(Bills!#REF!,"AAAAAH9fO+Y=")</f>
        <v>#REF!</v>
      </c>
      <c r="HX173" t="e">
        <f>AND(Bills!#REF!,"AAAAAH9fO+c=")</f>
        <v>#REF!</v>
      </c>
      <c r="HY173" t="e">
        <f>AND(Bills!#REF!,"AAAAAH9fO+g=")</f>
        <v>#REF!</v>
      </c>
      <c r="HZ173" t="e">
        <f>AND(Bills!F710,"AAAAAH9fO+k=")</f>
        <v>#VALUE!</v>
      </c>
      <c r="IA173" t="e">
        <f>AND(Bills!#REF!,"AAAAAH9fO+o=")</f>
        <v>#REF!</v>
      </c>
      <c r="IB173" t="e">
        <f>AND(Bills!G710,"AAAAAH9fO+s=")</f>
        <v>#VALUE!</v>
      </c>
      <c r="IC173" t="e">
        <f>AND(Bills!H710,"AAAAAH9fO+w=")</f>
        <v>#VALUE!</v>
      </c>
      <c r="ID173" t="e">
        <f>AND(Bills!I710,"AAAAAH9fO+0=")</f>
        <v>#VALUE!</v>
      </c>
      <c r="IE173" t="e">
        <f>AND(Bills!J710,"AAAAAH9fO+4=")</f>
        <v>#VALUE!</v>
      </c>
      <c r="IF173" t="e">
        <f>AND(Bills!K710,"AAAAAH9fO+8=")</f>
        <v>#VALUE!</v>
      </c>
      <c r="IG173" t="e">
        <f>AND(Bills!L710,"AAAAAH9fO/A=")</f>
        <v>#VALUE!</v>
      </c>
      <c r="IH173" t="e">
        <f>AND(Bills!#REF!,"AAAAAH9fO/E=")</f>
        <v>#REF!</v>
      </c>
      <c r="II173" t="e">
        <f>AND(Bills!M710,"AAAAAH9fO/I=")</f>
        <v>#VALUE!</v>
      </c>
      <c r="IJ173" t="e">
        <f>AND(Bills!N710,"AAAAAH9fO/M=")</f>
        <v>#VALUE!</v>
      </c>
      <c r="IK173" t="e">
        <f>AND(Bills!O710,"AAAAAH9fO/Q=")</f>
        <v>#VALUE!</v>
      </c>
      <c r="IL173" t="e">
        <f>AND(Bills!P710,"AAAAAH9fO/U=")</f>
        <v>#VALUE!</v>
      </c>
      <c r="IM173" t="e">
        <f>AND(Bills!Q710,"AAAAAH9fO/Y=")</f>
        <v>#VALUE!</v>
      </c>
      <c r="IN173" t="e">
        <f>AND(Bills!R710,"AAAAAH9fO/c=")</f>
        <v>#VALUE!</v>
      </c>
      <c r="IO173" t="e">
        <f>AND(Bills!S710,"AAAAAH9fO/g=")</f>
        <v>#VALUE!</v>
      </c>
      <c r="IP173" t="e">
        <f>AND(Bills!T710,"AAAAAH9fO/k=")</f>
        <v>#VALUE!</v>
      </c>
      <c r="IQ173" t="e">
        <f>AND(Bills!#REF!,"AAAAAH9fO/o=")</f>
        <v>#REF!</v>
      </c>
      <c r="IR173" t="e">
        <f>AND(Bills!U710,"AAAAAH9fO/s=")</f>
        <v>#VALUE!</v>
      </c>
      <c r="IS173" t="e">
        <f>AND(Bills!V710,"AAAAAH9fO/w=")</f>
        <v>#VALUE!</v>
      </c>
      <c r="IT173" t="e">
        <f>AND(Bills!W710,"AAAAAH9fO/0=")</f>
        <v>#VALUE!</v>
      </c>
      <c r="IU173" t="e">
        <f>AND(Bills!#REF!,"AAAAAH9fO/4=")</f>
        <v>#REF!</v>
      </c>
      <c r="IV173" t="e">
        <f>AND(Bills!#REF!,"AAAAAH9fO/8=")</f>
        <v>#REF!</v>
      </c>
    </row>
    <row r="174" spans="1:256" x14ac:dyDescent="0.25">
      <c r="A174" t="e">
        <f>AND(Bills!Y710,"AAAAAE+1nwA=")</f>
        <v>#VALUE!</v>
      </c>
      <c r="B174" t="e">
        <f>AND(Bills!Z710,"AAAAAE+1nwE=")</f>
        <v>#VALUE!</v>
      </c>
      <c r="C174" t="e">
        <f>AND(Bills!#REF!,"AAAAAE+1nwI=")</f>
        <v>#REF!</v>
      </c>
      <c r="D174" t="e">
        <f>AND(Bills!#REF!,"AAAAAE+1nwM=")</f>
        <v>#REF!</v>
      </c>
      <c r="E174" t="e">
        <f>AND(Bills!#REF!,"AAAAAE+1nwQ=")</f>
        <v>#REF!</v>
      </c>
      <c r="F174" t="e">
        <f>AND(Bills!#REF!,"AAAAAE+1nwU=")</f>
        <v>#REF!</v>
      </c>
      <c r="G174" t="e">
        <f>AND(Bills!#REF!,"AAAAAE+1nwY=")</f>
        <v>#REF!</v>
      </c>
      <c r="H174" t="e">
        <f>AND(Bills!#REF!,"AAAAAE+1nwc=")</f>
        <v>#REF!</v>
      </c>
      <c r="I174" t="e">
        <f>AND(Bills!#REF!,"AAAAAE+1nwg=")</f>
        <v>#REF!</v>
      </c>
      <c r="J174" t="e">
        <f>AND(Bills!#REF!,"AAAAAE+1nwk=")</f>
        <v>#REF!</v>
      </c>
      <c r="K174" t="e">
        <f>AND(Bills!#REF!,"AAAAAE+1nwo=")</f>
        <v>#REF!</v>
      </c>
      <c r="L174" t="e">
        <f>AND(Bills!AA710,"AAAAAE+1nws=")</f>
        <v>#VALUE!</v>
      </c>
      <c r="M174" t="e">
        <f>AND(Bills!AB710,"AAAAAE+1nww=")</f>
        <v>#VALUE!</v>
      </c>
      <c r="N174" t="e">
        <f>AND(Bills!#REF!,"AAAAAE+1nw0=")</f>
        <v>#REF!</v>
      </c>
      <c r="O174" t="e">
        <f>AND(Bills!#REF!,"AAAAAE+1nw4=")</f>
        <v>#REF!</v>
      </c>
      <c r="P174" t="e">
        <f>AND(Bills!#REF!,"AAAAAE+1nw8=")</f>
        <v>#REF!</v>
      </c>
      <c r="Q174" t="e">
        <f>AND(Bills!AC710,"AAAAAE+1nxA=")</f>
        <v>#VALUE!</v>
      </c>
      <c r="R174" t="e">
        <f>AND(Bills!AD710,"AAAAAE+1nxE=")</f>
        <v>#VALUE!</v>
      </c>
      <c r="S174" t="e">
        <f>AND(Bills!AE710,"AAAAAE+1nxI=")</f>
        <v>#VALUE!</v>
      </c>
      <c r="T174">
        <f>IF(Bills!711:711,"AAAAAE+1nxM=",0)</f>
        <v>0</v>
      </c>
      <c r="U174" t="e">
        <f>AND(Bills!B711,"AAAAAE+1nxQ=")</f>
        <v>#VALUE!</v>
      </c>
      <c r="V174" t="e">
        <f>AND(Bills!#REF!,"AAAAAE+1nxU=")</f>
        <v>#REF!</v>
      </c>
      <c r="W174" t="e">
        <f>AND(Bills!C711,"AAAAAE+1nxY=")</f>
        <v>#VALUE!</v>
      </c>
      <c r="X174" t="e">
        <f>AND(Bills!D711,"AAAAAE+1nxc=")</f>
        <v>#VALUE!</v>
      </c>
      <c r="Y174" t="e">
        <f>AND(Bills!E711,"AAAAAE+1nxg=")</f>
        <v>#VALUE!</v>
      </c>
      <c r="Z174" t="e">
        <f>AND(Bills!#REF!,"AAAAAE+1nxk=")</f>
        <v>#REF!</v>
      </c>
      <c r="AA174" t="e">
        <f>AND(Bills!#REF!,"AAAAAE+1nxo=")</f>
        <v>#REF!</v>
      </c>
      <c r="AB174" t="e">
        <f>AND(Bills!#REF!,"AAAAAE+1nxs=")</f>
        <v>#REF!</v>
      </c>
      <c r="AC174" t="e">
        <f>AND(Bills!F711,"AAAAAE+1nxw=")</f>
        <v>#VALUE!</v>
      </c>
      <c r="AD174" t="e">
        <f>AND(Bills!#REF!,"AAAAAE+1nx0=")</f>
        <v>#REF!</v>
      </c>
      <c r="AE174" t="e">
        <f>AND(Bills!G711,"AAAAAE+1nx4=")</f>
        <v>#VALUE!</v>
      </c>
      <c r="AF174" t="e">
        <f>AND(Bills!H711,"AAAAAE+1nx8=")</f>
        <v>#VALUE!</v>
      </c>
      <c r="AG174" t="e">
        <f>AND(Bills!I711,"AAAAAE+1nyA=")</f>
        <v>#VALUE!</v>
      </c>
      <c r="AH174" t="e">
        <f>AND(Bills!J711,"AAAAAE+1nyE=")</f>
        <v>#VALUE!</v>
      </c>
      <c r="AI174" t="e">
        <f>AND(Bills!K711,"AAAAAE+1nyI=")</f>
        <v>#VALUE!</v>
      </c>
      <c r="AJ174" t="e">
        <f>AND(Bills!L711,"AAAAAE+1nyM=")</f>
        <v>#VALUE!</v>
      </c>
      <c r="AK174" t="e">
        <f>AND(Bills!#REF!,"AAAAAE+1nyQ=")</f>
        <v>#REF!</v>
      </c>
      <c r="AL174" t="e">
        <f>AND(Bills!M711,"AAAAAE+1nyU=")</f>
        <v>#VALUE!</v>
      </c>
      <c r="AM174" t="e">
        <f>AND(Bills!N711,"AAAAAE+1nyY=")</f>
        <v>#VALUE!</v>
      </c>
      <c r="AN174" t="e">
        <f>AND(Bills!O711,"AAAAAE+1nyc=")</f>
        <v>#VALUE!</v>
      </c>
      <c r="AO174" t="e">
        <f>AND(Bills!P711,"AAAAAE+1nyg=")</f>
        <v>#VALUE!</v>
      </c>
      <c r="AP174" t="e">
        <f>AND(Bills!Q711,"AAAAAE+1nyk=")</f>
        <v>#VALUE!</v>
      </c>
      <c r="AQ174" t="e">
        <f>AND(Bills!R711,"AAAAAE+1nyo=")</f>
        <v>#VALUE!</v>
      </c>
      <c r="AR174" t="e">
        <f>AND(Bills!S711,"AAAAAE+1nys=")</f>
        <v>#VALUE!</v>
      </c>
      <c r="AS174" t="e">
        <f>AND(Bills!T711,"AAAAAE+1nyw=")</f>
        <v>#VALUE!</v>
      </c>
      <c r="AT174" t="e">
        <f>AND(Bills!#REF!,"AAAAAE+1ny0=")</f>
        <v>#REF!</v>
      </c>
      <c r="AU174" t="e">
        <f>AND(Bills!U711,"AAAAAE+1ny4=")</f>
        <v>#VALUE!</v>
      </c>
      <c r="AV174" t="e">
        <f>AND(Bills!V711,"AAAAAE+1ny8=")</f>
        <v>#VALUE!</v>
      </c>
      <c r="AW174" t="e">
        <f>AND(Bills!W711,"AAAAAE+1nzA=")</f>
        <v>#VALUE!</v>
      </c>
      <c r="AX174" t="e">
        <f>AND(Bills!#REF!,"AAAAAE+1nzE=")</f>
        <v>#REF!</v>
      </c>
      <c r="AY174" t="e">
        <f>AND(Bills!#REF!,"AAAAAE+1nzI=")</f>
        <v>#REF!</v>
      </c>
      <c r="AZ174" t="e">
        <f>AND(Bills!Y711,"AAAAAE+1nzM=")</f>
        <v>#VALUE!</v>
      </c>
      <c r="BA174" t="e">
        <f>AND(Bills!Z711,"AAAAAE+1nzQ=")</f>
        <v>#VALUE!</v>
      </c>
      <c r="BB174" t="e">
        <f>AND(Bills!#REF!,"AAAAAE+1nzU=")</f>
        <v>#REF!</v>
      </c>
      <c r="BC174" t="e">
        <f>AND(Bills!#REF!,"AAAAAE+1nzY=")</f>
        <v>#REF!</v>
      </c>
      <c r="BD174" t="e">
        <f>AND(Bills!#REF!,"AAAAAE+1nzc=")</f>
        <v>#REF!</v>
      </c>
      <c r="BE174" t="e">
        <f>AND(Bills!#REF!,"AAAAAE+1nzg=")</f>
        <v>#REF!</v>
      </c>
      <c r="BF174" t="e">
        <f>AND(Bills!#REF!,"AAAAAE+1nzk=")</f>
        <v>#REF!</v>
      </c>
      <c r="BG174" t="e">
        <f>AND(Bills!#REF!,"AAAAAE+1nzo=")</f>
        <v>#REF!</v>
      </c>
      <c r="BH174" t="e">
        <f>AND(Bills!#REF!,"AAAAAE+1nzs=")</f>
        <v>#REF!</v>
      </c>
      <c r="BI174" t="e">
        <f>AND(Bills!#REF!,"AAAAAE+1nzw=")</f>
        <v>#REF!</v>
      </c>
      <c r="BJ174" t="e">
        <f>AND(Bills!#REF!,"AAAAAE+1nz0=")</f>
        <v>#REF!</v>
      </c>
      <c r="BK174" t="e">
        <f>AND(Bills!AA711,"AAAAAE+1nz4=")</f>
        <v>#VALUE!</v>
      </c>
      <c r="BL174" t="e">
        <f>AND(Bills!AB711,"AAAAAE+1nz8=")</f>
        <v>#VALUE!</v>
      </c>
      <c r="BM174" t="e">
        <f>AND(Bills!#REF!,"AAAAAE+1n0A=")</f>
        <v>#REF!</v>
      </c>
      <c r="BN174" t="e">
        <f>AND(Bills!#REF!,"AAAAAE+1n0E=")</f>
        <v>#REF!</v>
      </c>
      <c r="BO174" t="e">
        <f>AND(Bills!#REF!,"AAAAAE+1n0I=")</f>
        <v>#REF!</v>
      </c>
      <c r="BP174" t="e">
        <f>AND(Bills!AC711,"AAAAAE+1n0M=")</f>
        <v>#VALUE!</v>
      </c>
      <c r="BQ174" t="e">
        <f>AND(Bills!AD711,"AAAAAE+1n0Q=")</f>
        <v>#VALUE!</v>
      </c>
      <c r="BR174" t="e">
        <f>AND(Bills!AE711,"AAAAAE+1n0U=")</f>
        <v>#VALUE!</v>
      </c>
      <c r="BS174">
        <f>IF(Bills!712:712,"AAAAAE+1n0Y=",0)</f>
        <v>0</v>
      </c>
      <c r="BT174" t="e">
        <f>AND(Bills!B712,"AAAAAE+1n0c=")</f>
        <v>#VALUE!</v>
      </c>
      <c r="BU174" t="e">
        <f>AND(Bills!#REF!,"AAAAAE+1n0g=")</f>
        <v>#REF!</v>
      </c>
      <c r="BV174" t="e">
        <f>AND(Bills!C712,"AAAAAE+1n0k=")</f>
        <v>#VALUE!</v>
      </c>
      <c r="BW174" t="e">
        <f>AND(Bills!D712,"AAAAAE+1n0o=")</f>
        <v>#VALUE!</v>
      </c>
      <c r="BX174" t="e">
        <f>AND(Bills!E712,"AAAAAE+1n0s=")</f>
        <v>#VALUE!</v>
      </c>
      <c r="BY174" t="e">
        <f>AND(Bills!#REF!,"AAAAAE+1n0w=")</f>
        <v>#REF!</v>
      </c>
      <c r="BZ174" t="e">
        <f>AND(Bills!#REF!,"AAAAAE+1n00=")</f>
        <v>#REF!</v>
      </c>
      <c r="CA174" t="e">
        <f>AND(Bills!#REF!,"AAAAAE+1n04=")</f>
        <v>#REF!</v>
      </c>
      <c r="CB174" t="e">
        <f>AND(Bills!F712,"AAAAAE+1n08=")</f>
        <v>#VALUE!</v>
      </c>
      <c r="CC174" t="e">
        <f>AND(Bills!#REF!,"AAAAAE+1n1A=")</f>
        <v>#REF!</v>
      </c>
      <c r="CD174" t="e">
        <f>AND(Bills!G712,"AAAAAE+1n1E=")</f>
        <v>#VALUE!</v>
      </c>
      <c r="CE174" t="e">
        <f>AND(Bills!H712,"AAAAAE+1n1I=")</f>
        <v>#VALUE!</v>
      </c>
      <c r="CF174" t="e">
        <f>AND(Bills!I712,"AAAAAE+1n1M=")</f>
        <v>#VALUE!</v>
      </c>
      <c r="CG174" t="e">
        <f>AND(Bills!J712,"AAAAAE+1n1Q=")</f>
        <v>#VALUE!</v>
      </c>
      <c r="CH174" t="e">
        <f>AND(Bills!K712,"AAAAAE+1n1U=")</f>
        <v>#VALUE!</v>
      </c>
      <c r="CI174" t="e">
        <f>AND(Bills!L712,"AAAAAE+1n1Y=")</f>
        <v>#VALUE!</v>
      </c>
      <c r="CJ174" t="e">
        <f>AND(Bills!#REF!,"AAAAAE+1n1c=")</f>
        <v>#REF!</v>
      </c>
      <c r="CK174" t="e">
        <f>AND(Bills!M712,"AAAAAE+1n1g=")</f>
        <v>#VALUE!</v>
      </c>
      <c r="CL174" t="e">
        <f>AND(Bills!N712,"AAAAAE+1n1k=")</f>
        <v>#VALUE!</v>
      </c>
      <c r="CM174" t="e">
        <f>AND(Bills!O712,"AAAAAE+1n1o=")</f>
        <v>#VALUE!</v>
      </c>
      <c r="CN174" t="e">
        <f>AND(Bills!P712,"AAAAAE+1n1s=")</f>
        <v>#VALUE!</v>
      </c>
      <c r="CO174" t="e">
        <f>AND(Bills!Q712,"AAAAAE+1n1w=")</f>
        <v>#VALUE!</v>
      </c>
      <c r="CP174" t="e">
        <f>AND(Bills!R712,"AAAAAE+1n10=")</f>
        <v>#VALUE!</v>
      </c>
      <c r="CQ174" t="e">
        <f>AND(Bills!S712,"AAAAAE+1n14=")</f>
        <v>#VALUE!</v>
      </c>
      <c r="CR174" t="e">
        <f>AND(Bills!T712,"AAAAAE+1n18=")</f>
        <v>#VALUE!</v>
      </c>
      <c r="CS174" t="e">
        <f>AND(Bills!#REF!,"AAAAAE+1n2A=")</f>
        <v>#REF!</v>
      </c>
      <c r="CT174" t="e">
        <f>AND(Bills!U712,"AAAAAE+1n2E=")</f>
        <v>#VALUE!</v>
      </c>
      <c r="CU174" t="e">
        <f>AND(Bills!V712,"AAAAAE+1n2I=")</f>
        <v>#VALUE!</v>
      </c>
      <c r="CV174" t="e">
        <f>AND(Bills!W712,"AAAAAE+1n2M=")</f>
        <v>#VALUE!</v>
      </c>
      <c r="CW174" t="e">
        <f>AND(Bills!#REF!,"AAAAAE+1n2Q=")</f>
        <v>#REF!</v>
      </c>
      <c r="CX174" t="e">
        <f>AND(Bills!#REF!,"AAAAAE+1n2U=")</f>
        <v>#REF!</v>
      </c>
      <c r="CY174" t="e">
        <f>AND(Bills!Y712,"AAAAAE+1n2Y=")</f>
        <v>#VALUE!</v>
      </c>
      <c r="CZ174" t="e">
        <f>AND(Bills!Z712,"AAAAAE+1n2c=")</f>
        <v>#VALUE!</v>
      </c>
      <c r="DA174" t="e">
        <f>AND(Bills!#REF!,"AAAAAE+1n2g=")</f>
        <v>#REF!</v>
      </c>
      <c r="DB174" t="e">
        <f>AND(Bills!#REF!,"AAAAAE+1n2k=")</f>
        <v>#REF!</v>
      </c>
      <c r="DC174" t="e">
        <f>AND(Bills!#REF!,"AAAAAE+1n2o=")</f>
        <v>#REF!</v>
      </c>
      <c r="DD174" t="e">
        <f>AND(Bills!#REF!,"AAAAAE+1n2s=")</f>
        <v>#REF!</v>
      </c>
      <c r="DE174" t="e">
        <f>AND(Bills!#REF!,"AAAAAE+1n2w=")</f>
        <v>#REF!</v>
      </c>
      <c r="DF174" t="e">
        <f>AND(Bills!#REF!,"AAAAAE+1n20=")</f>
        <v>#REF!</v>
      </c>
      <c r="DG174" t="e">
        <f>AND(Bills!#REF!,"AAAAAE+1n24=")</f>
        <v>#REF!</v>
      </c>
      <c r="DH174" t="e">
        <f>AND(Bills!#REF!,"AAAAAE+1n28=")</f>
        <v>#REF!</v>
      </c>
      <c r="DI174" t="e">
        <f>AND(Bills!#REF!,"AAAAAE+1n3A=")</f>
        <v>#REF!</v>
      </c>
      <c r="DJ174" t="e">
        <f>AND(Bills!AA712,"AAAAAE+1n3E=")</f>
        <v>#VALUE!</v>
      </c>
      <c r="DK174" t="e">
        <f>AND(Bills!AB712,"AAAAAE+1n3I=")</f>
        <v>#VALUE!</v>
      </c>
      <c r="DL174" t="e">
        <f>AND(Bills!#REF!,"AAAAAE+1n3M=")</f>
        <v>#REF!</v>
      </c>
      <c r="DM174" t="e">
        <f>AND(Bills!#REF!,"AAAAAE+1n3Q=")</f>
        <v>#REF!</v>
      </c>
      <c r="DN174" t="e">
        <f>AND(Bills!#REF!,"AAAAAE+1n3U=")</f>
        <v>#REF!</v>
      </c>
      <c r="DO174" t="e">
        <f>AND(Bills!AC712,"AAAAAE+1n3Y=")</f>
        <v>#VALUE!</v>
      </c>
      <c r="DP174" t="e">
        <f>AND(Bills!AD712,"AAAAAE+1n3c=")</f>
        <v>#VALUE!</v>
      </c>
      <c r="DQ174" t="e">
        <f>AND(Bills!AE712,"AAAAAE+1n3g=")</f>
        <v>#VALUE!</v>
      </c>
      <c r="DR174">
        <f>IF(Bills!713:713,"AAAAAE+1n3k=",0)</f>
        <v>0</v>
      </c>
      <c r="DS174" t="e">
        <f>AND(Bills!B713,"AAAAAE+1n3o=")</f>
        <v>#VALUE!</v>
      </c>
      <c r="DT174" t="e">
        <f>AND(Bills!#REF!,"AAAAAE+1n3s=")</f>
        <v>#REF!</v>
      </c>
      <c r="DU174" t="e">
        <f>AND(Bills!C713,"AAAAAE+1n3w=")</f>
        <v>#VALUE!</v>
      </c>
      <c r="DV174" t="e">
        <f>AND(Bills!D713,"AAAAAE+1n30=")</f>
        <v>#VALUE!</v>
      </c>
      <c r="DW174" t="e">
        <f>AND(Bills!E713,"AAAAAE+1n34=")</f>
        <v>#VALUE!</v>
      </c>
      <c r="DX174" t="e">
        <f>AND(Bills!#REF!,"AAAAAE+1n38=")</f>
        <v>#REF!</v>
      </c>
      <c r="DY174" t="e">
        <f>AND(Bills!#REF!,"AAAAAE+1n4A=")</f>
        <v>#REF!</v>
      </c>
      <c r="DZ174" t="e">
        <f>AND(Bills!#REF!,"AAAAAE+1n4E=")</f>
        <v>#REF!</v>
      </c>
      <c r="EA174" t="e">
        <f>AND(Bills!F713,"AAAAAE+1n4I=")</f>
        <v>#VALUE!</v>
      </c>
      <c r="EB174" t="e">
        <f>AND(Bills!#REF!,"AAAAAE+1n4M=")</f>
        <v>#REF!</v>
      </c>
      <c r="EC174" t="e">
        <f>AND(Bills!G713,"AAAAAE+1n4Q=")</f>
        <v>#VALUE!</v>
      </c>
      <c r="ED174" t="e">
        <f>AND(Bills!H713,"AAAAAE+1n4U=")</f>
        <v>#VALUE!</v>
      </c>
      <c r="EE174" t="e">
        <f>AND(Bills!I713,"AAAAAE+1n4Y=")</f>
        <v>#VALUE!</v>
      </c>
      <c r="EF174" t="e">
        <f>AND(Bills!J713,"AAAAAE+1n4c=")</f>
        <v>#VALUE!</v>
      </c>
      <c r="EG174" t="e">
        <f>AND(Bills!K713,"AAAAAE+1n4g=")</f>
        <v>#VALUE!</v>
      </c>
      <c r="EH174" t="e">
        <f>AND(Bills!L713,"AAAAAE+1n4k=")</f>
        <v>#VALUE!</v>
      </c>
      <c r="EI174" t="e">
        <f>AND(Bills!#REF!,"AAAAAE+1n4o=")</f>
        <v>#REF!</v>
      </c>
      <c r="EJ174" t="e">
        <f>AND(Bills!M713,"AAAAAE+1n4s=")</f>
        <v>#VALUE!</v>
      </c>
      <c r="EK174" t="e">
        <f>AND(Bills!N713,"AAAAAE+1n4w=")</f>
        <v>#VALUE!</v>
      </c>
      <c r="EL174" t="e">
        <f>AND(Bills!O713,"AAAAAE+1n40=")</f>
        <v>#VALUE!</v>
      </c>
      <c r="EM174" t="e">
        <f>AND(Bills!P713,"AAAAAE+1n44=")</f>
        <v>#VALUE!</v>
      </c>
      <c r="EN174" t="e">
        <f>AND(Bills!Q713,"AAAAAE+1n48=")</f>
        <v>#VALUE!</v>
      </c>
      <c r="EO174" t="e">
        <f>AND(Bills!R713,"AAAAAE+1n5A=")</f>
        <v>#VALUE!</v>
      </c>
      <c r="EP174" t="e">
        <f>AND(Bills!S713,"AAAAAE+1n5E=")</f>
        <v>#VALUE!</v>
      </c>
      <c r="EQ174" t="e">
        <f>AND(Bills!T713,"AAAAAE+1n5I=")</f>
        <v>#VALUE!</v>
      </c>
      <c r="ER174" t="e">
        <f>AND(Bills!#REF!,"AAAAAE+1n5M=")</f>
        <v>#REF!</v>
      </c>
      <c r="ES174" t="e">
        <f>AND(Bills!U713,"AAAAAE+1n5Q=")</f>
        <v>#VALUE!</v>
      </c>
      <c r="ET174" t="e">
        <f>AND(Bills!V713,"AAAAAE+1n5U=")</f>
        <v>#VALUE!</v>
      </c>
      <c r="EU174" t="e">
        <f>AND(Bills!W713,"AAAAAE+1n5Y=")</f>
        <v>#VALUE!</v>
      </c>
      <c r="EV174" t="e">
        <f>AND(Bills!#REF!,"AAAAAE+1n5c=")</f>
        <v>#REF!</v>
      </c>
      <c r="EW174" t="e">
        <f>AND(Bills!#REF!,"AAAAAE+1n5g=")</f>
        <v>#REF!</v>
      </c>
      <c r="EX174" t="e">
        <f>AND(Bills!Y713,"AAAAAE+1n5k=")</f>
        <v>#VALUE!</v>
      </c>
      <c r="EY174" t="e">
        <f>AND(Bills!Z713,"AAAAAE+1n5o=")</f>
        <v>#VALUE!</v>
      </c>
      <c r="EZ174" t="e">
        <f>AND(Bills!#REF!,"AAAAAE+1n5s=")</f>
        <v>#REF!</v>
      </c>
      <c r="FA174" t="e">
        <f>AND(Bills!#REF!,"AAAAAE+1n5w=")</f>
        <v>#REF!</v>
      </c>
      <c r="FB174" t="e">
        <f>AND(Bills!#REF!,"AAAAAE+1n50=")</f>
        <v>#REF!</v>
      </c>
      <c r="FC174" t="e">
        <f>AND(Bills!#REF!,"AAAAAE+1n54=")</f>
        <v>#REF!</v>
      </c>
      <c r="FD174" t="e">
        <f>AND(Bills!#REF!,"AAAAAE+1n58=")</f>
        <v>#REF!</v>
      </c>
      <c r="FE174" t="e">
        <f>AND(Bills!#REF!,"AAAAAE+1n6A=")</f>
        <v>#REF!</v>
      </c>
      <c r="FF174" t="e">
        <f>AND(Bills!#REF!,"AAAAAE+1n6E=")</f>
        <v>#REF!</v>
      </c>
      <c r="FG174" t="e">
        <f>AND(Bills!#REF!,"AAAAAE+1n6I=")</f>
        <v>#REF!</v>
      </c>
      <c r="FH174" t="e">
        <f>AND(Bills!#REF!,"AAAAAE+1n6M=")</f>
        <v>#REF!</v>
      </c>
      <c r="FI174" t="e">
        <f>AND(Bills!AA713,"AAAAAE+1n6Q=")</f>
        <v>#VALUE!</v>
      </c>
      <c r="FJ174" t="e">
        <f>AND(Bills!AB713,"AAAAAE+1n6U=")</f>
        <v>#VALUE!</v>
      </c>
      <c r="FK174" t="e">
        <f>AND(Bills!#REF!,"AAAAAE+1n6Y=")</f>
        <v>#REF!</v>
      </c>
      <c r="FL174" t="e">
        <f>AND(Bills!#REF!,"AAAAAE+1n6c=")</f>
        <v>#REF!</v>
      </c>
      <c r="FM174" t="e">
        <f>AND(Bills!#REF!,"AAAAAE+1n6g=")</f>
        <v>#REF!</v>
      </c>
      <c r="FN174" t="e">
        <f>AND(Bills!AC713,"AAAAAE+1n6k=")</f>
        <v>#VALUE!</v>
      </c>
      <c r="FO174" t="e">
        <f>AND(Bills!AD713,"AAAAAE+1n6o=")</f>
        <v>#VALUE!</v>
      </c>
      <c r="FP174" t="e">
        <f>AND(Bills!AE713,"AAAAAE+1n6s=")</f>
        <v>#VALUE!</v>
      </c>
      <c r="FQ174">
        <f>IF(Bills!714:714,"AAAAAE+1n6w=",0)</f>
        <v>0</v>
      </c>
      <c r="FR174" t="e">
        <f>AND(Bills!B714,"AAAAAE+1n60=")</f>
        <v>#VALUE!</v>
      </c>
      <c r="FS174" t="e">
        <f>AND(Bills!#REF!,"AAAAAE+1n64=")</f>
        <v>#REF!</v>
      </c>
      <c r="FT174" t="e">
        <f>AND(Bills!C714,"AAAAAE+1n68=")</f>
        <v>#VALUE!</v>
      </c>
      <c r="FU174" t="e">
        <f>AND(Bills!D714,"AAAAAE+1n7A=")</f>
        <v>#VALUE!</v>
      </c>
      <c r="FV174" t="e">
        <f>AND(Bills!E714,"AAAAAE+1n7E=")</f>
        <v>#VALUE!</v>
      </c>
      <c r="FW174" t="e">
        <f>AND(Bills!#REF!,"AAAAAE+1n7I=")</f>
        <v>#REF!</v>
      </c>
      <c r="FX174" t="e">
        <f>AND(Bills!#REF!,"AAAAAE+1n7M=")</f>
        <v>#REF!</v>
      </c>
      <c r="FY174" t="e">
        <f>AND(Bills!#REF!,"AAAAAE+1n7Q=")</f>
        <v>#REF!</v>
      </c>
      <c r="FZ174" t="e">
        <f>AND(Bills!F714,"AAAAAE+1n7U=")</f>
        <v>#VALUE!</v>
      </c>
      <c r="GA174" t="e">
        <f>AND(Bills!#REF!,"AAAAAE+1n7Y=")</f>
        <v>#REF!</v>
      </c>
      <c r="GB174" t="e">
        <f>AND(Bills!G714,"AAAAAE+1n7c=")</f>
        <v>#VALUE!</v>
      </c>
      <c r="GC174" t="e">
        <f>AND(Bills!H714,"AAAAAE+1n7g=")</f>
        <v>#VALUE!</v>
      </c>
      <c r="GD174" t="e">
        <f>AND(Bills!I714,"AAAAAE+1n7k=")</f>
        <v>#VALUE!</v>
      </c>
      <c r="GE174" t="e">
        <f>AND(Bills!J714,"AAAAAE+1n7o=")</f>
        <v>#VALUE!</v>
      </c>
      <c r="GF174" t="e">
        <f>AND(Bills!K714,"AAAAAE+1n7s=")</f>
        <v>#VALUE!</v>
      </c>
      <c r="GG174" t="e">
        <f>AND(Bills!L714,"AAAAAE+1n7w=")</f>
        <v>#VALUE!</v>
      </c>
      <c r="GH174" t="e">
        <f>AND(Bills!#REF!,"AAAAAE+1n70=")</f>
        <v>#REF!</v>
      </c>
      <c r="GI174" t="e">
        <f>AND(Bills!M714,"AAAAAE+1n74=")</f>
        <v>#VALUE!</v>
      </c>
      <c r="GJ174" t="e">
        <f>AND(Bills!N714,"AAAAAE+1n78=")</f>
        <v>#VALUE!</v>
      </c>
      <c r="GK174" t="e">
        <f>AND(Bills!O714,"AAAAAE+1n8A=")</f>
        <v>#VALUE!</v>
      </c>
      <c r="GL174" t="e">
        <f>AND(Bills!P714,"AAAAAE+1n8E=")</f>
        <v>#VALUE!</v>
      </c>
      <c r="GM174" t="e">
        <f>AND(Bills!Q714,"AAAAAE+1n8I=")</f>
        <v>#VALUE!</v>
      </c>
      <c r="GN174" t="e">
        <f>AND(Bills!R714,"AAAAAE+1n8M=")</f>
        <v>#VALUE!</v>
      </c>
      <c r="GO174" t="e">
        <f>AND(Bills!S714,"AAAAAE+1n8Q=")</f>
        <v>#VALUE!</v>
      </c>
      <c r="GP174" t="e">
        <f>AND(Bills!T714,"AAAAAE+1n8U=")</f>
        <v>#VALUE!</v>
      </c>
      <c r="GQ174" t="e">
        <f>AND(Bills!#REF!,"AAAAAE+1n8Y=")</f>
        <v>#REF!</v>
      </c>
      <c r="GR174" t="e">
        <f>AND(Bills!U714,"AAAAAE+1n8c=")</f>
        <v>#VALUE!</v>
      </c>
      <c r="GS174" t="e">
        <f>AND(Bills!V714,"AAAAAE+1n8g=")</f>
        <v>#VALUE!</v>
      </c>
      <c r="GT174" t="e">
        <f>AND(Bills!W714,"AAAAAE+1n8k=")</f>
        <v>#VALUE!</v>
      </c>
      <c r="GU174" t="e">
        <f>AND(Bills!#REF!,"AAAAAE+1n8o=")</f>
        <v>#REF!</v>
      </c>
      <c r="GV174" t="e">
        <f>AND(Bills!#REF!,"AAAAAE+1n8s=")</f>
        <v>#REF!</v>
      </c>
      <c r="GW174" t="e">
        <f>AND(Bills!Y714,"AAAAAE+1n8w=")</f>
        <v>#VALUE!</v>
      </c>
      <c r="GX174" t="e">
        <f>AND(Bills!Z714,"AAAAAE+1n80=")</f>
        <v>#VALUE!</v>
      </c>
      <c r="GY174" t="e">
        <f>AND(Bills!#REF!,"AAAAAE+1n84=")</f>
        <v>#REF!</v>
      </c>
      <c r="GZ174" t="e">
        <f>AND(Bills!#REF!,"AAAAAE+1n88=")</f>
        <v>#REF!</v>
      </c>
      <c r="HA174" t="e">
        <f>AND(Bills!#REF!,"AAAAAE+1n9A=")</f>
        <v>#REF!</v>
      </c>
      <c r="HB174" t="e">
        <f>AND(Bills!#REF!,"AAAAAE+1n9E=")</f>
        <v>#REF!</v>
      </c>
      <c r="HC174" t="e">
        <f>AND(Bills!#REF!,"AAAAAE+1n9I=")</f>
        <v>#REF!</v>
      </c>
      <c r="HD174" t="e">
        <f>AND(Bills!#REF!,"AAAAAE+1n9M=")</f>
        <v>#REF!</v>
      </c>
      <c r="HE174" t="e">
        <f>AND(Bills!#REF!,"AAAAAE+1n9Q=")</f>
        <v>#REF!</v>
      </c>
      <c r="HF174" t="e">
        <f>AND(Bills!#REF!,"AAAAAE+1n9U=")</f>
        <v>#REF!</v>
      </c>
      <c r="HG174" t="e">
        <f>AND(Bills!#REF!,"AAAAAE+1n9Y=")</f>
        <v>#REF!</v>
      </c>
      <c r="HH174" t="e">
        <f>AND(Bills!AA714,"AAAAAE+1n9c=")</f>
        <v>#VALUE!</v>
      </c>
      <c r="HI174" t="e">
        <f>AND(Bills!AB714,"AAAAAE+1n9g=")</f>
        <v>#VALUE!</v>
      </c>
      <c r="HJ174" t="e">
        <f>AND(Bills!#REF!,"AAAAAE+1n9k=")</f>
        <v>#REF!</v>
      </c>
      <c r="HK174" t="e">
        <f>AND(Bills!#REF!,"AAAAAE+1n9o=")</f>
        <v>#REF!</v>
      </c>
      <c r="HL174" t="e">
        <f>AND(Bills!#REF!,"AAAAAE+1n9s=")</f>
        <v>#REF!</v>
      </c>
      <c r="HM174" t="e">
        <f>AND(Bills!AC714,"AAAAAE+1n9w=")</f>
        <v>#VALUE!</v>
      </c>
      <c r="HN174" t="e">
        <f>AND(Bills!AD714,"AAAAAE+1n90=")</f>
        <v>#VALUE!</v>
      </c>
      <c r="HO174" t="e">
        <f>AND(Bills!AE714,"AAAAAE+1n94=")</f>
        <v>#VALUE!</v>
      </c>
      <c r="HP174">
        <f>IF(Bills!715:715,"AAAAAE+1n98=",0)</f>
        <v>0</v>
      </c>
      <c r="HQ174" t="e">
        <f>AND(Bills!B715,"AAAAAE+1n+A=")</f>
        <v>#VALUE!</v>
      </c>
      <c r="HR174" t="e">
        <f>AND(Bills!#REF!,"AAAAAE+1n+E=")</f>
        <v>#REF!</v>
      </c>
      <c r="HS174" t="e">
        <f>AND(Bills!C715,"AAAAAE+1n+I=")</f>
        <v>#VALUE!</v>
      </c>
      <c r="HT174" t="e">
        <f>AND(Bills!D715,"AAAAAE+1n+M=")</f>
        <v>#VALUE!</v>
      </c>
      <c r="HU174" t="e">
        <f>AND(Bills!E715,"AAAAAE+1n+Q=")</f>
        <v>#VALUE!</v>
      </c>
      <c r="HV174" t="e">
        <f>AND(Bills!#REF!,"AAAAAE+1n+U=")</f>
        <v>#REF!</v>
      </c>
      <c r="HW174" t="e">
        <f>AND(Bills!#REF!,"AAAAAE+1n+Y=")</f>
        <v>#REF!</v>
      </c>
      <c r="HX174" t="e">
        <f>AND(Bills!#REF!,"AAAAAE+1n+c=")</f>
        <v>#REF!</v>
      </c>
      <c r="HY174" t="e">
        <f>AND(Bills!F715,"AAAAAE+1n+g=")</f>
        <v>#VALUE!</v>
      </c>
      <c r="HZ174" t="e">
        <f>AND(Bills!#REF!,"AAAAAE+1n+k=")</f>
        <v>#REF!</v>
      </c>
      <c r="IA174" t="e">
        <f>AND(Bills!G715,"AAAAAE+1n+o=")</f>
        <v>#VALUE!</v>
      </c>
      <c r="IB174" t="e">
        <f>AND(Bills!H715,"AAAAAE+1n+s=")</f>
        <v>#VALUE!</v>
      </c>
      <c r="IC174" t="e">
        <f>AND(Bills!I715,"AAAAAE+1n+w=")</f>
        <v>#VALUE!</v>
      </c>
      <c r="ID174" t="e">
        <f>AND(Bills!J715,"AAAAAE+1n+0=")</f>
        <v>#VALUE!</v>
      </c>
      <c r="IE174" t="e">
        <f>AND(Bills!K715,"AAAAAE+1n+4=")</f>
        <v>#VALUE!</v>
      </c>
      <c r="IF174" t="e">
        <f>AND(Bills!L715,"AAAAAE+1n+8=")</f>
        <v>#VALUE!</v>
      </c>
      <c r="IG174" t="e">
        <f>AND(Bills!#REF!,"AAAAAE+1n/A=")</f>
        <v>#REF!</v>
      </c>
      <c r="IH174" t="e">
        <f>AND(Bills!M715,"AAAAAE+1n/E=")</f>
        <v>#VALUE!</v>
      </c>
      <c r="II174" t="e">
        <f>AND(Bills!N715,"AAAAAE+1n/I=")</f>
        <v>#VALUE!</v>
      </c>
      <c r="IJ174" t="e">
        <f>AND(Bills!O715,"AAAAAE+1n/M=")</f>
        <v>#VALUE!</v>
      </c>
      <c r="IK174" t="e">
        <f>AND(Bills!P715,"AAAAAE+1n/Q=")</f>
        <v>#VALUE!</v>
      </c>
      <c r="IL174" t="e">
        <f>AND(Bills!Q715,"AAAAAE+1n/U=")</f>
        <v>#VALUE!</v>
      </c>
      <c r="IM174" t="e">
        <f>AND(Bills!R715,"AAAAAE+1n/Y=")</f>
        <v>#VALUE!</v>
      </c>
      <c r="IN174" t="e">
        <f>AND(Bills!S715,"AAAAAE+1n/c=")</f>
        <v>#VALUE!</v>
      </c>
      <c r="IO174" t="e">
        <f>AND(Bills!T715,"AAAAAE+1n/g=")</f>
        <v>#VALUE!</v>
      </c>
      <c r="IP174" t="e">
        <f>AND(Bills!#REF!,"AAAAAE+1n/k=")</f>
        <v>#REF!</v>
      </c>
      <c r="IQ174" t="e">
        <f>AND(Bills!U715,"AAAAAE+1n/o=")</f>
        <v>#VALUE!</v>
      </c>
      <c r="IR174" t="e">
        <f>AND(Bills!V715,"AAAAAE+1n/s=")</f>
        <v>#VALUE!</v>
      </c>
      <c r="IS174" t="e">
        <f>AND(Bills!W715,"AAAAAE+1n/w=")</f>
        <v>#VALUE!</v>
      </c>
      <c r="IT174" t="e">
        <f>AND(Bills!#REF!,"AAAAAE+1n/0=")</f>
        <v>#REF!</v>
      </c>
      <c r="IU174" t="e">
        <f>AND(Bills!#REF!,"AAAAAE+1n/4=")</f>
        <v>#REF!</v>
      </c>
      <c r="IV174" t="e">
        <f>AND(Bills!Y715,"AAAAAE+1n/8=")</f>
        <v>#VALUE!</v>
      </c>
    </row>
    <row r="175" spans="1:256" x14ac:dyDescent="0.25">
      <c r="A175" t="e">
        <f>AND(Bills!Z715,"AAAAAD/zdQA=")</f>
        <v>#VALUE!</v>
      </c>
      <c r="B175" t="e">
        <f>AND(Bills!#REF!,"AAAAAD/zdQE=")</f>
        <v>#REF!</v>
      </c>
      <c r="C175" t="e">
        <f>AND(Bills!#REF!,"AAAAAD/zdQI=")</f>
        <v>#REF!</v>
      </c>
      <c r="D175" t="e">
        <f>AND(Bills!#REF!,"AAAAAD/zdQM=")</f>
        <v>#REF!</v>
      </c>
      <c r="E175" t="e">
        <f>AND(Bills!#REF!,"AAAAAD/zdQQ=")</f>
        <v>#REF!</v>
      </c>
      <c r="F175" t="e">
        <f>AND(Bills!#REF!,"AAAAAD/zdQU=")</f>
        <v>#REF!</v>
      </c>
      <c r="G175" t="e">
        <f>AND(Bills!#REF!,"AAAAAD/zdQY=")</f>
        <v>#REF!</v>
      </c>
      <c r="H175" t="e">
        <f>AND(Bills!#REF!,"AAAAAD/zdQc=")</f>
        <v>#REF!</v>
      </c>
      <c r="I175" t="e">
        <f>AND(Bills!#REF!,"AAAAAD/zdQg=")</f>
        <v>#REF!</v>
      </c>
      <c r="J175" t="e">
        <f>AND(Bills!#REF!,"AAAAAD/zdQk=")</f>
        <v>#REF!</v>
      </c>
      <c r="K175" t="e">
        <f>AND(Bills!AA715,"AAAAAD/zdQo=")</f>
        <v>#VALUE!</v>
      </c>
      <c r="L175" t="e">
        <f>AND(Bills!AB715,"AAAAAD/zdQs=")</f>
        <v>#VALUE!</v>
      </c>
      <c r="M175" t="e">
        <f>AND(Bills!#REF!,"AAAAAD/zdQw=")</f>
        <v>#REF!</v>
      </c>
      <c r="N175" t="e">
        <f>AND(Bills!#REF!,"AAAAAD/zdQ0=")</f>
        <v>#REF!</v>
      </c>
      <c r="O175" t="e">
        <f>AND(Bills!#REF!,"AAAAAD/zdQ4=")</f>
        <v>#REF!</v>
      </c>
      <c r="P175" t="e">
        <f>AND(Bills!AC715,"AAAAAD/zdQ8=")</f>
        <v>#VALUE!</v>
      </c>
      <c r="Q175" t="e">
        <f>AND(Bills!AD715,"AAAAAD/zdRA=")</f>
        <v>#VALUE!</v>
      </c>
      <c r="R175" t="e">
        <f>AND(Bills!AE715,"AAAAAD/zdRE=")</f>
        <v>#VALUE!</v>
      </c>
      <c r="S175">
        <f>IF(Bills!716:716,"AAAAAD/zdRI=",0)</f>
        <v>0</v>
      </c>
      <c r="T175" t="e">
        <f>AND(Bills!B716,"AAAAAD/zdRM=")</f>
        <v>#VALUE!</v>
      </c>
      <c r="U175" t="e">
        <f>AND(Bills!#REF!,"AAAAAD/zdRQ=")</f>
        <v>#REF!</v>
      </c>
      <c r="V175" t="e">
        <f>AND(Bills!C716,"AAAAAD/zdRU=")</f>
        <v>#VALUE!</v>
      </c>
      <c r="W175" t="e">
        <f>AND(Bills!D716,"AAAAAD/zdRY=")</f>
        <v>#VALUE!</v>
      </c>
      <c r="X175" t="e">
        <f>AND(Bills!E716,"AAAAAD/zdRc=")</f>
        <v>#VALUE!</v>
      </c>
      <c r="Y175" t="e">
        <f>AND(Bills!#REF!,"AAAAAD/zdRg=")</f>
        <v>#REF!</v>
      </c>
      <c r="Z175" t="e">
        <f>AND(Bills!#REF!,"AAAAAD/zdRk=")</f>
        <v>#REF!</v>
      </c>
      <c r="AA175" t="e">
        <f>AND(Bills!#REF!,"AAAAAD/zdRo=")</f>
        <v>#REF!</v>
      </c>
      <c r="AB175" t="e">
        <f>AND(Bills!F716,"AAAAAD/zdRs=")</f>
        <v>#VALUE!</v>
      </c>
      <c r="AC175" t="e">
        <f>AND(Bills!#REF!,"AAAAAD/zdRw=")</f>
        <v>#REF!</v>
      </c>
      <c r="AD175" t="e">
        <f>AND(Bills!G716,"AAAAAD/zdR0=")</f>
        <v>#VALUE!</v>
      </c>
      <c r="AE175" t="e">
        <f>AND(Bills!H716,"AAAAAD/zdR4=")</f>
        <v>#VALUE!</v>
      </c>
      <c r="AF175" t="e">
        <f>AND(Bills!I716,"AAAAAD/zdR8=")</f>
        <v>#VALUE!</v>
      </c>
      <c r="AG175" t="e">
        <f>AND(Bills!J716,"AAAAAD/zdSA=")</f>
        <v>#VALUE!</v>
      </c>
      <c r="AH175" t="e">
        <f>AND(Bills!K716,"AAAAAD/zdSE=")</f>
        <v>#VALUE!</v>
      </c>
      <c r="AI175" t="e">
        <f>AND(Bills!L716,"AAAAAD/zdSI=")</f>
        <v>#VALUE!</v>
      </c>
      <c r="AJ175" t="e">
        <f>AND(Bills!#REF!,"AAAAAD/zdSM=")</f>
        <v>#REF!</v>
      </c>
      <c r="AK175" t="e">
        <f>AND(Bills!M716,"AAAAAD/zdSQ=")</f>
        <v>#VALUE!</v>
      </c>
      <c r="AL175" t="e">
        <f>AND(Bills!N716,"AAAAAD/zdSU=")</f>
        <v>#VALUE!</v>
      </c>
      <c r="AM175" t="e">
        <f>AND(Bills!O716,"AAAAAD/zdSY=")</f>
        <v>#VALUE!</v>
      </c>
      <c r="AN175" t="e">
        <f>AND(Bills!P716,"AAAAAD/zdSc=")</f>
        <v>#VALUE!</v>
      </c>
      <c r="AO175" t="e">
        <f>AND(Bills!Q716,"AAAAAD/zdSg=")</f>
        <v>#VALUE!</v>
      </c>
      <c r="AP175" t="e">
        <f>AND(Bills!R716,"AAAAAD/zdSk=")</f>
        <v>#VALUE!</v>
      </c>
      <c r="AQ175" t="e">
        <f>AND(Bills!S716,"AAAAAD/zdSo=")</f>
        <v>#VALUE!</v>
      </c>
      <c r="AR175" t="e">
        <f>AND(Bills!T716,"AAAAAD/zdSs=")</f>
        <v>#VALUE!</v>
      </c>
      <c r="AS175" t="e">
        <f>AND(Bills!#REF!,"AAAAAD/zdSw=")</f>
        <v>#REF!</v>
      </c>
      <c r="AT175" t="e">
        <f>AND(Bills!U716,"AAAAAD/zdS0=")</f>
        <v>#VALUE!</v>
      </c>
      <c r="AU175" t="e">
        <f>AND(Bills!V716,"AAAAAD/zdS4=")</f>
        <v>#VALUE!</v>
      </c>
      <c r="AV175" t="e">
        <f>AND(Bills!W716,"AAAAAD/zdS8=")</f>
        <v>#VALUE!</v>
      </c>
      <c r="AW175" t="e">
        <f>AND(Bills!#REF!,"AAAAAD/zdTA=")</f>
        <v>#REF!</v>
      </c>
      <c r="AX175" t="e">
        <f>AND(Bills!#REF!,"AAAAAD/zdTE=")</f>
        <v>#REF!</v>
      </c>
      <c r="AY175" t="e">
        <f>AND(Bills!Y716,"AAAAAD/zdTI=")</f>
        <v>#VALUE!</v>
      </c>
      <c r="AZ175" t="e">
        <f>AND(Bills!Z716,"AAAAAD/zdTM=")</f>
        <v>#VALUE!</v>
      </c>
      <c r="BA175" t="e">
        <f>AND(Bills!#REF!,"AAAAAD/zdTQ=")</f>
        <v>#REF!</v>
      </c>
      <c r="BB175" t="e">
        <f>AND(Bills!#REF!,"AAAAAD/zdTU=")</f>
        <v>#REF!</v>
      </c>
      <c r="BC175" t="e">
        <f>AND(Bills!#REF!,"AAAAAD/zdTY=")</f>
        <v>#REF!</v>
      </c>
      <c r="BD175" t="e">
        <f>AND(Bills!#REF!,"AAAAAD/zdTc=")</f>
        <v>#REF!</v>
      </c>
      <c r="BE175" t="e">
        <f>AND(Bills!#REF!,"AAAAAD/zdTg=")</f>
        <v>#REF!</v>
      </c>
      <c r="BF175" t="e">
        <f>AND(Bills!#REF!,"AAAAAD/zdTk=")</f>
        <v>#REF!</v>
      </c>
      <c r="BG175" t="e">
        <f>AND(Bills!#REF!,"AAAAAD/zdTo=")</f>
        <v>#REF!</v>
      </c>
      <c r="BH175" t="e">
        <f>AND(Bills!#REF!,"AAAAAD/zdTs=")</f>
        <v>#REF!</v>
      </c>
      <c r="BI175" t="e">
        <f>AND(Bills!#REF!,"AAAAAD/zdTw=")</f>
        <v>#REF!</v>
      </c>
      <c r="BJ175" t="e">
        <f>AND(Bills!AA716,"AAAAAD/zdT0=")</f>
        <v>#VALUE!</v>
      </c>
      <c r="BK175" t="e">
        <f>AND(Bills!AB716,"AAAAAD/zdT4=")</f>
        <v>#VALUE!</v>
      </c>
      <c r="BL175" t="e">
        <f>AND(Bills!#REF!,"AAAAAD/zdT8=")</f>
        <v>#REF!</v>
      </c>
      <c r="BM175" t="e">
        <f>AND(Bills!#REF!,"AAAAAD/zdUA=")</f>
        <v>#REF!</v>
      </c>
      <c r="BN175" t="e">
        <f>AND(Bills!#REF!,"AAAAAD/zdUE=")</f>
        <v>#REF!</v>
      </c>
      <c r="BO175" t="e">
        <f>AND(Bills!AC716,"AAAAAD/zdUI=")</f>
        <v>#VALUE!</v>
      </c>
      <c r="BP175" t="e">
        <f>AND(Bills!AD716,"AAAAAD/zdUM=")</f>
        <v>#VALUE!</v>
      </c>
      <c r="BQ175" t="e">
        <f>AND(Bills!AE716,"AAAAAD/zdUQ=")</f>
        <v>#VALUE!</v>
      </c>
      <c r="BR175">
        <f>IF(Bills!717:717,"AAAAAD/zdUU=",0)</f>
        <v>0</v>
      </c>
      <c r="BS175" t="e">
        <f>AND(Bills!B717,"AAAAAD/zdUY=")</f>
        <v>#VALUE!</v>
      </c>
      <c r="BT175" t="e">
        <f>AND(Bills!#REF!,"AAAAAD/zdUc=")</f>
        <v>#REF!</v>
      </c>
      <c r="BU175" t="e">
        <f>AND(Bills!C717,"AAAAAD/zdUg=")</f>
        <v>#VALUE!</v>
      </c>
      <c r="BV175" t="e">
        <f>AND(Bills!D717,"AAAAAD/zdUk=")</f>
        <v>#VALUE!</v>
      </c>
      <c r="BW175" t="e">
        <f>AND(Bills!E717,"AAAAAD/zdUo=")</f>
        <v>#VALUE!</v>
      </c>
      <c r="BX175" t="e">
        <f>AND(Bills!#REF!,"AAAAAD/zdUs=")</f>
        <v>#REF!</v>
      </c>
      <c r="BY175" t="e">
        <f>AND(Bills!#REF!,"AAAAAD/zdUw=")</f>
        <v>#REF!</v>
      </c>
      <c r="BZ175" t="e">
        <f>AND(Bills!#REF!,"AAAAAD/zdU0=")</f>
        <v>#REF!</v>
      </c>
      <c r="CA175" t="e">
        <f>AND(Bills!F717,"AAAAAD/zdU4=")</f>
        <v>#VALUE!</v>
      </c>
      <c r="CB175" t="e">
        <f>AND(Bills!#REF!,"AAAAAD/zdU8=")</f>
        <v>#REF!</v>
      </c>
      <c r="CC175" t="e">
        <f>AND(Bills!G717,"AAAAAD/zdVA=")</f>
        <v>#VALUE!</v>
      </c>
      <c r="CD175" t="e">
        <f>AND(Bills!H717,"AAAAAD/zdVE=")</f>
        <v>#VALUE!</v>
      </c>
      <c r="CE175" t="e">
        <f>AND(Bills!I717,"AAAAAD/zdVI=")</f>
        <v>#VALUE!</v>
      </c>
      <c r="CF175" t="e">
        <f>AND(Bills!J717,"AAAAAD/zdVM=")</f>
        <v>#VALUE!</v>
      </c>
      <c r="CG175" t="e">
        <f>AND(Bills!K717,"AAAAAD/zdVQ=")</f>
        <v>#VALUE!</v>
      </c>
      <c r="CH175" t="e">
        <f>AND(Bills!L717,"AAAAAD/zdVU=")</f>
        <v>#VALUE!</v>
      </c>
      <c r="CI175" t="e">
        <f>AND(Bills!#REF!,"AAAAAD/zdVY=")</f>
        <v>#REF!</v>
      </c>
      <c r="CJ175" t="e">
        <f>AND(Bills!M717,"AAAAAD/zdVc=")</f>
        <v>#VALUE!</v>
      </c>
      <c r="CK175" t="e">
        <f>AND(Bills!N717,"AAAAAD/zdVg=")</f>
        <v>#VALUE!</v>
      </c>
      <c r="CL175" t="e">
        <f>AND(Bills!O717,"AAAAAD/zdVk=")</f>
        <v>#VALUE!</v>
      </c>
      <c r="CM175" t="e">
        <f>AND(Bills!P717,"AAAAAD/zdVo=")</f>
        <v>#VALUE!</v>
      </c>
      <c r="CN175" t="e">
        <f>AND(Bills!Q717,"AAAAAD/zdVs=")</f>
        <v>#VALUE!</v>
      </c>
      <c r="CO175" t="e">
        <f>AND(Bills!R717,"AAAAAD/zdVw=")</f>
        <v>#VALUE!</v>
      </c>
      <c r="CP175" t="e">
        <f>AND(Bills!S717,"AAAAAD/zdV0=")</f>
        <v>#VALUE!</v>
      </c>
      <c r="CQ175" t="e">
        <f>AND(Bills!T717,"AAAAAD/zdV4=")</f>
        <v>#VALUE!</v>
      </c>
      <c r="CR175" t="e">
        <f>AND(Bills!#REF!,"AAAAAD/zdV8=")</f>
        <v>#REF!</v>
      </c>
      <c r="CS175" t="e">
        <f>AND(Bills!U717,"AAAAAD/zdWA=")</f>
        <v>#VALUE!</v>
      </c>
      <c r="CT175" t="e">
        <f>AND(Bills!V717,"AAAAAD/zdWE=")</f>
        <v>#VALUE!</v>
      </c>
      <c r="CU175" t="e">
        <f>AND(Bills!W717,"AAAAAD/zdWI=")</f>
        <v>#VALUE!</v>
      </c>
      <c r="CV175" t="e">
        <f>AND(Bills!#REF!,"AAAAAD/zdWM=")</f>
        <v>#REF!</v>
      </c>
      <c r="CW175" t="e">
        <f>AND(Bills!#REF!,"AAAAAD/zdWQ=")</f>
        <v>#REF!</v>
      </c>
      <c r="CX175" t="e">
        <f>AND(Bills!Y717,"AAAAAD/zdWU=")</f>
        <v>#VALUE!</v>
      </c>
      <c r="CY175" t="e">
        <f>AND(Bills!Z717,"AAAAAD/zdWY=")</f>
        <v>#VALUE!</v>
      </c>
      <c r="CZ175" t="e">
        <f>AND(Bills!#REF!,"AAAAAD/zdWc=")</f>
        <v>#REF!</v>
      </c>
      <c r="DA175" t="e">
        <f>AND(Bills!#REF!,"AAAAAD/zdWg=")</f>
        <v>#REF!</v>
      </c>
      <c r="DB175" t="e">
        <f>AND(Bills!#REF!,"AAAAAD/zdWk=")</f>
        <v>#REF!</v>
      </c>
      <c r="DC175" t="e">
        <f>AND(Bills!#REF!,"AAAAAD/zdWo=")</f>
        <v>#REF!</v>
      </c>
      <c r="DD175" t="e">
        <f>AND(Bills!#REF!,"AAAAAD/zdWs=")</f>
        <v>#REF!</v>
      </c>
      <c r="DE175" t="e">
        <f>AND(Bills!#REF!,"AAAAAD/zdWw=")</f>
        <v>#REF!</v>
      </c>
      <c r="DF175" t="e">
        <f>AND(Bills!#REF!,"AAAAAD/zdW0=")</f>
        <v>#REF!</v>
      </c>
      <c r="DG175" t="e">
        <f>AND(Bills!#REF!,"AAAAAD/zdW4=")</f>
        <v>#REF!</v>
      </c>
      <c r="DH175" t="e">
        <f>AND(Bills!#REF!,"AAAAAD/zdW8=")</f>
        <v>#REF!</v>
      </c>
      <c r="DI175" t="e">
        <f>AND(Bills!AA717,"AAAAAD/zdXA=")</f>
        <v>#VALUE!</v>
      </c>
      <c r="DJ175" t="e">
        <f>AND(Bills!AB717,"AAAAAD/zdXE=")</f>
        <v>#VALUE!</v>
      </c>
      <c r="DK175" t="e">
        <f>AND(Bills!#REF!,"AAAAAD/zdXI=")</f>
        <v>#REF!</v>
      </c>
      <c r="DL175" t="e">
        <f>AND(Bills!#REF!,"AAAAAD/zdXM=")</f>
        <v>#REF!</v>
      </c>
      <c r="DM175" t="e">
        <f>AND(Bills!#REF!,"AAAAAD/zdXQ=")</f>
        <v>#REF!</v>
      </c>
      <c r="DN175" t="e">
        <f>AND(Bills!AC717,"AAAAAD/zdXU=")</f>
        <v>#VALUE!</v>
      </c>
      <c r="DO175" t="e">
        <f>AND(Bills!AD717,"AAAAAD/zdXY=")</f>
        <v>#VALUE!</v>
      </c>
      <c r="DP175" t="e">
        <f>AND(Bills!AE717,"AAAAAD/zdXc=")</f>
        <v>#VALUE!</v>
      </c>
      <c r="DQ175">
        <f>IF(Bills!718:718,"AAAAAD/zdXg=",0)</f>
        <v>0</v>
      </c>
      <c r="DR175" t="e">
        <f>AND(Bills!B718,"AAAAAD/zdXk=")</f>
        <v>#VALUE!</v>
      </c>
      <c r="DS175" t="e">
        <f>AND(Bills!#REF!,"AAAAAD/zdXo=")</f>
        <v>#REF!</v>
      </c>
      <c r="DT175" t="e">
        <f>AND(Bills!C718,"AAAAAD/zdXs=")</f>
        <v>#VALUE!</v>
      </c>
      <c r="DU175" t="e">
        <f>AND(Bills!D718,"AAAAAD/zdXw=")</f>
        <v>#VALUE!</v>
      </c>
      <c r="DV175" t="e">
        <f>AND(Bills!E718,"AAAAAD/zdX0=")</f>
        <v>#VALUE!</v>
      </c>
      <c r="DW175" t="e">
        <f>AND(Bills!#REF!,"AAAAAD/zdX4=")</f>
        <v>#REF!</v>
      </c>
      <c r="DX175" t="e">
        <f>AND(Bills!#REF!,"AAAAAD/zdX8=")</f>
        <v>#REF!</v>
      </c>
      <c r="DY175" t="e">
        <f>AND(Bills!#REF!,"AAAAAD/zdYA=")</f>
        <v>#REF!</v>
      </c>
      <c r="DZ175" t="e">
        <f>AND(Bills!F718,"AAAAAD/zdYE=")</f>
        <v>#VALUE!</v>
      </c>
      <c r="EA175" t="e">
        <f>AND(Bills!#REF!,"AAAAAD/zdYI=")</f>
        <v>#REF!</v>
      </c>
      <c r="EB175" t="e">
        <f>AND(Bills!G718,"AAAAAD/zdYM=")</f>
        <v>#VALUE!</v>
      </c>
      <c r="EC175" t="e">
        <f>AND(Bills!H718,"AAAAAD/zdYQ=")</f>
        <v>#VALUE!</v>
      </c>
      <c r="ED175" t="e">
        <f>AND(Bills!I718,"AAAAAD/zdYU=")</f>
        <v>#VALUE!</v>
      </c>
      <c r="EE175" t="e">
        <f>AND(Bills!J718,"AAAAAD/zdYY=")</f>
        <v>#VALUE!</v>
      </c>
      <c r="EF175" t="e">
        <f>AND(Bills!K718,"AAAAAD/zdYc=")</f>
        <v>#VALUE!</v>
      </c>
      <c r="EG175" t="e">
        <f>AND(Bills!L718,"AAAAAD/zdYg=")</f>
        <v>#VALUE!</v>
      </c>
      <c r="EH175" t="e">
        <f>AND(Bills!#REF!,"AAAAAD/zdYk=")</f>
        <v>#REF!</v>
      </c>
      <c r="EI175" t="e">
        <f>AND(Bills!M718,"AAAAAD/zdYo=")</f>
        <v>#VALUE!</v>
      </c>
      <c r="EJ175" t="e">
        <f>AND(Bills!N718,"AAAAAD/zdYs=")</f>
        <v>#VALUE!</v>
      </c>
      <c r="EK175" t="e">
        <f>AND(Bills!O718,"AAAAAD/zdYw=")</f>
        <v>#VALUE!</v>
      </c>
      <c r="EL175" t="e">
        <f>AND(Bills!P718,"AAAAAD/zdY0=")</f>
        <v>#VALUE!</v>
      </c>
      <c r="EM175" t="e">
        <f>AND(Bills!Q718,"AAAAAD/zdY4=")</f>
        <v>#VALUE!</v>
      </c>
      <c r="EN175" t="e">
        <f>AND(Bills!R718,"AAAAAD/zdY8=")</f>
        <v>#VALUE!</v>
      </c>
      <c r="EO175" t="e">
        <f>AND(Bills!S718,"AAAAAD/zdZA=")</f>
        <v>#VALUE!</v>
      </c>
      <c r="EP175" t="e">
        <f>AND(Bills!T718,"AAAAAD/zdZE=")</f>
        <v>#VALUE!</v>
      </c>
      <c r="EQ175" t="e">
        <f>AND(Bills!#REF!,"AAAAAD/zdZI=")</f>
        <v>#REF!</v>
      </c>
      <c r="ER175" t="e">
        <f>AND(Bills!U718,"AAAAAD/zdZM=")</f>
        <v>#VALUE!</v>
      </c>
      <c r="ES175" t="e">
        <f>AND(Bills!V718,"AAAAAD/zdZQ=")</f>
        <v>#VALUE!</v>
      </c>
      <c r="ET175" t="e">
        <f>AND(Bills!W718,"AAAAAD/zdZU=")</f>
        <v>#VALUE!</v>
      </c>
      <c r="EU175" t="e">
        <f>AND(Bills!#REF!,"AAAAAD/zdZY=")</f>
        <v>#REF!</v>
      </c>
      <c r="EV175" t="e">
        <f>AND(Bills!#REF!,"AAAAAD/zdZc=")</f>
        <v>#REF!</v>
      </c>
      <c r="EW175" t="e">
        <f>AND(Bills!Y718,"AAAAAD/zdZg=")</f>
        <v>#VALUE!</v>
      </c>
      <c r="EX175" t="e">
        <f>AND(Bills!Z718,"AAAAAD/zdZk=")</f>
        <v>#VALUE!</v>
      </c>
      <c r="EY175" t="e">
        <f>AND(Bills!#REF!,"AAAAAD/zdZo=")</f>
        <v>#REF!</v>
      </c>
      <c r="EZ175" t="e">
        <f>AND(Bills!#REF!,"AAAAAD/zdZs=")</f>
        <v>#REF!</v>
      </c>
      <c r="FA175" t="e">
        <f>AND(Bills!#REF!,"AAAAAD/zdZw=")</f>
        <v>#REF!</v>
      </c>
      <c r="FB175" t="e">
        <f>AND(Bills!#REF!,"AAAAAD/zdZ0=")</f>
        <v>#REF!</v>
      </c>
      <c r="FC175" t="e">
        <f>AND(Bills!#REF!,"AAAAAD/zdZ4=")</f>
        <v>#REF!</v>
      </c>
      <c r="FD175" t="e">
        <f>AND(Bills!#REF!,"AAAAAD/zdZ8=")</f>
        <v>#REF!</v>
      </c>
      <c r="FE175" t="e">
        <f>AND(Bills!#REF!,"AAAAAD/zdaA=")</f>
        <v>#REF!</v>
      </c>
      <c r="FF175" t="e">
        <f>AND(Bills!#REF!,"AAAAAD/zdaE=")</f>
        <v>#REF!</v>
      </c>
      <c r="FG175" t="e">
        <f>AND(Bills!#REF!,"AAAAAD/zdaI=")</f>
        <v>#REF!</v>
      </c>
      <c r="FH175" t="e">
        <f>AND(Bills!AA718,"AAAAAD/zdaM=")</f>
        <v>#VALUE!</v>
      </c>
      <c r="FI175" t="e">
        <f>AND(Bills!AB718,"AAAAAD/zdaQ=")</f>
        <v>#VALUE!</v>
      </c>
      <c r="FJ175" t="e">
        <f>AND(Bills!#REF!,"AAAAAD/zdaU=")</f>
        <v>#REF!</v>
      </c>
      <c r="FK175" t="e">
        <f>AND(Bills!#REF!,"AAAAAD/zdaY=")</f>
        <v>#REF!</v>
      </c>
      <c r="FL175" t="e">
        <f>AND(Bills!#REF!,"AAAAAD/zdac=")</f>
        <v>#REF!</v>
      </c>
      <c r="FM175" t="e">
        <f>AND(Bills!AC718,"AAAAAD/zdag=")</f>
        <v>#VALUE!</v>
      </c>
      <c r="FN175" t="e">
        <f>AND(Bills!AD718,"AAAAAD/zdak=")</f>
        <v>#VALUE!</v>
      </c>
      <c r="FO175" t="e">
        <f>AND(Bills!AE718,"AAAAAD/zdao=")</f>
        <v>#VALUE!</v>
      </c>
      <c r="FP175">
        <f>IF(Bills!719:719,"AAAAAD/zdas=",0)</f>
        <v>0</v>
      </c>
      <c r="FQ175" t="e">
        <f>AND(Bills!B719,"AAAAAD/zdaw=")</f>
        <v>#VALUE!</v>
      </c>
      <c r="FR175" t="e">
        <f>AND(Bills!#REF!,"AAAAAD/zda0=")</f>
        <v>#REF!</v>
      </c>
      <c r="FS175" t="e">
        <f>AND(Bills!C719,"AAAAAD/zda4=")</f>
        <v>#VALUE!</v>
      </c>
      <c r="FT175" t="e">
        <f>AND(Bills!D719,"AAAAAD/zda8=")</f>
        <v>#VALUE!</v>
      </c>
      <c r="FU175" t="e">
        <f>AND(Bills!E719,"AAAAAD/zdbA=")</f>
        <v>#VALUE!</v>
      </c>
      <c r="FV175" t="e">
        <f>AND(Bills!#REF!,"AAAAAD/zdbE=")</f>
        <v>#REF!</v>
      </c>
      <c r="FW175" t="e">
        <f>AND(Bills!#REF!,"AAAAAD/zdbI=")</f>
        <v>#REF!</v>
      </c>
      <c r="FX175" t="e">
        <f>AND(Bills!#REF!,"AAAAAD/zdbM=")</f>
        <v>#REF!</v>
      </c>
      <c r="FY175" t="e">
        <f>AND(Bills!F719,"AAAAAD/zdbQ=")</f>
        <v>#VALUE!</v>
      </c>
      <c r="FZ175" t="e">
        <f>AND(Bills!#REF!,"AAAAAD/zdbU=")</f>
        <v>#REF!</v>
      </c>
      <c r="GA175" t="e">
        <f>AND(Bills!G719,"AAAAAD/zdbY=")</f>
        <v>#VALUE!</v>
      </c>
      <c r="GB175" t="e">
        <f>AND(Bills!H719,"AAAAAD/zdbc=")</f>
        <v>#VALUE!</v>
      </c>
      <c r="GC175" t="e">
        <f>AND(Bills!I719,"AAAAAD/zdbg=")</f>
        <v>#VALUE!</v>
      </c>
      <c r="GD175" t="e">
        <f>AND(Bills!J719,"AAAAAD/zdbk=")</f>
        <v>#VALUE!</v>
      </c>
      <c r="GE175" t="e">
        <f>AND(Bills!K719,"AAAAAD/zdbo=")</f>
        <v>#VALUE!</v>
      </c>
      <c r="GF175" t="e">
        <f>AND(Bills!L719,"AAAAAD/zdbs=")</f>
        <v>#VALUE!</v>
      </c>
      <c r="GG175" t="e">
        <f>AND(Bills!#REF!,"AAAAAD/zdbw=")</f>
        <v>#REF!</v>
      </c>
      <c r="GH175" t="e">
        <f>AND(Bills!M719,"AAAAAD/zdb0=")</f>
        <v>#VALUE!</v>
      </c>
      <c r="GI175" t="e">
        <f>AND(Bills!N719,"AAAAAD/zdb4=")</f>
        <v>#VALUE!</v>
      </c>
      <c r="GJ175" t="e">
        <f>AND(Bills!O719,"AAAAAD/zdb8=")</f>
        <v>#VALUE!</v>
      </c>
      <c r="GK175" t="e">
        <f>AND(Bills!P719,"AAAAAD/zdcA=")</f>
        <v>#VALUE!</v>
      </c>
      <c r="GL175" t="e">
        <f>AND(Bills!Q719,"AAAAAD/zdcE=")</f>
        <v>#VALUE!</v>
      </c>
      <c r="GM175" t="e">
        <f>AND(Bills!R719,"AAAAAD/zdcI=")</f>
        <v>#VALUE!</v>
      </c>
      <c r="GN175" t="e">
        <f>AND(Bills!S719,"AAAAAD/zdcM=")</f>
        <v>#VALUE!</v>
      </c>
      <c r="GO175" t="e">
        <f>AND(Bills!T719,"AAAAAD/zdcQ=")</f>
        <v>#VALUE!</v>
      </c>
      <c r="GP175" t="e">
        <f>AND(Bills!#REF!,"AAAAAD/zdcU=")</f>
        <v>#REF!</v>
      </c>
      <c r="GQ175" t="e">
        <f>AND(Bills!U719,"AAAAAD/zdcY=")</f>
        <v>#VALUE!</v>
      </c>
      <c r="GR175" t="e">
        <f>AND(Bills!V719,"AAAAAD/zdcc=")</f>
        <v>#VALUE!</v>
      </c>
      <c r="GS175" t="e">
        <f>AND(Bills!W719,"AAAAAD/zdcg=")</f>
        <v>#VALUE!</v>
      </c>
      <c r="GT175" t="e">
        <f>AND(Bills!#REF!,"AAAAAD/zdck=")</f>
        <v>#REF!</v>
      </c>
      <c r="GU175" t="e">
        <f>AND(Bills!#REF!,"AAAAAD/zdco=")</f>
        <v>#REF!</v>
      </c>
      <c r="GV175" t="e">
        <f>AND(Bills!Y719,"AAAAAD/zdcs=")</f>
        <v>#VALUE!</v>
      </c>
      <c r="GW175" t="e">
        <f>AND(Bills!Z719,"AAAAAD/zdcw=")</f>
        <v>#VALUE!</v>
      </c>
      <c r="GX175" t="e">
        <f>AND(Bills!#REF!,"AAAAAD/zdc0=")</f>
        <v>#REF!</v>
      </c>
      <c r="GY175" t="e">
        <f>AND(Bills!#REF!,"AAAAAD/zdc4=")</f>
        <v>#REF!</v>
      </c>
      <c r="GZ175" t="e">
        <f>AND(Bills!#REF!,"AAAAAD/zdc8=")</f>
        <v>#REF!</v>
      </c>
      <c r="HA175" t="e">
        <f>AND(Bills!#REF!,"AAAAAD/zddA=")</f>
        <v>#REF!</v>
      </c>
      <c r="HB175" t="e">
        <f>AND(Bills!#REF!,"AAAAAD/zddE=")</f>
        <v>#REF!</v>
      </c>
      <c r="HC175" t="e">
        <f>AND(Bills!#REF!,"AAAAAD/zddI=")</f>
        <v>#REF!</v>
      </c>
      <c r="HD175" t="e">
        <f>AND(Bills!#REF!,"AAAAAD/zddM=")</f>
        <v>#REF!</v>
      </c>
      <c r="HE175" t="e">
        <f>AND(Bills!#REF!,"AAAAAD/zddQ=")</f>
        <v>#REF!</v>
      </c>
      <c r="HF175" t="e">
        <f>AND(Bills!#REF!,"AAAAAD/zddU=")</f>
        <v>#REF!</v>
      </c>
      <c r="HG175" t="e">
        <f>AND(Bills!AA719,"AAAAAD/zddY=")</f>
        <v>#VALUE!</v>
      </c>
      <c r="HH175" t="e">
        <f>AND(Bills!AB719,"AAAAAD/zddc=")</f>
        <v>#VALUE!</v>
      </c>
      <c r="HI175" t="e">
        <f>AND(Bills!#REF!,"AAAAAD/zddg=")</f>
        <v>#REF!</v>
      </c>
      <c r="HJ175" t="e">
        <f>AND(Bills!#REF!,"AAAAAD/zddk=")</f>
        <v>#REF!</v>
      </c>
      <c r="HK175" t="e">
        <f>AND(Bills!#REF!,"AAAAAD/zddo=")</f>
        <v>#REF!</v>
      </c>
      <c r="HL175" t="e">
        <f>AND(Bills!AC719,"AAAAAD/zdds=")</f>
        <v>#VALUE!</v>
      </c>
      <c r="HM175" t="e">
        <f>AND(Bills!AD719,"AAAAAD/zddw=")</f>
        <v>#VALUE!</v>
      </c>
      <c r="HN175" t="e">
        <f>AND(Bills!AE719,"AAAAAD/zdd0=")</f>
        <v>#VALUE!</v>
      </c>
      <c r="HO175">
        <f>IF(Bills!720:720,"AAAAAD/zdd4=",0)</f>
        <v>0</v>
      </c>
      <c r="HP175" t="e">
        <f>AND(Bills!B720,"AAAAAD/zdd8=")</f>
        <v>#VALUE!</v>
      </c>
      <c r="HQ175" t="e">
        <f>AND(Bills!#REF!,"AAAAAD/zdeA=")</f>
        <v>#REF!</v>
      </c>
      <c r="HR175" t="e">
        <f>AND(Bills!C720,"AAAAAD/zdeE=")</f>
        <v>#VALUE!</v>
      </c>
      <c r="HS175" t="e">
        <f>AND(Bills!D720,"AAAAAD/zdeI=")</f>
        <v>#VALUE!</v>
      </c>
      <c r="HT175" t="e">
        <f>AND(Bills!E720,"AAAAAD/zdeM=")</f>
        <v>#VALUE!</v>
      </c>
      <c r="HU175" t="e">
        <f>AND(Bills!#REF!,"AAAAAD/zdeQ=")</f>
        <v>#REF!</v>
      </c>
      <c r="HV175" t="e">
        <f>AND(Bills!#REF!,"AAAAAD/zdeU=")</f>
        <v>#REF!</v>
      </c>
      <c r="HW175" t="e">
        <f>AND(Bills!#REF!,"AAAAAD/zdeY=")</f>
        <v>#REF!</v>
      </c>
      <c r="HX175" t="e">
        <f>AND(Bills!F720,"AAAAAD/zdec=")</f>
        <v>#VALUE!</v>
      </c>
      <c r="HY175" t="e">
        <f>AND(Bills!#REF!,"AAAAAD/zdeg=")</f>
        <v>#REF!</v>
      </c>
      <c r="HZ175" t="e">
        <f>AND(Bills!G720,"AAAAAD/zdek=")</f>
        <v>#VALUE!</v>
      </c>
      <c r="IA175" t="e">
        <f>AND(Bills!H720,"AAAAAD/zdeo=")</f>
        <v>#VALUE!</v>
      </c>
      <c r="IB175" t="e">
        <f>AND(Bills!I720,"AAAAAD/zdes=")</f>
        <v>#VALUE!</v>
      </c>
      <c r="IC175" t="e">
        <f>AND(Bills!J720,"AAAAAD/zdew=")</f>
        <v>#VALUE!</v>
      </c>
      <c r="ID175" t="e">
        <f>AND(Bills!K720,"AAAAAD/zde0=")</f>
        <v>#VALUE!</v>
      </c>
      <c r="IE175" t="e">
        <f>AND(Bills!L720,"AAAAAD/zde4=")</f>
        <v>#VALUE!</v>
      </c>
      <c r="IF175" t="e">
        <f>AND(Bills!#REF!,"AAAAAD/zde8=")</f>
        <v>#REF!</v>
      </c>
      <c r="IG175" t="e">
        <f>AND(Bills!M720,"AAAAAD/zdfA=")</f>
        <v>#VALUE!</v>
      </c>
      <c r="IH175" t="e">
        <f>AND(Bills!N720,"AAAAAD/zdfE=")</f>
        <v>#VALUE!</v>
      </c>
      <c r="II175" t="e">
        <f>AND(Bills!O720,"AAAAAD/zdfI=")</f>
        <v>#VALUE!</v>
      </c>
      <c r="IJ175" t="e">
        <f>AND(Bills!P720,"AAAAAD/zdfM=")</f>
        <v>#VALUE!</v>
      </c>
      <c r="IK175" t="e">
        <f>AND(Bills!Q720,"AAAAAD/zdfQ=")</f>
        <v>#VALUE!</v>
      </c>
      <c r="IL175" t="e">
        <f>AND(Bills!R720,"AAAAAD/zdfU=")</f>
        <v>#VALUE!</v>
      </c>
      <c r="IM175" t="e">
        <f>AND(Bills!S720,"AAAAAD/zdfY=")</f>
        <v>#VALUE!</v>
      </c>
      <c r="IN175" t="e">
        <f>AND(Bills!T720,"AAAAAD/zdfc=")</f>
        <v>#VALUE!</v>
      </c>
      <c r="IO175" t="e">
        <f>AND(Bills!#REF!,"AAAAAD/zdfg=")</f>
        <v>#REF!</v>
      </c>
      <c r="IP175" t="e">
        <f>AND(Bills!U720,"AAAAAD/zdfk=")</f>
        <v>#VALUE!</v>
      </c>
      <c r="IQ175" t="e">
        <f>AND(Bills!V720,"AAAAAD/zdfo=")</f>
        <v>#VALUE!</v>
      </c>
      <c r="IR175" t="e">
        <f>AND(Bills!W720,"AAAAAD/zdfs=")</f>
        <v>#VALUE!</v>
      </c>
      <c r="IS175" t="e">
        <f>AND(Bills!#REF!,"AAAAAD/zdfw=")</f>
        <v>#REF!</v>
      </c>
      <c r="IT175" t="e">
        <f>AND(Bills!#REF!,"AAAAAD/zdf0=")</f>
        <v>#REF!</v>
      </c>
      <c r="IU175" t="e">
        <f>AND(Bills!Y720,"AAAAAD/zdf4=")</f>
        <v>#VALUE!</v>
      </c>
      <c r="IV175" t="e">
        <f>AND(Bills!Z720,"AAAAAD/zdf8=")</f>
        <v>#VALUE!</v>
      </c>
    </row>
    <row r="176" spans="1:256" x14ac:dyDescent="0.25">
      <c r="A176" t="e">
        <f>AND(Bills!#REF!,"AAAAAD9/8wA=")</f>
        <v>#REF!</v>
      </c>
      <c r="B176" t="e">
        <f>AND(Bills!#REF!,"AAAAAD9/8wE=")</f>
        <v>#REF!</v>
      </c>
      <c r="C176" t="e">
        <f>AND(Bills!#REF!,"AAAAAD9/8wI=")</f>
        <v>#REF!</v>
      </c>
      <c r="D176" t="e">
        <f>AND(Bills!#REF!,"AAAAAD9/8wM=")</f>
        <v>#REF!</v>
      </c>
      <c r="E176" t="e">
        <f>AND(Bills!#REF!,"AAAAAD9/8wQ=")</f>
        <v>#REF!</v>
      </c>
      <c r="F176" t="e">
        <f>AND(Bills!#REF!,"AAAAAD9/8wU=")</f>
        <v>#REF!</v>
      </c>
      <c r="G176" t="e">
        <f>AND(Bills!#REF!,"AAAAAD9/8wY=")</f>
        <v>#REF!</v>
      </c>
      <c r="H176" t="e">
        <f>AND(Bills!#REF!,"AAAAAD9/8wc=")</f>
        <v>#REF!</v>
      </c>
      <c r="I176" t="e">
        <f>AND(Bills!#REF!,"AAAAAD9/8wg=")</f>
        <v>#REF!</v>
      </c>
      <c r="J176" t="e">
        <f>AND(Bills!AA720,"AAAAAD9/8wk=")</f>
        <v>#VALUE!</v>
      </c>
      <c r="K176" t="e">
        <f>AND(Bills!AB720,"AAAAAD9/8wo=")</f>
        <v>#VALUE!</v>
      </c>
      <c r="L176" t="e">
        <f>AND(Bills!#REF!,"AAAAAD9/8ws=")</f>
        <v>#REF!</v>
      </c>
      <c r="M176" t="e">
        <f>AND(Bills!#REF!,"AAAAAD9/8ww=")</f>
        <v>#REF!</v>
      </c>
      <c r="N176" t="e">
        <f>AND(Bills!#REF!,"AAAAAD9/8w0=")</f>
        <v>#REF!</v>
      </c>
      <c r="O176" t="e">
        <f>AND(Bills!AC720,"AAAAAD9/8w4=")</f>
        <v>#VALUE!</v>
      </c>
      <c r="P176" t="e">
        <f>AND(Bills!AD720,"AAAAAD9/8w8=")</f>
        <v>#VALUE!</v>
      </c>
      <c r="Q176" t="e">
        <f>AND(Bills!AE720,"AAAAAD9/8xA=")</f>
        <v>#VALUE!</v>
      </c>
      <c r="R176">
        <f>IF(Bills!721:721,"AAAAAD9/8xE=",0)</f>
        <v>0</v>
      </c>
      <c r="S176" t="e">
        <f>AND(Bills!B721,"AAAAAD9/8xI=")</f>
        <v>#VALUE!</v>
      </c>
      <c r="T176" t="e">
        <f>AND(Bills!#REF!,"AAAAAD9/8xM=")</f>
        <v>#REF!</v>
      </c>
      <c r="U176" t="e">
        <f>AND(Bills!C721,"AAAAAD9/8xQ=")</f>
        <v>#VALUE!</v>
      </c>
      <c r="V176" t="e">
        <f>AND(Bills!D721,"AAAAAD9/8xU=")</f>
        <v>#VALUE!</v>
      </c>
      <c r="W176" t="e">
        <f>AND(Bills!E721,"AAAAAD9/8xY=")</f>
        <v>#VALUE!</v>
      </c>
      <c r="X176" t="e">
        <f>AND(Bills!#REF!,"AAAAAD9/8xc=")</f>
        <v>#REF!</v>
      </c>
      <c r="Y176" t="e">
        <f>AND(Bills!#REF!,"AAAAAD9/8xg=")</f>
        <v>#REF!</v>
      </c>
      <c r="Z176" t="e">
        <f>AND(Bills!#REF!,"AAAAAD9/8xk=")</f>
        <v>#REF!</v>
      </c>
      <c r="AA176" t="e">
        <f>AND(Bills!F721,"AAAAAD9/8xo=")</f>
        <v>#VALUE!</v>
      </c>
      <c r="AB176" t="e">
        <f>AND(Bills!#REF!,"AAAAAD9/8xs=")</f>
        <v>#REF!</v>
      </c>
      <c r="AC176" t="e">
        <f>AND(Bills!G721,"AAAAAD9/8xw=")</f>
        <v>#VALUE!</v>
      </c>
      <c r="AD176" t="e">
        <f>AND(Bills!H721,"AAAAAD9/8x0=")</f>
        <v>#VALUE!</v>
      </c>
      <c r="AE176" t="e">
        <f>AND(Bills!I721,"AAAAAD9/8x4=")</f>
        <v>#VALUE!</v>
      </c>
      <c r="AF176" t="e">
        <f>AND(Bills!J721,"AAAAAD9/8x8=")</f>
        <v>#VALUE!</v>
      </c>
      <c r="AG176" t="e">
        <f>AND(Bills!K721,"AAAAAD9/8yA=")</f>
        <v>#VALUE!</v>
      </c>
      <c r="AH176" t="e">
        <f>AND(Bills!L721,"AAAAAD9/8yE=")</f>
        <v>#VALUE!</v>
      </c>
      <c r="AI176" t="e">
        <f>AND(Bills!#REF!,"AAAAAD9/8yI=")</f>
        <v>#REF!</v>
      </c>
      <c r="AJ176" t="e">
        <f>AND(Bills!M721,"AAAAAD9/8yM=")</f>
        <v>#VALUE!</v>
      </c>
      <c r="AK176" t="e">
        <f>AND(Bills!N721,"AAAAAD9/8yQ=")</f>
        <v>#VALUE!</v>
      </c>
      <c r="AL176" t="e">
        <f>AND(Bills!O721,"AAAAAD9/8yU=")</f>
        <v>#VALUE!</v>
      </c>
      <c r="AM176" t="e">
        <f>AND(Bills!P721,"AAAAAD9/8yY=")</f>
        <v>#VALUE!</v>
      </c>
      <c r="AN176" t="e">
        <f>AND(Bills!Q721,"AAAAAD9/8yc=")</f>
        <v>#VALUE!</v>
      </c>
      <c r="AO176" t="e">
        <f>AND(Bills!R721,"AAAAAD9/8yg=")</f>
        <v>#VALUE!</v>
      </c>
      <c r="AP176" t="e">
        <f>AND(Bills!S721,"AAAAAD9/8yk=")</f>
        <v>#VALUE!</v>
      </c>
      <c r="AQ176" t="e">
        <f>AND(Bills!T721,"AAAAAD9/8yo=")</f>
        <v>#VALUE!</v>
      </c>
      <c r="AR176" t="e">
        <f>AND(Bills!#REF!,"AAAAAD9/8ys=")</f>
        <v>#REF!</v>
      </c>
      <c r="AS176" t="e">
        <f>AND(Bills!U721,"AAAAAD9/8yw=")</f>
        <v>#VALUE!</v>
      </c>
      <c r="AT176" t="e">
        <f>AND(Bills!V721,"AAAAAD9/8y0=")</f>
        <v>#VALUE!</v>
      </c>
      <c r="AU176" t="e">
        <f>AND(Bills!W721,"AAAAAD9/8y4=")</f>
        <v>#VALUE!</v>
      </c>
      <c r="AV176" t="e">
        <f>AND(Bills!#REF!,"AAAAAD9/8y8=")</f>
        <v>#REF!</v>
      </c>
      <c r="AW176" t="e">
        <f>AND(Bills!#REF!,"AAAAAD9/8zA=")</f>
        <v>#REF!</v>
      </c>
      <c r="AX176" t="e">
        <f>AND(Bills!Y721,"AAAAAD9/8zE=")</f>
        <v>#VALUE!</v>
      </c>
      <c r="AY176" t="e">
        <f>AND(Bills!Z721,"AAAAAD9/8zI=")</f>
        <v>#VALUE!</v>
      </c>
      <c r="AZ176" t="e">
        <f>AND(Bills!#REF!,"AAAAAD9/8zM=")</f>
        <v>#REF!</v>
      </c>
      <c r="BA176" t="e">
        <f>AND(Bills!#REF!,"AAAAAD9/8zQ=")</f>
        <v>#REF!</v>
      </c>
      <c r="BB176" t="e">
        <f>AND(Bills!#REF!,"AAAAAD9/8zU=")</f>
        <v>#REF!</v>
      </c>
      <c r="BC176" t="e">
        <f>AND(Bills!#REF!,"AAAAAD9/8zY=")</f>
        <v>#REF!</v>
      </c>
      <c r="BD176" t="e">
        <f>AND(Bills!#REF!,"AAAAAD9/8zc=")</f>
        <v>#REF!</v>
      </c>
      <c r="BE176" t="e">
        <f>AND(Bills!#REF!,"AAAAAD9/8zg=")</f>
        <v>#REF!</v>
      </c>
      <c r="BF176" t="e">
        <f>AND(Bills!#REF!,"AAAAAD9/8zk=")</f>
        <v>#REF!</v>
      </c>
      <c r="BG176" t="e">
        <f>AND(Bills!#REF!,"AAAAAD9/8zo=")</f>
        <v>#REF!</v>
      </c>
      <c r="BH176" t="e">
        <f>AND(Bills!#REF!,"AAAAAD9/8zs=")</f>
        <v>#REF!</v>
      </c>
      <c r="BI176" t="e">
        <f>AND(Bills!AA721,"AAAAAD9/8zw=")</f>
        <v>#VALUE!</v>
      </c>
      <c r="BJ176" t="e">
        <f>AND(Bills!AB721,"AAAAAD9/8z0=")</f>
        <v>#VALUE!</v>
      </c>
      <c r="BK176" t="e">
        <f>AND(Bills!#REF!,"AAAAAD9/8z4=")</f>
        <v>#REF!</v>
      </c>
      <c r="BL176" t="e">
        <f>AND(Bills!#REF!,"AAAAAD9/8z8=")</f>
        <v>#REF!</v>
      </c>
      <c r="BM176" t="e">
        <f>AND(Bills!#REF!,"AAAAAD9/80A=")</f>
        <v>#REF!</v>
      </c>
      <c r="BN176" t="e">
        <f>AND(Bills!AC721,"AAAAAD9/80E=")</f>
        <v>#VALUE!</v>
      </c>
      <c r="BO176" t="e">
        <f>AND(Bills!AD721,"AAAAAD9/80I=")</f>
        <v>#VALUE!</v>
      </c>
      <c r="BP176" t="e">
        <f>AND(Bills!AE721,"AAAAAD9/80M=")</f>
        <v>#VALUE!</v>
      </c>
      <c r="BQ176">
        <f>IF(Bills!722:722,"AAAAAD9/80Q=",0)</f>
        <v>0</v>
      </c>
      <c r="BR176" t="e">
        <f>AND(Bills!B722,"AAAAAD9/80U=")</f>
        <v>#VALUE!</v>
      </c>
      <c r="BS176" t="e">
        <f>AND(Bills!#REF!,"AAAAAD9/80Y=")</f>
        <v>#REF!</v>
      </c>
      <c r="BT176" t="e">
        <f>AND(Bills!C722,"AAAAAD9/80c=")</f>
        <v>#VALUE!</v>
      </c>
      <c r="BU176" t="e">
        <f>AND(Bills!D722,"AAAAAD9/80g=")</f>
        <v>#VALUE!</v>
      </c>
      <c r="BV176" t="e">
        <f>AND(Bills!E722,"AAAAAD9/80k=")</f>
        <v>#VALUE!</v>
      </c>
      <c r="BW176" t="e">
        <f>AND(Bills!#REF!,"AAAAAD9/80o=")</f>
        <v>#REF!</v>
      </c>
      <c r="BX176" t="e">
        <f>AND(Bills!#REF!,"AAAAAD9/80s=")</f>
        <v>#REF!</v>
      </c>
      <c r="BY176" t="e">
        <f>AND(Bills!#REF!,"AAAAAD9/80w=")</f>
        <v>#REF!</v>
      </c>
      <c r="BZ176" t="e">
        <f>AND(Bills!F722,"AAAAAD9/800=")</f>
        <v>#VALUE!</v>
      </c>
      <c r="CA176" t="e">
        <f>AND(Bills!#REF!,"AAAAAD9/804=")</f>
        <v>#REF!</v>
      </c>
      <c r="CB176" t="e">
        <f>AND(Bills!G722,"AAAAAD9/808=")</f>
        <v>#VALUE!</v>
      </c>
      <c r="CC176" t="e">
        <f>AND(Bills!H722,"AAAAAD9/81A=")</f>
        <v>#VALUE!</v>
      </c>
      <c r="CD176" t="e">
        <f>AND(Bills!I722,"AAAAAD9/81E=")</f>
        <v>#VALUE!</v>
      </c>
      <c r="CE176" t="e">
        <f>AND(Bills!J722,"AAAAAD9/81I=")</f>
        <v>#VALUE!</v>
      </c>
      <c r="CF176" t="e">
        <f>AND(Bills!K722,"AAAAAD9/81M=")</f>
        <v>#VALUE!</v>
      </c>
      <c r="CG176" t="e">
        <f>AND(Bills!L722,"AAAAAD9/81Q=")</f>
        <v>#VALUE!</v>
      </c>
      <c r="CH176" t="e">
        <f>AND(Bills!#REF!,"AAAAAD9/81U=")</f>
        <v>#REF!</v>
      </c>
      <c r="CI176" t="e">
        <f>AND(Bills!M722,"AAAAAD9/81Y=")</f>
        <v>#VALUE!</v>
      </c>
      <c r="CJ176" t="e">
        <f>AND(Bills!N722,"AAAAAD9/81c=")</f>
        <v>#VALUE!</v>
      </c>
      <c r="CK176" t="e">
        <f>AND(Bills!O722,"AAAAAD9/81g=")</f>
        <v>#VALUE!</v>
      </c>
      <c r="CL176" t="e">
        <f>AND(Bills!P722,"AAAAAD9/81k=")</f>
        <v>#VALUE!</v>
      </c>
      <c r="CM176" t="e">
        <f>AND(Bills!Q722,"AAAAAD9/81o=")</f>
        <v>#VALUE!</v>
      </c>
      <c r="CN176" t="e">
        <f>AND(Bills!R722,"AAAAAD9/81s=")</f>
        <v>#VALUE!</v>
      </c>
      <c r="CO176" t="e">
        <f>AND(Bills!S722,"AAAAAD9/81w=")</f>
        <v>#VALUE!</v>
      </c>
      <c r="CP176" t="e">
        <f>AND(Bills!T722,"AAAAAD9/810=")</f>
        <v>#VALUE!</v>
      </c>
      <c r="CQ176" t="e">
        <f>AND(Bills!#REF!,"AAAAAD9/814=")</f>
        <v>#REF!</v>
      </c>
      <c r="CR176" t="e">
        <f>AND(Bills!U722,"AAAAAD9/818=")</f>
        <v>#VALUE!</v>
      </c>
      <c r="CS176" t="e">
        <f>AND(Bills!V722,"AAAAAD9/82A=")</f>
        <v>#VALUE!</v>
      </c>
      <c r="CT176" t="e">
        <f>AND(Bills!W722,"AAAAAD9/82E=")</f>
        <v>#VALUE!</v>
      </c>
      <c r="CU176" t="e">
        <f>AND(Bills!#REF!,"AAAAAD9/82I=")</f>
        <v>#REF!</v>
      </c>
      <c r="CV176" t="e">
        <f>AND(Bills!#REF!,"AAAAAD9/82M=")</f>
        <v>#REF!</v>
      </c>
      <c r="CW176" t="e">
        <f>AND(Bills!Y722,"AAAAAD9/82Q=")</f>
        <v>#VALUE!</v>
      </c>
      <c r="CX176" t="e">
        <f>AND(Bills!Z722,"AAAAAD9/82U=")</f>
        <v>#VALUE!</v>
      </c>
      <c r="CY176" t="e">
        <f>AND(Bills!#REF!,"AAAAAD9/82Y=")</f>
        <v>#REF!</v>
      </c>
      <c r="CZ176" t="e">
        <f>AND(Bills!#REF!,"AAAAAD9/82c=")</f>
        <v>#REF!</v>
      </c>
      <c r="DA176" t="e">
        <f>AND(Bills!#REF!,"AAAAAD9/82g=")</f>
        <v>#REF!</v>
      </c>
      <c r="DB176" t="e">
        <f>AND(Bills!#REF!,"AAAAAD9/82k=")</f>
        <v>#REF!</v>
      </c>
      <c r="DC176" t="e">
        <f>AND(Bills!#REF!,"AAAAAD9/82o=")</f>
        <v>#REF!</v>
      </c>
      <c r="DD176" t="e">
        <f>AND(Bills!#REF!,"AAAAAD9/82s=")</f>
        <v>#REF!</v>
      </c>
      <c r="DE176" t="e">
        <f>AND(Bills!#REF!,"AAAAAD9/82w=")</f>
        <v>#REF!</v>
      </c>
      <c r="DF176" t="e">
        <f>AND(Bills!#REF!,"AAAAAD9/820=")</f>
        <v>#REF!</v>
      </c>
      <c r="DG176" t="e">
        <f>AND(Bills!#REF!,"AAAAAD9/824=")</f>
        <v>#REF!</v>
      </c>
      <c r="DH176" t="e">
        <f>AND(Bills!AA722,"AAAAAD9/828=")</f>
        <v>#VALUE!</v>
      </c>
      <c r="DI176" t="e">
        <f>AND(Bills!AB722,"AAAAAD9/83A=")</f>
        <v>#VALUE!</v>
      </c>
      <c r="DJ176" t="e">
        <f>AND(Bills!#REF!,"AAAAAD9/83E=")</f>
        <v>#REF!</v>
      </c>
      <c r="DK176" t="e">
        <f>AND(Bills!#REF!,"AAAAAD9/83I=")</f>
        <v>#REF!</v>
      </c>
      <c r="DL176" t="e">
        <f>AND(Bills!#REF!,"AAAAAD9/83M=")</f>
        <v>#REF!</v>
      </c>
      <c r="DM176" t="e">
        <f>AND(Bills!AC722,"AAAAAD9/83Q=")</f>
        <v>#VALUE!</v>
      </c>
      <c r="DN176" t="e">
        <f>AND(Bills!AD722,"AAAAAD9/83U=")</f>
        <v>#VALUE!</v>
      </c>
      <c r="DO176" t="e">
        <f>AND(Bills!AE722,"AAAAAD9/83Y=")</f>
        <v>#VALUE!</v>
      </c>
      <c r="DP176">
        <f>IF(Bills!723:723,"AAAAAD9/83c=",0)</f>
        <v>0</v>
      </c>
      <c r="DQ176" t="e">
        <f>AND(Bills!B723,"AAAAAD9/83g=")</f>
        <v>#VALUE!</v>
      </c>
      <c r="DR176" t="e">
        <f>AND(Bills!#REF!,"AAAAAD9/83k=")</f>
        <v>#REF!</v>
      </c>
      <c r="DS176" t="e">
        <f>AND(Bills!C723,"AAAAAD9/83o=")</f>
        <v>#VALUE!</v>
      </c>
      <c r="DT176" t="e">
        <f>AND(Bills!D723,"AAAAAD9/83s=")</f>
        <v>#VALUE!</v>
      </c>
      <c r="DU176" t="e">
        <f>AND(Bills!E723,"AAAAAD9/83w=")</f>
        <v>#VALUE!</v>
      </c>
      <c r="DV176" t="e">
        <f>AND(Bills!#REF!,"AAAAAD9/830=")</f>
        <v>#REF!</v>
      </c>
      <c r="DW176" t="e">
        <f>AND(Bills!#REF!,"AAAAAD9/834=")</f>
        <v>#REF!</v>
      </c>
      <c r="DX176" t="e">
        <f>AND(Bills!#REF!,"AAAAAD9/838=")</f>
        <v>#REF!</v>
      </c>
      <c r="DY176" t="e">
        <f>AND(Bills!F723,"AAAAAD9/84A=")</f>
        <v>#VALUE!</v>
      </c>
      <c r="DZ176" t="e">
        <f>AND(Bills!#REF!,"AAAAAD9/84E=")</f>
        <v>#REF!</v>
      </c>
      <c r="EA176" t="e">
        <f>AND(Bills!G723,"AAAAAD9/84I=")</f>
        <v>#VALUE!</v>
      </c>
      <c r="EB176" t="e">
        <f>AND(Bills!H723,"AAAAAD9/84M=")</f>
        <v>#VALUE!</v>
      </c>
      <c r="EC176" t="e">
        <f>AND(Bills!I723,"AAAAAD9/84Q=")</f>
        <v>#VALUE!</v>
      </c>
      <c r="ED176" t="e">
        <f>AND(Bills!J723,"AAAAAD9/84U=")</f>
        <v>#VALUE!</v>
      </c>
      <c r="EE176" t="e">
        <f>AND(Bills!K723,"AAAAAD9/84Y=")</f>
        <v>#VALUE!</v>
      </c>
      <c r="EF176" t="e">
        <f>AND(Bills!L723,"AAAAAD9/84c=")</f>
        <v>#VALUE!</v>
      </c>
      <c r="EG176" t="e">
        <f>AND(Bills!#REF!,"AAAAAD9/84g=")</f>
        <v>#REF!</v>
      </c>
      <c r="EH176" t="e">
        <f>AND(Bills!M723,"AAAAAD9/84k=")</f>
        <v>#VALUE!</v>
      </c>
      <c r="EI176" t="e">
        <f>AND(Bills!N723,"AAAAAD9/84o=")</f>
        <v>#VALUE!</v>
      </c>
      <c r="EJ176" t="e">
        <f>AND(Bills!O723,"AAAAAD9/84s=")</f>
        <v>#VALUE!</v>
      </c>
      <c r="EK176" t="e">
        <f>AND(Bills!P723,"AAAAAD9/84w=")</f>
        <v>#VALUE!</v>
      </c>
      <c r="EL176" t="e">
        <f>AND(Bills!Q723,"AAAAAD9/840=")</f>
        <v>#VALUE!</v>
      </c>
      <c r="EM176" t="e">
        <f>AND(Bills!R723,"AAAAAD9/844=")</f>
        <v>#VALUE!</v>
      </c>
      <c r="EN176" t="e">
        <f>AND(Bills!S723,"AAAAAD9/848=")</f>
        <v>#VALUE!</v>
      </c>
      <c r="EO176" t="e">
        <f>AND(Bills!T723,"AAAAAD9/85A=")</f>
        <v>#VALUE!</v>
      </c>
      <c r="EP176" t="e">
        <f>AND(Bills!#REF!,"AAAAAD9/85E=")</f>
        <v>#REF!</v>
      </c>
      <c r="EQ176" t="e">
        <f>AND(Bills!U723,"AAAAAD9/85I=")</f>
        <v>#VALUE!</v>
      </c>
      <c r="ER176" t="e">
        <f>AND(Bills!V723,"AAAAAD9/85M=")</f>
        <v>#VALUE!</v>
      </c>
      <c r="ES176" t="e">
        <f>AND(Bills!W723,"AAAAAD9/85Q=")</f>
        <v>#VALUE!</v>
      </c>
      <c r="ET176" t="e">
        <f>AND(Bills!#REF!,"AAAAAD9/85U=")</f>
        <v>#REF!</v>
      </c>
      <c r="EU176" t="e">
        <f>AND(Bills!#REF!,"AAAAAD9/85Y=")</f>
        <v>#REF!</v>
      </c>
      <c r="EV176" t="e">
        <f>AND(Bills!Y723,"AAAAAD9/85c=")</f>
        <v>#VALUE!</v>
      </c>
      <c r="EW176" t="e">
        <f>AND(Bills!Z723,"AAAAAD9/85g=")</f>
        <v>#VALUE!</v>
      </c>
      <c r="EX176" t="e">
        <f>AND(Bills!#REF!,"AAAAAD9/85k=")</f>
        <v>#REF!</v>
      </c>
      <c r="EY176" t="e">
        <f>AND(Bills!#REF!,"AAAAAD9/85o=")</f>
        <v>#REF!</v>
      </c>
      <c r="EZ176" t="e">
        <f>AND(Bills!#REF!,"AAAAAD9/85s=")</f>
        <v>#REF!</v>
      </c>
      <c r="FA176" t="e">
        <f>AND(Bills!#REF!,"AAAAAD9/85w=")</f>
        <v>#REF!</v>
      </c>
      <c r="FB176" t="e">
        <f>AND(Bills!#REF!,"AAAAAD9/850=")</f>
        <v>#REF!</v>
      </c>
      <c r="FC176" t="e">
        <f>AND(Bills!#REF!,"AAAAAD9/854=")</f>
        <v>#REF!</v>
      </c>
      <c r="FD176" t="e">
        <f>AND(Bills!#REF!,"AAAAAD9/858=")</f>
        <v>#REF!</v>
      </c>
      <c r="FE176" t="e">
        <f>AND(Bills!#REF!,"AAAAAD9/86A=")</f>
        <v>#REF!</v>
      </c>
      <c r="FF176" t="e">
        <f>AND(Bills!#REF!,"AAAAAD9/86E=")</f>
        <v>#REF!</v>
      </c>
      <c r="FG176" t="e">
        <f>AND(Bills!AA723,"AAAAAD9/86I=")</f>
        <v>#VALUE!</v>
      </c>
      <c r="FH176" t="e">
        <f>AND(Bills!AB723,"AAAAAD9/86M=")</f>
        <v>#VALUE!</v>
      </c>
      <c r="FI176" t="e">
        <f>AND(Bills!#REF!,"AAAAAD9/86Q=")</f>
        <v>#REF!</v>
      </c>
      <c r="FJ176" t="e">
        <f>AND(Bills!#REF!,"AAAAAD9/86U=")</f>
        <v>#REF!</v>
      </c>
      <c r="FK176" t="e">
        <f>AND(Bills!#REF!,"AAAAAD9/86Y=")</f>
        <v>#REF!</v>
      </c>
      <c r="FL176" t="e">
        <f>AND(Bills!AC723,"AAAAAD9/86c=")</f>
        <v>#VALUE!</v>
      </c>
      <c r="FM176" t="e">
        <f>AND(Bills!AD723,"AAAAAD9/86g=")</f>
        <v>#VALUE!</v>
      </c>
      <c r="FN176" t="e">
        <f>AND(Bills!AE723,"AAAAAD9/86k=")</f>
        <v>#VALUE!</v>
      </c>
      <c r="FO176">
        <f>IF(Bills!724:724,"AAAAAD9/86o=",0)</f>
        <v>0</v>
      </c>
      <c r="FP176" t="e">
        <f>AND(Bills!B724,"AAAAAD9/86s=")</f>
        <v>#VALUE!</v>
      </c>
      <c r="FQ176" t="e">
        <f>AND(Bills!#REF!,"AAAAAD9/86w=")</f>
        <v>#REF!</v>
      </c>
      <c r="FR176" t="e">
        <f>AND(Bills!C724,"AAAAAD9/860=")</f>
        <v>#VALUE!</v>
      </c>
      <c r="FS176" t="e">
        <f>AND(Bills!D724,"AAAAAD9/864=")</f>
        <v>#VALUE!</v>
      </c>
      <c r="FT176" t="e">
        <f>AND(Bills!E724,"AAAAAD9/868=")</f>
        <v>#VALUE!</v>
      </c>
      <c r="FU176" t="e">
        <f>AND(Bills!#REF!,"AAAAAD9/87A=")</f>
        <v>#REF!</v>
      </c>
      <c r="FV176" t="e">
        <f>AND(Bills!#REF!,"AAAAAD9/87E=")</f>
        <v>#REF!</v>
      </c>
      <c r="FW176" t="e">
        <f>AND(Bills!#REF!,"AAAAAD9/87I=")</f>
        <v>#REF!</v>
      </c>
      <c r="FX176" t="e">
        <f>AND(Bills!F724,"AAAAAD9/87M=")</f>
        <v>#VALUE!</v>
      </c>
      <c r="FY176" t="e">
        <f>AND(Bills!#REF!,"AAAAAD9/87Q=")</f>
        <v>#REF!</v>
      </c>
      <c r="FZ176" t="e">
        <f>AND(Bills!G724,"AAAAAD9/87U=")</f>
        <v>#VALUE!</v>
      </c>
      <c r="GA176" t="e">
        <f>AND(Bills!H724,"AAAAAD9/87Y=")</f>
        <v>#VALUE!</v>
      </c>
      <c r="GB176" t="e">
        <f>AND(Bills!I724,"AAAAAD9/87c=")</f>
        <v>#VALUE!</v>
      </c>
      <c r="GC176" t="e">
        <f>AND(Bills!J724,"AAAAAD9/87g=")</f>
        <v>#VALUE!</v>
      </c>
      <c r="GD176" t="e">
        <f>AND(Bills!K724,"AAAAAD9/87k=")</f>
        <v>#VALUE!</v>
      </c>
      <c r="GE176" t="e">
        <f>AND(Bills!L724,"AAAAAD9/87o=")</f>
        <v>#VALUE!</v>
      </c>
      <c r="GF176" t="e">
        <f>AND(Bills!#REF!,"AAAAAD9/87s=")</f>
        <v>#REF!</v>
      </c>
      <c r="GG176" t="e">
        <f>AND(Bills!M724,"AAAAAD9/87w=")</f>
        <v>#VALUE!</v>
      </c>
      <c r="GH176" t="e">
        <f>AND(Bills!N724,"AAAAAD9/870=")</f>
        <v>#VALUE!</v>
      </c>
      <c r="GI176" t="e">
        <f>AND(Bills!O724,"AAAAAD9/874=")</f>
        <v>#VALUE!</v>
      </c>
      <c r="GJ176" t="e">
        <f>AND(Bills!P724,"AAAAAD9/878=")</f>
        <v>#VALUE!</v>
      </c>
      <c r="GK176" t="e">
        <f>AND(Bills!Q724,"AAAAAD9/88A=")</f>
        <v>#VALUE!</v>
      </c>
      <c r="GL176" t="e">
        <f>AND(Bills!R724,"AAAAAD9/88E=")</f>
        <v>#VALUE!</v>
      </c>
      <c r="GM176" t="e">
        <f>AND(Bills!S724,"AAAAAD9/88I=")</f>
        <v>#VALUE!</v>
      </c>
      <c r="GN176" t="e">
        <f>AND(Bills!T724,"AAAAAD9/88M=")</f>
        <v>#VALUE!</v>
      </c>
      <c r="GO176" t="e">
        <f>AND(Bills!#REF!,"AAAAAD9/88Q=")</f>
        <v>#REF!</v>
      </c>
      <c r="GP176" t="e">
        <f>AND(Bills!U724,"AAAAAD9/88U=")</f>
        <v>#VALUE!</v>
      </c>
      <c r="GQ176" t="e">
        <f>AND(Bills!V724,"AAAAAD9/88Y=")</f>
        <v>#VALUE!</v>
      </c>
      <c r="GR176" t="e">
        <f>AND(Bills!W724,"AAAAAD9/88c=")</f>
        <v>#VALUE!</v>
      </c>
      <c r="GS176" t="e">
        <f>AND(Bills!#REF!,"AAAAAD9/88g=")</f>
        <v>#REF!</v>
      </c>
      <c r="GT176" t="e">
        <f>AND(Bills!#REF!,"AAAAAD9/88k=")</f>
        <v>#REF!</v>
      </c>
      <c r="GU176" t="e">
        <f>AND(Bills!Y724,"AAAAAD9/88o=")</f>
        <v>#VALUE!</v>
      </c>
      <c r="GV176" t="e">
        <f>AND(Bills!Z724,"AAAAAD9/88s=")</f>
        <v>#VALUE!</v>
      </c>
      <c r="GW176" t="e">
        <f>AND(Bills!#REF!,"AAAAAD9/88w=")</f>
        <v>#REF!</v>
      </c>
      <c r="GX176" t="e">
        <f>AND(Bills!#REF!,"AAAAAD9/880=")</f>
        <v>#REF!</v>
      </c>
      <c r="GY176" t="e">
        <f>AND(Bills!#REF!,"AAAAAD9/884=")</f>
        <v>#REF!</v>
      </c>
      <c r="GZ176" t="e">
        <f>AND(Bills!#REF!,"AAAAAD9/888=")</f>
        <v>#REF!</v>
      </c>
      <c r="HA176" t="e">
        <f>AND(Bills!#REF!,"AAAAAD9/89A=")</f>
        <v>#REF!</v>
      </c>
      <c r="HB176" t="e">
        <f>AND(Bills!#REF!,"AAAAAD9/89E=")</f>
        <v>#REF!</v>
      </c>
      <c r="HC176" t="e">
        <f>AND(Bills!#REF!,"AAAAAD9/89I=")</f>
        <v>#REF!</v>
      </c>
      <c r="HD176" t="e">
        <f>AND(Bills!#REF!,"AAAAAD9/89M=")</f>
        <v>#REF!</v>
      </c>
      <c r="HE176" t="e">
        <f>AND(Bills!#REF!,"AAAAAD9/89Q=")</f>
        <v>#REF!</v>
      </c>
      <c r="HF176" t="e">
        <f>AND(Bills!AA724,"AAAAAD9/89U=")</f>
        <v>#VALUE!</v>
      </c>
      <c r="HG176" t="e">
        <f>AND(Bills!AB724,"AAAAAD9/89Y=")</f>
        <v>#VALUE!</v>
      </c>
      <c r="HH176" t="e">
        <f>AND(Bills!#REF!,"AAAAAD9/89c=")</f>
        <v>#REF!</v>
      </c>
      <c r="HI176" t="e">
        <f>AND(Bills!#REF!,"AAAAAD9/89g=")</f>
        <v>#REF!</v>
      </c>
      <c r="HJ176" t="e">
        <f>AND(Bills!#REF!,"AAAAAD9/89k=")</f>
        <v>#REF!</v>
      </c>
      <c r="HK176" t="e">
        <f>AND(Bills!AC724,"AAAAAD9/89o=")</f>
        <v>#VALUE!</v>
      </c>
      <c r="HL176" t="e">
        <f>AND(Bills!AD724,"AAAAAD9/89s=")</f>
        <v>#VALUE!</v>
      </c>
      <c r="HM176" t="e">
        <f>AND(Bills!AE724,"AAAAAD9/89w=")</f>
        <v>#VALUE!</v>
      </c>
      <c r="HN176">
        <f>IF(Bills!725:725,"AAAAAD9/890=",0)</f>
        <v>0</v>
      </c>
      <c r="HO176" t="e">
        <f>AND(Bills!B725,"AAAAAD9/894=")</f>
        <v>#VALUE!</v>
      </c>
      <c r="HP176" t="e">
        <f>AND(Bills!#REF!,"AAAAAD9/898=")</f>
        <v>#REF!</v>
      </c>
      <c r="HQ176" t="e">
        <f>AND(Bills!C725,"AAAAAD9/8+A=")</f>
        <v>#VALUE!</v>
      </c>
      <c r="HR176" t="e">
        <f>AND(Bills!D725,"AAAAAD9/8+E=")</f>
        <v>#VALUE!</v>
      </c>
      <c r="HS176" t="e">
        <f>AND(Bills!E725,"AAAAAD9/8+I=")</f>
        <v>#VALUE!</v>
      </c>
      <c r="HT176" t="e">
        <f>AND(Bills!#REF!,"AAAAAD9/8+M=")</f>
        <v>#REF!</v>
      </c>
      <c r="HU176" t="e">
        <f>AND(Bills!#REF!,"AAAAAD9/8+Q=")</f>
        <v>#REF!</v>
      </c>
      <c r="HV176" t="e">
        <f>AND(Bills!#REF!,"AAAAAD9/8+U=")</f>
        <v>#REF!</v>
      </c>
      <c r="HW176" t="e">
        <f>AND(Bills!F725,"AAAAAD9/8+Y=")</f>
        <v>#VALUE!</v>
      </c>
      <c r="HX176" t="e">
        <f>AND(Bills!#REF!,"AAAAAD9/8+c=")</f>
        <v>#REF!</v>
      </c>
      <c r="HY176" t="e">
        <f>AND(Bills!G725,"AAAAAD9/8+g=")</f>
        <v>#VALUE!</v>
      </c>
      <c r="HZ176" t="e">
        <f>AND(Bills!H725,"AAAAAD9/8+k=")</f>
        <v>#VALUE!</v>
      </c>
      <c r="IA176" t="e">
        <f>AND(Bills!I725,"AAAAAD9/8+o=")</f>
        <v>#VALUE!</v>
      </c>
      <c r="IB176" t="e">
        <f>AND(Bills!J725,"AAAAAD9/8+s=")</f>
        <v>#VALUE!</v>
      </c>
      <c r="IC176" t="e">
        <f>AND(Bills!K725,"AAAAAD9/8+w=")</f>
        <v>#VALUE!</v>
      </c>
      <c r="ID176" t="e">
        <f>AND(Bills!L725,"AAAAAD9/8+0=")</f>
        <v>#VALUE!</v>
      </c>
      <c r="IE176" t="e">
        <f>AND(Bills!#REF!,"AAAAAD9/8+4=")</f>
        <v>#REF!</v>
      </c>
      <c r="IF176" t="e">
        <f>AND(Bills!M725,"AAAAAD9/8+8=")</f>
        <v>#VALUE!</v>
      </c>
      <c r="IG176" t="e">
        <f>AND(Bills!N725,"AAAAAD9/8/A=")</f>
        <v>#VALUE!</v>
      </c>
      <c r="IH176" t="e">
        <f>AND(Bills!O725,"AAAAAD9/8/E=")</f>
        <v>#VALUE!</v>
      </c>
      <c r="II176" t="e">
        <f>AND(Bills!P725,"AAAAAD9/8/I=")</f>
        <v>#VALUE!</v>
      </c>
      <c r="IJ176" t="e">
        <f>AND(Bills!Q725,"AAAAAD9/8/M=")</f>
        <v>#VALUE!</v>
      </c>
      <c r="IK176" t="e">
        <f>AND(Bills!R725,"AAAAAD9/8/Q=")</f>
        <v>#VALUE!</v>
      </c>
      <c r="IL176" t="e">
        <f>AND(Bills!S725,"AAAAAD9/8/U=")</f>
        <v>#VALUE!</v>
      </c>
      <c r="IM176" t="e">
        <f>AND(Bills!T725,"AAAAAD9/8/Y=")</f>
        <v>#VALUE!</v>
      </c>
      <c r="IN176" t="e">
        <f>AND(Bills!#REF!,"AAAAAD9/8/c=")</f>
        <v>#REF!</v>
      </c>
      <c r="IO176" t="e">
        <f>AND(Bills!U725,"AAAAAD9/8/g=")</f>
        <v>#VALUE!</v>
      </c>
      <c r="IP176" t="e">
        <f>AND(Bills!V725,"AAAAAD9/8/k=")</f>
        <v>#VALUE!</v>
      </c>
      <c r="IQ176" t="e">
        <f>AND(Bills!W725,"AAAAAD9/8/o=")</f>
        <v>#VALUE!</v>
      </c>
      <c r="IR176" t="e">
        <f>AND(Bills!#REF!,"AAAAAD9/8/s=")</f>
        <v>#REF!</v>
      </c>
      <c r="IS176" t="e">
        <f>AND(Bills!#REF!,"AAAAAD9/8/w=")</f>
        <v>#REF!</v>
      </c>
      <c r="IT176" t="e">
        <f>AND(Bills!Y725,"AAAAAD9/8/0=")</f>
        <v>#VALUE!</v>
      </c>
      <c r="IU176" t="e">
        <f>AND(Bills!Z725,"AAAAAD9/8/4=")</f>
        <v>#VALUE!</v>
      </c>
      <c r="IV176" t="e">
        <f>AND(Bills!#REF!,"AAAAAD9/8/8=")</f>
        <v>#REF!</v>
      </c>
    </row>
    <row r="177" spans="1:256" x14ac:dyDescent="0.25">
      <c r="A177" t="e">
        <f>AND(Bills!#REF!,"AAAAAH7/uQA=")</f>
        <v>#REF!</v>
      </c>
      <c r="B177" t="e">
        <f>AND(Bills!#REF!,"AAAAAH7/uQE=")</f>
        <v>#REF!</v>
      </c>
      <c r="C177" t="e">
        <f>AND(Bills!#REF!,"AAAAAH7/uQI=")</f>
        <v>#REF!</v>
      </c>
      <c r="D177" t="e">
        <f>AND(Bills!#REF!,"AAAAAH7/uQM=")</f>
        <v>#REF!</v>
      </c>
      <c r="E177" t="e">
        <f>AND(Bills!#REF!,"AAAAAH7/uQQ=")</f>
        <v>#REF!</v>
      </c>
      <c r="F177" t="e">
        <f>AND(Bills!#REF!,"AAAAAH7/uQU=")</f>
        <v>#REF!</v>
      </c>
      <c r="G177" t="e">
        <f>AND(Bills!#REF!,"AAAAAH7/uQY=")</f>
        <v>#REF!</v>
      </c>
      <c r="H177" t="e">
        <f>AND(Bills!#REF!,"AAAAAH7/uQc=")</f>
        <v>#REF!</v>
      </c>
      <c r="I177" t="e">
        <f>AND(Bills!AA725,"AAAAAH7/uQg=")</f>
        <v>#VALUE!</v>
      </c>
      <c r="J177" t="e">
        <f>AND(Bills!AB725,"AAAAAH7/uQk=")</f>
        <v>#VALUE!</v>
      </c>
      <c r="K177" t="e">
        <f>AND(Bills!#REF!,"AAAAAH7/uQo=")</f>
        <v>#REF!</v>
      </c>
      <c r="L177" t="e">
        <f>AND(Bills!#REF!,"AAAAAH7/uQs=")</f>
        <v>#REF!</v>
      </c>
      <c r="M177" t="e">
        <f>AND(Bills!#REF!,"AAAAAH7/uQw=")</f>
        <v>#REF!</v>
      </c>
      <c r="N177" t="e">
        <f>AND(Bills!AC725,"AAAAAH7/uQ0=")</f>
        <v>#VALUE!</v>
      </c>
      <c r="O177" t="e">
        <f>AND(Bills!AD725,"AAAAAH7/uQ4=")</f>
        <v>#VALUE!</v>
      </c>
      <c r="P177" t="e">
        <f>AND(Bills!AE725,"AAAAAH7/uQ8=")</f>
        <v>#VALUE!</v>
      </c>
      <c r="Q177">
        <f>IF(Bills!726:726,"AAAAAH7/uRA=",0)</f>
        <v>0</v>
      </c>
      <c r="R177" t="e">
        <f>AND(Bills!B726,"AAAAAH7/uRE=")</f>
        <v>#VALUE!</v>
      </c>
      <c r="S177" t="e">
        <f>AND(Bills!#REF!,"AAAAAH7/uRI=")</f>
        <v>#REF!</v>
      </c>
      <c r="T177" t="e">
        <f>AND(Bills!C726,"AAAAAH7/uRM=")</f>
        <v>#VALUE!</v>
      </c>
      <c r="U177" t="e">
        <f>AND(Bills!D726,"AAAAAH7/uRQ=")</f>
        <v>#VALUE!</v>
      </c>
      <c r="V177" t="e">
        <f>AND(Bills!E726,"AAAAAH7/uRU=")</f>
        <v>#VALUE!</v>
      </c>
      <c r="W177" t="e">
        <f>AND(Bills!#REF!,"AAAAAH7/uRY=")</f>
        <v>#REF!</v>
      </c>
      <c r="X177" t="e">
        <f>AND(Bills!#REF!,"AAAAAH7/uRc=")</f>
        <v>#REF!</v>
      </c>
      <c r="Y177" t="e">
        <f>AND(Bills!#REF!,"AAAAAH7/uRg=")</f>
        <v>#REF!</v>
      </c>
      <c r="Z177" t="e">
        <f>AND(Bills!F726,"AAAAAH7/uRk=")</f>
        <v>#VALUE!</v>
      </c>
      <c r="AA177" t="e">
        <f>AND(Bills!#REF!,"AAAAAH7/uRo=")</f>
        <v>#REF!</v>
      </c>
      <c r="AB177" t="e">
        <f>AND(Bills!G726,"AAAAAH7/uRs=")</f>
        <v>#VALUE!</v>
      </c>
      <c r="AC177" t="e">
        <f>AND(Bills!H726,"AAAAAH7/uRw=")</f>
        <v>#VALUE!</v>
      </c>
      <c r="AD177" t="e">
        <f>AND(Bills!I726,"AAAAAH7/uR0=")</f>
        <v>#VALUE!</v>
      </c>
      <c r="AE177" t="e">
        <f>AND(Bills!J726,"AAAAAH7/uR4=")</f>
        <v>#VALUE!</v>
      </c>
      <c r="AF177" t="e">
        <f>AND(Bills!K726,"AAAAAH7/uR8=")</f>
        <v>#VALUE!</v>
      </c>
      <c r="AG177" t="e">
        <f>AND(Bills!L726,"AAAAAH7/uSA=")</f>
        <v>#VALUE!</v>
      </c>
      <c r="AH177" t="e">
        <f>AND(Bills!#REF!,"AAAAAH7/uSE=")</f>
        <v>#REF!</v>
      </c>
      <c r="AI177" t="e">
        <f>AND(Bills!M726,"AAAAAH7/uSI=")</f>
        <v>#VALUE!</v>
      </c>
      <c r="AJ177" t="e">
        <f>AND(Bills!N726,"AAAAAH7/uSM=")</f>
        <v>#VALUE!</v>
      </c>
      <c r="AK177" t="e">
        <f>AND(Bills!O726,"AAAAAH7/uSQ=")</f>
        <v>#VALUE!</v>
      </c>
      <c r="AL177" t="e">
        <f>AND(Bills!P726,"AAAAAH7/uSU=")</f>
        <v>#VALUE!</v>
      </c>
      <c r="AM177" t="e">
        <f>AND(Bills!Q726,"AAAAAH7/uSY=")</f>
        <v>#VALUE!</v>
      </c>
      <c r="AN177" t="e">
        <f>AND(Bills!R726,"AAAAAH7/uSc=")</f>
        <v>#VALUE!</v>
      </c>
      <c r="AO177" t="e">
        <f>AND(Bills!S726,"AAAAAH7/uSg=")</f>
        <v>#VALUE!</v>
      </c>
      <c r="AP177" t="e">
        <f>AND(Bills!T726,"AAAAAH7/uSk=")</f>
        <v>#VALUE!</v>
      </c>
      <c r="AQ177" t="e">
        <f>AND(Bills!#REF!,"AAAAAH7/uSo=")</f>
        <v>#REF!</v>
      </c>
      <c r="AR177" t="e">
        <f>AND(Bills!U726,"AAAAAH7/uSs=")</f>
        <v>#VALUE!</v>
      </c>
      <c r="AS177" t="e">
        <f>AND(Bills!V726,"AAAAAH7/uSw=")</f>
        <v>#VALUE!</v>
      </c>
      <c r="AT177" t="e">
        <f>AND(Bills!W726,"AAAAAH7/uS0=")</f>
        <v>#VALUE!</v>
      </c>
      <c r="AU177" t="e">
        <f>AND(Bills!#REF!,"AAAAAH7/uS4=")</f>
        <v>#REF!</v>
      </c>
      <c r="AV177" t="e">
        <f>AND(Bills!#REF!,"AAAAAH7/uS8=")</f>
        <v>#REF!</v>
      </c>
      <c r="AW177" t="e">
        <f>AND(Bills!Y726,"AAAAAH7/uTA=")</f>
        <v>#VALUE!</v>
      </c>
      <c r="AX177" t="e">
        <f>AND(Bills!Z726,"AAAAAH7/uTE=")</f>
        <v>#VALUE!</v>
      </c>
      <c r="AY177" t="e">
        <f>AND(Bills!#REF!,"AAAAAH7/uTI=")</f>
        <v>#REF!</v>
      </c>
      <c r="AZ177" t="e">
        <f>AND(Bills!#REF!,"AAAAAH7/uTM=")</f>
        <v>#REF!</v>
      </c>
      <c r="BA177" t="e">
        <f>AND(Bills!#REF!,"AAAAAH7/uTQ=")</f>
        <v>#REF!</v>
      </c>
      <c r="BB177" t="e">
        <f>AND(Bills!#REF!,"AAAAAH7/uTU=")</f>
        <v>#REF!</v>
      </c>
      <c r="BC177" t="e">
        <f>AND(Bills!#REF!,"AAAAAH7/uTY=")</f>
        <v>#REF!</v>
      </c>
      <c r="BD177" t="e">
        <f>AND(Bills!#REF!,"AAAAAH7/uTc=")</f>
        <v>#REF!</v>
      </c>
      <c r="BE177" t="e">
        <f>AND(Bills!#REF!,"AAAAAH7/uTg=")</f>
        <v>#REF!</v>
      </c>
      <c r="BF177" t="e">
        <f>AND(Bills!#REF!,"AAAAAH7/uTk=")</f>
        <v>#REF!</v>
      </c>
      <c r="BG177" t="e">
        <f>AND(Bills!#REF!,"AAAAAH7/uTo=")</f>
        <v>#REF!</v>
      </c>
      <c r="BH177" t="e">
        <f>AND(Bills!AA726,"AAAAAH7/uTs=")</f>
        <v>#VALUE!</v>
      </c>
      <c r="BI177" t="e">
        <f>AND(Bills!AB726,"AAAAAH7/uTw=")</f>
        <v>#VALUE!</v>
      </c>
      <c r="BJ177" t="e">
        <f>AND(Bills!#REF!,"AAAAAH7/uT0=")</f>
        <v>#REF!</v>
      </c>
      <c r="BK177" t="e">
        <f>AND(Bills!#REF!,"AAAAAH7/uT4=")</f>
        <v>#REF!</v>
      </c>
      <c r="BL177" t="e">
        <f>AND(Bills!#REF!,"AAAAAH7/uT8=")</f>
        <v>#REF!</v>
      </c>
      <c r="BM177" t="e">
        <f>AND(Bills!AC726,"AAAAAH7/uUA=")</f>
        <v>#VALUE!</v>
      </c>
      <c r="BN177" t="e">
        <f>AND(Bills!AD726,"AAAAAH7/uUE=")</f>
        <v>#VALUE!</v>
      </c>
      <c r="BO177" t="e">
        <f>AND(Bills!AE726,"AAAAAH7/uUI=")</f>
        <v>#VALUE!</v>
      </c>
      <c r="BP177">
        <f>IF(Bills!727:727,"AAAAAH7/uUM=",0)</f>
        <v>0</v>
      </c>
      <c r="BQ177" t="e">
        <f>AND(Bills!B727,"AAAAAH7/uUQ=")</f>
        <v>#VALUE!</v>
      </c>
      <c r="BR177" t="e">
        <f>AND(Bills!#REF!,"AAAAAH7/uUU=")</f>
        <v>#REF!</v>
      </c>
      <c r="BS177" t="e">
        <f>AND(Bills!C727,"AAAAAH7/uUY=")</f>
        <v>#VALUE!</v>
      </c>
      <c r="BT177" t="e">
        <f>AND(Bills!D727,"AAAAAH7/uUc=")</f>
        <v>#VALUE!</v>
      </c>
      <c r="BU177" t="e">
        <f>AND(Bills!E727,"AAAAAH7/uUg=")</f>
        <v>#VALUE!</v>
      </c>
      <c r="BV177" t="e">
        <f>AND(Bills!#REF!,"AAAAAH7/uUk=")</f>
        <v>#REF!</v>
      </c>
      <c r="BW177" t="e">
        <f>AND(Bills!#REF!,"AAAAAH7/uUo=")</f>
        <v>#REF!</v>
      </c>
      <c r="BX177" t="e">
        <f>AND(Bills!#REF!,"AAAAAH7/uUs=")</f>
        <v>#REF!</v>
      </c>
      <c r="BY177" t="e">
        <f>AND(Bills!F727,"AAAAAH7/uUw=")</f>
        <v>#VALUE!</v>
      </c>
      <c r="BZ177" t="e">
        <f>AND(Bills!#REF!,"AAAAAH7/uU0=")</f>
        <v>#REF!</v>
      </c>
      <c r="CA177" t="e">
        <f>AND(Bills!G727,"AAAAAH7/uU4=")</f>
        <v>#VALUE!</v>
      </c>
      <c r="CB177" t="e">
        <f>AND(Bills!H727,"AAAAAH7/uU8=")</f>
        <v>#VALUE!</v>
      </c>
      <c r="CC177" t="e">
        <f>AND(Bills!I727,"AAAAAH7/uVA=")</f>
        <v>#VALUE!</v>
      </c>
      <c r="CD177" t="e">
        <f>AND(Bills!J727,"AAAAAH7/uVE=")</f>
        <v>#VALUE!</v>
      </c>
      <c r="CE177" t="e">
        <f>AND(Bills!K727,"AAAAAH7/uVI=")</f>
        <v>#VALUE!</v>
      </c>
      <c r="CF177" t="e">
        <f>AND(Bills!L727,"AAAAAH7/uVM=")</f>
        <v>#VALUE!</v>
      </c>
      <c r="CG177" t="e">
        <f>AND(Bills!#REF!,"AAAAAH7/uVQ=")</f>
        <v>#REF!</v>
      </c>
      <c r="CH177" t="e">
        <f>AND(Bills!M727,"AAAAAH7/uVU=")</f>
        <v>#VALUE!</v>
      </c>
      <c r="CI177" t="e">
        <f>AND(Bills!N727,"AAAAAH7/uVY=")</f>
        <v>#VALUE!</v>
      </c>
      <c r="CJ177" t="e">
        <f>AND(Bills!O727,"AAAAAH7/uVc=")</f>
        <v>#VALUE!</v>
      </c>
      <c r="CK177" t="e">
        <f>AND(Bills!P727,"AAAAAH7/uVg=")</f>
        <v>#VALUE!</v>
      </c>
      <c r="CL177" t="e">
        <f>AND(Bills!Q727,"AAAAAH7/uVk=")</f>
        <v>#VALUE!</v>
      </c>
      <c r="CM177" t="e">
        <f>AND(Bills!R727,"AAAAAH7/uVo=")</f>
        <v>#VALUE!</v>
      </c>
      <c r="CN177" t="e">
        <f>AND(Bills!S727,"AAAAAH7/uVs=")</f>
        <v>#VALUE!</v>
      </c>
      <c r="CO177" t="e">
        <f>AND(Bills!T727,"AAAAAH7/uVw=")</f>
        <v>#VALUE!</v>
      </c>
      <c r="CP177" t="e">
        <f>AND(Bills!#REF!,"AAAAAH7/uV0=")</f>
        <v>#REF!</v>
      </c>
      <c r="CQ177" t="e">
        <f>AND(Bills!U727,"AAAAAH7/uV4=")</f>
        <v>#VALUE!</v>
      </c>
      <c r="CR177" t="e">
        <f>AND(Bills!V727,"AAAAAH7/uV8=")</f>
        <v>#VALUE!</v>
      </c>
      <c r="CS177" t="e">
        <f>AND(Bills!W727,"AAAAAH7/uWA=")</f>
        <v>#VALUE!</v>
      </c>
      <c r="CT177" t="e">
        <f>AND(Bills!#REF!,"AAAAAH7/uWE=")</f>
        <v>#REF!</v>
      </c>
      <c r="CU177" t="e">
        <f>AND(Bills!#REF!,"AAAAAH7/uWI=")</f>
        <v>#REF!</v>
      </c>
      <c r="CV177" t="e">
        <f>AND(Bills!Y727,"AAAAAH7/uWM=")</f>
        <v>#VALUE!</v>
      </c>
      <c r="CW177" t="e">
        <f>AND(Bills!Z727,"AAAAAH7/uWQ=")</f>
        <v>#VALUE!</v>
      </c>
      <c r="CX177" t="e">
        <f>AND(Bills!#REF!,"AAAAAH7/uWU=")</f>
        <v>#REF!</v>
      </c>
      <c r="CY177" t="e">
        <f>AND(Bills!#REF!,"AAAAAH7/uWY=")</f>
        <v>#REF!</v>
      </c>
      <c r="CZ177" t="e">
        <f>AND(Bills!#REF!,"AAAAAH7/uWc=")</f>
        <v>#REF!</v>
      </c>
      <c r="DA177" t="e">
        <f>AND(Bills!#REF!,"AAAAAH7/uWg=")</f>
        <v>#REF!</v>
      </c>
      <c r="DB177" t="e">
        <f>AND(Bills!#REF!,"AAAAAH7/uWk=")</f>
        <v>#REF!</v>
      </c>
      <c r="DC177" t="e">
        <f>AND(Bills!#REF!,"AAAAAH7/uWo=")</f>
        <v>#REF!</v>
      </c>
      <c r="DD177" t="e">
        <f>AND(Bills!#REF!,"AAAAAH7/uWs=")</f>
        <v>#REF!</v>
      </c>
      <c r="DE177" t="e">
        <f>AND(Bills!#REF!,"AAAAAH7/uWw=")</f>
        <v>#REF!</v>
      </c>
      <c r="DF177" t="e">
        <f>AND(Bills!#REF!,"AAAAAH7/uW0=")</f>
        <v>#REF!</v>
      </c>
      <c r="DG177" t="e">
        <f>AND(Bills!AA727,"AAAAAH7/uW4=")</f>
        <v>#VALUE!</v>
      </c>
      <c r="DH177" t="e">
        <f>AND(Bills!AB727,"AAAAAH7/uW8=")</f>
        <v>#VALUE!</v>
      </c>
      <c r="DI177" t="e">
        <f>AND(Bills!#REF!,"AAAAAH7/uXA=")</f>
        <v>#REF!</v>
      </c>
      <c r="DJ177" t="e">
        <f>AND(Bills!#REF!,"AAAAAH7/uXE=")</f>
        <v>#REF!</v>
      </c>
      <c r="DK177" t="e">
        <f>AND(Bills!#REF!,"AAAAAH7/uXI=")</f>
        <v>#REF!</v>
      </c>
      <c r="DL177" t="e">
        <f>AND(Bills!AC727,"AAAAAH7/uXM=")</f>
        <v>#VALUE!</v>
      </c>
      <c r="DM177" t="e">
        <f>AND(Bills!AD727,"AAAAAH7/uXQ=")</f>
        <v>#VALUE!</v>
      </c>
      <c r="DN177" t="e">
        <f>AND(Bills!AE727,"AAAAAH7/uXU=")</f>
        <v>#VALUE!</v>
      </c>
      <c r="DO177">
        <f>IF(Bills!728:728,"AAAAAH7/uXY=",0)</f>
        <v>0</v>
      </c>
      <c r="DP177" t="e">
        <f>AND(Bills!B728,"AAAAAH7/uXc=")</f>
        <v>#VALUE!</v>
      </c>
      <c r="DQ177" t="e">
        <f>AND(Bills!#REF!,"AAAAAH7/uXg=")</f>
        <v>#REF!</v>
      </c>
      <c r="DR177" t="e">
        <f>AND(Bills!C728,"AAAAAH7/uXk=")</f>
        <v>#VALUE!</v>
      </c>
      <c r="DS177" t="e">
        <f>AND(Bills!D728,"AAAAAH7/uXo=")</f>
        <v>#VALUE!</v>
      </c>
      <c r="DT177" t="e">
        <f>AND(Bills!E728,"AAAAAH7/uXs=")</f>
        <v>#VALUE!</v>
      </c>
      <c r="DU177" t="e">
        <f>AND(Bills!#REF!,"AAAAAH7/uXw=")</f>
        <v>#REF!</v>
      </c>
      <c r="DV177" t="e">
        <f>AND(Bills!#REF!,"AAAAAH7/uX0=")</f>
        <v>#REF!</v>
      </c>
      <c r="DW177" t="e">
        <f>AND(Bills!#REF!,"AAAAAH7/uX4=")</f>
        <v>#REF!</v>
      </c>
      <c r="DX177" t="e">
        <f>AND(Bills!F728,"AAAAAH7/uX8=")</f>
        <v>#VALUE!</v>
      </c>
      <c r="DY177" t="e">
        <f>AND(Bills!#REF!,"AAAAAH7/uYA=")</f>
        <v>#REF!</v>
      </c>
      <c r="DZ177" t="e">
        <f>AND(Bills!G728,"AAAAAH7/uYE=")</f>
        <v>#VALUE!</v>
      </c>
      <c r="EA177" t="e">
        <f>AND(Bills!H728,"AAAAAH7/uYI=")</f>
        <v>#VALUE!</v>
      </c>
      <c r="EB177" t="e">
        <f>AND(Bills!I728,"AAAAAH7/uYM=")</f>
        <v>#VALUE!</v>
      </c>
      <c r="EC177" t="e">
        <f>AND(Bills!J728,"AAAAAH7/uYQ=")</f>
        <v>#VALUE!</v>
      </c>
      <c r="ED177" t="e">
        <f>AND(Bills!K728,"AAAAAH7/uYU=")</f>
        <v>#VALUE!</v>
      </c>
      <c r="EE177" t="e">
        <f>AND(Bills!L728,"AAAAAH7/uYY=")</f>
        <v>#VALUE!</v>
      </c>
      <c r="EF177" t="e">
        <f>AND(Bills!#REF!,"AAAAAH7/uYc=")</f>
        <v>#REF!</v>
      </c>
      <c r="EG177" t="e">
        <f>AND(Bills!M728,"AAAAAH7/uYg=")</f>
        <v>#VALUE!</v>
      </c>
      <c r="EH177" t="e">
        <f>AND(Bills!N728,"AAAAAH7/uYk=")</f>
        <v>#VALUE!</v>
      </c>
      <c r="EI177" t="e">
        <f>AND(Bills!O728,"AAAAAH7/uYo=")</f>
        <v>#VALUE!</v>
      </c>
      <c r="EJ177" t="e">
        <f>AND(Bills!P728,"AAAAAH7/uYs=")</f>
        <v>#VALUE!</v>
      </c>
      <c r="EK177" t="e">
        <f>AND(Bills!Q728,"AAAAAH7/uYw=")</f>
        <v>#VALUE!</v>
      </c>
      <c r="EL177" t="e">
        <f>AND(Bills!R728,"AAAAAH7/uY0=")</f>
        <v>#VALUE!</v>
      </c>
      <c r="EM177" t="e">
        <f>AND(Bills!S728,"AAAAAH7/uY4=")</f>
        <v>#VALUE!</v>
      </c>
      <c r="EN177" t="e">
        <f>AND(Bills!T728,"AAAAAH7/uY8=")</f>
        <v>#VALUE!</v>
      </c>
      <c r="EO177" t="e">
        <f>AND(Bills!#REF!,"AAAAAH7/uZA=")</f>
        <v>#REF!</v>
      </c>
      <c r="EP177" t="e">
        <f>AND(Bills!U728,"AAAAAH7/uZE=")</f>
        <v>#VALUE!</v>
      </c>
      <c r="EQ177" t="e">
        <f>AND(Bills!V728,"AAAAAH7/uZI=")</f>
        <v>#VALUE!</v>
      </c>
      <c r="ER177" t="e">
        <f>AND(Bills!W728,"AAAAAH7/uZM=")</f>
        <v>#VALUE!</v>
      </c>
      <c r="ES177" t="e">
        <f>AND(Bills!#REF!,"AAAAAH7/uZQ=")</f>
        <v>#REF!</v>
      </c>
      <c r="ET177" t="e">
        <f>AND(Bills!#REF!,"AAAAAH7/uZU=")</f>
        <v>#REF!</v>
      </c>
      <c r="EU177" t="e">
        <f>AND(Bills!Y728,"AAAAAH7/uZY=")</f>
        <v>#VALUE!</v>
      </c>
      <c r="EV177" t="e">
        <f>AND(Bills!Z728,"AAAAAH7/uZc=")</f>
        <v>#VALUE!</v>
      </c>
      <c r="EW177" t="e">
        <f>AND(Bills!#REF!,"AAAAAH7/uZg=")</f>
        <v>#REF!</v>
      </c>
      <c r="EX177" t="e">
        <f>AND(Bills!#REF!,"AAAAAH7/uZk=")</f>
        <v>#REF!</v>
      </c>
      <c r="EY177" t="e">
        <f>AND(Bills!#REF!,"AAAAAH7/uZo=")</f>
        <v>#REF!</v>
      </c>
      <c r="EZ177" t="e">
        <f>AND(Bills!#REF!,"AAAAAH7/uZs=")</f>
        <v>#REF!</v>
      </c>
      <c r="FA177" t="e">
        <f>AND(Bills!#REF!,"AAAAAH7/uZw=")</f>
        <v>#REF!</v>
      </c>
      <c r="FB177" t="e">
        <f>AND(Bills!#REF!,"AAAAAH7/uZ0=")</f>
        <v>#REF!</v>
      </c>
      <c r="FC177" t="e">
        <f>AND(Bills!#REF!,"AAAAAH7/uZ4=")</f>
        <v>#REF!</v>
      </c>
      <c r="FD177" t="e">
        <f>AND(Bills!#REF!,"AAAAAH7/uZ8=")</f>
        <v>#REF!</v>
      </c>
      <c r="FE177" t="e">
        <f>AND(Bills!#REF!,"AAAAAH7/uaA=")</f>
        <v>#REF!</v>
      </c>
      <c r="FF177" t="e">
        <f>AND(Bills!AA728,"AAAAAH7/uaE=")</f>
        <v>#VALUE!</v>
      </c>
      <c r="FG177" t="e">
        <f>AND(Bills!AB728,"AAAAAH7/uaI=")</f>
        <v>#VALUE!</v>
      </c>
      <c r="FH177" t="e">
        <f>AND(Bills!#REF!,"AAAAAH7/uaM=")</f>
        <v>#REF!</v>
      </c>
      <c r="FI177" t="e">
        <f>AND(Bills!#REF!,"AAAAAH7/uaQ=")</f>
        <v>#REF!</v>
      </c>
      <c r="FJ177" t="e">
        <f>AND(Bills!#REF!,"AAAAAH7/uaU=")</f>
        <v>#REF!</v>
      </c>
      <c r="FK177" t="e">
        <f>AND(Bills!AC728,"AAAAAH7/uaY=")</f>
        <v>#VALUE!</v>
      </c>
      <c r="FL177" t="e">
        <f>AND(Bills!AD728,"AAAAAH7/uac=")</f>
        <v>#VALUE!</v>
      </c>
      <c r="FM177" t="e">
        <f>AND(Bills!AE728,"AAAAAH7/uag=")</f>
        <v>#VALUE!</v>
      </c>
      <c r="FN177">
        <f>IF(Bills!729:729,"AAAAAH7/uak=",0)</f>
        <v>0</v>
      </c>
      <c r="FO177" t="e">
        <f>AND(Bills!B729,"AAAAAH7/uao=")</f>
        <v>#VALUE!</v>
      </c>
      <c r="FP177" t="e">
        <f>AND(Bills!#REF!,"AAAAAH7/uas=")</f>
        <v>#REF!</v>
      </c>
      <c r="FQ177" t="e">
        <f>AND(Bills!C729,"AAAAAH7/uaw=")</f>
        <v>#VALUE!</v>
      </c>
      <c r="FR177" t="e">
        <f>AND(Bills!D729,"AAAAAH7/ua0=")</f>
        <v>#VALUE!</v>
      </c>
      <c r="FS177" t="e">
        <f>AND(Bills!E729,"AAAAAH7/ua4=")</f>
        <v>#VALUE!</v>
      </c>
      <c r="FT177" t="e">
        <f>AND(Bills!#REF!,"AAAAAH7/ua8=")</f>
        <v>#REF!</v>
      </c>
      <c r="FU177" t="e">
        <f>AND(Bills!#REF!,"AAAAAH7/ubA=")</f>
        <v>#REF!</v>
      </c>
      <c r="FV177" t="e">
        <f>AND(Bills!#REF!,"AAAAAH7/ubE=")</f>
        <v>#REF!</v>
      </c>
      <c r="FW177" t="e">
        <f>AND(Bills!F729,"AAAAAH7/ubI=")</f>
        <v>#VALUE!</v>
      </c>
      <c r="FX177" t="e">
        <f>AND(Bills!#REF!,"AAAAAH7/ubM=")</f>
        <v>#REF!</v>
      </c>
      <c r="FY177" t="e">
        <f>AND(Bills!G729,"AAAAAH7/ubQ=")</f>
        <v>#VALUE!</v>
      </c>
      <c r="FZ177" t="e">
        <f>AND(Bills!H729,"AAAAAH7/ubU=")</f>
        <v>#VALUE!</v>
      </c>
      <c r="GA177" t="e">
        <f>AND(Bills!I729,"AAAAAH7/ubY=")</f>
        <v>#VALUE!</v>
      </c>
      <c r="GB177" t="e">
        <f>AND(Bills!J729,"AAAAAH7/ubc=")</f>
        <v>#VALUE!</v>
      </c>
      <c r="GC177" t="e">
        <f>AND(Bills!K729,"AAAAAH7/ubg=")</f>
        <v>#VALUE!</v>
      </c>
      <c r="GD177" t="e">
        <f>AND(Bills!L729,"AAAAAH7/ubk=")</f>
        <v>#VALUE!</v>
      </c>
      <c r="GE177" t="e">
        <f>AND(Bills!#REF!,"AAAAAH7/ubo=")</f>
        <v>#REF!</v>
      </c>
      <c r="GF177" t="e">
        <f>AND(Bills!M729,"AAAAAH7/ubs=")</f>
        <v>#VALUE!</v>
      </c>
      <c r="GG177" t="e">
        <f>AND(Bills!N729,"AAAAAH7/ubw=")</f>
        <v>#VALUE!</v>
      </c>
      <c r="GH177" t="e">
        <f>AND(Bills!O729,"AAAAAH7/ub0=")</f>
        <v>#VALUE!</v>
      </c>
      <c r="GI177" t="e">
        <f>AND(Bills!P729,"AAAAAH7/ub4=")</f>
        <v>#VALUE!</v>
      </c>
      <c r="GJ177" t="e">
        <f>AND(Bills!Q729,"AAAAAH7/ub8=")</f>
        <v>#VALUE!</v>
      </c>
      <c r="GK177" t="e">
        <f>AND(Bills!R729,"AAAAAH7/ucA=")</f>
        <v>#VALUE!</v>
      </c>
      <c r="GL177" t="e">
        <f>AND(Bills!S729,"AAAAAH7/ucE=")</f>
        <v>#VALUE!</v>
      </c>
      <c r="GM177" t="e">
        <f>AND(Bills!T729,"AAAAAH7/ucI=")</f>
        <v>#VALUE!</v>
      </c>
      <c r="GN177" t="e">
        <f>AND(Bills!#REF!,"AAAAAH7/ucM=")</f>
        <v>#REF!</v>
      </c>
      <c r="GO177" t="e">
        <f>AND(Bills!U729,"AAAAAH7/ucQ=")</f>
        <v>#VALUE!</v>
      </c>
      <c r="GP177" t="e">
        <f>AND(Bills!V729,"AAAAAH7/ucU=")</f>
        <v>#VALUE!</v>
      </c>
      <c r="GQ177" t="e">
        <f>AND(Bills!W729,"AAAAAH7/ucY=")</f>
        <v>#VALUE!</v>
      </c>
      <c r="GR177" t="e">
        <f>AND(Bills!#REF!,"AAAAAH7/ucc=")</f>
        <v>#REF!</v>
      </c>
      <c r="GS177" t="e">
        <f>AND(Bills!#REF!,"AAAAAH7/ucg=")</f>
        <v>#REF!</v>
      </c>
      <c r="GT177" t="e">
        <f>AND(Bills!Y729,"AAAAAH7/uck=")</f>
        <v>#VALUE!</v>
      </c>
      <c r="GU177" t="e">
        <f>AND(Bills!Z729,"AAAAAH7/uco=")</f>
        <v>#VALUE!</v>
      </c>
      <c r="GV177" t="e">
        <f>AND(Bills!#REF!,"AAAAAH7/ucs=")</f>
        <v>#REF!</v>
      </c>
      <c r="GW177" t="e">
        <f>AND(Bills!#REF!,"AAAAAH7/ucw=")</f>
        <v>#REF!</v>
      </c>
      <c r="GX177" t="e">
        <f>AND(Bills!#REF!,"AAAAAH7/uc0=")</f>
        <v>#REF!</v>
      </c>
      <c r="GY177" t="e">
        <f>AND(Bills!#REF!,"AAAAAH7/uc4=")</f>
        <v>#REF!</v>
      </c>
      <c r="GZ177" t="e">
        <f>AND(Bills!#REF!,"AAAAAH7/uc8=")</f>
        <v>#REF!</v>
      </c>
      <c r="HA177" t="e">
        <f>AND(Bills!#REF!,"AAAAAH7/udA=")</f>
        <v>#REF!</v>
      </c>
      <c r="HB177" t="e">
        <f>AND(Bills!#REF!,"AAAAAH7/udE=")</f>
        <v>#REF!</v>
      </c>
      <c r="HC177" t="e">
        <f>AND(Bills!#REF!,"AAAAAH7/udI=")</f>
        <v>#REF!</v>
      </c>
      <c r="HD177" t="e">
        <f>AND(Bills!#REF!,"AAAAAH7/udM=")</f>
        <v>#REF!</v>
      </c>
      <c r="HE177" t="e">
        <f>AND(Bills!AA729,"AAAAAH7/udQ=")</f>
        <v>#VALUE!</v>
      </c>
      <c r="HF177" t="e">
        <f>AND(Bills!AB729,"AAAAAH7/udU=")</f>
        <v>#VALUE!</v>
      </c>
      <c r="HG177" t="e">
        <f>AND(Bills!#REF!,"AAAAAH7/udY=")</f>
        <v>#REF!</v>
      </c>
      <c r="HH177" t="e">
        <f>AND(Bills!#REF!,"AAAAAH7/udc=")</f>
        <v>#REF!</v>
      </c>
      <c r="HI177" t="e">
        <f>AND(Bills!#REF!,"AAAAAH7/udg=")</f>
        <v>#REF!</v>
      </c>
      <c r="HJ177" t="e">
        <f>AND(Bills!AC729,"AAAAAH7/udk=")</f>
        <v>#VALUE!</v>
      </c>
      <c r="HK177" t="e">
        <f>AND(Bills!AD729,"AAAAAH7/udo=")</f>
        <v>#VALUE!</v>
      </c>
      <c r="HL177" t="e">
        <f>AND(Bills!AE729,"AAAAAH7/uds=")</f>
        <v>#VALUE!</v>
      </c>
      <c r="HM177">
        <f>IF(Bills!730:730,"AAAAAH7/udw=",0)</f>
        <v>0</v>
      </c>
      <c r="HN177" t="e">
        <f>AND(Bills!B730,"AAAAAH7/ud0=")</f>
        <v>#VALUE!</v>
      </c>
      <c r="HO177" t="e">
        <f>AND(Bills!#REF!,"AAAAAH7/ud4=")</f>
        <v>#REF!</v>
      </c>
      <c r="HP177" t="e">
        <f>AND(Bills!C730,"AAAAAH7/ud8=")</f>
        <v>#VALUE!</v>
      </c>
      <c r="HQ177" t="e">
        <f>AND(Bills!D730,"AAAAAH7/ueA=")</f>
        <v>#VALUE!</v>
      </c>
      <c r="HR177" t="e">
        <f>AND(Bills!E730,"AAAAAH7/ueE=")</f>
        <v>#VALUE!</v>
      </c>
      <c r="HS177" t="e">
        <f>AND(Bills!#REF!,"AAAAAH7/ueI=")</f>
        <v>#REF!</v>
      </c>
      <c r="HT177" t="e">
        <f>AND(Bills!#REF!,"AAAAAH7/ueM=")</f>
        <v>#REF!</v>
      </c>
      <c r="HU177" t="e">
        <f>AND(Bills!#REF!,"AAAAAH7/ueQ=")</f>
        <v>#REF!</v>
      </c>
      <c r="HV177" t="e">
        <f>AND(Bills!F730,"AAAAAH7/ueU=")</f>
        <v>#VALUE!</v>
      </c>
      <c r="HW177" t="e">
        <f>AND(Bills!#REF!,"AAAAAH7/ueY=")</f>
        <v>#REF!</v>
      </c>
      <c r="HX177" t="e">
        <f>AND(Bills!G730,"AAAAAH7/uec=")</f>
        <v>#VALUE!</v>
      </c>
      <c r="HY177" t="e">
        <f>AND(Bills!H730,"AAAAAH7/ueg=")</f>
        <v>#VALUE!</v>
      </c>
      <c r="HZ177" t="e">
        <f>AND(Bills!I730,"AAAAAH7/uek=")</f>
        <v>#VALUE!</v>
      </c>
      <c r="IA177" t="e">
        <f>AND(Bills!J730,"AAAAAH7/ueo=")</f>
        <v>#VALUE!</v>
      </c>
      <c r="IB177" t="e">
        <f>AND(Bills!K730,"AAAAAH7/ues=")</f>
        <v>#VALUE!</v>
      </c>
      <c r="IC177" t="e">
        <f>AND(Bills!L730,"AAAAAH7/uew=")</f>
        <v>#VALUE!</v>
      </c>
      <c r="ID177" t="e">
        <f>AND(Bills!#REF!,"AAAAAH7/ue0=")</f>
        <v>#REF!</v>
      </c>
      <c r="IE177" t="e">
        <f>AND(Bills!M730,"AAAAAH7/ue4=")</f>
        <v>#VALUE!</v>
      </c>
      <c r="IF177" t="e">
        <f>AND(Bills!N730,"AAAAAH7/ue8=")</f>
        <v>#VALUE!</v>
      </c>
      <c r="IG177" t="e">
        <f>AND(Bills!O730,"AAAAAH7/ufA=")</f>
        <v>#VALUE!</v>
      </c>
      <c r="IH177" t="e">
        <f>AND(Bills!P730,"AAAAAH7/ufE=")</f>
        <v>#VALUE!</v>
      </c>
      <c r="II177" t="e">
        <f>AND(Bills!Q730,"AAAAAH7/ufI=")</f>
        <v>#VALUE!</v>
      </c>
      <c r="IJ177" t="e">
        <f>AND(Bills!R730,"AAAAAH7/ufM=")</f>
        <v>#VALUE!</v>
      </c>
      <c r="IK177" t="e">
        <f>AND(Bills!S730,"AAAAAH7/ufQ=")</f>
        <v>#VALUE!</v>
      </c>
      <c r="IL177" t="e">
        <f>AND(Bills!T730,"AAAAAH7/ufU=")</f>
        <v>#VALUE!</v>
      </c>
      <c r="IM177" t="e">
        <f>AND(Bills!#REF!,"AAAAAH7/ufY=")</f>
        <v>#REF!</v>
      </c>
      <c r="IN177" t="e">
        <f>AND(Bills!U730,"AAAAAH7/ufc=")</f>
        <v>#VALUE!</v>
      </c>
      <c r="IO177" t="e">
        <f>AND(Bills!V730,"AAAAAH7/ufg=")</f>
        <v>#VALUE!</v>
      </c>
      <c r="IP177" t="e">
        <f>AND(Bills!W730,"AAAAAH7/ufk=")</f>
        <v>#VALUE!</v>
      </c>
      <c r="IQ177" t="e">
        <f>AND(Bills!#REF!,"AAAAAH7/ufo=")</f>
        <v>#REF!</v>
      </c>
      <c r="IR177" t="e">
        <f>AND(Bills!#REF!,"AAAAAH7/ufs=")</f>
        <v>#REF!</v>
      </c>
      <c r="IS177" t="e">
        <f>AND(Bills!Y730,"AAAAAH7/ufw=")</f>
        <v>#VALUE!</v>
      </c>
      <c r="IT177" t="e">
        <f>AND(Bills!Z730,"AAAAAH7/uf0=")</f>
        <v>#VALUE!</v>
      </c>
      <c r="IU177" t="e">
        <f>AND(Bills!#REF!,"AAAAAH7/uf4=")</f>
        <v>#REF!</v>
      </c>
      <c r="IV177" t="e">
        <f>AND(Bills!#REF!,"AAAAAH7/uf8=")</f>
        <v>#REF!</v>
      </c>
    </row>
    <row r="178" spans="1:256" x14ac:dyDescent="0.25">
      <c r="A178" t="e">
        <f>AND(Bills!#REF!,"AAAAADvn/wA=")</f>
        <v>#REF!</v>
      </c>
      <c r="B178" t="e">
        <f>AND(Bills!#REF!,"AAAAADvn/wE=")</f>
        <v>#REF!</v>
      </c>
      <c r="C178" t="e">
        <f>AND(Bills!#REF!,"AAAAADvn/wI=")</f>
        <v>#REF!</v>
      </c>
      <c r="D178" t="e">
        <f>AND(Bills!#REF!,"AAAAADvn/wM=")</f>
        <v>#REF!</v>
      </c>
      <c r="E178" t="e">
        <f>AND(Bills!#REF!,"AAAAADvn/wQ=")</f>
        <v>#REF!</v>
      </c>
      <c r="F178" t="e">
        <f>AND(Bills!#REF!,"AAAAADvn/wU=")</f>
        <v>#REF!</v>
      </c>
      <c r="G178" t="e">
        <f>AND(Bills!#REF!,"AAAAADvn/wY=")</f>
        <v>#REF!</v>
      </c>
      <c r="H178" t="e">
        <f>AND(Bills!AA730,"AAAAADvn/wc=")</f>
        <v>#VALUE!</v>
      </c>
      <c r="I178" t="e">
        <f>AND(Bills!AB730,"AAAAADvn/wg=")</f>
        <v>#VALUE!</v>
      </c>
      <c r="J178" t="e">
        <f>AND(Bills!#REF!,"AAAAADvn/wk=")</f>
        <v>#REF!</v>
      </c>
      <c r="K178" t="e">
        <f>AND(Bills!#REF!,"AAAAADvn/wo=")</f>
        <v>#REF!</v>
      </c>
      <c r="L178" t="e">
        <f>AND(Bills!#REF!,"AAAAADvn/ws=")</f>
        <v>#REF!</v>
      </c>
      <c r="M178" t="e">
        <f>AND(Bills!AC730,"AAAAADvn/ww=")</f>
        <v>#VALUE!</v>
      </c>
      <c r="N178" t="e">
        <f>AND(Bills!AD730,"AAAAADvn/w0=")</f>
        <v>#VALUE!</v>
      </c>
      <c r="O178" t="e">
        <f>AND(Bills!AE730,"AAAAADvn/w4=")</f>
        <v>#VALUE!</v>
      </c>
      <c r="P178">
        <f>IF(Bills!731:731,"AAAAADvn/w8=",0)</f>
        <v>0</v>
      </c>
      <c r="Q178" t="e">
        <f>AND(Bills!B731,"AAAAADvn/xA=")</f>
        <v>#VALUE!</v>
      </c>
      <c r="R178" t="e">
        <f>AND(Bills!#REF!,"AAAAADvn/xE=")</f>
        <v>#REF!</v>
      </c>
      <c r="S178" t="e">
        <f>AND(Bills!C731,"AAAAADvn/xI=")</f>
        <v>#VALUE!</v>
      </c>
      <c r="T178" t="e">
        <f>AND(Bills!D731,"AAAAADvn/xM=")</f>
        <v>#VALUE!</v>
      </c>
      <c r="U178" t="e">
        <f>AND(Bills!E731,"AAAAADvn/xQ=")</f>
        <v>#VALUE!</v>
      </c>
      <c r="V178" t="e">
        <f>AND(Bills!#REF!,"AAAAADvn/xU=")</f>
        <v>#REF!</v>
      </c>
      <c r="W178" t="e">
        <f>AND(Bills!#REF!,"AAAAADvn/xY=")</f>
        <v>#REF!</v>
      </c>
      <c r="X178" t="e">
        <f>AND(Bills!#REF!,"AAAAADvn/xc=")</f>
        <v>#REF!</v>
      </c>
      <c r="Y178" t="e">
        <f>AND(Bills!F731,"AAAAADvn/xg=")</f>
        <v>#VALUE!</v>
      </c>
      <c r="Z178" t="e">
        <f>AND(Bills!#REF!,"AAAAADvn/xk=")</f>
        <v>#REF!</v>
      </c>
      <c r="AA178" t="e">
        <f>AND(Bills!G731,"AAAAADvn/xo=")</f>
        <v>#VALUE!</v>
      </c>
      <c r="AB178" t="e">
        <f>AND(Bills!H731,"AAAAADvn/xs=")</f>
        <v>#VALUE!</v>
      </c>
      <c r="AC178" t="e">
        <f>AND(Bills!I731,"AAAAADvn/xw=")</f>
        <v>#VALUE!</v>
      </c>
      <c r="AD178" t="e">
        <f>AND(Bills!J731,"AAAAADvn/x0=")</f>
        <v>#VALUE!</v>
      </c>
      <c r="AE178" t="e">
        <f>AND(Bills!K731,"AAAAADvn/x4=")</f>
        <v>#VALUE!</v>
      </c>
      <c r="AF178" t="e">
        <f>AND(Bills!L731,"AAAAADvn/x8=")</f>
        <v>#VALUE!</v>
      </c>
      <c r="AG178" t="e">
        <f>AND(Bills!#REF!,"AAAAADvn/yA=")</f>
        <v>#REF!</v>
      </c>
      <c r="AH178" t="e">
        <f>AND(Bills!M731,"AAAAADvn/yE=")</f>
        <v>#VALUE!</v>
      </c>
      <c r="AI178" t="e">
        <f>AND(Bills!N731,"AAAAADvn/yI=")</f>
        <v>#VALUE!</v>
      </c>
      <c r="AJ178" t="e">
        <f>AND(Bills!O731,"AAAAADvn/yM=")</f>
        <v>#VALUE!</v>
      </c>
      <c r="AK178" t="e">
        <f>AND(Bills!P731,"AAAAADvn/yQ=")</f>
        <v>#VALUE!</v>
      </c>
      <c r="AL178" t="e">
        <f>AND(Bills!Q731,"AAAAADvn/yU=")</f>
        <v>#VALUE!</v>
      </c>
      <c r="AM178" t="e">
        <f>AND(Bills!R731,"AAAAADvn/yY=")</f>
        <v>#VALUE!</v>
      </c>
      <c r="AN178" t="e">
        <f>AND(Bills!S731,"AAAAADvn/yc=")</f>
        <v>#VALUE!</v>
      </c>
      <c r="AO178" t="e">
        <f>AND(Bills!T731,"AAAAADvn/yg=")</f>
        <v>#VALUE!</v>
      </c>
      <c r="AP178" t="e">
        <f>AND(Bills!#REF!,"AAAAADvn/yk=")</f>
        <v>#REF!</v>
      </c>
      <c r="AQ178" t="e">
        <f>AND(Bills!U731,"AAAAADvn/yo=")</f>
        <v>#VALUE!</v>
      </c>
      <c r="AR178" t="e">
        <f>AND(Bills!V731,"AAAAADvn/ys=")</f>
        <v>#VALUE!</v>
      </c>
      <c r="AS178" t="e">
        <f>AND(Bills!W731,"AAAAADvn/yw=")</f>
        <v>#VALUE!</v>
      </c>
      <c r="AT178" t="e">
        <f>AND(Bills!#REF!,"AAAAADvn/y0=")</f>
        <v>#REF!</v>
      </c>
      <c r="AU178" t="e">
        <f>AND(Bills!#REF!,"AAAAADvn/y4=")</f>
        <v>#REF!</v>
      </c>
      <c r="AV178" t="e">
        <f>AND(Bills!Y731,"AAAAADvn/y8=")</f>
        <v>#VALUE!</v>
      </c>
      <c r="AW178" t="e">
        <f>AND(Bills!Z731,"AAAAADvn/zA=")</f>
        <v>#VALUE!</v>
      </c>
      <c r="AX178" t="e">
        <f>AND(Bills!#REF!,"AAAAADvn/zE=")</f>
        <v>#REF!</v>
      </c>
      <c r="AY178" t="e">
        <f>AND(Bills!#REF!,"AAAAADvn/zI=")</f>
        <v>#REF!</v>
      </c>
      <c r="AZ178" t="e">
        <f>AND(Bills!#REF!,"AAAAADvn/zM=")</f>
        <v>#REF!</v>
      </c>
      <c r="BA178" t="e">
        <f>AND(Bills!#REF!,"AAAAADvn/zQ=")</f>
        <v>#REF!</v>
      </c>
      <c r="BB178" t="e">
        <f>AND(Bills!#REF!,"AAAAADvn/zU=")</f>
        <v>#REF!</v>
      </c>
      <c r="BC178" t="e">
        <f>AND(Bills!#REF!,"AAAAADvn/zY=")</f>
        <v>#REF!</v>
      </c>
      <c r="BD178" t="e">
        <f>AND(Bills!#REF!,"AAAAADvn/zc=")</f>
        <v>#REF!</v>
      </c>
      <c r="BE178" t="e">
        <f>AND(Bills!#REF!,"AAAAADvn/zg=")</f>
        <v>#REF!</v>
      </c>
      <c r="BF178" t="e">
        <f>AND(Bills!#REF!,"AAAAADvn/zk=")</f>
        <v>#REF!</v>
      </c>
      <c r="BG178" t="e">
        <f>AND(Bills!AA731,"AAAAADvn/zo=")</f>
        <v>#VALUE!</v>
      </c>
      <c r="BH178" t="e">
        <f>AND(Bills!AB731,"AAAAADvn/zs=")</f>
        <v>#VALUE!</v>
      </c>
      <c r="BI178" t="e">
        <f>AND(Bills!#REF!,"AAAAADvn/zw=")</f>
        <v>#REF!</v>
      </c>
      <c r="BJ178" t="e">
        <f>AND(Bills!#REF!,"AAAAADvn/z0=")</f>
        <v>#REF!</v>
      </c>
      <c r="BK178" t="e">
        <f>AND(Bills!#REF!,"AAAAADvn/z4=")</f>
        <v>#REF!</v>
      </c>
      <c r="BL178" t="e">
        <f>AND(Bills!AC731,"AAAAADvn/z8=")</f>
        <v>#VALUE!</v>
      </c>
      <c r="BM178" t="e">
        <f>AND(Bills!AD731,"AAAAADvn/0A=")</f>
        <v>#VALUE!</v>
      </c>
      <c r="BN178" t="e">
        <f>AND(Bills!AE731,"AAAAADvn/0E=")</f>
        <v>#VALUE!</v>
      </c>
      <c r="BO178">
        <f>IF(Bills!732:732,"AAAAADvn/0I=",0)</f>
        <v>0</v>
      </c>
      <c r="BP178" t="e">
        <f>AND(Bills!B732,"AAAAADvn/0M=")</f>
        <v>#VALUE!</v>
      </c>
      <c r="BQ178" t="e">
        <f>AND(Bills!#REF!,"AAAAADvn/0Q=")</f>
        <v>#REF!</v>
      </c>
      <c r="BR178" t="e">
        <f>AND(Bills!C732,"AAAAADvn/0U=")</f>
        <v>#VALUE!</v>
      </c>
      <c r="BS178" t="e">
        <f>AND(Bills!D732,"AAAAADvn/0Y=")</f>
        <v>#VALUE!</v>
      </c>
      <c r="BT178" t="e">
        <f>AND(Bills!E732,"AAAAADvn/0c=")</f>
        <v>#VALUE!</v>
      </c>
      <c r="BU178" t="e">
        <f>AND(Bills!#REF!,"AAAAADvn/0g=")</f>
        <v>#REF!</v>
      </c>
      <c r="BV178" t="e">
        <f>AND(Bills!#REF!,"AAAAADvn/0k=")</f>
        <v>#REF!</v>
      </c>
      <c r="BW178" t="e">
        <f>AND(Bills!#REF!,"AAAAADvn/0o=")</f>
        <v>#REF!</v>
      </c>
      <c r="BX178" t="e">
        <f>AND(Bills!F732,"AAAAADvn/0s=")</f>
        <v>#VALUE!</v>
      </c>
      <c r="BY178" t="e">
        <f>AND(Bills!#REF!,"AAAAADvn/0w=")</f>
        <v>#REF!</v>
      </c>
      <c r="BZ178" t="e">
        <f>AND(Bills!G732,"AAAAADvn/00=")</f>
        <v>#VALUE!</v>
      </c>
      <c r="CA178" t="e">
        <f>AND(Bills!H732,"AAAAADvn/04=")</f>
        <v>#VALUE!</v>
      </c>
      <c r="CB178" t="e">
        <f>AND(Bills!I732,"AAAAADvn/08=")</f>
        <v>#VALUE!</v>
      </c>
      <c r="CC178" t="e">
        <f>AND(Bills!J732,"AAAAADvn/1A=")</f>
        <v>#VALUE!</v>
      </c>
      <c r="CD178" t="e">
        <f>AND(Bills!K732,"AAAAADvn/1E=")</f>
        <v>#VALUE!</v>
      </c>
      <c r="CE178" t="e">
        <f>AND(Bills!L732,"AAAAADvn/1I=")</f>
        <v>#VALUE!</v>
      </c>
      <c r="CF178" t="e">
        <f>AND(Bills!#REF!,"AAAAADvn/1M=")</f>
        <v>#REF!</v>
      </c>
      <c r="CG178" t="e">
        <f>AND(Bills!M732,"AAAAADvn/1Q=")</f>
        <v>#VALUE!</v>
      </c>
      <c r="CH178" t="e">
        <f>AND(Bills!N732,"AAAAADvn/1U=")</f>
        <v>#VALUE!</v>
      </c>
      <c r="CI178" t="e">
        <f>AND(Bills!O732,"AAAAADvn/1Y=")</f>
        <v>#VALUE!</v>
      </c>
      <c r="CJ178" t="e">
        <f>AND(Bills!P732,"AAAAADvn/1c=")</f>
        <v>#VALUE!</v>
      </c>
      <c r="CK178" t="e">
        <f>AND(Bills!Q732,"AAAAADvn/1g=")</f>
        <v>#VALUE!</v>
      </c>
      <c r="CL178" t="e">
        <f>AND(Bills!R732,"AAAAADvn/1k=")</f>
        <v>#VALUE!</v>
      </c>
      <c r="CM178" t="e">
        <f>AND(Bills!S732,"AAAAADvn/1o=")</f>
        <v>#VALUE!</v>
      </c>
      <c r="CN178" t="e">
        <f>AND(Bills!T732,"AAAAADvn/1s=")</f>
        <v>#VALUE!</v>
      </c>
      <c r="CO178" t="e">
        <f>AND(Bills!#REF!,"AAAAADvn/1w=")</f>
        <v>#REF!</v>
      </c>
      <c r="CP178" t="e">
        <f>AND(Bills!U732,"AAAAADvn/10=")</f>
        <v>#VALUE!</v>
      </c>
      <c r="CQ178" t="e">
        <f>AND(Bills!V732,"AAAAADvn/14=")</f>
        <v>#VALUE!</v>
      </c>
      <c r="CR178" t="e">
        <f>AND(Bills!W732,"AAAAADvn/18=")</f>
        <v>#VALUE!</v>
      </c>
      <c r="CS178" t="e">
        <f>AND(Bills!#REF!,"AAAAADvn/2A=")</f>
        <v>#REF!</v>
      </c>
      <c r="CT178" t="e">
        <f>AND(Bills!#REF!,"AAAAADvn/2E=")</f>
        <v>#REF!</v>
      </c>
      <c r="CU178" t="e">
        <f>AND(Bills!Y732,"AAAAADvn/2I=")</f>
        <v>#VALUE!</v>
      </c>
      <c r="CV178" t="e">
        <f>AND(Bills!Z732,"AAAAADvn/2M=")</f>
        <v>#VALUE!</v>
      </c>
      <c r="CW178" t="e">
        <f>AND(Bills!#REF!,"AAAAADvn/2Q=")</f>
        <v>#REF!</v>
      </c>
      <c r="CX178" t="e">
        <f>AND(Bills!#REF!,"AAAAADvn/2U=")</f>
        <v>#REF!</v>
      </c>
      <c r="CY178" t="e">
        <f>AND(Bills!#REF!,"AAAAADvn/2Y=")</f>
        <v>#REF!</v>
      </c>
      <c r="CZ178" t="e">
        <f>AND(Bills!#REF!,"AAAAADvn/2c=")</f>
        <v>#REF!</v>
      </c>
      <c r="DA178" t="e">
        <f>AND(Bills!#REF!,"AAAAADvn/2g=")</f>
        <v>#REF!</v>
      </c>
      <c r="DB178" t="e">
        <f>AND(Bills!#REF!,"AAAAADvn/2k=")</f>
        <v>#REF!</v>
      </c>
      <c r="DC178" t="e">
        <f>AND(Bills!#REF!,"AAAAADvn/2o=")</f>
        <v>#REF!</v>
      </c>
      <c r="DD178" t="e">
        <f>AND(Bills!#REF!,"AAAAADvn/2s=")</f>
        <v>#REF!</v>
      </c>
      <c r="DE178" t="e">
        <f>AND(Bills!#REF!,"AAAAADvn/2w=")</f>
        <v>#REF!</v>
      </c>
      <c r="DF178" t="e">
        <f>AND(Bills!AA732,"AAAAADvn/20=")</f>
        <v>#VALUE!</v>
      </c>
      <c r="DG178" t="e">
        <f>AND(Bills!AB732,"AAAAADvn/24=")</f>
        <v>#VALUE!</v>
      </c>
      <c r="DH178" t="e">
        <f>AND(Bills!#REF!,"AAAAADvn/28=")</f>
        <v>#REF!</v>
      </c>
      <c r="DI178" t="e">
        <f>AND(Bills!#REF!,"AAAAADvn/3A=")</f>
        <v>#REF!</v>
      </c>
      <c r="DJ178" t="e">
        <f>AND(Bills!#REF!,"AAAAADvn/3E=")</f>
        <v>#REF!</v>
      </c>
      <c r="DK178" t="e">
        <f>AND(Bills!AC732,"AAAAADvn/3I=")</f>
        <v>#VALUE!</v>
      </c>
      <c r="DL178" t="e">
        <f>AND(Bills!AD732,"AAAAADvn/3M=")</f>
        <v>#VALUE!</v>
      </c>
      <c r="DM178" t="e">
        <f>AND(Bills!AE732,"AAAAADvn/3Q=")</f>
        <v>#VALUE!</v>
      </c>
      <c r="DN178">
        <f>IF(Bills!733:733,"AAAAADvn/3U=",0)</f>
        <v>0</v>
      </c>
      <c r="DO178" t="e">
        <f>AND(Bills!B733,"AAAAADvn/3Y=")</f>
        <v>#VALUE!</v>
      </c>
      <c r="DP178" t="e">
        <f>AND(Bills!#REF!,"AAAAADvn/3c=")</f>
        <v>#REF!</v>
      </c>
      <c r="DQ178" t="e">
        <f>AND(Bills!C733,"AAAAADvn/3g=")</f>
        <v>#VALUE!</v>
      </c>
      <c r="DR178" t="e">
        <f>AND(Bills!D733,"AAAAADvn/3k=")</f>
        <v>#VALUE!</v>
      </c>
      <c r="DS178" t="e">
        <f>AND(Bills!E733,"AAAAADvn/3o=")</f>
        <v>#VALUE!</v>
      </c>
      <c r="DT178" t="e">
        <f>AND(Bills!#REF!,"AAAAADvn/3s=")</f>
        <v>#REF!</v>
      </c>
      <c r="DU178" t="e">
        <f>AND(Bills!#REF!,"AAAAADvn/3w=")</f>
        <v>#REF!</v>
      </c>
      <c r="DV178" t="e">
        <f>AND(Bills!#REF!,"AAAAADvn/30=")</f>
        <v>#REF!</v>
      </c>
      <c r="DW178" t="e">
        <f>AND(Bills!F733,"AAAAADvn/34=")</f>
        <v>#VALUE!</v>
      </c>
      <c r="DX178" t="e">
        <f>AND(Bills!#REF!,"AAAAADvn/38=")</f>
        <v>#REF!</v>
      </c>
      <c r="DY178" t="e">
        <f>AND(Bills!G733,"AAAAADvn/4A=")</f>
        <v>#VALUE!</v>
      </c>
      <c r="DZ178" t="e">
        <f>AND(Bills!H733,"AAAAADvn/4E=")</f>
        <v>#VALUE!</v>
      </c>
      <c r="EA178" t="e">
        <f>AND(Bills!I733,"AAAAADvn/4I=")</f>
        <v>#VALUE!</v>
      </c>
      <c r="EB178" t="e">
        <f>AND(Bills!J733,"AAAAADvn/4M=")</f>
        <v>#VALUE!</v>
      </c>
      <c r="EC178" t="e">
        <f>AND(Bills!K733,"AAAAADvn/4Q=")</f>
        <v>#VALUE!</v>
      </c>
      <c r="ED178" t="e">
        <f>AND(Bills!L733,"AAAAADvn/4U=")</f>
        <v>#VALUE!</v>
      </c>
      <c r="EE178" t="e">
        <f>AND(Bills!#REF!,"AAAAADvn/4Y=")</f>
        <v>#REF!</v>
      </c>
      <c r="EF178" t="e">
        <f>AND(Bills!M733,"AAAAADvn/4c=")</f>
        <v>#VALUE!</v>
      </c>
      <c r="EG178" t="e">
        <f>AND(Bills!N733,"AAAAADvn/4g=")</f>
        <v>#VALUE!</v>
      </c>
      <c r="EH178" t="e">
        <f>AND(Bills!O733,"AAAAADvn/4k=")</f>
        <v>#VALUE!</v>
      </c>
      <c r="EI178" t="e">
        <f>AND(Bills!P733,"AAAAADvn/4o=")</f>
        <v>#VALUE!</v>
      </c>
      <c r="EJ178" t="e">
        <f>AND(Bills!Q733,"AAAAADvn/4s=")</f>
        <v>#VALUE!</v>
      </c>
      <c r="EK178" t="e">
        <f>AND(Bills!R733,"AAAAADvn/4w=")</f>
        <v>#VALUE!</v>
      </c>
      <c r="EL178" t="e">
        <f>AND(Bills!S733,"AAAAADvn/40=")</f>
        <v>#VALUE!</v>
      </c>
      <c r="EM178" t="e">
        <f>AND(Bills!T733,"AAAAADvn/44=")</f>
        <v>#VALUE!</v>
      </c>
      <c r="EN178" t="e">
        <f>AND(Bills!#REF!,"AAAAADvn/48=")</f>
        <v>#REF!</v>
      </c>
      <c r="EO178" t="e">
        <f>AND(Bills!U733,"AAAAADvn/5A=")</f>
        <v>#VALUE!</v>
      </c>
      <c r="EP178" t="e">
        <f>AND(Bills!V733,"AAAAADvn/5E=")</f>
        <v>#VALUE!</v>
      </c>
      <c r="EQ178" t="e">
        <f>AND(Bills!W733,"AAAAADvn/5I=")</f>
        <v>#VALUE!</v>
      </c>
      <c r="ER178" t="e">
        <f>AND(Bills!#REF!,"AAAAADvn/5M=")</f>
        <v>#REF!</v>
      </c>
      <c r="ES178" t="e">
        <f>AND(Bills!#REF!,"AAAAADvn/5Q=")</f>
        <v>#REF!</v>
      </c>
      <c r="ET178" t="e">
        <f>AND(Bills!Y733,"AAAAADvn/5U=")</f>
        <v>#VALUE!</v>
      </c>
      <c r="EU178" t="e">
        <f>AND(Bills!Z733,"AAAAADvn/5Y=")</f>
        <v>#VALUE!</v>
      </c>
      <c r="EV178" t="e">
        <f>AND(Bills!#REF!,"AAAAADvn/5c=")</f>
        <v>#REF!</v>
      </c>
      <c r="EW178" t="e">
        <f>AND(Bills!#REF!,"AAAAADvn/5g=")</f>
        <v>#REF!</v>
      </c>
      <c r="EX178" t="e">
        <f>AND(Bills!#REF!,"AAAAADvn/5k=")</f>
        <v>#REF!</v>
      </c>
      <c r="EY178" t="e">
        <f>AND(Bills!#REF!,"AAAAADvn/5o=")</f>
        <v>#REF!</v>
      </c>
      <c r="EZ178" t="e">
        <f>AND(Bills!#REF!,"AAAAADvn/5s=")</f>
        <v>#REF!</v>
      </c>
      <c r="FA178" t="e">
        <f>AND(Bills!#REF!,"AAAAADvn/5w=")</f>
        <v>#REF!</v>
      </c>
      <c r="FB178" t="e">
        <f>AND(Bills!#REF!,"AAAAADvn/50=")</f>
        <v>#REF!</v>
      </c>
      <c r="FC178" t="e">
        <f>AND(Bills!#REF!,"AAAAADvn/54=")</f>
        <v>#REF!</v>
      </c>
      <c r="FD178" t="e">
        <f>AND(Bills!#REF!,"AAAAADvn/58=")</f>
        <v>#REF!</v>
      </c>
      <c r="FE178" t="e">
        <f>AND(Bills!AA733,"AAAAADvn/6A=")</f>
        <v>#VALUE!</v>
      </c>
      <c r="FF178" t="e">
        <f>AND(Bills!AB733,"AAAAADvn/6E=")</f>
        <v>#VALUE!</v>
      </c>
      <c r="FG178" t="e">
        <f>AND(Bills!#REF!,"AAAAADvn/6I=")</f>
        <v>#REF!</v>
      </c>
      <c r="FH178" t="e">
        <f>AND(Bills!#REF!,"AAAAADvn/6M=")</f>
        <v>#REF!</v>
      </c>
      <c r="FI178" t="e">
        <f>AND(Bills!#REF!,"AAAAADvn/6Q=")</f>
        <v>#REF!</v>
      </c>
      <c r="FJ178" t="e">
        <f>AND(Bills!AC733,"AAAAADvn/6U=")</f>
        <v>#VALUE!</v>
      </c>
      <c r="FK178" t="e">
        <f>AND(Bills!AD733,"AAAAADvn/6Y=")</f>
        <v>#VALUE!</v>
      </c>
      <c r="FL178" t="e">
        <f>AND(Bills!AE733,"AAAAADvn/6c=")</f>
        <v>#VALUE!</v>
      </c>
      <c r="FM178">
        <f>IF(Bills!734:734,"AAAAADvn/6g=",0)</f>
        <v>0</v>
      </c>
      <c r="FN178" t="e">
        <f>AND(Bills!B734,"AAAAADvn/6k=")</f>
        <v>#VALUE!</v>
      </c>
      <c r="FO178" t="e">
        <f>AND(Bills!#REF!,"AAAAADvn/6o=")</f>
        <v>#REF!</v>
      </c>
      <c r="FP178" t="e">
        <f>AND(Bills!C734,"AAAAADvn/6s=")</f>
        <v>#VALUE!</v>
      </c>
      <c r="FQ178" t="e">
        <f>AND(Bills!D734,"AAAAADvn/6w=")</f>
        <v>#VALUE!</v>
      </c>
      <c r="FR178" t="e">
        <f>AND(Bills!E734,"AAAAADvn/60=")</f>
        <v>#VALUE!</v>
      </c>
      <c r="FS178" t="e">
        <f>AND(Bills!#REF!,"AAAAADvn/64=")</f>
        <v>#REF!</v>
      </c>
      <c r="FT178" t="e">
        <f>AND(Bills!#REF!,"AAAAADvn/68=")</f>
        <v>#REF!</v>
      </c>
      <c r="FU178" t="e">
        <f>AND(Bills!#REF!,"AAAAADvn/7A=")</f>
        <v>#REF!</v>
      </c>
      <c r="FV178" t="e">
        <f>AND(Bills!F734,"AAAAADvn/7E=")</f>
        <v>#VALUE!</v>
      </c>
      <c r="FW178" t="e">
        <f>AND(Bills!#REF!,"AAAAADvn/7I=")</f>
        <v>#REF!</v>
      </c>
      <c r="FX178" t="e">
        <f>AND(Bills!G734,"AAAAADvn/7M=")</f>
        <v>#VALUE!</v>
      </c>
      <c r="FY178" t="e">
        <f>AND(Bills!H734,"AAAAADvn/7Q=")</f>
        <v>#VALUE!</v>
      </c>
      <c r="FZ178" t="e">
        <f>AND(Bills!I734,"AAAAADvn/7U=")</f>
        <v>#VALUE!</v>
      </c>
      <c r="GA178" t="e">
        <f>AND(Bills!J734,"AAAAADvn/7Y=")</f>
        <v>#VALUE!</v>
      </c>
      <c r="GB178" t="e">
        <f>AND(Bills!K734,"AAAAADvn/7c=")</f>
        <v>#VALUE!</v>
      </c>
      <c r="GC178" t="e">
        <f>AND(Bills!L734,"AAAAADvn/7g=")</f>
        <v>#VALUE!</v>
      </c>
      <c r="GD178" t="e">
        <f>AND(Bills!#REF!,"AAAAADvn/7k=")</f>
        <v>#REF!</v>
      </c>
      <c r="GE178" t="e">
        <f>AND(Bills!M734,"AAAAADvn/7o=")</f>
        <v>#VALUE!</v>
      </c>
      <c r="GF178" t="e">
        <f>AND(Bills!N734,"AAAAADvn/7s=")</f>
        <v>#VALUE!</v>
      </c>
      <c r="GG178" t="e">
        <f>AND(Bills!O734,"AAAAADvn/7w=")</f>
        <v>#VALUE!</v>
      </c>
      <c r="GH178" t="e">
        <f>AND(Bills!P734,"AAAAADvn/70=")</f>
        <v>#VALUE!</v>
      </c>
      <c r="GI178" t="e">
        <f>AND(Bills!Q734,"AAAAADvn/74=")</f>
        <v>#VALUE!</v>
      </c>
      <c r="GJ178" t="e">
        <f>AND(Bills!R734,"AAAAADvn/78=")</f>
        <v>#VALUE!</v>
      </c>
      <c r="GK178" t="e">
        <f>AND(Bills!S734,"AAAAADvn/8A=")</f>
        <v>#VALUE!</v>
      </c>
      <c r="GL178" t="e">
        <f>AND(Bills!T734,"AAAAADvn/8E=")</f>
        <v>#VALUE!</v>
      </c>
      <c r="GM178" t="e">
        <f>AND(Bills!#REF!,"AAAAADvn/8I=")</f>
        <v>#REF!</v>
      </c>
      <c r="GN178" t="e">
        <f>AND(Bills!U734,"AAAAADvn/8M=")</f>
        <v>#VALUE!</v>
      </c>
      <c r="GO178" t="e">
        <f>AND(Bills!V734,"AAAAADvn/8Q=")</f>
        <v>#VALUE!</v>
      </c>
      <c r="GP178" t="e">
        <f>AND(Bills!W734,"AAAAADvn/8U=")</f>
        <v>#VALUE!</v>
      </c>
      <c r="GQ178" t="e">
        <f>AND(Bills!#REF!,"AAAAADvn/8Y=")</f>
        <v>#REF!</v>
      </c>
      <c r="GR178" t="e">
        <f>AND(Bills!#REF!,"AAAAADvn/8c=")</f>
        <v>#REF!</v>
      </c>
      <c r="GS178" t="e">
        <f>AND(Bills!Y734,"AAAAADvn/8g=")</f>
        <v>#VALUE!</v>
      </c>
      <c r="GT178" t="e">
        <f>AND(Bills!Z734,"AAAAADvn/8k=")</f>
        <v>#VALUE!</v>
      </c>
      <c r="GU178" t="e">
        <f>AND(Bills!#REF!,"AAAAADvn/8o=")</f>
        <v>#REF!</v>
      </c>
      <c r="GV178" t="e">
        <f>AND(Bills!#REF!,"AAAAADvn/8s=")</f>
        <v>#REF!</v>
      </c>
      <c r="GW178" t="e">
        <f>AND(Bills!#REF!,"AAAAADvn/8w=")</f>
        <v>#REF!</v>
      </c>
      <c r="GX178" t="e">
        <f>AND(Bills!#REF!,"AAAAADvn/80=")</f>
        <v>#REF!</v>
      </c>
      <c r="GY178" t="e">
        <f>AND(Bills!#REF!,"AAAAADvn/84=")</f>
        <v>#REF!</v>
      </c>
      <c r="GZ178" t="e">
        <f>AND(Bills!#REF!,"AAAAADvn/88=")</f>
        <v>#REF!</v>
      </c>
      <c r="HA178" t="e">
        <f>AND(Bills!#REF!,"AAAAADvn/9A=")</f>
        <v>#REF!</v>
      </c>
      <c r="HB178" t="e">
        <f>AND(Bills!#REF!,"AAAAADvn/9E=")</f>
        <v>#REF!</v>
      </c>
      <c r="HC178" t="e">
        <f>AND(Bills!#REF!,"AAAAADvn/9I=")</f>
        <v>#REF!</v>
      </c>
      <c r="HD178" t="e">
        <f>AND(Bills!AA734,"AAAAADvn/9M=")</f>
        <v>#VALUE!</v>
      </c>
      <c r="HE178" t="e">
        <f>AND(Bills!AB734,"AAAAADvn/9Q=")</f>
        <v>#VALUE!</v>
      </c>
      <c r="HF178" t="e">
        <f>AND(Bills!#REF!,"AAAAADvn/9U=")</f>
        <v>#REF!</v>
      </c>
      <c r="HG178" t="e">
        <f>AND(Bills!#REF!,"AAAAADvn/9Y=")</f>
        <v>#REF!</v>
      </c>
      <c r="HH178" t="e">
        <f>AND(Bills!#REF!,"AAAAADvn/9c=")</f>
        <v>#REF!</v>
      </c>
      <c r="HI178" t="e">
        <f>AND(Bills!AC734,"AAAAADvn/9g=")</f>
        <v>#VALUE!</v>
      </c>
      <c r="HJ178" t="e">
        <f>AND(Bills!AD734,"AAAAADvn/9k=")</f>
        <v>#VALUE!</v>
      </c>
      <c r="HK178" t="e">
        <f>AND(Bills!AE734,"AAAAADvn/9o=")</f>
        <v>#VALUE!</v>
      </c>
      <c r="HL178">
        <f>IF(Bills!735:735,"AAAAADvn/9s=",0)</f>
        <v>0</v>
      </c>
      <c r="HM178" t="e">
        <f>AND(Bills!B735,"AAAAADvn/9w=")</f>
        <v>#VALUE!</v>
      </c>
      <c r="HN178" t="e">
        <f>AND(Bills!#REF!,"AAAAADvn/90=")</f>
        <v>#REF!</v>
      </c>
      <c r="HO178" t="e">
        <f>AND(Bills!C735,"AAAAADvn/94=")</f>
        <v>#VALUE!</v>
      </c>
      <c r="HP178" t="e">
        <f>AND(Bills!D735,"AAAAADvn/98=")</f>
        <v>#VALUE!</v>
      </c>
      <c r="HQ178" t="e">
        <f>AND(Bills!E735,"AAAAADvn/+A=")</f>
        <v>#VALUE!</v>
      </c>
      <c r="HR178" t="e">
        <f>AND(Bills!#REF!,"AAAAADvn/+E=")</f>
        <v>#REF!</v>
      </c>
      <c r="HS178" t="e">
        <f>AND(Bills!#REF!,"AAAAADvn/+I=")</f>
        <v>#REF!</v>
      </c>
      <c r="HT178" t="e">
        <f>AND(Bills!#REF!,"AAAAADvn/+M=")</f>
        <v>#REF!</v>
      </c>
      <c r="HU178" t="e">
        <f>AND(Bills!F735,"AAAAADvn/+Q=")</f>
        <v>#VALUE!</v>
      </c>
      <c r="HV178" t="e">
        <f>AND(Bills!#REF!,"AAAAADvn/+U=")</f>
        <v>#REF!</v>
      </c>
      <c r="HW178" t="e">
        <f>AND(Bills!G735,"AAAAADvn/+Y=")</f>
        <v>#VALUE!</v>
      </c>
      <c r="HX178" t="e">
        <f>AND(Bills!H735,"AAAAADvn/+c=")</f>
        <v>#VALUE!</v>
      </c>
      <c r="HY178" t="e">
        <f>AND(Bills!I735,"AAAAADvn/+g=")</f>
        <v>#VALUE!</v>
      </c>
      <c r="HZ178" t="e">
        <f>AND(Bills!J735,"AAAAADvn/+k=")</f>
        <v>#VALUE!</v>
      </c>
      <c r="IA178" t="e">
        <f>AND(Bills!K735,"AAAAADvn/+o=")</f>
        <v>#VALUE!</v>
      </c>
      <c r="IB178" t="e">
        <f>AND(Bills!L735,"AAAAADvn/+s=")</f>
        <v>#VALUE!</v>
      </c>
      <c r="IC178" t="e">
        <f>AND(Bills!#REF!,"AAAAADvn/+w=")</f>
        <v>#REF!</v>
      </c>
      <c r="ID178" t="e">
        <f>AND(Bills!M735,"AAAAADvn/+0=")</f>
        <v>#VALUE!</v>
      </c>
      <c r="IE178" t="e">
        <f>AND(Bills!N735,"AAAAADvn/+4=")</f>
        <v>#VALUE!</v>
      </c>
      <c r="IF178" t="e">
        <f>AND(Bills!O735,"AAAAADvn/+8=")</f>
        <v>#VALUE!</v>
      </c>
      <c r="IG178" t="e">
        <f>AND(Bills!P735,"AAAAADvn//A=")</f>
        <v>#VALUE!</v>
      </c>
      <c r="IH178" t="e">
        <f>AND(Bills!Q735,"AAAAADvn//E=")</f>
        <v>#VALUE!</v>
      </c>
      <c r="II178" t="e">
        <f>AND(Bills!R735,"AAAAADvn//I=")</f>
        <v>#VALUE!</v>
      </c>
      <c r="IJ178" t="e">
        <f>AND(Bills!S735,"AAAAADvn//M=")</f>
        <v>#VALUE!</v>
      </c>
      <c r="IK178" t="e">
        <f>AND(Bills!T735,"AAAAADvn//Q=")</f>
        <v>#VALUE!</v>
      </c>
      <c r="IL178" t="e">
        <f>AND(Bills!#REF!,"AAAAADvn//U=")</f>
        <v>#REF!</v>
      </c>
      <c r="IM178" t="e">
        <f>AND(Bills!U735,"AAAAADvn//Y=")</f>
        <v>#VALUE!</v>
      </c>
      <c r="IN178" t="e">
        <f>AND(Bills!V735,"AAAAADvn//c=")</f>
        <v>#VALUE!</v>
      </c>
      <c r="IO178" t="e">
        <f>AND(Bills!W735,"AAAAADvn//g=")</f>
        <v>#VALUE!</v>
      </c>
      <c r="IP178" t="e">
        <f>AND(Bills!#REF!,"AAAAADvn//k=")</f>
        <v>#REF!</v>
      </c>
      <c r="IQ178" t="e">
        <f>AND(Bills!#REF!,"AAAAADvn//o=")</f>
        <v>#REF!</v>
      </c>
      <c r="IR178" t="e">
        <f>AND(Bills!Y735,"AAAAADvn//s=")</f>
        <v>#VALUE!</v>
      </c>
      <c r="IS178" t="e">
        <f>AND(Bills!Z735,"AAAAADvn//w=")</f>
        <v>#VALUE!</v>
      </c>
      <c r="IT178" t="e">
        <f>AND(Bills!#REF!,"AAAAADvn//0=")</f>
        <v>#REF!</v>
      </c>
      <c r="IU178" t="e">
        <f>AND(Bills!#REF!,"AAAAADvn//4=")</f>
        <v>#REF!</v>
      </c>
      <c r="IV178" t="e">
        <f>AND(Bills!#REF!,"AAAAADvn//8=")</f>
        <v>#REF!</v>
      </c>
    </row>
    <row r="179" spans="1:256" x14ac:dyDescent="0.25">
      <c r="A179" t="e">
        <f>AND(Bills!#REF!,"AAAAAG4avgA=")</f>
        <v>#REF!</v>
      </c>
      <c r="B179" t="e">
        <f>AND(Bills!#REF!,"AAAAAG4avgE=")</f>
        <v>#REF!</v>
      </c>
      <c r="C179" t="e">
        <f>AND(Bills!#REF!,"AAAAAG4avgI=")</f>
        <v>#REF!</v>
      </c>
      <c r="D179" t="e">
        <f>AND(Bills!#REF!,"AAAAAG4avgM=")</f>
        <v>#REF!</v>
      </c>
      <c r="E179" t="e">
        <f>AND(Bills!#REF!,"AAAAAG4avgQ=")</f>
        <v>#REF!</v>
      </c>
      <c r="F179" t="e">
        <f>AND(Bills!#REF!,"AAAAAG4avgU=")</f>
        <v>#REF!</v>
      </c>
      <c r="G179" t="e">
        <f>AND(Bills!AA735,"AAAAAG4avgY=")</f>
        <v>#VALUE!</v>
      </c>
      <c r="H179" t="e">
        <f>AND(Bills!AB735,"AAAAAG4avgc=")</f>
        <v>#VALUE!</v>
      </c>
      <c r="I179" t="e">
        <f>AND(Bills!#REF!,"AAAAAG4avgg=")</f>
        <v>#REF!</v>
      </c>
      <c r="J179" t="e">
        <f>AND(Bills!#REF!,"AAAAAG4avgk=")</f>
        <v>#REF!</v>
      </c>
      <c r="K179" t="e">
        <f>AND(Bills!#REF!,"AAAAAG4avgo=")</f>
        <v>#REF!</v>
      </c>
      <c r="L179" t="e">
        <f>AND(Bills!AC735,"AAAAAG4avgs=")</f>
        <v>#VALUE!</v>
      </c>
      <c r="M179" t="e">
        <f>AND(Bills!AD735,"AAAAAG4avgw=")</f>
        <v>#VALUE!</v>
      </c>
      <c r="N179" t="e">
        <f>AND(Bills!AE735,"AAAAAG4avg0=")</f>
        <v>#VALUE!</v>
      </c>
      <c r="O179">
        <f>IF(Bills!736:736,"AAAAAG4avg4=",0)</f>
        <v>0</v>
      </c>
      <c r="P179" t="e">
        <f>AND(Bills!B736,"AAAAAG4avg8=")</f>
        <v>#VALUE!</v>
      </c>
      <c r="Q179" t="e">
        <f>AND(Bills!#REF!,"AAAAAG4avhA=")</f>
        <v>#REF!</v>
      </c>
      <c r="R179" t="e">
        <f>AND(Bills!C736,"AAAAAG4avhE=")</f>
        <v>#VALUE!</v>
      </c>
      <c r="S179" t="e">
        <f>AND(Bills!D736,"AAAAAG4avhI=")</f>
        <v>#VALUE!</v>
      </c>
      <c r="T179" t="e">
        <f>AND(Bills!E736,"AAAAAG4avhM=")</f>
        <v>#VALUE!</v>
      </c>
      <c r="U179" t="e">
        <f>AND(Bills!#REF!,"AAAAAG4avhQ=")</f>
        <v>#REF!</v>
      </c>
      <c r="V179" t="e">
        <f>AND(Bills!#REF!,"AAAAAG4avhU=")</f>
        <v>#REF!</v>
      </c>
      <c r="W179" t="e">
        <f>AND(Bills!#REF!,"AAAAAG4avhY=")</f>
        <v>#REF!</v>
      </c>
      <c r="X179" t="e">
        <f>AND(Bills!F736,"AAAAAG4avhc=")</f>
        <v>#VALUE!</v>
      </c>
      <c r="Y179" t="e">
        <f>AND(Bills!#REF!,"AAAAAG4avhg=")</f>
        <v>#REF!</v>
      </c>
      <c r="Z179" t="e">
        <f>AND(Bills!G736,"AAAAAG4avhk=")</f>
        <v>#VALUE!</v>
      </c>
      <c r="AA179" t="e">
        <f>AND(Bills!H736,"AAAAAG4avho=")</f>
        <v>#VALUE!</v>
      </c>
      <c r="AB179" t="e">
        <f>AND(Bills!I736,"AAAAAG4avhs=")</f>
        <v>#VALUE!</v>
      </c>
      <c r="AC179" t="e">
        <f>AND(Bills!J736,"AAAAAG4avhw=")</f>
        <v>#VALUE!</v>
      </c>
      <c r="AD179" t="e">
        <f>AND(Bills!K736,"AAAAAG4avh0=")</f>
        <v>#VALUE!</v>
      </c>
      <c r="AE179" t="e">
        <f>AND(Bills!L736,"AAAAAG4avh4=")</f>
        <v>#VALUE!</v>
      </c>
      <c r="AF179" t="e">
        <f>AND(Bills!#REF!,"AAAAAG4avh8=")</f>
        <v>#REF!</v>
      </c>
      <c r="AG179" t="e">
        <f>AND(Bills!M736,"AAAAAG4aviA=")</f>
        <v>#VALUE!</v>
      </c>
      <c r="AH179" t="e">
        <f>AND(Bills!N736,"AAAAAG4aviE=")</f>
        <v>#VALUE!</v>
      </c>
      <c r="AI179" t="e">
        <f>AND(Bills!O736,"AAAAAG4aviI=")</f>
        <v>#VALUE!</v>
      </c>
      <c r="AJ179" t="e">
        <f>AND(Bills!P736,"AAAAAG4aviM=")</f>
        <v>#VALUE!</v>
      </c>
      <c r="AK179" t="e">
        <f>AND(Bills!Q736,"AAAAAG4aviQ=")</f>
        <v>#VALUE!</v>
      </c>
      <c r="AL179" t="e">
        <f>AND(Bills!R736,"AAAAAG4aviU=")</f>
        <v>#VALUE!</v>
      </c>
      <c r="AM179" t="e">
        <f>AND(Bills!S736,"AAAAAG4aviY=")</f>
        <v>#VALUE!</v>
      </c>
      <c r="AN179" t="e">
        <f>AND(Bills!T736,"AAAAAG4avic=")</f>
        <v>#VALUE!</v>
      </c>
      <c r="AO179" t="e">
        <f>AND(Bills!#REF!,"AAAAAG4avig=")</f>
        <v>#REF!</v>
      </c>
      <c r="AP179" t="e">
        <f>AND(Bills!U736,"AAAAAG4avik=")</f>
        <v>#VALUE!</v>
      </c>
      <c r="AQ179" t="e">
        <f>AND(Bills!V736,"AAAAAG4avio=")</f>
        <v>#VALUE!</v>
      </c>
      <c r="AR179" t="e">
        <f>AND(Bills!W736,"AAAAAG4avis=")</f>
        <v>#VALUE!</v>
      </c>
      <c r="AS179" t="e">
        <f>AND(Bills!#REF!,"AAAAAG4aviw=")</f>
        <v>#REF!</v>
      </c>
      <c r="AT179" t="e">
        <f>AND(Bills!#REF!,"AAAAAG4avi0=")</f>
        <v>#REF!</v>
      </c>
      <c r="AU179" t="e">
        <f>AND(Bills!Y736,"AAAAAG4avi4=")</f>
        <v>#VALUE!</v>
      </c>
      <c r="AV179" t="e">
        <f>AND(Bills!Z736,"AAAAAG4avi8=")</f>
        <v>#VALUE!</v>
      </c>
      <c r="AW179" t="e">
        <f>AND(Bills!#REF!,"AAAAAG4avjA=")</f>
        <v>#REF!</v>
      </c>
      <c r="AX179" t="e">
        <f>AND(Bills!#REF!,"AAAAAG4avjE=")</f>
        <v>#REF!</v>
      </c>
      <c r="AY179" t="e">
        <f>AND(Bills!#REF!,"AAAAAG4avjI=")</f>
        <v>#REF!</v>
      </c>
      <c r="AZ179" t="e">
        <f>AND(Bills!#REF!,"AAAAAG4avjM=")</f>
        <v>#REF!</v>
      </c>
      <c r="BA179" t="e">
        <f>AND(Bills!#REF!,"AAAAAG4avjQ=")</f>
        <v>#REF!</v>
      </c>
      <c r="BB179" t="e">
        <f>AND(Bills!#REF!,"AAAAAG4avjU=")</f>
        <v>#REF!</v>
      </c>
      <c r="BC179" t="e">
        <f>AND(Bills!#REF!,"AAAAAG4avjY=")</f>
        <v>#REF!</v>
      </c>
      <c r="BD179" t="e">
        <f>AND(Bills!#REF!,"AAAAAG4avjc=")</f>
        <v>#REF!</v>
      </c>
      <c r="BE179" t="e">
        <f>AND(Bills!#REF!,"AAAAAG4avjg=")</f>
        <v>#REF!</v>
      </c>
      <c r="BF179" t="e">
        <f>AND(Bills!AA736,"AAAAAG4avjk=")</f>
        <v>#VALUE!</v>
      </c>
      <c r="BG179" t="e">
        <f>AND(Bills!AB736,"AAAAAG4avjo=")</f>
        <v>#VALUE!</v>
      </c>
      <c r="BH179" t="e">
        <f>AND(Bills!#REF!,"AAAAAG4avjs=")</f>
        <v>#REF!</v>
      </c>
      <c r="BI179" t="e">
        <f>AND(Bills!#REF!,"AAAAAG4avjw=")</f>
        <v>#REF!</v>
      </c>
      <c r="BJ179" t="e">
        <f>AND(Bills!#REF!,"AAAAAG4avj0=")</f>
        <v>#REF!</v>
      </c>
      <c r="BK179" t="e">
        <f>AND(Bills!AC736,"AAAAAG4avj4=")</f>
        <v>#VALUE!</v>
      </c>
      <c r="BL179" t="e">
        <f>AND(Bills!AD736,"AAAAAG4avj8=")</f>
        <v>#VALUE!</v>
      </c>
      <c r="BM179" t="e">
        <f>AND(Bills!AE736,"AAAAAG4avkA=")</f>
        <v>#VALUE!</v>
      </c>
      <c r="BN179">
        <f>IF(Bills!737:737,"AAAAAG4avkE=",0)</f>
        <v>0</v>
      </c>
      <c r="BO179" t="e">
        <f>AND(Bills!B737,"AAAAAG4avkI=")</f>
        <v>#VALUE!</v>
      </c>
      <c r="BP179" t="e">
        <f>AND(Bills!#REF!,"AAAAAG4avkM=")</f>
        <v>#REF!</v>
      </c>
      <c r="BQ179" t="e">
        <f>AND(Bills!C737,"AAAAAG4avkQ=")</f>
        <v>#VALUE!</v>
      </c>
      <c r="BR179" t="e">
        <f>AND(Bills!D737,"AAAAAG4avkU=")</f>
        <v>#VALUE!</v>
      </c>
      <c r="BS179" t="e">
        <f>AND(Bills!E737,"AAAAAG4avkY=")</f>
        <v>#VALUE!</v>
      </c>
      <c r="BT179" t="e">
        <f>AND(Bills!#REF!,"AAAAAG4avkc=")</f>
        <v>#REF!</v>
      </c>
      <c r="BU179" t="e">
        <f>AND(Bills!#REF!,"AAAAAG4avkg=")</f>
        <v>#REF!</v>
      </c>
      <c r="BV179" t="e">
        <f>AND(Bills!#REF!,"AAAAAG4avkk=")</f>
        <v>#REF!</v>
      </c>
      <c r="BW179" t="e">
        <f>AND(Bills!F737,"AAAAAG4avko=")</f>
        <v>#VALUE!</v>
      </c>
      <c r="BX179" t="e">
        <f>AND(Bills!#REF!,"AAAAAG4avks=")</f>
        <v>#REF!</v>
      </c>
      <c r="BY179" t="e">
        <f>AND(Bills!G737,"AAAAAG4avkw=")</f>
        <v>#VALUE!</v>
      </c>
      <c r="BZ179" t="e">
        <f>AND(Bills!H737,"AAAAAG4avk0=")</f>
        <v>#VALUE!</v>
      </c>
      <c r="CA179" t="e">
        <f>AND(Bills!I737,"AAAAAG4avk4=")</f>
        <v>#VALUE!</v>
      </c>
      <c r="CB179" t="e">
        <f>AND(Bills!J737,"AAAAAG4avk8=")</f>
        <v>#VALUE!</v>
      </c>
      <c r="CC179" t="e">
        <f>AND(Bills!K737,"AAAAAG4avlA=")</f>
        <v>#VALUE!</v>
      </c>
      <c r="CD179" t="e">
        <f>AND(Bills!L737,"AAAAAG4avlE=")</f>
        <v>#VALUE!</v>
      </c>
      <c r="CE179" t="e">
        <f>AND(Bills!#REF!,"AAAAAG4avlI=")</f>
        <v>#REF!</v>
      </c>
      <c r="CF179" t="e">
        <f>AND(Bills!M737,"AAAAAG4avlM=")</f>
        <v>#VALUE!</v>
      </c>
      <c r="CG179" t="e">
        <f>AND(Bills!N737,"AAAAAG4avlQ=")</f>
        <v>#VALUE!</v>
      </c>
      <c r="CH179" t="e">
        <f>AND(Bills!O737,"AAAAAG4avlU=")</f>
        <v>#VALUE!</v>
      </c>
      <c r="CI179" t="e">
        <f>AND(Bills!P737,"AAAAAG4avlY=")</f>
        <v>#VALUE!</v>
      </c>
      <c r="CJ179" t="e">
        <f>AND(Bills!Q737,"AAAAAG4avlc=")</f>
        <v>#VALUE!</v>
      </c>
      <c r="CK179" t="e">
        <f>AND(Bills!R737,"AAAAAG4avlg=")</f>
        <v>#VALUE!</v>
      </c>
      <c r="CL179" t="e">
        <f>AND(Bills!S737,"AAAAAG4avlk=")</f>
        <v>#VALUE!</v>
      </c>
      <c r="CM179" t="e">
        <f>AND(Bills!T737,"AAAAAG4avlo=")</f>
        <v>#VALUE!</v>
      </c>
      <c r="CN179" t="e">
        <f>AND(Bills!#REF!,"AAAAAG4avls=")</f>
        <v>#REF!</v>
      </c>
      <c r="CO179" t="e">
        <f>AND(Bills!U737,"AAAAAG4avlw=")</f>
        <v>#VALUE!</v>
      </c>
      <c r="CP179" t="e">
        <f>AND(Bills!V737,"AAAAAG4avl0=")</f>
        <v>#VALUE!</v>
      </c>
      <c r="CQ179" t="e">
        <f>AND(Bills!W737,"AAAAAG4avl4=")</f>
        <v>#VALUE!</v>
      </c>
      <c r="CR179" t="e">
        <f>AND(Bills!#REF!,"AAAAAG4avl8=")</f>
        <v>#REF!</v>
      </c>
      <c r="CS179" t="e">
        <f>AND(Bills!#REF!,"AAAAAG4avmA=")</f>
        <v>#REF!</v>
      </c>
      <c r="CT179" t="e">
        <f>AND(Bills!Y737,"AAAAAG4avmE=")</f>
        <v>#VALUE!</v>
      </c>
      <c r="CU179" t="e">
        <f>AND(Bills!Z737,"AAAAAG4avmI=")</f>
        <v>#VALUE!</v>
      </c>
      <c r="CV179" t="e">
        <f>AND(Bills!#REF!,"AAAAAG4avmM=")</f>
        <v>#REF!</v>
      </c>
      <c r="CW179" t="e">
        <f>AND(Bills!#REF!,"AAAAAG4avmQ=")</f>
        <v>#REF!</v>
      </c>
      <c r="CX179" t="e">
        <f>AND(Bills!#REF!,"AAAAAG4avmU=")</f>
        <v>#REF!</v>
      </c>
      <c r="CY179" t="e">
        <f>AND(Bills!#REF!,"AAAAAG4avmY=")</f>
        <v>#REF!</v>
      </c>
      <c r="CZ179" t="e">
        <f>AND(Bills!#REF!,"AAAAAG4avmc=")</f>
        <v>#REF!</v>
      </c>
      <c r="DA179" t="e">
        <f>AND(Bills!#REF!,"AAAAAG4avmg=")</f>
        <v>#REF!</v>
      </c>
      <c r="DB179" t="e">
        <f>AND(Bills!#REF!,"AAAAAG4avmk=")</f>
        <v>#REF!</v>
      </c>
      <c r="DC179" t="e">
        <f>AND(Bills!#REF!,"AAAAAG4avmo=")</f>
        <v>#REF!</v>
      </c>
      <c r="DD179" t="e">
        <f>AND(Bills!#REF!,"AAAAAG4avms=")</f>
        <v>#REF!</v>
      </c>
      <c r="DE179" t="e">
        <f>AND(Bills!AA737,"AAAAAG4avmw=")</f>
        <v>#VALUE!</v>
      </c>
      <c r="DF179" t="e">
        <f>AND(Bills!AB737,"AAAAAG4avm0=")</f>
        <v>#VALUE!</v>
      </c>
      <c r="DG179" t="e">
        <f>AND(Bills!#REF!,"AAAAAG4avm4=")</f>
        <v>#REF!</v>
      </c>
      <c r="DH179" t="e">
        <f>AND(Bills!#REF!,"AAAAAG4avm8=")</f>
        <v>#REF!</v>
      </c>
      <c r="DI179" t="e">
        <f>AND(Bills!#REF!,"AAAAAG4avnA=")</f>
        <v>#REF!</v>
      </c>
      <c r="DJ179" t="e">
        <f>AND(Bills!AC737,"AAAAAG4avnE=")</f>
        <v>#VALUE!</v>
      </c>
      <c r="DK179" t="e">
        <f>AND(Bills!AD737,"AAAAAG4avnI=")</f>
        <v>#VALUE!</v>
      </c>
      <c r="DL179" t="e">
        <f>AND(Bills!AE737,"AAAAAG4avnM=")</f>
        <v>#VALUE!</v>
      </c>
      <c r="DM179">
        <f>IF(Bills!738:738,"AAAAAG4avnQ=",0)</f>
        <v>0</v>
      </c>
      <c r="DN179" t="e">
        <f>AND(Bills!B738,"AAAAAG4avnU=")</f>
        <v>#VALUE!</v>
      </c>
      <c r="DO179" t="e">
        <f>AND(Bills!#REF!,"AAAAAG4avnY=")</f>
        <v>#REF!</v>
      </c>
      <c r="DP179" t="e">
        <f>AND(Bills!C738,"AAAAAG4avnc=")</f>
        <v>#VALUE!</v>
      </c>
      <c r="DQ179" t="e">
        <f>AND(Bills!D738,"AAAAAG4avng=")</f>
        <v>#VALUE!</v>
      </c>
      <c r="DR179" t="e">
        <f>AND(Bills!E738,"AAAAAG4avnk=")</f>
        <v>#VALUE!</v>
      </c>
      <c r="DS179" t="e">
        <f>AND(Bills!#REF!,"AAAAAG4avno=")</f>
        <v>#REF!</v>
      </c>
      <c r="DT179" t="e">
        <f>AND(Bills!#REF!,"AAAAAG4avns=")</f>
        <v>#REF!</v>
      </c>
      <c r="DU179" t="e">
        <f>AND(Bills!#REF!,"AAAAAG4avnw=")</f>
        <v>#REF!</v>
      </c>
      <c r="DV179" t="e">
        <f>AND(Bills!F738,"AAAAAG4avn0=")</f>
        <v>#VALUE!</v>
      </c>
      <c r="DW179" t="e">
        <f>AND(Bills!#REF!,"AAAAAG4avn4=")</f>
        <v>#REF!</v>
      </c>
      <c r="DX179" t="e">
        <f>AND(Bills!G738,"AAAAAG4avn8=")</f>
        <v>#VALUE!</v>
      </c>
      <c r="DY179" t="e">
        <f>AND(Bills!H738,"AAAAAG4avoA=")</f>
        <v>#VALUE!</v>
      </c>
      <c r="DZ179" t="e">
        <f>AND(Bills!I738,"AAAAAG4avoE=")</f>
        <v>#VALUE!</v>
      </c>
      <c r="EA179" t="e">
        <f>AND(Bills!J738,"AAAAAG4avoI=")</f>
        <v>#VALUE!</v>
      </c>
      <c r="EB179" t="e">
        <f>AND(Bills!K738,"AAAAAG4avoM=")</f>
        <v>#VALUE!</v>
      </c>
      <c r="EC179" t="e">
        <f>AND(Bills!L738,"AAAAAG4avoQ=")</f>
        <v>#VALUE!</v>
      </c>
      <c r="ED179" t="e">
        <f>AND(Bills!#REF!,"AAAAAG4avoU=")</f>
        <v>#REF!</v>
      </c>
      <c r="EE179" t="e">
        <f>AND(Bills!M738,"AAAAAG4avoY=")</f>
        <v>#VALUE!</v>
      </c>
      <c r="EF179" t="e">
        <f>AND(Bills!N738,"AAAAAG4avoc=")</f>
        <v>#VALUE!</v>
      </c>
      <c r="EG179" t="e">
        <f>AND(Bills!O738,"AAAAAG4avog=")</f>
        <v>#VALUE!</v>
      </c>
      <c r="EH179" t="e">
        <f>AND(Bills!P738,"AAAAAG4avok=")</f>
        <v>#VALUE!</v>
      </c>
      <c r="EI179" t="e">
        <f>AND(Bills!Q738,"AAAAAG4avoo=")</f>
        <v>#VALUE!</v>
      </c>
      <c r="EJ179" t="e">
        <f>AND(Bills!R738,"AAAAAG4avos=")</f>
        <v>#VALUE!</v>
      </c>
      <c r="EK179" t="e">
        <f>AND(Bills!S738,"AAAAAG4avow=")</f>
        <v>#VALUE!</v>
      </c>
      <c r="EL179" t="e">
        <f>AND(Bills!T738,"AAAAAG4avo0=")</f>
        <v>#VALUE!</v>
      </c>
      <c r="EM179" t="e">
        <f>AND(Bills!#REF!,"AAAAAG4avo4=")</f>
        <v>#REF!</v>
      </c>
      <c r="EN179" t="e">
        <f>AND(Bills!U738,"AAAAAG4avo8=")</f>
        <v>#VALUE!</v>
      </c>
      <c r="EO179" t="e">
        <f>AND(Bills!V738,"AAAAAG4avpA=")</f>
        <v>#VALUE!</v>
      </c>
      <c r="EP179" t="e">
        <f>AND(Bills!W738,"AAAAAG4avpE=")</f>
        <v>#VALUE!</v>
      </c>
      <c r="EQ179" t="e">
        <f>AND(Bills!#REF!,"AAAAAG4avpI=")</f>
        <v>#REF!</v>
      </c>
      <c r="ER179" t="e">
        <f>AND(Bills!#REF!,"AAAAAG4avpM=")</f>
        <v>#REF!</v>
      </c>
      <c r="ES179" t="e">
        <f>AND(Bills!Y738,"AAAAAG4avpQ=")</f>
        <v>#VALUE!</v>
      </c>
      <c r="ET179" t="e">
        <f>AND(Bills!Z738,"AAAAAG4avpU=")</f>
        <v>#VALUE!</v>
      </c>
      <c r="EU179" t="e">
        <f>AND(Bills!#REF!,"AAAAAG4avpY=")</f>
        <v>#REF!</v>
      </c>
      <c r="EV179" t="e">
        <f>AND(Bills!#REF!,"AAAAAG4avpc=")</f>
        <v>#REF!</v>
      </c>
      <c r="EW179" t="e">
        <f>AND(Bills!#REF!,"AAAAAG4avpg=")</f>
        <v>#REF!</v>
      </c>
      <c r="EX179" t="e">
        <f>AND(Bills!#REF!,"AAAAAG4avpk=")</f>
        <v>#REF!</v>
      </c>
      <c r="EY179" t="e">
        <f>AND(Bills!#REF!,"AAAAAG4avpo=")</f>
        <v>#REF!</v>
      </c>
      <c r="EZ179" t="e">
        <f>AND(Bills!#REF!,"AAAAAG4avps=")</f>
        <v>#REF!</v>
      </c>
      <c r="FA179" t="e">
        <f>AND(Bills!#REF!,"AAAAAG4avpw=")</f>
        <v>#REF!</v>
      </c>
      <c r="FB179" t="e">
        <f>AND(Bills!#REF!,"AAAAAG4avp0=")</f>
        <v>#REF!</v>
      </c>
      <c r="FC179" t="e">
        <f>AND(Bills!#REF!,"AAAAAG4avp4=")</f>
        <v>#REF!</v>
      </c>
      <c r="FD179" t="e">
        <f>AND(Bills!AA738,"AAAAAG4avp8=")</f>
        <v>#VALUE!</v>
      </c>
      <c r="FE179" t="e">
        <f>AND(Bills!AB738,"AAAAAG4avqA=")</f>
        <v>#VALUE!</v>
      </c>
      <c r="FF179" t="e">
        <f>AND(Bills!#REF!,"AAAAAG4avqE=")</f>
        <v>#REF!</v>
      </c>
      <c r="FG179" t="e">
        <f>AND(Bills!#REF!,"AAAAAG4avqI=")</f>
        <v>#REF!</v>
      </c>
      <c r="FH179" t="e">
        <f>AND(Bills!#REF!,"AAAAAG4avqM=")</f>
        <v>#REF!</v>
      </c>
      <c r="FI179" t="e">
        <f>AND(Bills!AC738,"AAAAAG4avqQ=")</f>
        <v>#VALUE!</v>
      </c>
      <c r="FJ179" t="e">
        <f>AND(Bills!AD738,"AAAAAG4avqU=")</f>
        <v>#VALUE!</v>
      </c>
      <c r="FK179" t="e">
        <f>AND(Bills!AE738,"AAAAAG4avqY=")</f>
        <v>#VALUE!</v>
      </c>
      <c r="FL179">
        <f>IF(Bills!739:739,"AAAAAG4avqc=",0)</f>
        <v>0</v>
      </c>
      <c r="FM179" t="e">
        <f>AND(Bills!B739,"AAAAAG4avqg=")</f>
        <v>#VALUE!</v>
      </c>
      <c r="FN179" t="e">
        <f>AND(Bills!#REF!,"AAAAAG4avqk=")</f>
        <v>#REF!</v>
      </c>
      <c r="FO179" t="e">
        <f>AND(Bills!C739,"AAAAAG4avqo=")</f>
        <v>#VALUE!</v>
      </c>
      <c r="FP179" t="e">
        <f>AND(Bills!D739,"AAAAAG4avqs=")</f>
        <v>#VALUE!</v>
      </c>
      <c r="FQ179" t="e">
        <f>AND(Bills!E739,"AAAAAG4avqw=")</f>
        <v>#VALUE!</v>
      </c>
      <c r="FR179" t="e">
        <f>AND(Bills!#REF!,"AAAAAG4avq0=")</f>
        <v>#REF!</v>
      </c>
      <c r="FS179" t="e">
        <f>AND(Bills!#REF!,"AAAAAG4avq4=")</f>
        <v>#REF!</v>
      </c>
      <c r="FT179" t="e">
        <f>AND(Bills!#REF!,"AAAAAG4avq8=")</f>
        <v>#REF!</v>
      </c>
      <c r="FU179" t="e">
        <f>AND(Bills!F739,"AAAAAG4avrA=")</f>
        <v>#VALUE!</v>
      </c>
      <c r="FV179" t="e">
        <f>AND(Bills!#REF!,"AAAAAG4avrE=")</f>
        <v>#REF!</v>
      </c>
      <c r="FW179" t="e">
        <f>AND(Bills!G739,"AAAAAG4avrI=")</f>
        <v>#VALUE!</v>
      </c>
      <c r="FX179" t="e">
        <f>AND(Bills!H739,"AAAAAG4avrM=")</f>
        <v>#VALUE!</v>
      </c>
      <c r="FY179" t="e">
        <f>AND(Bills!I739,"AAAAAG4avrQ=")</f>
        <v>#VALUE!</v>
      </c>
      <c r="FZ179" t="e">
        <f>AND(Bills!J739,"AAAAAG4avrU=")</f>
        <v>#VALUE!</v>
      </c>
      <c r="GA179" t="e">
        <f>AND(Bills!K739,"AAAAAG4avrY=")</f>
        <v>#VALUE!</v>
      </c>
      <c r="GB179" t="e">
        <f>AND(Bills!L739,"AAAAAG4avrc=")</f>
        <v>#VALUE!</v>
      </c>
      <c r="GC179" t="e">
        <f>AND(Bills!#REF!,"AAAAAG4avrg=")</f>
        <v>#REF!</v>
      </c>
      <c r="GD179" t="e">
        <f>AND(Bills!M739,"AAAAAG4avrk=")</f>
        <v>#VALUE!</v>
      </c>
      <c r="GE179" t="e">
        <f>AND(Bills!N739,"AAAAAG4avro=")</f>
        <v>#VALUE!</v>
      </c>
      <c r="GF179" t="e">
        <f>AND(Bills!O739,"AAAAAG4avrs=")</f>
        <v>#VALUE!</v>
      </c>
      <c r="GG179" t="e">
        <f>AND(Bills!P739,"AAAAAG4avrw=")</f>
        <v>#VALUE!</v>
      </c>
      <c r="GH179" t="e">
        <f>AND(Bills!Q739,"AAAAAG4avr0=")</f>
        <v>#VALUE!</v>
      </c>
      <c r="GI179" t="e">
        <f>AND(Bills!R739,"AAAAAG4avr4=")</f>
        <v>#VALUE!</v>
      </c>
      <c r="GJ179" t="e">
        <f>AND(Bills!S739,"AAAAAG4avr8=")</f>
        <v>#VALUE!</v>
      </c>
      <c r="GK179" t="e">
        <f>AND(Bills!T739,"AAAAAG4avsA=")</f>
        <v>#VALUE!</v>
      </c>
      <c r="GL179" t="e">
        <f>AND(Bills!#REF!,"AAAAAG4avsE=")</f>
        <v>#REF!</v>
      </c>
      <c r="GM179" t="e">
        <f>AND(Bills!U739,"AAAAAG4avsI=")</f>
        <v>#VALUE!</v>
      </c>
      <c r="GN179" t="e">
        <f>AND(Bills!V739,"AAAAAG4avsM=")</f>
        <v>#VALUE!</v>
      </c>
      <c r="GO179" t="e">
        <f>AND(Bills!W739,"AAAAAG4avsQ=")</f>
        <v>#VALUE!</v>
      </c>
      <c r="GP179" t="e">
        <f>AND(Bills!#REF!,"AAAAAG4avsU=")</f>
        <v>#REF!</v>
      </c>
      <c r="GQ179" t="e">
        <f>AND(Bills!#REF!,"AAAAAG4avsY=")</f>
        <v>#REF!</v>
      </c>
      <c r="GR179" t="e">
        <f>AND(Bills!Y739,"AAAAAG4avsc=")</f>
        <v>#VALUE!</v>
      </c>
      <c r="GS179" t="e">
        <f>AND(Bills!Z739,"AAAAAG4avsg=")</f>
        <v>#VALUE!</v>
      </c>
      <c r="GT179" t="e">
        <f>AND(Bills!#REF!,"AAAAAG4avsk=")</f>
        <v>#REF!</v>
      </c>
      <c r="GU179" t="e">
        <f>AND(Bills!#REF!,"AAAAAG4avso=")</f>
        <v>#REF!</v>
      </c>
      <c r="GV179" t="e">
        <f>AND(Bills!#REF!,"AAAAAG4avss=")</f>
        <v>#REF!</v>
      </c>
      <c r="GW179" t="e">
        <f>AND(Bills!#REF!,"AAAAAG4avsw=")</f>
        <v>#REF!</v>
      </c>
      <c r="GX179" t="e">
        <f>AND(Bills!#REF!,"AAAAAG4avs0=")</f>
        <v>#REF!</v>
      </c>
      <c r="GY179" t="e">
        <f>AND(Bills!#REF!,"AAAAAG4avs4=")</f>
        <v>#REF!</v>
      </c>
      <c r="GZ179" t="e">
        <f>AND(Bills!#REF!,"AAAAAG4avs8=")</f>
        <v>#REF!</v>
      </c>
      <c r="HA179" t="e">
        <f>AND(Bills!#REF!,"AAAAAG4avtA=")</f>
        <v>#REF!</v>
      </c>
      <c r="HB179" t="e">
        <f>AND(Bills!#REF!,"AAAAAG4avtE=")</f>
        <v>#REF!</v>
      </c>
      <c r="HC179" t="e">
        <f>AND(Bills!AA739,"AAAAAG4avtI=")</f>
        <v>#VALUE!</v>
      </c>
      <c r="HD179" t="e">
        <f>AND(Bills!AB739,"AAAAAG4avtM=")</f>
        <v>#VALUE!</v>
      </c>
      <c r="HE179" t="e">
        <f>AND(Bills!#REF!,"AAAAAG4avtQ=")</f>
        <v>#REF!</v>
      </c>
      <c r="HF179" t="e">
        <f>AND(Bills!#REF!,"AAAAAG4avtU=")</f>
        <v>#REF!</v>
      </c>
      <c r="HG179" t="e">
        <f>AND(Bills!#REF!,"AAAAAG4avtY=")</f>
        <v>#REF!</v>
      </c>
      <c r="HH179" t="e">
        <f>AND(Bills!AC739,"AAAAAG4avtc=")</f>
        <v>#VALUE!</v>
      </c>
      <c r="HI179" t="e">
        <f>AND(Bills!AD739,"AAAAAG4avtg=")</f>
        <v>#VALUE!</v>
      </c>
      <c r="HJ179" t="e">
        <f>AND(Bills!AE739,"AAAAAG4avtk=")</f>
        <v>#VALUE!</v>
      </c>
      <c r="HK179">
        <f>IF(Bills!740:740,"AAAAAG4avto=",0)</f>
        <v>0</v>
      </c>
      <c r="HL179" t="e">
        <f>AND(Bills!B740,"AAAAAG4avts=")</f>
        <v>#VALUE!</v>
      </c>
      <c r="HM179" t="e">
        <f>AND(Bills!#REF!,"AAAAAG4avtw=")</f>
        <v>#REF!</v>
      </c>
      <c r="HN179" t="e">
        <f>AND(Bills!C740,"AAAAAG4avt0=")</f>
        <v>#VALUE!</v>
      </c>
      <c r="HO179" t="e">
        <f>AND(Bills!D740,"AAAAAG4avt4=")</f>
        <v>#VALUE!</v>
      </c>
      <c r="HP179" t="e">
        <f>AND(Bills!E740,"AAAAAG4avt8=")</f>
        <v>#VALUE!</v>
      </c>
      <c r="HQ179" t="e">
        <f>AND(Bills!#REF!,"AAAAAG4avuA=")</f>
        <v>#REF!</v>
      </c>
      <c r="HR179" t="e">
        <f>AND(Bills!#REF!,"AAAAAG4avuE=")</f>
        <v>#REF!</v>
      </c>
      <c r="HS179" t="e">
        <f>AND(Bills!#REF!,"AAAAAG4avuI=")</f>
        <v>#REF!</v>
      </c>
      <c r="HT179" t="e">
        <f>AND(Bills!F740,"AAAAAG4avuM=")</f>
        <v>#VALUE!</v>
      </c>
      <c r="HU179" t="e">
        <f>AND(Bills!#REF!,"AAAAAG4avuQ=")</f>
        <v>#REF!</v>
      </c>
      <c r="HV179" t="e">
        <f>AND(Bills!G740,"AAAAAG4avuU=")</f>
        <v>#VALUE!</v>
      </c>
      <c r="HW179" t="e">
        <f>AND(Bills!H740,"AAAAAG4avuY=")</f>
        <v>#VALUE!</v>
      </c>
      <c r="HX179" t="e">
        <f>AND(Bills!I740,"AAAAAG4avuc=")</f>
        <v>#VALUE!</v>
      </c>
      <c r="HY179" t="e">
        <f>AND(Bills!J740,"AAAAAG4avug=")</f>
        <v>#VALUE!</v>
      </c>
      <c r="HZ179" t="e">
        <f>AND(Bills!K740,"AAAAAG4avuk=")</f>
        <v>#VALUE!</v>
      </c>
      <c r="IA179" t="e">
        <f>AND(Bills!L740,"AAAAAG4avuo=")</f>
        <v>#VALUE!</v>
      </c>
      <c r="IB179" t="e">
        <f>AND(Bills!#REF!,"AAAAAG4avus=")</f>
        <v>#REF!</v>
      </c>
      <c r="IC179" t="e">
        <f>AND(Bills!M740,"AAAAAG4avuw=")</f>
        <v>#VALUE!</v>
      </c>
      <c r="ID179" t="e">
        <f>AND(Bills!N740,"AAAAAG4avu0=")</f>
        <v>#VALUE!</v>
      </c>
      <c r="IE179" t="e">
        <f>AND(Bills!O740,"AAAAAG4avu4=")</f>
        <v>#VALUE!</v>
      </c>
      <c r="IF179" t="e">
        <f>AND(Bills!P740,"AAAAAG4avu8=")</f>
        <v>#VALUE!</v>
      </c>
      <c r="IG179" t="e">
        <f>AND(Bills!Q740,"AAAAAG4avvA=")</f>
        <v>#VALUE!</v>
      </c>
      <c r="IH179" t="e">
        <f>AND(Bills!R740,"AAAAAG4avvE=")</f>
        <v>#VALUE!</v>
      </c>
      <c r="II179" t="e">
        <f>AND(Bills!S740,"AAAAAG4avvI=")</f>
        <v>#VALUE!</v>
      </c>
      <c r="IJ179" t="e">
        <f>AND(Bills!T740,"AAAAAG4avvM=")</f>
        <v>#VALUE!</v>
      </c>
      <c r="IK179" t="e">
        <f>AND(Bills!#REF!,"AAAAAG4avvQ=")</f>
        <v>#REF!</v>
      </c>
      <c r="IL179" t="e">
        <f>AND(Bills!U740,"AAAAAG4avvU=")</f>
        <v>#VALUE!</v>
      </c>
      <c r="IM179" t="e">
        <f>AND(Bills!V740,"AAAAAG4avvY=")</f>
        <v>#VALUE!</v>
      </c>
      <c r="IN179" t="e">
        <f>AND(Bills!W740,"AAAAAG4avvc=")</f>
        <v>#VALUE!</v>
      </c>
      <c r="IO179" t="e">
        <f>AND(Bills!#REF!,"AAAAAG4avvg=")</f>
        <v>#REF!</v>
      </c>
      <c r="IP179" t="e">
        <f>AND(Bills!#REF!,"AAAAAG4avvk=")</f>
        <v>#REF!</v>
      </c>
      <c r="IQ179" t="e">
        <f>AND(Bills!Y740,"AAAAAG4avvo=")</f>
        <v>#VALUE!</v>
      </c>
      <c r="IR179" t="e">
        <f>AND(Bills!Z740,"AAAAAG4avvs=")</f>
        <v>#VALUE!</v>
      </c>
      <c r="IS179" t="e">
        <f>AND(Bills!#REF!,"AAAAAG4avvw=")</f>
        <v>#REF!</v>
      </c>
      <c r="IT179" t="e">
        <f>AND(Bills!#REF!,"AAAAAG4avv0=")</f>
        <v>#REF!</v>
      </c>
      <c r="IU179" t="e">
        <f>AND(Bills!#REF!,"AAAAAG4avv4=")</f>
        <v>#REF!</v>
      </c>
      <c r="IV179" t="e">
        <f>AND(Bills!#REF!,"AAAAAG4avv8=")</f>
        <v>#REF!</v>
      </c>
    </row>
    <row r="180" spans="1:256" x14ac:dyDescent="0.25">
      <c r="A180" t="e">
        <f>AND(Bills!#REF!,"AAAAAH/ZvwA=")</f>
        <v>#REF!</v>
      </c>
      <c r="B180" t="e">
        <f>AND(Bills!#REF!,"AAAAAH/ZvwE=")</f>
        <v>#REF!</v>
      </c>
      <c r="C180" t="e">
        <f>AND(Bills!#REF!,"AAAAAH/ZvwI=")</f>
        <v>#REF!</v>
      </c>
      <c r="D180" t="e">
        <f>AND(Bills!#REF!,"AAAAAH/ZvwM=")</f>
        <v>#REF!</v>
      </c>
      <c r="E180" t="e">
        <f>AND(Bills!#REF!,"AAAAAH/ZvwQ=")</f>
        <v>#REF!</v>
      </c>
      <c r="F180" t="e">
        <f>AND(Bills!AA740,"AAAAAH/ZvwU=")</f>
        <v>#VALUE!</v>
      </c>
      <c r="G180" t="e">
        <f>AND(Bills!AB740,"AAAAAH/ZvwY=")</f>
        <v>#VALUE!</v>
      </c>
      <c r="H180" t="e">
        <f>AND(Bills!#REF!,"AAAAAH/Zvwc=")</f>
        <v>#REF!</v>
      </c>
      <c r="I180" t="e">
        <f>AND(Bills!#REF!,"AAAAAH/Zvwg=")</f>
        <v>#REF!</v>
      </c>
      <c r="J180" t="e">
        <f>AND(Bills!#REF!,"AAAAAH/Zvwk=")</f>
        <v>#REF!</v>
      </c>
      <c r="K180" t="e">
        <f>AND(Bills!AC740,"AAAAAH/Zvwo=")</f>
        <v>#VALUE!</v>
      </c>
      <c r="L180" t="e">
        <f>AND(Bills!AD740,"AAAAAH/Zvws=")</f>
        <v>#VALUE!</v>
      </c>
      <c r="M180" t="e">
        <f>AND(Bills!AE740,"AAAAAH/Zvww=")</f>
        <v>#VALUE!</v>
      </c>
      <c r="N180">
        <f>IF(Bills!741:741,"AAAAAH/Zvw0=",0)</f>
        <v>0</v>
      </c>
      <c r="O180" t="e">
        <f>AND(Bills!B741,"AAAAAH/Zvw4=")</f>
        <v>#VALUE!</v>
      </c>
      <c r="P180" t="e">
        <f>AND(Bills!#REF!,"AAAAAH/Zvw8=")</f>
        <v>#REF!</v>
      </c>
      <c r="Q180" t="e">
        <f>AND(Bills!C741,"AAAAAH/ZvxA=")</f>
        <v>#VALUE!</v>
      </c>
      <c r="R180" t="e">
        <f>AND(Bills!D741,"AAAAAH/ZvxE=")</f>
        <v>#VALUE!</v>
      </c>
      <c r="S180" t="e">
        <f>AND(Bills!E741,"AAAAAH/ZvxI=")</f>
        <v>#VALUE!</v>
      </c>
      <c r="T180" t="e">
        <f>AND(Bills!#REF!,"AAAAAH/ZvxM=")</f>
        <v>#REF!</v>
      </c>
      <c r="U180" t="e">
        <f>AND(Bills!#REF!,"AAAAAH/ZvxQ=")</f>
        <v>#REF!</v>
      </c>
      <c r="V180" t="e">
        <f>AND(Bills!#REF!,"AAAAAH/ZvxU=")</f>
        <v>#REF!</v>
      </c>
      <c r="W180" t="e">
        <f>AND(Bills!F741,"AAAAAH/ZvxY=")</f>
        <v>#VALUE!</v>
      </c>
      <c r="X180" t="e">
        <f>AND(Bills!#REF!,"AAAAAH/Zvxc=")</f>
        <v>#REF!</v>
      </c>
      <c r="Y180" t="e">
        <f>AND(Bills!G741,"AAAAAH/Zvxg=")</f>
        <v>#VALUE!</v>
      </c>
      <c r="Z180" t="e">
        <f>AND(Bills!H741,"AAAAAH/Zvxk=")</f>
        <v>#VALUE!</v>
      </c>
      <c r="AA180" t="e">
        <f>AND(Bills!I741,"AAAAAH/Zvxo=")</f>
        <v>#VALUE!</v>
      </c>
      <c r="AB180" t="e">
        <f>AND(Bills!J741,"AAAAAH/Zvxs=")</f>
        <v>#VALUE!</v>
      </c>
      <c r="AC180" t="e">
        <f>AND(Bills!K741,"AAAAAH/Zvxw=")</f>
        <v>#VALUE!</v>
      </c>
      <c r="AD180" t="e">
        <f>AND(Bills!L741,"AAAAAH/Zvx0=")</f>
        <v>#VALUE!</v>
      </c>
      <c r="AE180" t="e">
        <f>AND(Bills!#REF!,"AAAAAH/Zvx4=")</f>
        <v>#REF!</v>
      </c>
      <c r="AF180" t="e">
        <f>AND(Bills!M741,"AAAAAH/Zvx8=")</f>
        <v>#VALUE!</v>
      </c>
      <c r="AG180" t="e">
        <f>AND(Bills!N741,"AAAAAH/ZvyA=")</f>
        <v>#VALUE!</v>
      </c>
      <c r="AH180" t="e">
        <f>AND(Bills!O741,"AAAAAH/ZvyE=")</f>
        <v>#VALUE!</v>
      </c>
      <c r="AI180" t="e">
        <f>AND(Bills!P741,"AAAAAH/ZvyI=")</f>
        <v>#VALUE!</v>
      </c>
      <c r="AJ180" t="e">
        <f>AND(Bills!Q741,"AAAAAH/ZvyM=")</f>
        <v>#VALUE!</v>
      </c>
      <c r="AK180" t="e">
        <f>AND(Bills!R741,"AAAAAH/ZvyQ=")</f>
        <v>#VALUE!</v>
      </c>
      <c r="AL180" t="e">
        <f>AND(Bills!S741,"AAAAAH/ZvyU=")</f>
        <v>#VALUE!</v>
      </c>
      <c r="AM180" t="e">
        <f>AND(Bills!T741,"AAAAAH/ZvyY=")</f>
        <v>#VALUE!</v>
      </c>
      <c r="AN180" t="e">
        <f>AND(Bills!#REF!,"AAAAAH/Zvyc=")</f>
        <v>#REF!</v>
      </c>
      <c r="AO180" t="e">
        <f>AND(Bills!U741,"AAAAAH/Zvyg=")</f>
        <v>#VALUE!</v>
      </c>
      <c r="AP180" t="e">
        <f>AND(Bills!V741,"AAAAAH/Zvyk=")</f>
        <v>#VALUE!</v>
      </c>
      <c r="AQ180" t="e">
        <f>AND(Bills!W741,"AAAAAH/Zvyo=")</f>
        <v>#VALUE!</v>
      </c>
      <c r="AR180" t="e">
        <f>AND(Bills!#REF!,"AAAAAH/Zvys=")</f>
        <v>#REF!</v>
      </c>
      <c r="AS180" t="e">
        <f>AND(Bills!#REF!,"AAAAAH/Zvyw=")</f>
        <v>#REF!</v>
      </c>
      <c r="AT180" t="e">
        <f>AND(Bills!Y741,"AAAAAH/Zvy0=")</f>
        <v>#VALUE!</v>
      </c>
      <c r="AU180" t="e">
        <f>AND(Bills!Z741,"AAAAAH/Zvy4=")</f>
        <v>#VALUE!</v>
      </c>
      <c r="AV180" t="e">
        <f>AND(Bills!#REF!,"AAAAAH/Zvy8=")</f>
        <v>#REF!</v>
      </c>
      <c r="AW180" t="e">
        <f>AND(Bills!#REF!,"AAAAAH/ZvzA=")</f>
        <v>#REF!</v>
      </c>
      <c r="AX180" t="e">
        <f>AND(Bills!#REF!,"AAAAAH/ZvzE=")</f>
        <v>#REF!</v>
      </c>
      <c r="AY180" t="e">
        <f>AND(Bills!#REF!,"AAAAAH/ZvzI=")</f>
        <v>#REF!</v>
      </c>
      <c r="AZ180" t="e">
        <f>AND(Bills!#REF!,"AAAAAH/ZvzM=")</f>
        <v>#REF!</v>
      </c>
      <c r="BA180" t="e">
        <f>AND(Bills!#REF!,"AAAAAH/ZvzQ=")</f>
        <v>#REF!</v>
      </c>
      <c r="BB180" t="e">
        <f>AND(Bills!#REF!,"AAAAAH/ZvzU=")</f>
        <v>#REF!</v>
      </c>
      <c r="BC180" t="e">
        <f>AND(Bills!#REF!,"AAAAAH/ZvzY=")</f>
        <v>#REF!</v>
      </c>
      <c r="BD180" t="e">
        <f>AND(Bills!#REF!,"AAAAAH/Zvzc=")</f>
        <v>#REF!</v>
      </c>
      <c r="BE180" t="e">
        <f>AND(Bills!AA741,"AAAAAH/Zvzg=")</f>
        <v>#VALUE!</v>
      </c>
      <c r="BF180" t="e">
        <f>AND(Bills!AB741,"AAAAAH/Zvzk=")</f>
        <v>#VALUE!</v>
      </c>
      <c r="BG180" t="e">
        <f>AND(Bills!#REF!,"AAAAAH/Zvzo=")</f>
        <v>#REF!</v>
      </c>
      <c r="BH180" t="e">
        <f>AND(Bills!#REF!,"AAAAAH/Zvzs=")</f>
        <v>#REF!</v>
      </c>
      <c r="BI180" t="e">
        <f>AND(Bills!#REF!,"AAAAAH/Zvzw=")</f>
        <v>#REF!</v>
      </c>
      <c r="BJ180" t="e">
        <f>AND(Bills!AC741,"AAAAAH/Zvz0=")</f>
        <v>#VALUE!</v>
      </c>
      <c r="BK180" t="e">
        <f>AND(Bills!AD741,"AAAAAH/Zvz4=")</f>
        <v>#VALUE!</v>
      </c>
      <c r="BL180" t="e">
        <f>AND(Bills!AE741,"AAAAAH/Zvz8=")</f>
        <v>#VALUE!</v>
      </c>
      <c r="BM180">
        <f>IF(Bills!742:742,"AAAAAH/Zv0A=",0)</f>
        <v>0</v>
      </c>
      <c r="BN180" t="e">
        <f>AND(Bills!B742,"AAAAAH/Zv0E=")</f>
        <v>#VALUE!</v>
      </c>
      <c r="BO180" t="e">
        <f>AND(Bills!#REF!,"AAAAAH/Zv0I=")</f>
        <v>#REF!</v>
      </c>
      <c r="BP180" t="e">
        <f>AND(Bills!C742,"AAAAAH/Zv0M=")</f>
        <v>#VALUE!</v>
      </c>
      <c r="BQ180" t="e">
        <f>AND(Bills!D742,"AAAAAH/Zv0Q=")</f>
        <v>#VALUE!</v>
      </c>
      <c r="BR180" t="e">
        <f>AND(Bills!E742,"AAAAAH/Zv0U=")</f>
        <v>#VALUE!</v>
      </c>
      <c r="BS180" t="e">
        <f>AND(Bills!#REF!,"AAAAAH/Zv0Y=")</f>
        <v>#REF!</v>
      </c>
      <c r="BT180" t="e">
        <f>AND(Bills!#REF!,"AAAAAH/Zv0c=")</f>
        <v>#REF!</v>
      </c>
      <c r="BU180" t="e">
        <f>AND(Bills!#REF!,"AAAAAH/Zv0g=")</f>
        <v>#REF!</v>
      </c>
      <c r="BV180" t="e">
        <f>AND(Bills!F742,"AAAAAH/Zv0k=")</f>
        <v>#VALUE!</v>
      </c>
      <c r="BW180" t="e">
        <f>AND(Bills!#REF!,"AAAAAH/Zv0o=")</f>
        <v>#REF!</v>
      </c>
      <c r="BX180" t="e">
        <f>AND(Bills!G742,"AAAAAH/Zv0s=")</f>
        <v>#VALUE!</v>
      </c>
      <c r="BY180" t="e">
        <f>AND(Bills!H742,"AAAAAH/Zv0w=")</f>
        <v>#VALUE!</v>
      </c>
      <c r="BZ180" t="e">
        <f>AND(Bills!I742,"AAAAAH/Zv00=")</f>
        <v>#VALUE!</v>
      </c>
      <c r="CA180" t="e">
        <f>AND(Bills!J742,"AAAAAH/Zv04=")</f>
        <v>#VALUE!</v>
      </c>
      <c r="CB180" t="e">
        <f>AND(Bills!K742,"AAAAAH/Zv08=")</f>
        <v>#VALUE!</v>
      </c>
      <c r="CC180" t="e">
        <f>AND(Bills!L742,"AAAAAH/Zv1A=")</f>
        <v>#VALUE!</v>
      </c>
      <c r="CD180" t="e">
        <f>AND(Bills!#REF!,"AAAAAH/Zv1E=")</f>
        <v>#REF!</v>
      </c>
      <c r="CE180" t="e">
        <f>AND(Bills!M742,"AAAAAH/Zv1I=")</f>
        <v>#VALUE!</v>
      </c>
      <c r="CF180" t="e">
        <f>AND(Bills!N742,"AAAAAH/Zv1M=")</f>
        <v>#VALUE!</v>
      </c>
      <c r="CG180" t="e">
        <f>AND(Bills!O742,"AAAAAH/Zv1Q=")</f>
        <v>#VALUE!</v>
      </c>
      <c r="CH180" t="e">
        <f>AND(Bills!P742,"AAAAAH/Zv1U=")</f>
        <v>#VALUE!</v>
      </c>
      <c r="CI180" t="e">
        <f>AND(Bills!Q742,"AAAAAH/Zv1Y=")</f>
        <v>#VALUE!</v>
      </c>
      <c r="CJ180" t="e">
        <f>AND(Bills!R742,"AAAAAH/Zv1c=")</f>
        <v>#VALUE!</v>
      </c>
      <c r="CK180" t="e">
        <f>AND(Bills!S742,"AAAAAH/Zv1g=")</f>
        <v>#VALUE!</v>
      </c>
      <c r="CL180" t="e">
        <f>AND(Bills!T742,"AAAAAH/Zv1k=")</f>
        <v>#VALUE!</v>
      </c>
      <c r="CM180" t="e">
        <f>AND(Bills!#REF!,"AAAAAH/Zv1o=")</f>
        <v>#REF!</v>
      </c>
      <c r="CN180" t="e">
        <f>AND(Bills!U742,"AAAAAH/Zv1s=")</f>
        <v>#VALUE!</v>
      </c>
      <c r="CO180" t="e">
        <f>AND(Bills!V742,"AAAAAH/Zv1w=")</f>
        <v>#VALUE!</v>
      </c>
      <c r="CP180" t="e">
        <f>AND(Bills!W742,"AAAAAH/Zv10=")</f>
        <v>#VALUE!</v>
      </c>
      <c r="CQ180" t="e">
        <f>AND(Bills!#REF!,"AAAAAH/Zv14=")</f>
        <v>#REF!</v>
      </c>
      <c r="CR180" t="e">
        <f>AND(Bills!#REF!,"AAAAAH/Zv18=")</f>
        <v>#REF!</v>
      </c>
      <c r="CS180" t="e">
        <f>AND(Bills!Y742,"AAAAAH/Zv2A=")</f>
        <v>#VALUE!</v>
      </c>
      <c r="CT180" t="e">
        <f>AND(Bills!Z742,"AAAAAH/Zv2E=")</f>
        <v>#VALUE!</v>
      </c>
      <c r="CU180" t="e">
        <f>AND(Bills!#REF!,"AAAAAH/Zv2I=")</f>
        <v>#REF!</v>
      </c>
      <c r="CV180" t="e">
        <f>AND(Bills!#REF!,"AAAAAH/Zv2M=")</f>
        <v>#REF!</v>
      </c>
      <c r="CW180" t="e">
        <f>AND(Bills!#REF!,"AAAAAH/Zv2Q=")</f>
        <v>#REF!</v>
      </c>
      <c r="CX180" t="e">
        <f>AND(Bills!#REF!,"AAAAAH/Zv2U=")</f>
        <v>#REF!</v>
      </c>
      <c r="CY180" t="e">
        <f>AND(Bills!#REF!,"AAAAAH/Zv2Y=")</f>
        <v>#REF!</v>
      </c>
      <c r="CZ180" t="e">
        <f>AND(Bills!#REF!,"AAAAAH/Zv2c=")</f>
        <v>#REF!</v>
      </c>
      <c r="DA180" t="e">
        <f>AND(Bills!#REF!,"AAAAAH/Zv2g=")</f>
        <v>#REF!</v>
      </c>
      <c r="DB180" t="e">
        <f>AND(Bills!#REF!,"AAAAAH/Zv2k=")</f>
        <v>#REF!</v>
      </c>
      <c r="DC180" t="e">
        <f>AND(Bills!#REF!,"AAAAAH/Zv2o=")</f>
        <v>#REF!</v>
      </c>
      <c r="DD180" t="e">
        <f>AND(Bills!AA742,"AAAAAH/Zv2s=")</f>
        <v>#VALUE!</v>
      </c>
      <c r="DE180" t="e">
        <f>AND(Bills!AB742,"AAAAAH/Zv2w=")</f>
        <v>#VALUE!</v>
      </c>
      <c r="DF180" t="e">
        <f>AND(Bills!#REF!,"AAAAAH/Zv20=")</f>
        <v>#REF!</v>
      </c>
      <c r="DG180" t="e">
        <f>AND(Bills!#REF!,"AAAAAH/Zv24=")</f>
        <v>#REF!</v>
      </c>
      <c r="DH180" t="e">
        <f>AND(Bills!#REF!,"AAAAAH/Zv28=")</f>
        <v>#REF!</v>
      </c>
      <c r="DI180" t="e">
        <f>AND(Bills!AC742,"AAAAAH/Zv3A=")</f>
        <v>#VALUE!</v>
      </c>
      <c r="DJ180" t="e">
        <f>AND(Bills!AD742,"AAAAAH/Zv3E=")</f>
        <v>#VALUE!</v>
      </c>
      <c r="DK180" t="e">
        <f>AND(Bills!AE742,"AAAAAH/Zv3I=")</f>
        <v>#VALUE!</v>
      </c>
      <c r="DL180">
        <f>IF(Bills!743:743,"AAAAAH/Zv3M=",0)</f>
        <v>0</v>
      </c>
      <c r="DM180" t="e">
        <f>AND(Bills!B743,"AAAAAH/Zv3Q=")</f>
        <v>#VALUE!</v>
      </c>
      <c r="DN180" t="e">
        <f>AND(Bills!#REF!,"AAAAAH/Zv3U=")</f>
        <v>#REF!</v>
      </c>
      <c r="DO180" t="e">
        <f>AND(Bills!C743,"AAAAAH/Zv3Y=")</f>
        <v>#VALUE!</v>
      </c>
      <c r="DP180" t="e">
        <f>AND(Bills!D743,"AAAAAH/Zv3c=")</f>
        <v>#VALUE!</v>
      </c>
      <c r="DQ180" t="e">
        <f>AND(Bills!E743,"AAAAAH/Zv3g=")</f>
        <v>#VALUE!</v>
      </c>
      <c r="DR180" t="e">
        <f>AND(Bills!#REF!,"AAAAAH/Zv3k=")</f>
        <v>#REF!</v>
      </c>
      <c r="DS180" t="e">
        <f>AND(Bills!#REF!,"AAAAAH/Zv3o=")</f>
        <v>#REF!</v>
      </c>
      <c r="DT180" t="e">
        <f>AND(Bills!#REF!,"AAAAAH/Zv3s=")</f>
        <v>#REF!</v>
      </c>
      <c r="DU180" t="e">
        <f>AND(Bills!F743,"AAAAAH/Zv3w=")</f>
        <v>#VALUE!</v>
      </c>
      <c r="DV180" t="e">
        <f>AND(Bills!#REF!,"AAAAAH/Zv30=")</f>
        <v>#REF!</v>
      </c>
      <c r="DW180" t="e">
        <f>AND(Bills!G743,"AAAAAH/Zv34=")</f>
        <v>#VALUE!</v>
      </c>
      <c r="DX180" t="e">
        <f>AND(Bills!H743,"AAAAAH/Zv38=")</f>
        <v>#VALUE!</v>
      </c>
      <c r="DY180" t="e">
        <f>AND(Bills!I743,"AAAAAH/Zv4A=")</f>
        <v>#VALUE!</v>
      </c>
      <c r="DZ180" t="e">
        <f>AND(Bills!J743,"AAAAAH/Zv4E=")</f>
        <v>#VALUE!</v>
      </c>
      <c r="EA180" t="e">
        <f>AND(Bills!K743,"AAAAAH/Zv4I=")</f>
        <v>#VALUE!</v>
      </c>
      <c r="EB180" t="e">
        <f>AND(Bills!L743,"AAAAAH/Zv4M=")</f>
        <v>#VALUE!</v>
      </c>
      <c r="EC180" t="e">
        <f>AND(Bills!#REF!,"AAAAAH/Zv4Q=")</f>
        <v>#REF!</v>
      </c>
      <c r="ED180" t="e">
        <f>AND(Bills!M743,"AAAAAH/Zv4U=")</f>
        <v>#VALUE!</v>
      </c>
      <c r="EE180" t="e">
        <f>AND(Bills!N743,"AAAAAH/Zv4Y=")</f>
        <v>#VALUE!</v>
      </c>
      <c r="EF180" t="e">
        <f>AND(Bills!O743,"AAAAAH/Zv4c=")</f>
        <v>#VALUE!</v>
      </c>
      <c r="EG180" t="e">
        <f>AND(Bills!P743,"AAAAAH/Zv4g=")</f>
        <v>#VALUE!</v>
      </c>
      <c r="EH180" t="e">
        <f>AND(Bills!Q743,"AAAAAH/Zv4k=")</f>
        <v>#VALUE!</v>
      </c>
      <c r="EI180" t="e">
        <f>AND(Bills!R743,"AAAAAH/Zv4o=")</f>
        <v>#VALUE!</v>
      </c>
      <c r="EJ180" t="e">
        <f>AND(Bills!S743,"AAAAAH/Zv4s=")</f>
        <v>#VALUE!</v>
      </c>
      <c r="EK180" t="e">
        <f>AND(Bills!T743,"AAAAAH/Zv4w=")</f>
        <v>#VALUE!</v>
      </c>
      <c r="EL180" t="e">
        <f>AND(Bills!#REF!,"AAAAAH/Zv40=")</f>
        <v>#REF!</v>
      </c>
      <c r="EM180" t="e">
        <f>AND(Bills!U743,"AAAAAH/Zv44=")</f>
        <v>#VALUE!</v>
      </c>
      <c r="EN180" t="e">
        <f>AND(Bills!V743,"AAAAAH/Zv48=")</f>
        <v>#VALUE!</v>
      </c>
      <c r="EO180" t="e">
        <f>AND(Bills!W743,"AAAAAH/Zv5A=")</f>
        <v>#VALUE!</v>
      </c>
      <c r="EP180" t="e">
        <f>AND(Bills!#REF!,"AAAAAH/Zv5E=")</f>
        <v>#REF!</v>
      </c>
      <c r="EQ180" t="e">
        <f>AND(Bills!#REF!,"AAAAAH/Zv5I=")</f>
        <v>#REF!</v>
      </c>
      <c r="ER180" t="e">
        <f>AND(Bills!Y743,"AAAAAH/Zv5M=")</f>
        <v>#VALUE!</v>
      </c>
      <c r="ES180" t="e">
        <f>AND(Bills!Z743,"AAAAAH/Zv5Q=")</f>
        <v>#VALUE!</v>
      </c>
      <c r="ET180" t="e">
        <f>AND(Bills!#REF!,"AAAAAH/Zv5U=")</f>
        <v>#REF!</v>
      </c>
      <c r="EU180" t="e">
        <f>AND(Bills!#REF!,"AAAAAH/Zv5Y=")</f>
        <v>#REF!</v>
      </c>
      <c r="EV180" t="e">
        <f>AND(Bills!#REF!,"AAAAAH/Zv5c=")</f>
        <v>#REF!</v>
      </c>
      <c r="EW180" t="e">
        <f>AND(Bills!#REF!,"AAAAAH/Zv5g=")</f>
        <v>#REF!</v>
      </c>
      <c r="EX180" t="e">
        <f>AND(Bills!#REF!,"AAAAAH/Zv5k=")</f>
        <v>#REF!</v>
      </c>
      <c r="EY180" t="e">
        <f>AND(Bills!#REF!,"AAAAAH/Zv5o=")</f>
        <v>#REF!</v>
      </c>
      <c r="EZ180" t="e">
        <f>AND(Bills!#REF!,"AAAAAH/Zv5s=")</f>
        <v>#REF!</v>
      </c>
      <c r="FA180" t="e">
        <f>AND(Bills!#REF!,"AAAAAH/Zv5w=")</f>
        <v>#REF!</v>
      </c>
      <c r="FB180" t="e">
        <f>AND(Bills!#REF!,"AAAAAH/Zv50=")</f>
        <v>#REF!</v>
      </c>
      <c r="FC180" t="e">
        <f>AND(Bills!AA743,"AAAAAH/Zv54=")</f>
        <v>#VALUE!</v>
      </c>
      <c r="FD180" t="e">
        <f>AND(Bills!AB743,"AAAAAH/Zv58=")</f>
        <v>#VALUE!</v>
      </c>
      <c r="FE180" t="e">
        <f>AND(Bills!#REF!,"AAAAAH/Zv6A=")</f>
        <v>#REF!</v>
      </c>
      <c r="FF180" t="e">
        <f>AND(Bills!#REF!,"AAAAAH/Zv6E=")</f>
        <v>#REF!</v>
      </c>
      <c r="FG180" t="e">
        <f>AND(Bills!#REF!,"AAAAAH/Zv6I=")</f>
        <v>#REF!</v>
      </c>
      <c r="FH180" t="e">
        <f>AND(Bills!AC743,"AAAAAH/Zv6M=")</f>
        <v>#VALUE!</v>
      </c>
      <c r="FI180" t="e">
        <f>AND(Bills!AD743,"AAAAAH/Zv6Q=")</f>
        <v>#VALUE!</v>
      </c>
      <c r="FJ180" t="e">
        <f>AND(Bills!AE743,"AAAAAH/Zv6U=")</f>
        <v>#VALUE!</v>
      </c>
      <c r="FK180">
        <f>IF(Bills!744:744,"AAAAAH/Zv6Y=",0)</f>
        <v>0</v>
      </c>
      <c r="FL180" t="e">
        <f>AND(Bills!B744,"AAAAAH/Zv6c=")</f>
        <v>#VALUE!</v>
      </c>
      <c r="FM180" t="e">
        <f>AND(Bills!#REF!,"AAAAAH/Zv6g=")</f>
        <v>#REF!</v>
      </c>
      <c r="FN180" t="e">
        <f>AND(Bills!C744,"AAAAAH/Zv6k=")</f>
        <v>#VALUE!</v>
      </c>
      <c r="FO180" t="e">
        <f>AND(Bills!D744,"AAAAAH/Zv6o=")</f>
        <v>#VALUE!</v>
      </c>
      <c r="FP180" t="e">
        <f>AND(Bills!E744,"AAAAAH/Zv6s=")</f>
        <v>#VALUE!</v>
      </c>
      <c r="FQ180" t="e">
        <f>AND(Bills!#REF!,"AAAAAH/Zv6w=")</f>
        <v>#REF!</v>
      </c>
      <c r="FR180" t="e">
        <f>AND(Bills!#REF!,"AAAAAH/Zv60=")</f>
        <v>#REF!</v>
      </c>
      <c r="FS180" t="e">
        <f>AND(Bills!#REF!,"AAAAAH/Zv64=")</f>
        <v>#REF!</v>
      </c>
      <c r="FT180" t="e">
        <f>AND(Bills!F744,"AAAAAH/Zv68=")</f>
        <v>#VALUE!</v>
      </c>
      <c r="FU180" t="e">
        <f>AND(Bills!#REF!,"AAAAAH/Zv7A=")</f>
        <v>#REF!</v>
      </c>
      <c r="FV180" t="e">
        <f>AND(Bills!G744,"AAAAAH/Zv7E=")</f>
        <v>#VALUE!</v>
      </c>
      <c r="FW180" t="e">
        <f>AND(Bills!H744,"AAAAAH/Zv7I=")</f>
        <v>#VALUE!</v>
      </c>
      <c r="FX180" t="e">
        <f>AND(Bills!I744,"AAAAAH/Zv7M=")</f>
        <v>#VALUE!</v>
      </c>
      <c r="FY180" t="e">
        <f>AND(Bills!J744,"AAAAAH/Zv7Q=")</f>
        <v>#VALUE!</v>
      </c>
      <c r="FZ180" t="e">
        <f>AND(Bills!K744,"AAAAAH/Zv7U=")</f>
        <v>#VALUE!</v>
      </c>
      <c r="GA180" t="e">
        <f>AND(Bills!L744,"AAAAAH/Zv7Y=")</f>
        <v>#VALUE!</v>
      </c>
      <c r="GB180" t="e">
        <f>AND(Bills!#REF!,"AAAAAH/Zv7c=")</f>
        <v>#REF!</v>
      </c>
      <c r="GC180" t="e">
        <f>AND(Bills!M744,"AAAAAH/Zv7g=")</f>
        <v>#VALUE!</v>
      </c>
      <c r="GD180" t="e">
        <f>AND(Bills!N744,"AAAAAH/Zv7k=")</f>
        <v>#VALUE!</v>
      </c>
      <c r="GE180" t="e">
        <f>AND(Bills!O744,"AAAAAH/Zv7o=")</f>
        <v>#VALUE!</v>
      </c>
      <c r="GF180" t="e">
        <f>AND(Bills!P744,"AAAAAH/Zv7s=")</f>
        <v>#VALUE!</v>
      </c>
      <c r="GG180" t="e">
        <f>AND(Bills!Q744,"AAAAAH/Zv7w=")</f>
        <v>#VALUE!</v>
      </c>
      <c r="GH180" t="e">
        <f>AND(Bills!R744,"AAAAAH/Zv70=")</f>
        <v>#VALUE!</v>
      </c>
      <c r="GI180" t="e">
        <f>AND(Bills!S744,"AAAAAH/Zv74=")</f>
        <v>#VALUE!</v>
      </c>
      <c r="GJ180" t="e">
        <f>AND(Bills!T744,"AAAAAH/Zv78=")</f>
        <v>#VALUE!</v>
      </c>
      <c r="GK180" t="e">
        <f>AND(Bills!#REF!,"AAAAAH/Zv8A=")</f>
        <v>#REF!</v>
      </c>
      <c r="GL180" t="e">
        <f>AND(Bills!U744,"AAAAAH/Zv8E=")</f>
        <v>#VALUE!</v>
      </c>
      <c r="GM180" t="e">
        <f>AND(Bills!V744,"AAAAAH/Zv8I=")</f>
        <v>#VALUE!</v>
      </c>
      <c r="GN180" t="e">
        <f>AND(Bills!W744,"AAAAAH/Zv8M=")</f>
        <v>#VALUE!</v>
      </c>
      <c r="GO180" t="e">
        <f>AND(Bills!#REF!,"AAAAAH/Zv8Q=")</f>
        <v>#REF!</v>
      </c>
      <c r="GP180" t="e">
        <f>AND(Bills!#REF!,"AAAAAH/Zv8U=")</f>
        <v>#REF!</v>
      </c>
      <c r="GQ180" t="e">
        <f>AND(Bills!Y744,"AAAAAH/Zv8Y=")</f>
        <v>#VALUE!</v>
      </c>
      <c r="GR180" t="e">
        <f>AND(Bills!Z744,"AAAAAH/Zv8c=")</f>
        <v>#VALUE!</v>
      </c>
      <c r="GS180" t="e">
        <f>AND(Bills!#REF!,"AAAAAH/Zv8g=")</f>
        <v>#REF!</v>
      </c>
      <c r="GT180" t="e">
        <f>AND(Bills!#REF!,"AAAAAH/Zv8k=")</f>
        <v>#REF!</v>
      </c>
      <c r="GU180" t="e">
        <f>AND(Bills!#REF!,"AAAAAH/Zv8o=")</f>
        <v>#REF!</v>
      </c>
      <c r="GV180" t="e">
        <f>AND(Bills!#REF!,"AAAAAH/Zv8s=")</f>
        <v>#REF!</v>
      </c>
      <c r="GW180" t="e">
        <f>AND(Bills!#REF!,"AAAAAH/Zv8w=")</f>
        <v>#REF!</v>
      </c>
      <c r="GX180" t="e">
        <f>AND(Bills!#REF!,"AAAAAH/Zv80=")</f>
        <v>#REF!</v>
      </c>
      <c r="GY180" t="e">
        <f>AND(Bills!#REF!,"AAAAAH/Zv84=")</f>
        <v>#REF!</v>
      </c>
      <c r="GZ180" t="e">
        <f>AND(Bills!#REF!,"AAAAAH/Zv88=")</f>
        <v>#REF!</v>
      </c>
      <c r="HA180" t="e">
        <f>AND(Bills!#REF!,"AAAAAH/Zv9A=")</f>
        <v>#REF!</v>
      </c>
      <c r="HB180" t="e">
        <f>AND(Bills!AA744,"AAAAAH/Zv9E=")</f>
        <v>#VALUE!</v>
      </c>
      <c r="HC180" t="e">
        <f>AND(Bills!AB744,"AAAAAH/Zv9I=")</f>
        <v>#VALUE!</v>
      </c>
      <c r="HD180" t="e">
        <f>AND(Bills!#REF!,"AAAAAH/Zv9M=")</f>
        <v>#REF!</v>
      </c>
      <c r="HE180" t="e">
        <f>AND(Bills!#REF!,"AAAAAH/Zv9Q=")</f>
        <v>#REF!</v>
      </c>
      <c r="HF180" t="e">
        <f>AND(Bills!#REF!,"AAAAAH/Zv9U=")</f>
        <v>#REF!</v>
      </c>
      <c r="HG180" t="e">
        <f>AND(Bills!AC744,"AAAAAH/Zv9Y=")</f>
        <v>#VALUE!</v>
      </c>
      <c r="HH180" t="e">
        <f>AND(Bills!AD744,"AAAAAH/Zv9c=")</f>
        <v>#VALUE!</v>
      </c>
      <c r="HI180" t="e">
        <f>AND(Bills!AE744,"AAAAAH/Zv9g=")</f>
        <v>#VALUE!</v>
      </c>
      <c r="HJ180">
        <f>IF(Bills!745:745,"AAAAAH/Zv9k=",0)</f>
        <v>0</v>
      </c>
      <c r="HK180" t="e">
        <f>AND(Bills!B745,"AAAAAH/Zv9o=")</f>
        <v>#VALUE!</v>
      </c>
      <c r="HL180" t="e">
        <f>AND(Bills!#REF!,"AAAAAH/Zv9s=")</f>
        <v>#REF!</v>
      </c>
      <c r="HM180" t="e">
        <f>AND(Bills!C745,"AAAAAH/Zv9w=")</f>
        <v>#VALUE!</v>
      </c>
      <c r="HN180" t="e">
        <f>AND(Bills!D745,"AAAAAH/Zv90=")</f>
        <v>#VALUE!</v>
      </c>
      <c r="HO180" t="e">
        <f>AND(Bills!E745,"AAAAAH/Zv94=")</f>
        <v>#VALUE!</v>
      </c>
      <c r="HP180" t="e">
        <f>AND(Bills!#REF!,"AAAAAH/Zv98=")</f>
        <v>#REF!</v>
      </c>
      <c r="HQ180" t="e">
        <f>AND(Bills!#REF!,"AAAAAH/Zv+A=")</f>
        <v>#REF!</v>
      </c>
      <c r="HR180" t="e">
        <f>AND(Bills!#REF!,"AAAAAH/Zv+E=")</f>
        <v>#REF!</v>
      </c>
      <c r="HS180" t="e">
        <f>AND(Bills!F745,"AAAAAH/Zv+I=")</f>
        <v>#VALUE!</v>
      </c>
      <c r="HT180" t="e">
        <f>AND(Bills!#REF!,"AAAAAH/Zv+M=")</f>
        <v>#REF!</v>
      </c>
      <c r="HU180" t="e">
        <f>AND(Bills!G745,"AAAAAH/Zv+Q=")</f>
        <v>#VALUE!</v>
      </c>
      <c r="HV180" t="e">
        <f>AND(Bills!H745,"AAAAAH/Zv+U=")</f>
        <v>#VALUE!</v>
      </c>
      <c r="HW180" t="e">
        <f>AND(Bills!I745,"AAAAAH/Zv+Y=")</f>
        <v>#VALUE!</v>
      </c>
      <c r="HX180" t="e">
        <f>AND(Bills!J745,"AAAAAH/Zv+c=")</f>
        <v>#VALUE!</v>
      </c>
      <c r="HY180" t="e">
        <f>AND(Bills!K745,"AAAAAH/Zv+g=")</f>
        <v>#VALUE!</v>
      </c>
      <c r="HZ180" t="e">
        <f>AND(Bills!L745,"AAAAAH/Zv+k=")</f>
        <v>#VALUE!</v>
      </c>
      <c r="IA180" t="e">
        <f>AND(Bills!#REF!,"AAAAAH/Zv+o=")</f>
        <v>#REF!</v>
      </c>
      <c r="IB180" t="e">
        <f>AND(Bills!M745,"AAAAAH/Zv+s=")</f>
        <v>#VALUE!</v>
      </c>
      <c r="IC180" t="e">
        <f>AND(Bills!N745,"AAAAAH/Zv+w=")</f>
        <v>#VALUE!</v>
      </c>
      <c r="ID180" t="e">
        <f>AND(Bills!O745,"AAAAAH/Zv+0=")</f>
        <v>#VALUE!</v>
      </c>
      <c r="IE180" t="e">
        <f>AND(Bills!P745,"AAAAAH/Zv+4=")</f>
        <v>#VALUE!</v>
      </c>
      <c r="IF180" t="e">
        <f>AND(Bills!Q745,"AAAAAH/Zv+8=")</f>
        <v>#VALUE!</v>
      </c>
      <c r="IG180" t="e">
        <f>AND(Bills!R745,"AAAAAH/Zv/A=")</f>
        <v>#VALUE!</v>
      </c>
      <c r="IH180" t="e">
        <f>AND(Bills!S745,"AAAAAH/Zv/E=")</f>
        <v>#VALUE!</v>
      </c>
      <c r="II180" t="e">
        <f>AND(Bills!T745,"AAAAAH/Zv/I=")</f>
        <v>#VALUE!</v>
      </c>
      <c r="IJ180" t="e">
        <f>AND(Bills!#REF!,"AAAAAH/Zv/M=")</f>
        <v>#REF!</v>
      </c>
      <c r="IK180" t="e">
        <f>AND(Bills!U745,"AAAAAH/Zv/Q=")</f>
        <v>#VALUE!</v>
      </c>
      <c r="IL180" t="e">
        <f>AND(Bills!V745,"AAAAAH/Zv/U=")</f>
        <v>#VALUE!</v>
      </c>
      <c r="IM180" t="e">
        <f>AND(Bills!W745,"AAAAAH/Zv/Y=")</f>
        <v>#VALUE!</v>
      </c>
      <c r="IN180" t="e">
        <f>AND(Bills!#REF!,"AAAAAH/Zv/c=")</f>
        <v>#REF!</v>
      </c>
      <c r="IO180" t="e">
        <f>AND(Bills!#REF!,"AAAAAH/Zv/g=")</f>
        <v>#REF!</v>
      </c>
      <c r="IP180" t="e">
        <f>AND(Bills!Y745,"AAAAAH/Zv/k=")</f>
        <v>#VALUE!</v>
      </c>
      <c r="IQ180" t="e">
        <f>AND(Bills!Z745,"AAAAAH/Zv/o=")</f>
        <v>#VALUE!</v>
      </c>
      <c r="IR180" t="e">
        <f>AND(Bills!#REF!,"AAAAAH/Zv/s=")</f>
        <v>#REF!</v>
      </c>
      <c r="IS180" t="e">
        <f>AND(Bills!#REF!,"AAAAAH/Zv/w=")</f>
        <v>#REF!</v>
      </c>
      <c r="IT180" t="e">
        <f>AND(Bills!#REF!,"AAAAAH/Zv/0=")</f>
        <v>#REF!</v>
      </c>
      <c r="IU180" t="e">
        <f>AND(Bills!#REF!,"AAAAAH/Zv/4=")</f>
        <v>#REF!</v>
      </c>
      <c r="IV180" t="e">
        <f>AND(Bills!#REF!,"AAAAAH/Zv/8=")</f>
        <v>#REF!</v>
      </c>
    </row>
    <row r="181" spans="1:256" x14ac:dyDescent="0.25">
      <c r="A181" t="e">
        <f>AND(Bills!#REF!,"AAAAAH79yQA=")</f>
        <v>#REF!</v>
      </c>
      <c r="B181" t="e">
        <f>AND(Bills!#REF!,"AAAAAH79yQE=")</f>
        <v>#REF!</v>
      </c>
      <c r="C181" t="e">
        <f>AND(Bills!#REF!,"AAAAAH79yQI=")</f>
        <v>#REF!</v>
      </c>
      <c r="D181" t="e">
        <f>AND(Bills!#REF!,"AAAAAH79yQM=")</f>
        <v>#REF!</v>
      </c>
      <c r="E181" t="e">
        <f>AND(Bills!AA745,"AAAAAH79yQQ=")</f>
        <v>#VALUE!</v>
      </c>
      <c r="F181" t="e">
        <f>AND(Bills!AB745,"AAAAAH79yQU=")</f>
        <v>#VALUE!</v>
      </c>
      <c r="G181" t="e">
        <f>AND(Bills!#REF!,"AAAAAH79yQY=")</f>
        <v>#REF!</v>
      </c>
      <c r="H181" t="e">
        <f>AND(Bills!#REF!,"AAAAAH79yQc=")</f>
        <v>#REF!</v>
      </c>
      <c r="I181" t="e">
        <f>AND(Bills!#REF!,"AAAAAH79yQg=")</f>
        <v>#REF!</v>
      </c>
      <c r="J181" t="e">
        <f>AND(Bills!AC745,"AAAAAH79yQk=")</f>
        <v>#VALUE!</v>
      </c>
      <c r="K181" t="e">
        <f>AND(Bills!AD745,"AAAAAH79yQo=")</f>
        <v>#VALUE!</v>
      </c>
      <c r="L181" t="e">
        <f>AND(Bills!AE745,"AAAAAH79yQs=")</f>
        <v>#VALUE!</v>
      </c>
      <c r="M181">
        <f>IF(Bills!746:746,"AAAAAH79yQw=",0)</f>
        <v>0</v>
      </c>
      <c r="N181" t="e">
        <f>AND(Bills!B746,"AAAAAH79yQ0=")</f>
        <v>#VALUE!</v>
      </c>
      <c r="O181" t="e">
        <f>AND(Bills!#REF!,"AAAAAH79yQ4=")</f>
        <v>#REF!</v>
      </c>
      <c r="P181" t="e">
        <f>AND(Bills!C746,"AAAAAH79yQ8=")</f>
        <v>#VALUE!</v>
      </c>
      <c r="Q181" t="e">
        <f>AND(Bills!D746,"AAAAAH79yRA=")</f>
        <v>#VALUE!</v>
      </c>
      <c r="R181" t="e">
        <f>AND(Bills!E746,"AAAAAH79yRE=")</f>
        <v>#VALUE!</v>
      </c>
      <c r="S181" t="e">
        <f>AND(Bills!#REF!,"AAAAAH79yRI=")</f>
        <v>#REF!</v>
      </c>
      <c r="T181" t="e">
        <f>AND(Bills!#REF!,"AAAAAH79yRM=")</f>
        <v>#REF!</v>
      </c>
      <c r="U181" t="e">
        <f>AND(Bills!#REF!,"AAAAAH79yRQ=")</f>
        <v>#REF!</v>
      </c>
      <c r="V181" t="e">
        <f>AND(Bills!F746,"AAAAAH79yRU=")</f>
        <v>#VALUE!</v>
      </c>
      <c r="W181" t="e">
        <f>AND(Bills!#REF!,"AAAAAH79yRY=")</f>
        <v>#REF!</v>
      </c>
      <c r="X181" t="e">
        <f>AND(Bills!G746,"AAAAAH79yRc=")</f>
        <v>#VALUE!</v>
      </c>
      <c r="Y181" t="e">
        <f>AND(Bills!H746,"AAAAAH79yRg=")</f>
        <v>#VALUE!</v>
      </c>
      <c r="Z181" t="e">
        <f>AND(Bills!I746,"AAAAAH79yRk=")</f>
        <v>#VALUE!</v>
      </c>
      <c r="AA181" t="e">
        <f>AND(Bills!J746,"AAAAAH79yRo=")</f>
        <v>#VALUE!</v>
      </c>
      <c r="AB181" t="e">
        <f>AND(Bills!K746,"AAAAAH79yRs=")</f>
        <v>#VALUE!</v>
      </c>
      <c r="AC181" t="e">
        <f>AND(Bills!L746,"AAAAAH79yRw=")</f>
        <v>#VALUE!</v>
      </c>
      <c r="AD181" t="e">
        <f>AND(Bills!#REF!,"AAAAAH79yR0=")</f>
        <v>#REF!</v>
      </c>
      <c r="AE181" t="e">
        <f>AND(Bills!M746,"AAAAAH79yR4=")</f>
        <v>#VALUE!</v>
      </c>
      <c r="AF181" t="e">
        <f>AND(Bills!N746,"AAAAAH79yR8=")</f>
        <v>#VALUE!</v>
      </c>
      <c r="AG181" t="e">
        <f>AND(Bills!O746,"AAAAAH79ySA=")</f>
        <v>#VALUE!</v>
      </c>
      <c r="AH181" t="e">
        <f>AND(Bills!P746,"AAAAAH79ySE=")</f>
        <v>#VALUE!</v>
      </c>
      <c r="AI181" t="e">
        <f>AND(Bills!Q746,"AAAAAH79ySI=")</f>
        <v>#VALUE!</v>
      </c>
      <c r="AJ181" t="e">
        <f>AND(Bills!R746,"AAAAAH79ySM=")</f>
        <v>#VALUE!</v>
      </c>
      <c r="AK181" t="e">
        <f>AND(Bills!S746,"AAAAAH79ySQ=")</f>
        <v>#VALUE!</v>
      </c>
      <c r="AL181" t="e">
        <f>AND(Bills!T746,"AAAAAH79ySU=")</f>
        <v>#VALUE!</v>
      </c>
      <c r="AM181" t="e">
        <f>AND(Bills!#REF!,"AAAAAH79ySY=")</f>
        <v>#REF!</v>
      </c>
      <c r="AN181" t="e">
        <f>AND(Bills!U746,"AAAAAH79ySc=")</f>
        <v>#VALUE!</v>
      </c>
      <c r="AO181" t="e">
        <f>AND(Bills!V746,"AAAAAH79ySg=")</f>
        <v>#VALUE!</v>
      </c>
      <c r="AP181" t="e">
        <f>AND(Bills!W746,"AAAAAH79ySk=")</f>
        <v>#VALUE!</v>
      </c>
      <c r="AQ181" t="e">
        <f>AND(Bills!#REF!,"AAAAAH79ySo=")</f>
        <v>#REF!</v>
      </c>
      <c r="AR181" t="e">
        <f>AND(Bills!#REF!,"AAAAAH79ySs=")</f>
        <v>#REF!</v>
      </c>
      <c r="AS181" t="e">
        <f>AND(Bills!Y746,"AAAAAH79ySw=")</f>
        <v>#VALUE!</v>
      </c>
      <c r="AT181" t="e">
        <f>AND(Bills!Z746,"AAAAAH79yS0=")</f>
        <v>#VALUE!</v>
      </c>
      <c r="AU181" t="e">
        <f>AND(Bills!#REF!,"AAAAAH79yS4=")</f>
        <v>#REF!</v>
      </c>
      <c r="AV181" t="e">
        <f>AND(Bills!#REF!,"AAAAAH79yS8=")</f>
        <v>#REF!</v>
      </c>
      <c r="AW181" t="e">
        <f>AND(Bills!#REF!,"AAAAAH79yTA=")</f>
        <v>#REF!</v>
      </c>
      <c r="AX181" t="e">
        <f>AND(Bills!#REF!,"AAAAAH79yTE=")</f>
        <v>#REF!</v>
      </c>
      <c r="AY181" t="e">
        <f>AND(Bills!#REF!,"AAAAAH79yTI=")</f>
        <v>#REF!</v>
      </c>
      <c r="AZ181" t="e">
        <f>AND(Bills!#REF!,"AAAAAH79yTM=")</f>
        <v>#REF!</v>
      </c>
      <c r="BA181" t="e">
        <f>AND(Bills!#REF!,"AAAAAH79yTQ=")</f>
        <v>#REF!</v>
      </c>
      <c r="BB181" t="e">
        <f>AND(Bills!#REF!,"AAAAAH79yTU=")</f>
        <v>#REF!</v>
      </c>
      <c r="BC181" t="e">
        <f>AND(Bills!#REF!,"AAAAAH79yTY=")</f>
        <v>#REF!</v>
      </c>
      <c r="BD181" t="e">
        <f>AND(Bills!AA746,"AAAAAH79yTc=")</f>
        <v>#VALUE!</v>
      </c>
      <c r="BE181" t="e">
        <f>AND(Bills!AB746,"AAAAAH79yTg=")</f>
        <v>#VALUE!</v>
      </c>
      <c r="BF181" t="e">
        <f>AND(Bills!#REF!,"AAAAAH79yTk=")</f>
        <v>#REF!</v>
      </c>
      <c r="BG181" t="e">
        <f>AND(Bills!#REF!,"AAAAAH79yTo=")</f>
        <v>#REF!</v>
      </c>
      <c r="BH181" t="e">
        <f>AND(Bills!#REF!,"AAAAAH79yTs=")</f>
        <v>#REF!</v>
      </c>
      <c r="BI181" t="e">
        <f>AND(Bills!AC746,"AAAAAH79yTw=")</f>
        <v>#VALUE!</v>
      </c>
      <c r="BJ181" t="e">
        <f>AND(Bills!AD746,"AAAAAH79yT0=")</f>
        <v>#VALUE!</v>
      </c>
      <c r="BK181" t="e">
        <f>AND(Bills!AE746,"AAAAAH79yT4=")</f>
        <v>#VALUE!</v>
      </c>
      <c r="BL181">
        <f>IF(Bills!747:747,"AAAAAH79yT8=",0)</f>
        <v>0</v>
      </c>
      <c r="BM181" t="e">
        <f>AND(Bills!B747,"AAAAAH79yUA=")</f>
        <v>#VALUE!</v>
      </c>
      <c r="BN181" t="e">
        <f>AND(Bills!#REF!,"AAAAAH79yUE=")</f>
        <v>#REF!</v>
      </c>
      <c r="BO181" t="e">
        <f>AND(Bills!C747,"AAAAAH79yUI=")</f>
        <v>#VALUE!</v>
      </c>
      <c r="BP181" t="e">
        <f>AND(Bills!D747,"AAAAAH79yUM=")</f>
        <v>#VALUE!</v>
      </c>
      <c r="BQ181" t="e">
        <f>AND(Bills!E747,"AAAAAH79yUQ=")</f>
        <v>#VALUE!</v>
      </c>
      <c r="BR181" t="e">
        <f>AND(Bills!#REF!,"AAAAAH79yUU=")</f>
        <v>#REF!</v>
      </c>
      <c r="BS181" t="e">
        <f>AND(Bills!#REF!,"AAAAAH79yUY=")</f>
        <v>#REF!</v>
      </c>
      <c r="BT181" t="e">
        <f>AND(Bills!#REF!,"AAAAAH79yUc=")</f>
        <v>#REF!</v>
      </c>
      <c r="BU181" t="e">
        <f>AND(Bills!F747,"AAAAAH79yUg=")</f>
        <v>#VALUE!</v>
      </c>
      <c r="BV181" t="e">
        <f>AND(Bills!#REF!,"AAAAAH79yUk=")</f>
        <v>#REF!</v>
      </c>
      <c r="BW181" t="e">
        <f>AND(Bills!G747,"AAAAAH79yUo=")</f>
        <v>#VALUE!</v>
      </c>
      <c r="BX181" t="e">
        <f>AND(Bills!H747,"AAAAAH79yUs=")</f>
        <v>#VALUE!</v>
      </c>
      <c r="BY181" t="e">
        <f>AND(Bills!I747,"AAAAAH79yUw=")</f>
        <v>#VALUE!</v>
      </c>
      <c r="BZ181" t="e">
        <f>AND(Bills!J747,"AAAAAH79yU0=")</f>
        <v>#VALUE!</v>
      </c>
      <c r="CA181" t="e">
        <f>AND(Bills!K747,"AAAAAH79yU4=")</f>
        <v>#VALUE!</v>
      </c>
      <c r="CB181" t="e">
        <f>AND(Bills!L747,"AAAAAH79yU8=")</f>
        <v>#VALUE!</v>
      </c>
      <c r="CC181" t="e">
        <f>AND(Bills!#REF!,"AAAAAH79yVA=")</f>
        <v>#REF!</v>
      </c>
      <c r="CD181" t="e">
        <f>AND(Bills!M747,"AAAAAH79yVE=")</f>
        <v>#VALUE!</v>
      </c>
      <c r="CE181" t="e">
        <f>AND(Bills!N747,"AAAAAH79yVI=")</f>
        <v>#VALUE!</v>
      </c>
      <c r="CF181" t="e">
        <f>AND(Bills!O747,"AAAAAH79yVM=")</f>
        <v>#VALUE!</v>
      </c>
      <c r="CG181" t="e">
        <f>AND(Bills!P747,"AAAAAH79yVQ=")</f>
        <v>#VALUE!</v>
      </c>
      <c r="CH181" t="e">
        <f>AND(Bills!Q747,"AAAAAH79yVU=")</f>
        <v>#VALUE!</v>
      </c>
      <c r="CI181" t="e">
        <f>AND(Bills!R747,"AAAAAH79yVY=")</f>
        <v>#VALUE!</v>
      </c>
      <c r="CJ181" t="e">
        <f>AND(Bills!S747,"AAAAAH79yVc=")</f>
        <v>#VALUE!</v>
      </c>
      <c r="CK181" t="e">
        <f>AND(Bills!T747,"AAAAAH79yVg=")</f>
        <v>#VALUE!</v>
      </c>
      <c r="CL181" t="e">
        <f>AND(Bills!#REF!,"AAAAAH79yVk=")</f>
        <v>#REF!</v>
      </c>
      <c r="CM181" t="e">
        <f>AND(Bills!U747,"AAAAAH79yVo=")</f>
        <v>#VALUE!</v>
      </c>
      <c r="CN181" t="e">
        <f>AND(Bills!V747,"AAAAAH79yVs=")</f>
        <v>#VALUE!</v>
      </c>
      <c r="CO181" t="e">
        <f>AND(Bills!W747,"AAAAAH79yVw=")</f>
        <v>#VALUE!</v>
      </c>
      <c r="CP181" t="e">
        <f>AND(Bills!#REF!,"AAAAAH79yV0=")</f>
        <v>#REF!</v>
      </c>
      <c r="CQ181" t="e">
        <f>AND(Bills!#REF!,"AAAAAH79yV4=")</f>
        <v>#REF!</v>
      </c>
      <c r="CR181" t="e">
        <f>AND(Bills!Y747,"AAAAAH79yV8=")</f>
        <v>#VALUE!</v>
      </c>
      <c r="CS181" t="e">
        <f>AND(Bills!Z747,"AAAAAH79yWA=")</f>
        <v>#VALUE!</v>
      </c>
      <c r="CT181" t="e">
        <f>AND(Bills!#REF!,"AAAAAH79yWE=")</f>
        <v>#REF!</v>
      </c>
      <c r="CU181" t="e">
        <f>AND(Bills!#REF!,"AAAAAH79yWI=")</f>
        <v>#REF!</v>
      </c>
      <c r="CV181" t="e">
        <f>AND(Bills!#REF!,"AAAAAH79yWM=")</f>
        <v>#REF!</v>
      </c>
      <c r="CW181" t="e">
        <f>AND(Bills!#REF!,"AAAAAH79yWQ=")</f>
        <v>#REF!</v>
      </c>
      <c r="CX181" t="e">
        <f>AND(Bills!#REF!,"AAAAAH79yWU=")</f>
        <v>#REF!</v>
      </c>
      <c r="CY181" t="e">
        <f>AND(Bills!#REF!,"AAAAAH79yWY=")</f>
        <v>#REF!</v>
      </c>
      <c r="CZ181" t="e">
        <f>AND(Bills!#REF!,"AAAAAH79yWc=")</f>
        <v>#REF!</v>
      </c>
      <c r="DA181" t="e">
        <f>AND(Bills!#REF!,"AAAAAH79yWg=")</f>
        <v>#REF!</v>
      </c>
      <c r="DB181" t="e">
        <f>AND(Bills!#REF!,"AAAAAH79yWk=")</f>
        <v>#REF!</v>
      </c>
      <c r="DC181" t="e">
        <f>AND(Bills!AA747,"AAAAAH79yWo=")</f>
        <v>#VALUE!</v>
      </c>
      <c r="DD181" t="e">
        <f>AND(Bills!AB747,"AAAAAH79yWs=")</f>
        <v>#VALUE!</v>
      </c>
      <c r="DE181" t="e">
        <f>AND(Bills!#REF!,"AAAAAH79yWw=")</f>
        <v>#REF!</v>
      </c>
      <c r="DF181" t="e">
        <f>AND(Bills!#REF!,"AAAAAH79yW0=")</f>
        <v>#REF!</v>
      </c>
      <c r="DG181" t="e">
        <f>AND(Bills!#REF!,"AAAAAH79yW4=")</f>
        <v>#REF!</v>
      </c>
      <c r="DH181" t="e">
        <f>AND(Bills!AC747,"AAAAAH79yW8=")</f>
        <v>#VALUE!</v>
      </c>
      <c r="DI181" t="e">
        <f>AND(Bills!AD747,"AAAAAH79yXA=")</f>
        <v>#VALUE!</v>
      </c>
      <c r="DJ181" t="e">
        <f>AND(Bills!AE747,"AAAAAH79yXE=")</f>
        <v>#VALUE!</v>
      </c>
      <c r="DK181">
        <f>IF(Bills!748:748,"AAAAAH79yXI=",0)</f>
        <v>0</v>
      </c>
      <c r="DL181" t="e">
        <f>AND(Bills!B748,"AAAAAH79yXM=")</f>
        <v>#VALUE!</v>
      </c>
      <c r="DM181" t="e">
        <f>AND(Bills!#REF!,"AAAAAH79yXQ=")</f>
        <v>#REF!</v>
      </c>
      <c r="DN181" t="e">
        <f>AND(Bills!C748,"AAAAAH79yXU=")</f>
        <v>#VALUE!</v>
      </c>
      <c r="DO181" t="e">
        <f>AND(Bills!D748,"AAAAAH79yXY=")</f>
        <v>#VALUE!</v>
      </c>
      <c r="DP181" t="e">
        <f>AND(Bills!E748,"AAAAAH79yXc=")</f>
        <v>#VALUE!</v>
      </c>
      <c r="DQ181" t="e">
        <f>AND(Bills!#REF!,"AAAAAH79yXg=")</f>
        <v>#REF!</v>
      </c>
      <c r="DR181" t="e">
        <f>AND(Bills!#REF!,"AAAAAH79yXk=")</f>
        <v>#REF!</v>
      </c>
      <c r="DS181" t="e">
        <f>AND(Bills!#REF!,"AAAAAH79yXo=")</f>
        <v>#REF!</v>
      </c>
      <c r="DT181" t="e">
        <f>AND(Bills!F748,"AAAAAH79yXs=")</f>
        <v>#VALUE!</v>
      </c>
      <c r="DU181" t="e">
        <f>AND(Bills!#REF!,"AAAAAH79yXw=")</f>
        <v>#REF!</v>
      </c>
      <c r="DV181" t="e">
        <f>AND(Bills!G748,"AAAAAH79yX0=")</f>
        <v>#VALUE!</v>
      </c>
      <c r="DW181" t="e">
        <f>AND(Bills!H748,"AAAAAH79yX4=")</f>
        <v>#VALUE!</v>
      </c>
      <c r="DX181" t="e">
        <f>AND(Bills!I748,"AAAAAH79yX8=")</f>
        <v>#VALUE!</v>
      </c>
      <c r="DY181" t="e">
        <f>AND(Bills!J748,"AAAAAH79yYA=")</f>
        <v>#VALUE!</v>
      </c>
      <c r="DZ181" t="e">
        <f>AND(Bills!K748,"AAAAAH79yYE=")</f>
        <v>#VALUE!</v>
      </c>
      <c r="EA181" t="e">
        <f>AND(Bills!L748,"AAAAAH79yYI=")</f>
        <v>#VALUE!</v>
      </c>
      <c r="EB181" t="e">
        <f>AND(Bills!#REF!,"AAAAAH79yYM=")</f>
        <v>#REF!</v>
      </c>
      <c r="EC181" t="e">
        <f>AND(Bills!M748,"AAAAAH79yYQ=")</f>
        <v>#VALUE!</v>
      </c>
      <c r="ED181" t="e">
        <f>AND(Bills!N748,"AAAAAH79yYU=")</f>
        <v>#VALUE!</v>
      </c>
      <c r="EE181" t="e">
        <f>AND(Bills!O748,"AAAAAH79yYY=")</f>
        <v>#VALUE!</v>
      </c>
      <c r="EF181" t="e">
        <f>AND(Bills!P748,"AAAAAH79yYc=")</f>
        <v>#VALUE!</v>
      </c>
      <c r="EG181" t="e">
        <f>AND(Bills!Q748,"AAAAAH79yYg=")</f>
        <v>#VALUE!</v>
      </c>
      <c r="EH181" t="e">
        <f>AND(Bills!R748,"AAAAAH79yYk=")</f>
        <v>#VALUE!</v>
      </c>
      <c r="EI181" t="e">
        <f>AND(Bills!S748,"AAAAAH79yYo=")</f>
        <v>#VALUE!</v>
      </c>
      <c r="EJ181" t="e">
        <f>AND(Bills!T748,"AAAAAH79yYs=")</f>
        <v>#VALUE!</v>
      </c>
      <c r="EK181" t="e">
        <f>AND(Bills!#REF!,"AAAAAH79yYw=")</f>
        <v>#REF!</v>
      </c>
      <c r="EL181" t="e">
        <f>AND(Bills!U748,"AAAAAH79yY0=")</f>
        <v>#VALUE!</v>
      </c>
      <c r="EM181" t="e">
        <f>AND(Bills!V748,"AAAAAH79yY4=")</f>
        <v>#VALUE!</v>
      </c>
      <c r="EN181" t="e">
        <f>AND(Bills!W748,"AAAAAH79yY8=")</f>
        <v>#VALUE!</v>
      </c>
      <c r="EO181" t="e">
        <f>AND(Bills!#REF!,"AAAAAH79yZA=")</f>
        <v>#REF!</v>
      </c>
      <c r="EP181" t="e">
        <f>AND(Bills!#REF!,"AAAAAH79yZE=")</f>
        <v>#REF!</v>
      </c>
      <c r="EQ181" t="e">
        <f>AND(Bills!Y748,"AAAAAH79yZI=")</f>
        <v>#VALUE!</v>
      </c>
      <c r="ER181" t="e">
        <f>AND(Bills!Z748,"AAAAAH79yZM=")</f>
        <v>#VALUE!</v>
      </c>
      <c r="ES181" t="e">
        <f>AND(Bills!#REF!,"AAAAAH79yZQ=")</f>
        <v>#REF!</v>
      </c>
      <c r="ET181" t="e">
        <f>AND(Bills!#REF!,"AAAAAH79yZU=")</f>
        <v>#REF!</v>
      </c>
      <c r="EU181" t="e">
        <f>AND(Bills!#REF!,"AAAAAH79yZY=")</f>
        <v>#REF!</v>
      </c>
      <c r="EV181" t="e">
        <f>AND(Bills!#REF!,"AAAAAH79yZc=")</f>
        <v>#REF!</v>
      </c>
      <c r="EW181" t="e">
        <f>AND(Bills!#REF!,"AAAAAH79yZg=")</f>
        <v>#REF!</v>
      </c>
      <c r="EX181" t="e">
        <f>AND(Bills!#REF!,"AAAAAH79yZk=")</f>
        <v>#REF!</v>
      </c>
      <c r="EY181" t="e">
        <f>AND(Bills!#REF!,"AAAAAH79yZo=")</f>
        <v>#REF!</v>
      </c>
      <c r="EZ181" t="e">
        <f>AND(Bills!#REF!,"AAAAAH79yZs=")</f>
        <v>#REF!</v>
      </c>
      <c r="FA181" t="e">
        <f>AND(Bills!#REF!,"AAAAAH79yZw=")</f>
        <v>#REF!</v>
      </c>
      <c r="FB181" t="e">
        <f>AND(Bills!AA748,"AAAAAH79yZ0=")</f>
        <v>#VALUE!</v>
      </c>
      <c r="FC181" t="e">
        <f>AND(Bills!AB748,"AAAAAH79yZ4=")</f>
        <v>#VALUE!</v>
      </c>
      <c r="FD181" t="e">
        <f>AND(Bills!#REF!,"AAAAAH79yZ8=")</f>
        <v>#REF!</v>
      </c>
      <c r="FE181" t="e">
        <f>AND(Bills!#REF!,"AAAAAH79yaA=")</f>
        <v>#REF!</v>
      </c>
      <c r="FF181" t="e">
        <f>AND(Bills!#REF!,"AAAAAH79yaE=")</f>
        <v>#REF!</v>
      </c>
      <c r="FG181" t="e">
        <f>AND(Bills!AC748,"AAAAAH79yaI=")</f>
        <v>#VALUE!</v>
      </c>
      <c r="FH181" t="e">
        <f>AND(Bills!AD748,"AAAAAH79yaM=")</f>
        <v>#VALUE!</v>
      </c>
      <c r="FI181" t="e">
        <f>AND(Bills!AE748,"AAAAAH79yaQ=")</f>
        <v>#VALUE!</v>
      </c>
      <c r="FJ181">
        <f>IF(Bills!749:749,"AAAAAH79yaU=",0)</f>
        <v>0</v>
      </c>
      <c r="FK181" t="e">
        <f>AND(Bills!B749,"AAAAAH79yaY=")</f>
        <v>#VALUE!</v>
      </c>
      <c r="FL181" t="e">
        <f>AND(Bills!#REF!,"AAAAAH79yac=")</f>
        <v>#REF!</v>
      </c>
      <c r="FM181" t="e">
        <f>AND(Bills!C749,"AAAAAH79yag=")</f>
        <v>#VALUE!</v>
      </c>
      <c r="FN181" t="e">
        <f>AND(Bills!D749,"AAAAAH79yak=")</f>
        <v>#VALUE!</v>
      </c>
      <c r="FO181" t="e">
        <f>AND(Bills!E749,"AAAAAH79yao=")</f>
        <v>#VALUE!</v>
      </c>
      <c r="FP181" t="e">
        <f>AND(Bills!#REF!,"AAAAAH79yas=")</f>
        <v>#REF!</v>
      </c>
      <c r="FQ181" t="e">
        <f>AND(Bills!#REF!,"AAAAAH79yaw=")</f>
        <v>#REF!</v>
      </c>
      <c r="FR181" t="e">
        <f>AND(Bills!#REF!,"AAAAAH79ya0=")</f>
        <v>#REF!</v>
      </c>
      <c r="FS181" t="e">
        <f>AND(Bills!F749,"AAAAAH79ya4=")</f>
        <v>#VALUE!</v>
      </c>
      <c r="FT181" t="e">
        <f>AND(Bills!#REF!,"AAAAAH79ya8=")</f>
        <v>#REF!</v>
      </c>
      <c r="FU181" t="e">
        <f>AND(Bills!G749,"AAAAAH79ybA=")</f>
        <v>#VALUE!</v>
      </c>
      <c r="FV181" t="e">
        <f>AND(Bills!H749,"AAAAAH79ybE=")</f>
        <v>#VALUE!</v>
      </c>
      <c r="FW181" t="e">
        <f>AND(Bills!I749,"AAAAAH79ybI=")</f>
        <v>#VALUE!</v>
      </c>
      <c r="FX181" t="e">
        <f>AND(Bills!J749,"AAAAAH79ybM=")</f>
        <v>#VALUE!</v>
      </c>
      <c r="FY181" t="e">
        <f>AND(Bills!K749,"AAAAAH79ybQ=")</f>
        <v>#VALUE!</v>
      </c>
      <c r="FZ181" t="e">
        <f>AND(Bills!L749,"AAAAAH79ybU=")</f>
        <v>#VALUE!</v>
      </c>
      <c r="GA181" t="e">
        <f>AND(Bills!#REF!,"AAAAAH79ybY=")</f>
        <v>#REF!</v>
      </c>
      <c r="GB181" t="e">
        <f>AND(Bills!M749,"AAAAAH79ybc=")</f>
        <v>#VALUE!</v>
      </c>
      <c r="GC181" t="e">
        <f>AND(Bills!N749,"AAAAAH79ybg=")</f>
        <v>#VALUE!</v>
      </c>
      <c r="GD181" t="e">
        <f>AND(Bills!O749,"AAAAAH79ybk=")</f>
        <v>#VALUE!</v>
      </c>
      <c r="GE181" t="e">
        <f>AND(Bills!P749,"AAAAAH79ybo=")</f>
        <v>#VALUE!</v>
      </c>
      <c r="GF181" t="e">
        <f>AND(Bills!Q749,"AAAAAH79ybs=")</f>
        <v>#VALUE!</v>
      </c>
      <c r="GG181" t="e">
        <f>AND(Bills!R749,"AAAAAH79ybw=")</f>
        <v>#VALUE!</v>
      </c>
      <c r="GH181" t="e">
        <f>AND(Bills!S749,"AAAAAH79yb0=")</f>
        <v>#VALUE!</v>
      </c>
      <c r="GI181" t="e">
        <f>AND(Bills!T749,"AAAAAH79yb4=")</f>
        <v>#VALUE!</v>
      </c>
      <c r="GJ181" t="e">
        <f>AND(Bills!#REF!,"AAAAAH79yb8=")</f>
        <v>#REF!</v>
      </c>
      <c r="GK181" t="e">
        <f>AND(Bills!U749,"AAAAAH79ycA=")</f>
        <v>#VALUE!</v>
      </c>
      <c r="GL181" t="e">
        <f>AND(Bills!V749,"AAAAAH79ycE=")</f>
        <v>#VALUE!</v>
      </c>
      <c r="GM181" t="e">
        <f>AND(Bills!W749,"AAAAAH79ycI=")</f>
        <v>#VALUE!</v>
      </c>
      <c r="GN181" t="e">
        <f>AND(Bills!#REF!,"AAAAAH79ycM=")</f>
        <v>#REF!</v>
      </c>
      <c r="GO181" t="e">
        <f>AND(Bills!#REF!,"AAAAAH79ycQ=")</f>
        <v>#REF!</v>
      </c>
      <c r="GP181" t="e">
        <f>AND(Bills!Y749,"AAAAAH79ycU=")</f>
        <v>#VALUE!</v>
      </c>
      <c r="GQ181" t="e">
        <f>AND(Bills!Z749,"AAAAAH79ycY=")</f>
        <v>#VALUE!</v>
      </c>
      <c r="GR181" t="e">
        <f>AND(Bills!#REF!,"AAAAAH79ycc=")</f>
        <v>#REF!</v>
      </c>
      <c r="GS181" t="e">
        <f>AND(Bills!#REF!,"AAAAAH79ycg=")</f>
        <v>#REF!</v>
      </c>
      <c r="GT181" t="e">
        <f>AND(Bills!#REF!,"AAAAAH79yck=")</f>
        <v>#REF!</v>
      </c>
      <c r="GU181" t="e">
        <f>AND(Bills!#REF!,"AAAAAH79yco=")</f>
        <v>#REF!</v>
      </c>
      <c r="GV181" t="e">
        <f>AND(Bills!#REF!,"AAAAAH79ycs=")</f>
        <v>#REF!</v>
      </c>
      <c r="GW181" t="e">
        <f>AND(Bills!#REF!,"AAAAAH79ycw=")</f>
        <v>#REF!</v>
      </c>
      <c r="GX181" t="e">
        <f>AND(Bills!#REF!,"AAAAAH79yc0=")</f>
        <v>#REF!</v>
      </c>
      <c r="GY181" t="e">
        <f>AND(Bills!#REF!,"AAAAAH79yc4=")</f>
        <v>#REF!</v>
      </c>
      <c r="GZ181" t="e">
        <f>AND(Bills!#REF!,"AAAAAH79yc8=")</f>
        <v>#REF!</v>
      </c>
      <c r="HA181" t="e">
        <f>AND(Bills!AA749,"AAAAAH79ydA=")</f>
        <v>#VALUE!</v>
      </c>
      <c r="HB181" t="e">
        <f>AND(Bills!AB749,"AAAAAH79ydE=")</f>
        <v>#VALUE!</v>
      </c>
      <c r="HC181" t="e">
        <f>AND(Bills!#REF!,"AAAAAH79ydI=")</f>
        <v>#REF!</v>
      </c>
      <c r="HD181" t="e">
        <f>AND(Bills!#REF!,"AAAAAH79ydM=")</f>
        <v>#REF!</v>
      </c>
      <c r="HE181" t="e">
        <f>AND(Bills!#REF!,"AAAAAH79ydQ=")</f>
        <v>#REF!</v>
      </c>
      <c r="HF181" t="e">
        <f>AND(Bills!AC749,"AAAAAH79ydU=")</f>
        <v>#VALUE!</v>
      </c>
      <c r="HG181" t="e">
        <f>AND(Bills!AD749,"AAAAAH79ydY=")</f>
        <v>#VALUE!</v>
      </c>
      <c r="HH181" t="e">
        <f>AND(Bills!AE749,"AAAAAH79ydc=")</f>
        <v>#VALUE!</v>
      </c>
      <c r="HI181">
        <f>IF(Bills!750:750,"AAAAAH79ydg=",0)</f>
        <v>0</v>
      </c>
      <c r="HJ181" t="e">
        <f>AND(Bills!B750,"AAAAAH79ydk=")</f>
        <v>#VALUE!</v>
      </c>
      <c r="HK181" t="e">
        <f>AND(Bills!#REF!,"AAAAAH79ydo=")</f>
        <v>#REF!</v>
      </c>
      <c r="HL181" t="e">
        <f>AND(Bills!C750,"AAAAAH79yds=")</f>
        <v>#VALUE!</v>
      </c>
      <c r="HM181" t="e">
        <f>AND(Bills!D750,"AAAAAH79ydw=")</f>
        <v>#VALUE!</v>
      </c>
      <c r="HN181" t="e">
        <f>AND(Bills!E750,"AAAAAH79yd0=")</f>
        <v>#VALUE!</v>
      </c>
      <c r="HO181" t="e">
        <f>AND(Bills!#REF!,"AAAAAH79yd4=")</f>
        <v>#REF!</v>
      </c>
      <c r="HP181" t="e">
        <f>AND(Bills!#REF!,"AAAAAH79yd8=")</f>
        <v>#REF!</v>
      </c>
      <c r="HQ181" t="e">
        <f>AND(Bills!#REF!,"AAAAAH79yeA=")</f>
        <v>#REF!</v>
      </c>
      <c r="HR181" t="e">
        <f>AND(Bills!F750,"AAAAAH79yeE=")</f>
        <v>#VALUE!</v>
      </c>
      <c r="HS181" t="e">
        <f>AND(Bills!#REF!,"AAAAAH79yeI=")</f>
        <v>#REF!</v>
      </c>
      <c r="HT181" t="e">
        <f>AND(Bills!G750,"AAAAAH79yeM=")</f>
        <v>#VALUE!</v>
      </c>
      <c r="HU181" t="e">
        <f>AND(Bills!H750,"AAAAAH79yeQ=")</f>
        <v>#VALUE!</v>
      </c>
      <c r="HV181" t="e">
        <f>AND(Bills!I750,"AAAAAH79yeU=")</f>
        <v>#VALUE!</v>
      </c>
      <c r="HW181" t="e">
        <f>AND(Bills!J750,"AAAAAH79yeY=")</f>
        <v>#VALUE!</v>
      </c>
      <c r="HX181" t="e">
        <f>AND(Bills!K750,"AAAAAH79yec=")</f>
        <v>#VALUE!</v>
      </c>
      <c r="HY181" t="e">
        <f>AND(Bills!L750,"AAAAAH79yeg=")</f>
        <v>#VALUE!</v>
      </c>
      <c r="HZ181" t="e">
        <f>AND(Bills!#REF!,"AAAAAH79yek=")</f>
        <v>#REF!</v>
      </c>
      <c r="IA181" t="e">
        <f>AND(Bills!M750,"AAAAAH79yeo=")</f>
        <v>#VALUE!</v>
      </c>
      <c r="IB181" t="e">
        <f>AND(Bills!N750,"AAAAAH79yes=")</f>
        <v>#VALUE!</v>
      </c>
      <c r="IC181" t="e">
        <f>AND(Bills!O750,"AAAAAH79yew=")</f>
        <v>#VALUE!</v>
      </c>
      <c r="ID181" t="e">
        <f>AND(Bills!P750,"AAAAAH79ye0=")</f>
        <v>#VALUE!</v>
      </c>
      <c r="IE181" t="e">
        <f>AND(Bills!Q750,"AAAAAH79ye4=")</f>
        <v>#VALUE!</v>
      </c>
      <c r="IF181" t="e">
        <f>AND(Bills!R750,"AAAAAH79ye8=")</f>
        <v>#VALUE!</v>
      </c>
      <c r="IG181" t="e">
        <f>AND(Bills!S750,"AAAAAH79yfA=")</f>
        <v>#VALUE!</v>
      </c>
      <c r="IH181" t="e">
        <f>AND(Bills!T750,"AAAAAH79yfE=")</f>
        <v>#VALUE!</v>
      </c>
      <c r="II181" t="e">
        <f>AND(Bills!#REF!,"AAAAAH79yfI=")</f>
        <v>#REF!</v>
      </c>
      <c r="IJ181" t="e">
        <f>AND(Bills!U750,"AAAAAH79yfM=")</f>
        <v>#VALUE!</v>
      </c>
      <c r="IK181" t="e">
        <f>AND(Bills!V750,"AAAAAH79yfQ=")</f>
        <v>#VALUE!</v>
      </c>
      <c r="IL181" t="e">
        <f>AND(Bills!W750,"AAAAAH79yfU=")</f>
        <v>#VALUE!</v>
      </c>
      <c r="IM181" t="e">
        <f>AND(Bills!#REF!,"AAAAAH79yfY=")</f>
        <v>#REF!</v>
      </c>
      <c r="IN181" t="e">
        <f>AND(Bills!#REF!,"AAAAAH79yfc=")</f>
        <v>#REF!</v>
      </c>
      <c r="IO181" t="e">
        <f>AND(Bills!Y750,"AAAAAH79yfg=")</f>
        <v>#VALUE!</v>
      </c>
      <c r="IP181" t="e">
        <f>AND(Bills!Z750,"AAAAAH79yfk=")</f>
        <v>#VALUE!</v>
      </c>
      <c r="IQ181" t="e">
        <f>AND(Bills!#REF!,"AAAAAH79yfo=")</f>
        <v>#REF!</v>
      </c>
      <c r="IR181" t="e">
        <f>AND(Bills!#REF!,"AAAAAH79yfs=")</f>
        <v>#REF!</v>
      </c>
      <c r="IS181" t="e">
        <f>AND(Bills!#REF!,"AAAAAH79yfw=")</f>
        <v>#REF!</v>
      </c>
      <c r="IT181" t="e">
        <f>AND(Bills!#REF!,"AAAAAH79yf0=")</f>
        <v>#REF!</v>
      </c>
      <c r="IU181" t="e">
        <f>AND(Bills!#REF!,"AAAAAH79yf4=")</f>
        <v>#REF!</v>
      </c>
      <c r="IV181" t="e">
        <f>AND(Bills!#REF!,"AAAAAH79yf8=")</f>
        <v>#REF!</v>
      </c>
    </row>
    <row r="182" spans="1:256" x14ac:dyDescent="0.25">
      <c r="A182" t="e">
        <f>AND(Bills!#REF!,"AAAAAGfX3gA=")</f>
        <v>#REF!</v>
      </c>
      <c r="B182" t="e">
        <f>AND(Bills!#REF!,"AAAAAGfX3gE=")</f>
        <v>#REF!</v>
      </c>
      <c r="C182" t="e">
        <f>AND(Bills!#REF!,"AAAAAGfX3gI=")</f>
        <v>#REF!</v>
      </c>
      <c r="D182" t="e">
        <f>AND(Bills!AA750,"AAAAAGfX3gM=")</f>
        <v>#VALUE!</v>
      </c>
      <c r="E182" t="e">
        <f>AND(Bills!AB750,"AAAAAGfX3gQ=")</f>
        <v>#VALUE!</v>
      </c>
      <c r="F182" t="e">
        <f>AND(Bills!#REF!,"AAAAAGfX3gU=")</f>
        <v>#REF!</v>
      </c>
      <c r="G182" t="e">
        <f>AND(Bills!#REF!,"AAAAAGfX3gY=")</f>
        <v>#REF!</v>
      </c>
      <c r="H182" t="e">
        <f>AND(Bills!#REF!,"AAAAAGfX3gc=")</f>
        <v>#REF!</v>
      </c>
      <c r="I182" t="e">
        <f>AND(Bills!AC750,"AAAAAGfX3gg=")</f>
        <v>#VALUE!</v>
      </c>
      <c r="J182" t="e">
        <f>AND(Bills!AD750,"AAAAAGfX3gk=")</f>
        <v>#VALUE!</v>
      </c>
      <c r="K182" t="e">
        <f>AND(Bills!AE750,"AAAAAGfX3go=")</f>
        <v>#VALUE!</v>
      </c>
      <c r="L182">
        <f>IF(Bills!751:751,"AAAAAGfX3gs=",0)</f>
        <v>0</v>
      </c>
      <c r="M182" t="e">
        <f>AND(Bills!B751,"AAAAAGfX3gw=")</f>
        <v>#VALUE!</v>
      </c>
      <c r="N182" t="e">
        <f>AND(Bills!#REF!,"AAAAAGfX3g0=")</f>
        <v>#REF!</v>
      </c>
      <c r="O182" t="e">
        <f>AND(Bills!C751,"AAAAAGfX3g4=")</f>
        <v>#VALUE!</v>
      </c>
      <c r="P182" t="e">
        <f>AND(Bills!D751,"AAAAAGfX3g8=")</f>
        <v>#VALUE!</v>
      </c>
      <c r="Q182" t="e">
        <f>AND(Bills!E751,"AAAAAGfX3hA=")</f>
        <v>#VALUE!</v>
      </c>
      <c r="R182" t="e">
        <f>AND(Bills!#REF!,"AAAAAGfX3hE=")</f>
        <v>#REF!</v>
      </c>
      <c r="S182" t="e">
        <f>AND(Bills!#REF!,"AAAAAGfX3hI=")</f>
        <v>#REF!</v>
      </c>
      <c r="T182" t="e">
        <f>AND(Bills!#REF!,"AAAAAGfX3hM=")</f>
        <v>#REF!</v>
      </c>
      <c r="U182" t="e">
        <f>AND(Bills!F751,"AAAAAGfX3hQ=")</f>
        <v>#VALUE!</v>
      </c>
      <c r="V182" t="e">
        <f>AND(Bills!#REF!,"AAAAAGfX3hU=")</f>
        <v>#REF!</v>
      </c>
      <c r="W182" t="e">
        <f>AND(Bills!G751,"AAAAAGfX3hY=")</f>
        <v>#VALUE!</v>
      </c>
      <c r="X182" t="e">
        <f>AND(Bills!H751,"AAAAAGfX3hc=")</f>
        <v>#VALUE!</v>
      </c>
      <c r="Y182" t="e">
        <f>AND(Bills!I751,"AAAAAGfX3hg=")</f>
        <v>#VALUE!</v>
      </c>
      <c r="Z182" t="e">
        <f>AND(Bills!J751,"AAAAAGfX3hk=")</f>
        <v>#VALUE!</v>
      </c>
      <c r="AA182" t="e">
        <f>AND(Bills!K751,"AAAAAGfX3ho=")</f>
        <v>#VALUE!</v>
      </c>
      <c r="AB182" t="e">
        <f>AND(Bills!L751,"AAAAAGfX3hs=")</f>
        <v>#VALUE!</v>
      </c>
      <c r="AC182" t="e">
        <f>AND(Bills!#REF!,"AAAAAGfX3hw=")</f>
        <v>#REF!</v>
      </c>
      <c r="AD182" t="e">
        <f>AND(Bills!M751,"AAAAAGfX3h0=")</f>
        <v>#VALUE!</v>
      </c>
      <c r="AE182" t="e">
        <f>AND(Bills!N751,"AAAAAGfX3h4=")</f>
        <v>#VALUE!</v>
      </c>
      <c r="AF182" t="e">
        <f>AND(Bills!O751,"AAAAAGfX3h8=")</f>
        <v>#VALUE!</v>
      </c>
      <c r="AG182" t="e">
        <f>AND(Bills!P751,"AAAAAGfX3iA=")</f>
        <v>#VALUE!</v>
      </c>
      <c r="AH182" t="e">
        <f>AND(Bills!Q751,"AAAAAGfX3iE=")</f>
        <v>#VALUE!</v>
      </c>
      <c r="AI182" t="e">
        <f>AND(Bills!R751,"AAAAAGfX3iI=")</f>
        <v>#VALUE!</v>
      </c>
      <c r="AJ182" t="e">
        <f>AND(Bills!S751,"AAAAAGfX3iM=")</f>
        <v>#VALUE!</v>
      </c>
      <c r="AK182" t="e">
        <f>AND(Bills!T751,"AAAAAGfX3iQ=")</f>
        <v>#VALUE!</v>
      </c>
      <c r="AL182" t="e">
        <f>AND(Bills!#REF!,"AAAAAGfX3iU=")</f>
        <v>#REF!</v>
      </c>
      <c r="AM182" t="e">
        <f>AND(Bills!U751,"AAAAAGfX3iY=")</f>
        <v>#VALUE!</v>
      </c>
      <c r="AN182" t="e">
        <f>AND(Bills!V751,"AAAAAGfX3ic=")</f>
        <v>#VALUE!</v>
      </c>
      <c r="AO182" t="e">
        <f>AND(Bills!W751,"AAAAAGfX3ig=")</f>
        <v>#VALUE!</v>
      </c>
      <c r="AP182" t="e">
        <f>AND(Bills!#REF!,"AAAAAGfX3ik=")</f>
        <v>#REF!</v>
      </c>
      <c r="AQ182" t="e">
        <f>AND(Bills!#REF!,"AAAAAGfX3io=")</f>
        <v>#REF!</v>
      </c>
      <c r="AR182" t="e">
        <f>AND(Bills!Y751,"AAAAAGfX3is=")</f>
        <v>#VALUE!</v>
      </c>
      <c r="AS182" t="e">
        <f>AND(Bills!Z751,"AAAAAGfX3iw=")</f>
        <v>#VALUE!</v>
      </c>
      <c r="AT182" t="e">
        <f>AND(Bills!#REF!,"AAAAAGfX3i0=")</f>
        <v>#REF!</v>
      </c>
      <c r="AU182" t="e">
        <f>AND(Bills!#REF!,"AAAAAGfX3i4=")</f>
        <v>#REF!</v>
      </c>
      <c r="AV182" t="e">
        <f>AND(Bills!#REF!,"AAAAAGfX3i8=")</f>
        <v>#REF!</v>
      </c>
      <c r="AW182" t="e">
        <f>AND(Bills!#REF!,"AAAAAGfX3jA=")</f>
        <v>#REF!</v>
      </c>
      <c r="AX182" t="e">
        <f>AND(Bills!#REF!,"AAAAAGfX3jE=")</f>
        <v>#REF!</v>
      </c>
      <c r="AY182" t="e">
        <f>AND(Bills!#REF!,"AAAAAGfX3jI=")</f>
        <v>#REF!</v>
      </c>
      <c r="AZ182" t="e">
        <f>AND(Bills!#REF!,"AAAAAGfX3jM=")</f>
        <v>#REF!</v>
      </c>
      <c r="BA182" t="e">
        <f>AND(Bills!#REF!,"AAAAAGfX3jQ=")</f>
        <v>#REF!</v>
      </c>
      <c r="BB182" t="e">
        <f>AND(Bills!#REF!,"AAAAAGfX3jU=")</f>
        <v>#REF!</v>
      </c>
      <c r="BC182" t="e">
        <f>AND(Bills!AA751,"AAAAAGfX3jY=")</f>
        <v>#VALUE!</v>
      </c>
      <c r="BD182" t="e">
        <f>AND(Bills!AB751,"AAAAAGfX3jc=")</f>
        <v>#VALUE!</v>
      </c>
      <c r="BE182" t="e">
        <f>AND(Bills!#REF!,"AAAAAGfX3jg=")</f>
        <v>#REF!</v>
      </c>
      <c r="BF182" t="e">
        <f>AND(Bills!#REF!,"AAAAAGfX3jk=")</f>
        <v>#REF!</v>
      </c>
      <c r="BG182" t="e">
        <f>AND(Bills!#REF!,"AAAAAGfX3jo=")</f>
        <v>#REF!</v>
      </c>
      <c r="BH182" t="e">
        <f>AND(Bills!AC751,"AAAAAGfX3js=")</f>
        <v>#VALUE!</v>
      </c>
      <c r="BI182" t="e">
        <f>AND(Bills!AD751,"AAAAAGfX3jw=")</f>
        <v>#VALUE!</v>
      </c>
      <c r="BJ182" t="e">
        <f>AND(Bills!AE751,"AAAAAGfX3j0=")</f>
        <v>#VALUE!</v>
      </c>
      <c r="BK182">
        <f>IF(Bills!752:752,"AAAAAGfX3j4=",0)</f>
        <v>0</v>
      </c>
      <c r="BL182" t="e">
        <f>AND(Bills!B752,"AAAAAGfX3j8=")</f>
        <v>#VALUE!</v>
      </c>
      <c r="BM182" t="e">
        <f>AND(Bills!#REF!,"AAAAAGfX3kA=")</f>
        <v>#REF!</v>
      </c>
      <c r="BN182" t="e">
        <f>AND(Bills!C752,"AAAAAGfX3kE=")</f>
        <v>#VALUE!</v>
      </c>
      <c r="BO182" t="e">
        <f>AND(Bills!D752,"AAAAAGfX3kI=")</f>
        <v>#VALUE!</v>
      </c>
      <c r="BP182" t="e">
        <f>AND(Bills!E752,"AAAAAGfX3kM=")</f>
        <v>#VALUE!</v>
      </c>
      <c r="BQ182" t="e">
        <f>AND(Bills!#REF!,"AAAAAGfX3kQ=")</f>
        <v>#REF!</v>
      </c>
      <c r="BR182" t="e">
        <f>AND(Bills!#REF!,"AAAAAGfX3kU=")</f>
        <v>#REF!</v>
      </c>
      <c r="BS182" t="e">
        <f>AND(Bills!#REF!,"AAAAAGfX3kY=")</f>
        <v>#REF!</v>
      </c>
      <c r="BT182" t="e">
        <f>AND(Bills!F752,"AAAAAGfX3kc=")</f>
        <v>#VALUE!</v>
      </c>
      <c r="BU182" t="e">
        <f>AND(Bills!#REF!,"AAAAAGfX3kg=")</f>
        <v>#REF!</v>
      </c>
      <c r="BV182" t="e">
        <f>AND(Bills!G752,"AAAAAGfX3kk=")</f>
        <v>#VALUE!</v>
      </c>
      <c r="BW182" t="e">
        <f>AND(Bills!H752,"AAAAAGfX3ko=")</f>
        <v>#VALUE!</v>
      </c>
      <c r="BX182" t="e">
        <f>AND(Bills!I752,"AAAAAGfX3ks=")</f>
        <v>#VALUE!</v>
      </c>
      <c r="BY182" t="e">
        <f>AND(Bills!J752,"AAAAAGfX3kw=")</f>
        <v>#VALUE!</v>
      </c>
      <c r="BZ182" t="e">
        <f>AND(Bills!K752,"AAAAAGfX3k0=")</f>
        <v>#VALUE!</v>
      </c>
      <c r="CA182" t="e">
        <f>AND(Bills!L752,"AAAAAGfX3k4=")</f>
        <v>#VALUE!</v>
      </c>
      <c r="CB182" t="e">
        <f>AND(Bills!#REF!,"AAAAAGfX3k8=")</f>
        <v>#REF!</v>
      </c>
      <c r="CC182" t="e">
        <f>AND(Bills!M752,"AAAAAGfX3lA=")</f>
        <v>#VALUE!</v>
      </c>
      <c r="CD182" t="e">
        <f>AND(Bills!N752,"AAAAAGfX3lE=")</f>
        <v>#VALUE!</v>
      </c>
      <c r="CE182" t="e">
        <f>AND(Bills!O752,"AAAAAGfX3lI=")</f>
        <v>#VALUE!</v>
      </c>
      <c r="CF182" t="e">
        <f>AND(Bills!P752,"AAAAAGfX3lM=")</f>
        <v>#VALUE!</v>
      </c>
      <c r="CG182" t="e">
        <f>AND(Bills!Q752,"AAAAAGfX3lQ=")</f>
        <v>#VALUE!</v>
      </c>
      <c r="CH182" t="e">
        <f>AND(Bills!R752,"AAAAAGfX3lU=")</f>
        <v>#VALUE!</v>
      </c>
      <c r="CI182" t="e">
        <f>AND(Bills!S752,"AAAAAGfX3lY=")</f>
        <v>#VALUE!</v>
      </c>
      <c r="CJ182" t="e">
        <f>AND(Bills!T752,"AAAAAGfX3lc=")</f>
        <v>#VALUE!</v>
      </c>
      <c r="CK182" t="e">
        <f>AND(Bills!#REF!,"AAAAAGfX3lg=")</f>
        <v>#REF!</v>
      </c>
      <c r="CL182" t="e">
        <f>AND(Bills!U752,"AAAAAGfX3lk=")</f>
        <v>#VALUE!</v>
      </c>
      <c r="CM182" t="e">
        <f>AND(Bills!V752,"AAAAAGfX3lo=")</f>
        <v>#VALUE!</v>
      </c>
      <c r="CN182" t="e">
        <f>AND(Bills!W752,"AAAAAGfX3ls=")</f>
        <v>#VALUE!</v>
      </c>
      <c r="CO182" t="e">
        <f>AND(Bills!#REF!,"AAAAAGfX3lw=")</f>
        <v>#REF!</v>
      </c>
      <c r="CP182" t="e">
        <f>AND(Bills!#REF!,"AAAAAGfX3l0=")</f>
        <v>#REF!</v>
      </c>
      <c r="CQ182" t="e">
        <f>AND(Bills!Y752,"AAAAAGfX3l4=")</f>
        <v>#VALUE!</v>
      </c>
      <c r="CR182" t="e">
        <f>AND(Bills!Z752,"AAAAAGfX3l8=")</f>
        <v>#VALUE!</v>
      </c>
      <c r="CS182" t="e">
        <f>AND(Bills!#REF!,"AAAAAGfX3mA=")</f>
        <v>#REF!</v>
      </c>
      <c r="CT182" t="e">
        <f>AND(Bills!#REF!,"AAAAAGfX3mE=")</f>
        <v>#REF!</v>
      </c>
      <c r="CU182" t="e">
        <f>AND(Bills!#REF!,"AAAAAGfX3mI=")</f>
        <v>#REF!</v>
      </c>
      <c r="CV182" t="e">
        <f>AND(Bills!#REF!,"AAAAAGfX3mM=")</f>
        <v>#REF!</v>
      </c>
      <c r="CW182" t="e">
        <f>AND(Bills!#REF!,"AAAAAGfX3mQ=")</f>
        <v>#REF!</v>
      </c>
      <c r="CX182" t="e">
        <f>AND(Bills!#REF!,"AAAAAGfX3mU=")</f>
        <v>#REF!</v>
      </c>
      <c r="CY182" t="e">
        <f>AND(Bills!#REF!,"AAAAAGfX3mY=")</f>
        <v>#REF!</v>
      </c>
      <c r="CZ182" t="e">
        <f>AND(Bills!#REF!,"AAAAAGfX3mc=")</f>
        <v>#REF!</v>
      </c>
      <c r="DA182" t="e">
        <f>AND(Bills!#REF!,"AAAAAGfX3mg=")</f>
        <v>#REF!</v>
      </c>
      <c r="DB182" t="e">
        <f>AND(Bills!AA752,"AAAAAGfX3mk=")</f>
        <v>#VALUE!</v>
      </c>
      <c r="DC182" t="e">
        <f>AND(Bills!AB752,"AAAAAGfX3mo=")</f>
        <v>#VALUE!</v>
      </c>
      <c r="DD182" t="e">
        <f>AND(Bills!#REF!,"AAAAAGfX3ms=")</f>
        <v>#REF!</v>
      </c>
      <c r="DE182" t="e">
        <f>AND(Bills!#REF!,"AAAAAGfX3mw=")</f>
        <v>#REF!</v>
      </c>
      <c r="DF182" t="e">
        <f>AND(Bills!#REF!,"AAAAAGfX3m0=")</f>
        <v>#REF!</v>
      </c>
      <c r="DG182" t="e">
        <f>AND(Bills!AC752,"AAAAAGfX3m4=")</f>
        <v>#VALUE!</v>
      </c>
      <c r="DH182" t="e">
        <f>AND(Bills!AD752,"AAAAAGfX3m8=")</f>
        <v>#VALUE!</v>
      </c>
      <c r="DI182" t="e">
        <f>AND(Bills!AE752,"AAAAAGfX3nA=")</f>
        <v>#VALUE!</v>
      </c>
      <c r="DJ182">
        <f>IF(Bills!753:753,"AAAAAGfX3nE=",0)</f>
        <v>0</v>
      </c>
      <c r="DK182" t="e">
        <f>AND(Bills!B753,"AAAAAGfX3nI=")</f>
        <v>#VALUE!</v>
      </c>
      <c r="DL182" t="e">
        <f>AND(Bills!#REF!,"AAAAAGfX3nM=")</f>
        <v>#REF!</v>
      </c>
      <c r="DM182" t="e">
        <f>AND(Bills!C753,"AAAAAGfX3nQ=")</f>
        <v>#VALUE!</v>
      </c>
      <c r="DN182" t="e">
        <f>AND(Bills!D753,"AAAAAGfX3nU=")</f>
        <v>#VALUE!</v>
      </c>
      <c r="DO182" t="e">
        <f>AND(Bills!E753,"AAAAAGfX3nY=")</f>
        <v>#VALUE!</v>
      </c>
      <c r="DP182" t="e">
        <f>AND(Bills!#REF!,"AAAAAGfX3nc=")</f>
        <v>#REF!</v>
      </c>
      <c r="DQ182" t="e">
        <f>AND(Bills!#REF!,"AAAAAGfX3ng=")</f>
        <v>#REF!</v>
      </c>
      <c r="DR182" t="e">
        <f>AND(Bills!#REF!,"AAAAAGfX3nk=")</f>
        <v>#REF!</v>
      </c>
      <c r="DS182" t="e">
        <f>AND(Bills!F753,"AAAAAGfX3no=")</f>
        <v>#VALUE!</v>
      </c>
      <c r="DT182" t="e">
        <f>AND(Bills!#REF!,"AAAAAGfX3ns=")</f>
        <v>#REF!</v>
      </c>
      <c r="DU182" t="e">
        <f>AND(Bills!G753,"AAAAAGfX3nw=")</f>
        <v>#VALUE!</v>
      </c>
      <c r="DV182" t="e">
        <f>AND(Bills!H753,"AAAAAGfX3n0=")</f>
        <v>#VALUE!</v>
      </c>
      <c r="DW182" t="e">
        <f>AND(Bills!I753,"AAAAAGfX3n4=")</f>
        <v>#VALUE!</v>
      </c>
      <c r="DX182" t="e">
        <f>AND(Bills!J753,"AAAAAGfX3n8=")</f>
        <v>#VALUE!</v>
      </c>
      <c r="DY182" t="e">
        <f>AND(Bills!K753,"AAAAAGfX3oA=")</f>
        <v>#VALUE!</v>
      </c>
      <c r="DZ182" t="e">
        <f>AND(Bills!L753,"AAAAAGfX3oE=")</f>
        <v>#VALUE!</v>
      </c>
      <c r="EA182" t="e">
        <f>AND(Bills!#REF!,"AAAAAGfX3oI=")</f>
        <v>#REF!</v>
      </c>
      <c r="EB182" t="e">
        <f>AND(Bills!M753,"AAAAAGfX3oM=")</f>
        <v>#VALUE!</v>
      </c>
      <c r="EC182" t="e">
        <f>AND(Bills!N753,"AAAAAGfX3oQ=")</f>
        <v>#VALUE!</v>
      </c>
      <c r="ED182" t="e">
        <f>AND(Bills!O753,"AAAAAGfX3oU=")</f>
        <v>#VALUE!</v>
      </c>
      <c r="EE182" t="e">
        <f>AND(Bills!P753,"AAAAAGfX3oY=")</f>
        <v>#VALUE!</v>
      </c>
      <c r="EF182" t="e">
        <f>AND(Bills!Q753,"AAAAAGfX3oc=")</f>
        <v>#VALUE!</v>
      </c>
      <c r="EG182" t="e">
        <f>AND(Bills!R753,"AAAAAGfX3og=")</f>
        <v>#VALUE!</v>
      </c>
      <c r="EH182" t="e">
        <f>AND(Bills!S753,"AAAAAGfX3ok=")</f>
        <v>#VALUE!</v>
      </c>
      <c r="EI182" t="e">
        <f>AND(Bills!T753,"AAAAAGfX3oo=")</f>
        <v>#VALUE!</v>
      </c>
      <c r="EJ182" t="e">
        <f>AND(Bills!#REF!,"AAAAAGfX3os=")</f>
        <v>#REF!</v>
      </c>
      <c r="EK182" t="e">
        <f>AND(Bills!U753,"AAAAAGfX3ow=")</f>
        <v>#VALUE!</v>
      </c>
      <c r="EL182" t="e">
        <f>AND(Bills!V753,"AAAAAGfX3o0=")</f>
        <v>#VALUE!</v>
      </c>
      <c r="EM182" t="e">
        <f>AND(Bills!W753,"AAAAAGfX3o4=")</f>
        <v>#VALUE!</v>
      </c>
      <c r="EN182" t="e">
        <f>AND(Bills!#REF!,"AAAAAGfX3o8=")</f>
        <v>#REF!</v>
      </c>
      <c r="EO182" t="e">
        <f>AND(Bills!#REF!,"AAAAAGfX3pA=")</f>
        <v>#REF!</v>
      </c>
      <c r="EP182" t="e">
        <f>AND(Bills!Y753,"AAAAAGfX3pE=")</f>
        <v>#VALUE!</v>
      </c>
      <c r="EQ182" t="e">
        <f>AND(Bills!Z753,"AAAAAGfX3pI=")</f>
        <v>#VALUE!</v>
      </c>
      <c r="ER182" t="e">
        <f>AND(Bills!#REF!,"AAAAAGfX3pM=")</f>
        <v>#REF!</v>
      </c>
      <c r="ES182" t="e">
        <f>AND(Bills!#REF!,"AAAAAGfX3pQ=")</f>
        <v>#REF!</v>
      </c>
      <c r="ET182" t="e">
        <f>AND(Bills!#REF!,"AAAAAGfX3pU=")</f>
        <v>#REF!</v>
      </c>
      <c r="EU182" t="e">
        <f>AND(Bills!#REF!,"AAAAAGfX3pY=")</f>
        <v>#REF!</v>
      </c>
      <c r="EV182" t="e">
        <f>AND(Bills!#REF!,"AAAAAGfX3pc=")</f>
        <v>#REF!</v>
      </c>
      <c r="EW182" t="e">
        <f>AND(Bills!#REF!,"AAAAAGfX3pg=")</f>
        <v>#REF!</v>
      </c>
      <c r="EX182" t="e">
        <f>AND(Bills!#REF!,"AAAAAGfX3pk=")</f>
        <v>#REF!</v>
      </c>
      <c r="EY182" t="e">
        <f>AND(Bills!#REF!,"AAAAAGfX3po=")</f>
        <v>#REF!</v>
      </c>
      <c r="EZ182" t="e">
        <f>AND(Bills!#REF!,"AAAAAGfX3ps=")</f>
        <v>#REF!</v>
      </c>
      <c r="FA182" t="e">
        <f>AND(Bills!AA753,"AAAAAGfX3pw=")</f>
        <v>#VALUE!</v>
      </c>
      <c r="FB182" t="e">
        <f>AND(Bills!AB753,"AAAAAGfX3p0=")</f>
        <v>#VALUE!</v>
      </c>
      <c r="FC182" t="e">
        <f>AND(Bills!#REF!,"AAAAAGfX3p4=")</f>
        <v>#REF!</v>
      </c>
      <c r="FD182" t="e">
        <f>AND(Bills!#REF!,"AAAAAGfX3p8=")</f>
        <v>#REF!</v>
      </c>
      <c r="FE182" t="e">
        <f>AND(Bills!#REF!,"AAAAAGfX3qA=")</f>
        <v>#REF!</v>
      </c>
      <c r="FF182" t="e">
        <f>AND(Bills!AC753,"AAAAAGfX3qE=")</f>
        <v>#VALUE!</v>
      </c>
      <c r="FG182" t="e">
        <f>AND(Bills!AD753,"AAAAAGfX3qI=")</f>
        <v>#VALUE!</v>
      </c>
      <c r="FH182" t="e">
        <f>AND(Bills!AE753,"AAAAAGfX3qM=")</f>
        <v>#VALUE!</v>
      </c>
      <c r="FI182">
        <f>IF(Bills!754:754,"AAAAAGfX3qQ=",0)</f>
        <v>0</v>
      </c>
      <c r="FJ182" t="e">
        <f>AND(Bills!B754,"AAAAAGfX3qU=")</f>
        <v>#VALUE!</v>
      </c>
      <c r="FK182" t="e">
        <f>AND(Bills!#REF!,"AAAAAGfX3qY=")</f>
        <v>#REF!</v>
      </c>
      <c r="FL182" t="e">
        <f>AND(Bills!C754,"AAAAAGfX3qc=")</f>
        <v>#VALUE!</v>
      </c>
      <c r="FM182" t="e">
        <f>AND(Bills!D754,"AAAAAGfX3qg=")</f>
        <v>#VALUE!</v>
      </c>
      <c r="FN182" t="e">
        <f>AND(Bills!E754,"AAAAAGfX3qk=")</f>
        <v>#VALUE!</v>
      </c>
      <c r="FO182" t="e">
        <f>AND(Bills!#REF!,"AAAAAGfX3qo=")</f>
        <v>#REF!</v>
      </c>
      <c r="FP182" t="e">
        <f>AND(Bills!#REF!,"AAAAAGfX3qs=")</f>
        <v>#REF!</v>
      </c>
      <c r="FQ182" t="e">
        <f>AND(Bills!#REF!,"AAAAAGfX3qw=")</f>
        <v>#REF!</v>
      </c>
      <c r="FR182" t="e">
        <f>AND(Bills!F754,"AAAAAGfX3q0=")</f>
        <v>#VALUE!</v>
      </c>
      <c r="FS182" t="e">
        <f>AND(Bills!#REF!,"AAAAAGfX3q4=")</f>
        <v>#REF!</v>
      </c>
      <c r="FT182" t="e">
        <f>AND(Bills!G754,"AAAAAGfX3q8=")</f>
        <v>#VALUE!</v>
      </c>
      <c r="FU182" t="e">
        <f>AND(Bills!H754,"AAAAAGfX3rA=")</f>
        <v>#VALUE!</v>
      </c>
      <c r="FV182" t="e">
        <f>AND(Bills!I754,"AAAAAGfX3rE=")</f>
        <v>#VALUE!</v>
      </c>
      <c r="FW182" t="e">
        <f>AND(Bills!J754,"AAAAAGfX3rI=")</f>
        <v>#VALUE!</v>
      </c>
      <c r="FX182" t="e">
        <f>AND(Bills!K754,"AAAAAGfX3rM=")</f>
        <v>#VALUE!</v>
      </c>
      <c r="FY182" t="e">
        <f>AND(Bills!L754,"AAAAAGfX3rQ=")</f>
        <v>#VALUE!</v>
      </c>
      <c r="FZ182" t="e">
        <f>AND(Bills!#REF!,"AAAAAGfX3rU=")</f>
        <v>#REF!</v>
      </c>
      <c r="GA182" t="e">
        <f>AND(Bills!M754,"AAAAAGfX3rY=")</f>
        <v>#VALUE!</v>
      </c>
      <c r="GB182" t="e">
        <f>AND(Bills!N754,"AAAAAGfX3rc=")</f>
        <v>#VALUE!</v>
      </c>
      <c r="GC182" t="e">
        <f>AND(Bills!O754,"AAAAAGfX3rg=")</f>
        <v>#VALUE!</v>
      </c>
      <c r="GD182" t="e">
        <f>AND(Bills!P754,"AAAAAGfX3rk=")</f>
        <v>#VALUE!</v>
      </c>
      <c r="GE182" t="e">
        <f>AND(Bills!Q754,"AAAAAGfX3ro=")</f>
        <v>#VALUE!</v>
      </c>
      <c r="GF182" t="e">
        <f>AND(Bills!R754,"AAAAAGfX3rs=")</f>
        <v>#VALUE!</v>
      </c>
      <c r="GG182" t="e">
        <f>AND(Bills!S754,"AAAAAGfX3rw=")</f>
        <v>#VALUE!</v>
      </c>
      <c r="GH182" t="e">
        <f>AND(Bills!T754,"AAAAAGfX3r0=")</f>
        <v>#VALUE!</v>
      </c>
      <c r="GI182" t="e">
        <f>AND(Bills!#REF!,"AAAAAGfX3r4=")</f>
        <v>#REF!</v>
      </c>
      <c r="GJ182" t="e">
        <f>AND(Bills!U754,"AAAAAGfX3r8=")</f>
        <v>#VALUE!</v>
      </c>
      <c r="GK182" t="e">
        <f>AND(Bills!V754,"AAAAAGfX3sA=")</f>
        <v>#VALUE!</v>
      </c>
      <c r="GL182" t="e">
        <f>AND(Bills!W754,"AAAAAGfX3sE=")</f>
        <v>#VALUE!</v>
      </c>
      <c r="GM182" t="e">
        <f>AND(Bills!#REF!,"AAAAAGfX3sI=")</f>
        <v>#REF!</v>
      </c>
      <c r="GN182" t="e">
        <f>AND(Bills!#REF!,"AAAAAGfX3sM=")</f>
        <v>#REF!</v>
      </c>
      <c r="GO182" t="e">
        <f>AND(Bills!Y754,"AAAAAGfX3sQ=")</f>
        <v>#VALUE!</v>
      </c>
      <c r="GP182" t="e">
        <f>AND(Bills!Z754,"AAAAAGfX3sU=")</f>
        <v>#VALUE!</v>
      </c>
      <c r="GQ182" t="e">
        <f>AND(Bills!#REF!,"AAAAAGfX3sY=")</f>
        <v>#REF!</v>
      </c>
      <c r="GR182" t="e">
        <f>AND(Bills!#REF!,"AAAAAGfX3sc=")</f>
        <v>#REF!</v>
      </c>
      <c r="GS182" t="e">
        <f>AND(Bills!#REF!,"AAAAAGfX3sg=")</f>
        <v>#REF!</v>
      </c>
      <c r="GT182" t="e">
        <f>AND(Bills!#REF!,"AAAAAGfX3sk=")</f>
        <v>#REF!</v>
      </c>
      <c r="GU182" t="e">
        <f>AND(Bills!#REF!,"AAAAAGfX3so=")</f>
        <v>#REF!</v>
      </c>
      <c r="GV182" t="e">
        <f>AND(Bills!#REF!,"AAAAAGfX3ss=")</f>
        <v>#REF!</v>
      </c>
      <c r="GW182" t="e">
        <f>AND(Bills!#REF!,"AAAAAGfX3sw=")</f>
        <v>#REF!</v>
      </c>
      <c r="GX182" t="e">
        <f>AND(Bills!#REF!,"AAAAAGfX3s0=")</f>
        <v>#REF!</v>
      </c>
      <c r="GY182" t="e">
        <f>AND(Bills!#REF!,"AAAAAGfX3s4=")</f>
        <v>#REF!</v>
      </c>
      <c r="GZ182" t="e">
        <f>AND(Bills!AA754,"AAAAAGfX3s8=")</f>
        <v>#VALUE!</v>
      </c>
      <c r="HA182" t="e">
        <f>AND(Bills!AB754,"AAAAAGfX3tA=")</f>
        <v>#VALUE!</v>
      </c>
      <c r="HB182" t="e">
        <f>AND(Bills!#REF!,"AAAAAGfX3tE=")</f>
        <v>#REF!</v>
      </c>
      <c r="HC182" t="e">
        <f>AND(Bills!#REF!,"AAAAAGfX3tI=")</f>
        <v>#REF!</v>
      </c>
      <c r="HD182" t="e">
        <f>AND(Bills!#REF!,"AAAAAGfX3tM=")</f>
        <v>#REF!</v>
      </c>
      <c r="HE182" t="e">
        <f>AND(Bills!AC754,"AAAAAGfX3tQ=")</f>
        <v>#VALUE!</v>
      </c>
      <c r="HF182" t="e">
        <f>AND(Bills!AD754,"AAAAAGfX3tU=")</f>
        <v>#VALUE!</v>
      </c>
      <c r="HG182" t="e">
        <f>AND(Bills!AE754,"AAAAAGfX3tY=")</f>
        <v>#VALUE!</v>
      </c>
      <c r="HH182">
        <f>IF(Bills!755:755,"AAAAAGfX3tc=",0)</f>
        <v>0</v>
      </c>
      <c r="HI182" t="e">
        <f>AND(Bills!B755,"AAAAAGfX3tg=")</f>
        <v>#VALUE!</v>
      </c>
      <c r="HJ182" t="e">
        <f>AND(Bills!#REF!,"AAAAAGfX3tk=")</f>
        <v>#REF!</v>
      </c>
      <c r="HK182" t="e">
        <f>AND(Bills!C755,"AAAAAGfX3to=")</f>
        <v>#VALUE!</v>
      </c>
      <c r="HL182" t="e">
        <f>AND(Bills!D755,"AAAAAGfX3ts=")</f>
        <v>#VALUE!</v>
      </c>
      <c r="HM182" t="e">
        <f>AND(Bills!E755,"AAAAAGfX3tw=")</f>
        <v>#VALUE!</v>
      </c>
      <c r="HN182" t="e">
        <f>AND(Bills!#REF!,"AAAAAGfX3t0=")</f>
        <v>#REF!</v>
      </c>
      <c r="HO182" t="e">
        <f>AND(Bills!#REF!,"AAAAAGfX3t4=")</f>
        <v>#REF!</v>
      </c>
      <c r="HP182" t="e">
        <f>AND(Bills!#REF!,"AAAAAGfX3t8=")</f>
        <v>#REF!</v>
      </c>
      <c r="HQ182" t="e">
        <f>AND(Bills!F755,"AAAAAGfX3uA=")</f>
        <v>#VALUE!</v>
      </c>
      <c r="HR182" t="e">
        <f>AND(Bills!#REF!,"AAAAAGfX3uE=")</f>
        <v>#REF!</v>
      </c>
      <c r="HS182" t="e">
        <f>AND(Bills!G755,"AAAAAGfX3uI=")</f>
        <v>#VALUE!</v>
      </c>
      <c r="HT182" t="e">
        <f>AND(Bills!H755,"AAAAAGfX3uM=")</f>
        <v>#VALUE!</v>
      </c>
      <c r="HU182" t="e">
        <f>AND(Bills!I755,"AAAAAGfX3uQ=")</f>
        <v>#VALUE!</v>
      </c>
      <c r="HV182" t="e">
        <f>AND(Bills!J755,"AAAAAGfX3uU=")</f>
        <v>#VALUE!</v>
      </c>
      <c r="HW182" t="e">
        <f>AND(Bills!K755,"AAAAAGfX3uY=")</f>
        <v>#VALUE!</v>
      </c>
      <c r="HX182" t="e">
        <f>AND(Bills!L755,"AAAAAGfX3uc=")</f>
        <v>#VALUE!</v>
      </c>
      <c r="HY182" t="e">
        <f>AND(Bills!#REF!,"AAAAAGfX3ug=")</f>
        <v>#REF!</v>
      </c>
      <c r="HZ182" t="e">
        <f>AND(Bills!M755,"AAAAAGfX3uk=")</f>
        <v>#VALUE!</v>
      </c>
      <c r="IA182" t="e">
        <f>AND(Bills!N755,"AAAAAGfX3uo=")</f>
        <v>#VALUE!</v>
      </c>
      <c r="IB182" t="e">
        <f>AND(Bills!O755,"AAAAAGfX3us=")</f>
        <v>#VALUE!</v>
      </c>
      <c r="IC182" t="e">
        <f>AND(Bills!P755,"AAAAAGfX3uw=")</f>
        <v>#VALUE!</v>
      </c>
      <c r="ID182" t="e">
        <f>AND(Bills!Q755,"AAAAAGfX3u0=")</f>
        <v>#VALUE!</v>
      </c>
      <c r="IE182" t="e">
        <f>AND(Bills!R755,"AAAAAGfX3u4=")</f>
        <v>#VALUE!</v>
      </c>
      <c r="IF182" t="e">
        <f>AND(Bills!S755,"AAAAAGfX3u8=")</f>
        <v>#VALUE!</v>
      </c>
      <c r="IG182" t="e">
        <f>AND(Bills!T755,"AAAAAGfX3vA=")</f>
        <v>#VALUE!</v>
      </c>
      <c r="IH182" t="e">
        <f>AND(Bills!#REF!,"AAAAAGfX3vE=")</f>
        <v>#REF!</v>
      </c>
      <c r="II182" t="e">
        <f>AND(Bills!U755,"AAAAAGfX3vI=")</f>
        <v>#VALUE!</v>
      </c>
      <c r="IJ182" t="e">
        <f>AND(Bills!V755,"AAAAAGfX3vM=")</f>
        <v>#VALUE!</v>
      </c>
      <c r="IK182" t="e">
        <f>AND(Bills!W755,"AAAAAGfX3vQ=")</f>
        <v>#VALUE!</v>
      </c>
      <c r="IL182" t="e">
        <f>AND(Bills!#REF!,"AAAAAGfX3vU=")</f>
        <v>#REF!</v>
      </c>
      <c r="IM182" t="e">
        <f>AND(Bills!#REF!,"AAAAAGfX3vY=")</f>
        <v>#REF!</v>
      </c>
      <c r="IN182" t="e">
        <f>AND(Bills!Y755,"AAAAAGfX3vc=")</f>
        <v>#VALUE!</v>
      </c>
      <c r="IO182" t="e">
        <f>AND(Bills!Z755,"AAAAAGfX3vg=")</f>
        <v>#VALUE!</v>
      </c>
      <c r="IP182" t="e">
        <f>AND(Bills!#REF!,"AAAAAGfX3vk=")</f>
        <v>#REF!</v>
      </c>
      <c r="IQ182" t="e">
        <f>AND(Bills!#REF!,"AAAAAGfX3vo=")</f>
        <v>#REF!</v>
      </c>
      <c r="IR182" t="e">
        <f>AND(Bills!#REF!,"AAAAAGfX3vs=")</f>
        <v>#REF!</v>
      </c>
      <c r="IS182" t="e">
        <f>AND(Bills!#REF!,"AAAAAGfX3vw=")</f>
        <v>#REF!</v>
      </c>
      <c r="IT182" t="e">
        <f>AND(Bills!#REF!,"AAAAAGfX3v0=")</f>
        <v>#REF!</v>
      </c>
      <c r="IU182" t="e">
        <f>AND(Bills!#REF!,"AAAAAGfX3v4=")</f>
        <v>#REF!</v>
      </c>
      <c r="IV182" t="e">
        <f>AND(Bills!#REF!,"AAAAAGfX3v8=")</f>
        <v>#REF!</v>
      </c>
    </row>
    <row r="183" spans="1:256" x14ac:dyDescent="0.25">
      <c r="A183" t="e">
        <f>AND(Bills!#REF!,"AAAAAE9vzgA=")</f>
        <v>#REF!</v>
      </c>
      <c r="B183" t="e">
        <f>AND(Bills!#REF!,"AAAAAE9vzgE=")</f>
        <v>#REF!</v>
      </c>
      <c r="C183" t="e">
        <f>AND(Bills!AA755,"AAAAAE9vzgI=")</f>
        <v>#VALUE!</v>
      </c>
      <c r="D183" t="e">
        <f>AND(Bills!AB755,"AAAAAE9vzgM=")</f>
        <v>#VALUE!</v>
      </c>
      <c r="E183" t="e">
        <f>AND(Bills!#REF!,"AAAAAE9vzgQ=")</f>
        <v>#REF!</v>
      </c>
      <c r="F183" t="e">
        <f>AND(Bills!#REF!,"AAAAAE9vzgU=")</f>
        <v>#REF!</v>
      </c>
      <c r="G183" t="e">
        <f>AND(Bills!#REF!,"AAAAAE9vzgY=")</f>
        <v>#REF!</v>
      </c>
      <c r="H183" t="e">
        <f>AND(Bills!AC755,"AAAAAE9vzgc=")</f>
        <v>#VALUE!</v>
      </c>
      <c r="I183" t="e">
        <f>AND(Bills!AD755,"AAAAAE9vzgg=")</f>
        <v>#VALUE!</v>
      </c>
      <c r="J183" t="e">
        <f>AND(Bills!AE755,"AAAAAE9vzgk=")</f>
        <v>#VALUE!</v>
      </c>
      <c r="K183">
        <f>IF(Bills!756:756,"AAAAAE9vzgo=",0)</f>
        <v>0</v>
      </c>
      <c r="L183" t="e">
        <f>AND(Bills!B756,"AAAAAE9vzgs=")</f>
        <v>#VALUE!</v>
      </c>
      <c r="M183" t="e">
        <f>AND(Bills!#REF!,"AAAAAE9vzgw=")</f>
        <v>#REF!</v>
      </c>
      <c r="N183" t="e">
        <f>AND(Bills!C756,"AAAAAE9vzg0=")</f>
        <v>#VALUE!</v>
      </c>
      <c r="O183" t="e">
        <f>AND(Bills!D756,"AAAAAE9vzg4=")</f>
        <v>#VALUE!</v>
      </c>
      <c r="P183" t="e">
        <f>AND(Bills!E756,"AAAAAE9vzg8=")</f>
        <v>#VALUE!</v>
      </c>
      <c r="Q183" t="e">
        <f>AND(Bills!#REF!,"AAAAAE9vzhA=")</f>
        <v>#REF!</v>
      </c>
      <c r="R183" t="e">
        <f>AND(Bills!#REF!,"AAAAAE9vzhE=")</f>
        <v>#REF!</v>
      </c>
      <c r="S183" t="e">
        <f>AND(Bills!#REF!,"AAAAAE9vzhI=")</f>
        <v>#REF!</v>
      </c>
      <c r="T183" t="e">
        <f>AND(Bills!F756,"AAAAAE9vzhM=")</f>
        <v>#VALUE!</v>
      </c>
      <c r="U183" t="e">
        <f>AND(Bills!#REF!,"AAAAAE9vzhQ=")</f>
        <v>#REF!</v>
      </c>
      <c r="V183" t="e">
        <f>AND(Bills!G756,"AAAAAE9vzhU=")</f>
        <v>#VALUE!</v>
      </c>
      <c r="W183" t="e">
        <f>AND(Bills!H756,"AAAAAE9vzhY=")</f>
        <v>#VALUE!</v>
      </c>
      <c r="X183" t="e">
        <f>AND(Bills!I756,"AAAAAE9vzhc=")</f>
        <v>#VALUE!</v>
      </c>
      <c r="Y183" t="e">
        <f>AND(Bills!J756,"AAAAAE9vzhg=")</f>
        <v>#VALUE!</v>
      </c>
      <c r="Z183" t="e">
        <f>AND(Bills!K756,"AAAAAE9vzhk=")</f>
        <v>#VALUE!</v>
      </c>
      <c r="AA183" t="e">
        <f>AND(Bills!L756,"AAAAAE9vzho=")</f>
        <v>#VALUE!</v>
      </c>
      <c r="AB183" t="e">
        <f>AND(Bills!#REF!,"AAAAAE9vzhs=")</f>
        <v>#REF!</v>
      </c>
      <c r="AC183" t="e">
        <f>AND(Bills!M756,"AAAAAE9vzhw=")</f>
        <v>#VALUE!</v>
      </c>
      <c r="AD183" t="e">
        <f>AND(Bills!N756,"AAAAAE9vzh0=")</f>
        <v>#VALUE!</v>
      </c>
      <c r="AE183" t="e">
        <f>AND(Bills!O756,"AAAAAE9vzh4=")</f>
        <v>#VALUE!</v>
      </c>
      <c r="AF183" t="e">
        <f>AND(Bills!P756,"AAAAAE9vzh8=")</f>
        <v>#VALUE!</v>
      </c>
      <c r="AG183" t="e">
        <f>AND(Bills!Q756,"AAAAAE9vziA=")</f>
        <v>#VALUE!</v>
      </c>
      <c r="AH183" t="e">
        <f>AND(Bills!R756,"AAAAAE9vziE=")</f>
        <v>#VALUE!</v>
      </c>
      <c r="AI183" t="e">
        <f>AND(Bills!S756,"AAAAAE9vziI=")</f>
        <v>#VALUE!</v>
      </c>
      <c r="AJ183" t="e">
        <f>AND(Bills!T756,"AAAAAE9vziM=")</f>
        <v>#VALUE!</v>
      </c>
      <c r="AK183" t="e">
        <f>AND(Bills!#REF!,"AAAAAE9vziQ=")</f>
        <v>#REF!</v>
      </c>
      <c r="AL183" t="e">
        <f>AND(Bills!U756,"AAAAAE9vziU=")</f>
        <v>#VALUE!</v>
      </c>
      <c r="AM183" t="e">
        <f>AND(Bills!V756,"AAAAAE9vziY=")</f>
        <v>#VALUE!</v>
      </c>
      <c r="AN183" t="e">
        <f>AND(Bills!W756,"AAAAAE9vzic=")</f>
        <v>#VALUE!</v>
      </c>
      <c r="AO183" t="e">
        <f>AND(Bills!#REF!,"AAAAAE9vzig=")</f>
        <v>#REF!</v>
      </c>
      <c r="AP183" t="e">
        <f>AND(Bills!#REF!,"AAAAAE9vzik=")</f>
        <v>#REF!</v>
      </c>
      <c r="AQ183" t="e">
        <f>AND(Bills!Y756,"AAAAAE9vzio=")</f>
        <v>#VALUE!</v>
      </c>
      <c r="AR183" t="e">
        <f>AND(Bills!Z756,"AAAAAE9vzis=")</f>
        <v>#VALUE!</v>
      </c>
      <c r="AS183" t="e">
        <f>AND(Bills!#REF!,"AAAAAE9vziw=")</f>
        <v>#REF!</v>
      </c>
      <c r="AT183" t="e">
        <f>AND(Bills!#REF!,"AAAAAE9vzi0=")</f>
        <v>#REF!</v>
      </c>
      <c r="AU183" t="e">
        <f>AND(Bills!#REF!,"AAAAAE9vzi4=")</f>
        <v>#REF!</v>
      </c>
      <c r="AV183" t="e">
        <f>AND(Bills!#REF!,"AAAAAE9vzi8=")</f>
        <v>#REF!</v>
      </c>
      <c r="AW183" t="e">
        <f>AND(Bills!#REF!,"AAAAAE9vzjA=")</f>
        <v>#REF!</v>
      </c>
      <c r="AX183" t="e">
        <f>AND(Bills!#REF!,"AAAAAE9vzjE=")</f>
        <v>#REF!</v>
      </c>
      <c r="AY183" t="e">
        <f>AND(Bills!#REF!,"AAAAAE9vzjI=")</f>
        <v>#REF!</v>
      </c>
      <c r="AZ183" t="e">
        <f>AND(Bills!#REF!,"AAAAAE9vzjM=")</f>
        <v>#REF!</v>
      </c>
      <c r="BA183" t="e">
        <f>AND(Bills!#REF!,"AAAAAE9vzjQ=")</f>
        <v>#REF!</v>
      </c>
      <c r="BB183" t="e">
        <f>AND(Bills!AA756,"AAAAAE9vzjU=")</f>
        <v>#VALUE!</v>
      </c>
      <c r="BC183" t="e">
        <f>AND(Bills!AB756,"AAAAAE9vzjY=")</f>
        <v>#VALUE!</v>
      </c>
      <c r="BD183" t="e">
        <f>AND(Bills!#REF!,"AAAAAE9vzjc=")</f>
        <v>#REF!</v>
      </c>
      <c r="BE183" t="e">
        <f>AND(Bills!#REF!,"AAAAAE9vzjg=")</f>
        <v>#REF!</v>
      </c>
      <c r="BF183" t="e">
        <f>AND(Bills!#REF!,"AAAAAE9vzjk=")</f>
        <v>#REF!</v>
      </c>
      <c r="BG183" t="e">
        <f>AND(Bills!AC756,"AAAAAE9vzjo=")</f>
        <v>#VALUE!</v>
      </c>
      <c r="BH183" t="e">
        <f>AND(Bills!AD756,"AAAAAE9vzjs=")</f>
        <v>#VALUE!</v>
      </c>
      <c r="BI183" t="e">
        <f>AND(Bills!AE756,"AAAAAE9vzjw=")</f>
        <v>#VALUE!</v>
      </c>
      <c r="BJ183">
        <f>IF(Bills!757:757,"AAAAAE9vzj0=",0)</f>
        <v>0</v>
      </c>
      <c r="BK183" t="e">
        <f>AND(Bills!B757,"AAAAAE9vzj4=")</f>
        <v>#VALUE!</v>
      </c>
      <c r="BL183" t="e">
        <f>AND(Bills!#REF!,"AAAAAE9vzj8=")</f>
        <v>#REF!</v>
      </c>
      <c r="BM183" t="e">
        <f>AND(Bills!C757,"AAAAAE9vzkA=")</f>
        <v>#VALUE!</v>
      </c>
      <c r="BN183" t="e">
        <f>AND(Bills!D757,"AAAAAE9vzkE=")</f>
        <v>#VALUE!</v>
      </c>
      <c r="BO183" t="e">
        <f>AND(Bills!E757,"AAAAAE9vzkI=")</f>
        <v>#VALUE!</v>
      </c>
      <c r="BP183" t="e">
        <f>AND(Bills!#REF!,"AAAAAE9vzkM=")</f>
        <v>#REF!</v>
      </c>
      <c r="BQ183" t="e">
        <f>AND(Bills!#REF!,"AAAAAE9vzkQ=")</f>
        <v>#REF!</v>
      </c>
      <c r="BR183" t="e">
        <f>AND(Bills!#REF!,"AAAAAE9vzkU=")</f>
        <v>#REF!</v>
      </c>
      <c r="BS183" t="e">
        <f>AND(Bills!F757,"AAAAAE9vzkY=")</f>
        <v>#VALUE!</v>
      </c>
      <c r="BT183" t="e">
        <f>AND(Bills!#REF!,"AAAAAE9vzkc=")</f>
        <v>#REF!</v>
      </c>
      <c r="BU183" t="e">
        <f>AND(Bills!G757,"AAAAAE9vzkg=")</f>
        <v>#VALUE!</v>
      </c>
      <c r="BV183" t="e">
        <f>AND(Bills!H757,"AAAAAE9vzkk=")</f>
        <v>#VALUE!</v>
      </c>
      <c r="BW183" t="e">
        <f>AND(Bills!I757,"AAAAAE9vzko=")</f>
        <v>#VALUE!</v>
      </c>
      <c r="BX183" t="e">
        <f>AND(Bills!J757,"AAAAAE9vzks=")</f>
        <v>#VALUE!</v>
      </c>
      <c r="BY183" t="e">
        <f>AND(Bills!K757,"AAAAAE9vzkw=")</f>
        <v>#VALUE!</v>
      </c>
      <c r="BZ183" t="e">
        <f>AND(Bills!L757,"AAAAAE9vzk0=")</f>
        <v>#VALUE!</v>
      </c>
      <c r="CA183" t="e">
        <f>AND(Bills!#REF!,"AAAAAE9vzk4=")</f>
        <v>#REF!</v>
      </c>
      <c r="CB183" t="e">
        <f>AND(Bills!M757,"AAAAAE9vzk8=")</f>
        <v>#VALUE!</v>
      </c>
      <c r="CC183" t="e">
        <f>AND(Bills!N757,"AAAAAE9vzlA=")</f>
        <v>#VALUE!</v>
      </c>
      <c r="CD183" t="e">
        <f>AND(Bills!O757,"AAAAAE9vzlE=")</f>
        <v>#VALUE!</v>
      </c>
      <c r="CE183" t="e">
        <f>AND(Bills!P757,"AAAAAE9vzlI=")</f>
        <v>#VALUE!</v>
      </c>
      <c r="CF183" t="e">
        <f>AND(Bills!Q757,"AAAAAE9vzlM=")</f>
        <v>#VALUE!</v>
      </c>
      <c r="CG183" t="e">
        <f>AND(Bills!R757,"AAAAAE9vzlQ=")</f>
        <v>#VALUE!</v>
      </c>
      <c r="CH183" t="e">
        <f>AND(Bills!S757,"AAAAAE9vzlU=")</f>
        <v>#VALUE!</v>
      </c>
      <c r="CI183" t="e">
        <f>AND(Bills!T757,"AAAAAE9vzlY=")</f>
        <v>#VALUE!</v>
      </c>
      <c r="CJ183" t="e">
        <f>AND(Bills!#REF!,"AAAAAE9vzlc=")</f>
        <v>#REF!</v>
      </c>
      <c r="CK183" t="e">
        <f>AND(Bills!U757,"AAAAAE9vzlg=")</f>
        <v>#VALUE!</v>
      </c>
      <c r="CL183" t="e">
        <f>AND(Bills!V757,"AAAAAE9vzlk=")</f>
        <v>#VALUE!</v>
      </c>
      <c r="CM183" t="e">
        <f>AND(Bills!W757,"AAAAAE9vzlo=")</f>
        <v>#VALUE!</v>
      </c>
      <c r="CN183" t="e">
        <f>AND(Bills!#REF!,"AAAAAE9vzls=")</f>
        <v>#REF!</v>
      </c>
      <c r="CO183" t="e">
        <f>AND(Bills!#REF!,"AAAAAE9vzlw=")</f>
        <v>#REF!</v>
      </c>
      <c r="CP183" t="e">
        <f>AND(Bills!Y757,"AAAAAE9vzl0=")</f>
        <v>#VALUE!</v>
      </c>
      <c r="CQ183" t="e">
        <f>AND(Bills!Z757,"AAAAAE9vzl4=")</f>
        <v>#VALUE!</v>
      </c>
      <c r="CR183" t="e">
        <f>AND(Bills!#REF!,"AAAAAE9vzl8=")</f>
        <v>#REF!</v>
      </c>
      <c r="CS183" t="e">
        <f>AND(Bills!#REF!,"AAAAAE9vzmA=")</f>
        <v>#REF!</v>
      </c>
      <c r="CT183" t="e">
        <f>AND(Bills!#REF!,"AAAAAE9vzmE=")</f>
        <v>#REF!</v>
      </c>
      <c r="CU183" t="e">
        <f>AND(Bills!#REF!,"AAAAAE9vzmI=")</f>
        <v>#REF!</v>
      </c>
      <c r="CV183" t="e">
        <f>AND(Bills!#REF!,"AAAAAE9vzmM=")</f>
        <v>#REF!</v>
      </c>
      <c r="CW183" t="e">
        <f>AND(Bills!#REF!,"AAAAAE9vzmQ=")</f>
        <v>#REF!</v>
      </c>
      <c r="CX183" t="e">
        <f>AND(Bills!#REF!,"AAAAAE9vzmU=")</f>
        <v>#REF!</v>
      </c>
      <c r="CY183" t="e">
        <f>AND(Bills!#REF!,"AAAAAE9vzmY=")</f>
        <v>#REF!</v>
      </c>
      <c r="CZ183" t="e">
        <f>AND(Bills!#REF!,"AAAAAE9vzmc=")</f>
        <v>#REF!</v>
      </c>
      <c r="DA183" t="e">
        <f>AND(Bills!AA757,"AAAAAE9vzmg=")</f>
        <v>#VALUE!</v>
      </c>
      <c r="DB183" t="e">
        <f>AND(Bills!AB757,"AAAAAE9vzmk=")</f>
        <v>#VALUE!</v>
      </c>
      <c r="DC183" t="e">
        <f>AND(Bills!#REF!,"AAAAAE9vzmo=")</f>
        <v>#REF!</v>
      </c>
      <c r="DD183" t="e">
        <f>AND(Bills!#REF!,"AAAAAE9vzms=")</f>
        <v>#REF!</v>
      </c>
      <c r="DE183" t="e">
        <f>AND(Bills!#REF!,"AAAAAE9vzmw=")</f>
        <v>#REF!</v>
      </c>
      <c r="DF183" t="e">
        <f>AND(Bills!AC757,"AAAAAE9vzm0=")</f>
        <v>#VALUE!</v>
      </c>
      <c r="DG183" t="e">
        <f>AND(Bills!AD757,"AAAAAE9vzm4=")</f>
        <v>#VALUE!</v>
      </c>
      <c r="DH183" t="e">
        <f>AND(Bills!AE757,"AAAAAE9vzm8=")</f>
        <v>#VALUE!</v>
      </c>
      <c r="DI183">
        <f>IF(Bills!758:758,"AAAAAE9vznA=",0)</f>
        <v>0</v>
      </c>
      <c r="DJ183" t="e">
        <f>AND(Bills!B758,"AAAAAE9vznE=")</f>
        <v>#VALUE!</v>
      </c>
      <c r="DK183" t="e">
        <f>AND(Bills!#REF!,"AAAAAE9vznI=")</f>
        <v>#REF!</v>
      </c>
      <c r="DL183" t="e">
        <f>AND(Bills!C758,"AAAAAE9vznM=")</f>
        <v>#VALUE!</v>
      </c>
      <c r="DM183" t="e">
        <f>AND(Bills!D758,"AAAAAE9vznQ=")</f>
        <v>#VALUE!</v>
      </c>
      <c r="DN183" t="e">
        <f>AND(Bills!E758,"AAAAAE9vznU=")</f>
        <v>#VALUE!</v>
      </c>
      <c r="DO183" t="e">
        <f>AND(Bills!#REF!,"AAAAAE9vznY=")</f>
        <v>#REF!</v>
      </c>
      <c r="DP183" t="e">
        <f>AND(Bills!#REF!,"AAAAAE9vznc=")</f>
        <v>#REF!</v>
      </c>
      <c r="DQ183" t="e">
        <f>AND(Bills!#REF!,"AAAAAE9vzng=")</f>
        <v>#REF!</v>
      </c>
      <c r="DR183" t="e">
        <f>AND(Bills!F758,"AAAAAE9vznk=")</f>
        <v>#VALUE!</v>
      </c>
      <c r="DS183" t="e">
        <f>AND(Bills!#REF!,"AAAAAE9vzno=")</f>
        <v>#REF!</v>
      </c>
      <c r="DT183" t="e">
        <f>AND(Bills!G758,"AAAAAE9vzns=")</f>
        <v>#VALUE!</v>
      </c>
      <c r="DU183" t="e">
        <f>AND(Bills!H758,"AAAAAE9vznw=")</f>
        <v>#VALUE!</v>
      </c>
      <c r="DV183" t="e">
        <f>AND(Bills!I758,"AAAAAE9vzn0=")</f>
        <v>#VALUE!</v>
      </c>
      <c r="DW183" t="e">
        <f>AND(Bills!J758,"AAAAAE9vzn4=")</f>
        <v>#VALUE!</v>
      </c>
      <c r="DX183" t="e">
        <f>AND(Bills!K758,"AAAAAE9vzn8=")</f>
        <v>#VALUE!</v>
      </c>
      <c r="DY183" t="e">
        <f>AND(Bills!L758,"AAAAAE9vzoA=")</f>
        <v>#VALUE!</v>
      </c>
      <c r="DZ183" t="e">
        <f>AND(Bills!#REF!,"AAAAAE9vzoE=")</f>
        <v>#REF!</v>
      </c>
      <c r="EA183" t="e">
        <f>AND(Bills!M758,"AAAAAE9vzoI=")</f>
        <v>#VALUE!</v>
      </c>
      <c r="EB183" t="e">
        <f>AND(Bills!N758,"AAAAAE9vzoM=")</f>
        <v>#VALUE!</v>
      </c>
      <c r="EC183" t="e">
        <f>AND(Bills!O758,"AAAAAE9vzoQ=")</f>
        <v>#VALUE!</v>
      </c>
      <c r="ED183" t="e">
        <f>AND(Bills!P758,"AAAAAE9vzoU=")</f>
        <v>#VALUE!</v>
      </c>
      <c r="EE183" t="e">
        <f>AND(Bills!Q758,"AAAAAE9vzoY=")</f>
        <v>#VALUE!</v>
      </c>
      <c r="EF183" t="e">
        <f>AND(Bills!R758,"AAAAAE9vzoc=")</f>
        <v>#VALUE!</v>
      </c>
      <c r="EG183" t="e">
        <f>AND(Bills!S758,"AAAAAE9vzog=")</f>
        <v>#VALUE!</v>
      </c>
      <c r="EH183" t="e">
        <f>AND(Bills!T758,"AAAAAE9vzok=")</f>
        <v>#VALUE!</v>
      </c>
      <c r="EI183" t="e">
        <f>AND(Bills!#REF!,"AAAAAE9vzoo=")</f>
        <v>#REF!</v>
      </c>
      <c r="EJ183" t="e">
        <f>AND(Bills!U758,"AAAAAE9vzos=")</f>
        <v>#VALUE!</v>
      </c>
      <c r="EK183" t="e">
        <f>AND(Bills!V758,"AAAAAE9vzow=")</f>
        <v>#VALUE!</v>
      </c>
      <c r="EL183" t="e">
        <f>AND(Bills!W758,"AAAAAE9vzo0=")</f>
        <v>#VALUE!</v>
      </c>
      <c r="EM183" t="e">
        <f>AND(Bills!#REF!,"AAAAAE9vzo4=")</f>
        <v>#REF!</v>
      </c>
      <c r="EN183" t="e">
        <f>AND(Bills!#REF!,"AAAAAE9vzo8=")</f>
        <v>#REF!</v>
      </c>
      <c r="EO183" t="e">
        <f>AND(Bills!Y758,"AAAAAE9vzpA=")</f>
        <v>#VALUE!</v>
      </c>
      <c r="EP183" t="e">
        <f>AND(Bills!Z758,"AAAAAE9vzpE=")</f>
        <v>#VALUE!</v>
      </c>
      <c r="EQ183" t="e">
        <f>AND(Bills!#REF!,"AAAAAE9vzpI=")</f>
        <v>#REF!</v>
      </c>
      <c r="ER183" t="e">
        <f>AND(Bills!#REF!,"AAAAAE9vzpM=")</f>
        <v>#REF!</v>
      </c>
      <c r="ES183" t="e">
        <f>AND(Bills!#REF!,"AAAAAE9vzpQ=")</f>
        <v>#REF!</v>
      </c>
      <c r="ET183" t="e">
        <f>AND(Bills!#REF!,"AAAAAE9vzpU=")</f>
        <v>#REF!</v>
      </c>
      <c r="EU183" t="e">
        <f>AND(Bills!#REF!,"AAAAAE9vzpY=")</f>
        <v>#REF!</v>
      </c>
      <c r="EV183" t="e">
        <f>AND(Bills!#REF!,"AAAAAE9vzpc=")</f>
        <v>#REF!</v>
      </c>
      <c r="EW183" t="e">
        <f>AND(Bills!#REF!,"AAAAAE9vzpg=")</f>
        <v>#REF!</v>
      </c>
      <c r="EX183" t="e">
        <f>AND(Bills!#REF!,"AAAAAE9vzpk=")</f>
        <v>#REF!</v>
      </c>
      <c r="EY183" t="e">
        <f>AND(Bills!#REF!,"AAAAAE9vzpo=")</f>
        <v>#REF!</v>
      </c>
      <c r="EZ183" t="e">
        <f>AND(Bills!AA758,"AAAAAE9vzps=")</f>
        <v>#VALUE!</v>
      </c>
      <c r="FA183" t="e">
        <f>AND(Bills!AB758,"AAAAAE9vzpw=")</f>
        <v>#VALUE!</v>
      </c>
      <c r="FB183" t="e">
        <f>AND(Bills!#REF!,"AAAAAE9vzp0=")</f>
        <v>#REF!</v>
      </c>
      <c r="FC183" t="e">
        <f>AND(Bills!#REF!,"AAAAAE9vzp4=")</f>
        <v>#REF!</v>
      </c>
      <c r="FD183" t="e">
        <f>AND(Bills!#REF!,"AAAAAE9vzp8=")</f>
        <v>#REF!</v>
      </c>
      <c r="FE183" t="e">
        <f>AND(Bills!AC758,"AAAAAE9vzqA=")</f>
        <v>#VALUE!</v>
      </c>
      <c r="FF183" t="e">
        <f>AND(Bills!AD758,"AAAAAE9vzqE=")</f>
        <v>#VALUE!</v>
      </c>
      <c r="FG183" t="e">
        <f>AND(Bills!AE758,"AAAAAE9vzqI=")</f>
        <v>#VALUE!</v>
      </c>
      <c r="FH183">
        <f>IF(Bills!759:759,"AAAAAE9vzqM=",0)</f>
        <v>0</v>
      </c>
      <c r="FI183" t="e">
        <f>AND(Bills!B759,"AAAAAE9vzqQ=")</f>
        <v>#VALUE!</v>
      </c>
      <c r="FJ183" t="e">
        <f>AND(Bills!#REF!,"AAAAAE9vzqU=")</f>
        <v>#REF!</v>
      </c>
      <c r="FK183" t="e">
        <f>AND(Bills!C759,"AAAAAE9vzqY=")</f>
        <v>#VALUE!</v>
      </c>
      <c r="FL183" t="e">
        <f>AND(Bills!D759,"AAAAAE9vzqc=")</f>
        <v>#VALUE!</v>
      </c>
      <c r="FM183" t="e">
        <f>AND(Bills!E759,"AAAAAE9vzqg=")</f>
        <v>#VALUE!</v>
      </c>
      <c r="FN183" t="e">
        <f>AND(Bills!#REF!,"AAAAAE9vzqk=")</f>
        <v>#REF!</v>
      </c>
      <c r="FO183" t="e">
        <f>AND(Bills!#REF!,"AAAAAE9vzqo=")</f>
        <v>#REF!</v>
      </c>
      <c r="FP183" t="e">
        <f>AND(Bills!#REF!,"AAAAAE9vzqs=")</f>
        <v>#REF!</v>
      </c>
      <c r="FQ183" t="e">
        <f>AND(Bills!F759,"AAAAAE9vzqw=")</f>
        <v>#VALUE!</v>
      </c>
      <c r="FR183" t="e">
        <f>AND(Bills!#REF!,"AAAAAE9vzq0=")</f>
        <v>#REF!</v>
      </c>
      <c r="FS183" t="e">
        <f>AND(Bills!G759,"AAAAAE9vzq4=")</f>
        <v>#VALUE!</v>
      </c>
      <c r="FT183" t="e">
        <f>AND(Bills!H759,"AAAAAE9vzq8=")</f>
        <v>#VALUE!</v>
      </c>
      <c r="FU183" t="e">
        <f>AND(Bills!I759,"AAAAAE9vzrA=")</f>
        <v>#VALUE!</v>
      </c>
      <c r="FV183" t="e">
        <f>AND(Bills!J759,"AAAAAE9vzrE=")</f>
        <v>#VALUE!</v>
      </c>
      <c r="FW183" t="e">
        <f>AND(Bills!K759,"AAAAAE9vzrI=")</f>
        <v>#VALUE!</v>
      </c>
      <c r="FX183" t="e">
        <f>AND(Bills!L759,"AAAAAE9vzrM=")</f>
        <v>#VALUE!</v>
      </c>
      <c r="FY183" t="e">
        <f>AND(Bills!#REF!,"AAAAAE9vzrQ=")</f>
        <v>#REF!</v>
      </c>
      <c r="FZ183" t="e">
        <f>AND(Bills!M759,"AAAAAE9vzrU=")</f>
        <v>#VALUE!</v>
      </c>
      <c r="GA183" t="e">
        <f>AND(Bills!N759,"AAAAAE9vzrY=")</f>
        <v>#VALUE!</v>
      </c>
      <c r="GB183" t="e">
        <f>AND(Bills!O759,"AAAAAE9vzrc=")</f>
        <v>#VALUE!</v>
      </c>
      <c r="GC183" t="e">
        <f>AND(Bills!P759,"AAAAAE9vzrg=")</f>
        <v>#VALUE!</v>
      </c>
      <c r="GD183" t="e">
        <f>AND(Bills!Q759,"AAAAAE9vzrk=")</f>
        <v>#VALUE!</v>
      </c>
      <c r="GE183" t="e">
        <f>AND(Bills!R759,"AAAAAE9vzro=")</f>
        <v>#VALUE!</v>
      </c>
      <c r="GF183" t="e">
        <f>AND(Bills!S759,"AAAAAE9vzrs=")</f>
        <v>#VALUE!</v>
      </c>
      <c r="GG183" t="e">
        <f>AND(Bills!T759,"AAAAAE9vzrw=")</f>
        <v>#VALUE!</v>
      </c>
      <c r="GH183" t="e">
        <f>AND(Bills!#REF!,"AAAAAE9vzr0=")</f>
        <v>#REF!</v>
      </c>
      <c r="GI183" t="e">
        <f>AND(Bills!U759,"AAAAAE9vzr4=")</f>
        <v>#VALUE!</v>
      </c>
      <c r="GJ183" t="e">
        <f>AND(Bills!V759,"AAAAAE9vzr8=")</f>
        <v>#VALUE!</v>
      </c>
      <c r="GK183" t="e">
        <f>AND(Bills!W759,"AAAAAE9vzsA=")</f>
        <v>#VALUE!</v>
      </c>
      <c r="GL183" t="e">
        <f>AND(Bills!#REF!,"AAAAAE9vzsE=")</f>
        <v>#REF!</v>
      </c>
      <c r="GM183" t="e">
        <f>AND(Bills!#REF!,"AAAAAE9vzsI=")</f>
        <v>#REF!</v>
      </c>
      <c r="GN183" t="e">
        <f>AND(Bills!Y759,"AAAAAE9vzsM=")</f>
        <v>#VALUE!</v>
      </c>
      <c r="GO183" t="e">
        <f>AND(Bills!Z759,"AAAAAE9vzsQ=")</f>
        <v>#VALUE!</v>
      </c>
      <c r="GP183" t="e">
        <f>AND(Bills!#REF!,"AAAAAE9vzsU=")</f>
        <v>#REF!</v>
      </c>
      <c r="GQ183" t="e">
        <f>AND(Bills!#REF!,"AAAAAE9vzsY=")</f>
        <v>#REF!</v>
      </c>
      <c r="GR183" t="e">
        <f>AND(Bills!#REF!,"AAAAAE9vzsc=")</f>
        <v>#REF!</v>
      </c>
      <c r="GS183" t="e">
        <f>AND(Bills!#REF!,"AAAAAE9vzsg=")</f>
        <v>#REF!</v>
      </c>
      <c r="GT183" t="e">
        <f>AND(Bills!#REF!,"AAAAAE9vzsk=")</f>
        <v>#REF!</v>
      </c>
      <c r="GU183" t="e">
        <f>AND(Bills!#REF!,"AAAAAE9vzso=")</f>
        <v>#REF!</v>
      </c>
      <c r="GV183" t="e">
        <f>AND(Bills!#REF!,"AAAAAE9vzss=")</f>
        <v>#REF!</v>
      </c>
      <c r="GW183" t="e">
        <f>AND(Bills!#REF!,"AAAAAE9vzsw=")</f>
        <v>#REF!</v>
      </c>
      <c r="GX183" t="e">
        <f>AND(Bills!#REF!,"AAAAAE9vzs0=")</f>
        <v>#REF!</v>
      </c>
      <c r="GY183" t="e">
        <f>AND(Bills!AA759,"AAAAAE9vzs4=")</f>
        <v>#VALUE!</v>
      </c>
      <c r="GZ183" t="e">
        <f>AND(Bills!AB759,"AAAAAE9vzs8=")</f>
        <v>#VALUE!</v>
      </c>
      <c r="HA183" t="e">
        <f>AND(Bills!#REF!,"AAAAAE9vztA=")</f>
        <v>#REF!</v>
      </c>
      <c r="HB183" t="e">
        <f>AND(Bills!#REF!,"AAAAAE9vztE=")</f>
        <v>#REF!</v>
      </c>
      <c r="HC183" t="e">
        <f>AND(Bills!#REF!,"AAAAAE9vztI=")</f>
        <v>#REF!</v>
      </c>
      <c r="HD183" t="e">
        <f>AND(Bills!AC759,"AAAAAE9vztM=")</f>
        <v>#VALUE!</v>
      </c>
      <c r="HE183" t="e">
        <f>AND(Bills!AD759,"AAAAAE9vztQ=")</f>
        <v>#VALUE!</v>
      </c>
      <c r="HF183" t="e">
        <f>AND(Bills!AE759,"AAAAAE9vztU=")</f>
        <v>#VALUE!</v>
      </c>
      <c r="HG183">
        <f>IF(Bills!760:760,"AAAAAE9vztY=",0)</f>
        <v>0</v>
      </c>
      <c r="HH183" t="e">
        <f>AND(Bills!B760,"AAAAAE9vztc=")</f>
        <v>#VALUE!</v>
      </c>
      <c r="HI183" t="e">
        <f>AND(Bills!#REF!,"AAAAAE9vztg=")</f>
        <v>#REF!</v>
      </c>
      <c r="HJ183" t="e">
        <f>AND(Bills!C760,"AAAAAE9vztk=")</f>
        <v>#VALUE!</v>
      </c>
      <c r="HK183" t="e">
        <f>AND(Bills!D760,"AAAAAE9vzto=")</f>
        <v>#VALUE!</v>
      </c>
      <c r="HL183" t="e">
        <f>AND(Bills!E760,"AAAAAE9vzts=")</f>
        <v>#VALUE!</v>
      </c>
      <c r="HM183" t="e">
        <f>AND(Bills!#REF!,"AAAAAE9vztw=")</f>
        <v>#REF!</v>
      </c>
      <c r="HN183" t="e">
        <f>AND(Bills!#REF!,"AAAAAE9vzt0=")</f>
        <v>#REF!</v>
      </c>
      <c r="HO183" t="e">
        <f>AND(Bills!#REF!,"AAAAAE9vzt4=")</f>
        <v>#REF!</v>
      </c>
      <c r="HP183" t="e">
        <f>AND(Bills!F760,"AAAAAE9vzt8=")</f>
        <v>#VALUE!</v>
      </c>
      <c r="HQ183" t="e">
        <f>AND(Bills!#REF!,"AAAAAE9vzuA=")</f>
        <v>#REF!</v>
      </c>
      <c r="HR183" t="e">
        <f>AND(Bills!G760,"AAAAAE9vzuE=")</f>
        <v>#VALUE!</v>
      </c>
      <c r="HS183" t="e">
        <f>AND(Bills!H760,"AAAAAE9vzuI=")</f>
        <v>#VALUE!</v>
      </c>
      <c r="HT183" t="e">
        <f>AND(Bills!I760,"AAAAAE9vzuM=")</f>
        <v>#VALUE!</v>
      </c>
      <c r="HU183" t="e">
        <f>AND(Bills!J760,"AAAAAE9vzuQ=")</f>
        <v>#VALUE!</v>
      </c>
      <c r="HV183" t="e">
        <f>AND(Bills!K760,"AAAAAE9vzuU=")</f>
        <v>#VALUE!</v>
      </c>
      <c r="HW183" t="e">
        <f>AND(Bills!L760,"AAAAAE9vzuY=")</f>
        <v>#VALUE!</v>
      </c>
      <c r="HX183" t="e">
        <f>AND(Bills!#REF!,"AAAAAE9vzuc=")</f>
        <v>#REF!</v>
      </c>
      <c r="HY183" t="e">
        <f>AND(Bills!M760,"AAAAAE9vzug=")</f>
        <v>#VALUE!</v>
      </c>
      <c r="HZ183" t="e">
        <f>AND(Bills!N760,"AAAAAE9vzuk=")</f>
        <v>#VALUE!</v>
      </c>
      <c r="IA183" t="e">
        <f>AND(Bills!O760,"AAAAAE9vzuo=")</f>
        <v>#VALUE!</v>
      </c>
      <c r="IB183" t="e">
        <f>AND(Bills!P760,"AAAAAE9vzus=")</f>
        <v>#VALUE!</v>
      </c>
      <c r="IC183" t="e">
        <f>AND(Bills!Q760,"AAAAAE9vzuw=")</f>
        <v>#VALUE!</v>
      </c>
      <c r="ID183" t="e">
        <f>AND(Bills!R760,"AAAAAE9vzu0=")</f>
        <v>#VALUE!</v>
      </c>
      <c r="IE183" t="e">
        <f>AND(Bills!S760,"AAAAAE9vzu4=")</f>
        <v>#VALUE!</v>
      </c>
      <c r="IF183" t="e">
        <f>AND(Bills!T760,"AAAAAE9vzu8=")</f>
        <v>#VALUE!</v>
      </c>
      <c r="IG183" t="e">
        <f>AND(Bills!#REF!,"AAAAAE9vzvA=")</f>
        <v>#REF!</v>
      </c>
      <c r="IH183" t="e">
        <f>AND(Bills!U760,"AAAAAE9vzvE=")</f>
        <v>#VALUE!</v>
      </c>
      <c r="II183" t="e">
        <f>AND(Bills!V760,"AAAAAE9vzvI=")</f>
        <v>#VALUE!</v>
      </c>
      <c r="IJ183" t="e">
        <f>AND(Bills!W760,"AAAAAE9vzvM=")</f>
        <v>#VALUE!</v>
      </c>
      <c r="IK183" t="e">
        <f>AND(Bills!#REF!,"AAAAAE9vzvQ=")</f>
        <v>#REF!</v>
      </c>
      <c r="IL183" t="e">
        <f>AND(Bills!#REF!,"AAAAAE9vzvU=")</f>
        <v>#REF!</v>
      </c>
      <c r="IM183" t="e">
        <f>AND(Bills!Y760,"AAAAAE9vzvY=")</f>
        <v>#VALUE!</v>
      </c>
      <c r="IN183" t="e">
        <f>AND(Bills!Z760,"AAAAAE9vzvc=")</f>
        <v>#VALUE!</v>
      </c>
      <c r="IO183" t="e">
        <f>AND(Bills!#REF!,"AAAAAE9vzvg=")</f>
        <v>#REF!</v>
      </c>
      <c r="IP183" t="e">
        <f>AND(Bills!#REF!,"AAAAAE9vzvk=")</f>
        <v>#REF!</v>
      </c>
      <c r="IQ183" t="e">
        <f>AND(Bills!#REF!,"AAAAAE9vzvo=")</f>
        <v>#REF!</v>
      </c>
      <c r="IR183" t="e">
        <f>AND(Bills!#REF!,"AAAAAE9vzvs=")</f>
        <v>#REF!</v>
      </c>
      <c r="IS183" t="e">
        <f>AND(Bills!#REF!,"AAAAAE9vzvw=")</f>
        <v>#REF!</v>
      </c>
      <c r="IT183" t="e">
        <f>AND(Bills!#REF!,"AAAAAE9vzv0=")</f>
        <v>#REF!</v>
      </c>
      <c r="IU183" t="e">
        <f>AND(Bills!#REF!,"AAAAAE9vzv4=")</f>
        <v>#REF!</v>
      </c>
      <c r="IV183" t="e">
        <f>AND(Bills!#REF!,"AAAAAE9vzv8=")</f>
        <v>#REF!</v>
      </c>
    </row>
    <row r="184" spans="1:256" x14ac:dyDescent="0.25">
      <c r="A184" t="e">
        <f>AND(Bills!#REF!,"AAAAAH3vDwA=")</f>
        <v>#REF!</v>
      </c>
      <c r="B184" t="e">
        <f>AND(Bills!AA760,"AAAAAH3vDwE=")</f>
        <v>#VALUE!</v>
      </c>
      <c r="C184" t="e">
        <f>AND(Bills!AB760,"AAAAAH3vDwI=")</f>
        <v>#VALUE!</v>
      </c>
      <c r="D184" t="e">
        <f>AND(Bills!#REF!,"AAAAAH3vDwM=")</f>
        <v>#REF!</v>
      </c>
      <c r="E184" t="e">
        <f>AND(Bills!#REF!,"AAAAAH3vDwQ=")</f>
        <v>#REF!</v>
      </c>
      <c r="F184" t="e">
        <f>AND(Bills!#REF!,"AAAAAH3vDwU=")</f>
        <v>#REF!</v>
      </c>
      <c r="G184" t="e">
        <f>AND(Bills!AC760,"AAAAAH3vDwY=")</f>
        <v>#VALUE!</v>
      </c>
      <c r="H184" t="e">
        <f>AND(Bills!AD760,"AAAAAH3vDwc=")</f>
        <v>#VALUE!</v>
      </c>
      <c r="I184" t="e">
        <f>AND(Bills!AE760,"AAAAAH3vDwg=")</f>
        <v>#VALUE!</v>
      </c>
      <c r="J184">
        <f>IF(Bills!761:761,"AAAAAH3vDwk=",0)</f>
        <v>0</v>
      </c>
      <c r="K184" t="e">
        <f>AND(Bills!B761,"AAAAAH3vDwo=")</f>
        <v>#VALUE!</v>
      </c>
      <c r="L184" t="e">
        <f>AND(Bills!#REF!,"AAAAAH3vDws=")</f>
        <v>#REF!</v>
      </c>
      <c r="M184" t="e">
        <f>AND(Bills!C761,"AAAAAH3vDww=")</f>
        <v>#VALUE!</v>
      </c>
      <c r="N184" t="e">
        <f>AND(Bills!D761,"AAAAAH3vDw0=")</f>
        <v>#VALUE!</v>
      </c>
      <c r="O184" t="e">
        <f>AND(Bills!E761,"AAAAAH3vDw4=")</f>
        <v>#VALUE!</v>
      </c>
      <c r="P184" t="e">
        <f>AND(Bills!#REF!,"AAAAAH3vDw8=")</f>
        <v>#REF!</v>
      </c>
      <c r="Q184" t="e">
        <f>AND(Bills!#REF!,"AAAAAH3vDxA=")</f>
        <v>#REF!</v>
      </c>
      <c r="R184" t="e">
        <f>AND(Bills!#REF!,"AAAAAH3vDxE=")</f>
        <v>#REF!</v>
      </c>
      <c r="S184" t="e">
        <f>AND(Bills!F761,"AAAAAH3vDxI=")</f>
        <v>#VALUE!</v>
      </c>
      <c r="T184" t="e">
        <f>AND(Bills!#REF!,"AAAAAH3vDxM=")</f>
        <v>#REF!</v>
      </c>
      <c r="U184" t="e">
        <f>AND(Bills!G761,"AAAAAH3vDxQ=")</f>
        <v>#VALUE!</v>
      </c>
      <c r="V184" t="e">
        <f>AND(Bills!H761,"AAAAAH3vDxU=")</f>
        <v>#VALUE!</v>
      </c>
      <c r="W184" t="e">
        <f>AND(Bills!I761,"AAAAAH3vDxY=")</f>
        <v>#VALUE!</v>
      </c>
      <c r="X184" t="e">
        <f>AND(Bills!J761,"AAAAAH3vDxc=")</f>
        <v>#VALUE!</v>
      </c>
      <c r="Y184" t="e">
        <f>AND(Bills!K761,"AAAAAH3vDxg=")</f>
        <v>#VALUE!</v>
      </c>
      <c r="Z184" t="e">
        <f>AND(Bills!L761,"AAAAAH3vDxk=")</f>
        <v>#VALUE!</v>
      </c>
      <c r="AA184" t="e">
        <f>AND(Bills!#REF!,"AAAAAH3vDxo=")</f>
        <v>#REF!</v>
      </c>
      <c r="AB184" t="e">
        <f>AND(Bills!M761,"AAAAAH3vDxs=")</f>
        <v>#VALUE!</v>
      </c>
      <c r="AC184" t="e">
        <f>AND(Bills!N761,"AAAAAH3vDxw=")</f>
        <v>#VALUE!</v>
      </c>
      <c r="AD184" t="e">
        <f>AND(Bills!O761,"AAAAAH3vDx0=")</f>
        <v>#VALUE!</v>
      </c>
      <c r="AE184" t="e">
        <f>AND(Bills!P761,"AAAAAH3vDx4=")</f>
        <v>#VALUE!</v>
      </c>
      <c r="AF184" t="e">
        <f>AND(Bills!Q761,"AAAAAH3vDx8=")</f>
        <v>#VALUE!</v>
      </c>
      <c r="AG184" t="e">
        <f>AND(Bills!R761,"AAAAAH3vDyA=")</f>
        <v>#VALUE!</v>
      </c>
      <c r="AH184" t="e">
        <f>AND(Bills!S761,"AAAAAH3vDyE=")</f>
        <v>#VALUE!</v>
      </c>
      <c r="AI184" t="e">
        <f>AND(Bills!T761,"AAAAAH3vDyI=")</f>
        <v>#VALUE!</v>
      </c>
      <c r="AJ184" t="e">
        <f>AND(Bills!#REF!,"AAAAAH3vDyM=")</f>
        <v>#REF!</v>
      </c>
      <c r="AK184" t="e">
        <f>AND(Bills!U761,"AAAAAH3vDyQ=")</f>
        <v>#VALUE!</v>
      </c>
      <c r="AL184" t="e">
        <f>AND(Bills!V761,"AAAAAH3vDyU=")</f>
        <v>#VALUE!</v>
      </c>
      <c r="AM184" t="e">
        <f>AND(Bills!W761,"AAAAAH3vDyY=")</f>
        <v>#VALUE!</v>
      </c>
      <c r="AN184" t="e">
        <f>AND(Bills!#REF!,"AAAAAH3vDyc=")</f>
        <v>#REF!</v>
      </c>
      <c r="AO184" t="e">
        <f>AND(Bills!#REF!,"AAAAAH3vDyg=")</f>
        <v>#REF!</v>
      </c>
      <c r="AP184" t="e">
        <f>AND(Bills!Y761,"AAAAAH3vDyk=")</f>
        <v>#VALUE!</v>
      </c>
      <c r="AQ184" t="e">
        <f>AND(Bills!Z761,"AAAAAH3vDyo=")</f>
        <v>#VALUE!</v>
      </c>
      <c r="AR184" t="e">
        <f>AND(Bills!#REF!,"AAAAAH3vDys=")</f>
        <v>#REF!</v>
      </c>
      <c r="AS184" t="e">
        <f>AND(Bills!#REF!,"AAAAAH3vDyw=")</f>
        <v>#REF!</v>
      </c>
      <c r="AT184" t="e">
        <f>AND(Bills!#REF!,"AAAAAH3vDy0=")</f>
        <v>#REF!</v>
      </c>
      <c r="AU184" t="e">
        <f>AND(Bills!#REF!,"AAAAAH3vDy4=")</f>
        <v>#REF!</v>
      </c>
      <c r="AV184" t="e">
        <f>AND(Bills!#REF!,"AAAAAH3vDy8=")</f>
        <v>#REF!</v>
      </c>
      <c r="AW184" t="e">
        <f>AND(Bills!#REF!,"AAAAAH3vDzA=")</f>
        <v>#REF!</v>
      </c>
      <c r="AX184" t="e">
        <f>AND(Bills!#REF!,"AAAAAH3vDzE=")</f>
        <v>#REF!</v>
      </c>
      <c r="AY184" t="e">
        <f>AND(Bills!#REF!,"AAAAAH3vDzI=")</f>
        <v>#REF!</v>
      </c>
      <c r="AZ184" t="e">
        <f>AND(Bills!#REF!,"AAAAAH3vDzM=")</f>
        <v>#REF!</v>
      </c>
      <c r="BA184" t="e">
        <f>AND(Bills!AA761,"AAAAAH3vDzQ=")</f>
        <v>#VALUE!</v>
      </c>
      <c r="BB184" t="e">
        <f>AND(Bills!AB761,"AAAAAH3vDzU=")</f>
        <v>#VALUE!</v>
      </c>
      <c r="BC184" t="e">
        <f>AND(Bills!#REF!,"AAAAAH3vDzY=")</f>
        <v>#REF!</v>
      </c>
      <c r="BD184" t="e">
        <f>AND(Bills!#REF!,"AAAAAH3vDzc=")</f>
        <v>#REF!</v>
      </c>
      <c r="BE184" t="e">
        <f>AND(Bills!#REF!,"AAAAAH3vDzg=")</f>
        <v>#REF!</v>
      </c>
      <c r="BF184" t="e">
        <f>AND(Bills!AC761,"AAAAAH3vDzk=")</f>
        <v>#VALUE!</v>
      </c>
      <c r="BG184" t="e">
        <f>AND(Bills!AD761,"AAAAAH3vDzo=")</f>
        <v>#VALUE!</v>
      </c>
      <c r="BH184" t="e">
        <f>AND(Bills!AE761,"AAAAAH3vDzs=")</f>
        <v>#VALUE!</v>
      </c>
      <c r="BI184">
        <f>IF(Bills!762:762,"AAAAAH3vDzw=",0)</f>
        <v>0</v>
      </c>
      <c r="BJ184" t="e">
        <f>AND(Bills!B762,"AAAAAH3vDz0=")</f>
        <v>#VALUE!</v>
      </c>
      <c r="BK184" t="e">
        <f>AND(Bills!#REF!,"AAAAAH3vDz4=")</f>
        <v>#REF!</v>
      </c>
      <c r="BL184" t="e">
        <f>AND(Bills!C762,"AAAAAH3vDz8=")</f>
        <v>#VALUE!</v>
      </c>
      <c r="BM184" t="e">
        <f>AND(Bills!D762,"AAAAAH3vD0A=")</f>
        <v>#VALUE!</v>
      </c>
      <c r="BN184" t="e">
        <f>AND(Bills!E762,"AAAAAH3vD0E=")</f>
        <v>#VALUE!</v>
      </c>
      <c r="BO184" t="e">
        <f>AND(Bills!#REF!,"AAAAAH3vD0I=")</f>
        <v>#REF!</v>
      </c>
      <c r="BP184" t="e">
        <f>AND(Bills!#REF!,"AAAAAH3vD0M=")</f>
        <v>#REF!</v>
      </c>
      <c r="BQ184" t="e">
        <f>AND(Bills!#REF!,"AAAAAH3vD0Q=")</f>
        <v>#REF!</v>
      </c>
      <c r="BR184" t="e">
        <f>AND(Bills!F762,"AAAAAH3vD0U=")</f>
        <v>#VALUE!</v>
      </c>
      <c r="BS184" t="e">
        <f>AND(Bills!#REF!,"AAAAAH3vD0Y=")</f>
        <v>#REF!</v>
      </c>
      <c r="BT184" t="e">
        <f>AND(Bills!G762,"AAAAAH3vD0c=")</f>
        <v>#VALUE!</v>
      </c>
      <c r="BU184" t="e">
        <f>AND(Bills!H762,"AAAAAH3vD0g=")</f>
        <v>#VALUE!</v>
      </c>
      <c r="BV184" t="e">
        <f>AND(Bills!I762,"AAAAAH3vD0k=")</f>
        <v>#VALUE!</v>
      </c>
      <c r="BW184" t="e">
        <f>AND(Bills!J762,"AAAAAH3vD0o=")</f>
        <v>#VALUE!</v>
      </c>
      <c r="BX184" t="e">
        <f>AND(Bills!K762,"AAAAAH3vD0s=")</f>
        <v>#VALUE!</v>
      </c>
      <c r="BY184" t="e">
        <f>AND(Bills!L762,"AAAAAH3vD0w=")</f>
        <v>#VALUE!</v>
      </c>
      <c r="BZ184" t="e">
        <f>AND(Bills!#REF!,"AAAAAH3vD00=")</f>
        <v>#REF!</v>
      </c>
      <c r="CA184" t="e">
        <f>AND(Bills!M762,"AAAAAH3vD04=")</f>
        <v>#VALUE!</v>
      </c>
      <c r="CB184" t="e">
        <f>AND(Bills!N762,"AAAAAH3vD08=")</f>
        <v>#VALUE!</v>
      </c>
      <c r="CC184" t="e">
        <f>AND(Bills!O762,"AAAAAH3vD1A=")</f>
        <v>#VALUE!</v>
      </c>
      <c r="CD184" t="e">
        <f>AND(Bills!P762,"AAAAAH3vD1E=")</f>
        <v>#VALUE!</v>
      </c>
      <c r="CE184" t="e">
        <f>AND(Bills!Q762,"AAAAAH3vD1I=")</f>
        <v>#VALUE!</v>
      </c>
      <c r="CF184" t="e">
        <f>AND(Bills!R762,"AAAAAH3vD1M=")</f>
        <v>#VALUE!</v>
      </c>
      <c r="CG184" t="e">
        <f>AND(Bills!S762,"AAAAAH3vD1Q=")</f>
        <v>#VALUE!</v>
      </c>
      <c r="CH184" t="e">
        <f>AND(Bills!T762,"AAAAAH3vD1U=")</f>
        <v>#VALUE!</v>
      </c>
      <c r="CI184" t="e">
        <f>AND(Bills!#REF!,"AAAAAH3vD1Y=")</f>
        <v>#REF!</v>
      </c>
      <c r="CJ184" t="e">
        <f>AND(Bills!U762,"AAAAAH3vD1c=")</f>
        <v>#VALUE!</v>
      </c>
      <c r="CK184" t="e">
        <f>AND(Bills!V762,"AAAAAH3vD1g=")</f>
        <v>#VALUE!</v>
      </c>
      <c r="CL184" t="e">
        <f>AND(Bills!W762,"AAAAAH3vD1k=")</f>
        <v>#VALUE!</v>
      </c>
      <c r="CM184" t="e">
        <f>AND(Bills!#REF!,"AAAAAH3vD1o=")</f>
        <v>#REF!</v>
      </c>
      <c r="CN184" t="e">
        <f>AND(Bills!#REF!,"AAAAAH3vD1s=")</f>
        <v>#REF!</v>
      </c>
      <c r="CO184" t="e">
        <f>AND(Bills!Y762,"AAAAAH3vD1w=")</f>
        <v>#VALUE!</v>
      </c>
      <c r="CP184" t="e">
        <f>AND(Bills!Z762,"AAAAAH3vD10=")</f>
        <v>#VALUE!</v>
      </c>
      <c r="CQ184" t="e">
        <f>AND(Bills!#REF!,"AAAAAH3vD14=")</f>
        <v>#REF!</v>
      </c>
      <c r="CR184" t="e">
        <f>AND(Bills!#REF!,"AAAAAH3vD18=")</f>
        <v>#REF!</v>
      </c>
      <c r="CS184" t="e">
        <f>AND(Bills!#REF!,"AAAAAH3vD2A=")</f>
        <v>#REF!</v>
      </c>
      <c r="CT184" t="e">
        <f>AND(Bills!#REF!,"AAAAAH3vD2E=")</f>
        <v>#REF!</v>
      </c>
      <c r="CU184" t="e">
        <f>AND(Bills!#REF!,"AAAAAH3vD2I=")</f>
        <v>#REF!</v>
      </c>
      <c r="CV184" t="e">
        <f>AND(Bills!#REF!,"AAAAAH3vD2M=")</f>
        <v>#REF!</v>
      </c>
      <c r="CW184" t="e">
        <f>AND(Bills!#REF!,"AAAAAH3vD2Q=")</f>
        <v>#REF!</v>
      </c>
      <c r="CX184" t="e">
        <f>AND(Bills!#REF!,"AAAAAH3vD2U=")</f>
        <v>#REF!</v>
      </c>
      <c r="CY184" t="e">
        <f>AND(Bills!#REF!,"AAAAAH3vD2Y=")</f>
        <v>#REF!</v>
      </c>
      <c r="CZ184" t="e">
        <f>AND(Bills!AA762,"AAAAAH3vD2c=")</f>
        <v>#VALUE!</v>
      </c>
      <c r="DA184" t="e">
        <f>AND(Bills!AB762,"AAAAAH3vD2g=")</f>
        <v>#VALUE!</v>
      </c>
      <c r="DB184" t="e">
        <f>AND(Bills!#REF!,"AAAAAH3vD2k=")</f>
        <v>#REF!</v>
      </c>
      <c r="DC184" t="e">
        <f>AND(Bills!#REF!,"AAAAAH3vD2o=")</f>
        <v>#REF!</v>
      </c>
      <c r="DD184" t="e">
        <f>AND(Bills!#REF!,"AAAAAH3vD2s=")</f>
        <v>#REF!</v>
      </c>
      <c r="DE184" t="e">
        <f>AND(Bills!AC762,"AAAAAH3vD2w=")</f>
        <v>#VALUE!</v>
      </c>
      <c r="DF184" t="e">
        <f>AND(Bills!AD762,"AAAAAH3vD20=")</f>
        <v>#VALUE!</v>
      </c>
      <c r="DG184" t="e">
        <f>AND(Bills!AE762,"AAAAAH3vD24=")</f>
        <v>#VALUE!</v>
      </c>
      <c r="DH184">
        <f>IF(Bills!763:763,"AAAAAH3vD28=",0)</f>
        <v>0</v>
      </c>
      <c r="DI184" t="e">
        <f>AND(Bills!B763,"AAAAAH3vD3A=")</f>
        <v>#VALUE!</v>
      </c>
      <c r="DJ184" t="e">
        <f>AND(Bills!#REF!,"AAAAAH3vD3E=")</f>
        <v>#REF!</v>
      </c>
      <c r="DK184" t="e">
        <f>AND(Bills!C763,"AAAAAH3vD3I=")</f>
        <v>#VALUE!</v>
      </c>
      <c r="DL184" t="e">
        <f>AND(Bills!D763,"AAAAAH3vD3M=")</f>
        <v>#VALUE!</v>
      </c>
      <c r="DM184" t="e">
        <f>AND(Bills!E763,"AAAAAH3vD3Q=")</f>
        <v>#VALUE!</v>
      </c>
      <c r="DN184" t="e">
        <f>AND(Bills!#REF!,"AAAAAH3vD3U=")</f>
        <v>#REF!</v>
      </c>
      <c r="DO184" t="e">
        <f>AND(Bills!#REF!,"AAAAAH3vD3Y=")</f>
        <v>#REF!</v>
      </c>
      <c r="DP184" t="e">
        <f>AND(Bills!#REF!,"AAAAAH3vD3c=")</f>
        <v>#REF!</v>
      </c>
      <c r="DQ184" t="e">
        <f>AND(Bills!F763,"AAAAAH3vD3g=")</f>
        <v>#VALUE!</v>
      </c>
      <c r="DR184" t="e">
        <f>AND(Bills!#REF!,"AAAAAH3vD3k=")</f>
        <v>#REF!</v>
      </c>
      <c r="DS184" t="e">
        <f>AND(Bills!G763,"AAAAAH3vD3o=")</f>
        <v>#VALUE!</v>
      </c>
      <c r="DT184" t="e">
        <f>AND(Bills!H763,"AAAAAH3vD3s=")</f>
        <v>#VALUE!</v>
      </c>
      <c r="DU184" t="e">
        <f>AND(Bills!I763,"AAAAAH3vD3w=")</f>
        <v>#VALUE!</v>
      </c>
      <c r="DV184" t="e">
        <f>AND(Bills!J763,"AAAAAH3vD30=")</f>
        <v>#VALUE!</v>
      </c>
      <c r="DW184" t="e">
        <f>AND(Bills!K763,"AAAAAH3vD34=")</f>
        <v>#VALUE!</v>
      </c>
      <c r="DX184" t="e">
        <f>AND(Bills!L763,"AAAAAH3vD38=")</f>
        <v>#VALUE!</v>
      </c>
      <c r="DY184" t="e">
        <f>AND(Bills!#REF!,"AAAAAH3vD4A=")</f>
        <v>#REF!</v>
      </c>
      <c r="DZ184" t="e">
        <f>AND(Bills!M763,"AAAAAH3vD4E=")</f>
        <v>#VALUE!</v>
      </c>
      <c r="EA184" t="e">
        <f>AND(Bills!N763,"AAAAAH3vD4I=")</f>
        <v>#VALUE!</v>
      </c>
      <c r="EB184" t="e">
        <f>AND(Bills!O763,"AAAAAH3vD4M=")</f>
        <v>#VALUE!</v>
      </c>
      <c r="EC184" t="e">
        <f>AND(Bills!P763,"AAAAAH3vD4Q=")</f>
        <v>#VALUE!</v>
      </c>
      <c r="ED184" t="e">
        <f>AND(Bills!Q763,"AAAAAH3vD4U=")</f>
        <v>#VALUE!</v>
      </c>
      <c r="EE184" t="e">
        <f>AND(Bills!R763,"AAAAAH3vD4Y=")</f>
        <v>#VALUE!</v>
      </c>
      <c r="EF184" t="e">
        <f>AND(Bills!S763,"AAAAAH3vD4c=")</f>
        <v>#VALUE!</v>
      </c>
      <c r="EG184" t="e">
        <f>AND(Bills!T763,"AAAAAH3vD4g=")</f>
        <v>#VALUE!</v>
      </c>
      <c r="EH184" t="e">
        <f>AND(Bills!#REF!,"AAAAAH3vD4k=")</f>
        <v>#REF!</v>
      </c>
      <c r="EI184" t="e">
        <f>AND(Bills!U763,"AAAAAH3vD4o=")</f>
        <v>#VALUE!</v>
      </c>
      <c r="EJ184" t="e">
        <f>AND(Bills!V763,"AAAAAH3vD4s=")</f>
        <v>#VALUE!</v>
      </c>
      <c r="EK184" t="e">
        <f>AND(Bills!W763,"AAAAAH3vD4w=")</f>
        <v>#VALUE!</v>
      </c>
      <c r="EL184" t="e">
        <f>AND(Bills!#REF!,"AAAAAH3vD40=")</f>
        <v>#REF!</v>
      </c>
      <c r="EM184" t="e">
        <f>AND(Bills!#REF!,"AAAAAH3vD44=")</f>
        <v>#REF!</v>
      </c>
      <c r="EN184" t="e">
        <f>AND(Bills!Y763,"AAAAAH3vD48=")</f>
        <v>#VALUE!</v>
      </c>
      <c r="EO184" t="e">
        <f>AND(Bills!Z763,"AAAAAH3vD5A=")</f>
        <v>#VALUE!</v>
      </c>
      <c r="EP184" t="e">
        <f>AND(Bills!#REF!,"AAAAAH3vD5E=")</f>
        <v>#REF!</v>
      </c>
      <c r="EQ184" t="e">
        <f>AND(Bills!#REF!,"AAAAAH3vD5I=")</f>
        <v>#REF!</v>
      </c>
      <c r="ER184" t="e">
        <f>AND(Bills!#REF!,"AAAAAH3vD5M=")</f>
        <v>#REF!</v>
      </c>
      <c r="ES184" t="e">
        <f>AND(Bills!#REF!,"AAAAAH3vD5Q=")</f>
        <v>#REF!</v>
      </c>
      <c r="ET184" t="e">
        <f>AND(Bills!#REF!,"AAAAAH3vD5U=")</f>
        <v>#REF!</v>
      </c>
      <c r="EU184" t="e">
        <f>AND(Bills!#REF!,"AAAAAH3vD5Y=")</f>
        <v>#REF!</v>
      </c>
      <c r="EV184" t="e">
        <f>AND(Bills!#REF!,"AAAAAH3vD5c=")</f>
        <v>#REF!</v>
      </c>
      <c r="EW184" t="e">
        <f>AND(Bills!#REF!,"AAAAAH3vD5g=")</f>
        <v>#REF!</v>
      </c>
      <c r="EX184" t="e">
        <f>AND(Bills!#REF!,"AAAAAH3vD5k=")</f>
        <v>#REF!</v>
      </c>
      <c r="EY184" t="e">
        <f>AND(Bills!AA763,"AAAAAH3vD5o=")</f>
        <v>#VALUE!</v>
      </c>
      <c r="EZ184" t="e">
        <f>AND(Bills!AB763,"AAAAAH3vD5s=")</f>
        <v>#VALUE!</v>
      </c>
      <c r="FA184" t="e">
        <f>AND(Bills!#REF!,"AAAAAH3vD5w=")</f>
        <v>#REF!</v>
      </c>
      <c r="FB184" t="e">
        <f>AND(Bills!#REF!,"AAAAAH3vD50=")</f>
        <v>#REF!</v>
      </c>
      <c r="FC184" t="e">
        <f>AND(Bills!#REF!,"AAAAAH3vD54=")</f>
        <v>#REF!</v>
      </c>
      <c r="FD184" t="e">
        <f>AND(Bills!AC763,"AAAAAH3vD58=")</f>
        <v>#VALUE!</v>
      </c>
      <c r="FE184" t="e">
        <f>AND(Bills!AD763,"AAAAAH3vD6A=")</f>
        <v>#VALUE!</v>
      </c>
      <c r="FF184" t="e">
        <f>AND(Bills!AE763,"AAAAAH3vD6E=")</f>
        <v>#VALUE!</v>
      </c>
      <c r="FG184">
        <f>IF(Bills!764:764,"AAAAAH3vD6I=",0)</f>
        <v>0</v>
      </c>
      <c r="FH184" t="e">
        <f>AND(Bills!B764,"AAAAAH3vD6M=")</f>
        <v>#VALUE!</v>
      </c>
      <c r="FI184" t="e">
        <f>AND(Bills!#REF!,"AAAAAH3vD6Q=")</f>
        <v>#REF!</v>
      </c>
      <c r="FJ184" t="e">
        <f>AND(Bills!C764,"AAAAAH3vD6U=")</f>
        <v>#VALUE!</v>
      </c>
      <c r="FK184" t="e">
        <f>AND(Bills!D764,"AAAAAH3vD6Y=")</f>
        <v>#VALUE!</v>
      </c>
      <c r="FL184" t="e">
        <f>AND(Bills!E764,"AAAAAH3vD6c=")</f>
        <v>#VALUE!</v>
      </c>
      <c r="FM184" t="e">
        <f>AND(Bills!#REF!,"AAAAAH3vD6g=")</f>
        <v>#REF!</v>
      </c>
      <c r="FN184" t="e">
        <f>AND(Bills!#REF!,"AAAAAH3vD6k=")</f>
        <v>#REF!</v>
      </c>
      <c r="FO184" t="e">
        <f>AND(Bills!#REF!,"AAAAAH3vD6o=")</f>
        <v>#REF!</v>
      </c>
      <c r="FP184" t="e">
        <f>AND(Bills!F764,"AAAAAH3vD6s=")</f>
        <v>#VALUE!</v>
      </c>
      <c r="FQ184" t="e">
        <f>AND(Bills!#REF!,"AAAAAH3vD6w=")</f>
        <v>#REF!</v>
      </c>
      <c r="FR184" t="e">
        <f>AND(Bills!G764,"AAAAAH3vD60=")</f>
        <v>#VALUE!</v>
      </c>
      <c r="FS184" t="e">
        <f>AND(Bills!H764,"AAAAAH3vD64=")</f>
        <v>#VALUE!</v>
      </c>
      <c r="FT184" t="e">
        <f>AND(Bills!I764,"AAAAAH3vD68=")</f>
        <v>#VALUE!</v>
      </c>
      <c r="FU184" t="e">
        <f>AND(Bills!J764,"AAAAAH3vD7A=")</f>
        <v>#VALUE!</v>
      </c>
      <c r="FV184" t="e">
        <f>AND(Bills!K764,"AAAAAH3vD7E=")</f>
        <v>#VALUE!</v>
      </c>
      <c r="FW184" t="e">
        <f>AND(Bills!L764,"AAAAAH3vD7I=")</f>
        <v>#VALUE!</v>
      </c>
      <c r="FX184" t="e">
        <f>AND(Bills!#REF!,"AAAAAH3vD7M=")</f>
        <v>#REF!</v>
      </c>
      <c r="FY184" t="e">
        <f>AND(Bills!M764,"AAAAAH3vD7Q=")</f>
        <v>#VALUE!</v>
      </c>
      <c r="FZ184" t="e">
        <f>AND(Bills!N764,"AAAAAH3vD7U=")</f>
        <v>#VALUE!</v>
      </c>
      <c r="GA184" t="e">
        <f>AND(Bills!O764,"AAAAAH3vD7Y=")</f>
        <v>#VALUE!</v>
      </c>
      <c r="GB184" t="e">
        <f>AND(Bills!P764,"AAAAAH3vD7c=")</f>
        <v>#VALUE!</v>
      </c>
      <c r="GC184" t="e">
        <f>AND(Bills!Q764,"AAAAAH3vD7g=")</f>
        <v>#VALUE!</v>
      </c>
      <c r="GD184" t="e">
        <f>AND(Bills!R764,"AAAAAH3vD7k=")</f>
        <v>#VALUE!</v>
      </c>
      <c r="GE184" t="e">
        <f>AND(Bills!S764,"AAAAAH3vD7o=")</f>
        <v>#VALUE!</v>
      </c>
      <c r="GF184" t="e">
        <f>AND(Bills!T764,"AAAAAH3vD7s=")</f>
        <v>#VALUE!</v>
      </c>
      <c r="GG184" t="e">
        <f>AND(Bills!#REF!,"AAAAAH3vD7w=")</f>
        <v>#REF!</v>
      </c>
      <c r="GH184" t="e">
        <f>AND(Bills!U764,"AAAAAH3vD70=")</f>
        <v>#VALUE!</v>
      </c>
      <c r="GI184" t="e">
        <f>AND(Bills!V764,"AAAAAH3vD74=")</f>
        <v>#VALUE!</v>
      </c>
      <c r="GJ184" t="e">
        <f>AND(Bills!W764,"AAAAAH3vD78=")</f>
        <v>#VALUE!</v>
      </c>
      <c r="GK184" t="e">
        <f>AND(Bills!#REF!,"AAAAAH3vD8A=")</f>
        <v>#REF!</v>
      </c>
      <c r="GL184" t="e">
        <f>AND(Bills!#REF!,"AAAAAH3vD8E=")</f>
        <v>#REF!</v>
      </c>
      <c r="GM184" t="e">
        <f>AND(Bills!Y764,"AAAAAH3vD8I=")</f>
        <v>#VALUE!</v>
      </c>
      <c r="GN184" t="e">
        <f>AND(Bills!Z764,"AAAAAH3vD8M=")</f>
        <v>#VALUE!</v>
      </c>
      <c r="GO184" t="e">
        <f>AND(Bills!#REF!,"AAAAAH3vD8Q=")</f>
        <v>#REF!</v>
      </c>
      <c r="GP184" t="e">
        <f>AND(Bills!#REF!,"AAAAAH3vD8U=")</f>
        <v>#REF!</v>
      </c>
      <c r="GQ184" t="e">
        <f>AND(Bills!#REF!,"AAAAAH3vD8Y=")</f>
        <v>#REF!</v>
      </c>
      <c r="GR184" t="e">
        <f>AND(Bills!#REF!,"AAAAAH3vD8c=")</f>
        <v>#REF!</v>
      </c>
      <c r="GS184" t="e">
        <f>AND(Bills!#REF!,"AAAAAH3vD8g=")</f>
        <v>#REF!</v>
      </c>
      <c r="GT184" t="e">
        <f>AND(Bills!#REF!,"AAAAAH3vD8k=")</f>
        <v>#REF!</v>
      </c>
      <c r="GU184" t="e">
        <f>AND(Bills!#REF!,"AAAAAH3vD8o=")</f>
        <v>#REF!</v>
      </c>
      <c r="GV184" t="e">
        <f>AND(Bills!#REF!,"AAAAAH3vD8s=")</f>
        <v>#REF!</v>
      </c>
      <c r="GW184" t="e">
        <f>AND(Bills!#REF!,"AAAAAH3vD8w=")</f>
        <v>#REF!</v>
      </c>
      <c r="GX184" t="e">
        <f>AND(Bills!AA764,"AAAAAH3vD80=")</f>
        <v>#VALUE!</v>
      </c>
      <c r="GY184" t="e">
        <f>AND(Bills!AB764,"AAAAAH3vD84=")</f>
        <v>#VALUE!</v>
      </c>
      <c r="GZ184" t="e">
        <f>AND(Bills!#REF!,"AAAAAH3vD88=")</f>
        <v>#REF!</v>
      </c>
      <c r="HA184" t="e">
        <f>AND(Bills!#REF!,"AAAAAH3vD9A=")</f>
        <v>#REF!</v>
      </c>
      <c r="HB184" t="e">
        <f>AND(Bills!#REF!,"AAAAAH3vD9E=")</f>
        <v>#REF!</v>
      </c>
      <c r="HC184" t="e">
        <f>AND(Bills!AC764,"AAAAAH3vD9I=")</f>
        <v>#VALUE!</v>
      </c>
      <c r="HD184" t="e">
        <f>AND(Bills!AD764,"AAAAAH3vD9M=")</f>
        <v>#VALUE!</v>
      </c>
      <c r="HE184" t="e">
        <f>AND(Bills!AE764,"AAAAAH3vD9Q=")</f>
        <v>#VALUE!</v>
      </c>
      <c r="HF184">
        <f>IF(Bills!765:765,"AAAAAH3vD9U=",0)</f>
        <v>0</v>
      </c>
      <c r="HG184" t="e">
        <f>AND(Bills!B765,"AAAAAH3vD9Y=")</f>
        <v>#VALUE!</v>
      </c>
      <c r="HH184" t="e">
        <f>AND(Bills!#REF!,"AAAAAH3vD9c=")</f>
        <v>#REF!</v>
      </c>
      <c r="HI184" t="e">
        <f>AND(Bills!C765,"AAAAAH3vD9g=")</f>
        <v>#VALUE!</v>
      </c>
      <c r="HJ184" t="e">
        <f>AND(Bills!D765,"AAAAAH3vD9k=")</f>
        <v>#VALUE!</v>
      </c>
      <c r="HK184" t="e">
        <f>AND(Bills!E765,"AAAAAH3vD9o=")</f>
        <v>#VALUE!</v>
      </c>
      <c r="HL184" t="e">
        <f>AND(Bills!#REF!,"AAAAAH3vD9s=")</f>
        <v>#REF!</v>
      </c>
      <c r="HM184" t="e">
        <f>AND(Bills!#REF!,"AAAAAH3vD9w=")</f>
        <v>#REF!</v>
      </c>
      <c r="HN184" t="e">
        <f>AND(Bills!#REF!,"AAAAAH3vD90=")</f>
        <v>#REF!</v>
      </c>
      <c r="HO184" t="e">
        <f>AND(Bills!F765,"AAAAAH3vD94=")</f>
        <v>#VALUE!</v>
      </c>
      <c r="HP184" t="e">
        <f>AND(Bills!#REF!,"AAAAAH3vD98=")</f>
        <v>#REF!</v>
      </c>
      <c r="HQ184" t="e">
        <f>AND(Bills!G765,"AAAAAH3vD+A=")</f>
        <v>#VALUE!</v>
      </c>
      <c r="HR184" t="e">
        <f>AND(Bills!H765,"AAAAAH3vD+E=")</f>
        <v>#VALUE!</v>
      </c>
      <c r="HS184" t="e">
        <f>AND(Bills!I765,"AAAAAH3vD+I=")</f>
        <v>#VALUE!</v>
      </c>
      <c r="HT184" t="e">
        <f>AND(Bills!J765,"AAAAAH3vD+M=")</f>
        <v>#VALUE!</v>
      </c>
      <c r="HU184" t="e">
        <f>AND(Bills!K765,"AAAAAH3vD+Q=")</f>
        <v>#VALUE!</v>
      </c>
      <c r="HV184" t="e">
        <f>AND(Bills!L765,"AAAAAH3vD+U=")</f>
        <v>#VALUE!</v>
      </c>
      <c r="HW184" t="e">
        <f>AND(Bills!#REF!,"AAAAAH3vD+Y=")</f>
        <v>#REF!</v>
      </c>
      <c r="HX184" t="e">
        <f>AND(Bills!M765,"AAAAAH3vD+c=")</f>
        <v>#VALUE!</v>
      </c>
      <c r="HY184" t="e">
        <f>AND(Bills!N765,"AAAAAH3vD+g=")</f>
        <v>#VALUE!</v>
      </c>
      <c r="HZ184" t="e">
        <f>AND(Bills!O765,"AAAAAH3vD+k=")</f>
        <v>#VALUE!</v>
      </c>
      <c r="IA184" t="e">
        <f>AND(Bills!P765,"AAAAAH3vD+o=")</f>
        <v>#VALUE!</v>
      </c>
      <c r="IB184" t="e">
        <f>AND(Bills!Q765,"AAAAAH3vD+s=")</f>
        <v>#VALUE!</v>
      </c>
      <c r="IC184" t="e">
        <f>AND(Bills!R765,"AAAAAH3vD+w=")</f>
        <v>#VALUE!</v>
      </c>
      <c r="ID184" t="e">
        <f>AND(Bills!S765,"AAAAAH3vD+0=")</f>
        <v>#VALUE!</v>
      </c>
      <c r="IE184" t="e">
        <f>AND(Bills!T765,"AAAAAH3vD+4=")</f>
        <v>#VALUE!</v>
      </c>
      <c r="IF184" t="e">
        <f>AND(Bills!#REF!,"AAAAAH3vD+8=")</f>
        <v>#REF!</v>
      </c>
      <c r="IG184" t="e">
        <f>AND(Bills!U765,"AAAAAH3vD/A=")</f>
        <v>#VALUE!</v>
      </c>
      <c r="IH184" t="e">
        <f>AND(Bills!V765,"AAAAAH3vD/E=")</f>
        <v>#VALUE!</v>
      </c>
      <c r="II184" t="e">
        <f>AND(Bills!W765,"AAAAAH3vD/I=")</f>
        <v>#VALUE!</v>
      </c>
      <c r="IJ184" t="e">
        <f>AND(Bills!#REF!,"AAAAAH3vD/M=")</f>
        <v>#REF!</v>
      </c>
      <c r="IK184" t="e">
        <f>AND(Bills!#REF!,"AAAAAH3vD/Q=")</f>
        <v>#REF!</v>
      </c>
      <c r="IL184" t="e">
        <f>AND(Bills!Y765,"AAAAAH3vD/U=")</f>
        <v>#VALUE!</v>
      </c>
      <c r="IM184" t="e">
        <f>AND(Bills!Z765,"AAAAAH3vD/Y=")</f>
        <v>#VALUE!</v>
      </c>
      <c r="IN184" t="e">
        <f>AND(Bills!#REF!,"AAAAAH3vD/c=")</f>
        <v>#REF!</v>
      </c>
      <c r="IO184" t="e">
        <f>AND(Bills!#REF!,"AAAAAH3vD/g=")</f>
        <v>#REF!</v>
      </c>
      <c r="IP184" t="e">
        <f>AND(Bills!#REF!,"AAAAAH3vD/k=")</f>
        <v>#REF!</v>
      </c>
      <c r="IQ184" t="e">
        <f>AND(Bills!#REF!,"AAAAAH3vD/o=")</f>
        <v>#REF!</v>
      </c>
      <c r="IR184" t="e">
        <f>AND(Bills!#REF!,"AAAAAH3vD/s=")</f>
        <v>#REF!</v>
      </c>
      <c r="IS184" t="e">
        <f>AND(Bills!#REF!,"AAAAAH3vD/w=")</f>
        <v>#REF!</v>
      </c>
      <c r="IT184" t="e">
        <f>AND(Bills!#REF!,"AAAAAH3vD/0=")</f>
        <v>#REF!</v>
      </c>
      <c r="IU184" t="e">
        <f>AND(Bills!#REF!,"AAAAAH3vD/4=")</f>
        <v>#REF!</v>
      </c>
      <c r="IV184" t="e">
        <f>AND(Bills!#REF!,"AAAAAH3vD/8=")</f>
        <v>#REF!</v>
      </c>
    </row>
    <row r="185" spans="1:256" x14ac:dyDescent="0.25">
      <c r="A185" t="e">
        <f>AND(Bills!AA765,"AAAAAFm+PwA=")</f>
        <v>#VALUE!</v>
      </c>
      <c r="B185" t="e">
        <f>AND(Bills!AB765,"AAAAAFm+PwE=")</f>
        <v>#VALUE!</v>
      </c>
      <c r="C185" t="e">
        <f>AND(Bills!#REF!,"AAAAAFm+PwI=")</f>
        <v>#REF!</v>
      </c>
      <c r="D185" t="e">
        <f>AND(Bills!#REF!,"AAAAAFm+PwM=")</f>
        <v>#REF!</v>
      </c>
      <c r="E185" t="e">
        <f>AND(Bills!#REF!,"AAAAAFm+PwQ=")</f>
        <v>#REF!</v>
      </c>
      <c r="F185" t="e">
        <f>AND(Bills!AC765,"AAAAAFm+PwU=")</f>
        <v>#VALUE!</v>
      </c>
      <c r="G185" t="e">
        <f>AND(Bills!AD765,"AAAAAFm+PwY=")</f>
        <v>#VALUE!</v>
      </c>
      <c r="H185" t="e">
        <f>AND(Bills!AE765,"AAAAAFm+Pwc=")</f>
        <v>#VALUE!</v>
      </c>
      <c r="I185">
        <f>IF(Bills!766:766,"AAAAAFm+Pwg=",0)</f>
        <v>0</v>
      </c>
      <c r="J185" t="e">
        <f>AND(Bills!B766,"AAAAAFm+Pwk=")</f>
        <v>#VALUE!</v>
      </c>
      <c r="K185" t="e">
        <f>AND(Bills!#REF!,"AAAAAFm+Pwo=")</f>
        <v>#REF!</v>
      </c>
      <c r="L185" t="e">
        <f>AND(Bills!C766,"AAAAAFm+Pws=")</f>
        <v>#VALUE!</v>
      </c>
      <c r="M185" t="e">
        <f>AND(Bills!D766,"AAAAAFm+Pww=")</f>
        <v>#VALUE!</v>
      </c>
      <c r="N185" t="e">
        <f>AND(Bills!E766,"AAAAAFm+Pw0=")</f>
        <v>#VALUE!</v>
      </c>
      <c r="O185" t="e">
        <f>AND(Bills!#REF!,"AAAAAFm+Pw4=")</f>
        <v>#REF!</v>
      </c>
      <c r="P185" t="e">
        <f>AND(Bills!#REF!,"AAAAAFm+Pw8=")</f>
        <v>#REF!</v>
      </c>
      <c r="Q185" t="e">
        <f>AND(Bills!#REF!,"AAAAAFm+PxA=")</f>
        <v>#REF!</v>
      </c>
      <c r="R185" t="e">
        <f>AND(Bills!F766,"AAAAAFm+PxE=")</f>
        <v>#VALUE!</v>
      </c>
      <c r="S185" t="e">
        <f>AND(Bills!#REF!,"AAAAAFm+PxI=")</f>
        <v>#REF!</v>
      </c>
      <c r="T185" t="e">
        <f>AND(Bills!G766,"AAAAAFm+PxM=")</f>
        <v>#VALUE!</v>
      </c>
      <c r="U185" t="e">
        <f>AND(Bills!H766,"AAAAAFm+PxQ=")</f>
        <v>#VALUE!</v>
      </c>
      <c r="V185" t="e">
        <f>AND(Bills!I766,"AAAAAFm+PxU=")</f>
        <v>#VALUE!</v>
      </c>
      <c r="W185" t="e">
        <f>AND(Bills!J766,"AAAAAFm+PxY=")</f>
        <v>#VALUE!</v>
      </c>
      <c r="X185" t="e">
        <f>AND(Bills!K766,"AAAAAFm+Pxc=")</f>
        <v>#VALUE!</v>
      </c>
      <c r="Y185" t="e">
        <f>AND(Bills!L766,"AAAAAFm+Pxg=")</f>
        <v>#VALUE!</v>
      </c>
      <c r="Z185" t="e">
        <f>AND(Bills!#REF!,"AAAAAFm+Pxk=")</f>
        <v>#REF!</v>
      </c>
      <c r="AA185" t="e">
        <f>AND(Bills!M766,"AAAAAFm+Pxo=")</f>
        <v>#VALUE!</v>
      </c>
      <c r="AB185" t="e">
        <f>AND(Bills!N766,"AAAAAFm+Pxs=")</f>
        <v>#VALUE!</v>
      </c>
      <c r="AC185" t="e">
        <f>AND(Bills!O766,"AAAAAFm+Pxw=")</f>
        <v>#VALUE!</v>
      </c>
      <c r="AD185" t="e">
        <f>AND(Bills!P766,"AAAAAFm+Px0=")</f>
        <v>#VALUE!</v>
      </c>
      <c r="AE185" t="e">
        <f>AND(Bills!Q766,"AAAAAFm+Px4=")</f>
        <v>#VALUE!</v>
      </c>
      <c r="AF185" t="e">
        <f>AND(Bills!R766,"AAAAAFm+Px8=")</f>
        <v>#VALUE!</v>
      </c>
      <c r="AG185" t="e">
        <f>AND(Bills!S766,"AAAAAFm+PyA=")</f>
        <v>#VALUE!</v>
      </c>
      <c r="AH185" t="e">
        <f>AND(Bills!T766,"AAAAAFm+PyE=")</f>
        <v>#VALUE!</v>
      </c>
      <c r="AI185" t="e">
        <f>AND(Bills!#REF!,"AAAAAFm+PyI=")</f>
        <v>#REF!</v>
      </c>
      <c r="AJ185" t="e">
        <f>AND(Bills!U766,"AAAAAFm+PyM=")</f>
        <v>#VALUE!</v>
      </c>
      <c r="AK185" t="e">
        <f>AND(Bills!V766,"AAAAAFm+PyQ=")</f>
        <v>#VALUE!</v>
      </c>
      <c r="AL185" t="e">
        <f>AND(Bills!W766,"AAAAAFm+PyU=")</f>
        <v>#VALUE!</v>
      </c>
      <c r="AM185" t="e">
        <f>AND(Bills!#REF!,"AAAAAFm+PyY=")</f>
        <v>#REF!</v>
      </c>
      <c r="AN185" t="e">
        <f>AND(Bills!#REF!,"AAAAAFm+Pyc=")</f>
        <v>#REF!</v>
      </c>
      <c r="AO185" t="e">
        <f>AND(Bills!Y766,"AAAAAFm+Pyg=")</f>
        <v>#VALUE!</v>
      </c>
      <c r="AP185" t="e">
        <f>AND(Bills!Z766,"AAAAAFm+Pyk=")</f>
        <v>#VALUE!</v>
      </c>
      <c r="AQ185" t="e">
        <f>AND(Bills!#REF!,"AAAAAFm+Pyo=")</f>
        <v>#REF!</v>
      </c>
      <c r="AR185" t="e">
        <f>AND(Bills!#REF!,"AAAAAFm+Pys=")</f>
        <v>#REF!</v>
      </c>
      <c r="AS185" t="e">
        <f>AND(Bills!#REF!,"AAAAAFm+Pyw=")</f>
        <v>#REF!</v>
      </c>
      <c r="AT185" t="e">
        <f>AND(Bills!#REF!,"AAAAAFm+Py0=")</f>
        <v>#REF!</v>
      </c>
      <c r="AU185" t="e">
        <f>AND(Bills!#REF!,"AAAAAFm+Py4=")</f>
        <v>#REF!</v>
      </c>
      <c r="AV185" t="e">
        <f>AND(Bills!#REF!,"AAAAAFm+Py8=")</f>
        <v>#REF!</v>
      </c>
      <c r="AW185" t="e">
        <f>AND(Bills!#REF!,"AAAAAFm+PzA=")</f>
        <v>#REF!</v>
      </c>
      <c r="AX185" t="e">
        <f>AND(Bills!#REF!,"AAAAAFm+PzE=")</f>
        <v>#REF!</v>
      </c>
      <c r="AY185" t="e">
        <f>AND(Bills!#REF!,"AAAAAFm+PzI=")</f>
        <v>#REF!</v>
      </c>
      <c r="AZ185" t="e">
        <f>AND(Bills!AA766,"AAAAAFm+PzM=")</f>
        <v>#VALUE!</v>
      </c>
      <c r="BA185" t="e">
        <f>AND(Bills!AB766,"AAAAAFm+PzQ=")</f>
        <v>#VALUE!</v>
      </c>
      <c r="BB185" t="e">
        <f>AND(Bills!#REF!,"AAAAAFm+PzU=")</f>
        <v>#REF!</v>
      </c>
      <c r="BC185" t="e">
        <f>AND(Bills!#REF!,"AAAAAFm+PzY=")</f>
        <v>#REF!</v>
      </c>
      <c r="BD185" t="e">
        <f>AND(Bills!#REF!,"AAAAAFm+Pzc=")</f>
        <v>#REF!</v>
      </c>
      <c r="BE185" t="e">
        <f>AND(Bills!AC766,"AAAAAFm+Pzg=")</f>
        <v>#VALUE!</v>
      </c>
      <c r="BF185" t="e">
        <f>AND(Bills!AD766,"AAAAAFm+Pzk=")</f>
        <v>#VALUE!</v>
      </c>
      <c r="BG185" t="e">
        <f>AND(Bills!AE766,"AAAAAFm+Pzo=")</f>
        <v>#VALUE!</v>
      </c>
      <c r="BH185">
        <f>IF(Bills!767:767,"AAAAAFm+Pzs=",0)</f>
        <v>0</v>
      </c>
      <c r="BI185" t="e">
        <f>AND(Bills!B767,"AAAAAFm+Pzw=")</f>
        <v>#VALUE!</v>
      </c>
      <c r="BJ185" t="e">
        <f>AND(Bills!#REF!,"AAAAAFm+Pz0=")</f>
        <v>#REF!</v>
      </c>
      <c r="BK185" t="e">
        <f>AND(Bills!C767,"AAAAAFm+Pz4=")</f>
        <v>#VALUE!</v>
      </c>
      <c r="BL185" t="e">
        <f>AND(Bills!D767,"AAAAAFm+Pz8=")</f>
        <v>#VALUE!</v>
      </c>
      <c r="BM185" t="e">
        <f>AND(Bills!E767,"AAAAAFm+P0A=")</f>
        <v>#VALUE!</v>
      </c>
      <c r="BN185" t="e">
        <f>AND(Bills!#REF!,"AAAAAFm+P0E=")</f>
        <v>#REF!</v>
      </c>
      <c r="BO185" t="e">
        <f>AND(Bills!#REF!,"AAAAAFm+P0I=")</f>
        <v>#REF!</v>
      </c>
      <c r="BP185" t="e">
        <f>AND(Bills!#REF!,"AAAAAFm+P0M=")</f>
        <v>#REF!</v>
      </c>
      <c r="BQ185" t="e">
        <f>AND(Bills!F767,"AAAAAFm+P0Q=")</f>
        <v>#VALUE!</v>
      </c>
      <c r="BR185" t="e">
        <f>AND(Bills!#REF!,"AAAAAFm+P0U=")</f>
        <v>#REF!</v>
      </c>
      <c r="BS185" t="e">
        <f>AND(Bills!G767,"AAAAAFm+P0Y=")</f>
        <v>#VALUE!</v>
      </c>
      <c r="BT185" t="e">
        <f>AND(Bills!H767,"AAAAAFm+P0c=")</f>
        <v>#VALUE!</v>
      </c>
      <c r="BU185" t="e">
        <f>AND(Bills!I767,"AAAAAFm+P0g=")</f>
        <v>#VALUE!</v>
      </c>
      <c r="BV185" t="e">
        <f>AND(Bills!J767,"AAAAAFm+P0k=")</f>
        <v>#VALUE!</v>
      </c>
      <c r="BW185" t="e">
        <f>AND(Bills!K767,"AAAAAFm+P0o=")</f>
        <v>#VALUE!</v>
      </c>
      <c r="BX185" t="e">
        <f>AND(Bills!L767,"AAAAAFm+P0s=")</f>
        <v>#VALUE!</v>
      </c>
      <c r="BY185" t="e">
        <f>AND(Bills!#REF!,"AAAAAFm+P0w=")</f>
        <v>#REF!</v>
      </c>
      <c r="BZ185" t="e">
        <f>AND(Bills!M767,"AAAAAFm+P00=")</f>
        <v>#VALUE!</v>
      </c>
      <c r="CA185" t="e">
        <f>AND(Bills!N767,"AAAAAFm+P04=")</f>
        <v>#VALUE!</v>
      </c>
      <c r="CB185" t="e">
        <f>AND(Bills!O767,"AAAAAFm+P08=")</f>
        <v>#VALUE!</v>
      </c>
      <c r="CC185" t="e">
        <f>AND(Bills!P767,"AAAAAFm+P1A=")</f>
        <v>#VALUE!</v>
      </c>
      <c r="CD185" t="e">
        <f>AND(Bills!Q767,"AAAAAFm+P1E=")</f>
        <v>#VALUE!</v>
      </c>
      <c r="CE185" t="e">
        <f>AND(Bills!R767,"AAAAAFm+P1I=")</f>
        <v>#VALUE!</v>
      </c>
      <c r="CF185" t="e">
        <f>AND(Bills!S767,"AAAAAFm+P1M=")</f>
        <v>#VALUE!</v>
      </c>
      <c r="CG185" t="e">
        <f>AND(Bills!T767,"AAAAAFm+P1Q=")</f>
        <v>#VALUE!</v>
      </c>
      <c r="CH185" t="e">
        <f>AND(Bills!#REF!,"AAAAAFm+P1U=")</f>
        <v>#REF!</v>
      </c>
      <c r="CI185" t="e">
        <f>AND(Bills!U767,"AAAAAFm+P1Y=")</f>
        <v>#VALUE!</v>
      </c>
      <c r="CJ185" t="e">
        <f>AND(Bills!V767,"AAAAAFm+P1c=")</f>
        <v>#VALUE!</v>
      </c>
      <c r="CK185" t="e">
        <f>AND(Bills!W767,"AAAAAFm+P1g=")</f>
        <v>#VALUE!</v>
      </c>
      <c r="CL185" t="e">
        <f>AND(Bills!#REF!,"AAAAAFm+P1k=")</f>
        <v>#REF!</v>
      </c>
      <c r="CM185" t="e">
        <f>AND(Bills!#REF!,"AAAAAFm+P1o=")</f>
        <v>#REF!</v>
      </c>
      <c r="CN185" t="e">
        <f>AND(Bills!Y767,"AAAAAFm+P1s=")</f>
        <v>#VALUE!</v>
      </c>
      <c r="CO185" t="e">
        <f>AND(Bills!Z767,"AAAAAFm+P1w=")</f>
        <v>#VALUE!</v>
      </c>
      <c r="CP185" t="e">
        <f>AND(Bills!#REF!,"AAAAAFm+P10=")</f>
        <v>#REF!</v>
      </c>
      <c r="CQ185" t="e">
        <f>AND(Bills!#REF!,"AAAAAFm+P14=")</f>
        <v>#REF!</v>
      </c>
      <c r="CR185" t="e">
        <f>AND(Bills!#REF!,"AAAAAFm+P18=")</f>
        <v>#REF!</v>
      </c>
      <c r="CS185" t="e">
        <f>AND(Bills!#REF!,"AAAAAFm+P2A=")</f>
        <v>#REF!</v>
      </c>
      <c r="CT185" t="e">
        <f>AND(Bills!#REF!,"AAAAAFm+P2E=")</f>
        <v>#REF!</v>
      </c>
      <c r="CU185" t="e">
        <f>AND(Bills!#REF!,"AAAAAFm+P2I=")</f>
        <v>#REF!</v>
      </c>
      <c r="CV185" t="e">
        <f>AND(Bills!#REF!,"AAAAAFm+P2M=")</f>
        <v>#REF!</v>
      </c>
      <c r="CW185" t="e">
        <f>AND(Bills!#REF!,"AAAAAFm+P2Q=")</f>
        <v>#REF!</v>
      </c>
      <c r="CX185" t="e">
        <f>AND(Bills!#REF!,"AAAAAFm+P2U=")</f>
        <v>#REF!</v>
      </c>
      <c r="CY185" t="e">
        <f>AND(Bills!AA767,"AAAAAFm+P2Y=")</f>
        <v>#VALUE!</v>
      </c>
      <c r="CZ185" t="e">
        <f>AND(Bills!AB767,"AAAAAFm+P2c=")</f>
        <v>#VALUE!</v>
      </c>
      <c r="DA185" t="e">
        <f>AND(Bills!#REF!,"AAAAAFm+P2g=")</f>
        <v>#REF!</v>
      </c>
      <c r="DB185" t="e">
        <f>AND(Bills!#REF!,"AAAAAFm+P2k=")</f>
        <v>#REF!</v>
      </c>
      <c r="DC185" t="e">
        <f>AND(Bills!#REF!,"AAAAAFm+P2o=")</f>
        <v>#REF!</v>
      </c>
      <c r="DD185" t="e">
        <f>AND(Bills!AC767,"AAAAAFm+P2s=")</f>
        <v>#VALUE!</v>
      </c>
      <c r="DE185" t="e">
        <f>AND(Bills!AD767,"AAAAAFm+P2w=")</f>
        <v>#VALUE!</v>
      </c>
      <c r="DF185" t="e">
        <f>AND(Bills!AE767,"AAAAAFm+P20=")</f>
        <v>#VALUE!</v>
      </c>
      <c r="DG185">
        <f>IF(Bills!768:768,"AAAAAFm+P24=",0)</f>
        <v>0</v>
      </c>
      <c r="DH185" t="e">
        <f>AND(Bills!B768,"AAAAAFm+P28=")</f>
        <v>#VALUE!</v>
      </c>
      <c r="DI185" t="e">
        <f>AND(Bills!#REF!,"AAAAAFm+P3A=")</f>
        <v>#REF!</v>
      </c>
      <c r="DJ185" t="e">
        <f>AND(Bills!C768,"AAAAAFm+P3E=")</f>
        <v>#VALUE!</v>
      </c>
      <c r="DK185" t="e">
        <f>AND(Bills!D768,"AAAAAFm+P3I=")</f>
        <v>#VALUE!</v>
      </c>
      <c r="DL185" t="e">
        <f>AND(Bills!E768,"AAAAAFm+P3M=")</f>
        <v>#VALUE!</v>
      </c>
      <c r="DM185" t="e">
        <f>AND(Bills!#REF!,"AAAAAFm+P3Q=")</f>
        <v>#REF!</v>
      </c>
      <c r="DN185" t="e">
        <f>AND(Bills!#REF!,"AAAAAFm+P3U=")</f>
        <v>#REF!</v>
      </c>
      <c r="DO185" t="e">
        <f>AND(Bills!#REF!,"AAAAAFm+P3Y=")</f>
        <v>#REF!</v>
      </c>
      <c r="DP185" t="e">
        <f>AND(Bills!F768,"AAAAAFm+P3c=")</f>
        <v>#VALUE!</v>
      </c>
      <c r="DQ185" t="e">
        <f>AND(Bills!#REF!,"AAAAAFm+P3g=")</f>
        <v>#REF!</v>
      </c>
      <c r="DR185" t="e">
        <f>AND(Bills!G768,"AAAAAFm+P3k=")</f>
        <v>#VALUE!</v>
      </c>
      <c r="DS185" t="e">
        <f>AND(Bills!H768,"AAAAAFm+P3o=")</f>
        <v>#VALUE!</v>
      </c>
      <c r="DT185" t="e">
        <f>AND(Bills!I768,"AAAAAFm+P3s=")</f>
        <v>#VALUE!</v>
      </c>
      <c r="DU185" t="e">
        <f>AND(Bills!J768,"AAAAAFm+P3w=")</f>
        <v>#VALUE!</v>
      </c>
      <c r="DV185" t="e">
        <f>AND(Bills!K768,"AAAAAFm+P30=")</f>
        <v>#VALUE!</v>
      </c>
      <c r="DW185" t="e">
        <f>AND(Bills!L768,"AAAAAFm+P34=")</f>
        <v>#VALUE!</v>
      </c>
      <c r="DX185" t="e">
        <f>AND(Bills!#REF!,"AAAAAFm+P38=")</f>
        <v>#REF!</v>
      </c>
      <c r="DY185" t="e">
        <f>AND(Bills!M768,"AAAAAFm+P4A=")</f>
        <v>#VALUE!</v>
      </c>
      <c r="DZ185" t="e">
        <f>AND(Bills!N768,"AAAAAFm+P4E=")</f>
        <v>#VALUE!</v>
      </c>
      <c r="EA185" t="e">
        <f>AND(Bills!O768,"AAAAAFm+P4I=")</f>
        <v>#VALUE!</v>
      </c>
      <c r="EB185" t="e">
        <f>AND(Bills!P768,"AAAAAFm+P4M=")</f>
        <v>#VALUE!</v>
      </c>
      <c r="EC185" t="e">
        <f>AND(Bills!Q768,"AAAAAFm+P4Q=")</f>
        <v>#VALUE!</v>
      </c>
      <c r="ED185" t="e">
        <f>AND(Bills!R768,"AAAAAFm+P4U=")</f>
        <v>#VALUE!</v>
      </c>
      <c r="EE185" t="e">
        <f>AND(Bills!S768,"AAAAAFm+P4Y=")</f>
        <v>#VALUE!</v>
      </c>
      <c r="EF185" t="e">
        <f>AND(Bills!T768,"AAAAAFm+P4c=")</f>
        <v>#VALUE!</v>
      </c>
      <c r="EG185" t="e">
        <f>AND(Bills!#REF!,"AAAAAFm+P4g=")</f>
        <v>#REF!</v>
      </c>
      <c r="EH185" t="e">
        <f>AND(Bills!U768,"AAAAAFm+P4k=")</f>
        <v>#VALUE!</v>
      </c>
      <c r="EI185" t="e">
        <f>AND(Bills!V768,"AAAAAFm+P4o=")</f>
        <v>#VALUE!</v>
      </c>
      <c r="EJ185" t="e">
        <f>AND(Bills!W768,"AAAAAFm+P4s=")</f>
        <v>#VALUE!</v>
      </c>
      <c r="EK185" t="e">
        <f>AND(Bills!#REF!,"AAAAAFm+P4w=")</f>
        <v>#REF!</v>
      </c>
      <c r="EL185" t="e">
        <f>AND(Bills!#REF!,"AAAAAFm+P40=")</f>
        <v>#REF!</v>
      </c>
      <c r="EM185" t="e">
        <f>AND(Bills!Y768,"AAAAAFm+P44=")</f>
        <v>#VALUE!</v>
      </c>
      <c r="EN185" t="e">
        <f>AND(Bills!Z768,"AAAAAFm+P48=")</f>
        <v>#VALUE!</v>
      </c>
      <c r="EO185" t="e">
        <f>AND(Bills!#REF!,"AAAAAFm+P5A=")</f>
        <v>#REF!</v>
      </c>
      <c r="EP185" t="e">
        <f>AND(Bills!#REF!,"AAAAAFm+P5E=")</f>
        <v>#REF!</v>
      </c>
      <c r="EQ185" t="e">
        <f>AND(Bills!#REF!,"AAAAAFm+P5I=")</f>
        <v>#REF!</v>
      </c>
      <c r="ER185" t="e">
        <f>AND(Bills!#REF!,"AAAAAFm+P5M=")</f>
        <v>#REF!</v>
      </c>
      <c r="ES185" t="e">
        <f>AND(Bills!#REF!,"AAAAAFm+P5Q=")</f>
        <v>#REF!</v>
      </c>
      <c r="ET185" t="e">
        <f>AND(Bills!#REF!,"AAAAAFm+P5U=")</f>
        <v>#REF!</v>
      </c>
      <c r="EU185" t="e">
        <f>AND(Bills!#REF!,"AAAAAFm+P5Y=")</f>
        <v>#REF!</v>
      </c>
      <c r="EV185" t="e">
        <f>AND(Bills!#REF!,"AAAAAFm+P5c=")</f>
        <v>#REF!</v>
      </c>
      <c r="EW185" t="e">
        <f>AND(Bills!#REF!,"AAAAAFm+P5g=")</f>
        <v>#REF!</v>
      </c>
      <c r="EX185" t="e">
        <f>AND(Bills!AA768,"AAAAAFm+P5k=")</f>
        <v>#VALUE!</v>
      </c>
      <c r="EY185" t="e">
        <f>AND(Bills!AB768,"AAAAAFm+P5o=")</f>
        <v>#VALUE!</v>
      </c>
      <c r="EZ185" t="e">
        <f>AND(Bills!#REF!,"AAAAAFm+P5s=")</f>
        <v>#REF!</v>
      </c>
      <c r="FA185" t="e">
        <f>AND(Bills!#REF!,"AAAAAFm+P5w=")</f>
        <v>#REF!</v>
      </c>
      <c r="FB185" t="e">
        <f>AND(Bills!#REF!,"AAAAAFm+P50=")</f>
        <v>#REF!</v>
      </c>
      <c r="FC185" t="e">
        <f>AND(Bills!AC768,"AAAAAFm+P54=")</f>
        <v>#VALUE!</v>
      </c>
      <c r="FD185" t="e">
        <f>AND(Bills!AD768,"AAAAAFm+P58=")</f>
        <v>#VALUE!</v>
      </c>
      <c r="FE185" t="e">
        <f>AND(Bills!AE768,"AAAAAFm+P6A=")</f>
        <v>#VALUE!</v>
      </c>
      <c r="FF185">
        <f>IF(Bills!769:769,"AAAAAFm+P6E=",0)</f>
        <v>0</v>
      </c>
      <c r="FG185" t="e">
        <f>AND(Bills!B769,"AAAAAFm+P6I=")</f>
        <v>#VALUE!</v>
      </c>
      <c r="FH185" t="e">
        <f>AND(Bills!#REF!,"AAAAAFm+P6M=")</f>
        <v>#REF!</v>
      </c>
      <c r="FI185" t="e">
        <f>AND(Bills!C769,"AAAAAFm+P6Q=")</f>
        <v>#VALUE!</v>
      </c>
      <c r="FJ185" t="e">
        <f>AND(Bills!D769,"AAAAAFm+P6U=")</f>
        <v>#VALUE!</v>
      </c>
      <c r="FK185" t="e">
        <f>AND(Bills!E769,"AAAAAFm+P6Y=")</f>
        <v>#VALUE!</v>
      </c>
      <c r="FL185" t="e">
        <f>AND(Bills!#REF!,"AAAAAFm+P6c=")</f>
        <v>#REF!</v>
      </c>
      <c r="FM185" t="e">
        <f>AND(Bills!#REF!,"AAAAAFm+P6g=")</f>
        <v>#REF!</v>
      </c>
      <c r="FN185" t="e">
        <f>AND(Bills!#REF!,"AAAAAFm+P6k=")</f>
        <v>#REF!</v>
      </c>
      <c r="FO185" t="e">
        <f>AND(Bills!F769,"AAAAAFm+P6o=")</f>
        <v>#VALUE!</v>
      </c>
      <c r="FP185" t="e">
        <f>AND(Bills!#REF!,"AAAAAFm+P6s=")</f>
        <v>#REF!</v>
      </c>
      <c r="FQ185" t="e">
        <f>AND(Bills!G769,"AAAAAFm+P6w=")</f>
        <v>#VALUE!</v>
      </c>
      <c r="FR185" t="e">
        <f>AND(Bills!H769,"AAAAAFm+P60=")</f>
        <v>#VALUE!</v>
      </c>
      <c r="FS185" t="e">
        <f>AND(Bills!I769,"AAAAAFm+P64=")</f>
        <v>#VALUE!</v>
      </c>
      <c r="FT185" t="e">
        <f>AND(Bills!J769,"AAAAAFm+P68=")</f>
        <v>#VALUE!</v>
      </c>
      <c r="FU185" t="e">
        <f>AND(Bills!K769,"AAAAAFm+P7A=")</f>
        <v>#VALUE!</v>
      </c>
      <c r="FV185" t="e">
        <f>AND(Bills!L769,"AAAAAFm+P7E=")</f>
        <v>#VALUE!</v>
      </c>
      <c r="FW185" t="e">
        <f>AND(Bills!#REF!,"AAAAAFm+P7I=")</f>
        <v>#REF!</v>
      </c>
      <c r="FX185" t="e">
        <f>AND(Bills!M769,"AAAAAFm+P7M=")</f>
        <v>#VALUE!</v>
      </c>
      <c r="FY185" t="e">
        <f>AND(Bills!N769,"AAAAAFm+P7Q=")</f>
        <v>#VALUE!</v>
      </c>
      <c r="FZ185" t="e">
        <f>AND(Bills!O769,"AAAAAFm+P7U=")</f>
        <v>#VALUE!</v>
      </c>
      <c r="GA185" t="e">
        <f>AND(Bills!P769,"AAAAAFm+P7Y=")</f>
        <v>#VALUE!</v>
      </c>
      <c r="GB185" t="e">
        <f>AND(Bills!Q769,"AAAAAFm+P7c=")</f>
        <v>#VALUE!</v>
      </c>
      <c r="GC185" t="e">
        <f>AND(Bills!R769,"AAAAAFm+P7g=")</f>
        <v>#VALUE!</v>
      </c>
      <c r="GD185" t="e">
        <f>AND(Bills!S769,"AAAAAFm+P7k=")</f>
        <v>#VALUE!</v>
      </c>
      <c r="GE185" t="e">
        <f>AND(Bills!T769,"AAAAAFm+P7o=")</f>
        <v>#VALUE!</v>
      </c>
      <c r="GF185" t="e">
        <f>AND(Bills!#REF!,"AAAAAFm+P7s=")</f>
        <v>#REF!</v>
      </c>
      <c r="GG185" t="e">
        <f>AND(Bills!U769,"AAAAAFm+P7w=")</f>
        <v>#VALUE!</v>
      </c>
      <c r="GH185" t="e">
        <f>AND(Bills!V769,"AAAAAFm+P70=")</f>
        <v>#VALUE!</v>
      </c>
      <c r="GI185" t="e">
        <f>AND(Bills!W769,"AAAAAFm+P74=")</f>
        <v>#VALUE!</v>
      </c>
      <c r="GJ185" t="e">
        <f>AND(Bills!#REF!,"AAAAAFm+P78=")</f>
        <v>#REF!</v>
      </c>
      <c r="GK185" t="e">
        <f>AND(Bills!#REF!,"AAAAAFm+P8A=")</f>
        <v>#REF!</v>
      </c>
      <c r="GL185" t="e">
        <f>AND(Bills!Y769,"AAAAAFm+P8E=")</f>
        <v>#VALUE!</v>
      </c>
      <c r="GM185" t="e">
        <f>AND(Bills!Z769,"AAAAAFm+P8I=")</f>
        <v>#VALUE!</v>
      </c>
      <c r="GN185" t="e">
        <f>AND(Bills!#REF!,"AAAAAFm+P8M=")</f>
        <v>#REF!</v>
      </c>
      <c r="GO185" t="e">
        <f>AND(Bills!#REF!,"AAAAAFm+P8Q=")</f>
        <v>#REF!</v>
      </c>
      <c r="GP185" t="e">
        <f>AND(Bills!#REF!,"AAAAAFm+P8U=")</f>
        <v>#REF!</v>
      </c>
      <c r="GQ185" t="e">
        <f>AND(Bills!#REF!,"AAAAAFm+P8Y=")</f>
        <v>#REF!</v>
      </c>
      <c r="GR185" t="e">
        <f>AND(Bills!#REF!,"AAAAAFm+P8c=")</f>
        <v>#REF!</v>
      </c>
      <c r="GS185" t="e">
        <f>AND(Bills!#REF!,"AAAAAFm+P8g=")</f>
        <v>#REF!</v>
      </c>
      <c r="GT185" t="e">
        <f>AND(Bills!#REF!,"AAAAAFm+P8k=")</f>
        <v>#REF!</v>
      </c>
      <c r="GU185" t="e">
        <f>AND(Bills!#REF!,"AAAAAFm+P8o=")</f>
        <v>#REF!</v>
      </c>
      <c r="GV185" t="e">
        <f>AND(Bills!#REF!,"AAAAAFm+P8s=")</f>
        <v>#REF!</v>
      </c>
      <c r="GW185" t="e">
        <f>AND(Bills!AA769,"AAAAAFm+P8w=")</f>
        <v>#VALUE!</v>
      </c>
      <c r="GX185" t="e">
        <f>AND(Bills!AB769,"AAAAAFm+P80=")</f>
        <v>#VALUE!</v>
      </c>
      <c r="GY185" t="e">
        <f>AND(Bills!#REF!,"AAAAAFm+P84=")</f>
        <v>#REF!</v>
      </c>
      <c r="GZ185" t="e">
        <f>AND(Bills!#REF!,"AAAAAFm+P88=")</f>
        <v>#REF!</v>
      </c>
      <c r="HA185" t="e">
        <f>AND(Bills!#REF!,"AAAAAFm+P9A=")</f>
        <v>#REF!</v>
      </c>
      <c r="HB185" t="e">
        <f>AND(Bills!AC769,"AAAAAFm+P9E=")</f>
        <v>#VALUE!</v>
      </c>
      <c r="HC185" t="e">
        <f>AND(Bills!AD769,"AAAAAFm+P9I=")</f>
        <v>#VALUE!</v>
      </c>
      <c r="HD185" t="e">
        <f>AND(Bills!AE769,"AAAAAFm+P9M=")</f>
        <v>#VALUE!</v>
      </c>
      <c r="HE185">
        <f>IF(Bills!770:770,"AAAAAFm+P9Q=",0)</f>
        <v>0</v>
      </c>
      <c r="HF185" t="e">
        <f>AND(Bills!B770,"AAAAAFm+P9U=")</f>
        <v>#VALUE!</v>
      </c>
      <c r="HG185" t="e">
        <f>AND(Bills!#REF!,"AAAAAFm+P9Y=")</f>
        <v>#REF!</v>
      </c>
      <c r="HH185" t="e">
        <f>AND(Bills!C770,"AAAAAFm+P9c=")</f>
        <v>#VALUE!</v>
      </c>
      <c r="HI185" t="e">
        <f>AND(Bills!D770,"AAAAAFm+P9g=")</f>
        <v>#VALUE!</v>
      </c>
      <c r="HJ185" t="e">
        <f>AND(Bills!E770,"AAAAAFm+P9k=")</f>
        <v>#VALUE!</v>
      </c>
      <c r="HK185" t="e">
        <f>AND(Bills!#REF!,"AAAAAFm+P9o=")</f>
        <v>#REF!</v>
      </c>
      <c r="HL185" t="e">
        <f>AND(Bills!#REF!,"AAAAAFm+P9s=")</f>
        <v>#REF!</v>
      </c>
      <c r="HM185" t="e">
        <f>AND(Bills!#REF!,"AAAAAFm+P9w=")</f>
        <v>#REF!</v>
      </c>
      <c r="HN185" t="e">
        <f>AND(Bills!F770,"AAAAAFm+P90=")</f>
        <v>#VALUE!</v>
      </c>
      <c r="HO185" t="e">
        <f>AND(Bills!#REF!,"AAAAAFm+P94=")</f>
        <v>#REF!</v>
      </c>
      <c r="HP185" t="e">
        <f>AND(Bills!G770,"AAAAAFm+P98=")</f>
        <v>#VALUE!</v>
      </c>
      <c r="HQ185" t="e">
        <f>AND(Bills!H770,"AAAAAFm+P+A=")</f>
        <v>#VALUE!</v>
      </c>
      <c r="HR185" t="e">
        <f>AND(Bills!I770,"AAAAAFm+P+E=")</f>
        <v>#VALUE!</v>
      </c>
      <c r="HS185" t="e">
        <f>AND(Bills!J770,"AAAAAFm+P+I=")</f>
        <v>#VALUE!</v>
      </c>
      <c r="HT185" t="e">
        <f>AND(Bills!K770,"AAAAAFm+P+M=")</f>
        <v>#VALUE!</v>
      </c>
      <c r="HU185" t="e">
        <f>AND(Bills!L770,"AAAAAFm+P+Q=")</f>
        <v>#VALUE!</v>
      </c>
      <c r="HV185" t="e">
        <f>AND(Bills!#REF!,"AAAAAFm+P+U=")</f>
        <v>#REF!</v>
      </c>
      <c r="HW185" t="e">
        <f>AND(Bills!M770,"AAAAAFm+P+Y=")</f>
        <v>#VALUE!</v>
      </c>
      <c r="HX185" t="e">
        <f>AND(Bills!N770,"AAAAAFm+P+c=")</f>
        <v>#VALUE!</v>
      </c>
      <c r="HY185" t="e">
        <f>AND(Bills!O770,"AAAAAFm+P+g=")</f>
        <v>#VALUE!</v>
      </c>
      <c r="HZ185" t="e">
        <f>AND(Bills!P770,"AAAAAFm+P+k=")</f>
        <v>#VALUE!</v>
      </c>
      <c r="IA185" t="e">
        <f>AND(Bills!Q770,"AAAAAFm+P+o=")</f>
        <v>#VALUE!</v>
      </c>
      <c r="IB185" t="e">
        <f>AND(Bills!R770,"AAAAAFm+P+s=")</f>
        <v>#VALUE!</v>
      </c>
      <c r="IC185" t="e">
        <f>AND(Bills!S770,"AAAAAFm+P+w=")</f>
        <v>#VALUE!</v>
      </c>
      <c r="ID185" t="e">
        <f>AND(Bills!T770,"AAAAAFm+P+0=")</f>
        <v>#VALUE!</v>
      </c>
      <c r="IE185" t="e">
        <f>AND(Bills!#REF!,"AAAAAFm+P+4=")</f>
        <v>#REF!</v>
      </c>
      <c r="IF185" t="e">
        <f>AND(Bills!U770,"AAAAAFm+P+8=")</f>
        <v>#VALUE!</v>
      </c>
      <c r="IG185" t="e">
        <f>AND(Bills!V770,"AAAAAFm+P/A=")</f>
        <v>#VALUE!</v>
      </c>
      <c r="IH185" t="e">
        <f>AND(Bills!W770,"AAAAAFm+P/E=")</f>
        <v>#VALUE!</v>
      </c>
      <c r="II185" t="e">
        <f>AND(Bills!#REF!,"AAAAAFm+P/I=")</f>
        <v>#REF!</v>
      </c>
      <c r="IJ185" t="e">
        <f>AND(Bills!#REF!,"AAAAAFm+P/M=")</f>
        <v>#REF!</v>
      </c>
      <c r="IK185" t="e">
        <f>AND(Bills!Y770,"AAAAAFm+P/Q=")</f>
        <v>#VALUE!</v>
      </c>
      <c r="IL185" t="e">
        <f>AND(Bills!Z770,"AAAAAFm+P/U=")</f>
        <v>#VALUE!</v>
      </c>
      <c r="IM185" t="e">
        <f>AND(Bills!#REF!,"AAAAAFm+P/Y=")</f>
        <v>#REF!</v>
      </c>
      <c r="IN185" t="e">
        <f>AND(Bills!#REF!,"AAAAAFm+P/c=")</f>
        <v>#REF!</v>
      </c>
      <c r="IO185" t="e">
        <f>AND(Bills!#REF!,"AAAAAFm+P/g=")</f>
        <v>#REF!</v>
      </c>
      <c r="IP185" t="e">
        <f>AND(Bills!#REF!,"AAAAAFm+P/k=")</f>
        <v>#REF!</v>
      </c>
      <c r="IQ185" t="e">
        <f>AND(Bills!#REF!,"AAAAAFm+P/o=")</f>
        <v>#REF!</v>
      </c>
      <c r="IR185" t="e">
        <f>AND(Bills!#REF!,"AAAAAFm+P/s=")</f>
        <v>#REF!</v>
      </c>
      <c r="IS185" t="e">
        <f>AND(Bills!#REF!,"AAAAAFm+P/w=")</f>
        <v>#REF!</v>
      </c>
      <c r="IT185" t="e">
        <f>AND(Bills!#REF!,"AAAAAFm+P/0=")</f>
        <v>#REF!</v>
      </c>
      <c r="IU185" t="e">
        <f>AND(Bills!#REF!,"AAAAAFm+P/4=")</f>
        <v>#REF!</v>
      </c>
      <c r="IV185" t="e">
        <f>AND(Bills!AA770,"AAAAAFm+P/8=")</f>
        <v>#VALUE!</v>
      </c>
    </row>
    <row r="186" spans="1:256" x14ac:dyDescent="0.25">
      <c r="A186" t="e">
        <f>AND(Bills!AB770,"AAAAAH9f6wA=")</f>
        <v>#VALUE!</v>
      </c>
      <c r="B186" t="e">
        <f>AND(Bills!#REF!,"AAAAAH9f6wE=")</f>
        <v>#REF!</v>
      </c>
      <c r="C186" t="e">
        <f>AND(Bills!#REF!,"AAAAAH9f6wI=")</f>
        <v>#REF!</v>
      </c>
      <c r="D186" t="e">
        <f>AND(Bills!#REF!,"AAAAAH9f6wM=")</f>
        <v>#REF!</v>
      </c>
      <c r="E186" t="e">
        <f>AND(Bills!AC770,"AAAAAH9f6wQ=")</f>
        <v>#VALUE!</v>
      </c>
      <c r="F186" t="e">
        <f>AND(Bills!AD770,"AAAAAH9f6wU=")</f>
        <v>#VALUE!</v>
      </c>
      <c r="G186" t="e">
        <f>AND(Bills!AE770,"AAAAAH9f6wY=")</f>
        <v>#VALUE!</v>
      </c>
      <c r="H186">
        <f>IF(Bills!771:771,"AAAAAH9f6wc=",0)</f>
        <v>0</v>
      </c>
      <c r="I186" t="e">
        <f>AND(Bills!B771,"AAAAAH9f6wg=")</f>
        <v>#VALUE!</v>
      </c>
      <c r="J186" t="e">
        <f>AND(Bills!#REF!,"AAAAAH9f6wk=")</f>
        <v>#REF!</v>
      </c>
      <c r="K186" t="e">
        <f>AND(Bills!C771,"AAAAAH9f6wo=")</f>
        <v>#VALUE!</v>
      </c>
      <c r="L186" t="e">
        <f>AND(Bills!D771,"AAAAAH9f6ws=")</f>
        <v>#VALUE!</v>
      </c>
      <c r="M186" t="e">
        <f>AND(Bills!E771,"AAAAAH9f6ww=")</f>
        <v>#VALUE!</v>
      </c>
      <c r="N186" t="e">
        <f>AND(Bills!#REF!,"AAAAAH9f6w0=")</f>
        <v>#REF!</v>
      </c>
      <c r="O186" t="e">
        <f>AND(Bills!#REF!,"AAAAAH9f6w4=")</f>
        <v>#REF!</v>
      </c>
      <c r="P186" t="e">
        <f>AND(Bills!#REF!,"AAAAAH9f6w8=")</f>
        <v>#REF!</v>
      </c>
      <c r="Q186" t="e">
        <f>AND(Bills!F771,"AAAAAH9f6xA=")</f>
        <v>#VALUE!</v>
      </c>
      <c r="R186" t="e">
        <f>AND(Bills!#REF!,"AAAAAH9f6xE=")</f>
        <v>#REF!</v>
      </c>
      <c r="S186" t="e">
        <f>AND(Bills!G771,"AAAAAH9f6xI=")</f>
        <v>#VALUE!</v>
      </c>
      <c r="T186" t="e">
        <f>AND(Bills!H771,"AAAAAH9f6xM=")</f>
        <v>#VALUE!</v>
      </c>
      <c r="U186" t="e">
        <f>AND(Bills!I771,"AAAAAH9f6xQ=")</f>
        <v>#VALUE!</v>
      </c>
      <c r="V186" t="e">
        <f>AND(Bills!J771,"AAAAAH9f6xU=")</f>
        <v>#VALUE!</v>
      </c>
      <c r="W186" t="e">
        <f>AND(Bills!K771,"AAAAAH9f6xY=")</f>
        <v>#VALUE!</v>
      </c>
      <c r="X186" t="e">
        <f>AND(Bills!L771,"AAAAAH9f6xc=")</f>
        <v>#VALUE!</v>
      </c>
      <c r="Y186" t="e">
        <f>AND(Bills!#REF!,"AAAAAH9f6xg=")</f>
        <v>#REF!</v>
      </c>
      <c r="Z186" t="e">
        <f>AND(Bills!M771,"AAAAAH9f6xk=")</f>
        <v>#VALUE!</v>
      </c>
      <c r="AA186" t="e">
        <f>AND(Bills!N771,"AAAAAH9f6xo=")</f>
        <v>#VALUE!</v>
      </c>
      <c r="AB186" t="e">
        <f>AND(Bills!O771,"AAAAAH9f6xs=")</f>
        <v>#VALUE!</v>
      </c>
      <c r="AC186" t="e">
        <f>AND(Bills!P771,"AAAAAH9f6xw=")</f>
        <v>#VALUE!</v>
      </c>
      <c r="AD186" t="e">
        <f>AND(Bills!Q771,"AAAAAH9f6x0=")</f>
        <v>#VALUE!</v>
      </c>
      <c r="AE186" t="e">
        <f>AND(Bills!R771,"AAAAAH9f6x4=")</f>
        <v>#VALUE!</v>
      </c>
      <c r="AF186" t="e">
        <f>AND(Bills!S771,"AAAAAH9f6x8=")</f>
        <v>#VALUE!</v>
      </c>
      <c r="AG186" t="e">
        <f>AND(Bills!T771,"AAAAAH9f6yA=")</f>
        <v>#VALUE!</v>
      </c>
      <c r="AH186" t="e">
        <f>AND(Bills!#REF!,"AAAAAH9f6yE=")</f>
        <v>#REF!</v>
      </c>
      <c r="AI186" t="e">
        <f>AND(Bills!U771,"AAAAAH9f6yI=")</f>
        <v>#VALUE!</v>
      </c>
      <c r="AJ186" t="e">
        <f>AND(Bills!V771,"AAAAAH9f6yM=")</f>
        <v>#VALUE!</v>
      </c>
      <c r="AK186" t="e">
        <f>AND(Bills!W771,"AAAAAH9f6yQ=")</f>
        <v>#VALUE!</v>
      </c>
      <c r="AL186" t="e">
        <f>AND(Bills!#REF!,"AAAAAH9f6yU=")</f>
        <v>#REF!</v>
      </c>
      <c r="AM186" t="e">
        <f>AND(Bills!#REF!,"AAAAAH9f6yY=")</f>
        <v>#REF!</v>
      </c>
      <c r="AN186" t="e">
        <f>AND(Bills!Y771,"AAAAAH9f6yc=")</f>
        <v>#VALUE!</v>
      </c>
      <c r="AO186" t="e">
        <f>AND(Bills!Z771,"AAAAAH9f6yg=")</f>
        <v>#VALUE!</v>
      </c>
      <c r="AP186" t="e">
        <f>AND(Bills!#REF!,"AAAAAH9f6yk=")</f>
        <v>#REF!</v>
      </c>
      <c r="AQ186" t="e">
        <f>AND(Bills!#REF!,"AAAAAH9f6yo=")</f>
        <v>#REF!</v>
      </c>
      <c r="AR186" t="e">
        <f>AND(Bills!#REF!,"AAAAAH9f6ys=")</f>
        <v>#REF!</v>
      </c>
      <c r="AS186" t="e">
        <f>AND(Bills!#REF!,"AAAAAH9f6yw=")</f>
        <v>#REF!</v>
      </c>
      <c r="AT186" t="e">
        <f>AND(Bills!#REF!,"AAAAAH9f6y0=")</f>
        <v>#REF!</v>
      </c>
      <c r="AU186" t="e">
        <f>AND(Bills!#REF!,"AAAAAH9f6y4=")</f>
        <v>#REF!</v>
      </c>
      <c r="AV186" t="e">
        <f>AND(Bills!#REF!,"AAAAAH9f6y8=")</f>
        <v>#REF!</v>
      </c>
      <c r="AW186" t="e">
        <f>AND(Bills!#REF!,"AAAAAH9f6zA=")</f>
        <v>#REF!</v>
      </c>
      <c r="AX186" t="e">
        <f>AND(Bills!#REF!,"AAAAAH9f6zE=")</f>
        <v>#REF!</v>
      </c>
      <c r="AY186" t="e">
        <f>AND(Bills!AA771,"AAAAAH9f6zI=")</f>
        <v>#VALUE!</v>
      </c>
      <c r="AZ186" t="e">
        <f>AND(Bills!AB771,"AAAAAH9f6zM=")</f>
        <v>#VALUE!</v>
      </c>
      <c r="BA186" t="e">
        <f>AND(Bills!#REF!,"AAAAAH9f6zQ=")</f>
        <v>#REF!</v>
      </c>
      <c r="BB186" t="e">
        <f>AND(Bills!#REF!,"AAAAAH9f6zU=")</f>
        <v>#REF!</v>
      </c>
      <c r="BC186" t="e">
        <f>AND(Bills!#REF!,"AAAAAH9f6zY=")</f>
        <v>#REF!</v>
      </c>
      <c r="BD186" t="e">
        <f>AND(Bills!AC771,"AAAAAH9f6zc=")</f>
        <v>#VALUE!</v>
      </c>
      <c r="BE186" t="e">
        <f>AND(Bills!AD771,"AAAAAH9f6zg=")</f>
        <v>#VALUE!</v>
      </c>
      <c r="BF186" t="e">
        <f>AND(Bills!AE771,"AAAAAH9f6zk=")</f>
        <v>#VALUE!</v>
      </c>
      <c r="BG186">
        <f>IF(Bills!772:772,"AAAAAH9f6zo=",0)</f>
        <v>0</v>
      </c>
      <c r="BH186" t="e">
        <f>AND(Bills!B772,"AAAAAH9f6zs=")</f>
        <v>#VALUE!</v>
      </c>
      <c r="BI186" t="e">
        <f>AND(Bills!#REF!,"AAAAAH9f6zw=")</f>
        <v>#REF!</v>
      </c>
      <c r="BJ186" t="e">
        <f>AND(Bills!C772,"AAAAAH9f6z0=")</f>
        <v>#VALUE!</v>
      </c>
      <c r="BK186" t="e">
        <f>AND(Bills!D772,"AAAAAH9f6z4=")</f>
        <v>#VALUE!</v>
      </c>
      <c r="BL186" t="e">
        <f>AND(Bills!E772,"AAAAAH9f6z8=")</f>
        <v>#VALUE!</v>
      </c>
      <c r="BM186" t="e">
        <f>AND(Bills!#REF!,"AAAAAH9f60A=")</f>
        <v>#REF!</v>
      </c>
      <c r="BN186" t="e">
        <f>AND(Bills!#REF!,"AAAAAH9f60E=")</f>
        <v>#REF!</v>
      </c>
      <c r="BO186" t="e">
        <f>AND(Bills!#REF!,"AAAAAH9f60I=")</f>
        <v>#REF!</v>
      </c>
      <c r="BP186" t="e">
        <f>AND(Bills!F772,"AAAAAH9f60M=")</f>
        <v>#VALUE!</v>
      </c>
      <c r="BQ186" t="e">
        <f>AND(Bills!#REF!,"AAAAAH9f60Q=")</f>
        <v>#REF!</v>
      </c>
      <c r="BR186" t="e">
        <f>AND(Bills!G772,"AAAAAH9f60U=")</f>
        <v>#VALUE!</v>
      </c>
      <c r="BS186" t="e">
        <f>AND(Bills!H772,"AAAAAH9f60Y=")</f>
        <v>#VALUE!</v>
      </c>
      <c r="BT186" t="e">
        <f>AND(Bills!I772,"AAAAAH9f60c=")</f>
        <v>#VALUE!</v>
      </c>
      <c r="BU186" t="e">
        <f>AND(Bills!J772,"AAAAAH9f60g=")</f>
        <v>#VALUE!</v>
      </c>
      <c r="BV186" t="e">
        <f>AND(Bills!K772,"AAAAAH9f60k=")</f>
        <v>#VALUE!</v>
      </c>
      <c r="BW186" t="e">
        <f>AND(Bills!L772,"AAAAAH9f60o=")</f>
        <v>#VALUE!</v>
      </c>
      <c r="BX186" t="e">
        <f>AND(Bills!#REF!,"AAAAAH9f60s=")</f>
        <v>#REF!</v>
      </c>
      <c r="BY186" t="e">
        <f>AND(Bills!M772,"AAAAAH9f60w=")</f>
        <v>#VALUE!</v>
      </c>
      <c r="BZ186" t="e">
        <f>AND(Bills!N772,"AAAAAH9f600=")</f>
        <v>#VALUE!</v>
      </c>
      <c r="CA186" t="e">
        <f>AND(Bills!O772,"AAAAAH9f604=")</f>
        <v>#VALUE!</v>
      </c>
      <c r="CB186" t="e">
        <f>AND(Bills!P772,"AAAAAH9f608=")</f>
        <v>#VALUE!</v>
      </c>
      <c r="CC186" t="e">
        <f>AND(Bills!Q772,"AAAAAH9f61A=")</f>
        <v>#VALUE!</v>
      </c>
      <c r="CD186" t="e">
        <f>AND(Bills!R772,"AAAAAH9f61E=")</f>
        <v>#VALUE!</v>
      </c>
      <c r="CE186" t="e">
        <f>AND(Bills!S772,"AAAAAH9f61I=")</f>
        <v>#VALUE!</v>
      </c>
      <c r="CF186" t="e">
        <f>AND(Bills!T772,"AAAAAH9f61M=")</f>
        <v>#VALUE!</v>
      </c>
      <c r="CG186" t="e">
        <f>AND(Bills!#REF!,"AAAAAH9f61Q=")</f>
        <v>#REF!</v>
      </c>
      <c r="CH186" t="e">
        <f>AND(Bills!U772,"AAAAAH9f61U=")</f>
        <v>#VALUE!</v>
      </c>
      <c r="CI186" t="e">
        <f>AND(Bills!V772,"AAAAAH9f61Y=")</f>
        <v>#VALUE!</v>
      </c>
      <c r="CJ186" t="e">
        <f>AND(Bills!W772,"AAAAAH9f61c=")</f>
        <v>#VALUE!</v>
      </c>
      <c r="CK186" t="e">
        <f>AND(Bills!#REF!,"AAAAAH9f61g=")</f>
        <v>#REF!</v>
      </c>
      <c r="CL186" t="e">
        <f>AND(Bills!#REF!,"AAAAAH9f61k=")</f>
        <v>#REF!</v>
      </c>
      <c r="CM186" t="e">
        <f>AND(Bills!Y772,"AAAAAH9f61o=")</f>
        <v>#VALUE!</v>
      </c>
      <c r="CN186" t="e">
        <f>AND(Bills!Z772,"AAAAAH9f61s=")</f>
        <v>#VALUE!</v>
      </c>
      <c r="CO186" t="e">
        <f>AND(Bills!#REF!,"AAAAAH9f61w=")</f>
        <v>#REF!</v>
      </c>
      <c r="CP186" t="e">
        <f>AND(Bills!#REF!,"AAAAAH9f610=")</f>
        <v>#REF!</v>
      </c>
      <c r="CQ186" t="e">
        <f>AND(Bills!#REF!,"AAAAAH9f614=")</f>
        <v>#REF!</v>
      </c>
      <c r="CR186" t="e">
        <f>AND(Bills!#REF!,"AAAAAH9f618=")</f>
        <v>#REF!</v>
      </c>
      <c r="CS186" t="e">
        <f>AND(Bills!#REF!,"AAAAAH9f62A=")</f>
        <v>#REF!</v>
      </c>
      <c r="CT186" t="e">
        <f>AND(Bills!#REF!,"AAAAAH9f62E=")</f>
        <v>#REF!</v>
      </c>
      <c r="CU186" t="e">
        <f>AND(Bills!#REF!,"AAAAAH9f62I=")</f>
        <v>#REF!</v>
      </c>
      <c r="CV186" t="e">
        <f>AND(Bills!#REF!,"AAAAAH9f62M=")</f>
        <v>#REF!</v>
      </c>
      <c r="CW186" t="e">
        <f>AND(Bills!#REF!,"AAAAAH9f62Q=")</f>
        <v>#REF!</v>
      </c>
      <c r="CX186" t="e">
        <f>AND(Bills!AA772,"AAAAAH9f62U=")</f>
        <v>#VALUE!</v>
      </c>
      <c r="CY186" t="e">
        <f>AND(Bills!AB772,"AAAAAH9f62Y=")</f>
        <v>#VALUE!</v>
      </c>
      <c r="CZ186" t="e">
        <f>AND(Bills!#REF!,"AAAAAH9f62c=")</f>
        <v>#REF!</v>
      </c>
      <c r="DA186" t="e">
        <f>AND(Bills!#REF!,"AAAAAH9f62g=")</f>
        <v>#REF!</v>
      </c>
      <c r="DB186" t="e">
        <f>AND(Bills!#REF!,"AAAAAH9f62k=")</f>
        <v>#REF!</v>
      </c>
      <c r="DC186" t="e">
        <f>AND(Bills!AC772,"AAAAAH9f62o=")</f>
        <v>#VALUE!</v>
      </c>
      <c r="DD186" t="e">
        <f>AND(Bills!AD772,"AAAAAH9f62s=")</f>
        <v>#VALUE!</v>
      </c>
      <c r="DE186" t="e">
        <f>AND(Bills!AE772,"AAAAAH9f62w=")</f>
        <v>#VALUE!</v>
      </c>
      <c r="DF186">
        <f>IF(Bills!773:773,"AAAAAH9f620=",0)</f>
        <v>0</v>
      </c>
      <c r="DG186" t="e">
        <f>AND(Bills!B773,"AAAAAH9f624=")</f>
        <v>#VALUE!</v>
      </c>
      <c r="DH186" t="e">
        <f>AND(Bills!#REF!,"AAAAAH9f628=")</f>
        <v>#REF!</v>
      </c>
      <c r="DI186" t="e">
        <f>AND(Bills!C773,"AAAAAH9f63A=")</f>
        <v>#VALUE!</v>
      </c>
      <c r="DJ186" t="e">
        <f>AND(Bills!D773,"AAAAAH9f63E=")</f>
        <v>#VALUE!</v>
      </c>
      <c r="DK186" t="e">
        <f>AND(Bills!E773,"AAAAAH9f63I=")</f>
        <v>#VALUE!</v>
      </c>
      <c r="DL186" t="e">
        <f>AND(Bills!#REF!,"AAAAAH9f63M=")</f>
        <v>#REF!</v>
      </c>
      <c r="DM186" t="e">
        <f>AND(Bills!#REF!,"AAAAAH9f63Q=")</f>
        <v>#REF!</v>
      </c>
      <c r="DN186" t="e">
        <f>AND(Bills!#REF!,"AAAAAH9f63U=")</f>
        <v>#REF!</v>
      </c>
      <c r="DO186" t="e">
        <f>AND(Bills!F773,"AAAAAH9f63Y=")</f>
        <v>#VALUE!</v>
      </c>
      <c r="DP186" t="e">
        <f>AND(Bills!#REF!,"AAAAAH9f63c=")</f>
        <v>#REF!</v>
      </c>
      <c r="DQ186" t="e">
        <f>AND(Bills!G773,"AAAAAH9f63g=")</f>
        <v>#VALUE!</v>
      </c>
      <c r="DR186" t="e">
        <f>AND(Bills!H773,"AAAAAH9f63k=")</f>
        <v>#VALUE!</v>
      </c>
      <c r="DS186" t="e">
        <f>AND(Bills!I773,"AAAAAH9f63o=")</f>
        <v>#VALUE!</v>
      </c>
      <c r="DT186" t="e">
        <f>AND(Bills!J773,"AAAAAH9f63s=")</f>
        <v>#VALUE!</v>
      </c>
      <c r="DU186" t="e">
        <f>AND(Bills!K773,"AAAAAH9f63w=")</f>
        <v>#VALUE!</v>
      </c>
      <c r="DV186" t="e">
        <f>AND(Bills!L773,"AAAAAH9f630=")</f>
        <v>#VALUE!</v>
      </c>
      <c r="DW186" t="e">
        <f>AND(Bills!#REF!,"AAAAAH9f634=")</f>
        <v>#REF!</v>
      </c>
      <c r="DX186" t="e">
        <f>AND(Bills!M773,"AAAAAH9f638=")</f>
        <v>#VALUE!</v>
      </c>
      <c r="DY186" t="e">
        <f>AND(Bills!N773,"AAAAAH9f64A=")</f>
        <v>#VALUE!</v>
      </c>
      <c r="DZ186" t="e">
        <f>AND(Bills!O773,"AAAAAH9f64E=")</f>
        <v>#VALUE!</v>
      </c>
      <c r="EA186" t="e">
        <f>AND(Bills!P773,"AAAAAH9f64I=")</f>
        <v>#VALUE!</v>
      </c>
      <c r="EB186" t="e">
        <f>AND(Bills!Q773,"AAAAAH9f64M=")</f>
        <v>#VALUE!</v>
      </c>
      <c r="EC186" t="e">
        <f>AND(Bills!R773,"AAAAAH9f64Q=")</f>
        <v>#VALUE!</v>
      </c>
      <c r="ED186" t="e">
        <f>AND(Bills!S773,"AAAAAH9f64U=")</f>
        <v>#VALUE!</v>
      </c>
      <c r="EE186" t="e">
        <f>AND(Bills!T773,"AAAAAH9f64Y=")</f>
        <v>#VALUE!</v>
      </c>
      <c r="EF186" t="e">
        <f>AND(Bills!#REF!,"AAAAAH9f64c=")</f>
        <v>#REF!</v>
      </c>
      <c r="EG186" t="e">
        <f>AND(Bills!U773,"AAAAAH9f64g=")</f>
        <v>#VALUE!</v>
      </c>
      <c r="EH186" t="e">
        <f>AND(Bills!V773,"AAAAAH9f64k=")</f>
        <v>#VALUE!</v>
      </c>
      <c r="EI186" t="e">
        <f>AND(Bills!W773,"AAAAAH9f64o=")</f>
        <v>#VALUE!</v>
      </c>
      <c r="EJ186" t="e">
        <f>AND(Bills!#REF!,"AAAAAH9f64s=")</f>
        <v>#REF!</v>
      </c>
      <c r="EK186" t="e">
        <f>AND(Bills!#REF!,"AAAAAH9f64w=")</f>
        <v>#REF!</v>
      </c>
      <c r="EL186" t="e">
        <f>AND(Bills!Y773,"AAAAAH9f640=")</f>
        <v>#VALUE!</v>
      </c>
      <c r="EM186" t="e">
        <f>AND(Bills!Z773,"AAAAAH9f644=")</f>
        <v>#VALUE!</v>
      </c>
      <c r="EN186" t="e">
        <f>AND(Bills!#REF!,"AAAAAH9f648=")</f>
        <v>#REF!</v>
      </c>
      <c r="EO186" t="e">
        <f>AND(Bills!#REF!,"AAAAAH9f65A=")</f>
        <v>#REF!</v>
      </c>
      <c r="EP186" t="e">
        <f>AND(Bills!#REF!,"AAAAAH9f65E=")</f>
        <v>#REF!</v>
      </c>
      <c r="EQ186" t="e">
        <f>AND(Bills!#REF!,"AAAAAH9f65I=")</f>
        <v>#REF!</v>
      </c>
      <c r="ER186" t="e">
        <f>AND(Bills!#REF!,"AAAAAH9f65M=")</f>
        <v>#REF!</v>
      </c>
      <c r="ES186" t="e">
        <f>AND(Bills!#REF!,"AAAAAH9f65Q=")</f>
        <v>#REF!</v>
      </c>
      <c r="ET186" t="e">
        <f>AND(Bills!#REF!,"AAAAAH9f65U=")</f>
        <v>#REF!</v>
      </c>
      <c r="EU186" t="e">
        <f>AND(Bills!#REF!,"AAAAAH9f65Y=")</f>
        <v>#REF!</v>
      </c>
      <c r="EV186" t="e">
        <f>AND(Bills!#REF!,"AAAAAH9f65c=")</f>
        <v>#REF!</v>
      </c>
      <c r="EW186" t="e">
        <f>AND(Bills!AA773,"AAAAAH9f65g=")</f>
        <v>#VALUE!</v>
      </c>
      <c r="EX186" t="e">
        <f>AND(Bills!AB773,"AAAAAH9f65k=")</f>
        <v>#VALUE!</v>
      </c>
      <c r="EY186" t="e">
        <f>AND(Bills!#REF!,"AAAAAH9f65o=")</f>
        <v>#REF!</v>
      </c>
      <c r="EZ186" t="e">
        <f>AND(Bills!#REF!,"AAAAAH9f65s=")</f>
        <v>#REF!</v>
      </c>
      <c r="FA186" t="e">
        <f>AND(Bills!#REF!,"AAAAAH9f65w=")</f>
        <v>#REF!</v>
      </c>
      <c r="FB186" t="e">
        <f>AND(Bills!AC773,"AAAAAH9f650=")</f>
        <v>#VALUE!</v>
      </c>
      <c r="FC186" t="e">
        <f>AND(Bills!AD773,"AAAAAH9f654=")</f>
        <v>#VALUE!</v>
      </c>
      <c r="FD186" t="e">
        <f>AND(Bills!AE773,"AAAAAH9f658=")</f>
        <v>#VALUE!</v>
      </c>
      <c r="FE186">
        <f>IF(Bills!774:774,"AAAAAH9f66A=",0)</f>
        <v>0</v>
      </c>
      <c r="FF186" t="e">
        <f>AND(Bills!B774,"AAAAAH9f66E=")</f>
        <v>#VALUE!</v>
      </c>
      <c r="FG186" t="e">
        <f>AND(Bills!#REF!,"AAAAAH9f66I=")</f>
        <v>#REF!</v>
      </c>
      <c r="FH186" t="e">
        <f>AND(Bills!C774,"AAAAAH9f66M=")</f>
        <v>#VALUE!</v>
      </c>
      <c r="FI186" t="e">
        <f>AND(Bills!D774,"AAAAAH9f66Q=")</f>
        <v>#VALUE!</v>
      </c>
      <c r="FJ186" t="e">
        <f>AND(Bills!E774,"AAAAAH9f66U=")</f>
        <v>#VALUE!</v>
      </c>
      <c r="FK186" t="e">
        <f>AND(Bills!#REF!,"AAAAAH9f66Y=")</f>
        <v>#REF!</v>
      </c>
      <c r="FL186" t="e">
        <f>AND(Bills!#REF!,"AAAAAH9f66c=")</f>
        <v>#REF!</v>
      </c>
      <c r="FM186" t="e">
        <f>AND(Bills!#REF!,"AAAAAH9f66g=")</f>
        <v>#REF!</v>
      </c>
      <c r="FN186" t="e">
        <f>AND(Bills!F774,"AAAAAH9f66k=")</f>
        <v>#VALUE!</v>
      </c>
      <c r="FO186" t="e">
        <f>AND(Bills!#REF!,"AAAAAH9f66o=")</f>
        <v>#REF!</v>
      </c>
      <c r="FP186" t="e">
        <f>AND(Bills!G774,"AAAAAH9f66s=")</f>
        <v>#VALUE!</v>
      </c>
      <c r="FQ186" t="e">
        <f>AND(Bills!H774,"AAAAAH9f66w=")</f>
        <v>#VALUE!</v>
      </c>
      <c r="FR186" t="e">
        <f>AND(Bills!I774,"AAAAAH9f660=")</f>
        <v>#VALUE!</v>
      </c>
      <c r="FS186" t="e">
        <f>AND(Bills!J774,"AAAAAH9f664=")</f>
        <v>#VALUE!</v>
      </c>
      <c r="FT186" t="e">
        <f>AND(Bills!K774,"AAAAAH9f668=")</f>
        <v>#VALUE!</v>
      </c>
      <c r="FU186" t="e">
        <f>AND(Bills!L774,"AAAAAH9f67A=")</f>
        <v>#VALUE!</v>
      </c>
      <c r="FV186" t="e">
        <f>AND(Bills!#REF!,"AAAAAH9f67E=")</f>
        <v>#REF!</v>
      </c>
      <c r="FW186" t="e">
        <f>AND(Bills!M774,"AAAAAH9f67I=")</f>
        <v>#VALUE!</v>
      </c>
      <c r="FX186" t="e">
        <f>AND(Bills!N774,"AAAAAH9f67M=")</f>
        <v>#VALUE!</v>
      </c>
      <c r="FY186" t="e">
        <f>AND(Bills!O774,"AAAAAH9f67Q=")</f>
        <v>#VALUE!</v>
      </c>
      <c r="FZ186" t="e">
        <f>AND(Bills!P774,"AAAAAH9f67U=")</f>
        <v>#VALUE!</v>
      </c>
      <c r="GA186" t="e">
        <f>AND(Bills!Q774,"AAAAAH9f67Y=")</f>
        <v>#VALUE!</v>
      </c>
      <c r="GB186" t="e">
        <f>AND(Bills!R774,"AAAAAH9f67c=")</f>
        <v>#VALUE!</v>
      </c>
      <c r="GC186" t="e">
        <f>AND(Bills!S774,"AAAAAH9f67g=")</f>
        <v>#VALUE!</v>
      </c>
      <c r="GD186" t="e">
        <f>AND(Bills!T774,"AAAAAH9f67k=")</f>
        <v>#VALUE!</v>
      </c>
      <c r="GE186" t="e">
        <f>AND(Bills!#REF!,"AAAAAH9f67o=")</f>
        <v>#REF!</v>
      </c>
      <c r="GF186" t="e">
        <f>AND(Bills!U774,"AAAAAH9f67s=")</f>
        <v>#VALUE!</v>
      </c>
      <c r="GG186" t="e">
        <f>AND(Bills!V774,"AAAAAH9f67w=")</f>
        <v>#VALUE!</v>
      </c>
      <c r="GH186" t="e">
        <f>AND(Bills!W774,"AAAAAH9f670=")</f>
        <v>#VALUE!</v>
      </c>
      <c r="GI186" t="e">
        <f>AND(Bills!#REF!,"AAAAAH9f674=")</f>
        <v>#REF!</v>
      </c>
      <c r="GJ186" t="e">
        <f>AND(Bills!#REF!,"AAAAAH9f678=")</f>
        <v>#REF!</v>
      </c>
      <c r="GK186" t="e">
        <f>AND(Bills!Y774,"AAAAAH9f68A=")</f>
        <v>#VALUE!</v>
      </c>
      <c r="GL186" t="e">
        <f>AND(Bills!Z774,"AAAAAH9f68E=")</f>
        <v>#VALUE!</v>
      </c>
      <c r="GM186" t="e">
        <f>AND(Bills!#REF!,"AAAAAH9f68I=")</f>
        <v>#REF!</v>
      </c>
      <c r="GN186" t="e">
        <f>AND(Bills!#REF!,"AAAAAH9f68M=")</f>
        <v>#REF!</v>
      </c>
      <c r="GO186" t="e">
        <f>AND(Bills!#REF!,"AAAAAH9f68Q=")</f>
        <v>#REF!</v>
      </c>
      <c r="GP186" t="e">
        <f>AND(Bills!#REF!,"AAAAAH9f68U=")</f>
        <v>#REF!</v>
      </c>
      <c r="GQ186" t="e">
        <f>AND(Bills!#REF!,"AAAAAH9f68Y=")</f>
        <v>#REF!</v>
      </c>
      <c r="GR186" t="e">
        <f>AND(Bills!#REF!,"AAAAAH9f68c=")</f>
        <v>#REF!</v>
      </c>
      <c r="GS186" t="e">
        <f>AND(Bills!#REF!,"AAAAAH9f68g=")</f>
        <v>#REF!</v>
      </c>
      <c r="GT186" t="e">
        <f>AND(Bills!#REF!,"AAAAAH9f68k=")</f>
        <v>#REF!</v>
      </c>
      <c r="GU186" t="e">
        <f>AND(Bills!#REF!,"AAAAAH9f68o=")</f>
        <v>#REF!</v>
      </c>
      <c r="GV186" t="e">
        <f>AND(Bills!AA774,"AAAAAH9f68s=")</f>
        <v>#VALUE!</v>
      </c>
      <c r="GW186" t="e">
        <f>AND(Bills!AB774,"AAAAAH9f68w=")</f>
        <v>#VALUE!</v>
      </c>
      <c r="GX186" t="e">
        <f>AND(Bills!#REF!,"AAAAAH9f680=")</f>
        <v>#REF!</v>
      </c>
      <c r="GY186" t="e">
        <f>AND(Bills!#REF!,"AAAAAH9f684=")</f>
        <v>#REF!</v>
      </c>
      <c r="GZ186" t="e">
        <f>AND(Bills!#REF!,"AAAAAH9f688=")</f>
        <v>#REF!</v>
      </c>
      <c r="HA186" t="e">
        <f>AND(Bills!AC774,"AAAAAH9f69A=")</f>
        <v>#VALUE!</v>
      </c>
      <c r="HB186" t="e">
        <f>AND(Bills!AD774,"AAAAAH9f69E=")</f>
        <v>#VALUE!</v>
      </c>
      <c r="HC186" t="e">
        <f>AND(Bills!AE774,"AAAAAH9f69I=")</f>
        <v>#VALUE!</v>
      </c>
      <c r="HD186">
        <f>IF(Bills!775:775,"AAAAAH9f69M=",0)</f>
        <v>0</v>
      </c>
      <c r="HE186" t="e">
        <f>AND(Bills!B775,"AAAAAH9f69Q=")</f>
        <v>#VALUE!</v>
      </c>
      <c r="HF186" t="e">
        <f>AND(Bills!#REF!,"AAAAAH9f69U=")</f>
        <v>#REF!</v>
      </c>
      <c r="HG186" t="e">
        <f>AND(Bills!C775,"AAAAAH9f69Y=")</f>
        <v>#VALUE!</v>
      </c>
      <c r="HH186" t="e">
        <f>AND(Bills!D775,"AAAAAH9f69c=")</f>
        <v>#VALUE!</v>
      </c>
      <c r="HI186" t="e">
        <f>AND(Bills!E775,"AAAAAH9f69g=")</f>
        <v>#VALUE!</v>
      </c>
      <c r="HJ186" t="e">
        <f>AND(Bills!#REF!,"AAAAAH9f69k=")</f>
        <v>#REF!</v>
      </c>
      <c r="HK186" t="e">
        <f>AND(Bills!#REF!,"AAAAAH9f69o=")</f>
        <v>#REF!</v>
      </c>
      <c r="HL186" t="e">
        <f>AND(Bills!#REF!,"AAAAAH9f69s=")</f>
        <v>#REF!</v>
      </c>
      <c r="HM186" t="e">
        <f>AND(Bills!F775,"AAAAAH9f69w=")</f>
        <v>#VALUE!</v>
      </c>
      <c r="HN186" t="e">
        <f>AND(Bills!#REF!,"AAAAAH9f690=")</f>
        <v>#REF!</v>
      </c>
      <c r="HO186" t="e">
        <f>AND(Bills!G775,"AAAAAH9f694=")</f>
        <v>#VALUE!</v>
      </c>
      <c r="HP186" t="e">
        <f>AND(Bills!H775,"AAAAAH9f698=")</f>
        <v>#VALUE!</v>
      </c>
      <c r="HQ186" t="e">
        <f>AND(Bills!I775,"AAAAAH9f6+A=")</f>
        <v>#VALUE!</v>
      </c>
      <c r="HR186" t="e">
        <f>AND(Bills!J775,"AAAAAH9f6+E=")</f>
        <v>#VALUE!</v>
      </c>
      <c r="HS186" t="e">
        <f>AND(Bills!K775,"AAAAAH9f6+I=")</f>
        <v>#VALUE!</v>
      </c>
      <c r="HT186" t="e">
        <f>AND(Bills!L775,"AAAAAH9f6+M=")</f>
        <v>#VALUE!</v>
      </c>
      <c r="HU186" t="e">
        <f>AND(Bills!#REF!,"AAAAAH9f6+Q=")</f>
        <v>#REF!</v>
      </c>
      <c r="HV186" t="e">
        <f>AND(Bills!M775,"AAAAAH9f6+U=")</f>
        <v>#VALUE!</v>
      </c>
      <c r="HW186" t="e">
        <f>AND(Bills!N775,"AAAAAH9f6+Y=")</f>
        <v>#VALUE!</v>
      </c>
      <c r="HX186" t="e">
        <f>AND(Bills!O775,"AAAAAH9f6+c=")</f>
        <v>#VALUE!</v>
      </c>
      <c r="HY186" t="e">
        <f>AND(Bills!P775,"AAAAAH9f6+g=")</f>
        <v>#VALUE!</v>
      </c>
      <c r="HZ186" t="e">
        <f>AND(Bills!Q775,"AAAAAH9f6+k=")</f>
        <v>#VALUE!</v>
      </c>
      <c r="IA186" t="e">
        <f>AND(Bills!R775,"AAAAAH9f6+o=")</f>
        <v>#VALUE!</v>
      </c>
      <c r="IB186" t="e">
        <f>AND(Bills!S775,"AAAAAH9f6+s=")</f>
        <v>#VALUE!</v>
      </c>
      <c r="IC186" t="e">
        <f>AND(Bills!T775,"AAAAAH9f6+w=")</f>
        <v>#VALUE!</v>
      </c>
      <c r="ID186" t="e">
        <f>AND(Bills!#REF!,"AAAAAH9f6+0=")</f>
        <v>#REF!</v>
      </c>
      <c r="IE186" t="e">
        <f>AND(Bills!U775,"AAAAAH9f6+4=")</f>
        <v>#VALUE!</v>
      </c>
      <c r="IF186" t="e">
        <f>AND(Bills!V775,"AAAAAH9f6+8=")</f>
        <v>#VALUE!</v>
      </c>
      <c r="IG186" t="e">
        <f>AND(Bills!W775,"AAAAAH9f6/A=")</f>
        <v>#VALUE!</v>
      </c>
      <c r="IH186" t="e">
        <f>AND(Bills!#REF!,"AAAAAH9f6/E=")</f>
        <v>#REF!</v>
      </c>
      <c r="II186" t="e">
        <f>AND(Bills!#REF!,"AAAAAH9f6/I=")</f>
        <v>#REF!</v>
      </c>
      <c r="IJ186" t="e">
        <f>AND(Bills!Y775,"AAAAAH9f6/M=")</f>
        <v>#VALUE!</v>
      </c>
      <c r="IK186" t="e">
        <f>AND(Bills!Z775,"AAAAAH9f6/Q=")</f>
        <v>#VALUE!</v>
      </c>
      <c r="IL186" t="e">
        <f>AND(Bills!#REF!,"AAAAAH9f6/U=")</f>
        <v>#REF!</v>
      </c>
      <c r="IM186" t="e">
        <f>AND(Bills!#REF!,"AAAAAH9f6/Y=")</f>
        <v>#REF!</v>
      </c>
      <c r="IN186" t="e">
        <f>AND(Bills!#REF!,"AAAAAH9f6/c=")</f>
        <v>#REF!</v>
      </c>
      <c r="IO186" t="e">
        <f>AND(Bills!#REF!,"AAAAAH9f6/g=")</f>
        <v>#REF!</v>
      </c>
      <c r="IP186" t="e">
        <f>AND(Bills!#REF!,"AAAAAH9f6/k=")</f>
        <v>#REF!</v>
      </c>
      <c r="IQ186" t="e">
        <f>AND(Bills!#REF!,"AAAAAH9f6/o=")</f>
        <v>#REF!</v>
      </c>
      <c r="IR186" t="e">
        <f>AND(Bills!#REF!,"AAAAAH9f6/s=")</f>
        <v>#REF!</v>
      </c>
      <c r="IS186" t="e">
        <f>AND(Bills!#REF!,"AAAAAH9f6/w=")</f>
        <v>#REF!</v>
      </c>
      <c r="IT186" t="e">
        <f>AND(Bills!#REF!,"AAAAAH9f6/0=")</f>
        <v>#REF!</v>
      </c>
      <c r="IU186" t="e">
        <f>AND(Bills!AA775,"AAAAAH9f6/4=")</f>
        <v>#VALUE!</v>
      </c>
      <c r="IV186" t="e">
        <f>AND(Bills!AB775,"AAAAAH9f6/8=")</f>
        <v>#VALUE!</v>
      </c>
    </row>
    <row r="187" spans="1:256" x14ac:dyDescent="0.25">
      <c r="A187" t="e">
        <f>AND(Bills!#REF!,"AAAAAHt7HgA=")</f>
        <v>#REF!</v>
      </c>
      <c r="B187" t="e">
        <f>AND(Bills!#REF!,"AAAAAHt7HgE=")</f>
        <v>#REF!</v>
      </c>
      <c r="C187" t="e">
        <f>AND(Bills!#REF!,"AAAAAHt7HgI=")</f>
        <v>#REF!</v>
      </c>
      <c r="D187" t="e">
        <f>AND(Bills!AC775,"AAAAAHt7HgM=")</f>
        <v>#VALUE!</v>
      </c>
      <c r="E187" t="e">
        <f>AND(Bills!AD775,"AAAAAHt7HgQ=")</f>
        <v>#VALUE!</v>
      </c>
      <c r="F187" t="e">
        <f>AND(Bills!AE775,"AAAAAHt7HgU=")</f>
        <v>#VALUE!</v>
      </c>
      <c r="G187">
        <f>IF(Bills!776:776,"AAAAAHt7HgY=",0)</f>
        <v>0</v>
      </c>
      <c r="H187" t="e">
        <f>AND(Bills!B776,"AAAAAHt7Hgc=")</f>
        <v>#VALUE!</v>
      </c>
      <c r="I187" t="e">
        <f>AND(Bills!#REF!,"AAAAAHt7Hgg=")</f>
        <v>#REF!</v>
      </c>
      <c r="J187" t="e">
        <f>AND(Bills!C776,"AAAAAHt7Hgk=")</f>
        <v>#VALUE!</v>
      </c>
      <c r="K187" t="e">
        <f>AND(Bills!D776,"AAAAAHt7Hgo=")</f>
        <v>#VALUE!</v>
      </c>
      <c r="L187" t="e">
        <f>AND(Bills!E776,"AAAAAHt7Hgs=")</f>
        <v>#VALUE!</v>
      </c>
      <c r="M187" t="e">
        <f>AND(Bills!#REF!,"AAAAAHt7Hgw=")</f>
        <v>#REF!</v>
      </c>
      <c r="N187" t="e">
        <f>AND(Bills!#REF!,"AAAAAHt7Hg0=")</f>
        <v>#REF!</v>
      </c>
      <c r="O187" t="e">
        <f>AND(Bills!#REF!,"AAAAAHt7Hg4=")</f>
        <v>#REF!</v>
      </c>
      <c r="P187" t="e">
        <f>AND(Bills!F776,"AAAAAHt7Hg8=")</f>
        <v>#VALUE!</v>
      </c>
      <c r="Q187" t="e">
        <f>AND(Bills!#REF!,"AAAAAHt7HhA=")</f>
        <v>#REF!</v>
      </c>
      <c r="R187" t="e">
        <f>AND(Bills!G776,"AAAAAHt7HhE=")</f>
        <v>#VALUE!</v>
      </c>
      <c r="S187" t="e">
        <f>AND(Bills!H776,"AAAAAHt7HhI=")</f>
        <v>#VALUE!</v>
      </c>
      <c r="T187" t="e">
        <f>AND(Bills!I776,"AAAAAHt7HhM=")</f>
        <v>#VALUE!</v>
      </c>
      <c r="U187" t="e">
        <f>AND(Bills!J776,"AAAAAHt7HhQ=")</f>
        <v>#VALUE!</v>
      </c>
      <c r="V187" t="e">
        <f>AND(Bills!K776,"AAAAAHt7HhU=")</f>
        <v>#VALUE!</v>
      </c>
      <c r="W187" t="e">
        <f>AND(Bills!L776,"AAAAAHt7HhY=")</f>
        <v>#VALUE!</v>
      </c>
      <c r="X187" t="e">
        <f>AND(Bills!#REF!,"AAAAAHt7Hhc=")</f>
        <v>#REF!</v>
      </c>
      <c r="Y187" t="e">
        <f>AND(Bills!M776,"AAAAAHt7Hhg=")</f>
        <v>#VALUE!</v>
      </c>
      <c r="Z187" t="e">
        <f>AND(Bills!N776,"AAAAAHt7Hhk=")</f>
        <v>#VALUE!</v>
      </c>
      <c r="AA187" t="e">
        <f>AND(Bills!O776,"AAAAAHt7Hho=")</f>
        <v>#VALUE!</v>
      </c>
      <c r="AB187" t="e">
        <f>AND(Bills!P776,"AAAAAHt7Hhs=")</f>
        <v>#VALUE!</v>
      </c>
      <c r="AC187" t="e">
        <f>AND(Bills!Q776,"AAAAAHt7Hhw=")</f>
        <v>#VALUE!</v>
      </c>
      <c r="AD187" t="e">
        <f>AND(Bills!R776,"AAAAAHt7Hh0=")</f>
        <v>#VALUE!</v>
      </c>
      <c r="AE187" t="e">
        <f>AND(Bills!S776,"AAAAAHt7Hh4=")</f>
        <v>#VALUE!</v>
      </c>
      <c r="AF187" t="e">
        <f>AND(Bills!T776,"AAAAAHt7Hh8=")</f>
        <v>#VALUE!</v>
      </c>
      <c r="AG187" t="e">
        <f>AND(Bills!#REF!,"AAAAAHt7HiA=")</f>
        <v>#REF!</v>
      </c>
      <c r="AH187" t="e">
        <f>AND(Bills!U776,"AAAAAHt7HiE=")</f>
        <v>#VALUE!</v>
      </c>
      <c r="AI187" t="e">
        <f>AND(Bills!V776,"AAAAAHt7HiI=")</f>
        <v>#VALUE!</v>
      </c>
      <c r="AJ187" t="e">
        <f>AND(Bills!W776,"AAAAAHt7HiM=")</f>
        <v>#VALUE!</v>
      </c>
      <c r="AK187" t="e">
        <f>AND(Bills!#REF!,"AAAAAHt7HiQ=")</f>
        <v>#REF!</v>
      </c>
      <c r="AL187" t="e">
        <f>AND(Bills!#REF!,"AAAAAHt7HiU=")</f>
        <v>#REF!</v>
      </c>
      <c r="AM187" t="e">
        <f>AND(Bills!Y776,"AAAAAHt7HiY=")</f>
        <v>#VALUE!</v>
      </c>
      <c r="AN187" t="e">
        <f>AND(Bills!Z776,"AAAAAHt7Hic=")</f>
        <v>#VALUE!</v>
      </c>
      <c r="AO187" t="e">
        <f>AND(Bills!#REF!,"AAAAAHt7Hig=")</f>
        <v>#REF!</v>
      </c>
      <c r="AP187" t="e">
        <f>AND(Bills!#REF!,"AAAAAHt7Hik=")</f>
        <v>#REF!</v>
      </c>
      <c r="AQ187" t="e">
        <f>AND(Bills!#REF!,"AAAAAHt7Hio=")</f>
        <v>#REF!</v>
      </c>
      <c r="AR187" t="e">
        <f>AND(Bills!#REF!,"AAAAAHt7His=")</f>
        <v>#REF!</v>
      </c>
      <c r="AS187" t="e">
        <f>AND(Bills!#REF!,"AAAAAHt7Hiw=")</f>
        <v>#REF!</v>
      </c>
      <c r="AT187" t="e">
        <f>AND(Bills!#REF!,"AAAAAHt7Hi0=")</f>
        <v>#REF!</v>
      </c>
      <c r="AU187" t="e">
        <f>AND(Bills!#REF!,"AAAAAHt7Hi4=")</f>
        <v>#REF!</v>
      </c>
      <c r="AV187" t="e">
        <f>AND(Bills!#REF!,"AAAAAHt7Hi8=")</f>
        <v>#REF!</v>
      </c>
      <c r="AW187" t="e">
        <f>AND(Bills!#REF!,"AAAAAHt7HjA=")</f>
        <v>#REF!</v>
      </c>
      <c r="AX187" t="e">
        <f>AND(Bills!AA776,"AAAAAHt7HjE=")</f>
        <v>#VALUE!</v>
      </c>
      <c r="AY187" t="e">
        <f>AND(Bills!AB776,"AAAAAHt7HjI=")</f>
        <v>#VALUE!</v>
      </c>
      <c r="AZ187" t="e">
        <f>AND(Bills!#REF!,"AAAAAHt7HjM=")</f>
        <v>#REF!</v>
      </c>
      <c r="BA187" t="e">
        <f>AND(Bills!#REF!,"AAAAAHt7HjQ=")</f>
        <v>#REF!</v>
      </c>
      <c r="BB187" t="e">
        <f>AND(Bills!#REF!,"AAAAAHt7HjU=")</f>
        <v>#REF!</v>
      </c>
      <c r="BC187" t="e">
        <f>AND(Bills!AC776,"AAAAAHt7HjY=")</f>
        <v>#VALUE!</v>
      </c>
      <c r="BD187" t="e">
        <f>AND(Bills!AD776,"AAAAAHt7Hjc=")</f>
        <v>#VALUE!</v>
      </c>
      <c r="BE187" t="e">
        <f>AND(Bills!AE776,"AAAAAHt7Hjg=")</f>
        <v>#VALUE!</v>
      </c>
      <c r="BF187">
        <f>IF(Bills!777:777,"AAAAAHt7Hjk=",0)</f>
        <v>0</v>
      </c>
      <c r="BG187" t="e">
        <f>AND(Bills!B777,"AAAAAHt7Hjo=")</f>
        <v>#VALUE!</v>
      </c>
      <c r="BH187" t="e">
        <f>AND(Bills!#REF!,"AAAAAHt7Hjs=")</f>
        <v>#REF!</v>
      </c>
      <c r="BI187" t="e">
        <f>AND(Bills!C777,"AAAAAHt7Hjw=")</f>
        <v>#VALUE!</v>
      </c>
      <c r="BJ187" t="e">
        <f>AND(Bills!D777,"AAAAAHt7Hj0=")</f>
        <v>#VALUE!</v>
      </c>
      <c r="BK187" t="e">
        <f>AND(Bills!E777,"AAAAAHt7Hj4=")</f>
        <v>#VALUE!</v>
      </c>
      <c r="BL187" t="e">
        <f>AND(Bills!#REF!,"AAAAAHt7Hj8=")</f>
        <v>#REF!</v>
      </c>
      <c r="BM187" t="e">
        <f>AND(Bills!#REF!,"AAAAAHt7HkA=")</f>
        <v>#REF!</v>
      </c>
      <c r="BN187" t="e">
        <f>AND(Bills!#REF!,"AAAAAHt7HkE=")</f>
        <v>#REF!</v>
      </c>
      <c r="BO187" t="e">
        <f>AND(Bills!F777,"AAAAAHt7HkI=")</f>
        <v>#VALUE!</v>
      </c>
      <c r="BP187" t="e">
        <f>AND(Bills!#REF!,"AAAAAHt7HkM=")</f>
        <v>#REF!</v>
      </c>
      <c r="BQ187" t="e">
        <f>AND(Bills!G777,"AAAAAHt7HkQ=")</f>
        <v>#VALUE!</v>
      </c>
      <c r="BR187" t="e">
        <f>AND(Bills!H777,"AAAAAHt7HkU=")</f>
        <v>#VALUE!</v>
      </c>
      <c r="BS187" t="e">
        <f>AND(Bills!I777,"AAAAAHt7HkY=")</f>
        <v>#VALUE!</v>
      </c>
      <c r="BT187" t="e">
        <f>AND(Bills!J777,"AAAAAHt7Hkc=")</f>
        <v>#VALUE!</v>
      </c>
      <c r="BU187" t="e">
        <f>AND(Bills!K777,"AAAAAHt7Hkg=")</f>
        <v>#VALUE!</v>
      </c>
      <c r="BV187" t="e">
        <f>AND(Bills!L777,"AAAAAHt7Hkk=")</f>
        <v>#VALUE!</v>
      </c>
      <c r="BW187" t="e">
        <f>AND(Bills!#REF!,"AAAAAHt7Hko=")</f>
        <v>#REF!</v>
      </c>
      <c r="BX187" t="e">
        <f>AND(Bills!M777,"AAAAAHt7Hks=")</f>
        <v>#VALUE!</v>
      </c>
      <c r="BY187" t="e">
        <f>AND(Bills!N777,"AAAAAHt7Hkw=")</f>
        <v>#VALUE!</v>
      </c>
      <c r="BZ187" t="e">
        <f>AND(Bills!O777,"AAAAAHt7Hk0=")</f>
        <v>#VALUE!</v>
      </c>
      <c r="CA187" t="e">
        <f>AND(Bills!P777,"AAAAAHt7Hk4=")</f>
        <v>#VALUE!</v>
      </c>
      <c r="CB187" t="e">
        <f>AND(Bills!Q777,"AAAAAHt7Hk8=")</f>
        <v>#VALUE!</v>
      </c>
      <c r="CC187" t="e">
        <f>AND(Bills!R777,"AAAAAHt7HlA=")</f>
        <v>#VALUE!</v>
      </c>
      <c r="CD187" t="e">
        <f>AND(Bills!S777,"AAAAAHt7HlE=")</f>
        <v>#VALUE!</v>
      </c>
      <c r="CE187" t="e">
        <f>AND(Bills!T777,"AAAAAHt7HlI=")</f>
        <v>#VALUE!</v>
      </c>
      <c r="CF187" t="e">
        <f>AND(Bills!#REF!,"AAAAAHt7HlM=")</f>
        <v>#REF!</v>
      </c>
      <c r="CG187" t="e">
        <f>AND(Bills!U777,"AAAAAHt7HlQ=")</f>
        <v>#VALUE!</v>
      </c>
      <c r="CH187" t="e">
        <f>AND(Bills!V777,"AAAAAHt7HlU=")</f>
        <v>#VALUE!</v>
      </c>
      <c r="CI187" t="e">
        <f>AND(Bills!W777,"AAAAAHt7HlY=")</f>
        <v>#VALUE!</v>
      </c>
      <c r="CJ187" t="e">
        <f>AND(Bills!#REF!,"AAAAAHt7Hlc=")</f>
        <v>#REF!</v>
      </c>
      <c r="CK187" t="e">
        <f>AND(Bills!#REF!,"AAAAAHt7Hlg=")</f>
        <v>#REF!</v>
      </c>
      <c r="CL187" t="e">
        <f>AND(Bills!Y777,"AAAAAHt7Hlk=")</f>
        <v>#VALUE!</v>
      </c>
      <c r="CM187" t="e">
        <f>AND(Bills!Z777,"AAAAAHt7Hlo=")</f>
        <v>#VALUE!</v>
      </c>
      <c r="CN187" t="e">
        <f>AND(Bills!#REF!,"AAAAAHt7Hls=")</f>
        <v>#REF!</v>
      </c>
      <c r="CO187" t="e">
        <f>AND(Bills!#REF!,"AAAAAHt7Hlw=")</f>
        <v>#REF!</v>
      </c>
      <c r="CP187" t="e">
        <f>AND(Bills!#REF!,"AAAAAHt7Hl0=")</f>
        <v>#REF!</v>
      </c>
      <c r="CQ187" t="e">
        <f>AND(Bills!#REF!,"AAAAAHt7Hl4=")</f>
        <v>#REF!</v>
      </c>
      <c r="CR187" t="e">
        <f>AND(Bills!#REF!,"AAAAAHt7Hl8=")</f>
        <v>#REF!</v>
      </c>
      <c r="CS187" t="e">
        <f>AND(Bills!#REF!,"AAAAAHt7HmA=")</f>
        <v>#REF!</v>
      </c>
      <c r="CT187" t="e">
        <f>AND(Bills!#REF!,"AAAAAHt7HmE=")</f>
        <v>#REF!</v>
      </c>
      <c r="CU187" t="e">
        <f>AND(Bills!#REF!,"AAAAAHt7HmI=")</f>
        <v>#REF!</v>
      </c>
      <c r="CV187" t="e">
        <f>AND(Bills!#REF!,"AAAAAHt7HmM=")</f>
        <v>#REF!</v>
      </c>
      <c r="CW187" t="e">
        <f>AND(Bills!AA777,"AAAAAHt7HmQ=")</f>
        <v>#VALUE!</v>
      </c>
      <c r="CX187" t="e">
        <f>AND(Bills!AB777,"AAAAAHt7HmU=")</f>
        <v>#VALUE!</v>
      </c>
      <c r="CY187" t="e">
        <f>AND(Bills!#REF!,"AAAAAHt7HmY=")</f>
        <v>#REF!</v>
      </c>
      <c r="CZ187" t="e">
        <f>AND(Bills!#REF!,"AAAAAHt7Hmc=")</f>
        <v>#REF!</v>
      </c>
      <c r="DA187" t="e">
        <f>AND(Bills!#REF!,"AAAAAHt7Hmg=")</f>
        <v>#REF!</v>
      </c>
      <c r="DB187" t="e">
        <f>AND(Bills!AC777,"AAAAAHt7Hmk=")</f>
        <v>#VALUE!</v>
      </c>
      <c r="DC187" t="e">
        <f>AND(Bills!AD777,"AAAAAHt7Hmo=")</f>
        <v>#VALUE!</v>
      </c>
      <c r="DD187" t="e">
        <f>AND(Bills!AE777,"AAAAAHt7Hms=")</f>
        <v>#VALUE!</v>
      </c>
      <c r="DE187">
        <f>IF(Bills!778:778,"AAAAAHt7Hmw=",0)</f>
        <v>0</v>
      </c>
      <c r="DF187" t="e">
        <f>AND(Bills!B778,"AAAAAHt7Hm0=")</f>
        <v>#VALUE!</v>
      </c>
      <c r="DG187" t="e">
        <f>AND(Bills!#REF!,"AAAAAHt7Hm4=")</f>
        <v>#REF!</v>
      </c>
      <c r="DH187" t="e">
        <f>AND(Bills!C778,"AAAAAHt7Hm8=")</f>
        <v>#VALUE!</v>
      </c>
      <c r="DI187" t="e">
        <f>AND(Bills!D778,"AAAAAHt7HnA=")</f>
        <v>#VALUE!</v>
      </c>
      <c r="DJ187" t="e">
        <f>AND(Bills!E778,"AAAAAHt7HnE=")</f>
        <v>#VALUE!</v>
      </c>
      <c r="DK187" t="e">
        <f>AND(Bills!#REF!,"AAAAAHt7HnI=")</f>
        <v>#REF!</v>
      </c>
      <c r="DL187" t="e">
        <f>AND(Bills!#REF!,"AAAAAHt7HnM=")</f>
        <v>#REF!</v>
      </c>
      <c r="DM187" t="e">
        <f>AND(Bills!#REF!,"AAAAAHt7HnQ=")</f>
        <v>#REF!</v>
      </c>
      <c r="DN187" t="e">
        <f>AND(Bills!F778,"AAAAAHt7HnU=")</f>
        <v>#VALUE!</v>
      </c>
      <c r="DO187" t="e">
        <f>AND(Bills!#REF!,"AAAAAHt7HnY=")</f>
        <v>#REF!</v>
      </c>
      <c r="DP187" t="e">
        <f>AND(Bills!G778,"AAAAAHt7Hnc=")</f>
        <v>#VALUE!</v>
      </c>
      <c r="DQ187" t="e">
        <f>AND(Bills!H778,"AAAAAHt7Hng=")</f>
        <v>#VALUE!</v>
      </c>
      <c r="DR187" t="e">
        <f>AND(Bills!I778,"AAAAAHt7Hnk=")</f>
        <v>#VALUE!</v>
      </c>
      <c r="DS187" t="e">
        <f>AND(Bills!J778,"AAAAAHt7Hno=")</f>
        <v>#VALUE!</v>
      </c>
      <c r="DT187" t="e">
        <f>AND(Bills!K778,"AAAAAHt7Hns=")</f>
        <v>#VALUE!</v>
      </c>
      <c r="DU187" t="e">
        <f>AND(Bills!L778,"AAAAAHt7Hnw=")</f>
        <v>#VALUE!</v>
      </c>
      <c r="DV187" t="e">
        <f>AND(Bills!#REF!,"AAAAAHt7Hn0=")</f>
        <v>#REF!</v>
      </c>
      <c r="DW187" t="e">
        <f>AND(Bills!M778,"AAAAAHt7Hn4=")</f>
        <v>#VALUE!</v>
      </c>
      <c r="DX187" t="e">
        <f>AND(Bills!N778,"AAAAAHt7Hn8=")</f>
        <v>#VALUE!</v>
      </c>
      <c r="DY187" t="e">
        <f>AND(Bills!O778,"AAAAAHt7HoA=")</f>
        <v>#VALUE!</v>
      </c>
      <c r="DZ187" t="e">
        <f>AND(Bills!P778,"AAAAAHt7HoE=")</f>
        <v>#VALUE!</v>
      </c>
      <c r="EA187" t="e">
        <f>AND(Bills!Q778,"AAAAAHt7HoI=")</f>
        <v>#VALUE!</v>
      </c>
      <c r="EB187" t="e">
        <f>AND(Bills!R778,"AAAAAHt7HoM=")</f>
        <v>#VALUE!</v>
      </c>
      <c r="EC187" t="e">
        <f>AND(Bills!S778,"AAAAAHt7HoQ=")</f>
        <v>#VALUE!</v>
      </c>
      <c r="ED187" t="e">
        <f>AND(Bills!T778,"AAAAAHt7HoU=")</f>
        <v>#VALUE!</v>
      </c>
      <c r="EE187" t="e">
        <f>AND(Bills!#REF!,"AAAAAHt7HoY=")</f>
        <v>#REF!</v>
      </c>
      <c r="EF187" t="e">
        <f>AND(Bills!U778,"AAAAAHt7Hoc=")</f>
        <v>#VALUE!</v>
      </c>
      <c r="EG187" t="e">
        <f>AND(Bills!V778,"AAAAAHt7Hog=")</f>
        <v>#VALUE!</v>
      </c>
      <c r="EH187" t="e">
        <f>AND(Bills!W778,"AAAAAHt7Hok=")</f>
        <v>#VALUE!</v>
      </c>
      <c r="EI187" t="e">
        <f>AND(Bills!#REF!,"AAAAAHt7Hoo=")</f>
        <v>#REF!</v>
      </c>
      <c r="EJ187" t="e">
        <f>AND(Bills!#REF!,"AAAAAHt7Hos=")</f>
        <v>#REF!</v>
      </c>
      <c r="EK187" t="e">
        <f>AND(Bills!Y778,"AAAAAHt7How=")</f>
        <v>#VALUE!</v>
      </c>
      <c r="EL187" t="e">
        <f>AND(Bills!Z778,"AAAAAHt7Ho0=")</f>
        <v>#VALUE!</v>
      </c>
      <c r="EM187" t="e">
        <f>AND(Bills!#REF!,"AAAAAHt7Ho4=")</f>
        <v>#REF!</v>
      </c>
      <c r="EN187" t="e">
        <f>AND(Bills!#REF!,"AAAAAHt7Ho8=")</f>
        <v>#REF!</v>
      </c>
      <c r="EO187" t="e">
        <f>AND(Bills!#REF!,"AAAAAHt7HpA=")</f>
        <v>#REF!</v>
      </c>
      <c r="EP187" t="e">
        <f>AND(Bills!#REF!,"AAAAAHt7HpE=")</f>
        <v>#REF!</v>
      </c>
      <c r="EQ187" t="e">
        <f>AND(Bills!#REF!,"AAAAAHt7HpI=")</f>
        <v>#REF!</v>
      </c>
      <c r="ER187" t="e">
        <f>AND(Bills!#REF!,"AAAAAHt7HpM=")</f>
        <v>#REF!</v>
      </c>
      <c r="ES187" t="e">
        <f>AND(Bills!#REF!,"AAAAAHt7HpQ=")</f>
        <v>#REF!</v>
      </c>
      <c r="ET187" t="e">
        <f>AND(Bills!#REF!,"AAAAAHt7HpU=")</f>
        <v>#REF!</v>
      </c>
      <c r="EU187" t="e">
        <f>AND(Bills!#REF!,"AAAAAHt7HpY=")</f>
        <v>#REF!</v>
      </c>
      <c r="EV187" t="e">
        <f>AND(Bills!AA778,"AAAAAHt7Hpc=")</f>
        <v>#VALUE!</v>
      </c>
      <c r="EW187" t="e">
        <f>AND(Bills!AB778,"AAAAAHt7Hpg=")</f>
        <v>#VALUE!</v>
      </c>
      <c r="EX187" t="e">
        <f>AND(Bills!#REF!,"AAAAAHt7Hpk=")</f>
        <v>#REF!</v>
      </c>
      <c r="EY187" t="e">
        <f>AND(Bills!#REF!,"AAAAAHt7Hpo=")</f>
        <v>#REF!</v>
      </c>
      <c r="EZ187" t="e">
        <f>AND(Bills!#REF!,"AAAAAHt7Hps=")</f>
        <v>#REF!</v>
      </c>
      <c r="FA187" t="e">
        <f>AND(Bills!AC778,"AAAAAHt7Hpw=")</f>
        <v>#VALUE!</v>
      </c>
      <c r="FB187" t="e">
        <f>AND(Bills!AD778,"AAAAAHt7Hp0=")</f>
        <v>#VALUE!</v>
      </c>
      <c r="FC187" t="e">
        <f>AND(Bills!AE778,"AAAAAHt7Hp4=")</f>
        <v>#VALUE!</v>
      </c>
      <c r="FD187">
        <f>IF(Bills!779:779,"AAAAAHt7Hp8=",0)</f>
        <v>0</v>
      </c>
      <c r="FE187" t="e">
        <f>AND(Bills!B779,"AAAAAHt7HqA=")</f>
        <v>#VALUE!</v>
      </c>
      <c r="FF187" t="e">
        <f>AND(Bills!#REF!,"AAAAAHt7HqE=")</f>
        <v>#REF!</v>
      </c>
      <c r="FG187" t="e">
        <f>AND(Bills!C779,"AAAAAHt7HqI=")</f>
        <v>#VALUE!</v>
      </c>
      <c r="FH187" t="e">
        <f>AND(Bills!D779,"AAAAAHt7HqM=")</f>
        <v>#VALUE!</v>
      </c>
      <c r="FI187" t="e">
        <f>AND(Bills!E779,"AAAAAHt7HqQ=")</f>
        <v>#VALUE!</v>
      </c>
      <c r="FJ187" t="e">
        <f>AND(Bills!#REF!,"AAAAAHt7HqU=")</f>
        <v>#REF!</v>
      </c>
      <c r="FK187" t="e">
        <f>AND(Bills!#REF!,"AAAAAHt7HqY=")</f>
        <v>#REF!</v>
      </c>
      <c r="FL187" t="e">
        <f>AND(Bills!#REF!,"AAAAAHt7Hqc=")</f>
        <v>#REF!</v>
      </c>
      <c r="FM187" t="e">
        <f>AND(Bills!F779,"AAAAAHt7Hqg=")</f>
        <v>#VALUE!</v>
      </c>
      <c r="FN187" t="e">
        <f>AND(Bills!#REF!,"AAAAAHt7Hqk=")</f>
        <v>#REF!</v>
      </c>
      <c r="FO187" t="e">
        <f>AND(Bills!G779,"AAAAAHt7Hqo=")</f>
        <v>#VALUE!</v>
      </c>
      <c r="FP187" t="e">
        <f>AND(Bills!H779,"AAAAAHt7Hqs=")</f>
        <v>#VALUE!</v>
      </c>
      <c r="FQ187" t="e">
        <f>AND(Bills!I779,"AAAAAHt7Hqw=")</f>
        <v>#VALUE!</v>
      </c>
      <c r="FR187" t="e">
        <f>AND(Bills!J779,"AAAAAHt7Hq0=")</f>
        <v>#VALUE!</v>
      </c>
      <c r="FS187" t="e">
        <f>AND(Bills!K779,"AAAAAHt7Hq4=")</f>
        <v>#VALUE!</v>
      </c>
      <c r="FT187" t="e">
        <f>AND(Bills!L779,"AAAAAHt7Hq8=")</f>
        <v>#VALUE!</v>
      </c>
      <c r="FU187" t="e">
        <f>AND(Bills!#REF!,"AAAAAHt7HrA=")</f>
        <v>#REF!</v>
      </c>
      <c r="FV187" t="e">
        <f>AND(Bills!M779,"AAAAAHt7HrE=")</f>
        <v>#VALUE!</v>
      </c>
      <c r="FW187" t="e">
        <f>AND(Bills!N779,"AAAAAHt7HrI=")</f>
        <v>#VALUE!</v>
      </c>
      <c r="FX187" t="e">
        <f>AND(Bills!O779,"AAAAAHt7HrM=")</f>
        <v>#VALUE!</v>
      </c>
      <c r="FY187" t="e">
        <f>AND(Bills!P779,"AAAAAHt7HrQ=")</f>
        <v>#VALUE!</v>
      </c>
      <c r="FZ187" t="e">
        <f>AND(Bills!Q779,"AAAAAHt7HrU=")</f>
        <v>#VALUE!</v>
      </c>
      <c r="GA187" t="e">
        <f>AND(Bills!R779,"AAAAAHt7HrY=")</f>
        <v>#VALUE!</v>
      </c>
      <c r="GB187" t="e">
        <f>AND(Bills!S779,"AAAAAHt7Hrc=")</f>
        <v>#VALUE!</v>
      </c>
      <c r="GC187" t="e">
        <f>AND(Bills!T779,"AAAAAHt7Hrg=")</f>
        <v>#VALUE!</v>
      </c>
      <c r="GD187" t="e">
        <f>AND(Bills!#REF!,"AAAAAHt7Hrk=")</f>
        <v>#REF!</v>
      </c>
      <c r="GE187" t="e">
        <f>AND(Bills!U779,"AAAAAHt7Hro=")</f>
        <v>#VALUE!</v>
      </c>
      <c r="GF187" t="e">
        <f>AND(Bills!V779,"AAAAAHt7Hrs=")</f>
        <v>#VALUE!</v>
      </c>
      <c r="GG187" t="e">
        <f>AND(Bills!W779,"AAAAAHt7Hrw=")</f>
        <v>#VALUE!</v>
      </c>
      <c r="GH187" t="e">
        <f>AND(Bills!#REF!,"AAAAAHt7Hr0=")</f>
        <v>#REF!</v>
      </c>
      <c r="GI187" t="e">
        <f>AND(Bills!#REF!,"AAAAAHt7Hr4=")</f>
        <v>#REF!</v>
      </c>
      <c r="GJ187" t="e">
        <f>AND(Bills!Y779,"AAAAAHt7Hr8=")</f>
        <v>#VALUE!</v>
      </c>
      <c r="GK187" t="e">
        <f>AND(Bills!Z779,"AAAAAHt7HsA=")</f>
        <v>#VALUE!</v>
      </c>
      <c r="GL187" t="e">
        <f>AND(Bills!#REF!,"AAAAAHt7HsE=")</f>
        <v>#REF!</v>
      </c>
      <c r="GM187" t="e">
        <f>AND(Bills!#REF!,"AAAAAHt7HsI=")</f>
        <v>#REF!</v>
      </c>
      <c r="GN187" t="e">
        <f>AND(Bills!#REF!,"AAAAAHt7HsM=")</f>
        <v>#REF!</v>
      </c>
      <c r="GO187" t="e">
        <f>AND(Bills!#REF!,"AAAAAHt7HsQ=")</f>
        <v>#REF!</v>
      </c>
      <c r="GP187" t="e">
        <f>AND(Bills!#REF!,"AAAAAHt7HsU=")</f>
        <v>#REF!</v>
      </c>
      <c r="GQ187" t="e">
        <f>AND(Bills!#REF!,"AAAAAHt7HsY=")</f>
        <v>#REF!</v>
      </c>
      <c r="GR187" t="e">
        <f>AND(Bills!#REF!,"AAAAAHt7Hsc=")</f>
        <v>#REF!</v>
      </c>
      <c r="GS187" t="e">
        <f>AND(Bills!#REF!,"AAAAAHt7Hsg=")</f>
        <v>#REF!</v>
      </c>
      <c r="GT187" t="e">
        <f>AND(Bills!#REF!,"AAAAAHt7Hsk=")</f>
        <v>#REF!</v>
      </c>
      <c r="GU187" t="e">
        <f>AND(Bills!AA779,"AAAAAHt7Hso=")</f>
        <v>#VALUE!</v>
      </c>
      <c r="GV187" t="e">
        <f>AND(Bills!AB779,"AAAAAHt7Hss=")</f>
        <v>#VALUE!</v>
      </c>
      <c r="GW187" t="e">
        <f>AND(Bills!#REF!,"AAAAAHt7Hsw=")</f>
        <v>#REF!</v>
      </c>
      <c r="GX187" t="e">
        <f>AND(Bills!#REF!,"AAAAAHt7Hs0=")</f>
        <v>#REF!</v>
      </c>
      <c r="GY187" t="e">
        <f>AND(Bills!#REF!,"AAAAAHt7Hs4=")</f>
        <v>#REF!</v>
      </c>
      <c r="GZ187" t="e">
        <f>AND(Bills!AC779,"AAAAAHt7Hs8=")</f>
        <v>#VALUE!</v>
      </c>
      <c r="HA187" t="e">
        <f>AND(Bills!AD779,"AAAAAHt7HtA=")</f>
        <v>#VALUE!</v>
      </c>
      <c r="HB187" t="e">
        <f>AND(Bills!AE779,"AAAAAHt7HtE=")</f>
        <v>#VALUE!</v>
      </c>
      <c r="HC187">
        <f>IF(Bills!780:780,"AAAAAHt7HtI=",0)</f>
        <v>0</v>
      </c>
      <c r="HD187" t="e">
        <f>AND(Bills!B780,"AAAAAHt7HtM=")</f>
        <v>#VALUE!</v>
      </c>
      <c r="HE187" t="e">
        <f>AND(Bills!#REF!,"AAAAAHt7HtQ=")</f>
        <v>#REF!</v>
      </c>
      <c r="HF187" t="e">
        <f>AND(Bills!C780,"AAAAAHt7HtU=")</f>
        <v>#VALUE!</v>
      </c>
      <c r="HG187" t="e">
        <f>AND(Bills!D780,"AAAAAHt7HtY=")</f>
        <v>#VALUE!</v>
      </c>
      <c r="HH187" t="e">
        <f>AND(Bills!E780,"AAAAAHt7Htc=")</f>
        <v>#VALUE!</v>
      </c>
      <c r="HI187" t="e">
        <f>AND(Bills!#REF!,"AAAAAHt7Htg=")</f>
        <v>#REF!</v>
      </c>
      <c r="HJ187" t="e">
        <f>AND(Bills!#REF!,"AAAAAHt7Htk=")</f>
        <v>#REF!</v>
      </c>
      <c r="HK187" t="e">
        <f>AND(Bills!#REF!,"AAAAAHt7Hto=")</f>
        <v>#REF!</v>
      </c>
      <c r="HL187" t="e">
        <f>AND(Bills!F780,"AAAAAHt7Hts=")</f>
        <v>#VALUE!</v>
      </c>
      <c r="HM187" t="e">
        <f>AND(Bills!#REF!,"AAAAAHt7Htw=")</f>
        <v>#REF!</v>
      </c>
      <c r="HN187" t="e">
        <f>AND(Bills!G780,"AAAAAHt7Ht0=")</f>
        <v>#VALUE!</v>
      </c>
      <c r="HO187" t="e">
        <f>AND(Bills!H780,"AAAAAHt7Ht4=")</f>
        <v>#VALUE!</v>
      </c>
      <c r="HP187" t="e">
        <f>AND(Bills!I780,"AAAAAHt7Ht8=")</f>
        <v>#VALUE!</v>
      </c>
      <c r="HQ187" t="e">
        <f>AND(Bills!J780,"AAAAAHt7HuA=")</f>
        <v>#VALUE!</v>
      </c>
      <c r="HR187" t="e">
        <f>AND(Bills!K780,"AAAAAHt7HuE=")</f>
        <v>#VALUE!</v>
      </c>
      <c r="HS187" t="e">
        <f>AND(Bills!L780,"AAAAAHt7HuI=")</f>
        <v>#VALUE!</v>
      </c>
      <c r="HT187" t="e">
        <f>AND(Bills!#REF!,"AAAAAHt7HuM=")</f>
        <v>#REF!</v>
      </c>
      <c r="HU187" t="e">
        <f>AND(Bills!M780,"AAAAAHt7HuQ=")</f>
        <v>#VALUE!</v>
      </c>
      <c r="HV187" t="e">
        <f>AND(Bills!N780,"AAAAAHt7HuU=")</f>
        <v>#VALUE!</v>
      </c>
      <c r="HW187" t="e">
        <f>AND(Bills!O780,"AAAAAHt7HuY=")</f>
        <v>#VALUE!</v>
      </c>
      <c r="HX187" t="e">
        <f>AND(Bills!P780,"AAAAAHt7Huc=")</f>
        <v>#VALUE!</v>
      </c>
      <c r="HY187" t="e">
        <f>AND(Bills!Q780,"AAAAAHt7Hug=")</f>
        <v>#VALUE!</v>
      </c>
      <c r="HZ187" t="e">
        <f>AND(Bills!R780,"AAAAAHt7Huk=")</f>
        <v>#VALUE!</v>
      </c>
      <c r="IA187" t="e">
        <f>AND(Bills!S780,"AAAAAHt7Huo=")</f>
        <v>#VALUE!</v>
      </c>
      <c r="IB187" t="e">
        <f>AND(Bills!T780,"AAAAAHt7Hus=")</f>
        <v>#VALUE!</v>
      </c>
      <c r="IC187" t="e">
        <f>AND(Bills!#REF!,"AAAAAHt7Huw=")</f>
        <v>#REF!</v>
      </c>
      <c r="ID187" t="e">
        <f>AND(Bills!U780,"AAAAAHt7Hu0=")</f>
        <v>#VALUE!</v>
      </c>
      <c r="IE187" t="e">
        <f>AND(Bills!V780,"AAAAAHt7Hu4=")</f>
        <v>#VALUE!</v>
      </c>
      <c r="IF187" t="e">
        <f>AND(Bills!W780,"AAAAAHt7Hu8=")</f>
        <v>#VALUE!</v>
      </c>
      <c r="IG187" t="e">
        <f>AND(Bills!#REF!,"AAAAAHt7HvA=")</f>
        <v>#REF!</v>
      </c>
      <c r="IH187" t="e">
        <f>AND(Bills!#REF!,"AAAAAHt7HvE=")</f>
        <v>#REF!</v>
      </c>
      <c r="II187" t="e">
        <f>AND(Bills!Y780,"AAAAAHt7HvI=")</f>
        <v>#VALUE!</v>
      </c>
      <c r="IJ187" t="e">
        <f>AND(Bills!Z780,"AAAAAHt7HvM=")</f>
        <v>#VALUE!</v>
      </c>
      <c r="IK187" t="e">
        <f>AND(Bills!#REF!,"AAAAAHt7HvQ=")</f>
        <v>#REF!</v>
      </c>
      <c r="IL187" t="e">
        <f>AND(Bills!#REF!,"AAAAAHt7HvU=")</f>
        <v>#REF!</v>
      </c>
      <c r="IM187" t="e">
        <f>AND(Bills!#REF!,"AAAAAHt7HvY=")</f>
        <v>#REF!</v>
      </c>
      <c r="IN187" t="e">
        <f>AND(Bills!#REF!,"AAAAAHt7Hvc=")</f>
        <v>#REF!</v>
      </c>
      <c r="IO187" t="e">
        <f>AND(Bills!#REF!,"AAAAAHt7Hvg=")</f>
        <v>#REF!</v>
      </c>
      <c r="IP187" t="e">
        <f>AND(Bills!#REF!,"AAAAAHt7Hvk=")</f>
        <v>#REF!</v>
      </c>
      <c r="IQ187" t="e">
        <f>AND(Bills!#REF!,"AAAAAHt7Hvo=")</f>
        <v>#REF!</v>
      </c>
      <c r="IR187" t="e">
        <f>AND(Bills!#REF!,"AAAAAHt7Hvs=")</f>
        <v>#REF!</v>
      </c>
      <c r="IS187" t="e">
        <f>AND(Bills!#REF!,"AAAAAHt7Hvw=")</f>
        <v>#REF!</v>
      </c>
      <c r="IT187" t="e">
        <f>AND(Bills!AA780,"AAAAAHt7Hv0=")</f>
        <v>#VALUE!</v>
      </c>
      <c r="IU187" t="e">
        <f>AND(Bills!AB780,"AAAAAHt7Hv4=")</f>
        <v>#VALUE!</v>
      </c>
      <c r="IV187" t="e">
        <f>AND(Bills!#REF!,"AAAAAHt7Hv8=")</f>
        <v>#REF!</v>
      </c>
    </row>
    <row r="188" spans="1:256" x14ac:dyDescent="0.25">
      <c r="A188" t="e">
        <f>AND(Bills!#REF!,"AAAAAF2JeQA=")</f>
        <v>#REF!</v>
      </c>
      <c r="B188" t="e">
        <f>AND(Bills!#REF!,"AAAAAF2JeQE=")</f>
        <v>#REF!</v>
      </c>
      <c r="C188" t="e">
        <f>AND(Bills!AC780,"AAAAAF2JeQI=")</f>
        <v>#VALUE!</v>
      </c>
      <c r="D188" t="e">
        <f>AND(Bills!AD780,"AAAAAF2JeQM=")</f>
        <v>#VALUE!</v>
      </c>
      <c r="E188" t="e">
        <f>AND(Bills!AE780,"AAAAAF2JeQQ=")</f>
        <v>#VALUE!</v>
      </c>
      <c r="F188">
        <f>IF(Bills!781:781,"AAAAAF2JeQU=",0)</f>
        <v>0</v>
      </c>
      <c r="G188" t="e">
        <f>AND(Bills!B781,"AAAAAF2JeQY=")</f>
        <v>#VALUE!</v>
      </c>
      <c r="H188" t="e">
        <f>AND(Bills!#REF!,"AAAAAF2JeQc=")</f>
        <v>#REF!</v>
      </c>
      <c r="I188" t="e">
        <f>AND(Bills!C781,"AAAAAF2JeQg=")</f>
        <v>#VALUE!</v>
      </c>
      <c r="J188" t="e">
        <f>AND(Bills!D781,"AAAAAF2JeQk=")</f>
        <v>#VALUE!</v>
      </c>
      <c r="K188" t="e">
        <f>AND(Bills!E781,"AAAAAF2JeQo=")</f>
        <v>#VALUE!</v>
      </c>
      <c r="L188" t="e">
        <f>AND(Bills!#REF!,"AAAAAF2JeQs=")</f>
        <v>#REF!</v>
      </c>
      <c r="M188" t="e">
        <f>AND(Bills!#REF!,"AAAAAF2JeQw=")</f>
        <v>#REF!</v>
      </c>
      <c r="N188" t="e">
        <f>AND(Bills!#REF!,"AAAAAF2JeQ0=")</f>
        <v>#REF!</v>
      </c>
      <c r="O188" t="e">
        <f>AND(Bills!F781,"AAAAAF2JeQ4=")</f>
        <v>#VALUE!</v>
      </c>
      <c r="P188" t="e">
        <f>AND(Bills!#REF!,"AAAAAF2JeQ8=")</f>
        <v>#REF!</v>
      </c>
      <c r="Q188" t="e">
        <f>AND(Bills!G781,"AAAAAF2JeRA=")</f>
        <v>#VALUE!</v>
      </c>
      <c r="R188" t="e">
        <f>AND(Bills!H781,"AAAAAF2JeRE=")</f>
        <v>#VALUE!</v>
      </c>
      <c r="S188" t="e">
        <f>AND(Bills!I781,"AAAAAF2JeRI=")</f>
        <v>#VALUE!</v>
      </c>
      <c r="T188" t="e">
        <f>AND(Bills!J781,"AAAAAF2JeRM=")</f>
        <v>#VALUE!</v>
      </c>
      <c r="U188" t="e">
        <f>AND(Bills!K781,"AAAAAF2JeRQ=")</f>
        <v>#VALUE!</v>
      </c>
      <c r="V188" t="e">
        <f>AND(Bills!L781,"AAAAAF2JeRU=")</f>
        <v>#VALUE!</v>
      </c>
      <c r="W188" t="e">
        <f>AND(Bills!#REF!,"AAAAAF2JeRY=")</f>
        <v>#REF!</v>
      </c>
      <c r="X188" t="e">
        <f>AND(Bills!M781,"AAAAAF2JeRc=")</f>
        <v>#VALUE!</v>
      </c>
      <c r="Y188" t="e">
        <f>AND(Bills!N781,"AAAAAF2JeRg=")</f>
        <v>#VALUE!</v>
      </c>
      <c r="Z188" t="e">
        <f>AND(Bills!O781,"AAAAAF2JeRk=")</f>
        <v>#VALUE!</v>
      </c>
      <c r="AA188" t="e">
        <f>AND(Bills!P781,"AAAAAF2JeRo=")</f>
        <v>#VALUE!</v>
      </c>
      <c r="AB188" t="e">
        <f>AND(Bills!Q781,"AAAAAF2JeRs=")</f>
        <v>#VALUE!</v>
      </c>
      <c r="AC188" t="e">
        <f>AND(Bills!R781,"AAAAAF2JeRw=")</f>
        <v>#VALUE!</v>
      </c>
      <c r="AD188" t="e">
        <f>AND(Bills!S781,"AAAAAF2JeR0=")</f>
        <v>#VALUE!</v>
      </c>
      <c r="AE188" t="e">
        <f>AND(Bills!T781,"AAAAAF2JeR4=")</f>
        <v>#VALUE!</v>
      </c>
      <c r="AF188" t="e">
        <f>AND(Bills!#REF!,"AAAAAF2JeR8=")</f>
        <v>#REF!</v>
      </c>
      <c r="AG188" t="e">
        <f>AND(Bills!U781,"AAAAAF2JeSA=")</f>
        <v>#VALUE!</v>
      </c>
      <c r="AH188" t="e">
        <f>AND(Bills!V781,"AAAAAF2JeSE=")</f>
        <v>#VALUE!</v>
      </c>
      <c r="AI188" t="e">
        <f>AND(Bills!W781,"AAAAAF2JeSI=")</f>
        <v>#VALUE!</v>
      </c>
      <c r="AJ188" t="e">
        <f>AND(Bills!#REF!,"AAAAAF2JeSM=")</f>
        <v>#REF!</v>
      </c>
      <c r="AK188" t="e">
        <f>AND(Bills!#REF!,"AAAAAF2JeSQ=")</f>
        <v>#REF!</v>
      </c>
      <c r="AL188" t="e">
        <f>AND(Bills!Y781,"AAAAAF2JeSU=")</f>
        <v>#VALUE!</v>
      </c>
      <c r="AM188" t="e">
        <f>AND(Bills!Z781,"AAAAAF2JeSY=")</f>
        <v>#VALUE!</v>
      </c>
      <c r="AN188" t="e">
        <f>AND(Bills!#REF!,"AAAAAF2JeSc=")</f>
        <v>#REF!</v>
      </c>
      <c r="AO188" t="e">
        <f>AND(Bills!#REF!,"AAAAAF2JeSg=")</f>
        <v>#REF!</v>
      </c>
      <c r="AP188" t="e">
        <f>AND(Bills!#REF!,"AAAAAF2JeSk=")</f>
        <v>#REF!</v>
      </c>
      <c r="AQ188" t="e">
        <f>AND(Bills!#REF!,"AAAAAF2JeSo=")</f>
        <v>#REF!</v>
      </c>
      <c r="AR188" t="e">
        <f>AND(Bills!#REF!,"AAAAAF2JeSs=")</f>
        <v>#REF!</v>
      </c>
      <c r="AS188" t="e">
        <f>AND(Bills!#REF!,"AAAAAF2JeSw=")</f>
        <v>#REF!</v>
      </c>
      <c r="AT188" t="e">
        <f>AND(Bills!#REF!,"AAAAAF2JeS0=")</f>
        <v>#REF!</v>
      </c>
      <c r="AU188" t="e">
        <f>AND(Bills!#REF!,"AAAAAF2JeS4=")</f>
        <v>#REF!</v>
      </c>
      <c r="AV188" t="e">
        <f>AND(Bills!#REF!,"AAAAAF2JeS8=")</f>
        <v>#REF!</v>
      </c>
      <c r="AW188" t="e">
        <f>AND(Bills!AA781,"AAAAAF2JeTA=")</f>
        <v>#VALUE!</v>
      </c>
      <c r="AX188" t="e">
        <f>AND(Bills!AB781,"AAAAAF2JeTE=")</f>
        <v>#VALUE!</v>
      </c>
      <c r="AY188" t="e">
        <f>AND(Bills!#REF!,"AAAAAF2JeTI=")</f>
        <v>#REF!</v>
      </c>
      <c r="AZ188" t="e">
        <f>AND(Bills!#REF!,"AAAAAF2JeTM=")</f>
        <v>#REF!</v>
      </c>
      <c r="BA188" t="e">
        <f>AND(Bills!#REF!,"AAAAAF2JeTQ=")</f>
        <v>#REF!</v>
      </c>
      <c r="BB188" t="e">
        <f>AND(Bills!AC781,"AAAAAF2JeTU=")</f>
        <v>#VALUE!</v>
      </c>
      <c r="BC188" t="e">
        <f>AND(Bills!AD781,"AAAAAF2JeTY=")</f>
        <v>#VALUE!</v>
      </c>
      <c r="BD188" t="e">
        <f>AND(Bills!AE781,"AAAAAF2JeTc=")</f>
        <v>#VALUE!</v>
      </c>
      <c r="BE188">
        <f>IF(Bills!782:782,"AAAAAF2JeTg=",0)</f>
        <v>0</v>
      </c>
      <c r="BF188" t="e">
        <f>AND(Bills!B782,"AAAAAF2JeTk=")</f>
        <v>#VALUE!</v>
      </c>
      <c r="BG188" t="e">
        <f>AND(Bills!#REF!,"AAAAAF2JeTo=")</f>
        <v>#REF!</v>
      </c>
      <c r="BH188" t="e">
        <f>AND(Bills!C782,"AAAAAF2JeTs=")</f>
        <v>#VALUE!</v>
      </c>
      <c r="BI188" t="e">
        <f>AND(Bills!D782,"AAAAAF2JeTw=")</f>
        <v>#VALUE!</v>
      </c>
      <c r="BJ188" t="e">
        <f>AND(Bills!E782,"AAAAAF2JeT0=")</f>
        <v>#VALUE!</v>
      </c>
      <c r="BK188" t="e">
        <f>AND(Bills!#REF!,"AAAAAF2JeT4=")</f>
        <v>#REF!</v>
      </c>
      <c r="BL188" t="e">
        <f>AND(Bills!#REF!,"AAAAAF2JeT8=")</f>
        <v>#REF!</v>
      </c>
      <c r="BM188" t="e">
        <f>AND(Bills!#REF!,"AAAAAF2JeUA=")</f>
        <v>#REF!</v>
      </c>
      <c r="BN188" t="e">
        <f>AND(Bills!F782,"AAAAAF2JeUE=")</f>
        <v>#VALUE!</v>
      </c>
      <c r="BO188" t="e">
        <f>AND(Bills!#REF!,"AAAAAF2JeUI=")</f>
        <v>#REF!</v>
      </c>
      <c r="BP188" t="e">
        <f>AND(Bills!G782,"AAAAAF2JeUM=")</f>
        <v>#VALUE!</v>
      </c>
      <c r="BQ188" t="e">
        <f>AND(Bills!H782,"AAAAAF2JeUQ=")</f>
        <v>#VALUE!</v>
      </c>
      <c r="BR188" t="e">
        <f>AND(Bills!I782,"AAAAAF2JeUU=")</f>
        <v>#VALUE!</v>
      </c>
      <c r="BS188" t="e">
        <f>AND(Bills!J782,"AAAAAF2JeUY=")</f>
        <v>#VALUE!</v>
      </c>
      <c r="BT188" t="e">
        <f>AND(Bills!K782,"AAAAAF2JeUc=")</f>
        <v>#VALUE!</v>
      </c>
      <c r="BU188" t="e">
        <f>AND(Bills!L782,"AAAAAF2JeUg=")</f>
        <v>#VALUE!</v>
      </c>
      <c r="BV188" t="e">
        <f>AND(Bills!#REF!,"AAAAAF2JeUk=")</f>
        <v>#REF!</v>
      </c>
      <c r="BW188" t="e">
        <f>AND(Bills!M782,"AAAAAF2JeUo=")</f>
        <v>#VALUE!</v>
      </c>
      <c r="BX188" t="e">
        <f>AND(Bills!N782,"AAAAAF2JeUs=")</f>
        <v>#VALUE!</v>
      </c>
      <c r="BY188" t="e">
        <f>AND(Bills!O782,"AAAAAF2JeUw=")</f>
        <v>#VALUE!</v>
      </c>
      <c r="BZ188" t="e">
        <f>AND(Bills!P782,"AAAAAF2JeU0=")</f>
        <v>#VALUE!</v>
      </c>
      <c r="CA188" t="e">
        <f>AND(Bills!Q782,"AAAAAF2JeU4=")</f>
        <v>#VALUE!</v>
      </c>
      <c r="CB188" t="e">
        <f>AND(Bills!R782,"AAAAAF2JeU8=")</f>
        <v>#VALUE!</v>
      </c>
      <c r="CC188" t="e">
        <f>AND(Bills!S782,"AAAAAF2JeVA=")</f>
        <v>#VALUE!</v>
      </c>
      <c r="CD188" t="e">
        <f>AND(Bills!T782,"AAAAAF2JeVE=")</f>
        <v>#VALUE!</v>
      </c>
      <c r="CE188" t="e">
        <f>AND(Bills!#REF!,"AAAAAF2JeVI=")</f>
        <v>#REF!</v>
      </c>
      <c r="CF188" t="e">
        <f>AND(Bills!U782,"AAAAAF2JeVM=")</f>
        <v>#VALUE!</v>
      </c>
      <c r="CG188" t="e">
        <f>AND(Bills!V782,"AAAAAF2JeVQ=")</f>
        <v>#VALUE!</v>
      </c>
      <c r="CH188" t="e">
        <f>AND(Bills!W782,"AAAAAF2JeVU=")</f>
        <v>#VALUE!</v>
      </c>
      <c r="CI188" t="e">
        <f>AND(Bills!#REF!,"AAAAAF2JeVY=")</f>
        <v>#REF!</v>
      </c>
      <c r="CJ188" t="e">
        <f>AND(Bills!#REF!,"AAAAAF2JeVc=")</f>
        <v>#REF!</v>
      </c>
      <c r="CK188" t="e">
        <f>AND(Bills!Y782,"AAAAAF2JeVg=")</f>
        <v>#VALUE!</v>
      </c>
      <c r="CL188" t="e">
        <f>AND(Bills!Z782,"AAAAAF2JeVk=")</f>
        <v>#VALUE!</v>
      </c>
      <c r="CM188" t="e">
        <f>AND(Bills!#REF!,"AAAAAF2JeVo=")</f>
        <v>#REF!</v>
      </c>
      <c r="CN188" t="e">
        <f>AND(Bills!#REF!,"AAAAAF2JeVs=")</f>
        <v>#REF!</v>
      </c>
      <c r="CO188" t="e">
        <f>AND(Bills!#REF!,"AAAAAF2JeVw=")</f>
        <v>#REF!</v>
      </c>
      <c r="CP188" t="e">
        <f>AND(Bills!#REF!,"AAAAAF2JeV0=")</f>
        <v>#REF!</v>
      </c>
      <c r="CQ188" t="e">
        <f>AND(Bills!#REF!,"AAAAAF2JeV4=")</f>
        <v>#REF!</v>
      </c>
      <c r="CR188" t="e">
        <f>AND(Bills!#REF!,"AAAAAF2JeV8=")</f>
        <v>#REF!</v>
      </c>
      <c r="CS188" t="e">
        <f>AND(Bills!#REF!,"AAAAAF2JeWA=")</f>
        <v>#REF!</v>
      </c>
      <c r="CT188" t="e">
        <f>AND(Bills!#REF!,"AAAAAF2JeWE=")</f>
        <v>#REF!</v>
      </c>
      <c r="CU188" t="e">
        <f>AND(Bills!#REF!,"AAAAAF2JeWI=")</f>
        <v>#REF!</v>
      </c>
      <c r="CV188" t="e">
        <f>AND(Bills!AA782,"AAAAAF2JeWM=")</f>
        <v>#VALUE!</v>
      </c>
      <c r="CW188" t="e">
        <f>AND(Bills!AB782,"AAAAAF2JeWQ=")</f>
        <v>#VALUE!</v>
      </c>
      <c r="CX188" t="e">
        <f>AND(Bills!#REF!,"AAAAAF2JeWU=")</f>
        <v>#REF!</v>
      </c>
      <c r="CY188" t="e">
        <f>AND(Bills!#REF!,"AAAAAF2JeWY=")</f>
        <v>#REF!</v>
      </c>
      <c r="CZ188" t="e">
        <f>AND(Bills!#REF!,"AAAAAF2JeWc=")</f>
        <v>#REF!</v>
      </c>
      <c r="DA188" t="e">
        <f>AND(Bills!AC782,"AAAAAF2JeWg=")</f>
        <v>#VALUE!</v>
      </c>
      <c r="DB188" t="e">
        <f>AND(Bills!AD782,"AAAAAF2JeWk=")</f>
        <v>#VALUE!</v>
      </c>
      <c r="DC188" t="e">
        <f>AND(Bills!AE782,"AAAAAF2JeWo=")</f>
        <v>#VALUE!</v>
      </c>
      <c r="DD188">
        <f>IF(Bills!783:783,"AAAAAF2JeWs=",0)</f>
        <v>0</v>
      </c>
      <c r="DE188" t="e">
        <f>AND(Bills!B783,"AAAAAF2JeWw=")</f>
        <v>#VALUE!</v>
      </c>
      <c r="DF188" t="e">
        <f>AND(Bills!#REF!,"AAAAAF2JeW0=")</f>
        <v>#REF!</v>
      </c>
      <c r="DG188" t="e">
        <f>AND(Bills!C783,"AAAAAF2JeW4=")</f>
        <v>#VALUE!</v>
      </c>
      <c r="DH188" t="e">
        <f>AND(Bills!D783,"AAAAAF2JeW8=")</f>
        <v>#VALUE!</v>
      </c>
      <c r="DI188" t="e">
        <f>AND(Bills!E783,"AAAAAF2JeXA=")</f>
        <v>#VALUE!</v>
      </c>
      <c r="DJ188" t="e">
        <f>AND(Bills!#REF!,"AAAAAF2JeXE=")</f>
        <v>#REF!</v>
      </c>
      <c r="DK188" t="e">
        <f>AND(Bills!#REF!,"AAAAAF2JeXI=")</f>
        <v>#REF!</v>
      </c>
      <c r="DL188" t="e">
        <f>AND(Bills!#REF!,"AAAAAF2JeXM=")</f>
        <v>#REF!</v>
      </c>
      <c r="DM188" t="e">
        <f>AND(Bills!F783,"AAAAAF2JeXQ=")</f>
        <v>#VALUE!</v>
      </c>
      <c r="DN188" t="e">
        <f>AND(Bills!#REF!,"AAAAAF2JeXU=")</f>
        <v>#REF!</v>
      </c>
      <c r="DO188" t="e">
        <f>AND(Bills!G783,"AAAAAF2JeXY=")</f>
        <v>#VALUE!</v>
      </c>
      <c r="DP188" t="e">
        <f>AND(Bills!H783,"AAAAAF2JeXc=")</f>
        <v>#VALUE!</v>
      </c>
      <c r="DQ188" t="e">
        <f>AND(Bills!I783,"AAAAAF2JeXg=")</f>
        <v>#VALUE!</v>
      </c>
      <c r="DR188" t="e">
        <f>AND(Bills!J783,"AAAAAF2JeXk=")</f>
        <v>#VALUE!</v>
      </c>
      <c r="DS188" t="e">
        <f>AND(Bills!K783,"AAAAAF2JeXo=")</f>
        <v>#VALUE!</v>
      </c>
      <c r="DT188" t="e">
        <f>AND(Bills!L783,"AAAAAF2JeXs=")</f>
        <v>#VALUE!</v>
      </c>
      <c r="DU188" t="e">
        <f>AND(Bills!#REF!,"AAAAAF2JeXw=")</f>
        <v>#REF!</v>
      </c>
      <c r="DV188" t="e">
        <f>AND(Bills!M783,"AAAAAF2JeX0=")</f>
        <v>#VALUE!</v>
      </c>
      <c r="DW188" t="e">
        <f>AND(Bills!N783,"AAAAAF2JeX4=")</f>
        <v>#VALUE!</v>
      </c>
      <c r="DX188" t="e">
        <f>AND(Bills!O783,"AAAAAF2JeX8=")</f>
        <v>#VALUE!</v>
      </c>
      <c r="DY188" t="e">
        <f>AND(Bills!P783,"AAAAAF2JeYA=")</f>
        <v>#VALUE!</v>
      </c>
      <c r="DZ188" t="e">
        <f>AND(Bills!Q783,"AAAAAF2JeYE=")</f>
        <v>#VALUE!</v>
      </c>
      <c r="EA188" t="e">
        <f>AND(Bills!R783,"AAAAAF2JeYI=")</f>
        <v>#VALUE!</v>
      </c>
      <c r="EB188" t="e">
        <f>AND(Bills!S783,"AAAAAF2JeYM=")</f>
        <v>#VALUE!</v>
      </c>
      <c r="EC188" t="e">
        <f>AND(Bills!T783,"AAAAAF2JeYQ=")</f>
        <v>#VALUE!</v>
      </c>
      <c r="ED188" t="e">
        <f>AND(Bills!#REF!,"AAAAAF2JeYU=")</f>
        <v>#REF!</v>
      </c>
      <c r="EE188" t="e">
        <f>AND(Bills!U783,"AAAAAF2JeYY=")</f>
        <v>#VALUE!</v>
      </c>
      <c r="EF188" t="e">
        <f>AND(Bills!V783,"AAAAAF2JeYc=")</f>
        <v>#VALUE!</v>
      </c>
      <c r="EG188" t="e">
        <f>AND(Bills!W783,"AAAAAF2JeYg=")</f>
        <v>#VALUE!</v>
      </c>
      <c r="EH188" t="e">
        <f>AND(Bills!#REF!,"AAAAAF2JeYk=")</f>
        <v>#REF!</v>
      </c>
      <c r="EI188" t="e">
        <f>AND(Bills!#REF!,"AAAAAF2JeYo=")</f>
        <v>#REF!</v>
      </c>
      <c r="EJ188" t="e">
        <f>AND(Bills!Y783,"AAAAAF2JeYs=")</f>
        <v>#VALUE!</v>
      </c>
      <c r="EK188" t="e">
        <f>AND(Bills!Z783,"AAAAAF2JeYw=")</f>
        <v>#VALUE!</v>
      </c>
      <c r="EL188" t="e">
        <f>AND(Bills!#REF!,"AAAAAF2JeY0=")</f>
        <v>#REF!</v>
      </c>
      <c r="EM188" t="e">
        <f>AND(Bills!#REF!,"AAAAAF2JeY4=")</f>
        <v>#REF!</v>
      </c>
      <c r="EN188" t="e">
        <f>AND(Bills!#REF!,"AAAAAF2JeY8=")</f>
        <v>#REF!</v>
      </c>
      <c r="EO188" t="e">
        <f>AND(Bills!#REF!,"AAAAAF2JeZA=")</f>
        <v>#REF!</v>
      </c>
      <c r="EP188" t="e">
        <f>AND(Bills!#REF!,"AAAAAF2JeZE=")</f>
        <v>#REF!</v>
      </c>
      <c r="EQ188" t="e">
        <f>AND(Bills!#REF!,"AAAAAF2JeZI=")</f>
        <v>#REF!</v>
      </c>
      <c r="ER188" t="e">
        <f>AND(Bills!#REF!,"AAAAAF2JeZM=")</f>
        <v>#REF!</v>
      </c>
      <c r="ES188" t="e">
        <f>AND(Bills!#REF!,"AAAAAF2JeZQ=")</f>
        <v>#REF!</v>
      </c>
      <c r="ET188" t="e">
        <f>AND(Bills!#REF!,"AAAAAF2JeZU=")</f>
        <v>#REF!</v>
      </c>
      <c r="EU188" t="e">
        <f>AND(Bills!AA783,"AAAAAF2JeZY=")</f>
        <v>#VALUE!</v>
      </c>
      <c r="EV188" t="e">
        <f>AND(Bills!AB783,"AAAAAF2JeZc=")</f>
        <v>#VALUE!</v>
      </c>
      <c r="EW188" t="e">
        <f>AND(Bills!#REF!,"AAAAAF2JeZg=")</f>
        <v>#REF!</v>
      </c>
      <c r="EX188" t="e">
        <f>AND(Bills!#REF!,"AAAAAF2JeZk=")</f>
        <v>#REF!</v>
      </c>
      <c r="EY188" t="e">
        <f>AND(Bills!#REF!,"AAAAAF2JeZo=")</f>
        <v>#REF!</v>
      </c>
      <c r="EZ188" t="e">
        <f>AND(Bills!AC783,"AAAAAF2JeZs=")</f>
        <v>#VALUE!</v>
      </c>
      <c r="FA188" t="e">
        <f>AND(Bills!AD783,"AAAAAF2JeZw=")</f>
        <v>#VALUE!</v>
      </c>
      <c r="FB188" t="e">
        <f>AND(Bills!AE783,"AAAAAF2JeZ0=")</f>
        <v>#VALUE!</v>
      </c>
      <c r="FC188">
        <f>IF(Bills!784:784,"AAAAAF2JeZ4=",0)</f>
        <v>0</v>
      </c>
      <c r="FD188" t="e">
        <f>AND(Bills!B784,"AAAAAF2JeZ8=")</f>
        <v>#VALUE!</v>
      </c>
      <c r="FE188" t="e">
        <f>AND(Bills!#REF!,"AAAAAF2JeaA=")</f>
        <v>#REF!</v>
      </c>
      <c r="FF188" t="e">
        <f>AND(Bills!C784,"AAAAAF2JeaE=")</f>
        <v>#VALUE!</v>
      </c>
      <c r="FG188" t="e">
        <f>AND(Bills!D784,"AAAAAF2JeaI=")</f>
        <v>#VALUE!</v>
      </c>
      <c r="FH188" t="e">
        <f>AND(Bills!E784,"AAAAAF2JeaM=")</f>
        <v>#VALUE!</v>
      </c>
      <c r="FI188" t="e">
        <f>AND(Bills!#REF!,"AAAAAF2JeaQ=")</f>
        <v>#REF!</v>
      </c>
      <c r="FJ188" t="e">
        <f>AND(Bills!#REF!,"AAAAAF2JeaU=")</f>
        <v>#REF!</v>
      </c>
      <c r="FK188" t="e">
        <f>AND(Bills!#REF!,"AAAAAF2JeaY=")</f>
        <v>#REF!</v>
      </c>
      <c r="FL188" t="e">
        <f>AND(Bills!F784,"AAAAAF2Jeac=")</f>
        <v>#VALUE!</v>
      </c>
      <c r="FM188" t="e">
        <f>AND(Bills!#REF!,"AAAAAF2Jeag=")</f>
        <v>#REF!</v>
      </c>
      <c r="FN188" t="e">
        <f>AND(Bills!G784,"AAAAAF2Jeak=")</f>
        <v>#VALUE!</v>
      </c>
      <c r="FO188" t="e">
        <f>AND(Bills!H784,"AAAAAF2Jeao=")</f>
        <v>#VALUE!</v>
      </c>
      <c r="FP188" t="e">
        <f>AND(Bills!I784,"AAAAAF2Jeas=")</f>
        <v>#VALUE!</v>
      </c>
      <c r="FQ188" t="e">
        <f>AND(Bills!J784,"AAAAAF2Jeaw=")</f>
        <v>#VALUE!</v>
      </c>
      <c r="FR188" t="e">
        <f>AND(Bills!K784,"AAAAAF2Jea0=")</f>
        <v>#VALUE!</v>
      </c>
      <c r="FS188" t="e">
        <f>AND(Bills!L784,"AAAAAF2Jea4=")</f>
        <v>#VALUE!</v>
      </c>
      <c r="FT188" t="e">
        <f>AND(Bills!#REF!,"AAAAAF2Jea8=")</f>
        <v>#REF!</v>
      </c>
      <c r="FU188" t="e">
        <f>AND(Bills!M784,"AAAAAF2JebA=")</f>
        <v>#VALUE!</v>
      </c>
      <c r="FV188" t="e">
        <f>AND(Bills!N784,"AAAAAF2JebE=")</f>
        <v>#VALUE!</v>
      </c>
      <c r="FW188" t="e">
        <f>AND(Bills!O784,"AAAAAF2JebI=")</f>
        <v>#VALUE!</v>
      </c>
      <c r="FX188" t="e">
        <f>AND(Bills!P784,"AAAAAF2JebM=")</f>
        <v>#VALUE!</v>
      </c>
      <c r="FY188" t="e">
        <f>AND(Bills!Q784,"AAAAAF2JebQ=")</f>
        <v>#VALUE!</v>
      </c>
      <c r="FZ188" t="e">
        <f>AND(Bills!R784,"AAAAAF2JebU=")</f>
        <v>#VALUE!</v>
      </c>
      <c r="GA188" t="e">
        <f>AND(Bills!S784,"AAAAAF2JebY=")</f>
        <v>#VALUE!</v>
      </c>
      <c r="GB188" t="e">
        <f>AND(Bills!T784,"AAAAAF2Jebc=")</f>
        <v>#VALUE!</v>
      </c>
      <c r="GC188" t="e">
        <f>AND(Bills!#REF!,"AAAAAF2Jebg=")</f>
        <v>#REF!</v>
      </c>
      <c r="GD188" t="e">
        <f>AND(Bills!U784,"AAAAAF2Jebk=")</f>
        <v>#VALUE!</v>
      </c>
      <c r="GE188" t="e">
        <f>AND(Bills!V784,"AAAAAF2Jebo=")</f>
        <v>#VALUE!</v>
      </c>
      <c r="GF188" t="e">
        <f>AND(Bills!W784,"AAAAAF2Jebs=")</f>
        <v>#VALUE!</v>
      </c>
      <c r="GG188" t="e">
        <f>AND(Bills!#REF!,"AAAAAF2Jebw=")</f>
        <v>#REF!</v>
      </c>
      <c r="GH188" t="e">
        <f>AND(Bills!#REF!,"AAAAAF2Jeb0=")</f>
        <v>#REF!</v>
      </c>
      <c r="GI188" t="e">
        <f>AND(Bills!Y784,"AAAAAF2Jeb4=")</f>
        <v>#VALUE!</v>
      </c>
      <c r="GJ188" t="e">
        <f>AND(Bills!Z784,"AAAAAF2Jeb8=")</f>
        <v>#VALUE!</v>
      </c>
      <c r="GK188" t="e">
        <f>AND(Bills!#REF!,"AAAAAF2JecA=")</f>
        <v>#REF!</v>
      </c>
      <c r="GL188" t="e">
        <f>AND(Bills!#REF!,"AAAAAF2JecE=")</f>
        <v>#REF!</v>
      </c>
      <c r="GM188" t="e">
        <f>AND(Bills!#REF!,"AAAAAF2JecI=")</f>
        <v>#REF!</v>
      </c>
      <c r="GN188" t="e">
        <f>AND(Bills!#REF!,"AAAAAF2JecM=")</f>
        <v>#REF!</v>
      </c>
      <c r="GO188" t="e">
        <f>AND(Bills!#REF!,"AAAAAF2JecQ=")</f>
        <v>#REF!</v>
      </c>
      <c r="GP188" t="e">
        <f>AND(Bills!#REF!,"AAAAAF2JecU=")</f>
        <v>#REF!</v>
      </c>
      <c r="GQ188" t="e">
        <f>AND(Bills!#REF!,"AAAAAF2JecY=")</f>
        <v>#REF!</v>
      </c>
      <c r="GR188" t="e">
        <f>AND(Bills!#REF!,"AAAAAF2Jecc=")</f>
        <v>#REF!</v>
      </c>
      <c r="GS188" t="e">
        <f>AND(Bills!#REF!,"AAAAAF2Jecg=")</f>
        <v>#REF!</v>
      </c>
      <c r="GT188" t="e">
        <f>AND(Bills!AA784,"AAAAAF2Jeck=")</f>
        <v>#VALUE!</v>
      </c>
      <c r="GU188" t="e">
        <f>AND(Bills!AB784,"AAAAAF2Jeco=")</f>
        <v>#VALUE!</v>
      </c>
      <c r="GV188" t="e">
        <f>AND(Bills!#REF!,"AAAAAF2Jecs=")</f>
        <v>#REF!</v>
      </c>
      <c r="GW188" t="e">
        <f>AND(Bills!#REF!,"AAAAAF2Jecw=")</f>
        <v>#REF!</v>
      </c>
      <c r="GX188" t="e">
        <f>AND(Bills!#REF!,"AAAAAF2Jec0=")</f>
        <v>#REF!</v>
      </c>
      <c r="GY188" t="e">
        <f>AND(Bills!AC784,"AAAAAF2Jec4=")</f>
        <v>#VALUE!</v>
      </c>
      <c r="GZ188" t="e">
        <f>AND(Bills!AD784,"AAAAAF2Jec8=")</f>
        <v>#VALUE!</v>
      </c>
      <c r="HA188" t="e">
        <f>AND(Bills!AE784,"AAAAAF2JedA=")</f>
        <v>#VALUE!</v>
      </c>
      <c r="HB188">
        <f>IF(Bills!785:785,"AAAAAF2JedE=",0)</f>
        <v>0</v>
      </c>
      <c r="HC188" t="e">
        <f>AND(Bills!B785,"AAAAAF2JedI=")</f>
        <v>#VALUE!</v>
      </c>
      <c r="HD188" t="e">
        <f>AND(Bills!#REF!,"AAAAAF2JedM=")</f>
        <v>#REF!</v>
      </c>
      <c r="HE188" t="e">
        <f>AND(Bills!C785,"AAAAAF2JedQ=")</f>
        <v>#VALUE!</v>
      </c>
      <c r="HF188" t="e">
        <f>AND(Bills!D785,"AAAAAF2JedU=")</f>
        <v>#VALUE!</v>
      </c>
      <c r="HG188" t="e">
        <f>AND(Bills!E785,"AAAAAF2JedY=")</f>
        <v>#VALUE!</v>
      </c>
      <c r="HH188" t="e">
        <f>AND(Bills!#REF!,"AAAAAF2Jedc=")</f>
        <v>#REF!</v>
      </c>
      <c r="HI188" t="e">
        <f>AND(Bills!#REF!,"AAAAAF2Jedg=")</f>
        <v>#REF!</v>
      </c>
      <c r="HJ188" t="e">
        <f>AND(Bills!#REF!,"AAAAAF2Jedk=")</f>
        <v>#REF!</v>
      </c>
      <c r="HK188" t="e">
        <f>AND(Bills!F785,"AAAAAF2Jedo=")</f>
        <v>#VALUE!</v>
      </c>
      <c r="HL188" t="e">
        <f>AND(Bills!#REF!,"AAAAAF2Jeds=")</f>
        <v>#REF!</v>
      </c>
      <c r="HM188" t="e">
        <f>AND(Bills!G785,"AAAAAF2Jedw=")</f>
        <v>#VALUE!</v>
      </c>
      <c r="HN188" t="e">
        <f>AND(Bills!H785,"AAAAAF2Jed0=")</f>
        <v>#VALUE!</v>
      </c>
      <c r="HO188" t="e">
        <f>AND(Bills!I785,"AAAAAF2Jed4=")</f>
        <v>#VALUE!</v>
      </c>
      <c r="HP188" t="e">
        <f>AND(Bills!J785,"AAAAAF2Jed8=")</f>
        <v>#VALUE!</v>
      </c>
      <c r="HQ188" t="e">
        <f>AND(Bills!K785,"AAAAAF2JeeA=")</f>
        <v>#VALUE!</v>
      </c>
      <c r="HR188" t="e">
        <f>AND(Bills!L785,"AAAAAF2JeeE=")</f>
        <v>#VALUE!</v>
      </c>
      <c r="HS188" t="e">
        <f>AND(Bills!#REF!,"AAAAAF2JeeI=")</f>
        <v>#REF!</v>
      </c>
      <c r="HT188" t="e">
        <f>AND(Bills!M785,"AAAAAF2JeeM=")</f>
        <v>#VALUE!</v>
      </c>
      <c r="HU188" t="e">
        <f>AND(Bills!N785,"AAAAAF2JeeQ=")</f>
        <v>#VALUE!</v>
      </c>
      <c r="HV188" t="e">
        <f>AND(Bills!O785,"AAAAAF2JeeU=")</f>
        <v>#VALUE!</v>
      </c>
      <c r="HW188" t="e">
        <f>AND(Bills!P785,"AAAAAF2JeeY=")</f>
        <v>#VALUE!</v>
      </c>
      <c r="HX188" t="e">
        <f>AND(Bills!Q785,"AAAAAF2Jeec=")</f>
        <v>#VALUE!</v>
      </c>
      <c r="HY188" t="e">
        <f>AND(Bills!R785,"AAAAAF2Jeeg=")</f>
        <v>#VALUE!</v>
      </c>
      <c r="HZ188" t="e">
        <f>AND(Bills!S785,"AAAAAF2Jeek=")</f>
        <v>#VALUE!</v>
      </c>
      <c r="IA188" t="e">
        <f>AND(Bills!T785,"AAAAAF2Jeeo=")</f>
        <v>#VALUE!</v>
      </c>
      <c r="IB188" t="e">
        <f>AND(Bills!#REF!,"AAAAAF2Jees=")</f>
        <v>#REF!</v>
      </c>
      <c r="IC188" t="e">
        <f>AND(Bills!U785,"AAAAAF2Jeew=")</f>
        <v>#VALUE!</v>
      </c>
      <c r="ID188" t="e">
        <f>AND(Bills!V785,"AAAAAF2Jee0=")</f>
        <v>#VALUE!</v>
      </c>
      <c r="IE188" t="e">
        <f>AND(Bills!W785,"AAAAAF2Jee4=")</f>
        <v>#VALUE!</v>
      </c>
      <c r="IF188" t="e">
        <f>AND(Bills!#REF!,"AAAAAF2Jee8=")</f>
        <v>#REF!</v>
      </c>
      <c r="IG188" t="e">
        <f>AND(Bills!#REF!,"AAAAAF2JefA=")</f>
        <v>#REF!</v>
      </c>
      <c r="IH188" t="e">
        <f>AND(Bills!Y785,"AAAAAF2JefE=")</f>
        <v>#VALUE!</v>
      </c>
      <c r="II188" t="e">
        <f>AND(Bills!Z785,"AAAAAF2JefI=")</f>
        <v>#VALUE!</v>
      </c>
      <c r="IJ188" t="e">
        <f>AND(Bills!#REF!,"AAAAAF2JefM=")</f>
        <v>#REF!</v>
      </c>
      <c r="IK188" t="e">
        <f>AND(Bills!#REF!,"AAAAAF2JefQ=")</f>
        <v>#REF!</v>
      </c>
      <c r="IL188" t="e">
        <f>AND(Bills!#REF!,"AAAAAF2JefU=")</f>
        <v>#REF!</v>
      </c>
      <c r="IM188" t="e">
        <f>AND(Bills!#REF!,"AAAAAF2JefY=")</f>
        <v>#REF!</v>
      </c>
      <c r="IN188" t="e">
        <f>AND(Bills!#REF!,"AAAAAF2Jefc=")</f>
        <v>#REF!</v>
      </c>
      <c r="IO188" t="e">
        <f>AND(Bills!#REF!,"AAAAAF2Jefg=")</f>
        <v>#REF!</v>
      </c>
      <c r="IP188" t="e">
        <f>AND(Bills!#REF!,"AAAAAF2Jefk=")</f>
        <v>#REF!</v>
      </c>
      <c r="IQ188" t="e">
        <f>AND(Bills!#REF!,"AAAAAF2Jefo=")</f>
        <v>#REF!</v>
      </c>
      <c r="IR188" t="e">
        <f>AND(Bills!#REF!,"AAAAAF2Jefs=")</f>
        <v>#REF!</v>
      </c>
      <c r="IS188" t="e">
        <f>AND(Bills!AA785,"AAAAAF2Jefw=")</f>
        <v>#VALUE!</v>
      </c>
      <c r="IT188" t="e">
        <f>AND(Bills!AB785,"AAAAAF2Jef0=")</f>
        <v>#VALUE!</v>
      </c>
      <c r="IU188" t="e">
        <f>AND(Bills!#REF!,"AAAAAF2Jef4=")</f>
        <v>#REF!</v>
      </c>
      <c r="IV188" t="e">
        <f>AND(Bills!#REF!,"AAAAAF2Jef8=")</f>
        <v>#REF!</v>
      </c>
    </row>
    <row r="189" spans="1:256" x14ac:dyDescent="0.25">
      <c r="A189" t="e">
        <f>AND(Bills!#REF!,"AAAAABv+TwA=")</f>
        <v>#REF!</v>
      </c>
      <c r="B189" t="e">
        <f>AND(Bills!AC785,"AAAAABv+TwE=")</f>
        <v>#VALUE!</v>
      </c>
      <c r="C189" t="e">
        <f>AND(Bills!AD785,"AAAAABv+TwI=")</f>
        <v>#VALUE!</v>
      </c>
      <c r="D189" t="e">
        <f>AND(Bills!AE785,"AAAAABv+TwM=")</f>
        <v>#VALUE!</v>
      </c>
      <c r="E189">
        <f>IF(Bills!786:786,"AAAAABv+TwQ=",0)</f>
        <v>0</v>
      </c>
      <c r="F189" t="e">
        <f>AND(Bills!B786,"AAAAABv+TwU=")</f>
        <v>#VALUE!</v>
      </c>
      <c r="G189" t="e">
        <f>AND(Bills!#REF!,"AAAAABv+TwY=")</f>
        <v>#REF!</v>
      </c>
      <c r="H189" t="e">
        <f>AND(Bills!C786,"AAAAABv+Twc=")</f>
        <v>#VALUE!</v>
      </c>
      <c r="I189" t="e">
        <f>AND(Bills!D786,"AAAAABv+Twg=")</f>
        <v>#VALUE!</v>
      </c>
      <c r="J189" t="e">
        <f>AND(Bills!E786,"AAAAABv+Twk=")</f>
        <v>#VALUE!</v>
      </c>
      <c r="K189" t="e">
        <f>AND(Bills!#REF!,"AAAAABv+Two=")</f>
        <v>#REF!</v>
      </c>
      <c r="L189" t="e">
        <f>AND(Bills!#REF!,"AAAAABv+Tws=")</f>
        <v>#REF!</v>
      </c>
      <c r="M189" t="e">
        <f>AND(Bills!#REF!,"AAAAABv+Tww=")</f>
        <v>#REF!</v>
      </c>
      <c r="N189" t="e">
        <f>AND(Bills!F786,"AAAAABv+Tw0=")</f>
        <v>#VALUE!</v>
      </c>
      <c r="O189" t="e">
        <f>AND(Bills!#REF!,"AAAAABv+Tw4=")</f>
        <v>#REF!</v>
      </c>
      <c r="P189" t="e">
        <f>AND(Bills!G786,"AAAAABv+Tw8=")</f>
        <v>#VALUE!</v>
      </c>
      <c r="Q189" t="e">
        <f>AND(Bills!H786,"AAAAABv+TxA=")</f>
        <v>#VALUE!</v>
      </c>
      <c r="R189" t="e">
        <f>AND(Bills!I786,"AAAAABv+TxE=")</f>
        <v>#VALUE!</v>
      </c>
      <c r="S189" t="e">
        <f>AND(Bills!J786,"AAAAABv+TxI=")</f>
        <v>#VALUE!</v>
      </c>
      <c r="T189" t="e">
        <f>AND(Bills!K786,"AAAAABv+TxM=")</f>
        <v>#VALUE!</v>
      </c>
      <c r="U189" t="e">
        <f>AND(Bills!L786,"AAAAABv+TxQ=")</f>
        <v>#VALUE!</v>
      </c>
      <c r="V189" t="e">
        <f>AND(Bills!#REF!,"AAAAABv+TxU=")</f>
        <v>#REF!</v>
      </c>
      <c r="W189" t="e">
        <f>AND(Bills!M786,"AAAAABv+TxY=")</f>
        <v>#VALUE!</v>
      </c>
      <c r="X189" t="e">
        <f>AND(Bills!N786,"AAAAABv+Txc=")</f>
        <v>#VALUE!</v>
      </c>
      <c r="Y189" t="e">
        <f>AND(Bills!O786,"AAAAABv+Txg=")</f>
        <v>#VALUE!</v>
      </c>
      <c r="Z189" t="e">
        <f>AND(Bills!P786,"AAAAABv+Txk=")</f>
        <v>#VALUE!</v>
      </c>
      <c r="AA189" t="e">
        <f>AND(Bills!Q786,"AAAAABv+Txo=")</f>
        <v>#VALUE!</v>
      </c>
      <c r="AB189" t="e">
        <f>AND(Bills!R786,"AAAAABv+Txs=")</f>
        <v>#VALUE!</v>
      </c>
      <c r="AC189" t="e">
        <f>AND(Bills!S786,"AAAAABv+Txw=")</f>
        <v>#VALUE!</v>
      </c>
      <c r="AD189" t="e">
        <f>AND(Bills!T786,"AAAAABv+Tx0=")</f>
        <v>#VALUE!</v>
      </c>
      <c r="AE189" t="e">
        <f>AND(Bills!#REF!,"AAAAABv+Tx4=")</f>
        <v>#REF!</v>
      </c>
      <c r="AF189" t="e">
        <f>AND(Bills!U786,"AAAAABv+Tx8=")</f>
        <v>#VALUE!</v>
      </c>
      <c r="AG189" t="e">
        <f>AND(Bills!V786,"AAAAABv+TyA=")</f>
        <v>#VALUE!</v>
      </c>
      <c r="AH189" t="e">
        <f>AND(Bills!W786,"AAAAABv+TyE=")</f>
        <v>#VALUE!</v>
      </c>
      <c r="AI189" t="e">
        <f>AND(Bills!#REF!,"AAAAABv+TyI=")</f>
        <v>#REF!</v>
      </c>
      <c r="AJ189" t="e">
        <f>AND(Bills!#REF!,"AAAAABv+TyM=")</f>
        <v>#REF!</v>
      </c>
      <c r="AK189" t="e">
        <f>AND(Bills!Y786,"AAAAABv+TyQ=")</f>
        <v>#VALUE!</v>
      </c>
      <c r="AL189" t="e">
        <f>AND(Bills!Z786,"AAAAABv+TyU=")</f>
        <v>#VALUE!</v>
      </c>
      <c r="AM189" t="e">
        <f>AND(Bills!#REF!,"AAAAABv+TyY=")</f>
        <v>#REF!</v>
      </c>
      <c r="AN189" t="e">
        <f>AND(Bills!#REF!,"AAAAABv+Tyc=")</f>
        <v>#REF!</v>
      </c>
      <c r="AO189" t="e">
        <f>AND(Bills!#REF!,"AAAAABv+Tyg=")</f>
        <v>#REF!</v>
      </c>
      <c r="AP189" t="e">
        <f>AND(Bills!#REF!,"AAAAABv+Tyk=")</f>
        <v>#REF!</v>
      </c>
      <c r="AQ189" t="e">
        <f>AND(Bills!#REF!,"AAAAABv+Tyo=")</f>
        <v>#REF!</v>
      </c>
      <c r="AR189" t="e">
        <f>AND(Bills!#REF!,"AAAAABv+Tys=")</f>
        <v>#REF!</v>
      </c>
      <c r="AS189" t="e">
        <f>AND(Bills!#REF!,"AAAAABv+Tyw=")</f>
        <v>#REF!</v>
      </c>
      <c r="AT189" t="e">
        <f>AND(Bills!#REF!,"AAAAABv+Ty0=")</f>
        <v>#REF!</v>
      </c>
      <c r="AU189" t="e">
        <f>AND(Bills!#REF!,"AAAAABv+Ty4=")</f>
        <v>#REF!</v>
      </c>
      <c r="AV189" t="e">
        <f>AND(Bills!AA786,"AAAAABv+Ty8=")</f>
        <v>#VALUE!</v>
      </c>
      <c r="AW189" t="e">
        <f>AND(Bills!AB786,"AAAAABv+TzA=")</f>
        <v>#VALUE!</v>
      </c>
      <c r="AX189" t="e">
        <f>AND(Bills!#REF!,"AAAAABv+TzE=")</f>
        <v>#REF!</v>
      </c>
      <c r="AY189" t="e">
        <f>AND(Bills!#REF!,"AAAAABv+TzI=")</f>
        <v>#REF!</v>
      </c>
      <c r="AZ189" t="e">
        <f>AND(Bills!#REF!,"AAAAABv+TzM=")</f>
        <v>#REF!</v>
      </c>
      <c r="BA189" t="e">
        <f>AND(Bills!AC786,"AAAAABv+TzQ=")</f>
        <v>#VALUE!</v>
      </c>
      <c r="BB189" t="e">
        <f>AND(Bills!AD786,"AAAAABv+TzU=")</f>
        <v>#VALUE!</v>
      </c>
      <c r="BC189" t="e">
        <f>AND(Bills!AE786,"AAAAABv+TzY=")</f>
        <v>#VALUE!</v>
      </c>
      <c r="BD189">
        <f>IF(Bills!787:787,"AAAAABv+Tzc=",0)</f>
        <v>0</v>
      </c>
      <c r="BE189" t="e">
        <f>AND(Bills!B787,"AAAAABv+Tzg=")</f>
        <v>#VALUE!</v>
      </c>
      <c r="BF189" t="e">
        <f>AND(Bills!#REF!,"AAAAABv+Tzk=")</f>
        <v>#REF!</v>
      </c>
      <c r="BG189" t="e">
        <f>AND(Bills!C787,"AAAAABv+Tzo=")</f>
        <v>#VALUE!</v>
      </c>
      <c r="BH189" t="e">
        <f>AND(Bills!D787,"AAAAABv+Tzs=")</f>
        <v>#VALUE!</v>
      </c>
      <c r="BI189" t="e">
        <f>AND(Bills!E787,"AAAAABv+Tzw=")</f>
        <v>#VALUE!</v>
      </c>
      <c r="BJ189" t="e">
        <f>AND(Bills!#REF!,"AAAAABv+Tz0=")</f>
        <v>#REF!</v>
      </c>
      <c r="BK189" t="e">
        <f>AND(Bills!#REF!,"AAAAABv+Tz4=")</f>
        <v>#REF!</v>
      </c>
      <c r="BL189" t="e">
        <f>AND(Bills!#REF!,"AAAAABv+Tz8=")</f>
        <v>#REF!</v>
      </c>
      <c r="BM189" t="e">
        <f>AND(Bills!F787,"AAAAABv+T0A=")</f>
        <v>#VALUE!</v>
      </c>
      <c r="BN189" t="e">
        <f>AND(Bills!#REF!,"AAAAABv+T0E=")</f>
        <v>#REF!</v>
      </c>
      <c r="BO189" t="e">
        <f>AND(Bills!G787,"AAAAABv+T0I=")</f>
        <v>#VALUE!</v>
      </c>
      <c r="BP189" t="e">
        <f>AND(Bills!H787,"AAAAABv+T0M=")</f>
        <v>#VALUE!</v>
      </c>
      <c r="BQ189" t="e">
        <f>AND(Bills!I787,"AAAAABv+T0Q=")</f>
        <v>#VALUE!</v>
      </c>
      <c r="BR189" t="e">
        <f>AND(Bills!J787,"AAAAABv+T0U=")</f>
        <v>#VALUE!</v>
      </c>
      <c r="BS189" t="e">
        <f>AND(Bills!K787,"AAAAABv+T0Y=")</f>
        <v>#VALUE!</v>
      </c>
      <c r="BT189" t="e">
        <f>AND(Bills!L787,"AAAAABv+T0c=")</f>
        <v>#VALUE!</v>
      </c>
      <c r="BU189" t="e">
        <f>AND(Bills!#REF!,"AAAAABv+T0g=")</f>
        <v>#REF!</v>
      </c>
      <c r="BV189" t="e">
        <f>AND(Bills!M787,"AAAAABv+T0k=")</f>
        <v>#VALUE!</v>
      </c>
      <c r="BW189" t="e">
        <f>AND(Bills!N787,"AAAAABv+T0o=")</f>
        <v>#VALUE!</v>
      </c>
      <c r="BX189" t="e">
        <f>AND(Bills!O787,"AAAAABv+T0s=")</f>
        <v>#VALUE!</v>
      </c>
      <c r="BY189" t="e">
        <f>AND(Bills!P787,"AAAAABv+T0w=")</f>
        <v>#VALUE!</v>
      </c>
      <c r="BZ189" t="e">
        <f>AND(Bills!Q787,"AAAAABv+T00=")</f>
        <v>#VALUE!</v>
      </c>
      <c r="CA189" t="e">
        <f>AND(Bills!R787,"AAAAABv+T04=")</f>
        <v>#VALUE!</v>
      </c>
      <c r="CB189" t="e">
        <f>AND(Bills!S787,"AAAAABv+T08=")</f>
        <v>#VALUE!</v>
      </c>
      <c r="CC189" t="e">
        <f>AND(Bills!T787,"AAAAABv+T1A=")</f>
        <v>#VALUE!</v>
      </c>
      <c r="CD189" t="e">
        <f>AND(Bills!#REF!,"AAAAABv+T1E=")</f>
        <v>#REF!</v>
      </c>
      <c r="CE189" t="e">
        <f>AND(Bills!U787,"AAAAABv+T1I=")</f>
        <v>#VALUE!</v>
      </c>
      <c r="CF189" t="e">
        <f>AND(Bills!V787,"AAAAABv+T1M=")</f>
        <v>#VALUE!</v>
      </c>
      <c r="CG189" t="e">
        <f>AND(Bills!W787,"AAAAABv+T1Q=")</f>
        <v>#VALUE!</v>
      </c>
      <c r="CH189" t="e">
        <f>AND(Bills!#REF!,"AAAAABv+T1U=")</f>
        <v>#REF!</v>
      </c>
      <c r="CI189" t="e">
        <f>AND(Bills!#REF!,"AAAAABv+T1Y=")</f>
        <v>#REF!</v>
      </c>
      <c r="CJ189" t="e">
        <f>AND(Bills!Y787,"AAAAABv+T1c=")</f>
        <v>#VALUE!</v>
      </c>
      <c r="CK189" t="e">
        <f>AND(Bills!Z787,"AAAAABv+T1g=")</f>
        <v>#VALUE!</v>
      </c>
      <c r="CL189" t="e">
        <f>AND(Bills!#REF!,"AAAAABv+T1k=")</f>
        <v>#REF!</v>
      </c>
      <c r="CM189" t="e">
        <f>AND(Bills!#REF!,"AAAAABv+T1o=")</f>
        <v>#REF!</v>
      </c>
      <c r="CN189" t="e">
        <f>AND(Bills!#REF!,"AAAAABv+T1s=")</f>
        <v>#REF!</v>
      </c>
      <c r="CO189" t="e">
        <f>AND(Bills!#REF!,"AAAAABv+T1w=")</f>
        <v>#REF!</v>
      </c>
      <c r="CP189" t="e">
        <f>AND(Bills!#REF!,"AAAAABv+T10=")</f>
        <v>#REF!</v>
      </c>
      <c r="CQ189" t="e">
        <f>AND(Bills!#REF!,"AAAAABv+T14=")</f>
        <v>#REF!</v>
      </c>
      <c r="CR189" t="e">
        <f>AND(Bills!#REF!,"AAAAABv+T18=")</f>
        <v>#REF!</v>
      </c>
      <c r="CS189" t="e">
        <f>AND(Bills!#REF!,"AAAAABv+T2A=")</f>
        <v>#REF!</v>
      </c>
      <c r="CT189" t="e">
        <f>AND(Bills!#REF!,"AAAAABv+T2E=")</f>
        <v>#REF!</v>
      </c>
      <c r="CU189" t="e">
        <f>AND(Bills!AA787,"AAAAABv+T2I=")</f>
        <v>#VALUE!</v>
      </c>
      <c r="CV189" t="e">
        <f>AND(Bills!AB787,"AAAAABv+T2M=")</f>
        <v>#VALUE!</v>
      </c>
      <c r="CW189" t="e">
        <f>AND(Bills!#REF!,"AAAAABv+T2Q=")</f>
        <v>#REF!</v>
      </c>
      <c r="CX189" t="e">
        <f>AND(Bills!#REF!,"AAAAABv+T2U=")</f>
        <v>#REF!</v>
      </c>
      <c r="CY189" t="e">
        <f>AND(Bills!#REF!,"AAAAABv+T2Y=")</f>
        <v>#REF!</v>
      </c>
      <c r="CZ189" t="e">
        <f>AND(Bills!AC787,"AAAAABv+T2c=")</f>
        <v>#VALUE!</v>
      </c>
      <c r="DA189" t="e">
        <f>AND(Bills!AD787,"AAAAABv+T2g=")</f>
        <v>#VALUE!</v>
      </c>
      <c r="DB189" t="e">
        <f>AND(Bills!AE787,"AAAAABv+T2k=")</f>
        <v>#VALUE!</v>
      </c>
      <c r="DC189">
        <f>IF(Bills!788:788,"AAAAABv+T2o=",0)</f>
        <v>0</v>
      </c>
      <c r="DD189" t="e">
        <f>AND(Bills!B788,"AAAAABv+T2s=")</f>
        <v>#VALUE!</v>
      </c>
      <c r="DE189" t="e">
        <f>AND(Bills!#REF!,"AAAAABv+T2w=")</f>
        <v>#REF!</v>
      </c>
      <c r="DF189" t="e">
        <f>AND(Bills!C788,"AAAAABv+T20=")</f>
        <v>#VALUE!</v>
      </c>
      <c r="DG189" t="e">
        <f>AND(Bills!D788,"AAAAABv+T24=")</f>
        <v>#VALUE!</v>
      </c>
      <c r="DH189" t="e">
        <f>AND(Bills!E788,"AAAAABv+T28=")</f>
        <v>#VALUE!</v>
      </c>
      <c r="DI189" t="e">
        <f>AND(Bills!#REF!,"AAAAABv+T3A=")</f>
        <v>#REF!</v>
      </c>
      <c r="DJ189" t="e">
        <f>AND(Bills!#REF!,"AAAAABv+T3E=")</f>
        <v>#REF!</v>
      </c>
      <c r="DK189" t="e">
        <f>AND(Bills!#REF!,"AAAAABv+T3I=")</f>
        <v>#REF!</v>
      </c>
      <c r="DL189" t="e">
        <f>AND(Bills!F788,"AAAAABv+T3M=")</f>
        <v>#VALUE!</v>
      </c>
      <c r="DM189" t="e">
        <f>AND(Bills!#REF!,"AAAAABv+T3Q=")</f>
        <v>#REF!</v>
      </c>
      <c r="DN189" t="e">
        <f>AND(Bills!G788,"AAAAABv+T3U=")</f>
        <v>#VALUE!</v>
      </c>
      <c r="DO189" t="e">
        <f>AND(Bills!H788,"AAAAABv+T3Y=")</f>
        <v>#VALUE!</v>
      </c>
      <c r="DP189" t="e">
        <f>AND(Bills!I788,"AAAAABv+T3c=")</f>
        <v>#VALUE!</v>
      </c>
      <c r="DQ189" t="e">
        <f>AND(Bills!J788,"AAAAABv+T3g=")</f>
        <v>#VALUE!</v>
      </c>
      <c r="DR189" t="e">
        <f>AND(Bills!K788,"AAAAABv+T3k=")</f>
        <v>#VALUE!</v>
      </c>
      <c r="DS189" t="e">
        <f>AND(Bills!L788,"AAAAABv+T3o=")</f>
        <v>#VALUE!</v>
      </c>
      <c r="DT189" t="e">
        <f>AND(Bills!#REF!,"AAAAABv+T3s=")</f>
        <v>#REF!</v>
      </c>
      <c r="DU189" t="e">
        <f>AND(Bills!M788,"AAAAABv+T3w=")</f>
        <v>#VALUE!</v>
      </c>
      <c r="DV189" t="e">
        <f>AND(Bills!N788,"AAAAABv+T30=")</f>
        <v>#VALUE!</v>
      </c>
      <c r="DW189" t="e">
        <f>AND(Bills!O788,"AAAAABv+T34=")</f>
        <v>#VALUE!</v>
      </c>
      <c r="DX189" t="e">
        <f>AND(Bills!P788,"AAAAABv+T38=")</f>
        <v>#VALUE!</v>
      </c>
      <c r="DY189" t="e">
        <f>AND(Bills!Q788,"AAAAABv+T4A=")</f>
        <v>#VALUE!</v>
      </c>
      <c r="DZ189" t="e">
        <f>AND(Bills!R788,"AAAAABv+T4E=")</f>
        <v>#VALUE!</v>
      </c>
      <c r="EA189" t="e">
        <f>AND(Bills!S788,"AAAAABv+T4I=")</f>
        <v>#VALUE!</v>
      </c>
      <c r="EB189" t="e">
        <f>AND(Bills!T788,"AAAAABv+T4M=")</f>
        <v>#VALUE!</v>
      </c>
      <c r="EC189" t="e">
        <f>AND(Bills!#REF!,"AAAAABv+T4Q=")</f>
        <v>#REF!</v>
      </c>
      <c r="ED189" t="e">
        <f>AND(Bills!U788,"AAAAABv+T4U=")</f>
        <v>#VALUE!</v>
      </c>
      <c r="EE189" t="e">
        <f>AND(Bills!V788,"AAAAABv+T4Y=")</f>
        <v>#VALUE!</v>
      </c>
      <c r="EF189" t="e">
        <f>AND(Bills!W788,"AAAAABv+T4c=")</f>
        <v>#VALUE!</v>
      </c>
      <c r="EG189" t="e">
        <f>AND(Bills!#REF!,"AAAAABv+T4g=")</f>
        <v>#REF!</v>
      </c>
      <c r="EH189" t="e">
        <f>AND(Bills!#REF!,"AAAAABv+T4k=")</f>
        <v>#REF!</v>
      </c>
      <c r="EI189" t="e">
        <f>AND(Bills!Y788,"AAAAABv+T4o=")</f>
        <v>#VALUE!</v>
      </c>
      <c r="EJ189" t="e">
        <f>AND(Bills!Z788,"AAAAABv+T4s=")</f>
        <v>#VALUE!</v>
      </c>
      <c r="EK189" t="e">
        <f>AND(Bills!#REF!,"AAAAABv+T4w=")</f>
        <v>#REF!</v>
      </c>
      <c r="EL189" t="e">
        <f>AND(Bills!#REF!,"AAAAABv+T40=")</f>
        <v>#REF!</v>
      </c>
      <c r="EM189" t="e">
        <f>AND(Bills!#REF!,"AAAAABv+T44=")</f>
        <v>#REF!</v>
      </c>
      <c r="EN189" t="e">
        <f>AND(Bills!#REF!,"AAAAABv+T48=")</f>
        <v>#REF!</v>
      </c>
      <c r="EO189" t="e">
        <f>AND(Bills!#REF!,"AAAAABv+T5A=")</f>
        <v>#REF!</v>
      </c>
      <c r="EP189" t="e">
        <f>AND(Bills!#REF!,"AAAAABv+T5E=")</f>
        <v>#REF!</v>
      </c>
      <c r="EQ189" t="e">
        <f>AND(Bills!#REF!,"AAAAABv+T5I=")</f>
        <v>#REF!</v>
      </c>
      <c r="ER189" t="e">
        <f>AND(Bills!#REF!,"AAAAABv+T5M=")</f>
        <v>#REF!</v>
      </c>
      <c r="ES189" t="e">
        <f>AND(Bills!#REF!,"AAAAABv+T5Q=")</f>
        <v>#REF!</v>
      </c>
      <c r="ET189" t="e">
        <f>AND(Bills!AA788,"AAAAABv+T5U=")</f>
        <v>#VALUE!</v>
      </c>
      <c r="EU189" t="e">
        <f>AND(Bills!AB788,"AAAAABv+T5Y=")</f>
        <v>#VALUE!</v>
      </c>
      <c r="EV189" t="e">
        <f>AND(Bills!#REF!,"AAAAABv+T5c=")</f>
        <v>#REF!</v>
      </c>
      <c r="EW189" t="e">
        <f>AND(Bills!#REF!,"AAAAABv+T5g=")</f>
        <v>#REF!</v>
      </c>
      <c r="EX189" t="e">
        <f>AND(Bills!#REF!,"AAAAABv+T5k=")</f>
        <v>#REF!</v>
      </c>
      <c r="EY189" t="e">
        <f>AND(Bills!AC788,"AAAAABv+T5o=")</f>
        <v>#VALUE!</v>
      </c>
      <c r="EZ189" t="e">
        <f>AND(Bills!AD788,"AAAAABv+T5s=")</f>
        <v>#VALUE!</v>
      </c>
      <c r="FA189" t="e">
        <f>AND(Bills!AE788,"AAAAABv+T5w=")</f>
        <v>#VALUE!</v>
      </c>
      <c r="FB189">
        <f>IF(Bills!789:789,"AAAAABv+T50=",0)</f>
        <v>0</v>
      </c>
      <c r="FC189" t="e">
        <f>AND(Bills!B789,"AAAAABv+T54=")</f>
        <v>#VALUE!</v>
      </c>
      <c r="FD189" t="e">
        <f>AND(Bills!#REF!,"AAAAABv+T58=")</f>
        <v>#REF!</v>
      </c>
      <c r="FE189" t="e">
        <f>AND(Bills!C789,"AAAAABv+T6A=")</f>
        <v>#VALUE!</v>
      </c>
      <c r="FF189" t="e">
        <f>AND(Bills!D789,"AAAAABv+T6E=")</f>
        <v>#VALUE!</v>
      </c>
      <c r="FG189" t="e">
        <f>AND(Bills!E789,"AAAAABv+T6I=")</f>
        <v>#VALUE!</v>
      </c>
      <c r="FH189" t="e">
        <f>AND(Bills!#REF!,"AAAAABv+T6M=")</f>
        <v>#REF!</v>
      </c>
      <c r="FI189" t="e">
        <f>AND(Bills!#REF!,"AAAAABv+T6Q=")</f>
        <v>#REF!</v>
      </c>
      <c r="FJ189" t="e">
        <f>AND(Bills!#REF!,"AAAAABv+T6U=")</f>
        <v>#REF!</v>
      </c>
      <c r="FK189" t="e">
        <f>AND(Bills!F789,"AAAAABv+T6Y=")</f>
        <v>#VALUE!</v>
      </c>
      <c r="FL189" t="e">
        <f>AND(Bills!#REF!,"AAAAABv+T6c=")</f>
        <v>#REF!</v>
      </c>
      <c r="FM189" t="e">
        <f>AND(Bills!G789,"AAAAABv+T6g=")</f>
        <v>#VALUE!</v>
      </c>
      <c r="FN189" t="e">
        <f>AND(Bills!H789,"AAAAABv+T6k=")</f>
        <v>#VALUE!</v>
      </c>
      <c r="FO189" t="e">
        <f>AND(Bills!I789,"AAAAABv+T6o=")</f>
        <v>#VALUE!</v>
      </c>
      <c r="FP189" t="e">
        <f>AND(Bills!J789,"AAAAABv+T6s=")</f>
        <v>#VALUE!</v>
      </c>
      <c r="FQ189" t="e">
        <f>AND(Bills!K789,"AAAAABv+T6w=")</f>
        <v>#VALUE!</v>
      </c>
      <c r="FR189" t="e">
        <f>AND(Bills!L789,"AAAAABv+T60=")</f>
        <v>#VALUE!</v>
      </c>
      <c r="FS189" t="e">
        <f>AND(Bills!#REF!,"AAAAABv+T64=")</f>
        <v>#REF!</v>
      </c>
      <c r="FT189" t="e">
        <f>AND(Bills!M789,"AAAAABv+T68=")</f>
        <v>#VALUE!</v>
      </c>
      <c r="FU189" t="e">
        <f>AND(Bills!N789,"AAAAABv+T7A=")</f>
        <v>#VALUE!</v>
      </c>
      <c r="FV189" t="e">
        <f>AND(Bills!O789,"AAAAABv+T7E=")</f>
        <v>#VALUE!</v>
      </c>
      <c r="FW189" t="e">
        <f>AND(Bills!P789,"AAAAABv+T7I=")</f>
        <v>#VALUE!</v>
      </c>
      <c r="FX189" t="e">
        <f>AND(Bills!Q789,"AAAAABv+T7M=")</f>
        <v>#VALUE!</v>
      </c>
      <c r="FY189" t="e">
        <f>AND(Bills!R789,"AAAAABv+T7Q=")</f>
        <v>#VALUE!</v>
      </c>
      <c r="FZ189" t="e">
        <f>AND(Bills!S789,"AAAAABv+T7U=")</f>
        <v>#VALUE!</v>
      </c>
      <c r="GA189" t="e">
        <f>AND(Bills!T789,"AAAAABv+T7Y=")</f>
        <v>#VALUE!</v>
      </c>
      <c r="GB189" t="e">
        <f>AND(Bills!#REF!,"AAAAABv+T7c=")</f>
        <v>#REF!</v>
      </c>
      <c r="GC189" t="e">
        <f>AND(Bills!U789,"AAAAABv+T7g=")</f>
        <v>#VALUE!</v>
      </c>
      <c r="GD189" t="e">
        <f>AND(Bills!V789,"AAAAABv+T7k=")</f>
        <v>#VALUE!</v>
      </c>
      <c r="GE189" t="e">
        <f>AND(Bills!W789,"AAAAABv+T7o=")</f>
        <v>#VALUE!</v>
      </c>
      <c r="GF189" t="e">
        <f>AND(Bills!#REF!,"AAAAABv+T7s=")</f>
        <v>#REF!</v>
      </c>
      <c r="GG189" t="e">
        <f>AND(Bills!#REF!,"AAAAABv+T7w=")</f>
        <v>#REF!</v>
      </c>
      <c r="GH189" t="e">
        <f>AND(Bills!Y789,"AAAAABv+T70=")</f>
        <v>#VALUE!</v>
      </c>
      <c r="GI189" t="e">
        <f>AND(Bills!Z789,"AAAAABv+T74=")</f>
        <v>#VALUE!</v>
      </c>
      <c r="GJ189" t="e">
        <f>AND(Bills!#REF!,"AAAAABv+T78=")</f>
        <v>#REF!</v>
      </c>
      <c r="GK189" t="e">
        <f>AND(Bills!#REF!,"AAAAABv+T8A=")</f>
        <v>#REF!</v>
      </c>
      <c r="GL189" t="e">
        <f>AND(Bills!#REF!,"AAAAABv+T8E=")</f>
        <v>#REF!</v>
      </c>
      <c r="GM189" t="e">
        <f>AND(Bills!#REF!,"AAAAABv+T8I=")</f>
        <v>#REF!</v>
      </c>
      <c r="GN189" t="e">
        <f>AND(Bills!#REF!,"AAAAABv+T8M=")</f>
        <v>#REF!</v>
      </c>
      <c r="GO189" t="e">
        <f>AND(Bills!#REF!,"AAAAABv+T8Q=")</f>
        <v>#REF!</v>
      </c>
      <c r="GP189" t="e">
        <f>AND(Bills!#REF!,"AAAAABv+T8U=")</f>
        <v>#REF!</v>
      </c>
      <c r="GQ189" t="e">
        <f>AND(Bills!#REF!,"AAAAABv+T8Y=")</f>
        <v>#REF!</v>
      </c>
      <c r="GR189" t="e">
        <f>AND(Bills!#REF!,"AAAAABv+T8c=")</f>
        <v>#REF!</v>
      </c>
      <c r="GS189" t="e">
        <f>AND(Bills!AA789,"AAAAABv+T8g=")</f>
        <v>#VALUE!</v>
      </c>
      <c r="GT189" t="e">
        <f>AND(Bills!AB789,"AAAAABv+T8k=")</f>
        <v>#VALUE!</v>
      </c>
      <c r="GU189" t="e">
        <f>AND(Bills!#REF!,"AAAAABv+T8o=")</f>
        <v>#REF!</v>
      </c>
      <c r="GV189" t="e">
        <f>AND(Bills!#REF!,"AAAAABv+T8s=")</f>
        <v>#REF!</v>
      </c>
      <c r="GW189" t="e">
        <f>AND(Bills!#REF!,"AAAAABv+T8w=")</f>
        <v>#REF!</v>
      </c>
      <c r="GX189" t="e">
        <f>AND(Bills!AC789,"AAAAABv+T80=")</f>
        <v>#VALUE!</v>
      </c>
      <c r="GY189" t="e">
        <f>AND(Bills!AD789,"AAAAABv+T84=")</f>
        <v>#VALUE!</v>
      </c>
      <c r="GZ189" t="e">
        <f>AND(Bills!AE789,"AAAAABv+T88=")</f>
        <v>#VALUE!</v>
      </c>
      <c r="HA189">
        <f>IF(Bills!790:790,"AAAAABv+T9A=",0)</f>
        <v>0</v>
      </c>
      <c r="HB189" t="e">
        <f>AND(Bills!B790,"AAAAABv+T9E=")</f>
        <v>#VALUE!</v>
      </c>
      <c r="HC189" t="e">
        <f>AND(Bills!#REF!,"AAAAABv+T9I=")</f>
        <v>#REF!</v>
      </c>
      <c r="HD189" t="e">
        <f>AND(Bills!C790,"AAAAABv+T9M=")</f>
        <v>#VALUE!</v>
      </c>
      <c r="HE189" t="e">
        <f>AND(Bills!D790,"AAAAABv+T9Q=")</f>
        <v>#VALUE!</v>
      </c>
      <c r="HF189" t="e">
        <f>AND(Bills!E790,"AAAAABv+T9U=")</f>
        <v>#VALUE!</v>
      </c>
      <c r="HG189" t="e">
        <f>AND(Bills!#REF!,"AAAAABv+T9Y=")</f>
        <v>#REF!</v>
      </c>
      <c r="HH189" t="e">
        <f>AND(Bills!#REF!,"AAAAABv+T9c=")</f>
        <v>#REF!</v>
      </c>
      <c r="HI189" t="e">
        <f>AND(Bills!#REF!,"AAAAABv+T9g=")</f>
        <v>#REF!</v>
      </c>
      <c r="HJ189" t="e">
        <f>AND(Bills!F790,"AAAAABv+T9k=")</f>
        <v>#VALUE!</v>
      </c>
      <c r="HK189" t="e">
        <f>AND(Bills!#REF!,"AAAAABv+T9o=")</f>
        <v>#REF!</v>
      </c>
      <c r="HL189" t="e">
        <f>AND(Bills!G790,"AAAAABv+T9s=")</f>
        <v>#VALUE!</v>
      </c>
      <c r="HM189" t="e">
        <f>AND(Bills!H790,"AAAAABv+T9w=")</f>
        <v>#VALUE!</v>
      </c>
      <c r="HN189" t="e">
        <f>AND(Bills!I790,"AAAAABv+T90=")</f>
        <v>#VALUE!</v>
      </c>
      <c r="HO189" t="e">
        <f>AND(Bills!J790,"AAAAABv+T94=")</f>
        <v>#VALUE!</v>
      </c>
      <c r="HP189" t="e">
        <f>AND(Bills!K790,"AAAAABv+T98=")</f>
        <v>#VALUE!</v>
      </c>
      <c r="HQ189" t="e">
        <f>AND(Bills!L790,"AAAAABv+T+A=")</f>
        <v>#VALUE!</v>
      </c>
      <c r="HR189" t="e">
        <f>AND(Bills!#REF!,"AAAAABv+T+E=")</f>
        <v>#REF!</v>
      </c>
      <c r="HS189" t="e">
        <f>AND(Bills!M790,"AAAAABv+T+I=")</f>
        <v>#VALUE!</v>
      </c>
      <c r="HT189" t="e">
        <f>AND(Bills!N790,"AAAAABv+T+M=")</f>
        <v>#VALUE!</v>
      </c>
      <c r="HU189" t="e">
        <f>AND(Bills!O790,"AAAAABv+T+Q=")</f>
        <v>#VALUE!</v>
      </c>
      <c r="HV189" t="e">
        <f>AND(Bills!P790,"AAAAABv+T+U=")</f>
        <v>#VALUE!</v>
      </c>
      <c r="HW189" t="e">
        <f>AND(Bills!Q790,"AAAAABv+T+Y=")</f>
        <v>#VALUE!</v>
      </c>
      <c r="HX189" t="e">
        <f>AND(Bills!R790,"AAAAABv+T+c=")</f>
        <v>#VALUE!</v>
      </c>
      <c r="HY189" t="e">
        <f>AND(Bills!S790,"AAAAABv+T+g=")</f>
        <v>#VALUE!</v>
      </c>
      <c r="HZ189" t="e">
        <f>AND(Bills!T790,"AAAAABv+T+k=")</f>
        <v>#VALUE!</v>
      </c>
      <c r="IA189" t="e">
        <f>AND(Bills!#REF!,"AAAAABv+T+o=")</f>
        <v>#REF!</v>
      </c>
      <c r="IB189" t="e">
        <f>AND(Bills!U790,"AAAAABv+T+s=")</f>
        <v>#VALUE!</v>
      </c>
      <c r="IC189" t="e">
        <f>AND(Bills!V790,"AAAAABv+T+w=")</f>
        <v>#VALUE!</v>
      </c>
      <c r="ID189" t="e">
        <f>AND(Bills!W790,"AAAAABv+T+0=")</f>
        <v>#VALUE!</v>
      </c>
      <c r="IE189" t="e">
        <f>AND(Bills!#REF!,"AAAAABv+T+4=")</f>
        <v>#REF!</v>
      </c>
      <c r="IF189" t="e">
        <f>AND(Bills!#REF!,"AAAAABv+T+8=")</f>
        <v>#REF!</v>
      </c>
      <c r="IG189" t="e">
        <f>AND(Bills!Y790,"AAAAABv+T/A=")</f>
        <v>#VALUE!</v>
      </c>
      <c r="IH189" t="e">
        <f>AND(Bills!Z790,"AAAAABv+T/E=")</f>
        <v>#VALUE!</v>
      </c>
      <c r="II189" t="e">
        <f>AND(Bills!#REF!,"AAAAABv+T/I=")</f>
        <v>#REF!</v>
      </c>
      <c r="IJ189" t="e">
        <f>AND(Bills!#REF!,"AAAAABv+T/M=")</f>
        <v>#REF!</v>
      </c>
      <c r="IK189" t="e">
        <f>AND(Bills!#REF!,"AAAAABv+T/Q=")</f>
        <v>#REF!</v>
      </c>
      <c r="IL189" t="e">
        <f>AND(Bills!#REF!,"AAAAABv+T/U=")</f>
        <v>#REF!</v>
      </c>
      <c r="IM189" t="e">
        <f>AND(Bills!#REF!,"AAAAABv+T/Y=")</f>
        <v>#REF!</v>
      </c>
      <c r="IN189" t="e">
        <f>AND(Bills!#REF!,"AAAAABv+T/c=")</f>
        <v>#REF!</v>
      </c>
      <c r="IO189" t="e">
        <f>AND(Bills!#REF!,"AAAAABv+T/g=")</f>
        <v>#REF!</v>
      </c>
      <c r="IP189" t="e">
        <f>AND(Bills!#REF!,"AAAAABv+T/k=")</f>
        <v>#REF!</v>
      </c>
      <c r="IQ189" t="e">
        <f>AND(Bills!#REF!,"AAAAABv+T/o=")</f>
        <v>#REF!</v>
      </c>
      <c r="IR189" t="e">
        <f>AND(Bills!AA790,"AAAAABv+T/s=")</f>
        <v>#VALUE!</v>
      </c>
      <c r="IS189" t="e">
        <f>AND(Bills!AB790,"AAAAABv+T/w=")</f>
        <v>#VALUE!</v>
      </c>
      <c r="IT189" t="e">
        <f>AND(Bills!#REF!,"AAAAABv+T/0=")</f>
        <v>#REF!</v>
      </c>
      <c r="IU189" t="e">
        <f>AND(Bills!#REF!,"AAAAABv+T/4=")</f>
        <v>#REF!</v>
      </c>
      <c r="IV189" t="e">
        <f>AND(Bills!#REF!,"AAAAABv+T/8=")</f>
        <v>#REF!</v>
      </c>
    </row>
    <row r="190" spans="1:256" x14ac:dyDescent="0.25">
      <c r="A190" t="e">
        <f>AND(Bills!AC790,"AAAAAH9/mwA=")</f>
        <v>#VALUE!</v>
      </c>
      <c r="B190" t="e">
        <f>AND(Bills!AD790,"AAAAAH9/mwE=")</f>
        <v>#VALUE!</v>
      </c>
      <c r="C190" t="e">
        <f>AND(Bills!AE790,"AAAAAH9/mwI=")</f>
        <v>#VALUE!</v>
      </c>
      <c r="D190">
        <f>IF(Bills!791:791,"AAAAAH9/mwM=",0)</f>
        <v>0</v>
      </c>
      <c r="E190" t="e">
        <f>AND(Bills!B791,"AAAAAH9/mwQ=")</f>
        <v>#VALUE!</v>
      </c>
      <c r="F190" t="e">
        <f>AND(Bills!#REF!,"AAAAAH9/mwU=")</f>
        <v>#REF!</v>
      </c>
      <c r="G190" t="e">
        <f>AND(Bills!C791,"AAAAAH9/mwY=")</f>
        <v>#VALUE!</v>
      </c>
      <c r="H190" t="e">
        <f>AND(Bills!D791,"AAAAAH9/mwc=")</f>
        <v>#VALUE!</v>
      </c>
      <c r="I190" t="e">
        <f>AND(Bills!E791,"AAAAAH9/mwg=")</f>
        <v>#VALUE!</v>
      </c>
      <c r="J190" t="e">
        <f>AND(Bills!#REF!,"AAAAAH9/mwk=")</f>
        <v>#REF!</v>
      </c>
      <c r="K190" t="e">
        <f>AND(Bills!#REF!,"AAAAAH9/mwo=")</f>
        <v>#REF!</v>
      </c>
      <c r="L190" t="e">
        <f>AND(Bills!#REF!,"AAAAAH9/mws=")</f>
        <v>#REF!</v>
      </c>
      <c r="M190" t="e">
        <f>AND(Bills!F791,"AAAAAH9/mww=")</f>
        <v>#VALUE!</v>
      </c>
      <c r="N190" t="e">
        <f>AND(Bills!#REF!,"AAAAAH9/mw0=")</f>
        <v>#REF!</v>
      </c>
      <c r="O190" t="e">
        <f>AND(Bills!G791,"AAAAAH9/mw4=")</f>
        <v>#VALUE!</v>
      </c>
      <c r="P190" t="e">
        <f>AND(Bills!H791,"AAAAAH9/mw8=")</f>
        <v>#VALUE!</v>
      </c>
      <c r="Q190" t="e">
        <f>AND(Bills!I791,"AAAAAH9/mxA=")</f>
        <v>#VALUE!</v>
      </c>
      <c r="R190" t="e">
        <f>AND(Bills!J791,"AAAAAH9/mxE=")</f>
        <v>#VALUE!</v>
      </c>
      <c r="S190" t="e">
        <f>AND(Bills!K791,"AAAAAH9/mxI=")</f>
        <v>#VALUE!</v>
      </c>
      <c r="T190" t="e">
        <f>AND(Bills!L791,"AAAAAH9/mxM=")</f>
        <v>#VALUE!</v>
      </c>
      <c r="U190" t="e">
        <f>AND(Bills!#REF!,"AAAAAH9/mxQ=")</f>
        <v>#REF!</v>
      </c>
      <c r="V190" t="e">
        <f>AND(Bills!M791,"AAAAAH9/mxU=")</f>
        <v>#VALUE!</v>
      </c>
      <c r="W190" t="e">
        <f>AND(Bills!N791,"AAAAAH9/mxY=")</f>
        <v>#VALUE!</v>
      </c>
      <c r="X190" t="e">
        <f>AND(Bills!O791,"AAAAAH9/mxc=")</f>
        <v>#VALUE!</v>
      </c>
      <c r="Y190" t="e">
        <f>AND(Bills!P791,"AAAAAH9/mxg=")</f>
        <v>#VALUE!</v>
      </c>
      <c r="Z190" t="e">
        <f>AND(Bills!Q791,"AAAAAH9/mxk=")</f>
        <v>#VALUE!</v>
      </c>
      <c r="AA190" t="e">
        <f>AND(Bills!R791,"AAAAAH9/mxo=")</f>
        <v>#VALUE!</v>
      </c>
      <c r="AB190" t="e">
        <f>AND(Bills!S791,"AAAAAH9/mxs=")</f>
        <v>#VALUE!</v>
      </c>
      <c r="AC190" t="e">
        <f>AND(Bills!T791,"AAAAAH9/mxw=")</f>
        <v>#VALUE!</v>
      </c>
      <c r="AD190" t="e">
        <f>AND(Bills!#REF!,"AAAAAH9/mx0=")</f>
        <v>#REF!</v>
      </c>
      <c r="AE190" t="e">
        <f>AND(Bills!U791,"AAAAAH9/mx4=")</f>
        <v>#VALUE!</v>
      </c>
      <c r="AF190" t="e">
        <f>AND(Bills!V791,"AAAAAH9/mx8=")</f>
        <v>#VALUE!</v>
      </c>
      <c r="AG190" t="e">
        <f>AND(Bills!W791,"AAAAAH9/myA=")</f>
        <v>#VALUE!</v>
      </c>
      <c r="AH190" t="e">
        <f>AND(Bills!#REF!,"AAAAAH9/myE=")</f>
        <v>#REF!</v>
      </c>
      <c r="AI190" t="e">
        <f>AND(Bills!#REF!,"AAAAAH9/myI=")</f>
        <v>#REF!</v>
      </c>
      <c r="AJ190" t="e">
        <f>AND(Bills!Y791,"AAAAAH9/myM=")</f>
        <v>#VALUE!</v>
      </c>
      <c r="AK190" t="e">
        <f>AND(Bills!Z791,"AAAAAH9/myQ=")</f>
        <v>#VALUE!</v>
      </c>
      <c r="AL190" t="e">
        <f>AND(Bills!#REF!,"AAAAAH9/myU=")</f>
        <v>#REF!</v>
      </c>
      <c r="AM190" t="e">
        <f>AND(Bills!#REF!,"AAAAAH9/myY=")</f>
        <v>#REF!</v>
      </c>
      <c r="AN190" t="e">
        <f>AND(Bills!#REF!,"AAAAAH9/myc=")</f>
        <v>#REF!</v>
      </c>
      <c r="AO190" t="e">
        <f>AND(Bills!#REF!,"AAAAAH9/myg=")</f>
        <v>#REF!</v>
      </c>
      <c r="AP190" t="e">
        <f>AND(Bills!#REF!,"AAAAAH9/myk=")</f>
        <v>#REF!</v>
      </c>
      <c r="AQ190" t="e">
        <f>AND(Bills!#REF!,"AAAAAH9/myo=")</f>
        <v>#REF!</v>
      </c>
      <c r="AR190" t="e">
        <f>AND(Bills!#REF!,"AAAAAH9/mys=")</f>
        <v>#REF!</v>
      </c>
      <c r="AS190" t="e">
        <f>AND(Bills!#REF!,"AAAAAH9/myw=")</f>
        <v>#REF!</v>
      </c>
      <c r="AT190" t="e">
        <f>AND(Bills!#REF!,"AAAAAH9/my0=")</f>
        <v>#REF!</v>
      </c>
      <c r="AU190" t="e">
        <f>AND(Bills!AA791,"AAAAAH9/my4=")</f>
        <v>#VALUE!</v>
      </c>
      <c r="AV190" t="e">
        <f>AND(Bills!AB791,"AAAAAH9/my8=")</f>
        <v>#VALUE!</v>
      </c>
      <c r="AW190" t="e">
        <f>AND(Bills!#REF!,"AAAAAH9/mzA=")</f>
        <v>#REF!</v>
      </c>
      <c r="AX190" t="e">
        <f>AND(Bills!#REF!,"AAAAAH9/mzE=")</f>
        <v>#REF!</v>
      </c>
      <c r="AY190" t="e">
        <f>AND(Bills!#REF!,"AAAAAH9/mzI=")</f>
        <v>#REF!</v>
      </c>
      <c r="AZ190" t="e">
        <f>AND(Bills!AC791,"AAAAAH9/mzM=")</f>
        <v>#VALUE!</v>
      </c>
      <c r="BA190" t="e">
        <f>AND(Bills!AD791,"AAAAAH9/mzQ=")</f>
        <v>#VALUE!</v>
      </c>
      <c r="BB190" t="e">
        <f>AND(Bills!AE791,"AAAAAH9/mzU=")</f>
        <v>#VALUE!</v>
      </c>
      <c r="BC190">
        <f>IF(Bills!792:792,"AAAAAH9/mzY=",0)</f>
        <v>0</v>
      </c>
      <c r="BD190" t="e">
        <f>AND(Bills!B792,"AAAAAH9/mzc=")</f>
        <v>#VALUE!</v>
      </c>
      <c r="BE190" t="e">
        <f>AND(Bills!#REF!,"AAAAAH9/mzg=")</f>
        <v>#REF!</v>
      </c>
      <c r="BF190" t="e">
        <f>AND(Bills!C792,"AAAAAH9/mzk=")</f>
        <v>#VALUE!</v>
      </c>
      <c r="BG190" t="e">
        <f>AND(Bills!D792,"AAAAAH9/mzo=")</f>
        <v>#VALUE!</v>
      </c>
      <c r="BH190" t="e">
        <f>AND(Bills!E792,"AAAAAH9/mzs=")</f>
        <v>#VALUE!</v>
      </c>
      <c r="BI190" t="e">
        <f>AND(Bills!#REF!,"AAAAAH9/mzw=")</f>
        <v>#REF!</v>
      </c>
      <c r="BJ190" t="e">
        <f>AND(Bills!#REF!,"AAAAAH9/mz0=")</f>
        <v>#REF!</v>
      </c>
      <c r="BK190" t="e">
        <f>AND(Bills!#REF!,"AAAAAH9/mz4=")</f>
        <v>#REF!</v>
      </c>
      <c r="BL190" t="e">
        <f>AND(Bills!F792,"AAAAAH9/mz8=")</f>
        <v>#VALUE!</v>
      </c>
      <c r="BM190" t="e">
        <f>AND(Bills!#REF!,"AAAAAH9/m0A=")</f>
        <v>#REF!</v>
      </c>
      <c r="BN190" t="e">
        <f>AND(Bills!G792,"AAAAAH9/m0E=")</f>
        <v>#VALUE!</v>
      </c>
      <c r="BO190" t="e">
        <f>AND(Bills!H792,"AAAAAH9/m0I=")</f>
        <v>#VALUE!</v>
      </c>
      <c r="BP190" t="e">
        <f>AND(Bills!I792,"AAAAAH9/m0M=")</f>
        <v>#VALUE!</v>
      </c>
      <c r="BQ190" t="e">
        <f>AND(Bills!J792,"AAAAAH9/m0Q=")</f>
        <v>#VALUE!</v>
      </c>
      <c r="BR190" t="e">
        <f>AND(Bills!K792,"AAAAAH9/m0U=")</f>
        <v>#VALUE!</v>
      </c>
      <c r="BS190" t="e">
        <f>AND(Bills!L792,"AAAAAH9/m0Y=")</f>
        <v>#VALUE!</v>
      </c>
      <c r="BT190" t="e">
        <f>AND(Bills!#REF!,"AAAAAH9/m0c=")</f>
        <v>#REF!</v>
      </c>
      <c r="BU190" t="e">
        <f>AND(Bills!M792,"AAAAAH9/m0g=")</f>
        <v>#VALUE!</v>
      </c>
      <c r="BV190" t="e">
        <f>AND(Bills!N792,"AAAAAH9/m0k=")</f>
        <v>#VALUE!</v>
      </c>
      <c r="BW190" t="e">
        <f>AND(Bills!O792,"AAAAAH9/m0o=")</f>
        <v>#VALUE!</v>
      </c>
      <c r="BX190" t="e">
        <f>AND(Bills!P792,"AAAAAH9/m0s=")</f>
        <v>#VALUE!</v>
      </c>
      <c r="BY190" t="e">
        <f>AND(Bills!Q792,"AAAAAH9/m0w=")</f>
        <v>#VALUE!</v>
      </c>
      <c r="BZ190" t="e">
        <f>AND(Bills!R792,"AAAAAH9/m00=")</f>
        <v>#VALUE!</v>
      </c>
      <c r="CA190" t="e">
        <f>AND(Bills!S792,"AAAAAH9/m04=")</f>
        <v>#VALUE!</v>
      </c>
      <c r="CB190" t="e">
        <f>AND(Bills!T792,"AAAAAH9/m08=")</f>
        <v>#VALUE!</v>
      </c>
      <c r="CC190" t="e">
        <f>AND(Bills!#REF!,"AAAAAH9/m1A=")</f>
        <v>#REF!</v>
      </c>
      <c r="CD190" t="e">
        <f>AND(Bills!U792,"AAAAAH9/m1E=")</f>
        <v>#VALUE!</v>
      </c>
      <c r="CE190" t="e">
        <f>AND(Bills!V792,"AAAAAH9/m1I=")</f>
        <v>#VALUE!</v>
      </c>
      <c r="CF190" t="e">
        <f>AND(Bills!W792,"AAAAAH9/m1M=")</f>
        <v>#VALUE!</v>
      </c>
      <c r="CG190" t="e">
        <f>AND(Bills!#REF!,"AAAAAH9/m1Q=")</f>
        <v>#REF!</v>
      </c>
      <c r="CH190" t="e">
        <f>AND(Bills!#REF!,"AAAAAH9/m1U=")</f>
        <v>#REF!</v>
      </c>
      <c r="CI190" t="e">
        <f>AND(Bills!Y792,"AAAAAH9/m1Y=")</f>
        <v>#VALUE!</v>
      </c>
      <c r="CJ190" t="e">
        <f>AND(Bills!Z792,"AAAAAH9/m1c=")</f>
        <v>#VALUE!</v>
      </c>
      <c r="CK190" t="e">
        <f>AND(Bills!#REF!,"AAAAAH9/m1g=")</f>
        <v>#REF!</v>
      </c>
      <c r="CL190" t="e">
        <f>AND(Bills!#REF!,"AAAAAH9/m1k=")</f>
        <v>#REF!</v>
      </c>
      <c r="CM190" t="e">
        <f>AND(Bills!#REF!,"AAAAAH9/m1o=")</f>
        <v>#REF!</v>
      </c>
      <c r="CN190" t="e">
        <f>AND(Bills!#REF!,"AAAAAH9/m1s=")</f>
        <v>#REF!</v>
      </c>
      <c r="CO190" t="e">
        <f>AND(Bills!#REF!,"AAAAAH9/m1w=")</f>
        <v>#REF!</v>
      </c>
      <c r="CP190" t="e">
        <f>AND(Bills!#REF!,"AAAAAH9/m10=")</f>
        <v>#REF!</v>
      </c>
      <c r="CQ190" t="e">
        <f>AND(Bills!#REF!,"AAAAAH9/m14=")</f>
        <v>#REF!</v>
      </c>
      <c r="CR190" t="e">
        <f>AND(Bills!#REF!,"AAAAAH9/m18=")</f>
        <v>#REF!</v>
      </c>
      <c r="CS190" t="e">
        <f>AND(Bills!#REF!,"AAAAAH9/m2A=")</f>
        <v>#REF!</v>
      </c>
      <c r="CT190" t="e">
        <f>AND(Bills!AA792,"AAAAAH9/m2E=")</f>
        <v>#VALUE!</v>
      </c>
      <c r="CU190" t="e">
        <f>AND(Bills!AB792,"AAAAAH9/m2I=")</f>
        <v>#VALUE!</v>
      </c>
      <c r="CV190" t="e">
        <f>AND(Bills!#REF!,"AAAAAH9/m2M=")</f>
        <v>#REF!</v>
      </c>
      <c r="CW190" t="e">
        <f>AND(Bills!#REF!,"AAAAAH9/m2Q=")</f>
        <v>#REF!</v>
      </c>
      <c r="CX190" t="e">
        <f>AND(Bills!#REF!,"AAAAAH9/m2U=")</f>
        <v>#REF!</v>
      </c>
      <c r="CY190" t="e">
        <f>AND(Bills!AC792,"AAAAAH9/m2Y=")</f>
        <v>#VALUE!</v>
      </c>
      <c r="CZ190" t="e">
        <f>AND(Bills!AD792,"AAAAAH9/m2c=")</f>
        <v>#VALUE!</v>
      </c>
      <c r="DA190" t="e">
        <f>AND(Bills!AE792,"AAAAAH9/m2g=")</f>
        <v>#VALUE!</v>
      </c>
      <c r="DB190">
        <f>IF(Bills!793:793,"AAAAAH9/m2k=",0)</f>
        <v>0</v>
      </c>
      <c r="DC190" t="e">
        <f>AND(Bills!B793,"AAAAAH9/m2o=")</f>
        <v>#VALUE!</v>
      </c>
      <c r="DD190" t="e">
        <f>AND(Bills!#REF!,"AAAAAH9/m2s=")</f>
        <v>#REF!</v>
      </c>
      <c r="DE190" t="e">
        <f>AND(Bills!C793,"AAAAAH9/m2w=")</f>
        <v>#VALUE!</v>
      </c>
      <c r="DF190" t="e">
        <f>AND(Bills!D793,"AAAAAH9/m20=")</f>
        <v>#VALUE!</v>
      </c>
      <c r="DG190" t="e">
        <f>AND(Bills!E793,"AAAAAH9/m24=")</f>
        <v>#VALUE!</v>
      </c>
      <c r="DH190" t="e">
        <f>AND(Bills!#REF!,"AAAAAH9/m28=")</f>
        <v>#REF!</v>
      </c>
      <c r="DI190" t="e">
        <f>AND(Bills!#REF!,"AAAAAH9/m3A=")</f>
        <v>#REF!</v>
      </c>
      <c r="DJ190" t="e">
        <f>AND(Bills!#REF!,"AAAAAH9/m3E=")</f>
        <v>#REF!</v>
      </c>
      <c r="DK190" t="e">
        <f>AND(Bills!F793,"AAAAAH9/m3I=")</f>
        <v>#VALUE!</v>
      </c>
      <c r="DL190" t="e">
        <f>AND(Bills!#REF!,"AAAAAH9/m3M=")</f>
        <v>#REF!</v>
      </c>
      <c r="DM190" t="e">
        <f>AND(Bills!G793,"AAAAAH9/m3Q=")</f>
        <v>#VALUE!</v>
      </c>
      <c r="DN190" t="e">
        <f>AND(Bills!H793,"AAAAAH9/m3U=")</f>
        <v>#VALUE!</v>
      </c>
      <c r="DO190" t="e">
        <f>AND(Bills!I793,"AAAAAH9/m3Y=")</f>
        <v>#VALUE!</v>
      </c>
      <c r="DP190" t="e">
        <f>AND(Bills!J793,"AAAAAH9/m3c=")</f>
        <v>#VALUE!</v>
      </c>
      <c r="DQ190" t="e">
        <f>AND(Bills!K793,"AAAAAH9/m3g=")</f>
        <v>#VALUE!</v>
      </c>
      <c r="DR190" t="e">
        <f>AND(Bills!L793,"AAAAAH9/m3k=")</f>
        <v>#VALUE!</v>
      </c>
      <c r="DS190" t="e">
        <f>AND(Bills!#REF!,"AAAAAH9/m3o=")</f>
        <v>#REF!</v>
      </c>
      <c r="DT190" t="e">
        <f>AND(Bills!M793,"AAAAAH9/m3s=")</f>
        <v>#VALUE!</v>
      </c>
      <c r="DU190" t="e">
        <f>AND(Bills!N793,"AAAAAH9/m3w=")</f>
        <v>#VALUE!</v>
      </c>
      <c r="DV190" t="e">
        <f>AND(Bills!O793,"AAAAAH9/m30=")</f>
        <v>#VALUE!</v>
      </c>
      <c r="DW190" t="e">
        <f>AND(Bills!P793,"AAAAAH9/m34=")</f>
        <v>#VALUE!</v>
      </c>
      <c r="DX190" t="e">
        <f>AND(Bills!Q793,"AAAAAH9/m38=")</f>
        <v>#VALUE!</v>
      </c>
      <c r="DY190" t="e">
        <f>AND(Bills!R793,"AAAAAH9/m4A=")</f>
        <v>#VALUE!</v>
      </c>
      <c r="DZ190" t="e">
        <f>AND(Bills!S793,"AAAAAH9/m4E=")</f>
        <v>#VALUE!</v>
      </c>
      <c r="EA190" t="e">
        <f>AND(Bills!T793,"AAAAAH9/m4I=")</f>
        <v>#VALUE!</v>
      </c>
      <c r="EB190" t="e">
        <f>AND(Bills!#REF!,"AAAAAH9/m4M=")</f>
        <v>#REF!</v>
      </c>
      <c r="EC190" t="e">
        <f>AND(Bills!U793,"AAAAAH9/m4Q=")</f>
        <v>#VALUE!</v>
      </c>
      <c r="ED190" t="e">
        <f>AND(Bills!V793,"AAAAAH9/m4U=")</f>
        <v>#VALUE!</v>
      </c>
      <c r="EE190" t="e">
        <f>AND(Bills!W793,"AAAAAH9/m4Y=")</f>
        <v>#VALUE!</v>
      </c>
      <c r="EF190" t="e">
        <f>AND(Bills!#REF!,"AAAAAH9/m4c=")</f>
        <v>#REF!</v>
      </c>
      <c r="EG190" t="e">
        <f>AND(Bills!#REF!,"AAAAAH9/m4g=")</f>
        <v>#REF!</v>
      </c>
      <c r="EH190" t="e">
        <f>AND(Bills!Y793,"AAAAAH9/m4k=")</f>
        <v>#VALUE!</v>
      </c>
      <c r="EI190" t="e">
        <f>AND(Bills!Z793,"AAAAAH9/m4o=")</f>
        <v>#VALUE!</v>
      </c>
      <c r="EJ190" t="e">
        <f>AND(Bills!#REF!,"AAAAAH9/m4s=")</f>
        <v>#REF!</v>
      </c>
      <c r="EK190" t="e">
        <f>AND(Bills!#REF!,"AAAAAH9/m4w=")</f>
        <v>#REF!</v>
      </c>
      <c r="EL190" t="e">
        <f>AND(Bills!#REF!,"AAAAAH9/m40=")</f>
        <v>#REF!</v>
      </c>
      <c r="EM190" t="e">
        <f>AND(Bills!#REF!,"AAAAAH9/m44=")</f>
        <v>#REF!</v>
      </c>
      <c r="EN190" t="e">
        <f>AND(Bills!#REF!,"AAAAAH9/m48=")</f>
        <v>#REF!</v>
      </c>
      <c r="EO190" t="e">
        <f>AND(Bills!#REF!,"AAAAAH9/m5A=")</f>
        <v>#REF!</v>
      </c>
      <c r="EP190" t="e">
        <f>AND(Bills!#REF!,"AAAAAH9/m5E=")</f>
        <v>#REF!</v>
      </c>
      <c r="EQ190" t="e">
        <f>AND(Bills!#REF!,"AAAAAH9/m5I=")</f>
        <v>#REF!</v>
      </c>
      <c r="ER190" t="e">
        <f>AND(Bills!#REF!,"AAAAAH9/m5M=")</f>
        <v>#REF!</v>
      </c>
      <c r="ES190" t="e">
        <f>AND(Bills!AA793,"AAAAAH9/m5Q=")</f>
        <v>#VALUE!</v>
      </c>
      <c r="ET190" t="e">
        <f>AND(Bills!AB793,"AAAAAH9/m5U=")</f>
        <v>#VALUE!</v>
      </c>
      <c r="EU190" t="e">
        <f>AND(Bills!#REF!,"AAAAAH9/m5Y=")</f>
        <v>#REF!</v>
      </c>
      <c r="EV190" t="e">
        <f>AND(Bills!#REF!,"AAAAAH9/m5c=")</f>
        <v>#REF!</v>
      </c>
      <c r="EW190" t="e">
        <f>AND(Bills!#REF!,"AAAAAH9/m5g=")</f>
        <v>#REF!</v>
      </c>
      <c r="EX190" t="e">
        <f>AND(Bills!AC793,"AAAAAH9/m5k=")</f>
        <v>#VALUE!</v>
      </c>
      <c r="EY190" t="e">
        <f>AND(Bills!AD793,"AAAAAH9/m5o=")</f>
        <v>#VALUE!</v>
      </c>
      <c r="EZ190" t="e">
        <f>AND(Bills!AE793,"AAAAAH9/m5s=")</f>
        <v>#VALUE!</v>
      </c>
      <c r="FA190">
        <f>IF(Bills!794:794,"AAAAAH9/m5w=",0)</f>
        <v>0</v>
      </c>
      <c r="FB190" t="e">
        <f>AND(Bills!B794,"AAAAAH9/m50=")</f>
        <v>#VALUE!</v>
      </c>
      <c r="FC190" t="e">
        <f>AND(Bills!#REF!,"AAAAAH9/m54=")</f>
        <v>#REF!</v>
      </c>
      <c r="FD190" t="e">
        <f>AND(Bills!C794,"AAAAAH9/m58=")</f>
        <v>#VALUE!</v>
      </c>
      <c r="FE190" t="e">
        <f>AND(Bills!D794,"AAAAAH9/m6A=")</f>
        <v>#VALUE!</v>
      </c>
      <c r="FF190" t="e">
        <f>AND(Bills!E794,"AAAAAH9/m6E=")</f>
        <v>#VALUE!</v>
      </c>
      <c r="FG190" t="e">
        <f>AND(Bills!#REF!,"AAAAAH9/m6I=")</f>
        <v>#REF!</v>
      </c>
      <c r="FH190" t="e">
        <f>AND(Bills!#REF!,"AAAAAH9/m6M=")</f>
        <v>#REF!</v>
      </c>
      <c r="FI190" t="e">
        <f>AND(Bills!#REF!,"AAAAAH9/m6Q=")</f>
        <v>#REF!</v>
      </c>
      <c r="FJ190" t="e">
        <f>AND(Bills!F794,"AAAAAH9/m6U=")</f>
        <v>#VALUE!</v>
      </c>
      <c r="FK190" t="e">
        <f>AND(Bills!#REF!,"AAAAAH9/m6Y=")</f>
        <v>#REF!</v>
      </c>
      <c r="FL190" t="e">
        <f>AND(Bills!G794,"AAAAAH9/m6c=")</f>
        <v>#VALUE!</v>
      </c>
      <c r="FM190" t="e">
        <f>AND(Bills!H794,"AAAAAH9/m6g=")</f>
        <v>#VALUE!</v>
      </c>
      <c r="FN190" t="e">
        <f>AND(Bills!I794,"AAAAAH9/m6k=")</f>
        <v>#VALUE!</v>
      </c>
      <c r="FO190" t="e">
        <f>AND(Bills!J794,"AAAAAH9/m6o=")</f>
        <v>#VALUE!</v>
      </c>
      <c r="FP190" t="e">
        <f>AND(Bills!K794,"AAAAAH9/m6s=")</f>
        <v>#VALUE!</v>
      </c>
      <c r="FQ190" t="e">
        <f>AND(Bills!L794,"AAAAAH9/m6w=")</f>
        <v>#VALUE!</v>
      </c>
      <c r="FR190" t="e">
        <f>AND(Bills!#REF!,"AAAAAH9/m60=")</f>
        <v>#REF!</v>
      </c>
      <c r="FS190" t="e">
        <f>AND(Bills!M794,"AAAAAH9/m64=")</f>
        <v>#VALUE!</v>
      </c>
      <c r="FT190" t="e">
        <f>AND(Bills!N794,"AAAAAH9/m68=")</f>
        <v>#VALUE!</v>
      </c>
      <c r="FU190" t="e">
        <f>AND(Bills!O794,"AAAAAH9/m7A=")</f>
        <v>#VALUE!</v>
      </c>
      <c r="FV190" t="e">
        <f>AND(Bills!P794,"AAAAAH9/m7E=")</f>
        <v>#VALUE!</v>
      </c>
      <c r="FW190" t="e">
        <f>AND(Bills!Q794,"AAAAAH9/m7I=")</f>
        <v>#VALUE!</v>
      </c>
      <c r="FX190" t="e">
        <f>AND(Bills!R794,"AAAAAH9/m7M=")</f>
        <v>#VALUE!</v>
      </c>
      <c r="FY190" t="e">
        <f>AND(Bills!S794,"AAAAAH9/m7Q=")</f>
        <v>#VALUE!</v>
      </c>
      <c r="FZ190" t="e">
        <f>AND(Bills!T794,"AAAAAH9/m7U=")</f>
        <v>#VALUE!</v>
      </c>
      <c r="GA190" t="e">
        <f>AND(Bills!#REF!,"AAAAAH9/m7Y=")</f>
        <v>#REF!</v>
      </c>
      <c r="GB190" t="e">
        <f>AND(Bills!U794,"AAAAAH9/m7c=")</f>
        <v>#VALUE!</v>
      </c>
      <c r="GC190" t="e">
        <f>AND(Bills!V794,"AAAAAH9/m7g=")</f>
        <v>#VALUE!</v>
      </c>
      <c r="GD190" t="e">
        <f>AND(Bills!W794,"AAAAAH9/m7k=")</f>
        <v>#VALUE!</v>
      </c>
      <c r="GE190" t="e">
        <f>AND(Bills!#REF!,"AAAAAH9/m7o=")</f>
        <v>#REF!</v>
      </c>
      <c r="GF190" t="e">
        <f>AND(Bills!#REF!,"AAAAAH9/m7s=")</f>
        <v>#REF!</v>
      </c>
      <c r="GG190" t="e">
        <f>AND(Bills!Y794,"AAAAAH9/m7w=")</f>
        <v>#VALUE!</v>
      </c>
      <c r="GH190" t="e">
        <f>AND(Bills!Z794,"AAAAAH9/m70=")</f>
        <v>#VALUE!</v>
      </c>
      <c r="GI190" t="e">
        <f>AND(Bills!#REF!,"AAAAAH9/m74=")</f>
        <v>#REF!</v>
      </c>
      <c r="GJ190" t="e">
        <f>AND(Bills!#REF!,"AAAAAH9/m78=")</f>
        <v>#REF!</v>
      </c>
      <c r="GK190" t="e">
        <f>AND(Bills!#REF!,"AAAAAH9/m8A=")</f>
        <v>#REF!</v>
      </c>
      <c r="GL190" t="e">
        <f>AND(Bills!#REF!,"AAAAAH9/m8E=")</f>
        <v>#REF!</v>
      </c>
      <c r="GM190" t="e">
        <f>AND(Bills!#REF!,"AAAAAH9/m8I=")</f>
        <v>#REF!</v>
      </c>
      <c r="GN190" t="e">
        <f>AND(Bills!#REF!,"AAAAAH9/m8M=")</f>
        <v>#REF!</v>
      </c>
      <c r="GO190" t="e">
        <f>AND(Bills!#REF!,"AAAAAH9/m8Q=")</f>
        <v>#REF!</v>
      </c>
      <c r="GP190" t="e">
        <f>AND(Bills!#REF!,"AAAAAH9/m8U=")</f>
        <v>#REF!</v>
      </c>
      <c r="GQ190" t="e">
        <f>AND(Bills!#REF!,"AAAAAH9/m8Y=")</f>
        <v>#REF!</v>
      </c>
      <c r="GR190" t="e">
        <f>AND(Bills!AA794,"AAAAAH9/m8c=")</f>
        <v>#VALUE!</v>
      </c>
      <c r="GS190" t="e">
        <f>AND(Bills!AB794,"AAAAAH9/m8g=")</f>
        <v>#VALUE!</v>
      </c>
      <c r="GT190" t="e">
        <f>AND(Bills!#REF!,"AAAAAH9/m8k=")</f>
        <v>#REF!</v>
      </c>
      <c r="GU190" t="e">
        <f>AND(Bills!#REF!,"AAAAAH9/m8o=")</f>
        <v>#REF!</v>
      </c>
      <c r="GV190" t="e">
        <f>AND(Bills!#REF!,"AAAAAH9/m8s=")</f>
        <v>#REF!</v>
      </c>
      <c r="GW190" t="e">
        <f>AND(Bills!AC794,"AAAAAH9/m8w=")</f>
        <v>#VALUE!</v>
      </c>
      <c r="GX190" t="e">
        <f>AND(Bills!AD794,"AAAAAH9/m80=")</f>
        <v>#VALUE!</v>
      </c>
      <c r="GY190" t="e">
        <f>AND(Bills!AE794,"AAAAAH9/m84=")</f>
        <v>#VALUE!</v>
      </c>
      <c r="GZ190">
        <f>IF(Bills!795:795,"AAAAAH9/m88=",0)</f>
        <v>0</v>
      </c>
      <c r="HA190" t="e">
        <f>AND(Bills!B795,"AAAAAH9/m9A=")</f>
        <v>#VALUE!</v>
      </c>
      <c r="HB190" t="e">
        <f>AND(Bills!#REF!,"AAAAAH9/m9E=")</f>
        <v>#REF!</v>
      </c>
      <c r="HC190" t="e">
        <f>AND(Bills!C795,"AAAAAH9/m9I=")</f>
        <v>#VALUE!</v>
      </c>
      <c r="HD190" t="e">
        <f>AND(Bills!D795,"AAAAAH9/m9M=")</f>
        <v>#VALUE!</v>
      </c>
      <c r="HE190" t="e">
        <f>AND(Bills!E795,"AAAAAH9/m9Q=")</f>
        <v>#VALUE!</v>
      </c>
      <c r="HF190" t="e">
        <f>AND(Bills!#REF!,"AAAAAH9/m9U=")</f>
        <v>#REF!</v>
      </c>
      <c r="HG190" t="e">
        <f>AND(Bills!#REF!,"AAAAAH9/m9Y=")</f>
        <v>#REF!</v>
      </c>
      <c r="HH190" t="e">
        <f>AND(Bills!#REF!,"AAAAAH9/m9c=")</f>
        <v>#REF!</v>
      </c>
      <c r="HI190" t="e">
        <f>AND(Bills!F795,"AAAAAH9/m9g=")</f>
        <v>#VALUE!</v>
      </c>
      <c r="HJ190" t="e">
        <f>AND(Bills!#REF!,"AAAAAH9/m9k=")</f>
        <v>#REF!</v>
      </c>
      <c r="HK190" t="e">
        <f>AND(Bills!G795,"AAAAAH9/m9o=")</f>
        <v>#VALUE!</v>
      </c>
      <c r="HL190" t="e">
        <f>AND(Bills!H795,"AAAAAH9/m9s=")</f>
        <v>#VALUE!</v>
      </c>
      <c r="HM190" t="e">
        <f>AND(Bills!I795,"AAAAAH9/m9w=")</f>
        <v>#VALUE!</v>
      </c>
      <c r="HN190" t="e">
        <f>AND(Bills!J795,"AAAAAH9/m90=")</f>
        <v>#VALUE!</v>
      </c>
      <c r="HO190" t="e">
        <f>AND(Bills!K795,"AAAAAH9/m94=")</f>
        <v>#VALUE!</v>
      </c>
      <c r="HP190" t="e">
        <f>AND(Bills!L795,"AAAAAH9/m98=")</f>
        <v>#VALUE!</v>
      </c>
      <c r="HQ190" t="e">
        <f>AND(Bills!#REF!,"AAAAAH9/m+A=")</f>
        <v>#REF!</v>
      </c>
      <c r="HR190" t="e">
        <f>AND(Bills!M795,"AAAAAH9/m+E=")</f>
        <v>#VALUE!</v>
      </c>
      <c r="HS190" t="e">
        <f>AND(Bills!N795,"AAAAAH9/m+I=")</f>
        <v>#VALUE!</v>
      </c>
      <c r="HT190" t="e">
        <f>AND(Bills!O795,"AAAAAH9/m+M=")</f>
        <v>#VALUE!</v>
      </c>
      <c r="HU190" t="e">
        <f>AND(Bills!P795,"AAAAAH9/m+Q=")</f>
        <v>#VALUE!</v>
      </c>
      <c r="HV190" t="e">
        <f>AND(Bills!Q795,"AAAAAH9/m+U=")</f>
        <v>#VALUE!</v>
      </c>
      <c r="HW190" t="e">
        <f>AND(Bills!R795,"AAAAAH9/m+Y=")</f>
        <v>#VALUE!</v>
      </c>
      <c r="HX190" t="e">
        <f>AND(Bills!S795,"AAAAAH9/m+c=")</f>
        <v>#VALUE!</v>
      </c>
      <c r="HY190" t="e">
        <f>AND(Bills!T795,"AAAAAH9/m+g=")</f>
        <v>#VALUE!</v>
      </c>
      <c r="HZ190" t="e">
        <f>AND(Bills!#REF!,"AAAAAH9/m+k=")</f>
        <v>#REF!</v>
      </c>
      <c r="IA190" t="e">
        <f>AND(Bills!U795,"AAAAAH9/m+o=")</f>
        <v>#VALUE!</v>
      </c>
      <c r="IB190" t="e">
        <f>AND(Bills!V795,"AAAAAH9/m+s=")</f>
        <v>#VALUE!</v>
      </c>
      <c r="IC190" t="e">
        <f>AND(Bills!W795,"AAAAAH9/m+w=")</f>
        <v>#VALUE!</v>
      </c>
      <c r="ID190" t="e">
        <f>AND(Bills!#REF!,"AAAAAH9/m+0=")</f>
        <v>#REF!</v>
      </c>
      <c r="IE190" t="e">
        <f>AND(Bills!#REF!,"AAAAAH9/m+4=")</f>
        <v>#REF!</v>
      </c>
      <c r="IF190" t="e">
        <f>AND(Bills!Y795,"AAAAAH9/m+8=")</f>
        <v>#VALUE!</v>
      </c>
      <c r="IG190" t="e">
        <f>AND(Bills!Z795,"AAAAAH9/m/A=")</f>
        <v>#VALUE!</v>
      </c>
      <c r="IH190" t="e">
        <f>AND(Bills!#REF!,"AAAAAH9/m/E=")</f>
        <v>#REF!</v>
      </c>
      <c r="II190" t="e">
        <f>AND(Bills!#REF!,"AAAAAH9/m/I=")</f>
        <v>#REF!</v>
      </c>
      <c r="IJ190" t="e">
        <f>AND(Bills!#REF!,"AAAAAH9/m/M=")</f>
        <v>#REF!</v>
      </c>
      <c r="IK190" t="e">
        <f>AND(Bills!#REF!,"AAAAAH9/m/Q=")</f>
        <v>#REF!</v>
      </c>
      <c r="IL190" t="e">
        <f>AND(Bills!#REF!,"AAAAAH9/m/U=")</f>
        <v>#REF!</v>
      </c>
      <c r="IM190" t="e">
        <f>AND(Bills!#REF!,"AAAAAH9/m/Y=")</f>
        <v>#REF!</v>
      </c>
      <c r="IN190" t="e">
        <f>AND(Bills!#REF!,"AAAAAH9/m/c=")</f>
        <v>#REF!</v>
      </c>
      <c r="IO190" t="e">
        <f>AND(Bills!#REF!,"AAAAAH9/m/g=")</f>
        <v>#REF!</v>
      </c>
      <c r="IP190" t="e">
        <f>AND(Bills!#REF!,"AAAAAH9/m/k=")</f>
        <v>#REF!</v>
      </c>
      <c r="IQ190" t="e">
        <f>AND(Bills!AA795,"AAAAAH9/m/o=")</f>
        <v>#VALUE!</v>
      </c>
      <c r="IR190" t="e">
        <f>AND(Bills!AB795,"AAAAAH9/m/s=")</f>
        <v>#VALUE!</v>
      </c>
      <c r="IS190" t="e">
        <f>AND(Bills!#REF!,"AAAAAH9/m/w=")</f>
        <v>#REF!</v>
      </c>
      <c r="IT190" t="e">
        <f>AND(Bills!#REF!,"AAAAAH9/m/0=")</f>
        <v>#REF!</v>
      </c>
      <c r="IU190" t="e">
        <f>AND(Bills!#REF!,"AAAAAH9/m/4=")</f>
        <v>#REF!</v>
      </c>
      <c r="IV190" t="e">
        <f>AND(Bills!AC795,"AAAAAH9/m/8=")</f>
        <v>#VALUE!</v>
      </c>
    </row>
    <row r="191" spans="1:256" x14ac:dyDescent="0.25">
      <c r="A191" t="e">
        <f>AND(Bills!AD795,"AAAAAHO2LwA=")</f>
        <v>#VALUE!</v>
      </c>
      <c r="B191" t="e">
        <f>AND(Bills!AE795,"AAAAAHO2LwE=")</f>
        <v>#VALUE!</v>
      </c>
      <c r="C191">
        <f>IF(Bills!796:796,"AAAAAHO2LwI=",0)</f>
        <v>0</v>
      </c>
      <c r="D191" t="e">
        <f>AND(Bills!B796,"AAAAAHO2LwM=")</f>
        <v>#VALUE!</v>
      </c>
      <c r="E191" t="e">
        <f>AND(Bills!#REF!,"AAAAAHO2LwQ=")</f>
        <v>#REF!</v>
      </c>
      <c r="F191" t="e">
        <f>AND(Bills!C796,"AAAAAHO2LwU=")</f>
        <v>#VALUE!</v>
      </c>
      <c r="G191" t="e">
        <f>AND(Bills!D796,"AAAAAHO2LwY=")</f>
        <v>#VALUE!</v>
      </c>
      <c r="H191" t="e">
        <f>AND(Bills!E796,"AAAAAHO2Lwc=")</f>
        <v>#VALUE!</v>
      </c>
      <c r="I191" t="e">
        <f>AND(Bills!#REF!,"AAAAAHO2Lwg=")</f>
        <v>#REF!</v>
      </c>
      <c r="J191" t="e">
        <f>AND(Bills!#REF!,"AAAAAHO2Lwk=")</f>
        <v>#REF!</v>
      </c>
      <c r="K191" t="e">
        <f>AND(Bills!#REF!,"AAAAAHO2Lwo=")</f>
        <v>#REF!</v>
      </c>
      <c r="L191" t="e">
        <f>AND(Bills!F796,"AAAAAHO2Lws=")</f>
        <v>#VALUE!</v>
      </c>
      <c r="M191" t="e">
        <f>AND(Bills!#REF!,"AAAAAHO2Lww=")</f>
        <v>#REF!</v>
      </c>
      <c r="N191" t="e">
        <f>AND(Bills!G796,"AAAAAHO2Lw0=")</f>
        <v>#VALUE!</v>
      </c>
      <c r="O191" t="e">
        <f>AND(Bills!H796,"AAAAAHO2Lw4=")</f>
        <v>#VALUE!</v>
      </c>
      <c r="P191" t="e">
        <f>AND(Bills!I796,"AAAAAHO2Lw8=")</f>
        <v>#VALUE!</v>
      </c>
      <c r="Q191" t="e">
        <f>AND(Bills!J796,"AAAAAHO2LxA=")</f>
        <v>#VALUE!</v>
      </c>
      <c r="R191" t="e">
        <f>AND(Bills!K796,"AAAAAHO2LxE=")</f>
        <v>#VALUE!</v>
      </c>
      <c r="S191" t="e">
        <f>AND(Bills!L796,"AAAAAHO2LxI=")</f>
        <v>#VALUE!</v>
      </c>
      <c r="T191" t="e">
        <f>AND(Bills!#REF!,"AAAAAHO2LxM=")</f>
        <v>#REF!</v>
      </c>
      <c r="U191" t="e">
        <f>AND(Bills!M796,"AAAAAHO2LxQ=")</f>
        <v>#VALUE!</v>
      </c>
      <c r="V191" t="e">
        <f>AND(Bills!N796,"AAAAAHO2LxU=")</f>
        <v>#VALUE!</v>
      </c>
      <c r="W191" t="e">
        <f>AND(Bills!O796,"AAAAAHO2LxY=")</f>
        <v>#VALUE!</v>
      </c>
      <c r="X191" t="e">
        <f>AND(Bills!P796,"AAAAAHO2Lxc=")</f>
        <v>#VALUE!</v>
      </c>
      <c r="Y191" t="e">
        <f>AND(Bills!Q796,"AAAAAHO2Lxg=")</f>
        <v>#VALUE!</v>
      </c>
      <c r="Z191" t="e">
        <f>AND(Bills!R796,"AAAAAHO2Lxk=")</f>
        <v>#VALUE!</v>
      </c>
      <c r="AA191" t="e">
        <f>AND(Bills!S796,"AAAAAHO2Lxo=")</f>
        <v>#VALUE!</v>
      </c>
      <c r="AB191" t="e">
        <f>AND(Bills!T796,"AAAAAHO2Lxs=")</f>
        <v>#VALUE!</v>
      </c>
      <c r="AC191" t="e">
        <f>AND(Bills!#REF!,"AAAAAHO2Lxw=")</f>
        <v>#REF!</v>
      </c>
      <c r="AD191" t="e">
        <f>AND(Bills!U796,"AAAAAHO2Lx0=")</f>
        <v>#VALUE!</v>
      </c>
      <c r="AE191" t="e">
        <f>AND(Bills!V796,"AAAAAHO2Lx4=")</f>
        <v>#VALUE!</v>
      </c>
      <c r="AF191" t="e">
        <f>AND(Bills!W796,"AAAAAHO2Lx8=")</f>
        <v>#VALUE!</v>
      </c>
      <c r="AG191" t="e">
        <f>AND(Bills!#REF!,"AAAAAHO2LyA=")</f>
        <v>#REF!</v>
      </c>
      <c r="AH191" t="e">
        <f>AND(Bills!#REF!,"AAAAAHO2LyE=")</f>
        <v>#REF!</v>
      </c>
      <c r="AI191" t="e">
        <f>AND(Bills!Y796,"AAAAAHO2LyI=")</f>
        <v>#VALUE!</v>
      </c>
      <c r="AJ191" t="e">
        <f>AND(Bills!Z796,"AAAAAHO2LyM=")</f>
        <v>#VALUE!</v>
      </c>
      <c r="AK191" t="e">
        <f>AND(Bills!#REF!,"AAAAAHO2LyQ=")</f>
        <v>#REF!</v>
      </c>
      <c r="AL191" t="e">
        <f>AND(Bills!#REF!,"AAAAAHO2LyU=")</f>
        <v>#REF!</v>
      </c>
      <c r="AM191" t="e">
        <f>AND(Bills!#REF!,"AAAAAHO2LyY=")</f>
        <v>#REF!</v>
      </c>
      <c r="AN191" t="e">
        <f>AND(Bills!#REF!,"AAAAAHO2Lyc=")</f>
        <v>#REF!</v>
      </c>
      <c r="AO191" t="e">
        <f>AND(Bills!#REF!,"AAAAAHO2Lyg=")</f>
        <v>#REF!</v>
      </c>
      <c r="AP191" t="e">
        <f>AND(Bills!#REF!,"AAAAAHO2Lyk=")</f>
        <v>#REF!</v>
      </c>
      <c r="AQ191" t="e">
        <f>AND(Bills!#REF!,"AAAAAHO2Lyo=")</f>
        <v>#REF!</v>
      </c>
      <c r="AR191" t="e">
        <f>AND(Bills!#REF!,"AAAAAHO2Lys=")</f>
        <v>#REF!</v>
      </c>
      <c r="AS191" t="e">
        <f>AND(Bills!#REF!,"AAAAAHO2Lyw=")</f>
        <v>#REF!</v>
      </c>
      <c r="AT191" t="e">
        <f>AND(Bills!AA796,"AAAAAHO2Ly0=")</f>
        <v>#VALUE!</v>
      </c>
      <c r="AU191" t="e">
        <f>AND(Bills!AB796,"AAAAAHO2Ly4=")</f>
        <v>#VALUE!</v>
      </c>
      <c r="AV191" t="e">
        <f>AND(Bills!#REF!,"AAAAAHO2Ly8=")</f>
        <v>#REF!</v>
      </c>
      <c r="AW191" t="e">
        <f>AND(Bills!#REF!,"AAAAAHO2LzA=")</f>
        <v>#REF!</v>
      </c>
      <c r="AX191" t="e">
        <f>AND(Bills!#REF!,"AAAAAHO2LzE=")</f>
        <v>#REF!</v>
      </c>
      <c r="AY191" t="e">
        <f>AND(Bills!AC796,"AAAAAHO2LzI=")</f>
        <v>#VALUE!</v>
      </c>
      <c r="AZ191" t="e">
        <f>AND(Bills!AD796,"AAAAAHO2LzM=")</f>
        <v>#VALUE!</v>
      </c>
      <c r="BA191" t="e">
        <f>AND(Bills!AE796,"AAAAAHO2LzQ=")</f>
        <v>#VALUE!</v>
      </c>
      <c r="BB191">
        <f>IF(Bills!797:797,"AAAAAHO2LzU=",0)</f>
        <v>0</v>
      </c>
      <c r="BC191" t="e">
        <f>AND(Bills!B797,"AAAAAHO2LzY=")</f>
        <v>#VALUE!</v>
      </c>
      <c r="BD191" t="e">
        <f>AND(Bills!#REF!,"AAAAAHO2Lzc=")</f>
        <v>#REF!</v>
      </c>
      <c r="BE191" t="e">
        <f>AND(Bills!C797,"AAAAAHO2Lzg=")</f>
        <v>#VALUE!</v>
      </c>
      <c r="BF191" t="e">
        <f>AND(Bills!D797,"AAAAAHO2Lzk=")</f>
        <v>#VALUE!</v>
      </c>
      <c r="BG191" t="e">
        <f>AND(Bills!E797,"AAAAAHO2Lzo=")</f>
        <v>#VALUE!</v>
      </c>
      <c r="BH191" t="e">
        <f>AND(Bills!#REF!,"AAAAAHO2Lzs=")</f>
        <v>#REF!</v>
      </c>
      <c r="BI191" t="e">
        <f>AND(Bills!#REF!,"AAAAAHO2Lzw=")</f>
        <v>#REF!</v>
      </c>
      <c r="BJ191" t="e">
        <f>AND(Bills!#REF!,"AAAAAHO2Lz0=")</f>
        <v>#REF!</v>
      </c>
      <c r="BK191" t="e">
        <f>AND(Bills!F797,"AAAAAHO2Lz4=")</f>
        <v>#VALUE!</v>
      </c>
      <c r="BL191" t="e">
        <f>AND(Bills!#REF!,"AAAAAHO2Lz8=")</f>
        <v>#REF!</v>
      </c>
      <c r="BM191" t="e">
        <f>AND(Bills!G797,"AAAAAHO2L0A=")</f>
        <v>#VALUE!</v>
      </c>
      <c r="BN191" t="e">
        <f>AND(Bills!H797,"AAAAAHO2L0E=")</f>
        <v>#VALUE!</v>
      </c>
      <c r="BO191" t="e">
        <f>AND(Bills!I797,"AAAAAHO2L0I=")</f>
        <v>#VALUE!</v>
      </c>
      <c r="BP191" t="e">
        <f>AND(Bills!J797,"AAAAAHO2L0M=")</f>
        <v>#VALUE!</v>
      </c>
      <c r="BQ191" t="e">
        <f>AND(Bills!K797,"AAAAAHO2L0Q=")</f>
        <v>#VALUE!</v>
      </c>
      <c r="BR191" t="e">
        <f>AND(Bills!L797,"AAAAAHO2L0U=")</f>
        <v>#VALUE!</v>
      </c>
      <c r="BS191" t="e">
        <f>AND(Bills!#REF!,"AAAAAHO2L0Y=")</f>
        <v>#REF!</v>
      </c>
      <c r="BT191" t="e">
        <f>AND(Bills!M797,"AAAAAHO2L0c=")</f>
        <v>#VALUE!</v>
      </c>
      <c r="BU191" t="e">
        <f>AND(Bills!N797,"AAAAAHO2L0g=")</f>
        <v>#VALUE!</v>
      </c>
      <c r="BV191" t="e">
        <f>AND(Bills!O797,"AAAAAHO2L0k=")</f>
        <v>#VALUE!</v>
      </c>
      <c r="BW191" t="e">
        <f>AND(Bills!P797,"AAAAAHO2L0o=")</f>
        <v>#VALUE!</v>
      </c>
      <c r="BX191" t="e">
        <f>AND(Bills!Q797,"AAAAAHO2L0s=")</f>
        <v>#VALUE!</v>
      </c>
      <c r="BY191" t="e">
        <f>AND(Bills!R797,"AAAAAHO2L0w=")</f>
        <v>#VALUE!</v>
      </c>
      <c r="BZ191" t="e">
        <f>AND(Bills!S797,"AAAAAHO2L00=")</f>
        <v>#VALUE!</v>
      </c>
      <c r="CA191" t="e">
        <f>AND(Bills!T797,"AAAAAHO2L04=")</f>
        <v>#VALUE!</v>
      </c>
      <c r="CB191" t="e">
        <f>AND(Bills!#REF!,"AAAAAHO2L08=")</f>
        <v>#REF!</v>
      </c>
      <c r="CC191" t="e">
        <f>AND(Bills!U797,"AAAAAHO2L1A=")</f>
        <v>#VALUE!</v>
      </c>
      <c r="CD191" t="e">
        <f>AND(Bills!V797,"AAAAAHO2L1E=")</f>
        <v>#VALUE!</v>
      </c>
      <c r="CE191" t="e">
        <f>AND(Bills!W797,"AAAAAHO2L1I=")</f>
        <v>#VALUE!</v>
      </c>
      <c r="CF191" t="e">
        <f>AND(Bills!#REF!,"AAAAAHO2L1M=")</f>
        <v>#REF!</v>
      </c>
      <c r="CG191" t="e">
        <f>AND(Bills!#REF!,"AAAAAHO2L1Q=")</f>
        <v>#REF!</v>
      </c>
      <c r="CH191" t="e">
        <f>AND(Bills!Y797,"AAAAAHO2L1U=")</f>
        <v>#VALUE!</v>
      </c>
      <c r="CI191" t="e">
        <f>AND(Bills!Z797,"AAAAAHO2L1Y=")</f>
        <v>#VALUE!</v>
      </c>
      <c r="CJ191" t="e">
        <f>AND(Bills!#REF!,"AAAAAHO2L1c=")</f>
        <v>#REF!</v>
      </c>
      <c r="CK191" t="e">
        <f>AND(Bills!#REF!,"AAAAAHO2L1g=")</f>
        <v>#REF!</v>
      </c>
      <c r="CL191" t="e">
        <f>AND(Bills!#REF!,"AAAAAHO2L1k=")</f>
        <v>#REF!</v>
      </c>
      <c r="CM191" t="e">
        <f>AND(Bills!#REF!,"AAAAAHO2L1o=")</f>
        <v>#REF!</v>
      </c>
      <c r="CN191" t="e">
        <f>AND(Bills!#REF!,"AAAAAHO2L1s=")</f>
        <v>#REF!</v>
      </c>
      <c r="CO191" t="e">
        <f>AND(Bills!#REF!,"AAAAAHO2L1w=")</f>
        <v>#REF!</v>
      </c>
      <c r="CP191" t="e">
        <f>AND(Bills!#REF!,"AAAAAHO2L10=")</f>
        <v>#REF!</v>
      </c>
      <c r="CQ191" t="e">
        <f>AND(Bills!#REF!,"AAAAAHO2L14=")</f>
        <v>#REF!</v>
      </c>
      <c r="CR191" t="e">
        <f>AND(Bills!#REF!,"AAAAAHO2L18=")</f>
        <v>#REF!</v>
      </c>
      <c r="CS191" t="e">
        <f>AND(Bills!AA797,"AAAAAHO2L2A=")</f>
        <v>#VALUE!</v>
      </c>
      <c r="CT191" t="e">
        <f>AND(Bills!AB797,"AAAAAHO2L2E=")</f>
        <v>#VALUE!</v>
      </c>
      <c r="CU191" t="e">
        <f>AND(Bills!#REF!,"AAAAAHO2L2I=")</f>
        <v>#REF!</v>
      </c>
      <c r="CV191" t="e">
        <f>AND(Bills!#REF!,"AAAAAHO2L2M=")</f>
        <v>#REF!</v>
      </c>
      <c r="CW191" t="e">
        <f>AND(Bills!#REF!,"AAAAAHO2L2Q=")</f>
        <v>#REF!</v>
      </c>
      <c r="CX191" t="e">
        <f>AND(Bills!AC797,"AAAAAHO2L2U=")</f>
        <v>#VALUE!</v>
      </c>
      <c r="CY191" t="e">
        <f>AND(Bills!AD797,"AAAAAHO2L2Y=")</f>
        <v>#VALUE!</v>
      </c>
      <c r="CZ191" t="e">
        <f>AND(Bills!AE797,"AAAAAHO2L2c=")</f>
        <v>#VALUE!</v>
      </c>
      <c r="DA191">
        <f>IF(Bills!798:798,"AAAAAHO2L2g=",0)</f>
        <v>0</v>
      </c>
      <c r="DB191" t="e">
        <f>AND(Bills!B798,"AAAAAHO2L2k=")</f>
        <v>#VALUE!</v>
      </c>
      <c r="DC191" t="e">
        <f>AND(Bills!#REF!,"AAAAAHO2L2o=")</f>
        <v>#REF!</v>
      </c>
      <c r="DD191" t="e">
        <f>AND(Bills!C798,"AAAAAHO2L2s=")</f>
        <v>#VALUE!</v>
      </c>
      <c r="DE191" t="e">
        <f>AND(Bills!D798,"AAAAAHO2L2w=")</f>
        <v>#VALUE!</v>
      </c>
      <c r="DF191" t="e">
        <f>AND(Bills!E798,"AAAAAHO2L20=")</f>
        <v>#VALUE!</v>
      </c>
      <c r="DG191" t="e">
        <f>AND(Bills!#REF!,"AAAAAHO2L24=")</f>
        <v>#REF!</v>
      </c>
      <c r="DH191" t="e">
        <f>AND(Bills!#REF!,"AAAAAHO2L28=")</f>
        <v>#REF!</v>
      </c>
      <c r="DI191" t="e">
        <f>AND(Bills!#REF!,"AAAAAHO2L3A=")</f>
        <v>#REF!</v>
      </c>
      <c r="DJ191" t="e">
        <f>AND(Bills!F798,"AAAAAHO2L3E=")</f>
        <v>#VALUE!</v>
      </c>
      <c r="DK191" t="e">
        <f>AND(Bills!#REF!,"AAAAAHO2L3I=")</f>
        <v>#REF!</v>
      </c>
      <c r="DL191" t="e">
        <f>AND(Bills!G798,"AAAAAHO2L3M=")</f>
        <v>#VALUE!</v>
      </c>
      <c r="DM191" t="e">
        <f>AND(Bills!H798,"AAAAAHO2L3Q=")</f>
        <v>#VALUE!</v>
      </c>
      <c r="DN191" t="e">
        <f>AND(Bills!I798,"AAAAAHO2L3U=")</f>
        <v>#VALUE!</v>
      </c>
      <c r="DO191" t="e">
        <f>AND(Bills!J798,"AAAAAHO2L3Y=")</f>
        <v>#VALUE!</v>
      </c>
      <c r="DP191" t="e">
        <f>AND(Bills!K798,"AAAAAHO2L3c=")</f>
        <v>#VALUE!</v>
      </c>
      <c r="DQ191" t="e">
        <f>AND(Bills!L798,"AAAAAHO2L3g=")</f>
        <v>#VALUE!</v>
      </c>
      <c r="DR191" t="e">
        <f>AND(Bills!#REF!,"AAAAAHO2L3k=")</f>
        <v>#REF!</v>
      </c>
      <c r="DS191" t="e">
        <f>AND(Bills!M798,"AAAAAHO2L3o=")</f>
        <v>#VALUE!</v>
      </c>
      <c r="DT191" t="e">
        <f>AND(Bills!N798,"AAAAAHO2L3s=")</f>
        <v>#VALUE!</v>
      </c>
      <c r="DU191" t="e">
        <f>AND(Bills!O798,"AAAAAHO2L3w=")</f>
        <v>#VALUE!</v>
      </c>
      <c r="DV191" t="e">
        <f>AND(Bills!P798,"AAAAAHO2L30=")</f>
        <v>#VALUE!</v>
      </c>
      <c r="DW191" t="e">
        <f>AND(Bills!Q798,"AAAAAHO2L34=")</f>
        <v>#VALUE!</v>
      </c>
      <c r="DX191" t="e">
        <f>AND(Bills!R798,"AAAAAHO2L38=")</f>
        <v>#VALUE!</v>
      </c>
      <c r="DY191" t="e">
        <f>AND(Bills!S798,"AAAAAHO2L4A=")</f>
        <v>#VALUE!</v>
      </c>
      <c r="DZ191" t="e">
        <f>AND(Bills!T798,"AAAAAHO2L4E=")</f>
        <v>#VALUE!</v>
      </c>
      <c r="EA191" t="e">
        <f>AND(Bills!#REF!,"AAAAAHO2L4I=")</f>
        <v>#REF!</v>
      </c>
      <c r="EB191" t="e">
        <f>AND(Bills!U798,"AAAAAHO2L4M=")</f>
        <v>#VALUE!</v>
      </c>
      <c r="EC191" t="e">
        <f>AND(Bills!V798,"AAAAAHO2L4Q=")</f>
        <v>#VALUE!</v>
      </c>
      <c r="ED191" t="e">
        <f>AND(Bills!W798,"AAAAAHO2L4U=")</f>
        <v>#VALUE!</v>
      </c>
      <c r="EE191" t="e">
        <f>AND(Bills!#REF!,"AAAAAHO2L4Y=")</f>
        <v>#REF!</v>
      </c>
      <c r="EF191" t="e">
        <f>AND(Bills!#REF!,"AAAAAHO2L4c=")</f>
        <v>#REF!</v>
      </c>
      <c r="EG191" t="e">
        <f>AND(Bills!Y798,"AAAAAHO2L4g=")</f>
        <v>#VALUE!</v>
      </c>
      <c r="EH191" t="e">
        <f>AND(Bills!Z798,"AAAAAHO2L4k=")</f>
        <v>#VALUE!</v>
      </c>
      <c r="EI191" t="e">
        <f>AND(Bills!#REF!,"AAAAAHO2L4o=")</f>
        <v>#REF!</v>
      </c>
      <c r="EJ191" t="e">
        <f>AND(Bills!#REF!,"AAAAAHO2L4s=")</f>
        <v>#REF!</v>
      </c>
      <c r="EK191" t="e">
        <f>AND(Bills!#REF!,"AAAAAHO2L4w=")</f>
        <v>#REF!</v>
      </c>
      <c r="EL191" t="e">
        <f>AND(Bills!#REF!,"AAAAAHO2L40=")</f>
        <v>#REF!</v>
      </c>
      <c r="EM191" t="e">
        <f>AND(Bills!#REF!,"AAAAAHO2L44=")</f>
        <v>#REF!</v>
      </c>
      <c r="EN191" t="e">
        <f>AND(Bills!#REF!,"AAAAAHO2L48=")</f>
        <v>#REF!</v>
      </c>
      <c r="EO191" t="e">
        <f>AND(Bills!#REF!,"AAAAAHO2L5A=")</f>
        <v>#REF!</v>
      </c>
      <c r="EP191" t="e">
        <f>AND(Bills!#REF!,"AAAAAHO2L5E=")</f>
        <v>#REF!</v>
      </c>
      <c r="EQ191" t="e">
        <f>AND(Bills!#REF!,"AAAAAHO2L5I=")</f>
        <v>#REF!</v>
      </c>
      <c r="ER191" t="e">
        <f>AND(Bills!AA798,"AAAAAHO2L5M=")</f>
        <v>#VALUE!</v>
      </c>
      <c r="ES191" t="e">
        <f>AND(Bills!AB798,"AAAAAHO2L5Q=")</f>
        <v>#VALUE!</v>
      </c>
      <c r="ET191" t="e">
        <f>AND(Bills!#REF!,"AAAAAHO2L5U=")</f>
        <v>#REF!</v>
      </c>
      <c r="EU191" t="e">
        <f>AND(Bills!#REF!,"AAAAAHO2L5Y=")</f>
        <v>#REF!</v>
      </c>
      <c r="EV191" t="e">
        <f>AND(Bills!#REF!,"AAAAAHO2L5c=")</f>
        <v>#REF!</v>
      </c>
      <c r="EW191" t="e">
        <f>AND(Bills!AC798,"AAAAAHO2L5g=")</f>
        <v>#VALUE!</v>
      </c>
      <c r="EX191" t="e">
        <f>AND(Bills!AD798,"AAAAAHO2L5k=")</f>
        <v>#VALUE!</v>
      </c>
      <c r="EY191" t="e">
        <f>AND(Bills!AE798,"AAAAAHO2L5o=")</f>
        <v>#VALUE!</v>
      </c>
      <c r="EZ191">
        <f>IF(Bills!799:799,"AAAAAHO2L5s=",0)</f>
        <v>0</v>
      </c>
      <c r="FA191" t="e">
        <f>AND(Bills!B799,"AAAAAHO2L5w=")</f>
        <v>#VALUE!</v>
      </c>
      <c r="FB191" t="e">
        <f>AND(Bills!#REF!,"AAAAAHO2L50=")</f>
        <v>#REF!</v>
      </c>
      <c r="FC191" t="e">
        <f>AND(Bills!C799,"AAAAAHO2L54=")</f>
        <v>#VALUE!</v>
      </c>
      <c r="FD191" t="e">
        <f>AND(Bills!D799,"AAAAAHO2L58=")</f>
        <v>#VALUE!</v>
      </c>
      <c r="FE191" t="e">
        <f>AND(Bills!E799,"AAAAAHO2L6A=")</f>
        <v>#VALUE!</v>
      </c>
      <c r="FF191" t="e">
        <f>AND(Bills!#REF!,"AAAAAHO2L6E=")</f>
        <v>#REF!</v>
      </c>
      <c r="FG191" t="e">
        <f>AND(Bills!#REF!,"AAAAAHO2L6I=")</f>
        <v>#REF!</v>
      </c>
      <c r="FH191" t="e">
        <f>AND(Bills!#REF!,"AAAAAHO2L6M=")</f>
        <v>#REF!</v>
      </c>
      <c r="FI191" t="e">
        <f>AND(Bills!F799,"AAAAAHO2L6Q=")</f>
        <v>#VALUE!</v>
      </c>
      <c r="FJ191" t="e">
        <f>AND(Bills!#REF!,"AAAAAHO2L6U=")</f>
        <v>#REF!</v>
      </c>
      <c r="FK191" t="e">
        <f>AND(Bills!G799,"AAAAAHO2L6Y=")</f>
        <v>#VALUE!</v>
      </c>
      <c r="FL191" t="e">
        <f>AND(Bills!H799,"AAAAAHO2L6c=")</f>
        <v>#VALUE!</v>
      </c>
      <c r="FM191" t="e">
        <f>AND(Bills!I799,"AAAAAHO2L6g=")</f>
        <v>#VALUE!</v>
      </c>
      <c r="FN191" t="e">
        <f>AND(Bills!J799,"AAAAAHO2L6k=")</f>
        <v>#VALUE!</v>
      </c>
      <c r="FO191" t="e">
        <f>AND(Bills!K799,"AAAAAHO2L6o=")</f>
        <v>#VALUE!</v>
      </c>
      <c r="FP191" t="e">
        <f>AND(Bills!L799,"AAAAAHO2L6s=")</f>
        <v>#VALUE!</v>
      </c>
      <c r="FQ191" t="e">
        <f>AND(Bills!#REF!,"AAAAAHO2L6w=")</f>
        <v>#REF!</v>
      </c>
      <c r="FR191" t="e">
        <f>AND(Bills!M799,"AAAAAHO2L60=")</f>
        <v>#VALUE!</v>
      </c>
      <c r="FS191" t="e">
        <f>AND(Bills!N799,"AAAAAHO2L64=")</f>
        <v>#VALUE!</v>
      </c>
      <c r="FT191" t="e">
        <f>AND(Bills!O799,"AAAAAHO2L68=")</f>
        <v>#VALUE!</v>
      </c>
      <c r="FU191" t="e">
        <f>AND(Bills!P799,"AAAAAHO2L7A=")</f>
        <v>#VALUE!</v>
      </c>
      <c r="FV191" t="e">
        <f>AND(Bills!Q799,"AAAAAHO2L7E=")</f>
        <v>#VALUE!</v>
      </c>
      <c r="FW191" t="e">
        <f>AND(Bills!R799,"AAAAAHO2L7I=")</f>
        <v>#VALUE!</v>
      </c>
      <c r="FX191" t="e">
        <f>AND(Bills!S799,"AAAAAHO2L7M=")</f>
        <v>#VALUE!</v>
      </c>
      <c r="FY191" t="e">
        <f>AND(Bills!T799,"AAAAAHO2L7Q=")</f>
        <v>#VALUE!</v>
      </c>
      <c r="FZ191" t="e">
        <f>AND(Bills!#REF!,"AAAAAHO2L7U=")</f>
        <v>#REF!</v>
      </c>
      <c r="GA191" t="e">
        <f>AND(Bills!U799,"AAAAAHO2L7Y=")</f>
        <v>#VALUE!</v>
      </c>
      <c r="GB191" t="e">
        <f>AND(Bills!V799,"AAAAAHO2L7c=")</f>
        <v>#VALUE!</v>
      </c>
      <c r="GC191" t="e">
        <f>AND(Bills!W799,"AAAAAHO2L7g=")</f>
        <v>#VALUE!</v>
      </c>
      <c r="GD191" t="e">
        <f>AND(Bills!#REF!,"AAAAAHO2L7k=")</f>
        <v>#REF!</v>
      </c>
      <c r="GE191" t="e">
        <f>AND(Bills!#REF!,"AAAAAHO2L7o=")</f>
        <v>#REF!</v>
      </c>
      <c r="GF191" t="e">
        <f>AND(Bills!Y799,"AAAAAHO2L7s=")</f>
        <v>#VALUE!</v>
      </c>
      <c r="GG191" t="e">
        <f>AND(Bills!Z799,"AAAAAHO2L7w=")</f>
        <v>#VALUE!</v>
      </c>
      <c r="GH191" t="e">
        <f>AND(Bills!#REF!,"AAAAAHO2L70=")</f>
        <v>#REF!</v>
      </c>
      <c r="GI191" t="e">
        <f>AND(Bills!#REF!,"AAAAAHO2L74=")</f>
        <v>#REF!</v>
      </c>
      <c r="GJ191" t="e">
        <f>AND(Bills!#REF!,"AAAAAHO2L78=")</f>
        <v>#REF!</v>
      </c>
      <c r="GK191" t="e">
        <f>AND(Bills!#REF!,"AAAAAHO2L8A=")</f>
        <v>#REF!</v>
      </c>
      <c r="GL191" t="e">
        <f>AND(Bills!#REF!,"AAAAAHO2L8E=")</f>
        <v>#REF!</v>
      </c>
      <c r="GM191" t="e">
        <f>AND(Bills!#REF!,"AAAAAHO2L8I=")</f>
        <v>#REF!</v>
      </c>
      <c r="GN191" t="e">
        <f>AND(Bills!#REF!,"AAAAAHO2L8M=")</f>
        <v>#REF!</v>
      </c>
      <c r="GO191" t="e">
        <f>AND(Bills!#REF!,"AAAAAHO2L8Q=")</f>
        <v>#REF!</v>
      </c>
      <c r="GP191" t="e">
        <f>AND(Bills!#REF!,"AAAAAHO2L8U=")</f>
        <v>#REF!</v>
      </c>
      <c r="GQ191" t="e">
        <f>AND(Bills!AA799,"AAAAAHO2L8Y=")</f>
        <v>#VALUE!</v>
      </c>
      <c r="GR191" t="e">
        <f>AND(Bills!AB799,"AAAAAHO2L8c=")</f>
        <v>#VALUE!</v>
      </c>
      <c r="GS191" t="e">
        <f>AND(Bills!#REF!,"AAAAAHO2L8g=")</f>
        <v>#REF!</v>
      </c>
      <c r="GT191" t="e">
        <f>AND(Bills!#REF!,"AAAAAHO2L8k=")</f>
        <v>#REF!</v>
      </c>
      <c r="GU191" t="e">
        <f>AND(Bills!#REF!,"AAAAAHO2L8o=")</f>
        <v>#REF!</v>
      </c>
      <c r="GV191" t="e">
        <f>AND(Bills!AC799,"AAAAAHO2L8s=")</f>
        <v>#VALUE!</v>
      </c>
      <c r="GW191" t="e">
        <f>AND(Bills!AD799,"AAAAAHO2L8w=")</f>
        <v>#VALUE!</v>
      </c>
      <c r="GX191" t="e">
        <f>AND(Bills!AE799,"AAAAAHO2L80=")</f>
        <v>#VALUE!</v>
      </c>
      <c r="GY191">
        <f>IF(Bills!800:800,"AAAAAHO2L84=",0)</f>
        <v>0</v>
      </c>
      <c r="GZ191" t="e">
        <f>AND(Bills!B800,"AAAAAHO2L88=")</f>
        <v>#VALUE!</v>
      </c>
      <c r="HA191" t="e">
        <f>AND(Bills!#REF!,"AAAAAHO2L9A=")</f>
        <v>#REF!</v>
      </c>
      <c r="HB191" t="e">
        <f>AND(Bills!C800,"AAAAAHO2L9E=")</f>
        <v>#VALUE!</v>
      </c>
      <c r="HC191" t="e">
        <f>AND(Bills!D800,"AAAAAHO2L9I=")</f>
        <v>#VALUE!</v>
      </c>
      <c r="HD191" t="e">
        <f>AND(Bills!E800,"AAAAAHO2L9M=")</f>
        <v>#VALUE!</v>
      </c>
      <c r="HE191" t="e">
        <f>AND(Bills!#REF!,"AAAAAHO2L9Q=")</f>
        <v>#REF!</v>
      </c>
      <c r="HF191" t="e">
        <f>AND(Bills!#REF!,"AAAAAHO2L9U=")</f>
        <v>#REF!</v>
      </c>
      <c r="HG191" t="e">
        <f>AND(Bills!#REF!,"AAAAAHO2L9Y=")</f>
        <v>#REF!</v>
      </c>
      <c r="HH191" t="e">
        <f>AND(Bills!F800,"AAAAAHO2L9c=")</f>
        <v>#VALUE!</v>
      </c>
      <c r="HI191" t="e">
        <f>AND(Bills!#REF!,"AAAAAHO2L9g=")</f>
        <v>#REF!</v>
      </c>
      <c r="HJ191" t="e">
        <f>AND(Bills!G800,"AAAAAHO2L9k=")</f>
        <v>#VALUE!</v>
      </c>
      <c r="HK191" t="e">
        <f>AND(Bills!H800,"AAAAAHO2L9o=")</f>
        <v>#VALUE!</v>
      </c>
      <c r="HL191" t="e">
        <f>AND(Bills!I800,"AAAAAHO2L9s=")</f>
        <v>#VALUE!</v>
      </c>
      <c r="HM191" t="e">
        <f>AND(Bills!J800,"AAAAAHO2L9w=")</f>
        <v>#VALUE!</v>
      </c>
      <c r="HN191" t="e">
        <f>AND(Bills!K800,"AAAAAHO2L90=")</f>
        <v>#VALUE!</v>
      </c>
      <c r="HO191" t="e">
        <f>AND(Bills!L800,"AAAAAHO2L94=")</f>
        <v>#VALUE!</v>
      </c>
      <c r="HP191" t="e">
        <f>AND(Bills!#REF!,"AAAAAHO2L98=")</f>
        <v>#REF!</v>
      </c>
      <c r="HQ191" t="e">
        <f>AND(Bills!M800,"AAAAAHO2L+A=")</f>
        <v>#VALUE!</v>
      </c>
      <c r="HR191" t="e">
        <f>AND(Bills!N800,"AAAAAHO2L+E=")</f>
        <v>#VALUE!</v>
      </c>
      <c r="HS191" t="e">
        <f>AND(Bills!O800,"AAAAAHO2L+I=")</f>
        <v>#VALUE!</v>
      </c>
      <c r="HT191" t="e">
        <f>AND(Bills!P800,"AAAAAHO2L+M=")</f>
        <v>#VALUE!</v>
      </c>
      <c r="HU191" t="e">
        <f>AND(Bills!Q800,"AAAAAHO2L+Q=")</f>
        <v>#VALUE!</v>
      </c>
      <c r="HV191" t="e">
        <f>AND(Bills!R800,"AAAAAHO2L+U=")</f>
        <v>#VALUE!</v>
      </c>
      <c r="HW191" t="e">
        <f>AND(Bills!S800,"AAAAAHO2L+Y=")</f>
        <v>#VALUE!</v>
      </c>
      <c r="HX191" t="e">
        <f>AND(Bills!T800,"AAAAAHO2L+c=")</f>
        <v>#VALUE!</v>
      </c>
      <c r="HY191" t="e">
        <f>AND(Bills!#REF!,"AAAAAHO2L+g=")</f>
        <v>#REF!</v>
      </c>
      <c r="HZ191" t="e">
        <f>AND(Bills!U800,"AAAAAHO2L+k=")</f>
        <v>#VALUE!</v>
      </c>
      <c r="IA191" t="e">
        <f>AND(Bills!V800,"AAAAAHO2L+o=")</f>
        <v>#VALUE!</v>
      </c>
      <c r="IB191" t="e">
        <f>AND(Bills!W800,"AAAAAHO2L+s=")</f>
        <v>#VALUE!</v>
      </c>
      <c r="IC191" t="e">
        <f>AND(Bills!#REF!,"AAAAAHO2L+w=")</f>
        <v>#REF!</v>
      </c>
      <c r="ID191" t="e">
        <f>AND(Bills!#REF!,"AAAAAHO2L+0=")</f>
        <v>#REF!</v>
      </c>
      <c r="IE191" t="e">
        <f>AND(Bills!Y800,"AAAAAHO2L+4=")</f>
        <v>#VALUE!</v>
      </c>
      <c r="IF191" t="e">
        <f>AND(Bills!Z800,"AAAAAHO2L+8=")</f>
        <v>#VALUE!</v>
      </c>
      <c r="IG191" t="e">
        <f>AND(Bills!#REF!,"AAAAAHO2L/A=")</f>
        <v>#REF!</v>
      </c>
      <c r="IH191" t="e">
        <f>AND(Bills!#REF!,"AAAAAHO2L/E=")</f>
        <v>#REF!</v>
      </c>
      <c r="II191" t="e">
        <f>AND(Bills!#REF!,"AAAAAHO2L/I=")</f>
        <v>#REF!</v>
      </c>
      <c r="IJ191" t="e">
        <f>AND(Bills!#REF!,"AAAAAHO2L/M=")</f>
        <v>#REF!</v>
      </c>
      <c r="IK191" t="e">
        <f>AND(Bills!#REF!,"AAAAAHO2L/Q=")</f>
        <v>#REF!</v>
      </c>
      <c r="IL191" t="e">
        <f>AND(Bills!#REF!,"AAAAAHO2L/U=")</f>
        <v>#REF!</v>
      </c>
      <c r="IM191" t="e">
        <f>AND(Bills!#REF!,"AAAAAHO2L/Y=")</f>
        <v>#REF!</v>
      </c>
      <c r="IN191" t="e">
        <f>AND(Bills!#REF!,"AAAAAHO2L/c=")</f>
        <v>#REF!</v>
      </c>
      <c r="IO191" t="e">
        <f>AND(Bills!#REF!,"AAAAAHO2L/g=")</f>
        <v>#REF!</v>
      </c>
      <c r="IP191" t="e">
        <f>AND(Bills!AA800,"AAAAAHO2L/k=")</f>
        <v>#VALUE!</v>
      </c>
      <c r="IQ191" t="e">
        <f>AND(Bills!AB800,"AAAAAHO2L/o=")</f>
        <v>#VALUE!</v>
      </c>
      <c r="IR191" t="e">
        <f>AND(Bills!#REF!,"AAAAAHO2L/s=")</f>
        <v>#REF!</v>
      </c>
      <c r="IS191" t="e">
        <f>AND(Bills!#REF!,"AAAAAHO2L/w=")</f>
        <v>#REF!</v>
      </c>
      <c r="IT191" t="e">
        <f>AND(Bills!#REF!,"AAAAAHO2L/0=")</f>
        <v>#REF!</v>
      </c>
      <c r="IU191" t="e">
        <f>AND(Bills!AC800,"AAAAAHO2L/4=")</f>
        <v>#VALUE!</v>
      </c>
      <c r="IV191" t="e">
        <f>AND(Bills!AD800,"AAAAAHO2L/8=")</f>
        <v>#VALUE!</v>
      </c>
    </row>
    <row r="192" spans="1:256" x14ac:dyDescent="0.25">
      <c r="A192" t="e">
        <f>AND(Bills!AE800,"AAAAADtK9gA=")</f>
        <v>#VALUE!</v>
      </c>
      <c r="B192" t="e">
        <f>IF(Bills!801:801,"AAAAADtK9gE=",0)</f>
        <v>#REF!</v>
      </c>
      <c r="C192" t="e">
        <f>AND(Bills!B801,"AAAAADtK9gI=")</f>
        <v>#VALUE!</v>
      </c>
      <c r="D192" t="e">
        <f>AND(Bills!#REF!,"AAAAADtK9gM=")</f>
        <v>#REF!</v>
      </c>
      <c r="E192" t="e">
        <f>AND(Bills!C801,"AAAAADtK9gQ=")</f>
        <v>#VALUE!</v>
      </c>
      <c r="F192" t="e">
        <f>AND(Bills!D801,"AAAAADtK9gU=")</f>
        <v>#VALUE!</v>
      </c>
      <c r="G192" t="e">
        <f>AND(Bills!E801,"AAAAADtK9gY=")</f>
        <v>#VALUE!</v>
      </c>
      <c r="H192" t="e">
        <f>AND(Bills!#REF!,"AAAAADtK9gc=")</f>
        <v>#REF!</v>
      </c>
      <c r="I192" t="e">
        <f>AND(Bills!#REF!,"AAAAADtK9gg=")</f>
        <v>#REF!</v>
      </c>
      <c r="J192" t="e">
        <f>AND(Bills!#REF!,"AAAAADtK9gk=")</f>
        <v>#REF!</v>
      </c>
      <c r="K192" t="e">
        <f>AND(Bills!F801,"AAAAADtK9go=")</f>
        <v>#VALUE!</v>
      </c>
      <c r="L192" t="e">
        <f>AND(Bills!#REF!,"AAAAADtK9gs=")</f>
        <v>#REF!</v>
      </c>
      <c r="M192" t="e">
        <f>AND(Bills!G801,"AAAAADtK9gw=")</f>
        <v>#VALUE!</v>
      </c>
      <c r="N192" t="e">
        <f>AND(Bills!H801,"AAAAADtK9g0=")</f>
        <v>#VALUE!</v>
      </c>
      <c r="O192" t="e">
        <f>AND(Bills!I801,"AAAAADtK9g4=")</f>
        <v>#VALUE!</v>
      </c>
      <c r="P192" t="e">
        <f>AND(Bills!J801,"AAAAADtK9g8=")</f>
        <v>#VALUE!</v>
      </c>
      <c r="Q192" t="e">
        <f>AND(Bills!K801,"AAAAADtK9hA=")</f>
        <v>#VALUE!</v>
      </c>
      <c r="R192" t="e">
        <f>AND(Bills!L801,"AAAAADtK9hE=")</f>
        <v>#VALUE!</v>
      </c>
      <c r="S192" t="e">
        <f>AND(Bills!#REF!,"AAAAADtK9hI=")</f>
        <v>#REF!</v>
      </c>
      <c r="T192" t="e">
        <f>AND(Bills!M801,"AAAAADtK9hM=")</f>
        <v>#VALUE!</v>
      </c>
      <c r="U192" t="e">
        <f>AND(Bills!N801,"AAAAADtK9hQ=")</f>
        <v>#VALUE!</v>
      </c>
      <c r="V192" t="e">
        <f>AND(Bills!O801,"AAAAADtK9hU=")</f>
        <v>#VALUE!</v>
      </c>
      <c r="W192" t="e">
        <f>AND(Bills!P801,"AAAAADtK9hY=")</f>
        <v>#VALUE!</v>
      </c>
      <c r="X192" t="e">
        <f>AND(Bills!Q801,"AAAAADtK9hc=")</f>
        <v>#VALUE!</v>
      </c>
      <c r="Y192" t="e">
        <f>AND(Bills!R801,"AAAAADtK9hg=")</f>
        <v>#VALUE!</v>
      </c>
      <c r="Z192" t="e">
        <f>AND(Bills!S801,"AAAAADtK9hk=")</f>
        <v>#VALUE!</v>
      </c>
      <c r="AA192" t="e">
        <f>AND(Bills!T801,"AAAAADtK9ho=")</f>
        <v>#VALUE!</v>
      </c>
      <c r="AB192" t="e">
        <f>AND(Bills!#REF!,"AAAAADtK9hs=")</f>
        <v>#REF!</v>
      </c>
      <c r="AC192" t="e">
        <f>AND(Bills!U801,"AAAAADtK9hw=")</f>
        <v>#VALUE!</v>
      </c>
      <c r="AD192" t="e">
        <f>AND(Bills!V801,"AAAAADtK9h0=")</f>
        <v>#VALUE!</v>
      </c>
      <c r="AE192" t="e">
        <f>AND(Bills!W801,"AAAAADtK9h4=")</f>
        <v>#VALUE!</v>
      </c>
      <c r="AF192" t="e">
        <f>AND(Bills!#REF!,"AAAAADtK9h8=")</f>
        <v>#REF!</v>
      </c>
      <c r="AG192" t="e">
        <f>AND(Bills!#REF!,"AAAAADtK9iA=")</f>
        <v>#REF!</v>
      </c>
      <c r="AH192" t="e">
        <f>AND(Bills!Y801,"AAAAADtK9iE=")</f>
        <v>#VALUE!</v>
      </c>
      <c r="AI192" t="e">
        <f>AND(Bills!Z801,"AAAAADtK9iI=")</f>
        <v>#VALUE!</v>
      </c>
      <c r="AJ192" t="e">
        <f>AND(Bills!#REF!,"AAAAADtK9iM=")</f>
        <v>#REF!</v>
      </c>
      <c r="AK192" t="e">
        <f>AND(Bills!#REF!,"AAAAADtK9iQ=")</f>
        <v>#REF!</v>
      </c>
      <c r="AL192" t="e">
        <f>AND(Bills!#REF!,"AAAAADtK9iU=")</f>
        <v>#REF!</v>
      </c>
      <c r="AM192" t="e">
        <f>AND(Bills!#REF!,"AAAAADtK9iY=")</f>
        <v>#REF!</v>
      </c>
      <c r="AN192" t="e">
        <f>AND(Bills!#REF!,"AAAAADtK9ic=")</f>
        <v>#REF!</v>
      </c>
      <c r="AO192" t="e">
        <f>AND(Bills!#REF!,"AAAAADtK9ig=")</f>
        <v>#REF!</v>
      </c>
      <c r="AP192" t="e">
        <f>AND(Bills!#REF!,"AAAAADtK9ik=")</f>
        <v>#REF!</v>
      </c>
      <c r="AQ192" t="e">
        <f>AND(Bills!#REF!,"AAAAADtK9io=")</f>
        <v>#REF!</v>
      </c>
      <c r="AR192" t="e">
        <f>AND(Bills!#REF!,"AAAAADtK9is=")</f>
        <v>#REF!</v>
      </c>
      <c r="AS192" t="e">
        <f>AND(Bills!AA801,"AAAAADtK9iw=")</f>
        <v>#VALUE!</v>
      </c>
      <c r="AT192" t="e">
        <f>AND(Bills!AB801,"AAAAADtK9i0=")</f>
        <v>#VALUE!</v>
      </c>
      <c r="AU192" t="e">
        <f>AND(Bills!#REF!,"AAAAADtK9i4=")</f>
        <v>#REF!</v>
      </c>
      <c r="AV192" t="e">
        <f>AND(Bills!#REF!,"AAAAADtK9i8=")</f>
        <v>#REF!</v>
      </c>
      <c r="AW192" t="e">
        <f>AND(Bills!#REF!,"AAAAADtK9jA=")</f>
        <v>#REF!</v>
      </c>
      <c r="AX192" t="e">
        <f>AND(Bills!AC801,"AAAAADtK9jE=")</f>
        <v>#VALUE!</v>
      </c>
      <c r="AY192" t="e">
        <f>AND(Bills!AD801,"AAAAADtK9jI=")</f>
        <v>#VALUE!</v>
      </c>
      <c r="AZ192" t="e">
        <f>AND(Bills!AE801,"AAAAADtK9jM=")</f>
        <v>#VALUE!</v>
      </c>
      <c r="BA192">
        <f>IF(Bills!802:802,"AAAAADtK9jQ=",0)</f>
        <v>0</v>
      </c>
      <c r="BB192" t="e">
        <f>AND(Bills!B802,"AAAAADtK9jU=")</f>
        <v>#VALUE!</v>
      </c>
      <c r="BC192" t="e">
        <f>AND(Bills!#REF!,"AAAAADtK9jY=")</f>
        <v>#REF!</v>
      </c>
      <c r="BD192" t="e">
        <f>AND(Bills!C802,"AAAAADtK9jc=")</f>
        <v>#VALUE!</v>
      </c>
      <c r="BE192" t="e">
        <f>AND(Bills!D802,"AAAAADtK9jg=")</f>
        <v>#VALUE!</v>
      </c>
      <c r="BF192" t="e">
        <f>AND(Bills!E802,"AAAAADtK9jk=")</f>
        <v>#VALUE!</v>
      </c>
      <c r="BG192" t="e">
        <f>AND(Bills!#REF!,"AAAAADtK9jo=")</f>
        <v>#REF!</v>
      </c>
      <c r="BH192" t="e">
        <f>AND(Bills!#REF!,"AAAAADtK9js=")</f>
        <v>#REF!</v>
      </c>
      <c r="BI192" t="e">
        <f>AND(Bills!#REF!,"AAAAADtK9jw=")</f>
        <v>#REF!</v>
      </c>
      <c r="BJ192" t="e">
        <f>AND(Bills!F802,"AAAAADtK9j0=")</f>
        <v>#VALUE!</v>
      </c>
      <c r="BK192" t="e">
        <f>AND(Bills!#REF!,"AAAAADtK9j4=")</f>
        <v>#REF!</v>
      </c>
      <c r="BL192" t="e">
        <f>AND(Bills!G802,"AAAAADtK9j8=")</f>
        <v>#VALUE!</v>
      </c>
      <c r="BM192" t="e">
        <f>AND(Bills!H802,"AAAAADtK9kA=")</f>
        <v>#VALUE!</v>
      </c>
      <c r="BN192" t="e">
        <f>AND(Bills!I802,"AAAAADtK9kE=")</f>
        <v>#VALUE!</v>
      </c>
      <c r="BO192" t="e">
        <f>AND(Bills!J802,"AAAAADtK9kI=")</f>
        <v>#VALUE!</v>
      </c>
      <c r="BP192" t="e">
        <f>AND(Bills!K802,"AAAAADtK9kM=")</f>
        <v>#VALUE!</v>
      </c>
      <c r="BQ192" t="e">
        <f>AND(Bills!L802,"AAAAADtK9kQ=")</f>
        <v>#VALUE!</v>
      </c>
      <c r="BR192" t="e">
        <f>AND(Bills!#REF!,"AAAAADtK9kU=")</f>
        <v>#REF!</v>
      </c>
      <c r="BS192" t="e">
        <f>AND(Bills!M802,"AAAAADtK9kY=")</f>
        <v>#VALUE!</v>
      </c>
      <c r="BT192" t="e">
        <f>AND(Bills!N802,"AAAAADtK9kc=")</f>
        <v>#VALUE!</v>
      </c>
      <c r="BU192" t="e">
        <f>AND(Bills!O802,"AAAAADtK9kg=")</f>
        <v>#VALUE!</v>
      </c>
      <c r="BV192" t="e">
        <f>AND(Bills!P802,"AAAAADtK9kk=")</f>
        <v>#VALUE!</v>
      </c>
      <c r="BW192" t="e">
        <f>AND(Bills!Q802,"AAAAADtK9ko=")</f>
        <v>#VALUE!</v>
      </c>
      <c r="BX192" t="e">
        <f>AND(Bills!R802,"AAAAADtK9ks=")</f>
        <v>#VALUE!</v>
      </c>
      <c r="BY192" t="e">
        <f>AND(Bills!S802,"AAAAADtK9kw=")</f>
        <v>#VALUE!</v>
      </c>
      <c r="BZ192" t="e">
        <f>AND(Bills!T802,"AAAAADtK9k0=")</f>
        <v>#VALUE!</v>
      </c>
      <c r="CA192" t="e">
        <f>AND(Bills!#REF!,"AAAAADtK9k4=")</f>
        <v>#REF!</v>
      </c>
      <c r="CB192" t="e">
        <f>AND(Bills!U802,"AAAAADtK9k8=")</f>
        <v>#VALUE!</v>
      </c>
      <c r="CC192" t="e">
        <f>AND(Bills!V802,"AAAAADtK9lA=")</f>
        <v>#VALUE!</v>
      </c>
      <c r="CD192" t="e">
        <f>AND(Bills!W802,"AAAAADtK9lE=")</f>
        <v>#VALUE!</v>
      </c>
      <c r="CE192" t="e">
        <f>AND(Bills!#REF!,"AAAAADtK9lI=")</f>
        <v>#REF!</v>
      </c>
      <c r="CF192" t="e">
        <f>AND(Bills!#REF!,"AAAAADtK9lM=")</f>
        <v>#REF!</v>
      </c>
      <c r="CG192" t="e">
        <f>AND(Bills!Y802,"AAAAADtK9lQ=")</f>
        <v>#VALUE!</v>
      </c>
      <c r="CH192" t="e">
        <f>AND(Bills!Z802,"AAAAADtK9lU=")</f>
        <v>#VALUE!</v>
      </c>
      <c r="CI192" t="e">
        <f>AND(Bills!#REF!,"AAAAADtK9lY=")</f>
        <v>#REF!</v>
      </c>
      <c r="CJ192" t="e">
        <f>AND(Bills!#REF!,"AAAAADtK9lc=")</f>
        <v>#REF!</v>
      </c>
      <c r="CK192" t="e">
        <f>AND(Bills!#REF!,"AAAAADtK9lg=")</f>
        <v>#REF!</v>
      </c>
      <c r="CL192" t="e">
        <f>AND(Bills!#REF!,"AAAAADtK9lk=")</f>
        <v>#REF!</v>
      </c>
      <c r="CM192" t="e">
        <f>AND(Bills!#REF!,"AAAAADtK9lo=")</f>
        <v>#REF!</v>
      </c>
      <c r="CN192" t="e">
        <f>AND(Bills!#REF!,"AAAAADtK9ls=")</f>
        <v>#REF!</v>
      </c>
      <c r="CO192" t="e">
        <f>AND(Bills!#REF!,"AAAAADtK9lw=")</f>
        <v>#REF!</v>
      </c>
      <c r="CP192" t="e">
        <f>AND(Bills!#REF!,"AAAAADtK9l0=")</f>
        <v>#REF!</v>
      </c>
      <c r="CQ192" t="e">
        <f>AND(Bills!#REF!,"AAAAADtK9l4=")</f>
        <v>#REF!</v>
      </c>
      <c r="CR192" t="e">
        <f>AND(Bills!AA802,"AAAAADtK9l8=")</f>
        <v>#VALUE!</v>
      </c>
      <c r="CS192" t="e">
        <f>AND(Bills!AB802,"AAAAADtK9mA=")</f>
        <v>#VALUE!</v>
      </c>
      <c r="CT192" t="e">
        <f>AND(Bills!#REF!,"AAAAADtK9mE=")</f>
        <v>#REF!</v>
      </c>
      <c r="CU192" t="e">
        <f>AND(Bills!#REF!,"AAAAADtK9mI=")</f>
        <v>#REF!</v>
      </c>
      <c r="CV192" t="e">
        <f>AND(Bills!#REF!,"AAAAADtK9mM=")</f>
        <v>#REF!</v>
      </c>
      <c r="CW192" t="e">
        <f>AND(Bills!AC802,"AAAAADtK9mQ=")</f>
        <v>#VALUE!</v>
      </c>
      <c r="CX192" t="e">
        <f>AND(Bills!AD802,"AAAAADtK9mU=")</f>
        <v>#VALUE!</v>
      </c>
      <c r="CY192" t="e">
        <f>AND(Bills!AE802,"AAAAADtK9mY=")</f>
        <v>#VALUE!</v>
      </c>
      <c r="CZ192">
        <f>IF(Bills!803:803,"AAAAADtK9mc=",0)</f>
        <v>0</v>
      </c>
      <c r="DA192" t="e">
        <f>AND(Bills!B803,"AAAAADtK9mg=")</f>
        <v>#VALUE!</v>
      </c>
      <c r="DB192" t="e">
        <f>AND(Bills!#REF!,"AAAAADtK9mk=")</f>
        <v>#REF!</v>
      </c>
      <c r="DC192" t="e">
        <f>AND(Bills!C803,"AAAAADtK9mo=")</f>
        <v>#VALUE!</v>
      </c>
      <c r="DD192" t="e">
        <f>AND(Bills!D803,"AAAAADtK9ms=")</f>
        <v>#VALUE!</v>
      </c>
      <c r="DE192" t="e">
        <f>AND(Bills!E803,"AAAAADtK9mw=")</f>
        <v>#VALUE!</v>
      </c>
      <c r="DF192" t="e">
        <f>AND(Bills!#REF!,"AAAAADtK9m0=")</f>
        <v>#REF!</v>
      </c>
      <c r="DG192" t="e">
        <f>AND(Bills!#REF!,"AAAAADtK9m4=")</f>
        <v>#REF!</v>
      </c>
      <c r="DH192" t="e">
        <f>AND(Bills!#REF!,"AAAAADtK9m8=")</f>
        <v>#REF!</v>
      </c>
      <c r="DI192" t="e">
        <f>AND(Bills!F803,"AAAAADtK9nA=")</f>
        <v>#VALUE!</v>
      </c>
      <c r="DJ192" t="e">
        <f>AND(Bills!#REF!,"AAAAADtK9nE=")</f>
        <v>#REF!</v>
      </c>
      <c r="DK192" t="e">
        <f>AND(Bills!G803,"AAAAADtK9nI=")</f>
        <v>#VALUE!</v>
      </c>
      <c r="DL192" t="e">
        <f>AND(Bills!H803,"AAAAADtK9nM=")</f>
        <v>#VALUE!</v>
      </c>
      <c r="DM192" t="e">
        <f>AND(Bills!I803,"AAAAADtK9nQ=")</f>
        <v>#VALUE!</v>
      </c>
      <c r="DN192" t="e">
        <f>AND(Bills!J803,"AAAAADtK9nU=")</f>
        <v>#VALUE!</v>
      </c>
      <c r="DO192" t="e">
        <f>AND(Bills!K803,"AAAAADtK9nY=")</f>
        <v>#VALUE!</v>
      </c>
      <c r="DP192" t="e">
        <f>AND(Bills!L803,"AAAAADtK9nc=")</f>
        <v>#VALUE!</v>
      </c>
      <c r="DQ192" t="e">
        <f>AND(Bills!#REF!,"AAAAADtK9ng=")</f>
        <v>#REF!</v>
      </c>
      <c r="DR192" t="e">
        <f>AND(Bills!M803,"AAAAADtK9nk=")</f>
        <v>#VALUE!</v>
      </c>
      <c r="DS192" t="e">
        <f>AND(Bills!N803,"AAAAADtK9no=")</f>
        <v>#VALUE!</v>
      </c>
      <c r="DT192" t="e">
        <f>AND(Bills!O803,"AAAAADtK9ns=")</f>
        <v>#VALUE!</v>
      </c>
      <c r="DU192" t="e">
        <f>AND(Bills!P803,"AAAAADtK9nw=")</f>
        <v>#VALUE!</v>
      </c>
      <c r="DV192" t="e">
        <f>AND(Bills!Q803,"AAAAADtK9n0=")</f>
        <v>#VALUE!</v>
      </c>
      <c r="DW192" t="e">
        <f>AND(Bills!R803,"AAAAADtK9n4=")</f>
        <v>#VALUE!</v>
      </c>
      <c r="DX192" t="e">
        <f>AND(Bills!S803,"AAAAADtK9n8=")</f>
        <v>#VALUE!</v>
      </c>
      <c r="DY192" t="e">
        <f>AND(Bills!T803,"AAAAADtK9oA=")</f>
        <v>#VALUE!</v>
      </c>
      <c r="DZ192" t="e">
        <f>AND(Bills!#REF!,"AAAAADtK9oE=")</f>
        <v>#REF!</v>
      </c>
      <c r="EA192" t="e">
        <f>AND(Bills!U803,"AAAAADtK9oI=")</f>
        <v>#VALUE!</v>
      </c>
      <c r="EB192" t="e">
        <f>AND(Bills!V803,"AAAAADtK9oM=")</f>
        <v>#VALUE!</v>
      </c>
      <c r="EC192" t="e">
        <f>AND(Bills!W803,"AAAAADtK9oQ=")</f>
        <v>#VALUE!</v>
      </c>
      <c r="ED192" t="e">
        <f>AND(Bills!#REF!,"AAAAADtK9oU=")</f>
        <v>#REF!</v>
      </c>
      <c r="EE192" t="e">
        <f>AND(Bills!#REF!,"AAAAADtK9oY=")</f>
        <v>#REF!</v>
      </c>
      <c r="EF192" t="e">
        <f>AND(Bills!Y803,"AAAAADtK9oc=")</f>
        <v>#VALUE!</v>
      </c>
      <c r="EG192" t="e">
        <f>AND(Bills!Z803,"AAAAADtK9og=")</f>
        <v>#VALUE!</v>
      </c>
      <c r="EH192" t="e">
        <f>AND(Bills!#REF!,"AAAAADtK9ok=")</f>
        <v>#REF!</v>
      </c>
      <c r="EI192" t="e">
        <f>AND(Bills!#REF!,"AAAAADtK9oo=")</f>
        <v>#REF!</v>
      </c>
      <c r="EJ192" t="e">
        <f>AND(Bills!#REF!,"AAAAADtK9os=")</f>
        <v>#REF!</v>
      </c>
      <c r="EK192" t="e">
        <f>AND(Bills!#REF!,"AAAAADtK9ow=")</f>
        <v>#REF!</v>
      </c>
      <c r="EL192" t="e">
        <f>AND(Bills!#REF!,"AAAAADtK9o0=")</f>
        <v>#REF!</v>
      </c>
      <c r="EM192" t="e">
        <f>AND(Bills!#REF!,"AAAAADtK9o4=")</f>
        <v>#REF!</v>
      </c>
      <c r="EN192" t="e">
        <f>AND(Bills!#REF!,"AAAAADtK9o8=")</f>
        <v>#REF!</v>
      </c>
      <c r="EO192" t="e">
        <f>AND(Bills!#REF!,"AAAAADtK9pA=")</f>
        <v>#REF!</v>
      </c>
      <c r="EP192" t="e">
        <f>AND(Bills!#REF!,"AAAAADtK9pE=")</f>
        <v>#REF!</v>
      </c>
      <c r="EQ192" t="e">
        <f>AND(Bills!AA803,"AAAAADtK9pI=")</f>
        <v>#VALUE!</v>
      </c>
      <c r="ER192" t="e">
        <f>AND(Bills!AB803,"AAAAADtK9pM=")</f>
        <v>#VALUE!</v>
      </c>
      <c r="ES192" t="e">
        <f>AND(Bills!#REF!,"AAAAADtK9pQ=")</f>
        <v>#REF!</v>
      </c>
      <c r="ET192" t="e">
        <f>AND(Bills!#REF!,"AAAAADtK9pU=")</f>
        <v>#REF!</v>
      </c>
      <c r="EU192" t="e">
        <f>AND(Bills!#REF!,"AAAAADtK9pY=")</f>
        <v>#REF!</v>
      </c>
      <c r="EV192" t="e">
        <f>AND(Bills!AC803,"AAAAADtK9pc=")</f>
        <v>#VALUE!</v>
      </c>
      <c r="EW192" t="e">
        <f>AND(Bills!AD803,"AAAAADtK9pg=")</f>
        <v>#VALUE!</v>
      </c>
      <c r="EX192" t="e">
        <f>AND(Bills!AE803,"AAAAADtK9pk=")</f>
        <v>#VALUE!</v>
      </c>
      <c r="EY192">
        <f>IF(Bills!804:804,"AAAAADtK9po=",0)</f>
        <v>0</v>
      </c>
      <c r="EZ192" t="e">
        <f>AND(Bills!B804,"AAAAADtK9ps=")</f>
        <v>#VALUE!</v>
      </c>
      <c r="FA192" t="e">
        <f>AND(Bills!#REF!,"AAAAADtK9pw=")</f>
        <v>#REF!</v>
      </c>
      <c r="FB192" t="e">
        <f>AND(Bills!C804,"AAAAADtK9p0=")</f>
        <v>#VALUE!</v>
      </c>
      <c r="FC192" t="e">
        <f>AND(Bills!D804,"AAAAADtK9p4=")</f>
        <v>#VALUE!</v>
      </c>
      <c r="FD192" t="e">
        <f>AND(Bills!E804,"AAAAADtK9p8=")</f>
        <v>#VALUE!</v>
      </c>
      <c r="FE192" t="e">
        <f>AND(Bills!#REF!,"AAAAADtK9qA=")</f>
        <v>#REF!</v>
      </c>
      <c r="FF192" t="e">
        <f>AND(Bills!#REF!,"AAAAADtK9qE=")</f>
        <v>#REF!</v>
      </c>
      <c r="FG192" t="e">
        <f>AND(Bills!#REF!,"AAAAADtK9qI=")</f>
        <v>#REF!</v>
      </c>
      <c r="FH192" t="e">
        <f>AND(Bills!F804,"AAAAADtK9qM=")</f>
        <v>#VALUE!</v>
      </c>
      <c r="FI192" t="e">
        <f>AND(Bills!#REF!,"AAAAADtK9qQ=")</f>
        <v>#REF!</v>
      </c>
      <c r="FJ192" t="e">
        <f>AND(Bills!G804,"AAAAADtK9qU=")</f>
        <v>#VALUE!</v>
      </c>
      <c r="FK192" t="e">
        <f>AND(Bills!H804,"AAAAADtK9qY=")</f>
        <v>#VALUE!</v>
      </c>
      <c r="FL192" t="e">
        <f>AND(Bills!I804,"AAAAADtK9qc=")</f>
        <v>#VALUE!</v>
      </c>
      <c r="FM192" t="e">
        <f>AND(Bills!J804,"AAAAADtK9qg=")</f>
        <v>#VALUE!</v>
      </c>
      <c r="FN192" t="e">
        <f>AND(Bills!K804,"AAAAADtK9qk=")</f>
        <v>#VALUE!</v>
      </c>
      <c r="FO192" t="e">
        <f>AND(Bills!L804,"AAAAADtK9qo=")</f>
        <v>#VALUE!</v>
      </c>
      <c r="FP192" t="e">
        <f>AND(Bills!#REF!,"AAAAADtK9qs=")</f>
        <v>#REF!</v>
      </c>
      <c r="FQ192" t="e">
        <f>AND(Bills!M804,"AAAAADtK9qw=")</f>
        <v>#VALUE!</v>
      </c>
      <c r="FR192" t="e">
        <f>AND(Bills!N804,"AAAAADtK9q0=")</f>
        <v>#VALUE!</v>
      </c>
      <c r="FS192" t="e">
        <f>AND(Bills!O804,"AAAAADtK9q4=")</f>
        <v>#VALUE!</v>
      </c>
      <c r="FT192" t="e">
        <f>AND(Bills!P804,"AAAAADtK9q8=")</f>
        <v>#VALUE!</v>
      </c>
      <c r="FU192" t="e">
        <f>AND(Bills!Q804,"AAAAADtK9rA=")</f>
        <v>#VALUE!</v>
      </c>
      <c r="FV192" t="e">
        <f>AND(Bills!R804,"AAAAADtK9rE=")</f>
        <v>#VALUE!</v>
      </c>
      <c r="FW192" t="e">
        <f>AND(Bills!S804,"AAAAADtK9rI=")</f>
        <v>#VALUE!</v>
      </c>
      <c r="FX192" t="e">
        <f>AND(Bills!T804,"AAAAADtK9rM=")</f>
        <v>#VALUE!</v>
      </c>
      <c r="FY192" t="e">
        <f>AND(Bills!#REF!,"AAAAADtK9rQ=")</f>
        <v>#REF!</v>
      </c>
      <c r="FZ192" t="e">
        <f>AND(Bills!U804,"AAAAADtK9rU=")</f>
        <v>#VALUE!</v>
      </c>
      <c r="GA192" t="e">
        <f>AND(Bills!V804,"AAAAADtK9rY=")</f>
        <v>#VALUE!</v>
      </c>
      <c r="GB192" t="e">
        <f>AND(Bills!W804,"AAAAADtK9rc=")</f>
        <v>#VALUE!</v>
      </c>
      <c r="GC192" t="e">
        <f>AND(Bills!#REF!,"AAAAADtK9rg=")</f>
        <v>#REF!</v>
      </c>
      <c r="GD192" t="e">
        <f>AND(Bills!#REF!,"AAAAADtK9rk=")</f>
        <v>#REF!</v>
      </c>
      <c r="GE192" t="e">
        <f>AND(Bills!Y804,"AAAAADtK9ro=")</f>
        <v>#VALUE!</v>
      </c>
      <c r="GF192" t="e">
        <f>AND(Bills!Z804,"AAAAADtK9rs=")</f>
        <v>#VALUE!</v>
      </c>
      <c r="GG192" t="e">
        <f>AND(Bills!#REF!,"AAAAADtK9rw=")</f>
        <v>#REF!</v>
      </c>
      <c r="GH192" t="e">
        <f>AND(Bills!#REF!,"AAAAADtK9r0=")</f>
        <v>#REF!</v>
      </c>
      <c r="GI192" t="e">
        <f>AND(Bills!#REF!,"AAAAADtK9r4=")</f>
        <v>#REF!</v>
      </c>
      <c r="GJ192" t="e">
        <f>AND(Bills!#REF!,"AAAAADtK9r8=")</f>
        <v>#REF!</v>
      </c>
      <c r="GK192" t="e">
        <f>AND(Bills!#REF!,"AAAAADtK9sA=")</f>
        <v>#REF!</v>
      </c>
      <c r="GL192" t="e">
        <f>AND(Bills!#REF!,"AAAAADtK9sE=")</f>
        <v>#REF!</v>
      </c>
      <c r="GM192" t="e">
        <f>AND(Bills!#REF!,"AAAAADtK9sI=")</f>
        <v>#REF!</v>
      </c>
      <c r="GN192" t="e">
        <f>AND(Bills!#REF!,"AAAAADtK9sM=")</f>
        <v>#REF!</v>
      </c>
      <c r="GO192" t="e">
        <f>AND(Bills!#REF!,"AAAAADtK9sQ=")</f>
        <v>#REF!</v>
      </c>
      <c r="GP192" t="e">
        <f>AND(Bills!AA804,"AAAAADtK9sU=")</f>
        <v>#VALUE!</v>
      </c>
      <c r="GQ192" t="e">
        <f>AND(Bills!AB804,"AAAAADtK9sY=")</f>
        <v>#VALUE!</v>
      </c>
      <c r="GR192" t="e">
        <f>AND(Bills!#REF!,"AAAAADtK9sc=")</f>
        <v>#REF!</v>
      </c>
      <c r="GS192" t="e">
        <f>AND(Bills!#REF!,"AAAAADtK9sg=")</f>
        <v>#REF!</v>
      </c>
      <c r="GT192" t="e">
        <f>AND(Bills!#REF!,"AAAAADtK9sk=")</f>
        <v>#REF!</v>
      </c>
      <c r="GU192" t="e">
        <f>AND(Bills!AC804,"AAAAADtK9so=")</f>
        <v>#VALUE!</v>
      </c>
      <c r="GV192" t="e">
        <f>AND(Bills!AD804,"AAAAADtK9ss=")</f>
        <v>#VALUE!</v>
      </c>
      <c r="GW192" t="e">
        <f>AND(Bills!AE804,"AAAAADtK9sw=")</f>
        <v>#VALUE!</v>
      </c>
      <c r="GX192">
        <f>IF(Bills!805:805,"AAAAADtK9s0=",0)</f>
        <v>0</v>
      </c>
      <c r="GY192" t="e">
        <f>AND(Bills!B805,"AAAAADtK9s4=")</f>
        <v>#VALUE!</v>
      </c>
      <c r="GZ192" t="e">
        <f>AND(Bills!#REF!,"AAAAADtK9s8=")</f>
        <v>#REF!</v>
      </c>
      <c r="HA192" t="e">
        <f>AND(Bills!C805,"AAAAADtK9tA=")</f>
        <v>#VALUE!</v>
      </c>
      <c r="HB192" t="e">
        <f>AND(Bills!D805,"AAAAADtK9tE=")</f>
        <v>#VALUE!</v>
      </c>
      <c r="HC192" t="e">
        <f>AND(Bills!E805,"AAAAADtK9tI=")</f>
        <v>#VALUE!</v>
      </c>
      <c r="HD192" t="e">
        <f>AND(Bills!#REF!,"AAAAADtK9tM=")</f>
        <v>#REF!</v>
      </c>
      <c r="HE192" t="e">
        <f>AND(Bills!#REF!,"AAAAADtK9tQ=")</f>
        <v>#REF!</v>
      </c>
      <c r="HF192" t="e">
        <f>AND(Bills!#REF!,"AAAAADtK9tU=")</f>
        <v>#REF!</v>
      </c>
      <c r="HG192" t="e">
        <f>AND(Bills!F805,"AAAAADtK9tY=")</f>
        <v>#VALUE!</v>
      </c>
      <c r="HH192" t="e">
        <f>AND(Bills!#REF!,"AAAAADtK9tc=")</f>
        <v>#REF!</v>
      </c>
      <c r="HI192" t="e">
        <f>AND(Bills!G805,"AAAAADtK9tg=")</f>
        <v>#VALUE!</v>
      </c>
      <c r="HJ192" t="e">
        <f>AND(Bills!H805,"AAAAADtK9tk=")</f>
        <v>#VALUE!</v>
      </c>
      <c r="HK192" t="e">
        <f>AND(Bills!I805,"AAAAADtK9to=")</f>
        <v>#VALUE!</v>
      </c>
      <c r="HL192" t="e">
        <f>AND(Bills!J805,"AAAAADtK9ts=")</f>
        <v>#VALUE!</v>
      </c>
      <c r="HM192" t="e">
        <f>AND(Bills!K805,"AAAAADtK9tw=")</f>
        <v>#VALUE!</v>
      </c>
      <c r="HN192" t="e">
        <f>AND(Bills!L805,"AAAAADtK9t0=")</f>
        <v>#VALUE!</v>
      </c>
      <c r="HO192" t="e">
        <f>AND(Bills!#REF!,"AAAAADtK9t4=")</f>
        <v>#REF!</v>
      </c>
      <c r="HP192" t="e">
        <f>AND(Bills!M805,"AAAAADtK9t8=")</f>
        <v>#VALUE!</v>
      </c>
      <c r="HQ192" t="e">
        <f>AND(Bills!N805,"AAAAADtK9uA=")</f>
        <v>#VALUE!</v>
      </c>
      <c r="HR192" t="e">
        <f>AND(Bills!O805,"AAAAADtK9uE=")</f>
        <v>#VALUE!</v>
      </c>
      <c r="HS192" t="e">
        <f>AND(Bills!P805,"AAAAADtK9uI=")</f>
        <v>#VALUE!</v>
      </c>
      <c r="HT192" t="e">
        <f>AND(Bills!Q805,"AAAAADtK9uM=")</f>
        <v>#VALUE!</v>
      </c>
      <c r="HU192" t="e">
        <f>AND(Bills!R805,"AAAAADtK9uQ=")</f>
        <v>#VALUE!</v>
      </c>
      <c r="HV192" t="e">
        <f>AND(Bills!S805,"AAAAADtK9uU=")</f>
        <v>#VALUE!</v>
      </c>
      <c r="HW192" t="e">
        <f>AND(Bills!T805,"AAAAADtK9uY=")</f>
        <v>#VALUE!</v>
      </c>
      <c r="HX192" t="e">
        <f>AND(Bills!#REF!,"AAAAADtK9uc=")</f>
        <v>#REF!</v>
      </c>
      <c r="HY192" t="e">
        <f>AND(Bills!U805,"AAAAADtK9ug=")</f>
        <v>#VALUE!</v>
      </c>
      <c r="HZ192" t="e">
        <f>AND(Bills!V805,"AAAAADtK9uk=")</f>
        <v>#VALUE!</v>
      </c>
      <c r="IA192" t="e">
        <f>AND(Bills!W805,"AAAAADtK9uo=")</f>
        <v>#VALUE!</v>
      </c>
      <c r="IB192" t="e">
        <f>AND(Bills!#REF!,"AAAAADtK9us=")</f>
        <v>#REF!</v>
      </c>
      <c r="IC192" t="e">
        <f>AND(Bills!#REF!,"AAAAADtK9uw=")</f>
        <v>#REF!</v>
      </c>
      <c r="ID192" t="e">
        <f>AND(Bills!Y805,"AAAAADtK9u0=")</f>
        <v>#VALUE!</v>
      </c>
      <c r="IE192" t="e">
        <f>AND(Bills!Z805,"AAAAADtK9u4=")</f>
        <v>#VALUE!</v>
      </c>
      <c r="IF192" t="e">
        <f>AND(Bills!#REF!,"AAAAADtK9u8=")</f>
        <v>#REF!</v>
      </c>
      <c r="IG192" t="e">
        <f>AND(Bills!#REF!,"AAAAADtK9vA=")</f>
        <v>#REF!</v>
      </c>
      <c r="IH192" t="e">
        <f>AND(Bills!#REF!,"AAAAADtK9vE=")</f>
        <v>#REF!</v>
      </c>
      <c r="II192" t="e">
        <f>AND(Bills!#REF!,"AAAAADtK9vI=")</f>
        <v>#REF!</v>
      </c>
      <c r="IJ192" t="e">
        <f>AND(Bills!#REF!,"AAAAADtK9vM=")</f>
        <v>#REF!</v>
      </c>
      <c r="IK192" t="e">
        <f>AND(Bills!#REF!,"AAAAADtK9vQ=")</f>
        <v>#REF!</v>
      </c>
      <c r="IL192" t="e">
        <f>AND(Bills!#REF!,"AAAAADtK9vU=")</f>
        <v>#REF!</v>
      </c>
      <c r="IM192" t="e">
        <f>AND(Bills!#REF!,"AAAAADtK9vY=")</f>
        <v>#REF!</v>
      </c>
      <c r="IN192" t="e">
        <f>AND(Bills!#REF!,"AAAAADtK9vc=")</f>
        <v>#REF!</v>
      </c>
      <c r="IO192" t="e">
        <f>AND(Bills!AA805,"AAAAADtK9vg=")</f>
        <v>#VALUE!</v>
      </c>
      <c r="IP192" t="e">
        <f>AND(Bills!AB805,"AAAAADtK9vk=")</f>
        <v>#VALUE!</v>
      </c>
      <c r="IQ192" t="e">
        <f>AND(Bills!#REF!,"AAAAADtK9vo=")</f>
        <v>#REF!</v>
      </c>
      <c r="IR192" t="e">
        <f>AND(Bills!#REF!,"AAAAADtK9vs=")</f>
        <v>#REF!</v>
      </c>
      <c r="IS192" t="e">
        <f>AND(Bills!#REF!,"AAAAADtK9vw=")</f>
        <v>#REF!</v>
      </c>
      <c r="IT192" t="e">
        <f>AND(Bills!AC805,"AAAAADtK9v0=")</f>
        <v>#VALUE!</v>
      </c>
      <c r="IU192" t="e">
        <f>AND(Bills!AD805,"AAAAADtK9v4=")</f>
        <v>#VALUE!</v>
      </c>
      <c r="IV192" t="e">
        <f>AND(Bills!AE805,"AAAAADtK9v8=")</f>
        <v>#VALUE!</v>
      </c>
    </row>
    <row r="193" spans="1:256" x14ac:dyDescent="0.25">
      <c r="A193">
        <f>IF(Bills!806:806,"AAAAAHl+fQA=",0)</f>
        <v>0</v>
      </c>
      <c r="B193" t="e">
        <f>AND(Bills!B806,"AAAAAHl+fQE=")</f>
        <v>#VALUE!</v>
      </c>
      <c r="C193" t="e">
        <f>AND(Bills!#REF!,"AAAAAHl+fQI=")</f>
        <v>#REF!</v>
      </c>
      <c r="D193" t="e">
        <f>AND(Bills!C806,"AAAAAHl+fQM=")</f>
        <v>#VALUE!</v>
      </c>
      <c r="E193" t="e">
        <f>AND(Bills!D806,"AAAAAHl+fQQ=")</f>
        <v>#VALUE!</v>
      </c>
      <c r="F193" t="e">
        <f>AND(Bills!E806,"AAAAAHl+fQU=")</f>
        <v>#VALUE!</v>
      </c>
      <c r="G193" t="e">
        <f>AND(Bills!#REF!,"AAAAAHl+fQY=")</f>
        <v>#REF!</v>
      </c>
      <c r="H193" t="e">
        <f>AND(Bills!#REF!,"AAAAAHl+fQc=")</f>
        <v>#REF!</v>
      </c>
      <c r="I193" t="e">
        <f>AND(Bills!#REF!,"AAAAAHl+fQg=")</f>
        <v>#REF!</v>
      </c>
      <c r="J193" t="e">
        <f>AND(Bills!F806,"AAAAAHl+fQk=")</f>
        <v>#VALUE!</v>
      </c>
      <c r="K193" t="e">
        <f>AND(Bills!#REF!,"AAAAAHl+fQo=")</f>
        <v>#REF!</v>
      </c>
      <c r="L193" t="e">
        <f>AND(Bills!G806,"AAAAAHl+fQs=")</f>
        <v>#VALUE!</v>
      </c>
      <c r="M193" t="e">
        <f>AND(Bills!H806,"AAAAAHl+fQw=")</f>
        <v>#VALUE!</v>
      </c>
      <c r="N193" t="e">
        <f>AND(Bills!I806,"AAAAAHl+fQ0=")</f>
        <v>#VALUE!</v>
      </c>
      <c r="O193" t="e">
        <f>AND(Bills!J806,"AAAAAHl+fQ4=")</f>
        <v>#VALUE!</v>
      </c>
      <c r="P193" t="e">
        <f>AND(Bills!K806,"AAAAAHl+fQ8=")</f>
        <v>#VALUE!</v>
      </c>
      <c r="Q193" t="e">
        <f>AND(Bills!L806,"AAAAAHl+fRA=")</f>
        <v>#VALUE!</v>
      </c>
      <c r="R193" t="e">
        <f>AND(Bills!#REF!,"AAAAAHl+fRE=")</f>
        <v>#REF!</v>
      </c>
      <c r="S193" t="e">
        <f>AND(Bills!M806,"AAAAAHl+fRI=")</f>
        <v>#VALUE!</v>
      </c>
      <c r="T193" t="e">
        <f>AND(Bills!N806,"AAAAAHl+fRM=")</f>
        <v>#VALUE!</v>
      </c>
      <c r="U193" t="e">
        <f>AND(Bills!O806,"AAAAAHl+fRQ=")</f>
        <v>#VALUE!</v>
      </c>
      <c r="V193" t="e">
        <f>AND(Bills!P806,"AAAAAHl+fRU=")</f>
        <v>#VALUE!</v>
      </c>
      <c r="W193" t="e">
        <f>AND(Bills!Q806,"AAAAAHl+fRY=")</f>
        <v>#VALUE!</v>
      </c>
      <c r="X193" t="e">
        <f>AND(Bills!R806,"AAAAAHl+fRc=")</f>
        <v>#VALUE!</v>
      </c>
      <c r="Y193" t="e">
        <f>AND(Bills!S806,"AAAAAHl+fRg=")</f>
        <v>#VALUE!</v>
      </c>
      <c r="Z193" t="e">
        <f>AND(Bills!T806,"AAAAAHl+fRk=")</f>
        <v>#VALUE!</v>
      </c>
      <c r="AA193" t="e">
        <f>AND(Bills!#REF!,"AAAAAHl+fRo=")</f>
        <v>#REF!</v>
      </c>
      <c r="AB193" t="e">
        <f>AND(Bills!U806,"AAAAAHl+fRs=")</f>
        <v>#VALUE!</v>
      </c>
      <c r="AC193" t="e">
        <f>AND(Bills!V806,"AAAAAHl+fRw=")</f>
        <v>#VALUE!</v>
      </c>
      <c r="AD193" t="e">
        <f>AND(Bills!W806,"AAAAAHl+fR0=")</f>
        <v>#VALUE!</v>
      </c>
      <c r="AE193" t="e">
        <f>AND(Bills!#REF!,"AAAAAHl+fR4=")</f>
        <v>#REF!</v>
      </c>
      <c r="AF193" t="e">
        <f>AND(Bills!#REF!,"AAAAAHl+fR8=")</f>
        <v>#REF!</v>
      </c>
      <c r="AG193" t="e">
        <f>AND(Bills!Y806,"AAAAAHl+fSA=")</f>
        <v>#VALUE!</v>
      </c>
      <c r="AH193" t="e">
        <f>AND(Bills!Z806,"AAAAAHl+fSE=")</f>
        <v>#VALUE!</v>
      </c>
      <c r="AI193" t="e">
        <f>AND(Bills!#REF!,"AAAAAHl+fSI=")</f>
        <v>#REF!</v>
      </c>
      <c r="AJ193" t="e">
        <f>AND(Bills!#REF!,"AAAAAHl+fSM=")</f>
        <v>#REF!</v>
      </c>
      <c r="AK193" t="e">
        <f>AND(Bills!#REF!,"AAAAAHl+fSQ=")</f>
        <v>#REF!</v>
      </c>
      <c r="AL193" t="e">
        <f>AND(Bills!#REF!,"AAAAAHl+fSU=")</f>
        <v>#REF!</v>
      </c>
      <c r="AM193" t="e">
        <f>AND(Bills!#REF!,"AAAAAHl+fSY=")</f>
        <v>#REF!</v>
      </c>
      <c r="AN193" t="e">
        <f>AND(Bills!#REF!,"AAAAAHl+fSc=")</f>
        <v>#REF!</v>
      </c>
      <c r="AO193" t="e">
        <f>AND(Bills!#REF!,"AAAAAHl+fSg=")</f>
        <v>#REF!</v>
      </c>
      <c r="AP193" t="e">
        <f>AND(Bills!#REF!,"AAAAAHl+fSk=")</f>
        <v>#REF!</v>
      </c>
      <c r="AQ193" t="e">
        <f>AND(Bills!#REF!,"AAAAAHl+fSo=")</f>
        <v>#REF!</v>
      </c>
      <c r="AR193" t="e">
        <f>AND(Bills!AA806,"AAAAAHl+fSs=")</f>
        <v>#VALUE!</v>
      </c>
      <c r="AS193" t="e">
        <f>AND(Bills!AB806,"AAAAAHl+fSw=")</f>
        <v>#VALUE!</v>
      </c>
      <c r="AT193" t="e">
        <f>AND(Bills!#REF!,"AAAAAHl+fS0=")</f>
        <v>#REF!</v>
      </c>
      <c r="AU193" t="e">
        <f>AND(Bills!#REF!,"AAAAAHl+fS4=")</f>
        <v>#REF!</v>
      </c>
      <c r="AV193" t="e">
        <f>AND(Bills!#REF!,"AAAAAHl+fS8=")</f>
        <v>#REF!</v>
      </c>
      <c r="AW193" t="e">
        <f>AND(Bills!AC806,"AAAAAHl+fTA=")</f>
        <v>#VALUE!</v>
      </c>
      <c r="AX193" t="e">
        <f>AND(Bills!AD806,"AAAAAHl+fTE=")</f>
        <v>#VALUE!</v>
      </c>
      <c r="AY193" t="e">
        <f>AND(Bills!AE806,"AAAAAHl+fTI=")</f>
        <v>#VALUE!</v>
      </c>
      <c r="AZ193">
        <f>IF(Bills!807:807,"AAAAAHl+fTM=",0)</f>
        <v>0</v>
      </c>
      <c r="BA193" t="e">
        <f>AND(Bills!B807,"AAAAAHl+fTQ=")</f>
        <v>#VALUE!</v>
      </c>
      <c r="BB193" t="e">
        <f>AND(Bills!#REF!,"AAAAAHl+fTU=")</f>
        <v>#REF!</v>
      </c>
      <c r="BC193" t="e">
        <f>AND(Bills!C807,"AAAAAHl+fTY=")</f>
        <v>#VALUE!</v>
      </c>
      <c r="BD193" t="e">
        <f>AND(Bills!D807,"AAAAAHl+fTc=")</f>
        <v>#VALUE!</v>
      </c>
      <c r="BE193" t="e">
        <f>AND(Bills!E807,"AAAAAHl+fTg=")</f>
        <v>#VALUE!</v>
      </c>
      <c r="BF193" t="e">
        <f>AND(Bills!#REF!,"AAAAAHl+fTk=")</f>
        <v>#REF!</v>
      </c>
      <c r="BG193" t="e">
        <f>AND(Bills!#REF!,"AAAAAHl+fTo=")</f>
        <v>#REF!</v>
      </c>
      <c r="BH193" t="e">
        <f>AND(Bills!#REF!,"AAAAAHl+fTs=")</f>
        <v>#REF!</v>
      </c>
      <c r="BI193" t="e">
        <f>AND(Bills!F807,"AAAAAHl+fTw=")</f>
        <v>#VALUE!</v>
      </c>
      <c r="BJ193" t="e">
        <f>AND(Bills!#REF!,"AAAAAHl+fT0=")</f>
        <v>#REF!</v>
      </c>
      <c r="BK193" t="e">
        <f>AND(Bills!G807,"AAAAAHl+fT4=")</f>
        <v>#VALUE!</v>
      </c>
      <c r="BL193" t="e">
        <f>AND(Bills!H807,"AAAAAHl+fT8=")</f>
        <v>#VALUE!</v>
      </c>
      <c r="BM193" t="e">
        <f>AND(Bills!I807,"AAAAAHl+fUA=")</f>
        <v>#VALUE!</v>
      </c>
      <c r="BN193" t="e">
        <f>AND(Bills!J807,"AAAAAHl+fUE=")</f>
        <v>#VALUE!</v>
      </c>
      <c r="BO193" t="e">
        <f>AND(Bills!K807,"AAAAAHl+fUI=")</f>
        <v>#VALUE!</v>
      </c>
      <c r="BP193" t="e">
        <f>AND(Bills!L807,"AAAAAHl+fUM=")</f>
        <v>#VALUE!</v>
      </c>
      <c r="BQ193" t="e">
        <f>AND(Bills!#REF!,"AAAAAHl+fUQ=")</f>
        <v>#REF!</v>
      </c>
      <c r="BR193" t="e">
        <f>AND(Bills!M807,"AAAAAHl+fUU=")</f>
        <v>#VALUE!</v>
      </c>
      <c r="BS193" t="e">
        <f>AND(Bills!N807,"AAAAAHl+fUY=")</f>
        <v>#VALUE!</v>
      </c>
      <c r="BT193" t="e">
        <f>AND(Bills!O807,"AAAAAHl+fUc=")</f>
        <v>#VALUE!</v>
      </c>
      <c r="BU193" t="e">
        <f>AND(Bills!P807,"AAAAAHl+fUg=")</f>
        <v>#VALUE!</v>
      </c>
      <c r="BV193" t="e">
        <f>AND(Bills!Q807,"AAAAAHl+fUk=")</f>
        <v>#VALUE!</v>
      </c>
      <c r="BW193" t="e">
        <f>AND(Bills!R807,"AAAAAHl+fUo=")</f>
        <v>#VALUE!</v>
      </c>
      <c r="BX193" t="e">
        <f>AND(Bills!S807,"AAAAAHl+fUs=")</f>
        <v>#VALUE!</v>
      </c>
      <c r="BY193" t="e">
        <f>AND(Bills!T807,"AAAAAHl+fUw=")</f>
        <v>#VALUE!</v>
      </c>
      <c r="BZ193" t="e">
        <f>AND(Bills!#REF!,"AAAAAHl+fU0=")</f>
        <v>#REF!</v>
      </c>
      <c r="CA193" t="e">
        <f>AND(Bills!U807,"AAAAAHl+fU4=")</f>
        <v>#VALUE!</v>
      </c>
      <c r="CB193" t="e">
        <f>AND(Bills!V807,"AAAAAHl+fU8=")</f>
        <v>#VALUE!</v>
      </c>
      <c r="CC193" t="e">
        <f>AND(Bills!W807,"AAAAAHl+fVA=")</f>
        <v>#VALUE!</v>
      </c>
      <c r="CD193" t="e">
        <f>AND(Bills!#REF!,"AAAAAHl+fVE=")</f>
        <v>#REF!</v>
      </c>
      <c r="CE193" t="e">
        <f>AND(Bills!#REF!,"AAAAAHl+fVI=")</f>
        <v>#REF!</v>
      </c>
      <c r="CF193" t="e">
        <f>AND(Bills!Y807,"AAAAAHl+fVM=")</f>
        <v>#VALUE!</v>
      </c>
      <c r="CG193" t="e">
        <f>AND(Bills!Z807,"AAAAAHl+fVQ=")</f>
        <v>#VALUE!</v>
      </c>
      <c r="CH193" t="e">
        <f>AND(Bills!#REF!,"AAAAAHl+fVU=")</f>
        <v>#REF!</v>
      </c>
      <c r="CI193" t="e">
        <f>AND(Bills!#REF!,"AAAAAHl+fVY=")</f>
        <v>#REF!</v>
      </c>
      <c r="CJ193" t="e">
        <f>AND(Bills!#REF!,"AAAAAHl+fVc=")</f>
        <v>#REF!</v>
      </c>
      <c r="CK193" t="e">
        <f>AND(Bills!#REF!,"AAAAAHl+fVg=")</f>
        <v>#REF!</v>
      </c>
      <c r="CL193" t="e">
        <f>AND(Bills!#REF!,"AAAAAHl+fVk=")</f>
        <v>#REF!</v>
      </c>
      <c r="CM193" t="e">
        <f>AND(Bills!#REF!,"AAAAAHl+fVo=")</f>
        <v>#REF!</v>
      </c>
      <c r="CN193" t="e">
        <f>AND(Bills!#REF!,"AAAAAHl+fVs=")</f>
        <v>#REF!</v>
      </c>
      <c r="CO193" t="e">
        <f>AND(Bills!#REF!,"AAAAAHl+fVw=")</f>
        <v>#REF!</v>
      </c>
      <c r="CP193" t="e">
        <f>AND(Bills!#REF!,"AAAAAHl+fV0=")</f>
        <v>#REF!</v>
      </c>
      <c r="CQ193" t="e">
        <f>AND(Bills!AA807,"AAAAAHl+fV4=")</f>
        <v>#VALUE!</v>
      </c>
      <c r="CR193" t="e">
        <f>AND(Bills!AB807,"AAAAAHl+fV8=")</f>
        <v>#VALUE!</v>
      </c>
      <c r="CS193" t="e">
        <f>AND(Bills!#REF!,"AAAAAHl+fWA=")</f>
        <v>#REF!</v>
      </c>
      <c r="CT193" t="e">
        <f>AND(Bills!#REF!,"AAAAAHl+fWE=")</f>
        <v>#REF!</v>
      </c>
      <c r="CU193" t="e">
        <f>AND(Bills!#REF!,"AAAAAHl+fWI=")</f>
        <v>#REF!</v>
      </c>
      <c r="CV193" t="e">
        <f>AND(Bills!AC807,"AAAAAHl+fWM=")</f>
        <v>#VALUE!</v>
      </c>
      <c r="CW193" t="e">
        <f>AND(Bills!AD807,"AAAAAHl+fWQ=")</f>
        <v>#VALUE!</v>
      </c>
      <c r="CX193" t="e">
        <f>AND(Bills!AE807,"AAAAAHl+fWU=")</f>
        <v>#VALUE!</v>
      </c>
      <c r="CY193">
        <f>IF(Bills!808:808,"AAAAAHl+fWY=",0)</f>
        <v>0</v>
      </c>
      <c r="CZ193" t="e">
        <f>AND(Bills!B808,"AAAAAHl+fWc=")</f>
        <v>#VALUE!</v>
      </c>
      <c r="DA193" t="e">
        <f>AND(Bills!#REF!,"AAAAAHl+fWg=")</f>
        <v>#REF!</v>
      </c>
      <c r="DB193" t="e">
        <f>AND(Bills!C808,"AAAAAHl+fWk=")</f>
        <v>#VALUE!</v>
      </c>
      <c r="DC193" t="e">
        <f>AND(Bills!D808,"AAAAAHl+fWo=")</f>
        <v>#VALUE!</v>
      </c>
      <c r="DD193" t="e">
        <f>AND(Bills!E808,"AAAAAHl+fWs=")</f>
        <v>#VALUE!</v>
      </c>
      <c r="DE193" t="e">
        <f>AND(Bills!#REF!,"AAAAAHl+fWw=")</f>
        <v>#REF!</v>
      </c>
      <c r="DF193" t="e">
        <f>AND(Bills!#REF!,"AAAAAHl+fW0=")</f>
        <v>#REF!</v>
      </c>
      <c r="DG193" t="e">
        <f>AND(Bills!#REF!,"AAAAAHl+fW4=")</f>
        <v>#REF!</v>
      </c>
      <c r="DH193" t="e">
        <f>AND(Bills!F808,"AAAAAHl+fW8=")</f>
        <v>#VALUE!</v>
      </c>
      <c r="DI193" t="e">
        <f>AND(Bills!#REF!,"AAAAAHl+fXA=")</f>
        <v>#REF!</v>
      </c>
      <c r="DJ193" t="e">
        <f>AND(Bills!G808,"AAAAAHl+fXE=")</f>
        <v>#VALUE!</v>
      </c>
      <c r="DK193" t="e">
        <f>AND(Bills!H808,"AAAAAHl+fXI=")</f>
        <v>#VALUE!</v>
      </c>
      <c r="DL193" t="e">
        <f>AND(Bills!I808,"AAAAAHl+fXM=")</f>
        <v>#VALUE!</v>
      </c>
      <c r="DM193" t="e">
        <f>AND(Bills!J808,"AAAAAHl+fXQ=")</f>
        <v>#VALUE!</v>
      </c>
      <c r="DN193" t="e">
        <f>AND(Bills!K808,"AAAAAHl+fXU=")</f>
        <v>#VALUE!</v>
      </c>
      <c r="DO193" t="e">
        <f>AND(Bills!L808,"AAAAAHl+fXY=")</f>
        <v>#VALUE!</v>
      </c>
      <c r="DP193" t="e">
        <f>AND(Bills!#REF!,"AAAAAHl+fXc=")</f>
        <v>#REF!</v>
      </c>
      <c r="DQ193" t="e">
        <f>AND(Bills!M808,"AAAAAHl+fXg=")</f>
        <v>#VALUE!</v>
      </c>
      <c r="DR193" t="e">
        <f>AND(Bills!N808,"AAAAAHl+fXk=")</f>
        <v>#VALUE!</v>
      </c>
      <c r="DS193" t="e">
        <f>AND(Bills!O808,"AAAAAHl+fXo=")</f>
        <v>#VALUE!</v>
      </c>
      <c r="DT193" t="e">
        <f>AND(Bills!P808,"AAAAAHl+fXs=")</f>
        <v>#VALUE!</v>
      </c>
      <c r="DU193" t="e">
        <f>AND(Bills!Q808,"AAAAAHl+fXw=")</f>
        <v>#VALUE!</v>
      </c>
      <c r="DV193" t="e">
        <f>AND(Bills!R808,"AAAAAHl+fX0=")</f>
        <v>#VALUE!</v>
      </c>
      <c r="DW193" t="e">
        <f>AND(Bills!S808,"AAAAAHl+fX4=")</f>
        <v>#VALUE!</v>
      </c>
      <c r="DX193" t="e">
        <f>AND(Bills!T808,"AAAAAHl+fX8=")</f>
        <v>#VALUE!</v>
      </c>
      <c r="DY193" t="e">
        <f>AND(Bills!#REF!,"AAAAAHl+fYA=")</f>
        <v>#REF!</v>
      </c>
      <c r="DZ193" t="e">
        <f>AND(Bills!U808,"AAAAAHl+fYE=")</f>
        <v>#VALUE!</v>
      </c>
      <c r="EA193" t="e">
        <f>AND(Bills!V808,"AAAAAHl+fYI=")</f>
        <v>#VALUE!</v>
      </c>
      <c r="EB193" t="e">
        <f>AND(Bills!W808,"AAAAAHl+fYM=")</f>
        <v>#VALUE!</v>
      </c>
      <c r="EC193" t="e">
        <f>AND(Bills!#REF!,"AAAAAHl+fYQ=")</f>
        <v>#REF!</v>
      </c>
      <c r="ED193" t="e">
        <f>AND(Bills!#REF!,"AAAAAHl+fYU=")</f>
        <v>#REF!</v>
      </c>
      <c r="EE193" t="e">
        <f>AND(Bills!Y808,"AAAAAHl+fYY=")</f>
        <v>#VALUE!</v>
      </c>
      <c r="EF193" t="e">
        <f>AND(Bills!Z808,"AAAAAHl+fYc=")</f>
        <v>#VALUE!</v>
      </c>
      <c r="EG193" t="e">
        <f>AND(Bills!#REF!,"AAAAAHl+fYg=")</f>
        <v>#REF!</v>
      </c>
      <c r="EH193" t="e">
        <f>AND(Bills!#REF!,"AAAAAHl+fYk=")</f>
        <v>#REF!</v>
      </c>
      <c r="EI193" t="e">
        <f>AND(Bills!#REF!,"AAAAAHl+fYo=")</f>
        <v>#REF!</v>
      </c>
      <c r="EJ193" t="e">
        <f>AND(Bills!#REF!,"AAAAAHl+fYs=")</f>
        <v>#REF!</v>
      </c>
      <c r="EK193" t="e">
        <f>AND(Bills!#REF!,"AAAAAHl+fYw=")</f>
        <v>#REF!</v>
      </c>
      <c r="EL193" t="e">
        <f>AND(Bills!#REF!,"AAAAAHl+fY0=")</f>
        <v>#REF!</v>
      </c>
      <c r="EM193" t="e">
        <f>AND(Bills!#REF!,"AAAAAHl+fY4=")</f>
        <v>#REF!</v>
      </c>
      <c r="EN193" t="e">
        <f>AND(Bills!#REF!,"AAAAAHl+fY8=")</f>
        <v>#REF!</v>
      </c>
      <c r="EO193" t="e">
        <f>AND(Bills!#REF!,"AAAAAHl+fZA=")</f>
        <v>#REF!</v>
      </c>
      <c r="EP193" t="e">
        <f>AND(Bills!AA808,"AAAAAHl+fZE=")</f>
        <v>#VALUE!</v>
      </c>
      <c r="EQ193" t="e">
        <f>AND(Bills!AB808,"AAAAAHl+fZI=")</f>
        <v>#VALUE!</v>
      </c>
      <c r="ER193" t="e">
        <f>AND(Bills!#REF!,"AAAAAHl+fZM=")</f>
        <v>#REF!</v>
      </c>
      <c r="ES193" t="e">
        <f>AND(Bills!#REF!,"AAAAAHl+fZQ=")</f>
        <v>#REF!</v>
      </c>
      <c r="ET193" t="e">
        <f>AND(Bills!#REF!,"AAAAAHl+fZU=")</f>
        <v>#REF!</v>
      </c>
      <c r="EU193" t="e">
        <f>AND(Bills!AC808,"AAAAAHl+fZY=")</f>
        <v>#VALUE!</v>
      </c>
      <c r="EV193" t="e">
        <f>AND(Bills!AD808,"AAAAAHl+fZc=")</f>
        <v>#VALUE!</v>
      </c>
      <c r="EW193" t="e">
        <f>AND(Bills!AE808,"AAAAAHl+fZg=")</f>
        <v>#VALUE!</v>
      </c>
      <c r="EX193">
        <f>IF(Bills!809:809,"AAAAAHl+fZk=",0)</f>
        <v>0</v>
      </c>
      <c r="EY193" t="e">
        <f>AND(Bills!B809,"AAAAAHl+fZo=")</f>
        <v>#VALUE!</v>
      </c>
      <c r="EZ193" t="e">
        <f>AND(Bills!#REF!,"AAAAAHl+fZs=")</f>
        <v>#REF!</v>
      </c>
      <c r="FA193" t="e">
        <f>AND(Bills!C809,"AAAAAHl+fZw=")</f>
        <v>#VALUE!</v>
      </c>
      <c r="FB193" t="e">
        <f>AND(Bills!D809,"AAAAAHl+fZ0=")</f>
        <v>#VALUE!</v>
      </c>
      <c r="FC193" t="e">
        <f>AND(Bills!E809,"AAAAAHl+fZ4=")</f>
        <v>#VALUE!</v>
      </c>
      <c r="FD193" t="e">
        <f>AND(Bills!#REF!,"AAAAAHl+fZ8=")</f>
        <v>#REF!</v>
      </c>
      <c r="FE193" t="e">
        <f>AND(Bills!#REF!,"AAAAAHl+faA=")</f>
        <v>#REF!</v>
      </c>
      <c r="FF193" t="e">
        <f>AND(Bills!#REF!,"AAAAAHl+faE=")</f>
        <v>#REF!</v>
      </c>
      <c r="FG193" t="e">
        <f>AND(Bills!F809,"AAAAAHl+faI=")</f>
        <v>#VALUE!</v>
      </c>
      <c r="FH193" t="e">
        <f>AND(Bills!#REF!,"AAAAAHl+faM=")</f>
        <v>#REF!</v>
      </c>
      <c r="FI193" t="e">
        <f>AND(Bills!G809,"AAAAAHl+faQ=")</f>
        <v>#VALUE!</v>
      </c>
      <c r="FJ193" t="e">
        <f>AND(Bills!H809,"AAAAAHl+faU=")</f>
        <v>#VALUE!</v>
      </c>
      <c r="FK193" t="e">
        <f>AND(Bills!I809,"AAAAAHl+faY=")</f>
        <v>#VALUE!</v>
      </c>
      <c r="FL193" t="e">
        <f>AND(Bills!J809,"AAAAAHl+fac=")</f>
        <v>#VALUE!</v>
      </c>
      <c r="FM193" t="e">
        <f>AND(Bills!K809,"AAAAAHl+fag=")</f>
        <v>#VALUE!</v>
      </c>
      <c r="FN193" t="e">
        <f>AND(Bills!L809,"AAAAAHl+fak=")</f>
        <v>#VALUE!</v>
      </c>
      <c r="FO193" t="e">
        <f>AND(Bills!#REF!,"AAAAAHl+fao=")</f>
        <v>#REF!</v>
      </c>
      <c r="FP193" t="e">
        <f>AND(Bills!M809,"AAAAAHl+fas=")</f>
        <v>#VALUE!</v>
      </c>
      <c r="FQ193" t="e">
        <f>AND(Bills!N809,"AAAAAHl+faw=")</f>
        <v>#VALUE!</v>
      </c>
      <c r="FR193" t="e">
        <f>AND(Bills!O809,"AAAAAHl+fa0=")</f>
        <v>#VALUE!</v>
      </c>
      <c r="FS193" t="e">
        <f>AND(Bills!P809,"AAAAAHl+fa4=")</f>
        <v>#VALUE!</v>
      </c>
      <c r="FT193" t="e">
        <f>AND(Bills!Q809,"AAAAAHl+fa8=")</f>
        <v>#VALUE!</v>
      </c>
      <c r="FU193" t="e">
        <f>AND(Bills!R809,"AAAAAHl+fbA=")</f>
        <v>#VALUE!</v>
      </c>
      <c r="FV193" t="e">
        <f>AND(Bills!S809,"AAAAAHl+fbE=")</f>
        <v>#VALUE!</v>
      </c>
      <c r="FW193" t="e">
        <f>AND(Bills!T809,"AAAAAHl+fbI=")</f>
        <v>#VALUE!</v>
      </c>
      <c r="FX193" t="e">
        <f>AND(Bills!#REF!,"AAAAAHl+fbM=")</f>
        <v>#REF!</v>
      </c>
      <c r="FY193" t="e">
        <f>AND(Bills!U809,"AAAAAHl+fbQ=")</f>
        <v>#VALUE!</v>
      </c>
      <c r="FZ193" t="e">
        <f>AND(Bills!V809,"AAAAAHl+fbU=")</f>
        <v>#VALUE!</v>
      </c>
      <c r="GA193" t="e">
        <f>AND(Bills!W809,"AAAAAHl+fbY=")</f>
        <v>#VALUE!</v>
      </c>
      <c r="GB193" t="e">
        <f>AND(Bills!#REF!,"AAAAAHl+fbc=")</f>
        <v>#REF!</v>
      </c>
      <c r="GC193" t="e">
        <f>AND(Bills!#REF!,"AAAAAHl+fbg=")</f>
        <v>#REF!</v>
      </c>
      <c r="GD193" t="e">
        <f>AND(Bills!Y809,"AAAAAHl+fbk=")</f>
        <v>#VALUE!</v>
      </c>
      <c r="GE193" t="e">
        <f>AND(Bills!Z809,"AAAAAHl+fbo=")</f>
        <v>#VALUE!</v>
      </c>
      <c r="GF193" t="e">
        <f>AND(Bills!#REF!,"AAAAAHl+fbs=")</f>
        <v>#REF!</v>
      </c>
      <c r="GG193" t="e">
        <f>AND(Bills!#REF!,"AAAAAHl+fbw=")</f>
        <v>#REF!</v>
      </c>
      <c r="GH193" t="e">
        <f>AND(Bills!#REF!,"AAAAAHl+fb0=")</f>
        <v>#REF!</v>
      </c>
      <c r="GI193" t="e">
        <f>AND(Bills!#REF!,"AAAAAHl+fb4=")</f>
        <v>#REF!</v>
      </c>
      <c r="GJ193" t="e">
        <f>AND(Bills!#REF!,"AAAAAHl+fb8=")</f>
        <v>#REF!</v>
      </c>
      <c r="GK193" t="e">
        <f>AND(Bills!#REF!,"AAAAAHl+fcA=")</f>
        <v>#REF!</v>
      </c>
      <c r="GL193" t="e">
        <f>AND(Bills!#REF!,"AAAAAHl+fcE=")</f>
        <v>#REF!</v>
      </c>
      <c r="GM193" t="e">
        <f>AND(Bills!#REF!,"AAAAAHl+fcI=")</f>
        <v>#REF!</v>
      </c>
      <c r="GN193" t="e">
        <f>AND(Bills!#REF!,"AAAAAHl+fcM=")</f>
        <v>#REF!</v>
      </c>
      <c r="GO193" t="e">
        <f>AND(Bills!AA809,"AAAAAHl+fcQ=")</f>
        <v>#VALUE!</v>
      </c>
      <c r="GP193" t="e">
        <f>AND(Bills!AB809,"AAAAAHl+fcU=")</f>
        <v>#VALUE!</v>
      </c>
      <c r="GQ193" t="e">
        <f>AND(Bills!#REF!,"AAAAAHl+fcY=")</f>
        <v>#REF!</v>
      </c>
      <c r="GR193" t="e">
        <f>AND(Bills!#REF!,"AAAAAHl+fcc=")</f>
        <v>#REF!</v>
      </c>
      <c r="GS193" t="e">
        <f>AND(Bills!#REF!,"AAAAAHl+fcg=")</f>
        <v>#REF!</v>
      </c>
      <c r="GT193" t="e">
        <f>AND(Bills!AC809,"AAAAAHl+fck=")</f>
        <v>#VALUE!</v>
      </c>
      <c r="GU193" t="e">
        <f>AND(Bills!AD809,"AAAAAHl+fco=")</f>
        <v>#VALUE!</v>
      </c>
      <c r="GV193" t="e">
        <f>AND(Bills!AE809,"AAAAAHl+fcs=")</f>
        <v>#VALUE!</v>
      </c>
      <c r="GW193">
        <f>IF(Bills!810:810,"AAAAAHl+fcw=",0)</f>
        <v>0</v>
      </c>
      <c r="GX193" t="e">
        <f>AND(Bills!B810,"AAAAAHl+fc0=")</f>
        <v>#VALUE!</v>
      </c>
      <c r="GY193" t="e">
        <f>AND(Bills!#REF!,"AAAAAHl+fc4=")</f>
        <v>#REF!</v>
      </c>
      <c r="GZ193" t="e">
        <f>AND(Bills!C810,"AAAAAHl+fc8=")</f>
        <v>#VALUE!</v>
      </c>
      <c r="HA193" t="e">
        <f>AND(Bills!D810,"AAAAAHl+fdA=")</f>
        <v>#VALUE!</v>
      </c>
      <c r="HB193" t="e">
        <f>AND(Bills!E810,"AAAAAHl+fdE=")</f>
        <v>#VALUE!</v>
      </c>
      <c r="HC193" t="e">
        <f>AND(Bills!#REF!,"AAAAAHl+fdI=")</f>
        <v>#REF!</v>
      </c>
      <c r="HD193" t="e">
        <f>AND(Bills!#REF!,"AAAAAHl+fdM=")</f>
        <v>#REF!</v>
      </c>
      <c r="HE193" t="e">
        <f>AND(Bills!#REF!,"AAAAAHl+fdQ=")</f>
        <v>#REF!</v>
      </c>
      <c r="HF193" t="e">
        <f>AND(Bills!F810,"AAAAAHl+fdU=")</f>
        <v>#VALUE!</v>
      </c>
      <c r="HG193" t="e">
        <f>AND(Bills!#REF!,"AAAAAHl+fdY=")</f>
        <v>#REF!</v>
      </c>
      <c r="HH193" t="e">
        <f>AND(Bills!G810,"AAAAAHl+fdc=")</f>
        <v>#VALUE!</v>
      </c>
      <c r="HI193" t="e">
        <f>AND(Bills!H810,"AAAAAHl+fdg=")</f>
        <v>#VALUE!</v>
      </c>
      <c r="HJ193" t="e">
        <f>AND(Bills!I810,"AAAAAHl+fdk=")</f>
        <v>#VALUE!</v>
      </c>
      <c r="HK193" t="e">
        <f>AND(Bills!J810,"AAAAAHl+fdo=")</f>
        <v>#VALUE!</v>
      </c>
      <c r="HL193" t="e">
        <f>AND(Bills!K810,"AAAAAHl+fds=")</f>
        <v>#VALUE!</v>
      </c>
      <c r="HM193" t="e">
        <f>AND(Bills!L810,"AAAAAHl+fdw=")</f>
        <v>#VALUE!</v>
      </c>
      <c r="HN193" t="e">
        <f>AND(Bills!#REF!,"AAAAAHl+fd0=")</f>
        <v>#REF!</v>
      </c>
      <c r="HO193" t="e">
        <f>AND(Bills!M810,"AAAAAHl+fd4=")</f>
        <v>#VALUE!</v>
      </c>
      <c r="HP193" t="e">
        <f>AND(Bills!N810,"AAAAAHl+fd8=")</f>
        <v>#VALUE!</v>
      </c>
      <c r="HQ193" t="e">
        <f>AND(Bills!O810,"AAAAAHl+feA=")</f>
        <v>#VALUE!</v>
      </c>
      <c r="HR193" t="e">
        <f>AND(Bills!P810,"AAAAAHl+feE=")</f>
        <v>#VALUE!</v>
      </c>
      <c r="HS193" t="e">
        <f>AND(Bills!Q810,"AAAAAHl+feI=")</f>
        <v>#VALUE!</v>
      </c>
      <c r="HT193" t="e">
        <f>AND(Bills!R810,"AAAAAHl+feM=")</f>
        <v>#VALUE!</v>
      </c>
      <c r="HU193" t="e">
        <f>AND(Bills!S810,"AAAAAHl+feQ=")</f>
        <v>#VALUE!</v>
      </c>
      <c r="HV193" t="e">
        <f>AND(Bills!T810,"AAAAAHl+feU=")</f>
        <v>#VALUE!</v>
      </c>
      <c r="HW193" t="e">
        <f>AND(Bills!#REF!,"AAAAAHl+feY=")</f>
        <v>#REF!</v>
      </c>
      <c r="HX193" t="e">
        <f>AND(Bills!U810,"AAAAAHl+fec=")</f>
        <v>#VALUE!</v>
      </c>
      <c r="HY193" t="e">
        <f>AND(Bills!V810,"AAAAAHl+feg=")</f>
        <v>#VALUE!</v>
      </c>
      <c r="HZ193" t="e">
        <f>AND(Bills!W810,"AAAAAHl+fek=")</f>
        <v>#VALUE!</v>
      </c>
      <c r="IA193" t="e">
        <f>AND(Bills!#REF!,"AAAAAHl+feo=")</f>
        <v>#REF!</v>
      </c>
      <c r="IB193" t="e">
        <f>AND(Bills!#REF!,"AAAAAHl+fes=")</f>
        <v>#REF!</v>
      </c>
      <c r="IC193" t="e">
        <f>AND(Bills!Y810,"AAAAAHl+few=")</f>
        <v>#VALUE!</v>
      </c>
      <c r="ID193" t="e">
        <f>AND(Bills!Z810,"AAAAAHl+fe0=")</f>
        <v>#VALUE!</v>
      </c>
      <c r="IE193" t="e">
        <f>AND(Bills!#REF!,"AAAAAHl+fe4=")</f>
        <v>#REF!</v>
      </c>
      <c r="IF193" t="e">
        <f>AND(Bills!#REF!,"AAAAAHl+fe8=")</f>
        <v>#REF!</v>
      </c>
      <c r="IG193" t="e">
        <f>AND(Bills!#REF!,"AAAAAHl+ffA=")</f>
        <v>#REF!</v>
      </c>
      <c r="IH193" t="e">
        <f>AND(Bills!#REF!,"AAAAAHl+ffE=")</f>
        <v>#REF!</v>
      </c>
      <c r="II193" t="e">
        <f>AND(Bills!#REF!,"AAAAAHl+ffI=")</f>
        <v>#REF!</v>
      </c>
      <c r="IJ193" t="e">
        <f>AND(Bills!#REF!,"AAAAAHl+ffM=")</f>
        <v>#REF!</v>
      </c>
      <c r="IK193" t="e">
        <f>AND(Bills!#REF!,"AAAAAHl+ffQ=")</f>
        <v>#REF!</v>
      </c>
      <c r="IL193" t="e">
        <f>AND(Bills!#REF!,"AAAAAHl+ffU=")</f>
        <v>#REF!</v>
      </c>
      <c r="IM193" t="e">
        <f>AND(Bills!#REF!,"AAAAAHl+ffY=")</f>
        <v>#REF!</v>
      </c>
      <c r="IN193" t="e">
        <f>AND(Bills!AA810,"AAAAAHl+ffc=")</f>
        <v>#VALUE!</v>
      </c>
      <c r="IO193" t="e">
        <f>AND(Bills!AB810,"AAAAAHl+ffg=")</f>
        <v>#VALUE!</v>
      </c>
      <c r="IP193" t="e">
        <f>AND(Bills!#REF!,"AAAAAHl+ffk=")</f>
        <v>#REF!</v>
      </c>
      <c r="IQ193" t="e">
        <f>AND(Bills!#REF!,"AAAAAHl+ffo=")</f>
        <v>#REF!</v>
      </c>
      <c r="IR193" t="e">
        <f>AND(Bills!#REF!,"AAAAAHl+ffs=")</f>
        <v>#REF!</v>
      </c>
      <c r="IS193" t="e">
        <f>AND(Bills!AC810,"AAAAAHl+ffw=")</f>
        <v>#VALUE!</v>
      </c>
      <c r="IT193" t="e">
        <f>AND(Bills!AD810,"AAAAAHl+ff0=")</f>
        <v>#VALUE!</v>
      </c>
      <c r="IU193" t="e">
        <f>AND(Bills!AE810,"AAAAAHl+ff4=")</f>
        <v>#VALUE!</v>
      </c>
      <c r="IV193">
        <f>IF(Bills!811:811,"AAAAAHl+ff8=",0)</f>
        <v>0</v>
      </c>
    </row>
    <row r="194" spans="1:256" x14ac:dyDescent="0.25">
      <c r="A194" t="e">
        <f>AND(Bills!B811,"AAAAAD/wzgA=")</f>
        <v>#VALUE!</v>
      </c>
      <c r="B194" t="e">
        <f>AND(Bills!#REF!,"AAAAAD/wzgE=")</f>
        <v>#REF!</v>
      </c>
      <c r="C194" t="e">
        <f>AND(Bills!C811,"AAAAAD/wzgI=")</f>
        <v>#VALUE!</v>
      </c>
      <c r="D194" t="e">
        <f>AND(Bills!D811,"AAAAAD/wzgM=")</f>
        <v>#VALUE!</v>
      </c>
      <c r="E194" t="e">
        <f>AND(Bills!E811,"AAAAAD/wzgQ=")</f>
        <v>#VALUE!</v>
      </c>
      <c r="F194" t="e">
        <f>AND(Bills!#REF!,"AAAAAD/wzgU=")</f>
        <v>#REF!</v>
      </c>
      <c r="G194" t="e">
        <f>AND(Bills!#REF!,"AAAAAD/wzgY=")</f>
        <v>#REF!</v>
      </c>
      <c r="H194" t="e">
        <f>AND(Bills!#REF!,"AAAAAD/wzgc=")</f>
        <v>#REF!</v>
      </c>
      <c r="I194" t="e">
        <f>AND(Bills!F811,"AAAAAD/wzgg=")</f>
        <v>#VALUE!</v>
      </c>
      <c r="J194" t="e">
        <f>AND(Bills!#REF!,"AAAAAD/wzgk=")</f>
        <v>#REF!</v>
      </c>
      <c r="K194" t="e">
        <f>AND(Bills!G811,"AAAAAD/wzgo=")</f>
        <v>#VALUE!</v>
      </c>
      <c r="L194" t="e">
        <f>AND(Bills!H811,"AAAAAD/wzgs=")</f>
        <v>#VALUE!</v>
      </c>
      <c r="M194" t="e">
        <f>AND(Bills!I811,"AAAAAD/wzgw=")</f>
        <v>#VALUE!</v>
      </c>
      <c r="N194" t="e">
        <f>AND(Bills!J811,"AAAAAD/wzg0=")</f>
        <v>#VALUE!</v>
      </c>
      <c r="O194" t="e">
        <f>AND(Bills!K811,"AAAAAD/wzg4=")</f>
        <v>#VALUE!</v>
      </c>
      <c r="P194" t="e">
        <f>AND(Bills!L811,"AAAAAD/wzg8=")</f>
        <v>#VALUE!</v>
      </c>
      <c r="Q194" t="e">
        <f>AND(Bills!#REF!,"AAAAAD/wzhA=")</f>
        <v>#REF!</v>
      </c>
      <c r="R194" t="e">
        <f>AND(Bills!M811,"AAAAAD/wzhE=")</f>
        <v>#VALUE!</v>
      </c>
      <c r="S194" t="e">
        <f>AND(Bills!N811,"AAAAAD/wzhI=")</f>
        <v>#VALUE!</v>
      </c>
      <c r="T194" t="e">
        <f>AND(Bills!O811,"AAAAAD/wzhM=")</f>
        <v>#VALUE!</v>
      </c>
      <c r="U194" t="e">
        <f>AND(Bills!P811,"AAAAAD/wzhQ=")</f>
        <v>#VALUE!</v>
      </c>
      <c r="V194" t="e">
        <f>AND(Bills!Q811,"AAAAAD/wzhU=")</f>
        <v>#VALUE!</v>
      </c>
      <c r="W194" t="e">
        <f>AND(Bills!R811,"AAAAAD/wzhY=")</f>
        <v>#VALUE!</v>
      </c>
      <c r="X194" t="e">
        <f>AND(Bills!S811,"AAAAAD/wzhc=")</f>
        <v>#VALUE!</v>
      </c>
      <c r="Y194" t="e">
        <f>AND(Bills!T811,"AAAAAD/wzhg=")</f>
        <v>#VALUE!</v>
      </c>
      <c r="Z194" t="e">
        <f>AND(Bills!#REF!,"AAAAAD/wzhk=")</f>
        <v>#REF!</v>
      </c>
      <c r="AA194" t="e">
        <f>AND(Bills!U811,"AAAAAD/wzho=")</f>
        <v>#VALUE!</v>
      </c>
      <c r="AB194" t="e">
        <f>AND(Bills!V811,"AAAAAD/wzhs=")</f>
        <v>#VALUE!</v>
      </c>
      <c r="AC194" t="e">
        <f>AND(Bills!W811,"AAAAAD/wzhw=")</f>
        <v>#VALUE!</v>
      </c>
      <c r="AD194" t="e">
        <f>AND(Bills!#REF!,"AAAAAD/wzh0=")</f>
        <v>#REF!</v>
      </c>
      <c r="AE194" t="e">
        <f>AND(Bills!#REF!,"AAAAAD/wzh4=")</f>
        <v>#REF!</v>
      </c>
      <c r="AF194" t="e">
        <f>AND(Bills!Y811,"AAAAAD/wzh8=")</f>
        <v>#VALUE!</v>
      </c>
      <c r="AG194" t="e">
        <f>AND(Bills!Z811,"AAAAAD/wziA=")</f>
        <v>#VALUE!</v>
      </c>
      <c r="AH194" t="e">
        <f>AND(Bills!#REF!,"AAAAAD/wziE=")</f>
        <v>#REF!</v>
      </c>
      <c r="AI194" t="e">
        <f>AND(Bills!#REF!,"AAAAAD/wziI=")</f>
        <v>#REF!</v>
      </c>
      <c r="AJ194" t="e">
        <f>AND(Bills!#REF!,"AAAAAD/wziM=")</f>
        <v>#REF!</v>
      </c>
      <c r="AK194" t="e">
        <f>AND(Bills!#REF!,"AAAAAD/wziQ=")</f>
        <v>#REF!</v>
      </c>
      <c r="AL194" t="e">
        <f>AND(Bills!#REF!,"AAAAAD/wziU=")</f>
        <v>#REF!</v>
      </c>
      <c r="AM194" t="e">
        <f>AND(Bills!#REF!,"AAAAAD/wziY=")</f>
        <v>#REF!</v>
      </c>
      <c r="AN194" t="e">
        <f>AND(Bills!#REF!,"AAAAAD/wzic=")</f>
        <v>#REF!</v>
      </c>
      <c r="AO194" t="e">
        <f>AND(Bills!#REF!,"AAAAAD/wzig=")</f>
        <v>#REF!</v>
      </c>
      <c r="AP194" t="e">
        <f>AND(Bills!#REF!,"AAAAAD/wzik=")</f>
        <v>#REF!</v>
      </c>
      <c r="AQ194" t="e">
        <f>AND(Bills!AA811,"AAAAAD/wzio=")</f>
        <v>#VALUE!</v>
      </c>
      <c r="AR194" t="e">
        <f>AND(Bills!AB811,"AAAAAD/wzis=")</f>
        <v>#VALUE!</v>
      </c>
      <c r="AS194" t="e">
        <f>AND(Bills!#REF!,"AAAAAD/wziw=")</f>
        <v>#REF!</v>
      </c>
      <c r="AT194" t="e">
        <f>AND(Bills!#REF!,"AAAAAD/wzi0=")</f>
        <v>#REF!</v>
      </c>
      <c r="AU194" t="e">
        <f>AND(Bills!#REF!,"AAAAAD/wzi4=")</f>
        <v>#REF!</v>
      </c>
      <c r="AV194" t="e">
        <f>AND(Bills!AC811,"AAAAAD/wzi8=")</f>
        <v>#VALUE!</v>
      </c>
      <c r="AW194" t="e">
        <f>AND(Bills!AD811,"AAAAAD/wzjA=")</f>
        <v>#VALUE!</v>
      </c>
      <c r="AX194" t="e">
        <f>AND(Bills!AE811,"AAAAAD/wzjE=")</f>
        <v>#VALUE!</v>
      </c>
      <c r="AY194">
        <f>IF(Bills!812:812,"AAAAAD/wzjI=",0)</f>
        <v>0</v>
      </c>
      <c r="AZ194" t="e">
        <f>AND(Bills!B812,"AAAAAD/wzjM=")</f>
        <v>#VALUE!</v>
      </c>
      <c r="BA194" t="e">
        <f>AND(Bills!#REF!,"AAAAAD/wzjQ=")</f>
        <v>#REF!</v>
      </c>
      <c r="BB194" t="e">
        <f>AND(Bills!C812,"AAAAAD/wzjU=")</f>
        <v>#VALUE!</v>
      </c>
      <c r="BC194" t="e">
        <f>AND(Bills!D812,"AAAAAD/wzjY=")</f>
        <v>#VALUE!</v>
      </c>
      <c r="BD194" t="e">
        <f>AND(Bills!E812,"AAAAAD/wzjc=")</f>
        <v>#VALUE!</v>
      </c>
      <c r="BE194" t="e">
        <f>AND(Bills!#REF!,"AAAAAD/wzjg=")</f>
        <v>#REF!</v>
      </c>
      <c r="BF194" t="e">
        <f>AND(Bills!#REF!,"AAAAAD/wzjk=")</f>
        <v>#REF!</v>
      </c>
      <c r="BG194" t="e">
        <f>AND(Bills!#REF!,"AAAAAD/wzjo=")</f>
        <v>#REF!</v>
      </c>
      <c r="BH194" t="e">
        <f>AND(Bills!F812,"AAAAAD/wzjs=")</f>
        <v>#VALUE!</v>
      </c>
      <c r="BI194" t="e">
        <f>AND(Bills!#REF!,"AAAAAD/wzjw=")</f>
        <v>#REF!</v>
      </c>
      <c r="BJ194" t="e">
        <f>AND(Bills!G812,"AAAAAD/wzj0=")</f>
        <v>#VALUE!</v>
      </c>
      <c r="BK194" t="e">
        <f>AND(Bills!H812,"AAAAAD/wzj4=")</f>
        <v>#VALUE!</v>
      </c>
      <c r="BL194" t="e">
        <f>AND(Bills!I812,"AAAAAD/wzj8=")</f>
        <v>#VALUE!</v>
      </c>
      <c r="BM194" t="e">
        <f>AND(Bills!J812,"AAAAAD/wzkA=")</f>
        <v>#VALUE!</v>
      </c>
      <c r="BN194" t="e">
        <f>AND(Bills!K812,"AAAAAD/wzkE=")</f>
        <v>#VALUE!</v>
      </c>
      <c r="BO194" t="e">
        <f>AND(Bills!L812,"AAAAAD/wzkI=")</f>
        <v>#VALUE!</v>
      </c>
      <c r="BP194" t="e">
        <f>AND(Bills!#REF!,"AAAAAD/wzkM=")</f>
        <v>#REF!</v>
      </c>
      <c r="BQ194" t="e">
        <f>AND(Bills!M812,"AAAAAD/wzkQ=")</f>
        <v>#VALUE!</v>
      </c>
      <c r="BR194" t="e">
        <f>AND(Bills!N812,"AAAAAD/wzkU=")</f>
        <v>#VALUE!</v>
      </c>
      <c r="BS194" t="e">
        <f>AND(Bills!O812,"AAAAAD/wzkY=")</f>
        <v>#VALUE!</v>
      </c>
      <c r="BT194" t="e">
        <f>AND(Bills!P812,"AAAAAD/wzkc=")</f>
        <v>#VALUE!</v>
      </c>
      <c r="BU194" t="e">
        <f>AND(Bills!Q812,"AAAAAD/wzkg=")</f>
        <v>#VALUE!</v>
      </c>
      <c r="BV194" t="e">
        <f>AND(Bills!R812,"AAAAAD/wzkk=")</f>
        <v>#VALUE!</v>
      </c>
      <c r="BW194" t="e">
        <f>AND(Bills!S812,"AAAAAD/wzko=")</f>
        <v>#VALUE!</v>
      </c>
      <c r="BX194" t="e">
        <f>AND(Bills!T812,"AAAAAD/wzks=")</f>
        <v>#VALUE!</v>
      </c>
      <c r="BY194" t="e">
        <f>AND(Bills!#REF!,"AAAAAD/wzkw=")</f>
        <v>#REF!</v>
      </c>
      <c r="BZ194" t="e">
        <f>AND(Bills!U812,"AAAAAD/wzk0=")</f>
        <v>#VALUE!</v>
      </c>
      <c r="CA194" t="e">
        <f>AND(Bills!V812,"AAAAAD/wzk4=")</f>
        <v>#VALUE!</v>
      </c>
      <c r="CB194" t="e">
        <f>AND(Bills!W812,"AAAAAD/wzk8=")</f>
        <v>#VALUE!</v>
      </c>
      <c r="CC194" t="e">
        <f>AND(Bills!#REF!,"AAAAAD/wzlA=")</f>
        <v>#REF!</v>
      </c>
      <c r="CD194" t="e">
        <f>AND(Bills!#REF!,"AAAAAD/wzlE=")</f>
        <v>#REF!</v>
      </c>
      <c r="CE194" t="e">
        <f>AND(Bills!Y812,"AAAAAD/wzlI=")</f>
        <v>#VALUE!</v>
      </c>
      <c r="CF194" t="e">
        <f>AND(Bills!Z812,"AAAAAD/wzlM=")</f>
        <v>#VALUE!</v>
      </c>
      <c r="CG194" t="e">
        <f>AND(Bills!#REF!,"AAAAAD/wzlQ=")</f>
        <v>#REF!</v>
      </c>
      <c r="CH194" t="e">
        <f>AND(Bills!#REF!,"AAAAAD/wzlU=")</f>
        <v>#REF!</v>
      </c>
      <c r="CI194" t="e">
        <f>AND(Bills!#REF!,"AAAAAD/wzlY=")</f>
        <v>#REF!</v>
      </c>
      <c r="CJ194" t="e">
        <f>AND(Bills!#REF!,"AAAAAD/wzlc=")</f>
        <v>#REF!</v>
      </c>
      <c r="CK194" t="e">
        <f>AND(Bills!#REF!,"AAAAAD/wzlg=")</f>
        <v>#REF!</v>
      </c>
      <c r="CL194" t="e">
        <f>AND(Bills!#REF!,"AAAAAD/wzlk=")</f>
        <v>#REF!</v>
      </c>
      <c r="CM194" t="e">
        <f>AND(Bills!#REF!,"AAAAAD/wzlo=")</f>
        <v>#REF!</v>
      </c>
      <c r="CN194" t="e">
        <f>AND(Bills!#REF!,"AAAAAD/wzls=")</f>
        <v>#REF!</v>
      </c>
      <c r="CO194" t="e">
        <f>AND(Bills!#REF!,"AAAAAD/wzlw=")</f>
        <v>#REF!</v>
      </c>
      <c r="CP194" t="e">
        <f>AND(Bills!AA812,"AAAAAD/wzl0=")</f>
        <v>#VALUE!</v>
      </c>
      <c r="CQ194" t="e">
        <f>AND(Bills!AB812,"AAAAAD/wzl4=")</f>
        <v>#VALUE!</v>
      </c>
      <c r="CR194" t="e">
        <f>AND(Bills!#REF!,"AAAAAD/wzl8=")</f>
        <v>#REF!</v>
      </c>
      <c r="CS194" t="e">
        <f>AND(Bills!#REF!,"AAAAAD/wzmA=")</f>
        <v>#REF!</v>
      </c>
      <c r="CT194" t="e">
        <f>AND(Bills!#REF!,"AAAAAD/wzmE=")</f>
        <v>#REF!</v>
      </c>
      <c r="CU194" t="e">
        <f>AND(Bills!AC812,"AAAAAD/wzmI=")</f>
        <v>#VALUE!</v>
      </c>
      <c r="CV194" t="e">
        <f>AND(Bills!AD812,"AAAAAD/wzmM=")</f>
        <v>#VALUE!</v>
      </c>
      <c r="CW194" t="e">
        <f>AND(Bills!AE812,"AAAAAD/wzmQ=")</f>
        <v>#VALUE!</v>
      </c>
      <c r="CX194">
        <f>IF(Bills!813:813,"AAAAAD/wzmU=",0)</f>
        <v>0</v>
      </c>
      <c r="CY194" t="e">
        <f>AND(Bills!B813,"AAAAAD/wzmY=")</f>
        <v>#VALUE!</v>
      </c>
      <c r="CZ194" t="e">
        <f>AND(Bills!#REF!,"AAAAAD/wzmc=")</f>
        <v>#REF!</v>
      </c>
      <c r="DA194" t="e">
        <f>AND(Bills!C813,"AAAAAD/wzmg=")</f>
        <v>#VALUE!</v>
      </c>
      <c r="DB194" t="e">
        <f>AND(Bills!D813,"AAAAAD/wzmk=")</f>
        <v>#VALUE!</v>
      </c>
      <c r="DC194" t="e">
        <f>AND(Bills!E813,"AAAAAD/wzmo=")</f>
        <v>#VALUE!</v>
      </c>
      <c r="DD194" t="e">
        <f>AND(Bills!#REF!,"AAAAAD/wzms=")</f>
        <v>#REF!</v>
      </c>
      <c r="DE194" t="e">
        <f>AND(Bills!#REF!,"AAAAAD/wzmw=")</f>
        <v>#REF!</v>
      </c>
      <c r="DF194" t="e">
        <f>AND(Bills!#REF!,"AAAAAD/wzm0=")</f>
        <v>#REF!</v>
      </c>
      <c r="DG194" t="e">
        <f>AND(Bills!F813,"AAAAAD/wzm4=")</f>
        <v>#VALUE!</v>
      </c>
      <c r="DH194" t="e">
        <f>AND(Bills!#REF!,"AAAAAD/wzm8=")</f>
        <v>#REF!</v>
      </c>
      <c r="DI194" t="e">
        <f>AND(Bills!G813,"AAAAAD/wznA=")</f>
        <v>#VALUE!</v>
      </c>
      <c r="DJ194" t="e">
        <f>AND(Bills!H813,"AAAAAD/wznE=")</f>
        <v>#VALUE!</v>
      </c>
      <c r="DK194" t="e">
        <f>AND(Bills!I813,"AAAAAD/wznI=")</f>
        <v>#VALUE!</v>
      </c>
      <c r="DL194" t="e">
        <f>AND(Bills!J813,"AAAAAD/wznM=")</f>
        <v>#VALUE!</v>
      </c>
      <c r="DM194" t="e">
        <f>AND(Bills!K813,"AAAAAD/wznQ=")</f>
        <v>#VALUE!</v>
      </c>
      <c r="DN194" t="e">
        <f>AND(Bills!L813,"AAAAAD/wznU=")</f>
        <v>#VALUE!</v>
      </c>
      <c r="DO194" t="e">
        <f>AND(Bills!#REF!,"AAAAAD/wznY=")</f>
        <v>#REF!</v>
      </c>
      <c r="DP194" t="e">
        <f>AND(Bills!M813,"AAAAAD/wznc=")</f>
        <v>#VALUE!</v>
      </c>
      <c r="DQ194" t="e">
        <f>AND(Bills!N813,"AAAAAD/wzng=")</f>
        <v>#VALUE!</v>
      </c>
      <c r="DR194" t="e">
        <f>AND(Bills!O813,"AAAAAD/wznk=")</f>
        <v>#VALUE!</v>
      </c>
      <c r="DS194" t="e">
        <f>AND(Bills!P813,"AAAAAD/wzno=")</f>
        <v>#VALUE!</v>
      </c>
      <c r="DT194" t="e">
        <f>AND(Bills!Q813,"AAAAAD/wzns=")</f>
        <v>#VALUE!</v>
      </c>
      <c r="DU194" t="e">
        <f>AND(Bills!R813,"AAAAAD/wznw=")</f>
        <v>#VALUE!</v>
      </c>
      <c r="DV194" t="e">
        <f>AND(Bills!S813,"AAAAAD/wzn0=")</f>
        <v>#VALUE!</v>
      </c>
      <c r="DW194" t="e">
        <f>AND(Bills!T813,"AAAAAD/wzn4=")</f>
        <v>#VALUE!</v>
      </c>
      <c r="DX194" t="e">
        <f>AND(Bills!#REF!,"AAAAAD/wzn8=")</f>
        <v>#REF!</v>
      </c>
      <c r="DY194" t="e">
        <f>AND(Bills!U813,"AAAAAD/wzoA=")</f>
        <v>#VALUE!</v>
      </c>
      <c r="DZ194" t="e">
        <f>AND(Bills!V813,"AAAAAD/wzoE=")</f>
        <v>#VALUE!</v>
      </c>
      <c r="EA194" t="e">
        <f>AND(Bills!W813,"AAAAAD/wzoI=")</f>
        <v>#VALUE!</v>
      </c>
      <c r="EB194" t="e">
        <f>AND(Bills!#REF!,"AAAAAD/wzoM=")</f>
        <v>#REF!</v>
      </c>
      <c r="EC194" t="e">
        <f>AND(Bills!#REF!,"AAAAAD/wzoQ=")</f>
        <v>#REF!</v>
      </c>
      <c r="ED194" t="e">
        <f>AND(Bills!Y813,"AAAAAD/wzoU=")</f>
        <v>#VALUE!</v>
      </c>
      <c r="EE194" t="e">
        <f>AND(Bills!Z813,"AAAAAD/wzoY=")</f>
        <v>#VALUE!</v>
      </c>
      <c r="EF194" t="e">
        <f>AND(Bills!#REF!,"AAAAAD/wzoc=")</f>
        <v>#REF!</v>
      </c>
      <c r="EG194" t="e">
        <f>AND(Bills!#REF!,"AAAAAD/wzog=")</f>
        <v>#REF!</v>
      </c>
      <c r="EH194" t="e">
        <f>AND(Bills!#REF!,"AAAAAD/wzok=")</f>
        <v>#REF!</v>
      </c>
      <c r="EI194" t="e">
        <f>AND(Bills!#REF!,"AAAAAD/wzoo=")</f>
        <v>#REF!</v>
      </c>
      <c r="EJ194" t="e">
        <f>AND(Bills!#REF!,"AAAAAD/wzos=")</f>
        <v>#REF!</v>
      </c>
      <c r="EK194" t="e">
        <f>AND(Bills!#REF!,"AAAAAD/wzow=")</f>
        <v>#REF!</v>
      </c>
      <c r="EL194" t="e">
        <f>AND(Bills!#REF!,"AAAAAD/wzo0=")</f>
        <v>#REF!</v>
      </c>
      <c r="EM194" t="e">
        <f>AND(Bills!#REF!,"AAAAAD/wzo4=")</f>
        <v>#REF!</v>
      </c>
      <c r="EN194" t="e">
        <f>AND(Bills!#REF!,"AAAAAD/wzo8=")</f>
        <v>#REF!</v>
      </c>
      <c r="EO194" t="e">
        <f>AND(Bills!AA813,"AAAAAD/wzpA=")</f>
        <v>#VALUE!</v>
      </c>
      <c r="EP194" t="e">
        <f>AND(Bills!AB813,"AAAAAD/wzpE=")</f>
        <v>#VALUE!</v>
      </c>
      <c r="EQ194" t="e">
        <f>AND(Bills!#REF!,"AAAAAD/wzpI=")</f>
        <v>#REF!</v>
      </c>
      <c r="ER194" t="e">
        <f>AND(Bills!#REF!,"AAAAAD/wzpM=")</f>
        <v>#REF!</v>
      </c>
      <c r="ES194" t="e">
        <f>AND(Bills!#REF!,"AAAAAD/wzpQ=")</f>
        <v>#REF!</v>
      </c>
      <c r="ET194" t="e">
        <f>AND(Bills!AC813,"AAAAAD/wzpU=")</f>
        <v>#VALUE!</v>
      </c>
      <c r="EU194" t="e">
        <f>AND(Bills!AD813,"AAAAAD/wzpY=")</f>
        <v>#VALUE!</v>
      </c>
      <c r="EV194" t="e">
        <f>AND(Bills!AE813,"AAAAAD/wzpc=")</f>
        <v>#VALUE!</v>
      </c>
      <c r="EW194">
        <f>IF(Bills!814:814,"AAAAAD/wzpg=",0)</f>
        <v>0</v>
      </c>
      <c r="EX194" t="e">
        <f>AND(Bills!B814,"AAAAAD/wzpk=")</f>
        <v>#VALUE!</v>
      </c>
      <c r="EY194" t="e">
        <f>AND(Bills!#REF!,"AAAAAD/wzpo=")</f>
        <v>#REF!</v>
      </c>
      <c r="EZ194" t="e">
        <f>AND(Bills!C814,"AAAAAD/wzps=")</f>
        <v>#VALUE!</v>
      </c>
      <c r="FA194" t="e">
        <f>AND(Bills!D814,"AAAAAD/wzpw=")</f>
        <v>#VALUE!</v>
      </c>
      <c r="FB194" t="e">
        <f>AND(Bills!E814,"AAAAAD/wzp0=")</f>
        <v>#VALUE!</v>
      </c>
      <c r="FC194" t="e">
        <f>AND(Bills!#REF!,"AAAAAD/wzp4=")</f>
        <v>#REF!</v>
      </c>
      <c r="FD194" t="e">
        <f>AND(Bills!#REF!,"AAAAAD/wzp8=")</f>
        <v>#REF!</v>
      </c>
      <c r="FE194" t="e">
        <f>AND(Bills!#REF!,"AAAAAD/wzqA=")</f>
        <v>#REF!</v>
      </c>
      <c r="FF194" t="e">
        <f>AND(Bills!F814,"AAAAAD/wzqE=")</f>
        <v>#VALUE!</v>
      </c>
      <c r="FG194" t="e">
        <f>AND(Bills!#REF!,"AAAAAD/wzqI=")</f>
        <v>#REF!</v>
      </c>
      <c r="FH194" t="e">
        <f>AND(Bills!G814,"AAAAAD/wzqM=")</f>
        <v>#VALUE!</v>
      </c>
      <c r="FI194" t="e">
        <f>AND(Bills!H814,"AAAAAD/wzqQ=")</f>
        <v>#VALUE!</v>
      </c>
      <c r="FJ194" t="e">
        <f>AND(Bills!I814,"AAAAAD/wzqU=")</f>
        <v>#VALUE!</v>
      </c>
      <c r="FK194" t="e">
        <f>AND(Bills!J814,"AAAAAD/wzqY=")</f>
        <v>#VALUE!</v>
      </c>
      <c r="FL194" t="e">
        <f>AND(Bills!K814,"AAAAAD/wzqc=")</f>
        <v>#VALUE!</v>
      </c>
      <c r="FM194" t="e">
        <f>AND(Bills!L814,"AAAAAD/wzqg=")</f>
        <v>#VALUE!</v>
      </c>
      <c r="FN194" t="e">
        <f>AND(Bills!#REF!,"AAAAAD/wzqk=")</f>
        <v>#REF!</v>
      </c>
      <c r="FO194" t="e">
        <f>AND(Bills!M814,"AAAAAD/wzqo=")</f>
        <v>#VALUE!</v>
      </c>
      <c r="FP194" t="e">
        <f>AND(Bills!N814,"AAAAAD/wzqs=")</f>
        <v>#VALUE!</v>
      </c>
      <c r="FQ194" t="e">
        <f>AND(Bills!O814,"AAAAAD/wzqw=")</f>
        <v>#VALUE!</v>
      </c>
      <c r="FR194" t="e">
        <f>AND(Bills!P814,"AAAAAD/wzq0=")</f>
        <v>#VALUE!</v>
      </c>
      <c r="FS194" t="e">
        <f>AND(Bills!Q814,"AAAAAD/wzq4=")</f>
        <v>#VALUE!</v>
      </c>
      <c r="FT194" t="e">
        <f>AND(Bills!R814,"AAAAAD/wzq8=")</f>
        <v>#VALUE!</v>
      </c>
      <c r="FU194" t="e">
        <f>AND(Bills!S814,"AAAAAD/wzrA=")</f>
        <v>#VALUE!</v>
      </c>
      <c r="FV194" t="e">
        <f>AND(Bills!T814,"AAAAAD/wzrE=")</f>
        <v>#VALUE!</v>
      </c>
      <c r="FW194" t="e">
        <f>AND(Bills!#REF!,"AAAAAD/wzrI=")</f>
        <v>#REF!</v>
      </c>
      <c r="FX194" t="e">
        <f>AND(Bills!U814,"AAAAAD/wzrM=")</f>
        <v>#VALUE!</v>
      </c>
      <c r="FY194" t="e">
        <f>AND(Bills!V814,"AAAAAD/wzrQ=")</f>
        <v>#VALUE!</v>
      </c>
      <c r="FZ194" t="e">
        <f>AND(Bills!W814,"AAAAAD/wzrU=")</f>
        <v>#VALUE!</v>
      </c>
      <c r="GA194" t="e">
        <f>AND(Bills!#REF!,"AAAAAD/wzrY=")</f>
        <v>#REF!</v>
      </c>
      <c r="GB194" t="e">
        <f>AND(Bills!#REF!,"AAAAAD/wzrc=")</f>
        <v>#REF!</v>
      </c>
      <c r="GC194" t="e">
        <f>AND(Bills!Y814,"AAAAAD/wzrg=")</f>
        <v>#VALUE!</v>
      </c>
      <c r="GD194" t="e">
        <f>AND(Bills!Z814,"AAAAAD/wzrk=")</f>
        <v>#VALUE!</v>
      </c>
      <c r="GE194" t="e">
        <f>AND(Bills!#REF!,"AAAAAD/wzro=")</f>
        <v>#REF!</v>
      </c>
      <c r="GF194" t="e">
        <f>AND(Bills!#REF!,"AAAAAD/wzrs=")</f>
        <v>#REF!</v>
      </c>
      <c r="GG194" t="e">
        <f>AND(Bills!#REF!,"AAAAAD/wzrw=")</f>
        <v>#REF!</v>
      </c>
      <c r="GH194" t="e">
        <f>AND(Bills!#REF!,"AAAAAD/wzr0=")</f>
        <v>#REF!</v>
      </c>
      <c r="GI194" t="e">
        <f>AND(Bills!#REF!,"AAAAAD/wzr4=")</f>
        <v>#REF!</v>
      </c>
      <c r="GJ194" t="e">
        <f>AND(Bills!#REF!,"AAAAAD/wzr8=")</f>
        <v>#REF!</v>
      </c>
      <c r="GK194" t="e">
        <f>AND(Bills!#REF!,"AAAAAD/wzsA=")</f>
        <v>#REF!</v>
      </c>
      <c r="GL194" t="e">
        <f>AND(Bills!#REF!,"AAAAAD/wzsE=")</f>
        <v>#REF!</v>
      </c>
      <c r="GM194" t="e">
        <f>AND(Bills!#REF!,"AAAAAD/wzsI=")</f>
        <v>#REF!</v>
      </c>
      <c r="GN194" t="e">
        <f>AND(Bills!AA814,"AAAAAD/wzsM=")</f>
        <v>#VALUE!</v>
      </c>
      <c r="GO194" t="e">
        <f>AND(Bills!AB814,"AAAAAD/wzsQ=")</f>
        <v>#VALUE!</v>
      </c>
      <c r="GP194" t="e">
        <f>AND(Bills!#REF!,"AAAAAD/wzsU=")</f>
        <v>#REF!</v>
      </c>
      <c r="GQ194" t="e">
        <f>AND(Bills!#REF!,"AAAAAD/wzsY=")</f>
        <v>#REF!</v>
      </c>
      <c r="GR194" t="e">
        <f>AND(Bills!#REF!,"AAAAAD/wzsc=")</f>
        <v>#REF!</v>
      </c>
      <c r="GS194" t="e">
        <f>AND(Bills!AC814,"AAAAAD/wzsg=")</f>
        <v>#VALUE!</v>
      </c>
      <c r="GT194" t="e">
        <f>AND(Bills!AD814,"AAAAAD/wzsk=")</f>
        <v>#VALUE!</v>
      </c>
      <c r="GU194" t="e">
        <f>AND(Bills!AE814,"AAAAAD/wzso=")</f>
        <v>#VALUE!</v>
      </c>
      <c r="GV194">
        <f>IF(Bills!815:815,"AAAAAD/wzss=",0)</f>
        <v>0</v>
      </c>
      <c r="GW194" t="e">
        <f>AND(Bills!B815,"AAAAAD/wzsw=")</f>
        <v>#VALUE!</v>
      </c>
      <c r="GX194" t="e">
        <f>AND(Bills!#REF!,"AAAAAD/wzs0=")</f>
        <v>#REF!</v>
      </c>
      <c r="GY194" t="e">
        <f>AND(Bills!C815,"AAAAAD/wzs4=")</f>
        <v>#VALUE!</v>
      </c>
      <c r="GZ194" t="e">
        <f>AND(Bills!D815,"AAAAAD/wzs8=")</f>
        <v>#VALUE!</v>
      </c>
      <c r="HA194" t="e">
        <f>AND(Bills!E815,"AAAAAD/wztA=")</f>
        <v>#VALUE!</v>
      </c>
      <c r="HB194" t="e">
        <f>AND(Bills!#REF!,"AAAAAD/wztE=")</f>
        <v>#REF!</v>
      </c>
      <c r="HC194" t="e">
        <f>AND(Bills!#REF!,"AAAAAD/wztI=")</f>
        <v>#REF!</v>
      </c>
      <c r="HD194" t="e">
        <f>AND(Bills!#REF!,"AAAAAD/wztM=")</f>
        <v>#REF!</v>
      </c>
      <c r="HE194" t="e">
        <f>AND(Bills!F815,"AAAAAD/wztQ=")</f>
        <v>#VALUE!</v>
      </c>
      <c r="HF194" t="e">
        <f>AND(Bills!#REF!,"AAAAAD/wztU=")</f>
        <v>#REF!</v>
      </c>
      <c r="HG194" t="e">
        <f>AND(Bills!G815,"AAAAAD/wztY=")</f>
        <v>#VALUE!</v>
      </c>
      <c r="HH194" t="e">
        <f>AND(Bills!H815,"AAAAAD/wztc=")</f>
        <v>#VALUE!</v>
      </c>
      <c r="HI194" t="e">
        <f>AND(Bills!I815,"AAAAAD/wztg=")</f>
        <v>#VALUE!</v>
      </c>
      <c r="HJ194" t="e">
        <f>AND(Bills!J815,"AAAAAD/wztk=")</f>
        <v>#VALUE!</v>
      </c>
      <c r="HK194" t="e">
        <f>AND(Bills!K815,"AAAAAD/wzto=")</f>
        <v>#VALUE!</v>
      </c>
      <c r="HL194" t="e">
        <f>AND(Bills!L815,"AAAAAD/wzts=")</f>
        <v>#VALUE!</v>
      </c>
      <c r="HM194" t="e">
        <f>AND(Bills!#REF!,"AAAAAD/wztw=")</f>
        <v>#REF!</v>
      </c>
      <c r="HN194" t="e">
        <f>AND(Bills!M815,"AAAAAD/wzt0=")</f>
        <v>#VALUE!</v>
      </c>
      <c r="HO194" t="e">
        <f>AND(Bills!N815,"AAAAAD/wzt4=")</f>
        <v>#VALUE!</v>
      </c>
      <c r="HP194" t="e">
        <f>AND(Bills!O815,"AAAAAD/wzt8=")</f>
        <v>#VALUE!</v>
      </c>
      <c r="HQ194" t="e">
        <f>AND(Bills!P815,"AAAAAD/wzuA=")</f>
        <v>#VALUE!</v>
      </c>
      <c r="HR194" t="e">
        <f>AND(Bills!Q815,"AAAAAD/wzuE=")</f>
        <v>#VALUE!</v>
      </c>
      <c r="HS194" t="e">
        <f>AND(Bills!R815,"AAAAAD/wzuI=")</f>
        <v>#VALUE!</v>
      </c>
      <c r="HT194" t="e">
        <f>AND(Bills!S815,"AAAAAD/wzuM=")</f>
        <v>#VALUE!</v>
      </c>
      <c r="HU194" t="e">
        <f>AND(Bills!T815,"AAAAAD/wzuQ=")</f>
        <v>#VALUE!</v>
      </c>
      <c r="HV194" t="e">
        <f>AND(Bills!#REF!,"AAAAAD/wzuU=")</f>
        <v>#REF!</v>
      </c>
      <c r="HW194" t="e">
        <f>AND(Bills!U815,"AAAAAD/wzuY=")</f>
        <v>#VALUE!</v>
      </c>
      <c r="HX194" t="e">
        <f>AND(Bills!V815,"AAAAAD/wzuc=")</f>
        <v>#VALUE!</v>
      </c>
      <c r="HY194" t="e">
        <f>AND(Bills!W815,"AAAAAD/wzug=")</f>
        <v>#VALUE!</v>
      </c>
      <c r="HZ194" t="e">
        <f>AND(Bills!#REF!,"AAAAAD/wzuk=")</f>
        <v>#REF!</v>
      </c>
      <c r="IA194" t="e">
        <f>AND(Bills!#REF!,"AAAAAD/wzuo=")</f>
        <v>#REF!</v>
      </c>
      <c r="IB194" t="e">
        <f>AND(Bills!Y815,"AAAAAD/wzus=")</f>
        <v>#VALUE!</v>
      </c>
      <c r="IC194" t="e">
        <f>AND(Bills!Z815,"AAAAAD/wzuw=")</f>
        <v>#VALUE!</v>
      </c>
      <c r="ID194" t="e">
        <f>AND(Bills!#REF!,"AAAAAD/wzu0=")</f>
        <v>#REF!</v>
      </c>
      <c r="IE194" t="e">
        <f>AND(Bills!#REF!,"AAAAAD/wzu4=")</f>
        <v>#REF!</v>
      </c>
      <c r="IF194" t="e">
        <f>AND(Bills!#REF!,"AAAAAD/wzu8=")</f>
        <v>#REF!</v>
      </c>
      <c r="IG194" t="e">
        <f>AND(Bills!#REF!,"AAAAAD/wzvA=")</f>
        <v>#REF!</v>
      </c>
      <c r="IH194" t="e">
        <f>AND(Bills!#REF!,"AAAAAD/wzvE=")</f>
        <v>#REF!</v>
      </c>
      <c r="II194" t="e">
        <f>AND(Bills!#REF!,"AAAAAD/wzvI=")</f>
        <v>#REF!</v>
      </c>
      <c r="IJ194" t="e">
        <f>AND(Bills!#REF!,"AAAAAD/wzvM=")</f>
        <v>#REF!</v>
      </c>
      <c r="IK194" t="e">
        <f>AND(Bills!#REF!,"AAAAAD/wzvQ=")</f>
        <v>#REF!</v>
      </c>
      <c r="IL194" t="e">
        <f>AND(Bills!#REF!,"AAAAAD/wzvU=")</f>
        <v>#REF!</v>
      </c>
      <c r="IM194" t="e">
        <f>AND(Bills!AA815,"AAAAAD/wzvY=")</f>
        <v>#VALUE!</v>
      </c>
      <c r="IN194" t="e">
        <f>AND(Bills!AB815,"AAAAAD/wzvc=")</f>
        <v>#VALUE!</v>
      </c>
      <c r="IO194" t="e">
        <f>AND(Bills!#REF!,"AAAAAD/wzvg=")</f>
        <v>#REF!</v>
      </c>
      <c r="IP194" t="e">
        <f>AND(Bills!#REF!,"AAAAAD/wzvk=")</f>
        <v>#REF!</v>
      </c>
      <c r="IQ194" t="e">
        <f>AND(Bills!#REF!,"AAAAAD/wzvo=")</f>
        <v>#REF!</v>
      </c>
      <c r="IR194" t="e">
        <f>AND(Bills!AC815,"AAAAAD/wzvs=")</f>
        <v>#VALUE!</v>
      </c>
      <c r="IS194" t="e">
        <f>AND(Bills!AD815,"AAAAAD/wzvw=")</f>
        <v>#VALUE!</v>
      </c>
      <c r="IT194" t="e">
        <f>AND(Bills!AE815,"AAAAAD/wzv0=")</f>
        <v>#VALUE!</v>
      </c>
      <c r="IU194">
        <f>IF(Bills!816:816,"AAAAAD/wzv4=",0)</f>
        <v>0</v>
      </c>
      <c r="IV194" t="e">
        <f>AND(Bills!B816,"AAAAAD/wzv8=")</f>
        <v>#VALUE!</v>
      </c>
    </row>
    <row r="195" spans="1:256" x14ac:dyDescent="0.25">
      <c r="A195" t="e">
        <f>AND(Bills!#REF!,"AAAAAF7q/wA=")</f>
        <v>#REF!</v>
      </c>
      <c r="B195" t="e">
        <f>AND(Bills!C816,"AAAAAF7q/wE=")</f>
        <v>#VALUE!</v>
      </c>
      <c r="C195" t="e">
        <f>AND(Bills!D816,"AAAAAF7q/wI=")</f>
        <v>#VALUE!</v>
      </c>
      <c r="D195" t="e">
        <f>AND(Bills!E816,"AAAAAF7q/wM=")</f>
        <v>#VALUE!</v>
      </c>
      <c r="E195" t="e">
        <f>AND(Bills!#REF!,"AAAAAF7q/wQ=")</f>
        <v>#REF!</v>
      </c>
      <c r="F195" t="e">
        <f>AND(Bills!#REF!,"AAAAAF7q/wU=")</f>
        <v>#REF!</v>
      </c>
      <c r="G195" t="e">
        <f>AND(Bills!#REF!,"AAAAAF7q/wY=")</f>
        <v>#REF!</v>
      </c>
      <c r="H195" t="e">
        <f>AND(Bills!F816,"AAAAAF7q/wc=")</f>
        <v>#VALUE!</v>
      </c>
      <c r="I195" t="e">
        <f>AND(Bills!#REF!,"AAAAAF7q/wg=")</f>
        <v>#REF!</v>
      </c>
      <c r="J195" t="e">
        <f>AND(Bills!G816,"AAAAAF7q/wk=")</f>
        <v>#VALUE!</v>
      </c>
      <c r="K195" t="e">
        <f>AND(Bills!H816,"AAAAAF7q/wo=")</f>
        <v>#VALUE!</v>
      </c>
      <c r="L195" t="e">
        <f>AND(Bills!I816,"AAAAAF7q/ws=")</f>
        <v>#VALUE!</v>
      </c>
      <c r="M195" t="e">
        <f>AND(Bills!J816,"AAAAAF7q/ww=")</f>
        <v>#VALUE!</v>
      </c>
      <c r="N195" t="e">
        <f>AND(Bills!K816,"AAAAAF7q/w0=")</f>
        <v>#VALUE!</v>
      </c>
      <c r="O195" t="e">
        <f>AND(Bills!L816,"AAAAAF7q/w4=")</f>
        <v>#VALUE!</v>
      </c>
      <c r="P195" t="e">
        <f>AND(Bills!#REF!,"AAAAAF7q/w8=")</f>
        <v>#REF!</v>
      </c>
      <c r="Q195" t="e">
        <f>AND(Bills!M816,"AAAAAF7q/xA=")</f>
        <v>#VALUE!</v>
      </c>
      <c r="R195" t="e">
        <f>AND(Bills!N816,"AAAAAF7q/xE=")</f>
        <v>#VALUE!</v>
      </c>
      <c r="S195" t="e">
        <f>AND(Bills!O816,"AAAAAF7q/xI=")</f>
        <v>#VALUE!</v>
      </c>
      <c r="T195" t="e">
        <f>AND(Bills!P816,"AAAAAF7q/xM=")</f>
        <v>#VALUE!</v>
      </c>
      <c r="U195" t="e">
        <f>AND(Bills!Q816,"AAAAAF7q/xQ=")</f>
        <v>#VALUE!</v>
      </c>
      <c r="V195" t="e">
        <f>AND(Bills!R816,"AAAAAF7q/xU=")</f>
        <v>#VALUE!</v>
      </c>
      <c r="W195" t="e">
        <f>AND(Bills!S816,"AAAAAF7q/xY=")</f>
        <v>#VALUE!</v>
      </c>
      <c r="X195" t="e">
        <f>AND(Bills!T816,"AAAAAF7q/xc=")</f>
        <v>#VALUE!</v>
      </c>
      <c r="Y195" t="e">
        <f>AND(Bills!#REF!,"AAAAAF7q/xg=")</f>
        <v>#REF!</v>
      </c>
      <c r="Z195" t="e">
        <f>AND(Bills!U816,"AAAAAF7q/xk=")</f>
        <v>#VALUE!</v>
      </c>
      <c r="AA195" t="e">
        <f>AND(Bills!V816,"AAAAAF7q/xo=")</f>
        <v>#VALUE!</v>
      </c>
      <c r="AB195" t="e">
        <f>AND(Bills!W816,"AAAAAF7q/xs=")</f>
        <v>#VALUE!</v>
      </c>
      <c r="AC195" t="e">
        <f>AND(Bills!#REF!,"AAAAAF7q/xw=")</f>
        <v>#REF!</v>
      </c>
      <c r="AD195" t="e">
        <f>AND(Bills!#REF!,"AAAAAF7q/x0=")</f>
        <v>#REF!</v>
      </c>
      <c r="AE195" t="e">
        <f>AND(Bills!Y816,"AAAAAF7q/x4=")</f>
        <v>#VALUE!</v>
      </c>
      <c r="AF195" t="e">
        <f>AND(Bills!Z816,"AAAAAF7q/x8=")</f>
        <v>#VALUE!</v>
      </c>
      <c r="AG195" t="e">
        <f>AND(Bills!#REF!,"AAAAAF7q/yA=")</f>
        <v>#REF!</v>
      </c>
      <c r="AH195" t="e">
        <f>AND(Bills!#REF!,"AAAAAF7q/yE=")</f>
        <v>#REF!</v>
      </c>
      <c r="AI195" t="e">
        <f>AND(Bills!#REF!,"AAAAAF7q/yI=")</f>
        <v>#REF!</v>
      </c>
      <c r="AJ195" t="e">
        <f>AND(Bills!#REF!,"AAAAAF7q/yM=")</f>
        <v>#REF!</v>
      </c>
      <c r="AK195" t="e">
        <f>AND(Bills!#REF!,"AAAAAF7q/yQ=")</f>
        <v>#REF!</v>
      </c>
      <c r="AL195" t="e">
        <f>AND(Bills!#REF!,"AAAAAF7q/yU=")</f>
        <v>#REF!</v>
      </c>
      <c r="AM195" t="e">
        <f>AND(Bills!#REF!,"AAAAAF7q/yY=")</f>
        <v>#REF!</v>
      </c>
      <c r="AN195" t="e">
        <f>AND(Bills!#REF!,"AAAAAF7q/yc=")</f>
        <v>#REF!</v>
      </c>
      <c r="AO195" t="e">
        <f>AND(Bills!#REF!,"AAAAAF7q/yg=")</f>
        <v>#REF!</v>
      </c>
      <c r="AP195" t="e">
        <f>AND(Bills!AA816,"AAAAAF7q/yk=")</f>
        <v>#VALUE!</v>
      </c>
      <c r="AQ195" t="e">
        <f>AND(Bills!AB816,"AAAAAF7q/yo=")</f>
        <v>#VALUE!</v>
      </c>
      <c r="AR195" t="e">
        <f>AND(Bills!#REF!,"AAAAAF7q/ys=")</f>
        <v>#REF!</v>
      </c>
      <c r="AS195" t="e">
        <f>AND(Bills!#REF!,"AAAAAF7q/yw=")</f>
        <v>#REF!</v>
      </c>
      <c r="AT195" t="e">
        <f>AND(Bills!#REF!,"AAAAAF7q/y0=")</f>
        <v>#REF!</v>
      </c>
      <c r="AU195" t="e">
        <f>AND(Bills!AC816,"AAAAAF7q/y4=")</f>
        <v>#VALUE!</v>
      </c>
      <c r="AV195" t="e">
        <f>AND(Bills!AD816,"AAAAAF7q/y8=")</f>
        <v>#VALUE!</v>
      </c>
      <c r="AW195" t="e">
        <f>AND(Bills!AE816,"AAAAAF7q/zA=")</f>
        <v>#VALUE!</v>
      </c>
      <c r="AX195">
        <f>IF(Bills!817:817,"AAAAAF7q/zE=",0)</f>
        <v>0</v>
      </c>
      <c r="AY195" t="e">
        <f>AND(Bills!B817,"AAAAAF7q/zI=")</f>
        <v>#VALUE!</v>
      </c>
      <c r="AZ195" t="e">
        <f>AND(Bills!#REF!,"AAAAAF7q/zM=")</f>
        <v>#REF!</v>
      </c>
      <c r="BA195" t="e">
        <f>AND(Bills!C817,"AAAAAF7q/zQ=")</f>
        <v>#VALUE!</v>
      </c>
      <c r="BB195" t="e">
        <f>AND(Bills!D817,"AAAAAF7q/zU=")</f>
        <v>#VALUE!</v>
      </c>
      <c r="BC195" t="e">
        <f>AND(Bills!E817,"AAAAAF7q/zY=")</f>
        <v>#VALUE!</v>
      </c>
      <c r="BD195" t="e">
        <f>AND(Bills!#REF!,"AAAAAF7q/zc=")</f>
        <v>#REF!</v>
      </c>
      <c r="BE195" t="e">
        <f>AND(Bills!#REF!,"AAAAAF7q/zg=")</f>
        <v>#REF!</v>
      </c>
      <c r="BF195" t="e">
        <f>AND(Bills!#REF!,"AAAAAF7q/zk=")</f>
        <v>#REF!</v>
      </c>
      <c r="BG195" t="e">
        <f>AND(Bills!F817,"AAAAAF7q/zo=")</f>
        <v>#VALUE!</v>
      </c>
      <c r="BH195" t="e">
        <f>AND(Bills!#REF!,"AAAAAF7q/zs=")</f>
        <v>#REF!</v>
      </c>
      <c r="BI195" t="e">
        <f>AND(Bills!G817,"AAAAAF7q/zw=")</f>
        <v>#VALUE!</v>
      </c>
      <c r="BJ195" t="e">
        <f>AND(Bills!H817,"AAAAAF7q/z0=")</f>
        <v>#VALUE!</v>
      </c>
      <c r="BK195" t="e">
        <f>AND(Bills!I817,"AAAAAF7q/z4=")</f>
        <v>#VALUE!</v>
      </c>
      <c r="BL195" t="e">
        <f>AND(Bills!J817,"AAAAAF7q/z8=")</f>
        <v>#VALUE!</v>
      </c>
      <c r="BM195" t="e">
        <f>AND(Bills!K817,"AAAAAF7q/0A=")</f>
        <v>#VALUE!</v>
      </c>
      <c r="BN195" t="e">
        <f>AND(Bills!L817,"AAAAAF7q/0E=")</f>
        <v>#VALUE!</v>
      </c>
      <c r="BO195" t="e">
        <f>AND(Bills!#REF!,"AAAAAF7q/0I=")</f>
        <v>#REF!</v>
      </c>
      <c r="BP195" t="e">
        <f>AND(Bills!M817,"AAAAAF7q/0M=")</f>
        <v>#VALUE!</v>
      </c>
      <c r="BQ195" t="e">
        <f>AND(Bills!N817,"AAAAAF7q/0Q=")</f>
        <v>#VALUE!</v>
      </c>
      <c r="BR195" t="e">
        <f>AND(Bills!O817,"AAAAAF7q/0U=")</f>
        <v>#VALUE!</v>
      </c>
      <c r="BS195" t="e">
        <f>AND(Bills!P817,"AAAAAF7q/0Y=")</f>
        <v>#VALUE!</v>
      </c>
      <c r="BT195" t="e">
        <f>AND(Bills!Q817,"AAAAAF7q/0c=")</f>
        <v>#VALUE!</v>
      </c>
      <c r="BU195" t="e">
        <f>AND(Bills!R817,"AAAAAF7q/0g=")</f>
        <v>#VALUE!</v>
      </c>
      <c r="BV195" t="e">
        <f>AND(Bills!S817,"AAAAAF7q/0k=")</f>
        <v>#VALUE!</v>
      </c>
      <c r="BW195" t="e">
        <f>AND(Bills!T817,"AAAAAF7q/0o=")</f>
        <v>#VALUE!</v>
      </c>
      <c r="BX195" t="e">
        <f>AND(Bills!#REF!,"AAAAAF7q/0s=")</f>
        <v>#REF!</v>
      </c>
      <c r="BY195" t="e">
        <f>AND(Bills!U817,"AAAAAF7q/0w=")</f>
        <v>#VALUE!</v>
      </c>
      <c r="BZ195" t="e">
        <f>AND(Bills!V817,"AAAAAF7q/00=")</f>
        <v>#VALUE!</v>
      </c>
      <c r="CA195" t="e">
        <f>AND(Bills!W817,"AAAAAF7q/04=")</f>
        <v>#VALUE!</v>
      </c>
      <c r="CB195" t="e">
        <f>AND(Bills!#REF!,"AAAAAF7q/08=")</f>
        <v>#REF!</v>
      </c>
      <c r="CC195" t="e">
        <f>AND(Bills!#REF!,"AAAAAF7q/1A=")</f>
        <v>#REF!</v>
      </c>
      <c r="CD195" t="e">
        <f>AND(Bills!Y817,"AAAAAF7q/1E=")</f>
        <v>#VALUE!</v>
      </c>
      <c r="CE195" t="e">
        <f>AND(Bills!Z817,"AAAAAF7q/1I=")</f>
        <v>#VALUE!</v>
      </c>
      <c r="CF195" t="e">
        <f>AND(Bills!#REF!,"AAAAAF7q/1M=")</f>
        <v>#REF!</v>
      </c>
      <c r="CG195" t="e">
        <f>AND(Bills!#REF!,"AAAAAF7q/1Q=")</f>
        <v>#REF!</v>
      </c>
      <c r="CH195" t="e">
        <f>AND(Bills!#REF!,"AAAAAF7q/1U=")</f>
        <v>#REF!</v>
      </c>
      <c r="CI195" t="e">
        <f>AND(Bills!#REF!,"AAAAAF7q/1Y=")</f>
        <v>#REF!</v>
      </c>
      <c r="CJ195" t="e">
        <f>AND(Bills!#REF!,"AAAAAF7q/1c=")</f>
        <v>#REF!</v>
      </c>
      <c r="CK195" t="e">
        <f>AND(Bills!#REF!,"AAAAAF7q/1g=")</f>
        <v>#REF!</v>
      </c>
      <c r="CL195" t="e">
        <f>AND(Bills!#REF!,"AAAAAF7q/1k=")</f>
        <v>#REF!</v>
      </c>
      <c r="CM195" t="e">
        <f>AND(Bills!#REF!,"AAAAAF7q/1o=")</f>
        <v>#REF!</v>
      </c>
      <c r="CN195" t="e">
        <f>AND(Bills!#REF!,"AAAAAF7q/1s=")</f>
        <v>#REF!</v>
      </c>
      <c r="CO195" t="e">
        <f>AND(Bills!AA817,"AAAAAF7q/1w=")</f>
        <v>#VALUE!</v>
      </c>
      <c r="CP195" t="e">
        <f>AND(Bills!AB817,"AAAAAF7q/10=")</f>
        <v>#VALUE!</v>
      </c>
      <c r="CQ195" t="e">
        <f>AND(Bills!#REF!,"AAAAAF7q/14=")</f>
        <v>#REF!</v>
      </c>
      <c r="CR195" t="e">
        <f>AND(Bills!#REF!,"AAAAAF7q/18=")</f>
        <v>#REF!</v>
      </c>
      <c r="CS195" t="e">
        <f>AND(Bills!#REF!,"AAAAAF7q/2A=")</f>
        <v>#REF!</v>
      </c>
      <c r="CT195" t="e">
        <f>AND(Bills!AC817,"AAAAAF7q/2E=")</f>
        <v>#VALUE!</v>
      </c>
      <c r="CU195" t="e">
        <f>AND(Bills!AD817,"AAAAAF7q/2I=")</f>
        <v>#VALUE!</v>
      </c>
      <c r="CV195" t="e">
        <f>AND(Bills!AE817,"AAAAAF7q/2M=")</f>
        <v>#VALUE!</v>
      </c>
      <c r="CW195">
        <f>IF(Bills!818:818,"AAAAAF7q/2Q=",0)</f>
        <v>0</v>
      </c>
      <c r="CX195" t="e">
        <f>AND(Bills!B818,"AAAAAF7q/2U=")</f>
        <v>#VALUE!</v>
      </c>
      <c r="CY195" t="e">
        <f>AND(Bills!#REF!,"AAAAAF7q/2Y=")</f>
        <v>#REF!</v>
      </c>
      <c r="CZ195" t="e">
        <f>AND(Bills!C818,"AAAAAF7q/2c=")</f>
        <v>#VALUE!</v>
      </c>
      <c r="DA195" t="e">
        <f>AND(Bills!D818,"AAAAAF7q/2g=")</f>
        <v>#VALUE!</v>
      </c>
      <c r="DB195" t="e">
        <f>AND(Bills!E818,"AAAAAF7q/2k=")</f>
        <v>#VALUE!</v>
      </c>
      <c r="DC195" t="e">
        <f>AND(Bills!#REF!,"AAAAAF7q/2o=")</f>
        <v>#REF!</v>
      </c>
      <c r="DD195" t="e">
        <f>AND(Bills!#REF!,"AAAAAF7q/2s=")</f>
        <v>#REF!</v>
      </c>
      <c r="DE195" t="e">
        <f>AND(Bills!#REF!,"AAAAAF7q/2w=")</f>
        <v>#REF!</v>
      </c>
      <c r="DF195" t="e">
        <f>AND(Bills!F818,"AAAAAF7q/20=")</f>
        <v>#VALUE!</v>
      </c>
      <c r="DG195" t="e">
        <f>AND(Bills!#REF!,"AAAAAF7q/24=")</f>
        <v>#REF!</v>
      </c>
      <c r="DH195" t="e">
        <f>AND(Bills!G818,"AAAAAF7q/28=")</f>
        <v>#VALUE!</v>
      </c>
      <c r="DI195" t="e">
        <f>AND(Bills!H818,"AAAAAF7q/3A=")</f>
        <v>#VALUE!</v>
      </c>
      <c r="DJ195" t="e">
        <f>AND(Bills!I818,"AAAAAF7q/3E=")</f>
        <v>#VALUE!</v>
      </c>
      <c r="DK195" t="e">
        <f>AND(Bills!J818,"AAAAAF7q/3I=")</f>
        <v>#VALUE!</v>
      </c>
      <c r="DL195" t="e">
        <f>AND(Bills!K818,"AAAAAF7q/3M=")</f>
        <v>#VALUE!</v>
      </c>
      <c r="DM195" t="e">
        <f>AND(Bills!L818,"AAAAAF7q/3Q=")</f>
        <v>#VALUE!</v>
      </c>
      <c r="DN195" t="e">
        <f>AND(Bills!#REF!,"AAAAAF7q/3U=")</f>
        <v>#REF!</v>
      </c>
      <c r="DO195" t="e">
        <f>AND(Bills!M818,"AAAAAF7q/3Y=")</f>
        <v>#VALUE!</v>
      </c>
      <c r="DP195" t="e">
        <f>AND(Bills!N818,"AAAAAF7q/3c=")</f>
        <v>#VALUE!</v>
      </c>
      <c r="DQ195" t="e">
        <f>AND(Bills!O818,"AAAAAF7q/3g=")</f>
        <v>#VALUE!</v>
      </c>
      <c r="DR195" t="e">
        <f>AND(Bills!P818,"AAAAAF7q/3k=")</f>
        <v>#VALUE!</v>
      </c>
      <c r="DS195" t="e">
        <f>AND(Bills!Q818,"AAAAAF7q/3o=")</f>
        <v>#VALUE!</v>
      </c>
      <c r="DT195" t="e">
        <f>AND(Bills!R818,"AAAAAF7q/3s=")</f>
        <v>#VALUE!</v>
      </c>
      <c r="DU195" t="e">
        <f>AND(Bills!S818,"AAAAAF7q/3w=")</f>
        <v>#VALUE!</v>
      </c>
      <c r="DV195" t="e">
        <f>AND(Bills!T818,"AAAAAF7q/30=")</f>
        <v>#VALUE!</v>
      </c>
      <c r="DW195" t="e">
        <f>AND(Bills!#REF!,"AAAAAF7q/34=")</f>
        <v>#REF!</v>
      </c>
      <c r="DX195" t="e">
        <f>AND(Bills!U818,"AAAAAF7q/38=")</f>
        <v>#VALUE!</v>
      </c>
      <c r="DY195" t="e">
        <f>AND(Bills!V818,"AAAAAF7q/4A=")</f>
        <v>#VALUE!</v>
      </c>
      <c r="DZ195" t="e">
        <f>AND(Bills!W818,"AAAAAF7q/4E=")</f>
        <v>#VALUE!</v>
      </c>
      <c r="EA195" t="e">
        <f>AND(Bills!#REF!,"AAAAAF7q/4I=")</f>
        <v>#REF!</v>
      </c>
      <c r="EB195" t="e">
        <f>AND(Bills!#REF!,"AAAAAF7q/4M=")</f>
        <v>#REF!</v>
      </c>
      <c r="EC195" t="e">
        <f>AND(Bills!Y818,"AAAAAF7q/4Q=")</f>
        <v>#VALUE!</v>
      </c>
      <c r="ED195" t="e">
        <f>AND(Bills!Z818,"AAAAAF7q/4U=")</f>
        <v>#VALUE!</v>
      </c>
      <c r="EE195" t="e">
        <f>AND(Bills!#REF!,"AAAAAF7q/4Y=")</f>
        <v>#REF!</v>
      </c>
      <c r="EF195" t="e">
        <f>AND(Bills!#REF!,"AAAAAF7q/4c=")</f>
        <v>#REF!</v>
      </c>
      <c r="EG195" t="e">
        <f>AND(Bills!#REF!,"AAAAAF7q/4g=")</f>
        <v>#REF!</v>
      </c>
      <c r="EH195" t="e">
        <f>AND(Bills!#REF!,"AAAAAF7q/4k=")</f>
        <v>#REF!</v>
      </c>
      <c r="EI195" t="e">
        <f>AND(Bills!#REF!,"AAAAAF7q/4o=")</f>
        <v>#REF!</v>
      </c>
      <c r="EJ195" t="e">
        <f>AND(Bills!#REF!,"AAAAAF7q/4s=")</f>
        <v>#REF!</v>
      </c>
      <c r="EK195" t="e">
        <f>AND(Bills!#REF!,"AAAAAF7q/4w=")</f>
        <v>#REF!</v>
      </c>
      <c r="EL195" t="e">
        <f>AND(Bills!#REF!,"AAAAAF7q/40=")</f>
        <v>#REF!</v>
      </c>
      <c r="EM195" t="e">
        <f>AND(Bills!#REF!,"AAAAAF7q/44=")</f>
        <v>#REF!</v>
      </c>
      <c r="EN195" t="e">
        <f>AND(Bills!AA818,"AAAAAF7q/48=")</f>
        <v>#VALUE!</v>
      </c>
      <c r="EO195" t="e">
        <f>AND(Bills!AB818,"AAAAAF7q/5A=")</f>
        <v>#VALUE!</v>
      </c>
      <c r="EP195" t="e">
        <f>AND(Bills!#REF!,"AAAAAF7q/5E=")</f>
        <v>#REF!</v>
      </c>
      <c r="EQ195" t="e">
        <f>AND(Bills!#REF!,"AAAAAF7q/5I=")</f>
        <v>#REF!</v>
      </c>
      <c r="ER195" t="e">
        <f>AND(Bills!#REF!,"AAAAAF7q/5M=")</f>
        <v>#REF!</v>
      </c>
      <c r="ES195" t="e">
        <f>AND(Bills!AC818,"AAAAAF7q/5Q=")</f>
        <v>#VALUE!</v>
      </c>
      <c r="ET195" t="e">
        <f>AND(Bills!AD818,"AAAAAF7q/5U=")</f>
        <v>#VALUE!</v>
      </c>
      <c r="EU195" t="e">
        <f>AND(Bills!AE818,"AAAAAF7q/5Y=")</f>
        <v>#VALUE!</v>
      </c>
      <c r="EV195">
        <f>IF(Bills!819:819,"AAAAAF7q/5c=",0)</f>
        <v>0</v>
      </c>
      <c r="EW195" t="e">
        <f>AND(Bills!B819,"AAAAAF7q/5g=")</f>
        <v>#VALUE!</v>
      </c>
      <c r="EX195" t="e">
        <f>AND(Bills!#REF!,"AAAAAF7q/5k=")</f>
        <v>#REF!</v>
      </c>
      <c r="EY195" t="e">
        <f>AND(Bills!C819,"AAAAAF7q/5o=")</f>
        <v>#VALUE!</v>
      </c>
      <c r="EZ195" t="e">
        <f>AND(Bills!D819,"AAAAAF7q/5s=")</f>
        <v>#VALUE!</v>
      </c>
      <c r="FA195" t="e">
        <f>AND(Bills!E819,"AAAAAF7q/5w=")</f>
        <v>#VALUE!</v>
      </c>
      <c r="FB195" t="e">
        <f>AND(Bills!#REF!,"AAAAAF7q/50=")</f>
        <v>#REF!</v>
      </c>
      <c r="FC195" t="e">
        <f>AND(Bills!#REF!,"AAAAAF7q/54=")</f>
        <v>#REF!</v>
      </c>
      <c r="FD195" t="e">
        <f>AND(Bills!#REF!,"AAAAAF7q/58=")</f>
        <v>#REF!</v>
      </c>
      <c r="FE195" t="e">
        <f>AND(Bills!F819,"AAAAAF7q/6A=")</f>
        <v>#VALUE!</v>
      </c>
      <c r="FF195" t="e">
        <f>AND(Bills!#REF!,"AAAAAF7q/6E=")</f>
        <v>#REF!</v>
      </c>
      <c r="FG195" t="e">
        <f>AND(Bills!G819,"AAAAAF7q/6I=")</f>
        <v>#VALUE!</v>
      </c>
      <c r="FH195" t="e">
        <f>AND(Bills!H819,"AAAAAF7q/6M=")</f>
        <v>#VALUE!</v>
      </c>
      <c r="FI195" t="e">
        <f>AND(Bills!I819,"AAAAAF7q/6Q=")</f>
        <v>#VALUE!</v>
      </c>
      <c r="FJ195" t="e">
        <f>AND(Bills!J819,"AAAAAF7q/6U=")</f>
        <v>#VALUE!</v>
      </c>
      <c r="FK195" t="e">
        <f>AND(Bills!K819,"AAAAAF7q/6Y=")</f>
        <v>#VALUE!</v>
      </c>
      <c r="FL195" t="e">
        <f>AND(Bills!L819,"AAAAAF7q/6c=")</f>
        <v>#VALUE!</v>
      </c>
      <c r="FM195" t="e">
        <f>AND(Bills!#REF!,"AAAAAF7q/6g=")</f>
        <v>#REF!</v>
      </c>
      <c r="FN195" t="e">
        <f>AND(Bills!M819,"AAAAAF7q/6k=")</f>
        <v>#VALUE!</v>
      </c>
      <c r="FO195" t="e">
        <f>AND(Bills!N819,"AAAAAF7q/6o=")</f>
        <v>#VALUE!</v>
      </c>
      <c r="FP195" t="e">
        <f>AND(Bills!O819,"AAAAAF7q/6s=")</f>
        <v>#VALUE!</v>
      </c>
      <c r="FQ195" t="e">
        <f>AND(Bills!P819,"AAAAAF7q/6w=")</f>
        <v>#VALUE!</v>
      </c>
      <c r="FR195" t="e">
        <f>AND(Bills!Q819,"AAAAAF7q/60=")</f>
        <v>#VALUE!</v>
      </c>
      <c r="FS195" t="e">
        <f>AND(Bills!R819,"AAAAAF7q/64=")</f>
        <v>#VALUE!</v>
      </c>
      <c r="FT195" t="e">
        <f>AND(Bills!S819,"AAAAAF7q/68=")</f>
        <v>#VALUE!</v>
      </c>
      <c r="FU195" t="e">
        <f>AND(Bills!T819,"AAAAAF7q/7A=")</f>
        <v>#VALUE!</v>
      </c>
      <c r="FV195" t="e">
        <f>AND(Bills!#REF!,"AAAAAF7q/7E=")</f>
        <v>#REF!</v>
      </c>
      <c r="FW195" t="e">
        <f>AND(Bills!U819,"AAAAAF7q/7I=")</f>
        <v>#VALUE!</v>
      </c>
      <c r="FX195" t="e">
        <f>AND(Bills!V819,"AAAAAF7q/7M=")</f>
        <v>#VALUE!</v>
      </c>
      <c r="FY195" t="e">
        <f>AND(Bills!W819,"AAAAAF7q/7Q=")</f>
        <v>#VALUE!</v>
      </c>
      <c r="FZ195" t="e">
        <f>AND(Bills!#REF!,"AAAAAF7q/7U=")</f>
        <v>#REF!</v>
      </c>
      <c r="GA195" t="e">
        <f>AND(Bills!#REF!,"AAAAAF7q/7Y=")</f>
        <v>#REF!</v>
      </c>
      <c r="GB195" t="e">
        <f>AND(Bills!Y819,"AAAAAF7q/7c=")</f>
        <v>#VALUE!</v>
      </c>
      <c r="GC195" t="e">
        <f>AND(Bills!Z819,"AAAAAF7q/7g=")</f>
        <v>#VALUE!</v>
      </c>
      <c r="GD195" t="e">
        <f>AND(Bills!#REF!,"AAAAAF7q/7k=")</f>
        <v>#REF!</v>
      </c>
      <c r="GE195" t="e">
        <f>AND(Bills!#REF!,"AAAAAF7q/7o=")</f>
        <v>#REF!</v>
      </c>
      <c r="GF195" t="e">
        <f>AND(Bills!#REF!,"AAAAAF7q/7s=")</f>
        <v>#REF!</v>
      </c>
      <c r="GG195" t="e">
        <f>AND(Bills!#REF!,"AAAAAF7q/7w=")</f>
        <v>#REF!</v>
      </c>
      <c r="GH195" t="e">
        <f>AND(Bills!#REF!,"AAAAAF7q/70=")</f>
        <v>#REF!</v>
      </c>
      <c r="GI195" t="e">
        <f>AND(Bills!#REF!,"AAAAAF7q/74=")</f>
        <v>#REF!</v>
      </c>
      <c r="GJ195" t="e">
        <f>AND(Bills!#REF!,"AAAAAF7q/78=")</f>
        <v>#REF!</v>
      </c>
      <c r="GK195" t="e">
        <f>AND(Bills!#REF!,"AAAAAF7q/8A=")</f>
        <v>#REF!</v>
      </c>
      <c r="GL195" t="e">
        <f>AND(Bills!#REF!,"AAAAAF7q/8E=")</f>
        <v>#REF!</v>
      </c>
      <c r="GM195" t="e">
        <f>AND(Bills!AA819,"AAAAAF7q/8I=")</f>
        <v>#VALUE!</v>
      </c>
      <c r="GN195" t="e">
        <f>AND(Bills!AB819,"AAAAAF7q/8M=")</f>
        <v>#VALUE!</v>
      </c>
      <c r="GO195" t="e">
        <f>AND(Bills!#REF!,"AAAAAF7q/8Q=")</f>
        <v>#REF!</v>
      </c>
      <c r="GP195" t="e">
        <f>AND(Bills!#REF!,"AAAAAF7q/8U=")</f>
        <v>#REF!</v>
      </c>
      <c r="GQ195" t="e">
        <f>AND(Bills!#REF!,"AAAAAF7q/8Y=")</f>
        <v>#REF!</v>
      </c>
      <c r="GR195" t="e">
        <f>AND(Bills!AC819,"AAAAAF7q/8c=")</f>
        <v>#VALUE!</v>
      </c>
      <c r="GS195" t="e">
        <f>AND(Bills!AD819,"AAAAAF7q/8g=")</f>
        <v>#VALUE!</v>
      </c>
      <c r="GT195" t="e">
        <f>AND(Bills!AE819,"AAAAAF7q/8k=")</f>
        <v>#VALUE!</v>
      </c>
      <c r="GU195">
        <f>IF(Bills!820:820,"AAAAAF7q/8o=",0)</f>
        <v>0</v>
      </c>
      <c r="GV195" t="e">
        <f>AND(Bills!B820,"AAAAAF7q/8s=")</f>
        <v>#VALUE!</v>
      </c>
      <c r="GW195" t="e">
        <f>AND(Bills!#REF!,"AAAAAF7q/8w=")</f>
        <v>#REF!</v>
      </c>
      <c r="GX195" t="e">
        <f>AND(Bills!C820,"AAAAAF7q/80=")</f>
        <v>#VALUE!</v>
      </c>
      <c r="GY195" t="e">
        <f>AND(Bills!D820,"AAAAAF7q/84=")</f>
        <v>#VALUE!</v>
      </c>
      <c r="GZ195" t="e">
        <f>AND(Bills!E820,"AAAAAF7q/88=")</f>
        <v>#VALUE!</v>
      </c>
      <c r="HA195" t="e">
        <f>AND(Bills!#REF!,"AAAAAF7q/9A=")</f>
        <v>#REF!</v>
      </c>
      <c r="HB195" t="e">
        <f>AND(Bills!#REF!,"AAAAAF7q/9E=")</f>
        <v>#REF!</v>
      </c>
      <c r="HC195" t="e">
        <f>AND(Bills!#REF!,"AAAAAF7q/9I=")</f>
        <v>#REF!</v>
      </c>
      <c r="HD195" t="e">
        <f>AND(Bills!F820,"AAAAAF7q/9M=")</f>
        <v>#VALUE!</v>
      </c>
      <c r="HE195" t="e">
        <f>AND(Bills!#REF!,"AAAAAF7q/9Q=")</f>
        <v>#REF!</v>
      </c>
      <c r="HF195" t="e">
        <f>AND(Bills!G820,"AAAAAF7q/9U=")</f>
        <v>#VALUE!</v>
      </c>
      <c r="HG195" t="e">
        <f>AND(Bills!H820,"AAAAAF7q/9Y=")</f>
        <v>#VALUE!</v>
      </c>
      <c r="HH195" t="e">
        <f>AND(Bills!I820,"AAAAAF7q/9c=")</f>
        <v>#VALUE!</v>
      </c>
      <c r="HI195" t="e">
        <f>AND(Bills!J820,"AAAAAF7q/9g=")</f>
        <v>#VALUE!</v>
      </c>
      <c r="HJ195" t="e">
        <f>AND(Bills!K820,"AAAAAF7q/9k=")</f>
        <v>#VALUE!</v>
      </c>
      <c r="HK195" t="e">
        <f>AND(Bills!L820,"AAAAAF7q/9o=")</f>
        <v>#VALUE!</v>
      </c>
      <c r="HL195" t="e">
        <f>AND(Bills!#REF!,"AAAAAF7q/9s=")</f>
        <v>#REF!</v>
      </c>
      <c r="HM195" t="e">
        <f>AND(Bills!M820,"AAAAAF7q/9w=")</f>
        <v>#VALUE!</v>
      </c>
      <c r="HN195" t="e">
        <f>AND(Bills!N820,"AAAAAF7q/90=")</f>
        <v>#VALUE!</v>
      </c>
      <c r="HO195" t="e">
        <f>AND(Bills!O820,"AAAAAF7q/94=")</f>
        <v>#VALUE!</v>
      </c>
      <c r="HP195" t="e">
        <f>AND(Bills!P820,"AAAAAF7q/98=")</f>
        <v>#VALUE!</v>
      </c>
      <c r="HQ195" t="e">
        <f>AND(Bills!Q820,"AAAAAF7q/+A=")</f>
        <v>#VALUE!</v>
      </c>
      <c r="HR195" t="e">
        <f>AND(Bills!R820,"AAAAAF7q/+E=")</f>
        <v>#VALUE!</v>
      </c>
      <c r="HS195" t="e">
        <f>AND(Bills!S820,"AAAAAF7q/+I=")</f>
        <v>#VALUE!</v>
      </c>
      <c r="HT195" t="e">
        <f>AND(Bills!T820,"AAAAAF7q/+M=")</f>
        <v>#VALUE!</v>
      </c>
      <c r="HU195" t="e">
        <f>AND(Bills!#REF!,"AAAAAF7q/+Q=")</f>
        <v>#REF!</v>
      </c>
      <c r="HV195" t="e">
        <f>AND(Bills!U820,"AAAAAF7q/+U=")</f>
        <v>#VALUE!</v>
      </c>
      <c r="HW195" t="e">
        <f>AND(Bills!V820,"AAAAAF7q/+Y=")</f>
        <v>#VALUE!</v>
      </c>
      <c r="HX195" t="e">
        <f>AND(Bills!W820,"AAAAAF7q/+c=")</f>
        <v>#VALUE!</v>
      </c>
      <c r="HY195" t="e">
        <f>AND(Bills!#REF!,"AAAAAF7q/+g=")</f>
        <v>#REF!</v>
      </c>
      <c r="HZ195" t="e">
        <f>AND(Bills!#REF!,"AAAAAF7q/+k=")</f>
        <v>#REF!</v>
      </c>
      <c r="IA195" t="e">
        <f>AND(Bills!Y820,"AAAAAF7q/+o=")</f>
        <v>#VALUE!</v>
      </c>
      <c r="IB195" t="e">
        <f>AND(Bills!Z820,"AAAAAF7q/+s=")</f>
        <v>#VALUE!</v>
      </c>
      <c r="IC195" t="e">
        <f>AND(Bills!#REF!,"AAAAAF7q/+w=")</f>
        <v>#REF!</v>
      </c>
      <c r="ID195" t="e">
        <f>AND(Bills!#REF!,"AAAAAF7q/+0=")</f>
        <v>#REF!</v>
      </c>
      <c r="IE195" t="e">
        <f>AND(Bills!#REF!,"AAAAAF7q/+4=")</f>
        <v>#REF!</v>
      </c>
      <c r="IF195" t="e">
        <f>AND(Bills!#REF!,"AAAAAF7q/+8=")</f>
        <v>#REF!</v>
      </c>
      <c r="IG195" t="e">
        <f>AND(Bills!#REF!,"AAAAAF7q//A=")</f>
        <v>#REF!</v>
      </c>
      <c r="IH195" t="e">
        <f>AND(Bills!#REF!,"AAAAAF7q//E=")</f>
        <v>#REF!</v>
      </c>
      <c r="II195" t="e">
        <f>AND(Bills!#REF!,"AAAAAF7q//I=")</f>
        <v>#REF!</v>
      </c>
      <c r="IJ195" t="e">
        <f>AND(Bills!#REF!,"AAAAAF7q//M=")</f>
        <v>#REF!</v>
      </c>
      <c r="IK195" t="e">
        <f>AND(Bills!#REF!,"AAAAAF7q//Q=")</f>
        <v>#REF!</v>
      </c>
      <c r="IL195" t="e">
        <f>AND(Bills!AA820,"AAAAAF7q//U=")</f>
        <v>#VALUE!</v>
      </c>
      <c r="IM195" t="e">
        <f>AND(Bills!AB820,"AAAAAF7q//Y=")</f>
        <v>#VALUE!</v>
      </c>
      <c r="IN195" t="e">
        <f>AND(Bills!#REF!,"AAAAAF7q//c=")</f>
        <v>#REF!</v>
      </c>
      <c r="IO195" t="e">
        <f>AND(Bills!#REF!,"AAAAAF7q//g=")</f>
        <v>#REF!</v>
      </c>
      <c r="IP195" t="e">
        <f>AND(Bills!#REF!,"AAAAAF7q//k=")</f>
        <v>#REF!</v>
      </c>
      <c r="IQ195" t="e">
        <f>AND(Bills!AC820,"AAAAAF7q//o=")</f>
        <v>#VALUE!</v>
      </c>
      <c r="IR195" t="e">
        <f>AND(Bills!AD820,"AAAAAF7q//s=")</f>
        <v>#VALUE!</v>
      </c>
      <c r="IS195" t="e">
        <f>AND(Bills!AE820,"AAAAAF7q//w=")</f>
        <v>#VALUE!</v>
      </c>
      <c r="IT195">
        <f>IF(Bills!821:821,"AAAAAF7q//0=",0)</f>
        <v>0</v>
      </c>
      <c r="IU195" t="e">
        <f>AND(Bills!B821,"AAAAAF7q//4=")</f>
        <v>#VALUE!</v>
      </c>
      <c r="IV195" t="e">
        <f>AND(Bills!#REF!,"AAAAAF7q//8=")</f>
        <v>#REF!</v>
      </c>
    </row>
    <row r="196" spans="1:256" x14ac:dyDescent="0.25">
      <c r="A196" t="e">
        <f>AND(Bills!C821,"AAAAAGfYXwA=")</f>
        <v>#VALUE!</v>
      </c>
      <c r="B196" t="e">
        <f>AND(Bills!D821,"AAAAAGfYXwE=")</f>
        <v>#VALUE!</v>
      </c>
      <c r="C196" t="e">
        <f>AND(Bills!E821,"AAAAAGfYXwI=")</f>
        <v>#VALUE!</v>
      </c>
      <c r="D196" t="e">
        <f>AND(Bills!#REF!,"AAAAAGfYXwM=")</f>
        <v>#REF!</v>
      </c>
      <c r="E196" t="e">
        <f>AND(Bills!#REF!,"AAAAAGfYXwQ=")</f>
        <v>#REF!</v>
      </c>
      <c r="F196" t="e">
        <f>AND(Bills!#REF!,"AAAAAGfYXwU=")</f>
        <v>#REF!</v>
      </c>
      <c r="G196" t="e">
        <f>AND(Bills!F821,"AAAAAGfYXwY=")</f>
        <v>#VALUE!</v>
      </c>
      <c r="H196" t="e">
        <f>AND(Bills!#REF!,"AAAAAGfYXwc=")</f>
        <v>#REF!</v>
      </c>
      <c r="I196" t="e">
        <f>AND(Bills!G821,"AAAAAGfYXwg=")</f>
        <v>#VALUE!</v>
      </c>
      <c r="J196" t="e">
        <f>AND(Bills!H821,"AAAAAGfYXwk=")</f>
        <v>#VALUE!</v>
      </c>
      <c r="K196" t="e">
        <f>AND(Bills!I821,"AAAAAGfYXwo=")</f>
        <v>#VALUE!</v>
      </c>
      <c r="L196" t="e">
        <f>AND(Bills!J821,"AAAAAGfYXws=")</f>
        <v>#VALUE!</v>
      </c>
      <c r="M196" t="e">
        <f>AND(Bills!K821,"AAAAAGfYXww=")</f>
        <v>#VALUE!</v>
      </c>
      <c r="N196" t="e">
        <f>AND(Bills!L821,"AAAAAGfYXw0=")</f>
        <v>#VALUE!</v>
      </c>
      <c r="O196" t="e">
        <f>AND(Bills!#REF!,"AAAAAGfYXw4=")</f>
        <v>#REF!</v>
      </c>
      <c r="P196" t="e">
        <f>AND(Bills!M821,"AAAAAGfYXw8=")</f>
        <v>#VALUE!</v>
      </c>
      <c r="Q196" t="e">
        <f>AND(Bills!N821,"AAAAAGfYXxA=")</f>
        <v>#VALUE!</v>
      </c>
      <c r="R196" t="e">
        <f>AND(Bills!O821,"AAAAAGfYXxE=")</f>
        <v>#VALUE!</v>
      </c>
      <c r="S196" t="e">
        <f>AND(Bills!P821,"AAAAAGfYXxI=")</f>
        <v>#VALUE!</v>
      </c>
      <c r="T196" t="e">
        <f>AND(Bills!Q821,"AAAAAGfYXxM=")</f>
        <v>#VALUE!</v>
      </c>
      <c r="U196" t="e">
        <f>AND(Bills!R821,"AAAAAGfYXxQ=")</f>
        <v>#VALUE!</v>
      </c>
      <c r="V196" t="e">
        <f>AND(Bills!S821,"AAAAAGfYXxU=")</f>
        <v>#VALUE!</v>
      </c>
      <c r="W196" t="e">
        <f>AND(Bills!T821,"AAAAAGfYXxY=")</f>
        <v>#VALUE!</v>
      </c>
      <c r="X196" t="e">
        <f>AND(Bills!#REF!,"AAAAAGfYXxc=")</f>
        <v>#REF!</v>
      </c>
      <c r="Y196" t="e">
        <f>AND(Bills!U821,"AAAAAGfYXxg=")</f>
        <v>#VALUE!</v>
      </c>
      <c r="Z196" t="e">
        <f>AND(Bills!V821,"AAAAAGfYXxk=")</f>
        <v>#VALUE!</v>
      </c>
      <c r="AA196" t="e">
        <f>AND(Bills!W821,"AAAAAGfYXxo=")</f>
        <v>#VALUE!</v>
      </c>
      <c r="AB196" t="e">
        <f>AND(Bills!#REF!,"AAAAAGfYXxs=")</f>
        <v>#REF!</v>
      </c>
      <c r="AC196" t="e">
        <f>AND(Bills!#REF!,"AAAAAGfYXxw=")</f>
        <v>#REF!</v>
      </c>
      <c r="AD196" t="e">
        <f>AND(Bills!Y821,"AAAAAGfYXx0=")</f>
        <v>#VALUE!</v>
      </c>
      <c r="AE196" t="e">
        <f>AND(Bills!Z821,"AAAAAGfYXx4=")</f>
        <v>#VALUE!</v>
      </c>
      <c r="AF196" t="e">
        <f>AND(Bills!#REF!,"AAAAAGfYXx8=")</f>
        <v>#REF!</v>
      </c>
      <c r="AG196" t="e">
        <f>AND(Bills!#REF!,"AAAAAGfYXyA=")</f>
        <v>#REF!</v>
      </c>
      <c r="AH196" t="e">
        <f>AND(Bills!#REF!,"AAAAAGfYXyE=")</f>
        <v>#REF!</v>
      </c>
      <c r="AI196" t="e">
        <f>AND(Bills!#REF!,"AAAAAGfYXyI=")</f>
        <v>#REF!</v>
      </c>
      <c r="AJ196" t="e">
        <f>AND(Bills!#REF!,"AAAAAGfYXyM=")</f>
        <v>#REF!</v>
      </c>
      <c r="AK196" t="e">
        <f>AND(Bills!#REF!,"AAAAAGfYXyQ=")</f>
        <v>#REF!</v>
      </c>
      <c r="AL196" t="e">
        <f>AND(Bills!#REF!,"AAAAAGfYXyU=")</f>
        <v>#REF!</v>
      </c>
      <c r="AM196" t="e">
        <f>AND(Bills!#REF!,"AAAAAGfYXyY=")</f>
        <v>#REF!</v>
      </c>
      <c r="AN196" t="e">
        <f>AND(Bills!#REF!,"AAAAAGfYXyc=")</f>
        <v>#REF!</v>
      </c>
      <c r="AO196" t="e">
        <f>AND(Bills!AA821,"AAAAAGfYXyg=")</f>
        <v>#VALUE!</v>
      </c>
      <c r="AP196" t="e">
        <f>AND(Bills!AB821,"AAAAAGfYXyk=")</f>
        <v>#VALUE!</v>
      </c>
      <c r="AQ196" t="e">
        <f>AND(Bills!#REF!,"AAAAAGfYXyo=")</f>
        <v>#REF!</v>
      </c>
      <c r="AR196" t="e">
        <f>AND(Bills!#REF!,"AAAAAGfYXys=")</f>
        <v>#REF!</v>
      </c>
      <c r="AS196" t="e">
        <f>AND(Bills!#REF!,"AAAAAGfYXyw=")</f>
        <v>#REF!</v>
      </c>
      <c r="AT196" t="e">
        <f>AND(Bills!AC821,"AAAAAGfYXy0=")</f>
        <v>#VALUE!</v>
      </c>
      <c r="AU196" t="e">
        <f>AND(Bills!AD821,"AAAAAGfYXy4=")</f>
        <v>#VALUE!</v>
      </c>
      <c r="AV196" t="e">
        <f>AND(Bills!AE821,"AAAAAGfYXy8=")</f>
        <v>#VALUE!</v>
      </c>
      <c r="AW196">
        <f>IF(Bills!822:822,"AAAAAGfYXzA=",0)</f>
        <v>0</v>
      </c>
      <c r="AX196" t="e">
        <f>AND(Bills!B822,"AAAAAGfYXzE=")</f>
        <v>#VALUE!</v>
      </c>
      <c r="AY196" t="e">
        <f>AND(Bills!#REF!,"AAAAAGfYXzI=")</f>
        <v>#REF!</v>
      </c>
      <c r="AZ196" t="e">
        <f>AND(Bills!C822,"AAAAAGfYXzM=")</f>
        <v>#VALUE!</v>
      </c>
      <c r="BA196" t="e">
        <f>AND(Bills!D822,"AAAAAGfYXzQ=")</f>
        <v>#VALUE!</v>
      </c>
      <c r="BB196" t="e">
        <f>AND(Bills!E822,"AAAAAGfYXzU=")</f>
        <v>#VALUE!</v>
      </c>
      <c r="BC196" t="e">
        <f>AND(Bills!#REF!,"AAAAAGfYXzY=")</f>
        <v>#REF!</v>
      </c>
      <c r="BD196" t="e">
        <f>AND(Bills!#REF!,"AAAAAGfYXzc=")</f>
        <v>#REF!</v>
      </c>
      <c r="BE196" t="e">
        <f>AND(Bills!#REF!,"AAAAAGfYXzg=")</f>
        <v>#REF!</v>
      </c>
      <c r="BF196" t="e">
        <f>AND(Bills!F822,"AAAAAGfYXzk=")</f>
        <v>#VALUE!</v>
      </c>
      <c r="BG196" t="e">
        <f>AND(Bills!#REF!,"AAAAAGfYXzo=")</f>
        <v>#REF!</v>
      </c>
      <c r="BH196" t="e">
        <f>AND(Bills!G822,"AAAAAGfYXzs=")</f>
        <v>#VALUE!</v>
      </c>
      <c r="BI196" t="e">
        <f>AND(Bills!H822,"AAAAAGfYXzw=")</f>
        <v>#VALUE!</v>
      </c>
      <c r="BJ196" t="e">
        <f>AND(Bills!I822,"AAAAAGfYXz0=")</f>
        <v>#VALUE!</v>
      </c>
      <c r="BK196" t="e">
        <f>AND(Bills!J822,"AAAAAGfYXz4=")</f>
        <v>#VALUE!</v>
      </c>
      <c r="BL196" t="e">
        <f>AND(Bills!K822,"AAAAAGfYXz8=")</f>
        <v>#VALUE!</v>
      </c>
      <c r="BM196" t="e">
        <f>AND(Bills!L822,"AAAAAGfYX0A=")</f>
        <v>#VALUE!</v>
      </c>
      <c r="BN196" t="e">
        <f>AND(Bills!#REF!,"AAAAAGfYX0E=")</f>
        <v>#REF!</v>
      </c>
      <c r="BO196" t="e">
        <f>AND(Bills!M822,"AAAAAGfYX0I=")</f>
        <v>#VALUE!</v>
      </c>
      <c r="BP196" t="e">
        <f>AND(Bills!N822,"AAAAAGfYX0M=")</f>
        <v>#VALUE!</v>
      </c>
      <c r="BQ196" t="e">
        <f>AND(Bills!O822,"AAAAAGfYX0Q=")</f>
        <v>#VALUE!</v>
      </c>
      <c r="BR196" t="e">
        <f>AND(Bills!P822,"AAAAAGfYX0U=")</f>
        <v>#VALUE!</v>
      </c>
      <c r="BS196" t="e">
        <f>AND(Bills!Q822,"AAAAAGfYX0Y=")</f>
        <v>#VALUE!</v>
      </c>
      <c r="BT196" t="e">
        <f>AND(Bills!R822,"AAAAAGfYX0c=")</f>
        <v>#VALUE!</v>
      </c>
      <c r="BU196" t="e">
        <f>AND(Bills!S822,"AAAAAGfYX0g=")</f>
        <v>#VALUE!</v>
      </c>
      <c r="BV196" t="e">
        <f>AND(Bills!T822,"AAAAAGfYX0k=")</f>
        <v>#VALUE!</v>
      </c>
      <c r="BW196" t="e">
        <f>AND(Bills!#REF!,"AAAAAGfYX0o=")</f>
        <v>#REF!</v>
      </c>
      <c r="BX196" t="e">
        <f>AND(Bills!U822,"AAAAAGfYX0s=")</f>
        <v>#VALUE!</v>
      </c>
      <c r="BY196" t="e">
        <f>AND(Bills!V822,"AAAAAGfYX0w=")</f>
        <v>#VALUE!</v>
      </c>
      <c r="BZ196" t="e">
        <f>AND(Bills!W822,"AAAAAGfYX00=")</f>
        <v>#VALUE!</v>
      </c>
      <c r="CA196" t="e">
        <f>AND(Bills!#REF!,"AAAAAGfYX04=")</f>
        <v>#REF!</v>
      </c>
      <c r="CB196" t="e">
        <f>AND(Bills!#REF!,"AAAAAGfYX08=")</f>
        <v>#REF!</v>
      </c>
      <c r="CC196" t="e">
        <f>AND(Bills!Y822,"AAAAAGfYX1A=")</f>
        <v>#VALUE!</v>
      </c>
      <c r="CD196" t="e">
        <f>AND(Bills!Z822,"AAAAAGfYX1E=")</f>
        <v>#VALUE!</v>
      </c>
      <c r="CE196" t="e">
        <f>AND(Bills!#REF!,"AAAAAGfYX1I=")</f>
        <v>#REF!</v>
      </c>
      <c r="CF196" t="e">
        <f>AND(Bills!#REF!,"AAAAAGfYX1M=")</f>
        <v>#REF!</v>
      </c>
      <c r="CG196" t="e">
        <f>AND(Bills!#REF!,"AAAAAGfYX1Q=")</f>
        <v>#REF!</v>
      </c>
      <c r="CH196" t="e">
        <f>AND(Bills!#REF!,"AAAAAGfYX1U=")</f>
        <v>#REF!</v>
      </c>
      <c r="CI196" t="e">
        <f>AND(Bills!#REF!,"AAAAAGfYX1Y=")</f>
        <v>#REF!</v>
      </c>
      <c r="CJ196" t="e">
        <f>AND(Bills!#REF!,"AAAAAGfYX1c=")</f>
        <v>#REF!</v>
      </c>
      <c r="CK196" t="e">
        <f>AND(Bills!#REF!,"AAAAAGfYX1g=")</f>
        <v>#REF!</v>
      </c>
      <c r="CL196" t="e">
        <f>AND(Bills!#REF!,"AAAAAGfYX1k=")</f>
        <v>#REF!</v>
      </c>
      <c r="CM196" t="e">
        <f>AND(Bills!#REF!,"AAAAAGfYX1o=")</f>
        <v>#REF!</v>
      </c>
      <c r="CN196" t="e">
        <f>AND(Bills!AA822,"AAAAAGfYX1s=")</f>
        <v>#VALUE!</v>
      </c>
      <c r="CO196" t="e">
        <f>AND(Bills!AB822,"AAAAAGfYX1w=")</f>
        <v>#VALUE!</v>
      </c>
      <c r="CP196" t="e">
        <f>AND(Bills!#REF!,"AAAAAGfYX10=")</f>
        <v>#REF!</v>
      </c>
      <c r="CQ196" t="e">
        <f>AND(Bills!#REF!,"AAAAAGfYX14=")</f>
        <v>#REF!</v>
      </c>
      <c r="CR196" t="e">
        <f>AND(Bills!#REF!,"AAAAAGfYX18=")</f>
        <v>#REF!</v>
      </c>
      <c r="CS196" t="e">
        <f>AND(Bills!AC822,"AAAAAGfYX2A=")</f>
        <v>#VALUE!</v>
      </c>
      <c r="CT196" t="e">
        <f>AND(Bills!AD822,"AAAAAGfYX2E=")</f>
        <v>#VALUE!</v>
      </c>
      <c r="CU196" t="e">
        <f>AND(Bills!AE822,"AAAAAGfYX2I=")</f>
        <v>#VALUE!</v>
      </c>
      <c r="CV196">
        <f>IF(Bills!823:823,"AAAAAGfYX2M=",0)</f>
        <v>0</v>
      </c>
      <c r="CW196" t="e">
        <f>AND(Bills!B823,"AAAAAGfYX2Q=")</f>
        <v>#VALUE!</v>
      </c>
      <c r="CX196" t="e">
        <f>AND(Bills!#REF!,"AAAAAGfYX2U=")</f>
        <v>#REF!</v>
      </c>
      <c r="CY196" t="e">
        <f>AND(Bills!C823,"AAAAAGfYX2Y=")</f>
        <v>#VALUE!</v>
      </c>
      <c r="CZ196" t="e">
        <f>AND(Bills!D823,"AAAAAGfYX2c=")</f>
        <v>#VALUE!</v>
      </c>
      <c r="DA196" t="e">
        <f>AND(Bills!E823,"AAAAAGfYX2g=")</f>
        <v>#VALUE!</v>
      </c>
      <c r="DB196" t="e">
        <f>AND(Bills!#REF!,"AAAAAGfYX2k=")</f>
        <v>#REF!</v>
      </c>
      <c r="DC196" t="e">
        <f>AND(Bills!#REF!,"AAAAAGfYX2o=")</f>
        <v>#REF!</v>
      </c>
      <c r="DD196" t="e">
        <f>AND(Bills!#REF!,"AAAAAGfYX2s=")</f>
        <v>#REF!</v>
      </c>
      <c r="DE196" t="e">
        <f>AND(Bills!F823,"AAAAAGfYX2w=")</f>
        <v>#VALUE!</v>
      </c>
      <c r="DF196" t="e">
        <f>AND(Bills!#REF!,"AAAAAGfYX20=")</f>
        <v>#REF!</v>
      </c>
      <c r="DG196" t="e">
        <f>AND(Bills!G823,"AAAAAGfYX24=")</f>
        <v>#VALUE!</v>
      </c>
      <c r="DH196" t="e">
        <f>AND(Bills!H823,"AAAAAGfYX28=")</f>
        <v>#VALUE!</v>
      </c>
      <c r="DI196" t="e">
        <f>AND(Bills!I823,"AAAAAGfYX3A=")</f>
        <v>#VALUE!</v>
      </c>
      <c r="DJ196" t="e">
        <f>AND(Bills!J823,"AAAAAGfYX3E=")</f>
        <v>#VALUE!</v>
      </c>
      <c r="DK196" t="e">
        <f>AND(Bills!K823,"AAAAAGfYX3I=")</f>
        <v>#VALUE!</v>
      </c>
      <c r="DL196" t="e">
        <f>AND(Bills!L823,"AAAAAGfYX3M=")</f>
        <v>#VALUE!</v>
      </c>
      <c r="DM196" t="e">
        <f>AND(Bills!#REF!,"AAAAAGfYX3Q=")</f>
        <v>#REF!</v>
      </c>
      <c r="DN196" t="e">
        <f>AND(Bills!M823,"AAAAAGfYX3U=")</f>
        <v>#VALUE!</v>
      </c>
      <c r="DO196" t="e">
        <f>AND(Bills!N823,"AAAAAGfYX3Y=")</f>
        <v>#VALUE!</v>
      </c>
      <c r="DP196" t="e">
        <f>AND(Bills!O823,"AAAAAGfYX3c=")</f>
        <v>#VALUE!</v>
      </c>
      <c r="DQ196" t="e">
        <f>AND(Bills!P823,"AAAAAGfYX3g=")</f>
        <v>#VALUE!</v>
      </c>
      <c r="DR196" t="e">
        <f>AND(Bills!Q823,"AAAAAGfYX3k=")</f>
        <v>#VALUE!</v>
      </c>
      <c r="DS196" t="e">
        <f>AND(Bills!R823,"AAAAAGfYX3o=")</f>
        <v>#VALUE!</v>
      </c>
      <c r="DT196" t="e">
        <f>AND(Bills!S823,"AAAAAGfYX3s=")</f>
        <v>#VALUE!</v>
      </c>
      <c r="DU196" t="e">
        <f>AND(Bills!T823,"AAAAAGfYX3w=")</f>
        <v>#VALUE!</v>
      </c>
      <c r="DV196" t="e">
        <f>AND(Bills!#REF!,"AAAAAGfYX30=")</f>
        <v>#REF!</v>
      </c>
      <c r="DW196" t="e">
        <f>AND(Bills!U823,"AAAAAGfYX34=")</f>
        <v>#VALUE!</v>
      </c>
      <c r="DX196" t="e">
        <f>AND(Bills!V823,"AAAAAGfYX38=")</f>
        <v>#VALUE!</v>
      </c>
      <c r="DY196" t="e">
        <f>AND(Bills!W823,"AAAAAGfYX4A=")</f>
        <v>#VALUE!</v>
      </c>
      <c r="DZ196" t="e">
        <f>AND(Bills!#REF!,"AAAAAGfYX4E=")</f>
        <v>#REF!</v>
      </c>
      <c r="EA196" t="e">
        <f>AND(Bills!#REF!,"AAAAAGfYX4I=")</f>
        <v>#REF!</v>
      </c>
      <c r="EB196" t="e">
        <f>AND(Bills!Y823,"AAAAAGfYX4M=")</f>
        <v>#VALUE!</v>
      </c>
      <c r="EC196" t="e">
        <f>AND(Bills!Z823,"AAAAAGfYX4Q=")</f>
        <v>#VALUE!</v>
      </c>
      <c r="ED196" t="e">
        <f>AND(Bills!#REF!,"AAAAAGfYX4U=")</f>
        <v>#REF!</v>
      </c>
      <c r="EE196" t="e">
        <f>AND(Bills!#REF!,"AAAAAGfYX4Y=")</f>
        <v>#REF!</v>
      </c>
      <c r="EF196" t="e">
        <f>AND(Bills!#REF!,"AAAAAGfYX4c=")</f>
        <v>#REF!</v>
      </c>
      <c r="EG196" t="e">
        <f>AND(Bills!#REF!,"AAAAAGfYX4g=")</f>
        <v>#REF!</v>
      </c>
      <c r="EH196" t="e">
        <f>AND(Bills!#REF!,"AAAAAGfYX4k=")</f>
        <v>#REF!</v>
      </c>
      <c r="EI196" t="e">
        <f>AND(Bills!#REF!,"AAAAAGfYX4o=")</f>
        <v>#REF!</v>
      </c>
      <c r="EJ196" t="e">
        <f>AND(Bills!#REF!,"AAAAAGfYX4s=")</f>
        <v>#REF!</v>
      </c>
      <c r="EK196" t="e">
        <f>AND(Bills!#REF!,"AAAAAGfYX4w=")</f>
        <v>#REF!</v>
      </c>
      <c r="EL196" t="e">
        <f>AND(Bills!#REF!,"AAAAAGfYX40=")</f>
        <v>#REF!</v>
      </c>
      <c r="EM196" t="e">
        <f>AND(Bills!AA823,"AAAAAGfYX44=")</f>
        <v>#VALUE!</v>
      </c>
      <c r="EN196" t="e">
        <f>AND(Bills!AB823,"AAAAAGfYX48=")</f>
        <v>#VALUE!</v>
      </c>
      <c r="EO196" t="e">
        <f>AND(Bills!#REF!,"AAAAAGfYX5A=")</f>
        <v>#REF!</v>
      </c>
      <c r="EP196" t="e">
        <f>AND(Bills!#REF!,"AAAAAGfYX5E=")</f>
        <v>#REF!</v>
      </c>
      <c r="EQ196" t="e">
        <f>AND(Bills!#REF!,"AAAAAGfYX5I=")</f>
        <v>#REF!</v>
      </c>
      <c r="ER196" t="e">
        <f>AND(Bills!AC823,"AAAAAGfYX5M=")</f>
        <v>#VALUE!</v>
      </c>
      <c r="ES196" t="e">
        <f>AND(Bills!AD823,"AAAAAGfYX5Q=")</f>
        <v>#VALUE!</v>
      </c>
      <c r="ET196" t="e">
        <f>AND(Bills!AE823,"AAAAAGfYX5U=")</f>
        <v>#VALUE!</v>
      </c>
      <c r="EU196">
        <f>IF(Bills!824:824,"AAAAAGfYX5Y=",0)</f>
        <v>0</v>
      </c>
      <c r="EV196" t="e">
        <f>AND(Bills!B824,"AAAAAGfYX5c=")</f>
        <v>#VALUE!</v>
      </c>
      <c r="EW196" t="e">
        <f>AND(Bills!#REF!,"AAAAAGfYX5g=")</f>
        <v>#REF!</v>
      </c>
      <c r="EX196" t="e">
        <f>AND(Bills!C824,"AAAAAGfYX5k=")</f>
        <v>#VALUE!</v>
      </c>
      <c r="EY196" t="e">
        <f>AND(Bills!D824,"AAAAAGfYX5o=")</f>
        <v>#VALUE!</v>
      </c>
      <c r="EZ196" t="e">
        <f>AND(Bills!E824,"AAAAAGfYX5s=")</f>
        <v>#VALUE!</v>
      </c>
      <c r="FA196" t="e">
        <f>AND(Bills!#REF!,"AAAAAGfYX5w=")</f>
        <v>#REF!</v>
      </c>
      <c r="FB196" t="e">
        <f>AND(Bills!#REF!,"AAAAAGfYX50=")</f>
        <v>#REF!</v>
      </c>
      <c r="FC196" t="e">
        <f>AND(Bills!#REF!,"AAAAAGfYX54=")</f>
        <v>#REF!</v>
      </c>
      <c r="FD196" t="e">
        <f>AND(Bills!F824,"AAAAAGfYX58=")</f>
        <v>#VALUE!</v>
      </c>
      <c r="FE196" t="e">
        <f>AND(Bills!#REF!,"AAAAAGfYX6A=")</f>
        <v>#REF!</v>
      </c>
      <c r="FF196" t="e">
        <f>AND(Bills!G824,"AAAAAGfYX6E=")</f>
        <v>#VALUE!</v>
      </c>
      <c r="FG196" t="e">
        <f>AND(Bills!H824,"AAAAAGfYX6I=")</f>
        <v>#VALUE!</v>
      </c>
      <c r="FH196" t="e">
        <f>AND(Bills!I824,"AAAAAGfYX6M=")</f>
        <v>#VALUE!</v>
      </c>
      <c r="FI196" t="e">
        <f>AND(Bills!J824,"AAAAAGfYX6Q=")</f>
        <v>#VALUE!</v>
      </c>
      <c r="FJ196" t="e">
        <f>AND(Bills!K824,"AAAAAGfYX6U=")</f>
        <v>#VALUE!</v>
      </c>
      <c r="FK196" t="e">
        <f>AND(Bills!L824,"AAAAAGfYX6Y=")</f>
        <v>#VALUE!</v>
      </c>
      <c r="FL196" t="e">
        <f>AND(Bills!#REF!,"AAAAAGfYX6c=")</f>
        <v>#REF!</v>
      </c>
      <c r="FM196" t="e">
        <f>AND(Bills!M824,"AAAAAGfYX6g=")</f>
        <v>#VALUE!</v>
      </c>
      <c r="FN196" t="e">
        <f>AND(Bills!N824,"AAAAAGfYX6k=")</f>
        <v>#VALUE!</v>
      </c>
      <c r="FO196" t="e">
        <f>AND(Bills!O824,"AAAAAGfYX6o=")</f>
        <v>#VALUE!</v>
      </c>
      <c r="FP196" t="e">
        <f>AND(Bills!P824,"AAAAAGfYX6s=")</f>
        <v>#VALUE!</v>
      </c>
      <c r="FQ196" t="e">
        <f>AND(Bills!Q824,"AAAAAGfYX6w=")</f>
        <v>#VALUE!</v>
      </c>
      <c r="FR196" t="e">
        <f>AND(Bills!R824,"AAAAAGfYX60=")</f>
        <v>#VALUE!</v>
      </c>
      <c r="FS196" t="e">
        <f>AND(Bills!S824,"AAAAAGfYX64=")</f>
        <v>#VALUE!</v>
      </c>
      <c r="FT196" t="e">
        <f>AND(Bills!T824,"AAAAAGfYX68=")</f>
        <v>#VALUE!</v>
      </c>
      <c r="FU196" t="e">
        <f>AND(Bills!#REF!,"AAAAAGfYX7A=")</f>
        <v>#REF!</v>
      </c>
      <c r="FV196" t="e">
        <f>AND(Bills!U824,"AAAAAGfYX7E=")</f>
        <v>#VALUE!</v>
      </c>
      <c r="FW196" t="e">
        <f>AND(Bills!V824,"AAAAAGfYX7I=")</f>
        <v>#VALUE!</v>
      </c>
      <c r="FX196" t="e">
        <f>AND(Bills!W824,"AAAAAGfYX7M=")</f>
        <v>#VALUE!</v>
      </c>
      <c r="FY196" t="e">
        <f>AND(Bills!#REF!,"AAAAAGfYX7Q=")</f>
        <v>#REF!</v>
      </c>
      <c r="FZ196" t="e">
        <f>AND(Bills!#REF!,"AAAAAGfYX7U=")</f>
        <v>#REF!</v>
      </c>
      <c r="GA196" t="e">
        <f>AND(Bills!Y824,"AAAAAGfYX7Y=")</f>
        <v>#VALUE!</v>
      </c>
      <c r="GB196" t="e">
        <f>AND(Bills!Z824,"AAAAAGfYX7c=")</f>
        <v>#VALUE!</v>
      </c>
      <c r="GC196" t="e">
        <f>AND(Bills!#REF!,"AAAAAGfYX7g=")</f>
        <v>#REF!</v>
      </c>
      <c r="GD196" t="e">
        <f>AND(Bills!#REF!,"AAAAAGfYX7k=")</f>
        <v>#REF!</v>
      </c>
      <c r="GE196" t="e">
        <f>AND(Bills!#REF!,"AAAAAGfYX7o=")</f>
        <v>#REF!</v>
      </c>
      <c r="GF196" t="e">
        <f>AND(Bills!#REF!,"AAAAAGfYX7s=")</f>
        <v>#REF!</v>
      </c>
      <c r="GG196" t="e">
        <f>AND(Bills!#REF!,"AAAAAGfYX7w=")</f>
        <v>#REF!</v>
      </c>
      <c r="GH196" t="e">
        <f>AND(Bills!#REF!,"AAAAAGfYX70=")</f>
        <v>#REF!</v>
      </c>
      <c r="GI196" t="e">
        <f>AND(Bills!#REF!,"AAAAAGfYX74=")</f>
        <v>#REF!</v>
      </c>
      <c r="GJ196" t="e">
        <f>AND(Bills!#REF!,"AAAAAGfYX78=")</f>
        <v>#REF!</v>
      </c>
      <c r="GK196" t="e">
        <f>AND(Bills!#REF!,"AAAAAGfYX8A=")</f>
        <v>#REF!</v>
      </c>
      <c r="GL196" t="e">
        <f>AND(Bills!AA824,"AAAAAGfYX8E=")</f>
        <v>#VALUE!</v>
      </c>
      <c r="GM196" t="e">
        <f>AND(Bills!AB824,"AAAAAGfYX8I=")</f>
        <v>#VALUE!</v>
      </c>
      <c r="GN196" t="e">
        <f>AND(Bills!#REF!,"AAAAAGfYX8M=")</f>
        <v>#REF!</v>
      </c>
      <c r="GO196" t="e">
        <f>AND(Bills!#REF!,"AAAAAGfYX8Q=")</f>
        <v>#REF!</v>
      </c>
      <c r="GP196" t="e">
        <f>AND(Bills!#REF!,"AAAAAGfYX8U=")</f>
        <v>#REF!</v>
      </c>
      <c r="GQ196" t="e">
        <f>AND(Bills!AC824,"AAAAAGfYX8Y=")</f>
        <v>#VALUE!</v>
      </c>
      <c r="GR196" t="e">
        <f>AND(Bills!AD824,"AAAAAGfYX8c=")</f>
        <v>#VALUE!</v>
      </c>
      <c r="GS196" t="e">
        <f>AND(Bills!AE824,"AAAAAGfYX8g=")</f>
        <v>#VALUE!</v>
      </c>
      <c r="GT196">
        <f>IF(Bills!825:825,"AAAAAGfYX8k=",0)</f>
        <v>0</v>
      </c>
      <c r="GU196" t="e">
        <f>AND(Bills!B825,"AAAAAGfYX8o=")</f>
        <v>#VALUE!</v>
      </c>
      <c r="GV196" t="e">
        <f>AND(Bills!#REF!,"AAAAAGfYX8s=")</f>
        <v>#REF!</v>
      </c>
      <c r="GW196" t="e">
        <f>AND(Bills!C825,"AAAAAGfYX8w=")</f>
        <v>#VALUE!</v>
      </c>
      <c r="GX196" t="e">
        <f>AND(Bills!D825,"AAAAAGfYX80=")</f>
        <v>#VALUE!</v>
      </c>
      <c r="GY196" t="e">
        <f>AND(Bills!E825,"AAAAAGfYX84=")</f>
        <v>#VALUE!</v>
      </c>
      <c r="GZ196" t="e">
        <f>AND(Bills!#REF!,"AAAAAGfYX88=")</f>
        <v>#REF!</v>
      </c>
      <c r="HA196" t="e">
        <f>AND(Bills!#REF!,"AAAAAGfYX9A=")</f>
        <v>#REF!</v>
      </c>
      <c r="HB196" t="e">
        <f>AND(Bills!#REF!,"AAAAAGfYX9E=")</f>
        <v>#REF!</v>
      </c>
      <c r="HC196" t="e">
        <f>AND(Bills!F825,"AAAAAGfYX9I=")</f>
        <v>#VALUE!</v>
      </c>
      <c r="HD196" t="e">
        <f>AND(Bills!#REF!,"AAAAAGfYX9M=")</f>
        <v>#REF!</v>
      </c>
      <c r="HE196" t="e">
        <f>AND(Bills!G825,"AAAAAGfYX9Q=")</f>
        <v>#VALUE!</v>
      </c>
      <c r="HF196" t="e">
        <f>AND(Bills!H825,"AAAAAGfYX9U=")</f>
        <v>#VALUE!</v>
      </c>
      <c r="HG196" t="e">
        <f>AND(Bills!I825,"AAAAAGfYX9Y=")</f>
        <v>#VALUE!</v>
      </c>
      <c r="HH196" t="e">
        <f>AND(Bills!J825,"AAAAAGfYX9c=")</f>
        <v>#VALUE!</v>
      </c>
      <c r="HI196" t="e">
        <f>AND(Bills!K825,"AAAAAGfYX9g=")</f>
        <v>#VALUE!</v>
      </c>
      <c r="HJ196" t="e">
        <f>AND(Bills!L825,"AAAAAGfYX9k=")</f>
        <v>#VALUE!</v>
      </c>
      <c r="HK196" t="e">
        <f>AND(Bills!#REF!,"AAAAAGfYX9o=")</f>
        <v>#REF!</v>
      </c>
      <c r="HL196" t="e">
        <f>AND(Bills!M825,"AAAAAGfYX9s=")</f>
        <v>#VALUE!</v>
      </c>
      <c r="HM196" t="e">
        <f>AND(Bills!N825,"AAAAAGfYX9w=")</f>
        <v>#VALUE!</v>
      </c>
      <c r="HN196" t="e">
        <f>AND(Bills!O825,"AAAAAGfYX90=")</f>
        <v>#VALUE!</v>
      </c>
      <c r="HO196" t="e">
        <f>AND(Bills!P825,"AAAAAGfYX94=")</f>
        <v>#VALUE!</v>
      </c>
      <c r="HP196" t="e">
        <f>AND(Bills!Q825,"AAAAAGfYX98=")</f>
        <v>#VALUE!</v>
      </c>
      <c r="HQ196" t="e">
        <f>AND(Bills!R825,"AAAAAGfYX+A=")</f>
        <v>#VALUE!</v>
      </c>
      <c r="HR196" t="e">
        <f>AND(Bills!S825,"AAAAAGfYX+E=")</f>
        <v>#VALUE!</v>
      </c>
      <c r="HS196" t="e">
        <f>AND(Bills!T825,"AAAAAGfYX+I=")</f>
        <v>#VALUE!</v>
      </c>
      <c r="HT196" t="e">
        <f>AND(Bills!#REF!,"AAAAAGfYX+M=")</f>
        <v>#REF!</v>
      </c>
      <c r="HU196" t="e">
        <f>AND(Bills!U825,"AAAAAGfYX+Q=")</f>
        <v>#VALUE!</v>
      </c>
      <c r="HV196" t="e">
        <f>AND(Bills!V825,"AAAAAGfYX+U=")</f>
        <v>#VALUE!</v>
      </c>
      <c r="HW196" t="e">
        <f>AND(Bills!W825,"AAAAAGfYX+Y=")</f>
        <v>#VALUE!</v>
      </c>
      <c r="HX196" t="e">
        <f>AND(Bills!#REF!,"AAAAAGfYX+c=")</f>
        <v>#REF!</v>
      </c>
      <c r="HY196" t="e">
        <f>AND(Bills!#REF!,"AAAAAGfYX+g=")</f>
        <v>#REF!</v>
      </c>
      <c r="HZ196" t="e">
        <f>AND(Bills!Y825,"AAAAAGfYX+k=")</f>
        <v>#VALUE!</v>
      </c>
      <c r="IA196" t="e">
        <f>AND(Bills!Z825,"AAAAAGfYX+o=")</f>
        <v>#VALUE!</v>
      </c>
      <c r="IB196" t="e">
        <f>AND(Bills!#REF!,"AAAAAGfYX+s=")</f>
        <v>#REF!</v>
      </c>
      <c r="IC196" t="e">
        <f>AND(Bills!#REF!,"AAAAAGfYX+w=")</f>
        <v>#REF!</v>
      </c>
      <c r="ID196" t="e">
        <f>AND(Bills!#REF!,"AAAAAGfYX+0=")</f>
        <v>#REF!</v>
      </c>
      <c r="IE196" t="e">
        <f>AND(Bills!#REF!,"AAAAAGfYX+4=")</f>
        <v>#REF!</v>
      </c>
      <c r="IF196" t="e">
        <f>AND(Bills!#REF!,"AAAAAGfYX+8=")</f>
        <v>#REF!</v>
      </c>
      <c r="IG196" t="e">
        <f>AND(Bills!#REF!,"AAAAAGfYX/A=")</f>
        <v>#REF!</v>
      </c>
      <c r="IH196" t="e">
        <f>AND(Bills!#REF!,"AAAAAGfYX/E=")</f>
        <v>#REF!</v>
      </c>
      <c r="II196" t="e">
        <f>AND(Bills!#REF!,"AAAAAGfYX/I=")</f>
        <v>#REF!</v>
      </c>
      <c r="IJ196" t="e">
        <f>AND(Bills!#REF!,"AAAAAGfYX/M=")</f>
        <v>#REF!</v>
      </c>
      <c r="IK196" t="e">
        <f>AND(Bills!AA825,"AAAAAGfYX/Q=")</f>
        <v>#VALUE!</v>
      </c>
      <c r="IL196" t="e">
        <f>AND(Bills!AB825,"AAAAAGfYX/U=")</f>
        <v>#VALUE!</v>
      </c>
      <c r="IM196" t="e">
        <f>AND(Bills!#REF!,"AAAAAGfYX/Y=")</f>
        <v>#REF!</v>
      </c>
      <c r="IN196" t="e">
        <f>AND(Bills!#REF!,"AAAAAGfYX/c=")</f>
        <v>#REF!</v>
      </c>
      <c r="IO196" t="e">
        <f>AND(Bills!#REF!,"AAAAAGfYX/g=")</f>
        <v>#REF!</v>
      </c>
      <c r="IP196" t="e">
        <f>AND(Bills!AC825,"AAAAAGfYX/k=")</f>
        <v>#VALUE!</v>
      </c>
      <c r="IQ196" t="e">
        <f>AND(Bills!AD825,"AAAAAGfYX/o=")</f>
        <v>#VALUE!</v>
      </c>
      <c r="IR196" t="e">
        <f>AND(Bills!AE825,"AAAAAGfYX/s=")</f>
        <v>#VALUE!</v>
      </c>
      <c r="IS196">
        <f>IF(Bills!826:826,"AAAAAGfYX/w=",0)</f>
        <v>0</v>
      </c>
      <c r="IT196" t="e">
        <f>AND(Bills!B826,"AAAAAGfYX/0=")</f>
        <v>#VALUE!</v>
      </c>
      <c r="IU196" t="e">
        <f>AND(Bills!#REF!,"AAAAAGfYX/4=")</f>
        <v>#REF!</v>
      </c>
      <c r="IV196" t="e">
        <f>AND(Bills!C826,"AAAAAGfYX/8=")</f>
        <v>#VALUE!</v>
      </c>
    </row>
    <row r="197" spans="1:256" x14ac:dyDescent="0.25">
      <c r="A197" t="e">
        <f>AND(Bills!D826,"AAAAAD/z+gA=")</f>
        <v>#VALUE!</v>
      </c>
      <c r="B197" t="e">
        <f>AND(Bills!E826,"AAAAAD/z+gE=")</f>
        <v>#VALUE!</v>
      </c>
      <c r="C197" t="e">
        <f>AND(Bills!#REF!,"AAAAAD/z+gI=")</f>
        <v>#REF!</v>
      </c>
      <c r="D197" t="e">
        <f>AND(Bills!#REF!,"AAAAAD/z+gM=")</f>
        <v>#REF!</v>
      </c>
      <c r="E197" t="e">
        <f>AND(Bills!#REF!,"AAAAAD/z+gQ=")</f>
        <v>#REF!</v>
      </c>
      <c r="F197" t="e">
        <f>AND(Bills!F826,"AAAAAD/z+gU=")</f>
        <v>#VALUE!</v>
      </c>
      <c r="G197" t="e">
        <f>AND(Bills!#REF!,"AAAAAD/z+gY=")</f>
        <v>#REF!</v>
      </c>
      <c r="H197" t="e">
        <f>AND(Bills!G826,"AAAAAD/z+gc=")</f>
        <v>#VALUE!</v>
      </c>
      <c r="I197" t="e">
        <f>AND(Bills!H826,"AAAAAD/z+gg=")</f>
        <v>#VALUE!</v>
      </c>
      <c r="J197" t="e">
        <f>AND(Bills!I826,"AAAAAD/z+gk=")</f>
        <v>#VALUE!</v>
      </c>
      <c r="K197" t="e">
        <f>AND(Bills!J826,"AAAAAD/z+go=")</f>
        <v>#VALUE!</v>
      </c>
      <c r="L197" t="e">
        <f>AND(Bills!K826,"AAAAAD/z+gs=")</f>
        <v>#VALUE!</v>
      </c>
      <c r="M197" t="e">
        <f>AND(Bills!L826,"AAAAAD/z+gw=")</f>
        <v>#VALUE!</v>
      </c>
      <c r="N197" t="e">
        <f>AND(Bills!#REF!,"AAAAAD/z+g0=")</f>
        <v>#REF!</v>
      </c>
      <c r="O197" t="e">
        <f>AND(Bills!M826,"AAAAAD/z+g4=")</f>
        <v>#VALUE!</v>
      </c>
      <c r="P197" t="e">
        <f>AND(Bills!N826,"AAAAAD/z+g8=")</f>
        <v>#VALUE!</v>
      </c>
      <c r="Q197" t="e">
        <f>AND(Bills!O826,"AAAAAD/z+hA=")</f>
        <v>#VALUE!</v>
      </c>
      <c r="R197" t="e">
        <f>AND(Bills!P826,"AAAAAD/z+hE=")</f>
        <v>#VALUE!</v>
      </c>
      <c r="S197" t="e">
        <f>AND(Bills!Q826,"AAAAAD/z+hI=")</f>
        <v>#VALUE!</v>
      </c>
      <c r="T197" t="e">
        <f>AND(Bills!R826,"AAAAAD/z+hM=")</f>
        <v>#VALUE!</v>
      </c>
      <c r="U197" t="e">
        <f>AND(Bills!S826,"AAAAAD/z+hQ=")</f>
        <v>#VALUE!</v>
      </c>
      <c r="V197" t="e">
        <f>AND(Bills!T826,"AAAAAD/z+hU=")</f>
        <v>#VALUE!</v>
      </c>
      <c r="W197" t="e">
        <f>AND(Bills!#REF!,"AAAAAD/z+hY=")</f>
        <v>#REF!</v>
      </c>
      <c r="X197" t="e">
        <f>AND(Bills!U826,"AAAAAD/z+hc=")</f>
        <v>#VALUE!</v>
      </c>
      <c r="Y197" t="e">
        <f>AND(Bills!V826,"AAAAAD/z+hg=")</f>
        <v>#VALUE!</v>
      </c>
      <c r="Z197" t="e">
        <f>AND(Bills!W826,"AAAAAD/z+hk=")</f>
        <v>#VALUE!</v>
      </c>
      <c r="AA197" t="e">
        <f>AND(Bills!#REF!,"AAAAAD/z+ho=")</f>
        <v>#REF!</v>
      </c>
      <c r="AB197" t="e">
        <f>AND(Bills!#REF!,"AAAAAD/z+hs=")</f>
        <v>#REF!</v>
      </c>
      <c r="AC197" t="e">
        <f>AND(Bills!Y826,"AAAAAD/z+hw=")</f>
        <v>#VALUE!</v>
      </c>
      <c r="AD197" t="e">
        <f>AND(Bills!Z826,"AAAAAD/z+h0=")</f>
        <v>#VALUE!</v>
      </c>
      <c r="AE197" t="e">
        <f>AND(Bills!#REF!,"AAAAAD/z+h4=")</f>
        <v>#REF!</v>
      </c>
      <c r="AF197" t="e">
        <f>AND(Bills!#REF!,"AAAAAD/z+h8=")</f>
        <v>#REF!</v>
      </c>
      <c r="AG197" t="e">
        <f>AND(Bills!#REF!,"AAAAAD/z+iA=")</f>
        <v>#REF!</v>
      </c>
      <c r="AH197" t="e">
        <f>AND(Bills!#REF!,"AAAAAD/z+iE=")</f>
        <v>#REF!</v>
      </c>
      <c r="AI197" t="e">
        <f>AND(Bills!#REF!,"AAAAAD/z+iI=")</f>
        <v>#REF!</v>
      </c>
      <c r="AJ197" t="e">
        <f>AND(Bills!#REF!,"AAAAAD/z+iM=")</f>
        <v>#REF!</v>
      </c>
      <c r="AK197" t="e">
        <f>AND(Bills!#REF!,"AAAAAD/z+iQ=")</f>
        <v>#REF!</v>
      </c>
      <c r="AL197" t="e">
        <f>AND(Bills!#REF!,"AAAAAD/z+iU=")</f>
        <v>#REF!</v>
      </c>
      <c r="AM197" t="e">
        <f>AND(Bills!#REF!,"AAAAAD/z+iY=")</f>
        <v>#REF!</v>
      </c>
      <c r="AN197" t="e">
        <f>AND(Bills!AA826,"AAAAAD/z+ic=")</f>
        <v>#VALUE!</v>
      </c>
      <c r="AO197" t="e">
        <f>AND(Bills!AB826,"AAAAAD/z+ig=")</f>
        <v>#VALUE!</v>
      </c>
      <c r="AP197" t="e">
        <f>AND(Bills!#REF!,"AAAAAD/z+ik=")</f>
        <v>#REF!</v>
      </c>
      <c r="AQ197" t="e">
        <f>AND(Bills!#REF!,"AAAAAD/z+io=")</f>
        <v>#REF!</v>
      </c>
      <c r="AR197" t="e">
        <f>AND(Bills!#REF!,"AAAAAD/z+is=")</f>
        <v>#REF!</v>
      </c>
      <c r="AS197" t="e">
        <f>AND(Bills!AC826,"AAAAAD/z+iw=")</f>
        <v>#VALUE!</v>
      </c>
      <c r="AT197" t="e">
        <f>AND(Bills!AD826,"AAAAAD/z+i0=")</f>
        <v>#VALUE!</v>
      </c>
      <c r="AU197" t="e">
        <f>AND(Bills!AE826,"AAAAAD/z+i4=")</f>
        <v>#VALUE!</v>
      </c>
      <c r="AV197">
        <f>IF(Bills!827:827,"AAAAAD/z+i8=",0)</f>
        <v>0</v>
      </c>
      <c r="AW197" t="e">
        <f>AND(Bills!B827,"AAAAAD/z+jA=")</f>
        <v>#VALUE!</v>
      </c>
      <c r="AX197" t="e">
        <f>AND(Bills!#REF!,"AAAAAD/z+jE=")</f>
        <v>#REF!</v>
      </c>
      <c r="AY197" t="e">
        <f>AND(Bills!C827,"AAAAAD/z+jI=")</f>
        <v>#VALUE!</v>
      </c>
      <c r="AZ197" t="e">
        <f>AND(Bills!D827,"AAAAAD/z+jM=")</f>
        <v>#VALUE!</v>
      </c>
      <c r="BA197" t="e">
        <f>AND(Bills!E827,"AAAAAD/z+jQ=")</f>
        <v>#VALUE!</v>
      </c>
      <c r="BB197" t="e">
        <f>AND(Bills!#REF!,"AAAAAD/z+jU=")</f>
        <v>#REF!</v>
      </c>
      <c r="BC197" t="e">
        <f>AND(Bills!#REF!,"AAAAAD/z+jY=")</f>
        <v>#REF!</v>
      </c>
      <c r="BD197" t="e">
        <f>AND(Bills!#REF!,"AAAAAD/z+jc=")</f>
        <v>#REF!</v>
      </c>
      <c r="BE197" t="e">
        <f>AND(Bills!F827,"AAAAAD/z+jg=")</f>
        <v>#VALUE!</v>
      </c>
      <c r="BF197" t="e">
        <f>AND(Bills!#REF!,"AAAAAD/z+jk=")</f>
        <v>#REF!</v>
      </c>
      <c r="BG197" t="e">
        <f>AND(Bills!G827,"AAAAAD/z+jo=")</f>
        <v>#VALUE!</v>
      </c>
      <c r="BH197" t="e">
        <f>AND(Bills!H827,"AAAAAD/z+js=")</f>
        <v>#VALUE!</v>
      </c>
      <c r="BI197" t="e">
        <f>AND(Bills!I827,"AAAAAD/z+jw=")</f>
        <v>#VALUE!</v>
      </c>
      <c r="BJ197" t="e">
        <f>AND(Bills!J827,"AAAAAD/z+j0=")</f>
        <v>#VALUE!</v>
      </c>
      <c r="BK197" t="e">
        <f>AND(Bills!K827,"AAAAAD/z+j4=")</f>
        <v>#VALUE!</v>
      </c>
      <c r="BL197" t="e">
        <f>AND(Bills!L827,"AAAAAD/z+j8=")</f>
        <v>#VALUE!</v>
      </c>
      <c r="BM197" t="e">
        <f>AND(Bills!#REF!,"AAAAAD/z+kA=")</f>
        <v>#REF!</v>
      </c>
      <c r="BN197" t="e">
        <f>AND(Bills!M827,"AAAAAD/z+kE=")</f>
        <v>#VALUE!</v>
      </c>
      <c r="BO197" t="e">
        <f>AND(Bills!N827,"AAAAAD/z+kI=")</f>
        <v>#VALUE!</v>
      </c>
      <c r="BP197" t="e">
        <f>AND(Bills!O827,"AAAAAD/z+kM=")</f>
        <v>#VALUE!</v>
      </c>
      <c r="BQ197" t="e">
        <f>AND(Bills!P827,"AAAAAD/z+kQ=")</f>
        <v>#VALUE!</v>
      </c>
      <c r="BR197" t="e">
        <f>AND(Bills!Q827,"AAAAAD/z+kU=")</f>
        <v>#VALUE!</v>
      </c>
      <c r="BS197" t="e">
        <f>AND(Bills!R827,"AAAAAD/z+kY=")</f>
        <v>#VALUE!</v>
      </c>
      <c r="BT197" t="e">
        <f>AND(Bills!S827,"AAAAAD/z+kc=")</f>
        <v>#VALUE!</v>
      </c>
      <c r="BU197" t="e">
        <f>AND(Bills!T827,"AAAAAD/z+kg=")</f>
        <v>#VALUE!</v>
      </c>
      <c r="BV197" t="e">
        <f>AND(Bills!#REF!,"AAAAAD/z+kk=")</f>
        <v>#REF!</v>
      </c>
      <c r="BW197" t="e">
        <f>AND(Bills!U827,"AAAAAD/z+ko=")</f>
        <v>#VALUE!</v>
      </c>
      <c r="BX197" t="e">
        <f>AND(Bills!V827,"AAAAAD/z+ks=")</f>
        <v>#VALUE!</v>
      </c>
      <c r="BY197" t="e">
        <f>AND(Bills!W827,"AAAAAD/z+kw=")</f>
        <v>#VALUE!</v>
      </c>
      <c r="BZ197" t="e">
        <f>AND(Bills!#REF!,"AAAAAD/z+k0=")</f>
        <v>#REF!</v>
      </c>
      <c r="CA197" t="e">
        <f>AND(Bills!#REF!,"AAAAAD/z+k4=")</f>
        <v>#REF!</v>
      </c>
      <c r="CB197" t="e">
        <f>AND(Bills!Y827,"AAAAAD/z+k8=")</f>
        <v>#VALUE!</v>
      </c>
      <c r="CC197" t="e">
        <f>AND(Bills!Z827,"AAAAAD/z+lA=")</f>
        <v>#VALUE!</v>
      </c>
      <c r="CD197" t="e">
        <f>AND(Bills!#REF!,"AAAAAD/z+lE=")</f>
        <v>#REF!</v>
      </c>
      <c r="CE197" t="e">
        <f>AND(Bills!#REF!,"AAAAAD/z+lI=")</f>
        <v>#REF!</v>
      </c>
      <c r="CF197" t="e">
        <f>AND(Bills!#REF!,"AAAAAD/z+lM=")</f>
        <v>#REF!</v>
      </c>
      <c r="CG197" t="e">
        <f>AND(Bills!#REF!,"AAAAAD/z+lQ=")</f>
        <v>#REF!</v>
      </c>
      <c r="CH197" t="e">
        <f>AND(Bills!#REF!,"AAAAAD/z+lU=")</f>
        <v>#REF!</v>
      </c>
      <c r="CI197" t="e">
        <f>AND(Bills!#REF!,"AAAAAD/z+lY=")</f>
        <v>#REF!</v>
      </c>
      <c r="CJ197" t="e">
        <f>AND(Bills!#REF!,"AAAAAD/z+lc=")</f>
        <v>#REF!</v>
      </c>
      <c r="CK197" t="e">
        <f>AND(Bills!#REF!,"AAAAAD/z+lg=")</f>
        <v>#REF!</v>
      </c>
      <c r="CL197" t="e">
        <f>AND(Bills!#REF!,"AAAAAD/z+lk=")</f>
        <v>#REF!</v>
      </c>
      <c r="CM197" t="e">
        <f>AND(Bills!AA827,"AAAAAD/z+lo=")</f>
        <v>#VALUE!</v>
      </c>
      <c r="CN197" t="e">
        <f>AND(Bills!AB827,"AAAAAD/z+ls=")</f>
        <v>#VALUE!</v>
      </c>
      <c r="CO197" t="e">
        <f>AND(Bills!#REF!,"AAAAAD/z+lw=")</f>
        <v>#REF!</v>
      </c>
      <c r="CP197" t="e">
        <f>AND(Bills!#REF!,"AAAAAD/z+l0=")</f>
        <v>#REF!</v>
      </c>
      <c r="CQ197" t="e">
        <f>AND(Bills!#REF!,"AAAAAD/z+l4=")</f>
        <v>#REF!</v>
      </c>
      <c r="CR197" t="e">
        <f>AND(Bills!AC827,"AAAAAD/z+l8=")</f>
        <v>#VALUE!</v>
      </c>
      <c r="CS197" t="e">
        <f>AND(Bills!AD827,"AAAAAD/z+mA=")</f>
        <v>#VALUE!</v>
      </c>
      <c r="CT197" t="e">
        <f>AND(Bills!AE827,"AAAAAD/z+mE=")</f>
        <v>#VALUE!</v>
      </c>
      <c r="CU197">
        <f>IF(Bills!828:828,"AAAAAD/z+mI=",0)</f>
        <v>0</v>
      </c>
      <c r="CV197" t="e">
        <f>AND(Bills!B828,"AAAAAD/z+mM=")</f>
        <v>#VALUE!</v>
      </c>
      <c r="CW197" t="e">
        <f>AND(Bills!#REF!,"AAAAAD/z+mQ=")</f>
        <v>#REF!</v>
      </c>
      <c r="CX197" t="e">
        <f>AND(Bills!C828,"AAAAAD/z+mU=")</f>
        <v>#VALUE!</v>
      </c>
      <c r="CY197" t="e">
        <f>AND(Bills!D828,"AAAAAD/z+mY=")</f>
        <v>#VALUE!</v>
      </c>
      <c r="CZ197" t="e">
        <f>AND(Bills!E828,"AAAAAD/z+mc=")</f>
        <v>#VALUE!</v>
      </c>
      <c r="DA197" t="e">
        <f>AND(Bills!#REF!,"AAAAAD/z+mg=")</f>
        <v>#REF!</v>
      </c>
      <c r="DB197" t="e">
        <f>AND(Bills!#REF!,"AAAAAD/z+mk=")</f>
        <v>#REF!</v>
      </c>
      <c r="DC197" t="e">
        <f>AND(Bills!#REF!,"AAAAAD/z+mo=")</f>
        <v>#REF!</v>
      </c>
      <c r="DD197" t="e">
        <f>AND(Bills!F828,"AAAAAD/z+ms=")</f>
        <v>#VALUE!</v>
      </c>
      <c r="DE197" t="e">
        <f>AND(Bills!#REF!,"AAAAAD/z+mw=")</f>
        <v>#REF!</v>
      </c>
      <c r="DF197" t="e">
        <f>AND(Bills!G828,"AAAAAD/z+m0=")</f>
        <v>#VALUE!</v>
      </c>
      <c r="DG197" t="e">
        <f>AND(Bills!H828,"AAAAAD/z+m4=")</f>
        <v>#VALUE!</v>
      </c>
      <c r="DH197" t="e">
        <f>AND(Bills!I828,"AAAAAD/z+m8=")</f>
        <v>#VALUE!</v>
      </c>
      <c r="DI197" t="e">
        <f>AND(Bills!J828,"AAAAAD/z+nA=")</f>
        <v>#VALUE!</v>
      </c>
      <c r="DJ197" t="e">
        <f>AND(Bills!K828,"AAAAAD/z+nE=")</f>
        <v>#VALUE!</v>
      </c>
      <c r="DK197" t="e">
        <f>AND(Bills!L828,"AAAAAD/z+nI=")</f>
        <v>#VALUE!</v>
      </c>
      <c r="DL197" t="e">
        <f>AND(Bills!#REF!,"AAAAAD/z+nM=")</f>
        <v>#REF!</v>
      </c>
      <c r="DM197" t="e">
        <f>AND(Bills!M828,"AAAAAD/z+nQ=")</f>
        <v>#VALUE!</v>
      </c>
      <c r="DN197" t="e">
        <f>AND(Bills!N828,"AAAAAD/z+nU=")</f>
        <v>#VALUE!</v>
      </c>
      <c r="DO197" t="e">
        <f>AND(Bills!O828,"AAAAAD/z+nY=")</f>
        <v>#VALUE!</v>
      </c>
      <c r="DP197" t="e">
        <f>AND(Bills!P828,"AAAAAD/z+nc=")</f>
        <v>#VALUE!</v>
      </c>
      <c r="DQ197" t="e">
        <f>AND(Bills!Q828,"AAAAAD/z+ng=")</f>
        <v>#VALUE!</v>
      </c>
      <c r="DR197" t="e">
        <f>AND(Bills!R828,"AAAAAD/z+nk=")</f>
        <v>#VALUE!</v>
      </c>
      <c r="DS197" t="e">
        <f>AND(Bills!S828,"AAAAAD/z+no=")</f>
        <v>#VALUE!</v>
      </c>
      <c r="DT197" t="e">
        <f>AND(Bills!T828,"AAAAAD/z+ns=")</f>
        <v>#VALUE!</v>
      </c>
      <c r="DU197" t="e">
        <f>AND(Bills!#REF!,"AAAAAD/z+nw=")</f>
        <v>#REF!</v>
      </c>
      <c r="DV197" t="e">
        <f>AND(Bills!U828,"AAAAAD/z+n0=")</f>
        <v>#VALUE!</v>
      </c>
      <c r="DW197" t="e">
        <f>AND(Bills!V828,"AAAAAD/z+n4=")</f>
        <v>#VALUE!</v>
      </c>
      <c r="DX197" t="e">
        <f>AND(Bills!W828,"AAAAAD/z+n8=")</f>
        <v>#VALUE!</v>
      </c>
      <c r="DY197" t="e">
        <f>AND(Bills!#REF!,"AAAAAD/z+oA=")</f>
        <v>#REF!</v>
      </c>
      <c r="DZ197" t="e">
        <f>AND(Bills!#REF!,"AAAAAD/z+oE=")</f>
        <v>#REF!</v>
      </c>
      <c r="EA197" t="e">
        <f>AND(Bills!Y828,"AAAAAD/z+oI=")</f>
        <v>#VALUE!</v>
      </c>
      <c r="EB197" t="e">
        <f>AND(Bills!Z828,"AAAAAD/z+oM=")</f>
        <v>#VALUE!</v>
      </c>
      <c r="EC197" t="e">
        <f>AND(Bills!#REF!,"AAAAAD/z+oQ=")</f>
        <v>#REF!</v>
      </c>
      <c r="ED197" t="e">
        <f>AND(Bills!#REF!,"AAAAAD/z+oU=")</f>
        <v>#REF!</v>
      </c>
      <c r="EE197" t="e">
        <f>AND(Bills!#REF!,"AAAAAD/z+oY=")</f>
        <v>#REF!</v>
      </c>
      <c r="EF197" t="e">
        <f>AND(Bills!#REF!,"AAAAAD/z+oc=")</f>
        <v>#REF!</v>
      </c>
      <c r="EG197" t="e">
        <f>AND(Bills!#REF!,"AAAAAD/z+og=")</f>
        <v>#REF!</v>
      </c>
      <c r="EH197" t="e">
        <f>AND(Bills!#REF!,"AAAAAD/z+ok=")</f>
        <v>#REF!</v>
      </c>
      <c r="EI197" t="e">
        <f>AND(Bills!#REF!,"AAAAAD/z+oo=")</f>
        <v>#REF!</v>
      </c>
      <c r="EJ197" t="e">
        <f>AND(Bills!#REF!,"AAAAAD/z+os=")</f>
        <v>#REF!</v>
      </c>
      <c r="EK197" t="e">
        <f>AND(Bills!#REF!,"AAAAAD/z+ow=")</f>
        <v>#REF!</v>
      </c>
      <c r="EL197" t="e">
        <f>AND(Bills!AA828,"AAAAAD/z+o0=")</f>
        <v>#VALUE!</v>
      </c>
      <c r="EM197" t="e">
        <f>AND(Bills!AB828,"AAAAAD/z+o4=")</f>
        <v>#VALUE!</v>
      </c>
      <c r="EN197" t="e">
        <f>AND(Bills!#REF!,"AAAAAD/z+o8=")</f>
        <v>#REF!</v>
      </c>
      <c r="EO197" t="e">
        <f>AND(Bills!#REF!,"AAAAAD/z+pA=")</f>
        <v>#REF!</v>
      </c>
      <c r="EP197" t="e">
        <f>AND(Bills!#REF!,"AAAAAD/z+pE=")</f>
        <v>#REF!</v>
      </c>
      <c r="EQ197" t="e">
        <f>AND(Bills!AC828,"AAAAAD/z+pI=")</f>
        <v>#VALUE!</v>
      </c>
      <c r="ER197" t="e">
        <f>AND(Bills!AD828,"AAAAAD/z+pM=")</f>
        <v>#VALUE!</v>
      </c>
      <c r="ES197" t="e">
        <f>AND(Bills!AE828,"AAAAAD/z+pQ=")</f>
        <v>#VALUE!</v>
      </c>
      <c r="ET197">
        <f>IF(Bills!829:829,"AAAAAD/z+pU=",0)</f>
        <v>0</v>
      </c>
      <c r="EU197" t="e">
        <f>AND(Bills!B829,"AAAAAD/z+pY=")</f>
        <v>#VALUE!</v>
      </c>
      <c r="EV197" t="e">
        <f>AND(Bills!#REF!,"AAAAAD/z+pc=")</f>
        <v>#REF!</v>
      </c>
      <c r="EW197" t="e">
        <f>AND(Bills!C829,"AAAAAD/z+pg=")</f>
        <v>#VALUE!</v>
      </c>
      <c r="EX197" t="e">
        <f>AND(Bills!D829,"AAAAAD/z+pk=")</f>
        <v>#VALUE!</v>
      </c>
      <c r="EY197" t="e">
        <f>AND(Bills!E829,"AAAAAD/z+po=")</f>
        <v>#VALUE!</v>
      </c>
      <c r="EZ197" t="e">
        <f>AND(Bills!#REF!,"AAAAAD/z+ps=")</f>
        <v>#REF!</v>
      </c>
      <c r="FA197" t="e">
        <f>AND(Bills!#REF!,"AAAAAD/z+pw=")</f>
        <v>#REF!</v>
      </c>
      <c r="FB197" t="e">
        <f>AND(Bills!#REF!,"AAAAAD/z+p0=")</f>
        <v>#REF!</v>
      </c>
      <c r="FC197" t="e">
        <f>AND(Bills!F829,"AAAAAD/z+p4=")</f>
        <v>#VALUE!</v>
      </c>
      <c r="FD197" t="e">
        <f>AND(Bills!#REF!,"AAAAAD/z+p8=")</f>
        <v>#REF!</v>
      </c>
      <c r="FE197" t="e">
        <f>AND(Bills!G829,"AAAAAD/z+qA=")</f>
        <v>#VALUE!</v>
      </c>
      <c r="FF197" t="e">
        <f>AND(Bills!H829,"AAAAAD/z+qE=")</f>
        <v>#VALUE!</v>
      </c>
      <c r="FG197" t="e">
        <f>AND(Bills!I829,"AAAAAD/z+qI=")</f>
        <v>#VALUE!</v>
      </c>
      <c r="FH197" t="e">
        <f>AND(Bills!J829,"AAAAAD/z+qM=")</f>
        <v>#VALUE!</v>
      </c>
      <c r="FI197" t="e">
        <f>AND(Bills!K829,"AAAAAD/z+qQ=")</f>
        <v>#VALUE!</v>
      </c>
      <c r="FJ197" t="e">
        <f>AND(Bills!L829,"AAAAAD/z+qU=")</f>
        <v>#VALUE!</v>
      </c>
      <c r="FK197" t="e">
        <f>AND(Bills!#REF!,"AAAAAD/z+qY=")</f>
        <v>#REF!</v>
      </c>
      <c r="FL197" t="e">
        <f>AND(Bills!M829,"AAAAAD/z+qc=")</f>
        <v>#VALUE!</v>
      </c>
      <c r="FM197" t="e">
        <f>AND(Bills!N829,"AAAAAD/z+qg=")</f>
        <v>#VALUE!</v>
      </c>
      <c r="FN197" t="e">
        <f>AND(Bills!O829,"AAAAAD/z+qk=")</f>
        <v>#VALUE!</v>
      </c>
      <c r="FO197" t="e">
        <f>AND(Bills!P829,"AAAAAD/z+qo=")</f>
        <v>#VALUE!</v>
      </c>
      <c r="FP197" t="e">
        <f>AND(Bills!Q829,"AAAAAD/z+qs=")</f>
        <v>#VALUE!</v>
      </c>
      <c r="FQ197" t="e">
        <f>AND(Bills!R829,"AAAAAD/z+qw=")</f>
        <v>#VALUE!</v>
      </c>
      <c r="FR197" t="e">
        <f>AND(Bills!S829,"AAAAAD/z+q0=")</f>
        <v>#VALUE!</v>
      </c>
      <c r="FS197" t="e">
        <f>AND(Bills!T829,"AAAAAD/z+q4=")</f>
        <v>#VALUE!</v>
      </c>
      <c r="FT197" t="e">
        <f>AND(Bills!#REF!,"AAAAAD/z+q8=")</f>
        <v>#REF!</v>
      </c>
      <c r="FU197" t="e">
        <f>AND(Bills!U829,"AAAAAD/z+rA=")</f>
        <v>#VALUE!</v>
      </c>
      <c r="FV197" t="e">
        <f>AND(Bills!V829,"AAAAAD/z+rE=")</f>
        <v>#VALUE!</v>
      </c>
      <c r="FW197" t="e">
        <f>AND(Bills!W829,"AAAAAD/z+rI=")</f>
        <v>#VALUE!</v>
      </c>
      <c r="FX197" t="e">
        <f>AND(Bills!#REF!,"AAAAAD/z+rM=")</f>
        <v>#REF!</v>
      </c>
      <c r="FY197" t="e">
        <f>AND(Bills!#REF!,"AAAAAD/z+rQ=")</f>
        <v>#REF!</v>
      </c>
      <c r="FZ197" t="e">
        <f>AND(Bills!Y829,"AAAAAD/z+rU=")</f>
        <v>#VALUE!</v>
      </c>
      <c r="GA197" t="e">
        <f>AND(Bills!Z829,"AAAAAD/z+rY=")</f>
        <v>#VALUE!</v>
      </c>
      <c r="GB197" t="e">
        <f>AND(Bills!#REF!,"AAAAAD/z+rc=")</f>
        <v>#REF!</v>
      </c>
      <c r="GC197" t="e">
        <f>AND(Bills!#REF!,"AAAAAD/z+rg=")</f>
        <v>#REF!</v>
      </c>
      <c r="GD197" t="e">
        <f>AND(Bills!#REF!,"AAAAAD/z+rk=")</f>
        <v>#REF!</v>
      </c>
      <c r="GE197" t="e">
        <f>AND(Bills!#REF!,"AAAAAD/z+ro=")</f>
        <v>#REF!</v>
      </c>
      <c r="GF197" t="e">
        <f>AND(Bills!#REF!,"AAAAAD/z+rs=")</f>
        <v>#REF!</v>
      </c>
      <c r="GG197" t="e">
        <f>AND(Bills!#REF!,"AAAAAD/z+rw=")</f>
        <v>#REF!</v>
      </c>
      <c r="GH197" t="e">
        <f>AND(Bills!#REF!,"AAAAAD/z+r0=")</f>
        <v>#REF!</v>
      </c>
      <c r="GI197" t="e">
        <f>AND(Bills!#REF!,"AAAAAD/z+r4=")</f>
        <v>#REF!</v>
      </c>
      <c r="GJ197" t="e">
        <f>AND(Bills!#REF!,"AAAAAD/z+r8=")</f>
        <v>#REF!</v>
      </c>
      <c r="GK197" t="e">
        <f>AND(Bills!AA829,"AAAAAD/z+sA=")</f>
        <v>#VALUE!</v>
      </c>
      <c r="GL197" t="e">
        <f>AND(Bills!AB829,"AAAAAD/z+sE=")</f>
        <v>#VALUE!</v>
      </c>
      <c r="GM197" t="e">
        <f>AND(Bills!#REF!,"AAAAAD/z+sI=")</f>
        <v>#REF!</v>
      </c>
      <c r="GN197" t="e">
        <f>AND(Bills!#REF!,"AAAAAD/z+sM=")</f>
        <v>#REF!</v>
      </c>
      <c r="GO197" t="e">
        <f>AND(Bills!#REF!,"AAAAAD/z+sQ=")</f>
        <v>#REF!</v>
      </c>
      <c r="GP197" t="e">
        <f>AND(Bills!AC829,"AAAAAD/z+sU=")</f>
        <v>#VALUE!</v>
      </c>
      <c r="GQ197" t="e">
        <f>AND(Bills!AD829,"AAAAAD/z+sY=")</f>
        <v>#VALUE!</v>
      </c>
      <c r="GR197" t="e">
        <f>AND(Bills!AE829,"AAAAAD/z+sc=")</f>
        <v>#VALUE!</v>
      </c>
      <c r="GS197">
        <f>IF(Bills!830:830,"AAAAAD/z+sg=",0)</f>
        <v>0</v>
      </c>
      <c r="GT197" t="e">
        <f>AND(Bills!B830,"AAAAAD/z+sk=")</f>
        <v>#VALUE!</v>
      </c>
      <c r="GU197" t="e">
        <f>AND(Bills!#REF!,"AAAAAD/z+so=")</f>
        <v>#REF!</v>
      </c>
      <c r="GV197" t="e">
        <f>AND(Bills!C830,"AAAAAD/z+ss=")</f>
        <v>#VALUE!</v>
      </c>
      <c r="GW197" t="e">
        <f>AND(Bills!D830,"AAAAAD/z+sw=")</f>
        <v>#VALUE!</v>
      </c>
      <c r="GX197" t="e">
        <f>AND(Bills!E830,"AAAAAD/z+s0=")</f>
        <v>#VALUE!</v>
      </c>
      <c r="GY197" t="e">
        <f>AND(Bills!#REF!,"AAAAAD/z+s4=")</f>
        <v>#REF!</v>
      </c>
      <c r="GZ197" t="e">
        <f>AND(Bills!#REF!,"AAAAAD/z+s8=")</f>
        <v>#REF!</v>
      </c>
      <c r="HA197" t="e">
        <f>AND(Bills!#REF!,"AAAAAD/z+tA=")</f>
        <v>#REF!</v>
      </c>
      <c r="HB197" t="e">
        <f>AND(Bills!F830,"AAAAAD/z+tE=")</f>
        <v>#VALUE!</v>
      </c>
      <c r="HC197" t="e">
        <f>AND(Bills!#REF!,"AAAAAD/z+tI=")</f>
        <v>#REF!</v>
      </c>
      <c r="HD197" t="e">
        <f>AND(Bills!G830,"AAAAAD/z+tM=")</f>
        <v>#VALUE!</v>
      </c>
      <c r="HE197" t="e">
        <f>AND(Bills!H830,"AAAAAD/z+tQ=")</f>
        <v>#VALUE!</v>
      </c>
      <c r="HF197" t="e">
        <f>AND(Bills!I830,"AAAAAD/z+tU=")</f>
        <v>#VALUE!</v>
      </c>
      <c r="HG197" t="e">
        <f>AND(Bills!J830,"AAAAAD/z+tY=")</f>
        <v>#VALUE!</v>
      </c>
      <c r="HH197" t="e">
        <f>AND(Bills!K830,"AAAAAD/z+tc=")</f>
        <v>#VALUE!</v>
      </c>
      <c r="HI197" t="e">
        <f>AND(Bills!L830,"AAAAAD/z+tg=")</f>
        <v>#VALUE!</v>
      </c>
      <c r="HJ197" t="e">
        <f>AND(Bills!#REF!,"AAAAAD/z+tk=")</f>
        <v>#REF!</v>
      </c>
      <c r="HK197" t="e">
        <f>AND(Bills!M830,"AAAAAD/z+to=")</f>
        <v>#VALUE!</v>
      </c>
      <c r="HL197" t="e">
        <f>AND(Bills!N830,"AAAAAD/z+ts=")</f>
        <v>#VALUE!</v>
      </c>
      <c r="HM197" t="e">
        <f>AND(Bills!O830,"AAAAAD/z+tw=")</f>
        <v>#VALUE!</v>
      </c>
      <c r="HN197" t="e">
        <f>AND(Bills!P830,"AAAAAD/z+t0=")</f>
        <v>#VALUE!</v>
      </c>
      <c r="HO197" t="e">
        <f>AND(Bills!Q830,"AAAAAD/z+t4=")</f>
        <v>#VALUE!</v>
      </c>
      <c r="HP197" t="e">
        <f>AND(Bills!R830,"AAAAAD/z+t8=")</f>
        <v>#VALUE!</v>
      </c>
      <c r="HQ197" t="e">
        <f>AND(Bills!S830,"AAAAAD/z+uA=")</f>
        <v>#VALUE!</v>
      </c>
      <c r="HR197" t="e">
        <f>AND(Bills!T830,"AAAAAD/z+uE=")</f>
        <v>#VALUE!</v>
      </c>
      <c r="HS197" t="e">
        <f>AND(Bills!#REF!,"AAAAAD/z+uI=")</f>
        <v>#REF!</v>
      </c>
      <c r="HT197" t="e">
        <f>AND(Bills!U830,"AAAAAD/z+uM=")</f>
        <v>#VALUE!</v>
      </c>
      <c r="HU197" t="e">
        <f>AND(Bills!V830,"AAAAAD/z+uQ=")</f>
        <v>#VALUE!</v>
      </c>
      <c r="HV197" t="e">
        <f>AND(Bills!W830,"AAAAAD/z+uU=")</f>
        <v>#VALUE!</v>
      </c>
      <c r="HW197" t="e">
        <f>AND(Bills!#REF!,"AAAAAD/z+uY=")</f>
        <v>#REF!</v>
      </c>
      <c r="HX197" t="e">
        <f>AND(Bills!#REF!,"AAAAAD/z+uc=")</f>
        <v>#REF!</v>
      </c>
      <c r="HY197" t="e">
        <f>AND(Bills!Y830,"AAAAAD/z+ug=")</f>
        <v>#VALUE!</v>
      </c>
      <c r="HZ197" t="e">
        <f>AND(Bills!Z830,"AAAAAD/z+uk=")</f>
        <v>#VALUE!</v>
      </c>
      <c r="IA197" t="e">
        <f>AND(Bills!#REF!,"AAAAAD/z+uo=")</f>
        <v>#REF!</v>
      </c>
      <c r="IB197" t="e">
        <f>AND(Bills!#REF!,"AAAAAD/z+us=")</f>
        <v>#REF!</v>
      </c>
      <c r="IC197" t="e">
        <f>AND(Bills!#REF!,"AAAAAD/z+uw=")</f>
        <v>#REF!</v>
      </c>
      <c r="ID197" t="e">
        <f>AND(Bills!#REF!,"AAAAAD/z+u0=")</f>
        <v>#REF!</v>
      </c>
      <c r="IE197" t="e">
        <f>AND(Bills!#REF!,"AAAAAD/z+u4=")</f>
        <v>#REF!</v>
      </c>
      <c r="IF197" t="e">
        <f>AND(Bills!#REF!,"AAAAAD/z+u8=")</f>
        <v>#REF!</v>
      </c>
      <c r="IG197" t="e">
        <f>AND(Bills!#REF!,"AAAAAD/z+vA=")</f>
        <v>#REF!</v>
      </c>
      <c r="IH197" t="e">
        <f>AND(Bills!#REF!,"AAAAAD/z+vE=")</f>
        <v>#REF!</v>
      </c>
      <c r="II197" t="e">
        <f>AND(Bills!#REF!,"AAAAAD/z+vI=")</f>
        <v>#REF!</v>
      </c>
      <c r="IJ197" t="e">
        <f>AND(Bills!AA830,"AAAAAD/z+vM=")</f>
        <v>#VALUE!</v>
      </c>
      <c r="IK197" t="e">
        <f>AND(Bills!AB830,"AAAAAD/z+vQ=")</f>
        <v>#VALUE!</v>
      </c>
      <c r="IL197" t="e">
        <f>AND(Bills!#REF!,"AAAAAD/z+vU=")</f>
        <v>#REF!</v>
      </c>
      <c r="IM197" t="e">
        <f>AND(Bills!#REF!,"AAAAAD/z+vY=")</f>
        <v>#REF!</v>
      </c>
      <c r="IN197" t="e">
        <f>AND(Bills!#REF!,"AAAAAD/z+vc=")</f>
        <v>#REF!</v>
      </c>
      <c r="IO197" t="e">
        <f>AND(Bills!AC830,"AAAAAD/z+vg=")</f>
        <v>#VALUE!</v>
      </c>
      <c r="IP197" t="e">
        <f>AND(Bills!AD830,"AAAAAD/z+vk=")</f>
        <v>#VALUE!</v>
      </c>
      <c r="IQ197" t="e">
        <f>AND(Bills!AE830,"AAAAAD/z+vo=")</f>
        <v>#VALUE!</v>
      </c>
      <c r="IR197">
        <f>IF(Bills!831:831,"AAAAAD/z+vs=",0)</f>
        <v>0</v>
      </c>
      <c r="IS197" t="e">
        <f>AND(Bills!B831,"AAAAAD/z+vw=")</f>
        <v>#VALUE!</v>
      </c>
      <c r="IT197" t="e">
        <f>AND(Bills!#REF!,"AAAAAD/z+v0=")</f>
        <v>#REF!</v>
      </c>
      <c r="IU197" t="e">
        <f>AND(Bills!C831,"AAAAAD/z+v4=")</f>
        <v>#VALUE!</v>
      </c>
      <c r="IV197" t="e">
        <f>AND(Bills!D831,"AAAAAD/z+v8=")</f>
        <v>#VALUE!</v>
      </c>
    </row>
    <row r="198" spans="1:256" x14ac:dyDescent="0.25">
      <c r="A198" t="e">
        <f>AND(Bills!E831,"AAAAAD9L/wA=")</f>
        <v>#VALUE!</v>
      </c>
      <c r="B198" t="e">
        <f>AND(Bills!#REF!,"AAAAAD9L/wE=")</f>
        <v>#REF!</v>
      </c>
      <c r="C198" t="e">
        <f>AND(Bills!#REF!,"AAAAAD9L/wI=")</f>
        <v>#REF!</v>
      </c>
      <c r="D198" t="e">
        <f>AND(Bills!#REF!,"AAAAAD9L/wM=")</f>
        <v>#REF!</v>
      </c>
      <c r="E198" t="e">
        <f>AND(Bills!F831,"AAAAAD9L/wQ=")</f>
        <v>#VALUE!</v>
      </c>
      <c r="F198" t="e">
        <f>AND(Bills!#REF!,"AAAAAD9L/wU=")</f>
        <v>#REF!</v>
      </c>
      <c r="G198" t="e">
        <f>AND(Bills!G831,"AAAAAD9L/wY=")</f>
        <v>#VALUE!</v>
      </c>
      <c r="H198" t="e">
        <f>AND(Bills!H831,"AAAAAD9L/wc=")</f>
        <v>#VALUE!</v>
      </c>
      <c r="I198" t="e">
        <f>AND(Bills!I831,"AAAAAD9L/wg=")</f>
        <v>#VALUE!</v>
      </c>
      <c r="J198" t="e">
        <f>AND(Bills!J831,"AAAAAD9L/wk=")</f>
        <v>#VALUE!</v>
      </c>
      <c r="K198" t="e">
        <f>AND(Bills!K831,"AAAAAD9L/wo=")</f>
        <v>#VALUE!</v>
      </c>
      <c r="L198" t="e">
        <f>AND(Bills!L831,"AAAAAD9L/ws=")</f>
        <v>#VALUE!</v>
      </c>
      <c r="M198" t="e">
        <f>AND(Bills!#REF!,"AAAAAD9L/ww=")</f>
        <v>#REF!</v>
      </c>
      <c r="N198" t="e">
        <f>AND(Bills!M831,"AAAAAD9L/w0=")</f>
        <v>#VALUE!</v>
      </c>
      <c r="O198" t="e">
        <f>AND(Bills!N831,"AAAAAD9L/w4=")</f>
        <v>#VALUE!</v>
      </c>
      <c r="P198" t="e">
        <f>AND(Bills!O831,"AAAAAD9L/w8=")</f>
        <v>#VALUE!</v>
      </c>
      <c r="Q198" t="e">
        <f>AND(Bills!P831,"AAAAAD9L/xA=")</f>
        <v>#VALUE!</v>
      </c>
      <c r="R198" t="e">
        <f>AND(Bills!Q831,"AAAAAD9L/xE=")</f>
        <v>#VALUE!</v>
      </c>
      <c r="S198" t="e">
        <f>AND(Bills!R831,"AAAAAD9L/xI=")</f>
        <v>#VALUE!</v>
      </c>
      <c r="T198" t="e">
        <f>AND(Bills!S831,"AAAAAD9L/xM=")</f>
        <v>#VALUE!</v>
      </c>
      <c r="U198" t="e">
        <f>AND(Bills!T831,"AAAAAD9L/xQ=")</f>
        <v>#VALUE!</v>
      </c>
      <c r="V198" t="e">
        <f>AND(Bills!#REF!,"AAAAAD9L/xU=")</f>
        <v>#REF!</v>
      </c>
      <c r="W198" t="e">
        <f>AND(Bills!U831,"AAAAAD9L/xY=")</f>
        <v>#VALUE!</v>
      </c>
      <c r="X198" t="e">
        <f>AND(Bills!V831,"AAAAAD9L/xc=")</f>
        <v>#VALUE!</v>
      </c>
      <c r="Y198" t="e">
        <f>AND(Bills!W831,"AAAAAD9L/xg=")</f>
        <v>#VALUE!</v>
      </c>
      <c r="Z198" t="e">
        <f>AND(Bills!#REF!,"AAAAAD9L/xk=")</f>
        <v>#REF!</v>
      </c>
      <c r="AA198" t="e">
        <f>AND(Bills!#REF!,"AAAAAD9L/xo=")</f>
        <v>#REF!</v>
      </c>
      <c r="AB198" t="e">
        <f>AND(Bills!Y831,"AAAAAD9L/xs=")</f>
        <v>#VALUE!</v>
      </c>
      <c r="AC198" t="e">
        <f>AND(Bills!Z831,"AAAAAD9L/xw=")</f>
        <v>#VALUE!</v>
      </c>
      <c r="AD198" t="e">
        <f>AND(Bills!#REF!,"AAAAAD9L/x0=")</f>
        <v>#REF!</v>
      </c>
      <c r="AE198" t="e">
        <f>AND(Bills!#REF!,"AAAAAD9L/x4=")</f>
        <v>#REF!</v>
      </c>
      <c r="AF198" t="e">
        <f>AND(Bills!#REF!,"AAAAAD9L/x8=")</f>
        <v>#REF!</v>
      </c>
      <c r="AG198" t="e">
        <f>AND(Bills!#REF!,"AAAAAD9L/yA=")</f>
        <v>#REF!</v>
      </c>
      <c r="AH198" t="e">
        <f>AND(Bills!#REF!,"AAAAAD9L/yE=")</f>
        <v>#REF!</v>
      </c>
      <c r="AI198" t="e">
        <f>AND(Bills!#REF!,"AAAAAD9L/yI=")</f>
        <v>#REF!</v>
      </c>
      <c r="AJ198" t="e">
        <f>AND(Bills!#REF!,"AAAAAD9L/yM=")</f>
        <v>#REF!</v>
      </c>
      <c r="AK198" t="e">
        <f>AND(Bills!#REF!,"AAAAAD9L/yQ=")</f>
        <v>#REF!</v>
      </c>
      <c r="AL198" t="e">
        <f>AND(Bills!#REF!,"AAAAAD9L/yU=")</f>
        <v>#REF!</v>
      </c>
      <c r="AM198" t="e">
        <f>AND(Bills!AA831,"AAAAAD9L/yY=")</f>
        <v>#VALUE!</v>
      </c>
      <c r="AN198" t="e">
        <f>AND(Bills!AB831,"AAAAAD9L/yc=")</f>
        <v>#VALUE!</v>
      </c>
      <c r="AO198" t="e">
        <f>AND(Bills!#REF!,"AAAAAD9L/yg=")</f>
        <v>#REF!</v>
      </c>
      <c r="AP198" t="e">
        <f>AND(Bills!#REF!,"AAAAAD9L/yk=")</f>
        <v>#REF!</v>
      </c>
      <c r="AQ198" t="e">
        <f>AND(Bills!#REF!,"AAAAAD9L/yo=")</f>
        <v>#REF!</v>
      </c>
      <c r="AR198" t="e">
        <f>AND(Bills!AC831,"AAAAAD9L/ys=")</f>
        <v>#VALUE!</v>
      </c>
      <c r="AS198" t="e">
        <f>AND(Bills!AD831,"AAAAAD9L/yw=")</f>
        <v>#VALUE!</v>
      </c>
      <c r="AT198" t="e">
        <f>AND(Bills!AE831,"AAAAAD9L/y0=")</f>
        <v>#VALUE!</v>
      </c>
      <c r="AU198">
        <f>IF(Bills!832:832,"AAAAAD9L/y4=",0)</f>
        <v>0</v>
      </c>
      <c r="AV198" t="e">
        <f>AND(Bills!B832,"AAAAAD9L/y8=")</f>
        <v>#VALUE!</v>
      </c>
      <c r="AW198" t="e">
        <f>AND(Bills!#REF!,"AAAAAD9L/zA=")</f>
        <v>#REF!</v>
      </c>
      <c r="AX198" t="e">
        <f>AND(Bills!C832,"AAAAAD9L/zE=")</f>
        <v>#VALUE!</v>
      </c>
      <c r="AY198" t="e">
        <f>AND(Bills!D832,"AAAAAD9L/zI=")</f>
        <v>#VALUE!</v>
      </c>
      <c r="AZ198" t="e">
        <f>AND(Bills!E832,"AAAAAD9L/zM=")</f>
        <v>#VALUE!</v>
      </c>
      <c r="BA198" t="e">
        <f>AND(Bills!#REF!,"AAAAAD9L/zQ=")</f>
        <v>#REF!</v>
      </c>
      <c r="BB198" t="e">
        <f>AND(Bills!#REF!,"AAAAAD9L/zU=")</f>
        <v>#REF!</v>
      </c>
      <c r="BC198" t="e">
        <f>AND(Bills!#REF!,"AAAAAD9L/zY=")</f>
        <v>#REF!</v>
      </c>
      <c r="BD198" t="e">
        <f>AND(Bills!F832,"AAAAAD9L/zc=")</f>
        <v>#VALUE!</v>
      </c>
      <c r="BE198" t="e">
        <f>AND(Bills!#REF!,"AAAAAD9L/zg=")</f>
        <v>#REF!</v>
      </c>
      <c r="BF198" t="e">
        <f>AND(Bills!G832,"AAAAAD9L/zk=")</f>
        <v>#VALUE!</v>
      </c>
      <c r="BG198" t="e">
        <f>AND(Bills!H832,"AAAAAD9L/zo=")</f>
        <v>#VALUE!</v>
      </c>
      <c r="BH198" t="e">
        <f>AND(Bills!I832,"AAAAAD9L/zs=")</f>
        <v>#VALUE!</v>
      </c>
      <c r="BI198" t="e">
        <f>AND(Bills!J832,"AAAAAD9L/zw=")</f>
        <v>#VALUE!</v>
      </c>
      <c r="BJ198" t="e">
        <f>AND(Bills!K832,"AAAAAD9L/z0=")</f>
        <v>#VALUE!</v>
      </c>
      <c r="BK198" t="e">
        <f>AND(Bills!L832,"AAAAAD9L/z4=")</f>
        <v>#VALUE!</v>
      </c>
      <c r="BL198" t="e">
        <f>AND(Bills!#REF!,"AAAAAD9L/z8=")</f>
        <v>#REF!</v>
      </c>
      <c r="BM198" t="e">
        <f>AND(Bills!M832,"AAAAAD9L/0A=")</f>
        <v>#VALUE!</v>
      </c>
      <c r="BN198" t="e">
        <f>AND(Bills!N832,"AAAAAD9L/0E=")</f>
        <v>#VALUE!</v>
      </c>
      <c r="BO198" t="e">
        <f>AND(Bills!O832,"AAAAAD9L/0I=")</f>
        <v>#VALUE!</v>
      </c>
      <c r="BP198" t="e">
        <f>AND(Bills!P832,"AAAAAD9L/0M=")</f>
        <v>#VALUE!</v>
      </c>
      <c r="BQ198" t="e">
        <f>AND(Bills!Q832,"AAAAAD9L/0Q=")</f>
        <v>#VALUE!</v>
      </c>
      <c r="BR198" t="e">
        <f>AND(Bills!R832,"AAAAAD9L/0U=")</f>
        <v>#VALUE!</v>
      </c>
      <c r="BS198" t="e">
        <f>AND(Bills!S832,"AAAAAD9L/0Y=")</f>
        <v>#VALUE!</v>
      </c>
      <c r="BT198" t="e">
        <f>AND(Bills!T832,"AAAAAD9L/0c=")</f>
        <v>#VALUE!</v>
      </c>
      <c r="BU198" t="e">
        <f>AND(Bills!#REF!,"AAAAAD9L/0g=")</f>
        <v>#REF!</v>
      </c>
      <c r="BV198" t="e">
        <f>AND(Bills!U832,"AAAAAD9L/0k=")</f>
        <v>#VALUE!</v>
      </c>
      <c r="BW198" t="e">
        <f>AND(Bills!V832,"AAAAAD9L/0o=")</f>
        <v>#VALUE!</v>
      </c>
      <c r="BX198" t="e">
        <f>AND(Bills!W832,"AAAAAD9L/0s=")</f>
        <v>#VALUE!</v>
      </c>
      <c r="BY198" t="e">
        <f>AND(Bills!#REF!,"AAAAAD9L/0w=")</f>
        <v>#REF!</v>
      </c>
      <c r="BZ198" t="e">
        <f>AND(Bills!#REF!,"AAAAAD9L/00=")</f>
        <v>#REF!</v>
      </c>
      <c r="CA198" t="e">
        <f>AND(Bills!Y832,"AAAAAD9L/04=")</f>
        <v>#VALUE!</v>
      </c>
      <c r="CB198" t="e">
        <f>AND(Bills!Z832,"AAAAAD9L/08=")</f>
        <v>#VALUE!</v>
      </c>
      <c r="CC198" t="e">
        <f>AND(Bills!#REF!,"AAAAAD9L/1A=")</f>
        <v>#REF!</v>
      </c>
      <c r="CD198" t="e">
        <f>AND(Bills!#REF!,"AAAAAD9L/1E=")</f>
        <v>#REF!</v>
      </c>
      <c r="CE198" t="e">
        <f>AND(Bills!#REF!,"AAAAAD9L/1I=")</f>
        <v>#REF!</v>
      </c>
      <c r="CF198" t="e">
        <f>AND(Bills!#REF!,"AAAAAD9L/1M=")</f>
        <v>#REF!</v>
      </c>
      <c r="CG198" t="e">
        <f>AND(Bills!#REF!,"AAAAAD9L/1Q=")</f>
        <v>#REF!</v>
      </c>
      <c r="CH198" t="e">
        <f>AND(Bills!#REF!,"AAAAAD9L/1U=")</f>
        <v>#REF!</v>
      </c>
      <c r="CI198" t="e">
        <f>AND(Bills!#REF!,"AAAAAD9L/1Y=")</f>
        <v>#REF!</v>
      </c>
      <c r="CJ198" t="e">
        <f>AND(Bills!#REF!,"AAAAAD9L/1c=")</f>
        <v>#REF!</v>
      </c>
      <c r="CK198" t="e">
        <f>AND(Bills!#REF!,"AAAAAD9L/1g=")</f>
        <v>#REF!</v>
      </c>
      <c r="CL198" t="e">
        <f>AND(Bills!AA832,"AAAAAD9L/1k=")</f>
        <v>#VALUE!</v>
      </c>
      <c r="CM198" t="e">
        <f>AND(Bills!AB832,"AAAAAD9L/1o=")</f>
        <v>#VALUE!</v>
      </c>
      <c r="CN198" t="e">
        <f>AND(Bills!#REF!,"AAAAAD9L/1s=")</f>
        <v>#REF!</v>
      </c>
      <c r="CO198" t="e">
        <f>AND(Bills!#REF!,"AAAAAD9L/1w=")</f>
        <v>#REF!</v>
      </c>
      <c r="CP198" t="e">
        <f>AND(Bills!#REF!,"AAAAAD9L/10=")</f>
        <v>#REF!</v>
      </c>
      <c r="CQ198" t="e">
        <f>AND(Bills!AC832,"AAAAAD9L/14=")</f>
        <v>#VALUE!</v>
      </c>
      <c r="CR198" t="e">
        <f>AND(Bills!AD832,"AAAAAD9L/18=")</f>
        <v>#VALUE!</v>
      </c>
      <c r="CS198" t="e">
        <f>AND(Bills!AE832,"AAAAAD9L/2A=")</f>
        <v>#VALUE!</v>
      </c>
      <c r="CT198">
        <f>IF(Bills!833:833,"AAAAAD9L/2E=",0)</f>
        <v>0</v>
      </c>
      <c r="CU198" t="e">
        <f>AND(Bills!B833,"AAAAAD9L/2I=")</f>
        <v>#VALUE!</v>
      </c>
      <c r="CV198" t="e">
        <f>AND(Bills!#REF!,"AAAAAD9L/2M=")</f>
        <v>#REF!</v>
      </c>
      <c r="CW198" t="e">
        <f>AND(Bills!C833,"AAAAAD9L/2Q=")</f>
        <v>#VALUE!</v>
      </c>
      <c r="CX198" t="e">
        <f>AND(Bills!D833,"AAAAAD9L/2U=")</f>
        <v>#VALUE!</v>
      </c>
      <c r="CY198" t="e">
        <f>AND(Bills!E833,"AAAAAD9L/2Y=")</f>
        <v>#VALUE!</v>
      </c>
      <c r="CZ198" t="e">
        <f>AND(Bills!#REF!,"AAAAAD9L/2c=")</f>
        <v>#REF!</v>
      </c>
      <c r="DA198" t="e">
        <f>AND(Bills!#REF!,"AAAAAD9L/2g=")</f>
        <v>#REF!</v>
      </c>
      <c r="DB198" t="e">
        <f>AND(Bills!#REF!,"AAAAAD9L/2k=")</f>
        <v>#REF!</v>
      </c>
      <c r="DC198" t="e">
        <f>AND(Bills!F833,"AAAAAD9L/2o=")</f>
        <v>#VALUE!</v>
      </c>
      <c r="DD198" t="e">
        <f>AND(Bills!#REF!,"AAAAAD9L/2s=")</f>
        <v>#REF!</v>
      </c>
      <c r="DE198" t="e">
        <f>AND(Bills!G833,"AAAAAD9L/2w=")</f>
        <v>#VALUE!</v>
      </c>
      <c r="DF198" t="e">
        <f>AND(Bills!H833,"AAAAAD9L/20=")</f>
        <v>#VALUE!</v>
      </c>
      <c r="DG198" t="e">
        <f>AND(Bills!I833,"AAAAAD9L/24=")</f>
        <v>#VALUE!</v>
      </c>
      <c r="DH198" t="e">
        <f>AND(Bills!J833,"AAAAAD9L/28=")</f>
        <v>#VALUE!</v>
      </c>
      <c r="DI198" t="e">
        <f>AND(Bills!K833,"AAAAAD9L/3A=")</f>
        <v>#VALUE!</v>
      </c>
      <c r="DJ198" t="e">
        <f>AND(Bills!L833,"AAAAAD9L/3E=")</f>
        <v>#VALUE!</v>
      </c>
      <c r="DK198" t="e">
        <f>AND(Bills!#REF!,"AAAAAD9L/3I=")</f>
        <v>#REF!</v>
      </c>
      <c r="DL198" t="e">
        <f>AND(Bills!M833,"AAAAAD9L/3M=")</f>
        <v>#VALUE!</v>
      </c>
      <c r="DM198" t="e">
        <f>AND(Bills!N833,"AAAAAD9L/3Q=")</f>
        <v>#VALUE!</v>
      </c>
      <c r="DN198" t="e">
        <f>AND(Bills!O833,"AAAAAD9L/3U=")</f>
        <v>#VALUE!</v>
      </c>
      <c r="DO198" t="e">
        <f>AND(Bills!P833,"AAAAAD9L/3Y=")</f>
        <v>#VALUE!</v>
      </c>
      <c r="DP198" t="e">
        <f>AND(Bills!Q833,"AAAAAD9L/3c=")</f>
        <v>#VALUE!</v>
      </c>
      <c r="DQ198" t="e">
        <f>AND(Bills!R833,"AAAAAD9L/3g=")</f>
        <v>#VALUE!</v>
      </c>
      <c r="DR198" t="e">
        <f>AND(Bills!S833,"AAAAAD9L/3k=")</f>
        <v>#VALUE!</v>
      </c>
      <c r="DS198" t="e">
        <f>AND(Bills!T833,"AAAAAD9L/3o=")</f>
        <v>#VALUE!</v>
      </c>
      <c r="DT198" t="e">
        <f>AND(Bills!#REF!,"AAAAAD9L/3s=")</f>
        <v>#REF!</v>
      </c>
      <c r="DU198" t="e">
        <f>AND(Bills!U833,"AAAAAD9L/3w=")</f>
        <v>#VALUE!</v>
      </c>
      <c r="DV198" t="e">
        <f>AND(Bills!V833,"AAAAAD9L/30=")</f>
        <v>#VALUE!</v>
      </c>
      <c r="DW198" t="e">
        <f>AND(Bills!W833,"AAAAAD9L/34=")</f>
        <v>#VALUE!</v>
      </c>
      <c r="DX198" t="e">
        <f>AND(Bills!#REF!,"AAAAAD9L/38=")</f>
        <v>#REF!</v>
      </c>
      <c r="DY198" t="e">
        <f>AND(Bills!#REF!,"AAAAAD9L/4A=")</f>
        <v>#REF!</v>
      </c>
      <c r="DZ198" t="e">
        <f>AND(Bills!Y833,"AAAAAD9L/4E=")</f>
        <v>#VALUE!</v>
      </c>
      <c r="EA198" t="e">
        <f>AND(Bills!Z833,"AAAAAD9L/4I=")</f>
        <v>#VALUE!</v>
      </c>
      <c r="EB198" t="e">
        <f>AND(Bills!#REF!,"AAAAAD9L/4M=")</f>
        <v>#REF!</v>
      </c>
      <c r="EC198" t="e">
        <f>AND(Bills!#REF!,"AAAAAD9L/4Q=")</f>
        <v>#REF!</v>
      </c>
      <c r="ED198" t="e">
        <f>AND(Bills!#REF!,"AAAAAD9L/4U=")</f>
        <v>#REF!</v>
      </c>
      <c r="EE198" t="e">
        <f>AND(Bills!#REF!,"AAAAAD9L/4Y=")</f>
        <v>#REF!</v>
      </c>
      <c r="EF198" t="e">
        <f>AND(Bills!#REF!,"AAAAAD9L/4c=")</f>
        <v>#REF!</v>
      </c>
      <c r="EG198" t="e">
        <f>AND(Bills!#REF!,"AAAAAD9L/4g=")</f>
        <v>#REF!</v>
      </c>
      <c r="EH198" t="e">
        <f>AND(Bills!#REF!,"AAAAAD9L/4k=")</f>
        <v>#REF!</v>
      </c>
      <c r="EI198" t="e">
        <f>AND(Bills!#REF!,"AAAAAD9L/4o=")</f>
        <v>#REF!</v>
      </c>
      <c r="EJ198" t="e">
        <f>AND(Bills!#REF!,"AAAAAD9L/4s=")</f>
        <v>#REF!</v>
      </c>
      <c r="EK198" t="e">
        <f>AND(Bills!AA833,"AAAAAD9L/4w=")</f>
        <v>#VALUE!</v>
      </c>
      <c r="EL198" t="e">
        <f>AND(Bills!AB833,"AAAAAD9L/40=")</f>
        <v>#VALUE!</v>
      </c>
      <c r="EM198" t="e">
        <f>AND(Bills!#REF!,"AAAAAD9L/44=")</f>
        <v>#REF!</v>
      </c>
      <c r="EN198" t="e">
        <f>AND(Bills!#REF!,"AAAAAD9L/48=")</f>
        <v>#REF!</v>
      </c>
      <c r="EO198" t="e">
        <f>AND(Bills!#REF!,"AAAAAD9L/5A=")</f>
        <v>#REF!</v>
      </c>
      <c r="EP198" t="e">
        <f>AND(Bills!AC833,"AAAAAD9L/5E=")</f>
        <v>#VALUE!</v>
      </c>
      <c r="EQ198" t="e">
        <f>AND(Bills!AD833,"AAAAAD9L/5I=")</f>
        <v>#VALUE!</v>
      </c>
      <c r="ER198" t="e">
        <f>AND(Bills!AE833,"AAAAAD9L/5M=")</f>
        <v>#VALUE!</v>
      </c>
      <c r="ES198">
        <f>IF(Bills!834:834,"AAAAAD9L/5Q=",0)</f>
        <v>0</v>
      </c>
      <c r="ET198" t="e">
        <f>AND(Bills!B834,"AAAAAD9L/5U=")</f>
        <v>#VALUE!</v>
      </c>
      <c r="EU198" t="e">
        <f>AND(Bills!#REF!,"AAAAAD9L/5Y=")</f>
        <v>#REF!</v>
      </c>
      <c r="EV198" t="e">
        <f>AND(Bills!C834,"AAAAAD9L/5c=")</f>
        <v>#VALUE!</v>
      </c>
      <c r="EW198" t="e">
        <f>AND(Bills!D834,"AAAAAD9L/5g=")</f>
        <v>#VALUE!</v>
      </c>
      <c r="EX198" t="e">
        <f>AND(Bills!E834,"AAAAAD9L/5k=")</f>
        <v>#VALUE!</v>
      </c>
      <c r="EY198" t="e">
        <f>AND(Bills!#REF!,"AAAAAD9L/5o=")</f>
        <v>#REF!</v>
      </c>
      <c r="EZ198" t="e">
        <f>AND(Bills!#REF!,"AAAAAD9L/5s=")</f>
        <v>#REF!</v>
      </c>
      <c r="FA198" t="e">
        <f>AND(Bills!#REF!,"AAAAAD9L/5w=")</f>
        <v>#REF!</v>
      </c>
      <c r="FB198" t="e">
        <f>AND(Bills!F834,"AAAAAD9L/50=")</f>
        <v>#VALUE!</v>
      </c>
      <c r="FC198" t="e">
        <f>AND(Bills!#REF!,"AAAAAD9L/54=")</f>
        <v>#REF!</v>
      </c>
      <c r="FD198" t="e">
        <f>AND(Bills!G834,"AAAAAD9L/58=")</f>
        <v>#VALUE!</v>
      </c>
      <c r="FE198" t="e">
        <f>AND(Bills!H834,"AAAAAD9L/6A=")</f>
        <v>#VALUE!</v>
      </c>
      <c r="FF198" t="e">
        <f>AND(Bills!I834,"AAAAAD9L/6E=")</f>
        <v>#VALUE!</v>
      </c>
      <c r="FG198" t="e">
        <f>AND(Bills!J834,"AAAAAD9L/6I=")</f>
        <v>#VALUE!</v>
      </c>
      <c r="FH198" t="e">
        <f>AND(Bills!K834,"AAAAAD9L/6M=")</f>
        <v>#VALUE!</v>
      </c>
      <c r="FI198" t="e">
        <f>AND(Bills!L834,"AAAAAD9L/6Q=")</f>
        <v>#VALUE!</v>
      </c>
      <c r="FJ198" t="e">
        <f>AND(Bills!#REF!,"AAAAAD9L/6U=")</f>
        <v>#REF!</v>
      </c>
      <c r="FK198" t="e">
        <f>AND(Bills!M834,"AAAAAD9L/6Y=")</f>
        <v>#VALUE!</v>
      </c>
      <c r="FL198" t="e">
        <f>AND(Bills!N834,"AAAAAD9L/6c=")</f>
        <v>#VALUE!</v>
      </c>
      <c r="FM198" t="e">
        <f>AND(Bills!O834,"AAAAAD9L/6g=")</f>
        <v>#VALUE!</v>
      </c>
      <c r="FN198" t="e">
        <f>AND(Bills!P834,"AAAAAD9L/6k=")</f>
        <v>#VALUE!</v>
      </c>
      <c r="FO198" t="e">
        <f>AND(Bills!Q834,"AAAAAD9L/6o=")</f>
        <v>#VALUE!</v>
      </c>
      <c r="FP198" t="e">
        <f>AND(Bills!R834,"AAAAAD9L/6s=")</f>
        <v>#VALUE!</v>
      </c>
      <c r="FQ198" t="e">
        <f>AND(Bills!S834,"AAAAAD9L/6w=")</f>
        <v>#VALUE!</v>
      </c>
      <c r="FR198" t="e">
        <f>AND(Bills!T834,"AAAAAD9L/60=")</f>
        <v>#VALUE!</v>
      </c>
      <c r="FS198" t="e">
        <f>AND(Bills!#REF!,"AAAAAD9L/64=")</f>
        <v>#REF!</v>
      </c>
      <c r="FT198" t="e">
        <f>AND(Bills!U834,"AAAAAD9L/68=")</f>
        <v>#VALUE!</v>
      </c>
      <c r="FU198" t="e">
        <f>AND(Bills!V834,"AAAAAD9L/7A=")</f>
        <v>#VALUE!</v>
      </c>
      <c r="FV198" t="e">
        <f>AND(Bills!W834,"AAAAAD9L/7E=")</f>
        <v>#VALUE!</v>
      </c>
      <c r="FW198" t="e">
        <f>AND(Bills!#REF!,"AAAAAD9L/7I=")</f>
        <v>#REF!</v>
      </c>
      <c r="FX198" t="e">
        <f>AND(Bills!#REF!,"AAAAAD9L/7M=")</f>
        <v>#REF!</v>
      </c>
      <c r="FY198" t="e">
        <f>AND(Bills!Y834,"AAAAAD9L/7Q=")</f>
        <v>#VALUE!</v>
      </c>
      <c r="FZ198" t="e">
        <f>AND(Bills!Z834,"AAAAAD9L/7U=")</f>
        <v>#VALUE!</v>
      </c>
      <c r="GA198" t="e">
        <f>AND(Bills!#REF!,"AAAAAD9L/7Y=")</f>
        <v>#REF!</v>
      </c>
      <c r="GB198" t="e">
        <f>AND(Bills!#REF!,"AAAAAD9L/7c=")</f>
        <v>#REF!</v>
      </c>
      <c r="GC198" t="e">
        <f>AND(Bills!#REF!,"AAAAAD9L/7g=")</f>
        <v>#REF!</v>
      </c>
      <c r="GD198" t="e">
        <f>AND(Bills!#REF!,"AAAAAD9L/7k=")</f>
        <v>#REF!</v>
      </c>
      <c r="GE198" t="e">
        <f>AND(Bills!#REF!,"AAAAAD9L/7o=")</f>
        <v>#REF!</v>
      </c>
      <c r="GF198" t="e">
        <f>AND(Bills!#REF!,"AAAAAD9L/7s=")</f>
        <v>#REF!</v>
      </c>
      <c r="GG198" t="e">
        <f>AND(Bills!#REF!,"AAAAAD9L/7w=")</f>
        <v>#REF!</v>
      </c>
      <c r="GH198" t="e">
        <f>AND(Bills!#REF!,"AAAAAD9L/70=")</f>
        <v>#REF!</v>
      </c>
      <c r="GI198" t="e">
        <f>AND(Bills!#REF!,"AAAAAD9L/74=")</f>
        <v>#REF!</v>
      </c>
      <c r="GJ198" t="e">
        <f>AND(Bills!AA834,"AAAAAD9L/78=")</f>
        <v>#VALUE!</v>
      </c>
      <c r="GK198" t="e">
        <f>AND(Bills!AB834,"AAAAAD9L/8A=")</f>
        <v>#VALUE!</v>
      </c>
      <c r="GL198" t="e">
        <f>AND(Bills!#REF!,"AAAAAD9L/8E=")</f>
        <v>#REF!</v>
      </c>
      <c r="GM198" t="e">
        <f>AND(Bills!#REF!,"AAAAAD9L/8I=")</f>
        <v>#REF!</v>
      </c>
      <c r="GN198" t="e">
        <f>AND(Bills!#REF!,"AAAAAD9L/8M=")</f>
        <v>#REF!</v>
      </c>
      <c r="GO198" t="e">
        <f>AND(Bills!AC834,"AAAAAD9L/8Q=")</f>
        <v>#VALUE!</v>
      </c>
      <c r="GP198" t="e">
        <f>AND(Bills!AD834,"AAAAAD9L/8U=")</f>
        <v>#VALUE!</v>
      </c>
      <c r="GQ198" t="e">
        <f>AND(Bills!AE834,"AAAAAD9L/8Y=")</f>
        <v>#VALUE!</v>
      </c>
      <c r="GR198">
        <f>IF(Bills!835:835,"AAAAAD9L/8c=",0)</f>
        <v>0</v>
      </c>
      <c r="GS198" t="e">
        <f>AND(Bills!B835,"AAAAAD9L/8g=")</f>
        <v>#VALUE!</v>
      </c>
      <c r="GT198" t="e">
        <f>AND(Bills!#REF!,"AAAAAD9L/8k=")</f>
        <v>#REF!</v>
      </c>
      <c r="GU198" t="e">
        <f>AND(Bills!C835,"AAAAAD9L/8o=")</f>
        <v>#VALUE!</v>
      </c>
      <c r="GV198" t="e">
        <f>AND(Bills!D835,"AAAAAD9L/8s=")</f>
        <v>#VALUE!</v>
      </c>
      <c r="GW198" t="e">
        <f>AND(Bills!E835,"AAAAAD9L/8w=")</f>
        <v>#VALUE!</v>
      </c>
      <c r="GX198" t="e">
        <f>AND(Bills!#REF!,"AAAAAD9L/80=")</f>
        <v>#REF!</v>
      </c>
      <c r="GY198" t="e">
        <f>AND(Bills!#REF!,"AAAAAD9L/84=")</f>
        <v>#REF!</v>
      </c>
      <c r="GZ198" t="e">
        <f>AND(Bills!#REF!,"AAAAAD9L/88=")</f>
        <v>#REF!</v>
      </c>
      <c r="HA198" t="e">
        <f>AND(Bills!F835,"AAAAAD9L/9A=")</f>
        <v>#VALUE!</v>
      </c>
      <c r="HB198" t="e">
        <f>AND(Bills!#REF!,"AAAAAD9L/9E=")</f>
        <v>#REF!</v>
      </c>
      <c r="HC198" t="e">
        <f>AND(Bills!G835,"AAAAAD9L/9I=")</f>
        <v>#VALUE!</v>
      </c>
      <c r="HD198" t="e">
        <f>AND(Bills!H835,"AAAAAD9L/9M=")</f>
        <v>#VALUE!</v>
      </c>
      <c r="HE198" t="e">
        <f>AND(Bills!I835,"AAAAAD9L/9Q=")</f>
        <v>#VALUE!</v>
      </c>
      <c r="HF198" t="e">
        <f>AND(Bills!J835,"AAAAAD9L/9U=")</f>
        <v>#VALUE!</v>
      </c>
      <c r="HG198" t="e">
        <f>AND(Bills!K835,"AAAAAD9L/9Y=")</f>
        <v>#VALUE!</v>
      </c>
      <c r="HH198" t="e">
        <f>AND(Bills!L835,"AAAAAD9L/9c=")</f>
        <v>#VALUE!</v>
      </c>
      <c r="HI198" t="e">
        <f>AND(Bills!#REF!,"AAAAAD9L/9g=")</f>
        <v>#REF!</v>
      </c>
      <c r="HJ198" t="e">
        <f>AND(Bills!M835,"AAAAAD9L/9k=")</f>
        <v>#VALUE!</v>
      </c>
      <c r="HK198" t="e">
        <f>AND(Bills!N835,"AAAAAD9L/9o=")</f>
        <v>#VALUE!</v>
      </c>
      <c r="HL198" t="e">
        <f>AND(Bills!O835,"AAAAAD9L/9s=")</f>
        <v>#VALUE!</v>
      </c>
      <c r="HM198" t="e">
        <f>AND(Bills!P835,"AAAAAD9L/9w=")</f>
        <v>#VALUE!</v>
      </c>
      <c r="HN198" t="e">
        <f>AND(Bills!Q835,"AAAAAD9L/90=")</f>
        <v>#VALUE!</v>
      </c>
      <c r="HO198" t="e">
        <f>AND(Bills!R835,"AAAAAD9L/94=")</f>
        <v>#VALUE!</v>
      </c>
      <c r="HP198" t="e">
        <f>AND(Bills!S835,"AAAAAD9L/98=")</f>
        <v>#VALUE!</v>
      </c>
      <c r="HQ198" t="e">
        <f>AND(Bills!T835,"AAAAAD9L/+A=")</f>
        <v>#VALUE!</v>
      </c>
      <c r="HR198" t="e">
        <f>AND(Bills!#REF!,"AAAAAD9L/+E=")</f>
        <v>#REF!</v>
      </c>
      <c r="HS198" t="e">
        <f>AND(Bills!U835,"AAAAAD9L/+I=")</f>
        <v>#VALUE!</v>
      </c>
      <c r="HT198" t="e">
        <f>AND(Bills!V835,"AAAAAD9L/+M=")</f>
        <v>#VALUE!</v>
      </c>
      <c r="HU198" t="e">
        <f>AND(Bills!W835,"AAAAAD9L/+Q=")</f>
        <v>#VALUE!</v>
      </c>
      <c r="HV198" t="e">
        <f>AND(Bills!#REF!,"AAAAAD9L/+U=")</f>
        <v>#REF!</v>
      </c>
      <c r="HW198" t="e">
        <f>AND(Bills!#REF!,"AAAAAD9L/+Y=")</f>
        <v>#REF!</v>
      </c>
      <c r="HX198" t="e">
        <f>AND(Bills!Y835,"AAAAAD9L/+c=")</f>
        <v>#VALUE!</v>
      </c>
      <c r="HY198" t="e">
        <f>AND(Bills!Z835,"AAAAAD9L/+g=")</f>
        <v>#VALUE!</v>
      </c>
      <c r="HZ198" t="e">
        <f>AND(Bills!#REF!,"AAAAAD9L/+k=")</f>
        <v>#REF!</v>
      </c>
      <c r="IA198" t="e">
        <f>AND(Bills!#REF!,"AAAAAD9L/+o=")</f>
        <v>#REF!</v>
      </c>
      <c r="IB198" t="e">
        <f>AND(Bills!#REF!,"AAAAAD9L/+s=")</f>
        <v>#REF!</v>
      </c>
      <c r="IC198" t="e">
        <f>AND(Bills!#REF!,"AAAAAD9L/+w=")</f>
        <v>#REF!</v>
      </c>
      <c r="ID198" t="e">
        <f>AND(Bills!#REF!,"AAAAAD9L/+0=")</f>
        <v>#REF!</v>
      </c>
      <c r="IE198" t="e">
        <f>AND(Bills!#REF!,"AAAAAD9L/+4=")</f>
        <v>#REF!</v>
      </c>
      <c r="IF198" t="e">
        <f>AND(Bills!#REF!,"AAAAAD9L/+8=")</f>
        <v>#REF!</v>
      </c>
      <c r="IG198" t="e">
        <f>AND(Bills!#REF!,"AAAAAD9L//A=")</f>
        <v>#REF!</v>
      </c>
      <c r="IH198" t="e">
        <f>AND(Bills!#REF!,"AAAAAD9L//E=")</f>
        <v>#REF!</v>
      </c>
      <c r="II198" t="e">
        <f>AND(Bills!AA835,"AAAAAD9L//I=")</f>
        <v>#VALUE!</v>
      </c>
      <c r="IJ198" t="e">
        <f>AND(Bills!AB835,"AAAAAD9L//M=")</f>
        <v>#VALUE!</v>
      </c>
      <c r="IK198" t="e">
        <f>AND(Bills!#REF!,"AAAAAD9L//Q=")</f>
        <v>#REF!</v>
      </c>
      <c r="IL198" t="e">
        <f>AND(Bills!#REF!,"AAAAAD9L//U=")</f>
        <v>#REF!</v>
      </c>
      <c r="IM198" t="e">
        <f>AND(Bills!#REF!,"AAAAAD9L//Y=")</f>
        <v>#REF!</v>
      </c>
      <c r="IN198" t="e">
        <f>AND(Bills!AC835,"AAAAAD9L//c=")</f>
        <v>#VALUE!</v>
      </c>
      <c r="IO198" t="e">
        <f>AND(Bills!AD835,"AAAAAD9L//g=")</f>
        <v>#VALUE!</v>
      </c>
      <c r="IP198" t="e">
        <f>AND(Bills!AE835,"AAAAAD9L//k=")</f>
        <v>#VALUE!</v>
      </c>
      <c r="IQ198">
        <f>IF(Bills!836:836,"AAAAAD9L//o=",0)</f>
        <v>0</v>
      </c>
      <c r="IR198" t="e">
        <f>AND(Bills!B836,"AAAAAD9L//s=")</f>
        <v>#VALUE!</v>
      </c>
      <c r="IS198" t="e">
        <f>AND(Bills!#REF!,"AAAAAD9L//w=")</f>
        <v>#REF!</v>
      </c>
      <c r="IT198" t="e">
        <f>AND(Bills!C836,"AAAAAD9L//0=")</f>
        <v>#VALUE!</v>
      </c>
      <c r="IU198" t="e">
        <f>AND(Bills!D836,"AAAAAD9L//4=")</f>
        <v>#VALUE!</v>
      </c>
      <c r="IV198" t="e">
        <f>AND(Bills!E836,"AAAAAD9L//8=")</f>
        <v>#VALUE!</v>
      </c>
    </row>
    <row r="199" spans="1:256" x14ac:dyDescent="0.25">
      <c r="A199" t="e">
        <f>AND(Bills!#REF!,"AAAAAHW3/wA=")</f>
        <v>#REF!</v>
      </c>
      <c r="B199" t="e">
        <f>AND(Bills!#REF!,"AAAAAHW3/wE=")</f>
        <v>#REF!</v>
      </c>
      <c r="C199" t="e">
        <f>AND(Bills!#REF!,"AAAAAHW3/wI=")</f>
        <v>#REF!</v>
      </c>
      <c r="D199" t="e">
        <f>AND(Bills!F836,"AAAAAHW3/wM=")</f>
        <v>#VALUE!</v>
      </c>
      <c r="E199" t="e">
        <f>AND(Bills!#REF!,"AAAAAHW3/wQ=")</f>
        <v>#REF!</v>
      </c>
      <c r="F199" t="e">
        <f>AND(Bills!G836,"AAAAAHW3/wU=")</f>
        <v>#VALUE!</v>
      </c>
      <c r="G199" t="e">
        <f>AND(Bills!H836,"AAAAAHW3/wY=")</f>
        <v>#VALUE!</v>
      </c>
      <c r="H199" t="e">
        <f>AND(Bills!I836,"AAAAAHW3/wc=")</f>
        <v>#VALUE!</v>
      </c>
      <c r="I199" t="e">
        <f>AND(Bills!J836,"AAAAAHW3/wg=")</f>
        <v>#VALUE!</v>
      </c>
      <c r="J199" t="e">
        <f>AND(Bills!K836,"AAAAAHW3/wk=")</f>
        <v>#VALUE!</v>
      </c>
      <c r="K199" t="e">
        <f>AND(Bills!L836,"AAAAAHW3/wo=")</f>
        <v>#VALUE!</v>
      </c>
      <c r="L199" t="e">
        <f>AND(Bills!#REF!,"AAAAAHW3/ws=")</f>
        <v>#REF!</v>
      </c>
      <c r="M199" t="e">
        <f>AND(Bills!M836,"AAAAAHW3/ww=")</f>
        <v>#VALUE!</v>
      </c>
      <c r="N199" t="e">
        <f>AND(Bills!N836,"AAAAAHW3/w0=")</f>
        <v>#VALUE!</v>
      </c>
      <c r="O199" t="e">
        <f>AND(Bills!O836,"AAAAAHW3/w4=")</f>
        <v>#VALUE!</v>
      </c>
      <c r="P199" t="e">
        <f>AND(Bills!P836,"AAAAAHW3/w8=")</f>
        <v>#VALUE!</v>
      </c>
      <c r="Q199" t="e">
        <f>AND(Bills!Q836,"AAAAAHW3/xA=")</f>
        <v>#VALUE!</v>
      </c>
      <c r="R199" t="e">
        <f>AND(Bills!R836,"AAAAAHW3/xE=")</f>
        <v>#VALUE!</v>
      </c>
      <c r="S199" t="e">
        <f>AND(Bills!S836,"AAAAAHW3/xI=")</f>
        <v>#VALUE!</v>
      </c>
      <c r="T199" t="e">
        <f>AND(Bills!T836,"AAAAAHW3/xM=")</f>
        <v>#VALUE!</v>
      </c>
      <c r="U199" t="e">
        <f>AND(Bills!#REF!,"AAAAAHW3/xQ=")</f>
        <v>#REF!</v>
      </c>
      <c r="V199" t="e">
        <f>AND(Bills!U836,"AAAAAHW3/xU=")</f>
        <v>#VALUE!</v>
      </c>
      <c r="W199" t="e">
        <f>AND(Bills!V836,"AAAAAHW3/xY=")</f>
        <v>#VALUE!</v>
      </c>
      <c r="X199" t="e">
        <f>AND(Bills!W836,"AAAAAHW3/xc=")</f>
        <v>#VALUE!</v>
      </c>
      <c r="Y199" t="e">
        <f>AND(Bills!#REF!,"AAAAAHW3/xg=")</f>
        <v>#REF!</v>
      </c>
      <c r="Z199" t="e">
        <f>AND(Bills!#REF!,"AAAAAHW3/xk=")</f>
        <v>#REF!</v>
      </c>
      <c r="AA199" t="e">
        <f>AND(Bills!Y836,"AAAAAHW3/xo=")</f>
        <v>#VALUE!</v>
      </c>
      <c r="AB199" t="e">
        <f>AND(Bills!Z836,"AAAAAHW3/xs=")</f>
        <v>#VALUE!</v>
      </c>
      <c r="AC199" t="e">
        <f>AND(Bills!#REF!,"AAAAAHW3/xw=")</f>
        <v>#REF!</v>
      </c>
      <c r="AD199" t="e">
        <f>AND(Bills!#REF!,"AAAAAHW3/x0=")</f>
        <v>#REF!</v>
      </c>
      <c r="AE199" t="e">
        <f>AND(Bills!#REF!,"AAAAAHW3/x4=")</f>
        <v>#REF!</v>
      </c>
      <c r="AF199" t="e">
        <f>AND(Bills!#REF!,"AAAAAHW3/x8=")</f>
        <v>#REF!</v>
      </c>
      <c r="AG199" t="e">
        <f>AND(Bills!#REF!,"AAAAAHW3/yA=")</f>
        <v>#REF!</v>
      </c>
      <c r="AH199" t="e">
        <f>AND(Bills!#REF!,"AAAAAHW3/yE=")</f>
        <v>#REF!</v>
      </c>
      <c r="AI199" t="e">
        <f>AND(Bills!#REF!,"AAAAAHW3/yI=")</f>
        <v>#REF!</v>
      </c>
      <c r="AJ199" t="e">
        <f>AND(Bills!#REF!,"AAAAAHW3/yM=")</f>
        <v>#REF!</v>
      </c>
      <c r="AK199" t="e">
        <f>AND(Bills!#REF!,"AAAAAHW3/yQ=")</f>
        <v>#REF!</v>
      </c>
      <c r="AL199" t="e">
        <f>AND(Bills!AA836,"AAAAAHW3/yU=")</f>
        <v>#VALUE!</v>
      </c>
      <c r="AM199" t="e">
        <f>AND(Bills!AB836,"AAAAAHW3/yY=")</f>
        <v>#VALUE!</v>
      </c>
      <c r="AN199" t="e">
        <f>AND(Bills!#REF!,"AAAAAHW3/yc=")</f>
        <v>#REF!</v>
      </c>
      <c r="AO199" t="e">
        <f>AND(Bills!#REF!,"AAAAAHW3/yg=")</f>
        <v>#REF!</v>
      </c>
      <c r="AP199" t="e">
        <f>AND(Bills!#REF!,"AAAAAHW3/yk=")</f>
        <v>#REF!</v>
      </c>
      <c r="AQ199" t="e">
        <f>AND(Bills!AC836,"AAAAAHW3/yo=")</f>
        <v>#VALUE!</v>
      </c>
      <c r="AR199" t="e">
        <f>AND(Bills!AD836,"AAAAAHW3/ys=")</f>
        <v>#VALUE!</v>
      </c>
      <c r="AS199" t="e">
        <f>AND(Bills!AE836,"AAAAAHW3/yw=")</f>
        <v>#VALUE!</v>
      </c>
      <c r="AT199">
        <f>IF(Bills!837:837,"AAAAAHW3/y0=",0)</f>
        <v>0</v>
      </c>
      <c r="AU199" t="e">
        <f>AND(Bills!B837,"AAAAAHW3/y4=")</f>
        <v>#VALUE!</v>
      </c>
      <c r="AV199" t="e">
        <f>AND(Bills!#REF!,"AAAAAHW3/y8=")</f>
        <v>#REF!</v>
      </c>
      <c r="AW199" t="e">
        <f>AND(Bills!C837,"AAAAAHW3/zA=")</f>
        <v>#VALUE!</v>
      </c>
      <c r="AX199" t="e">
        <f>AND(Bills!D837,"AAAAAHW3/zE=")</f>
        <v>#VALUE!</v>
      </c>
      <c r="AY199" t="e">
        <f>AND(Bills!E837,"AAAAAHW3/zI=")</f>
        <v>#VALUE!</v>
      </c>
      <c r="AZ199" t="e">
        <f>AND(Bills!#REF!,"AAAAAHW3/zM=")</f>
        <v>#REF!</v>
      </c>
      <c r="BA199" t="e">
        <f>AND(Bills!#REF!,"AAAAAHW3/zQ=")</f>
        <v>#REF!</v>
      </c>
      <c r="BB199" t="e">
        <f>AND(Bills!#REF!,"AAAAAHW3/zU=")</f>
        <v>#REF!</v>
      </c>
      <c r="BC199" t="e">
        <f>AND(Bills!F837,"AAAAAHW3/zY=")</f>
        <v>#VALUE!</v>
      </c>
      <c r="BD199" t="e">
        <f>AND(Bills!#REF!,"AAAAAHW3/zc=")</f>
        <v>#REF!</v>
      </c>
      <c r="BE199" t="e">
        <f>AND(Bills!G837,"AAAAAHW3/zg=")</f>
        <v>#VALUE!</v>
      </c>
      <c r="BF199" t="e">
        <f>AND(Bills!H837,"AAAAAHW3/zk=")</f>
        <v>#VALUE!</v>
      </c>
      <c r="BG199" t="e">
        <f>AND(Bills!I837,"AAAAAHW3/zo=")</f>
        <v>#VALUE!</v>
      </c>
      <c r="BH199" t="e">
        <f>AND(Bills!J837,"AAAAAHW3/zs=")</f>
        <v>#VALUE!</v>
      </c>
      <c r="BI199" t="e">
        <f>AND(Bills!K837,"AAAAAHW3/zw=")</f>
        <v>#VALUE!</v>
      </c>
      <c r="BJ199" t="e">
        <f>AND(Bills!L837,"AAAAAHW3/z0=")</f>
        <v>#VALUE!</v>
      </c>
      <c r="BK199" t="e">
        <f>AND(Bills!#REF!,"AAAAAHW3/z4=")</f>
        <v>#REF!</v>
      </c>
      <c r="BL199" t="e">
        <f>AND(Bills!M837,"AAAAAHW3/z8=")</f>
        <v>#VALUE!</v>
      </c>
      <c r="BM199" t="e">
        <f>AND(Bills!N837,"AAAAAHW3/0A=")</f>
        <v>#VALUE!</v>
      </c>
      <c r="BN199" t="e">
        <f>AND(Bills!O837,"AAAAAHW3/0E=")</f>
        <v>#VALUE!</v>
      </c>
      <c r="BO199" t="e">
        <f>AND(Bills!P837,"AAAAAHW3/0I=")</f>
        <v>#VALUE!</v>
      </c>
      <c r="BP199" t="e">
        <f>AND(Bills!Q837,"AAAAAHW3/0M=")</f>
        <v>#VALUE!</v>
      </c>
      <c r="BQ199" t="e">
        <f>AND(Bills!R837,"AAAAAHW3/0Q=")</f>
        <v>#VALUE!</v>
      </c>
      <c r="BR199" t="e">
        <f>AND(Bills!S837,"AAAAAHW3/0U=")</f>
        <v>#VALUE!</v>
      </c>
      <c r="BS199" t="e">
        <f>AND(Bills!T837,"AAAAAHW3/0Y=")</f>
        <v>#VALUE!</v>
      </c>
      <c r="BT199" t="e">
        <f>AND(Bills!#REF!,"AAAAAHW3/0c=")</f>
        <v>#REF!</v>
      </c>
      <c r="BU199" t="e">
        <f>AND(Bills!U837,"AAAAAHW3/0g=")</f>
        <v>#VALUE!</v>
      </c>
      <c r="BV199" t="e">
        <f>AND(Bills!V837,"AAAAAHW3/0k=")</f>
        <v>#VALUE!</v>
      </c>
      <c r="BW199" t="e">
        <f>AND(Bills!W837,"AAAAAHW3/0o=")</f>
        <v>#VALUE!</v>
      </c>
      <c r="BX199" t="e">
        <f>AND(Bills!#REF!,"AAAAAHW3/0s=")</f>
        <v>#REF!</v>
      </c>
      <c r="BY199" t="e">
        <f>AND(Bills!#REF!,"AAAAAHW3/0w=")</f>
        <v>#REF!</v>
      </c>
      <c r="BZ199" t="e">
        <f>AND(Bills!Y837,"AAAAAHW3/00=")</f>
        <v>#VALUE!</v>
      </c>
      <c r="CA199" t="e">
        <f>AND(Bills!Z837,"AAAAAHW3/04=")</f>
        <v>#VALUE!</v>
      </c>
      <c r="CB199" t="e">
        <f>AND(Bills!#REF!,"AAAAAHW3/08=")</f>
        <v>#REF!</v>
      </c>
      <c r="CC199" t="e">
        <f>AND(Bills!#REF!,"AAAAAHW3/1A=")</f>
        <v>#REF!</v>
      </c>
      <c r="CD199" t="e">
        <f>AND(Bills!#REF!,"AAAAAHW3/1E=")</f>
        <v>#REF!</v>
      </c>
      <c r="CE199" t="e">
        <f>AND(Bills!#REF!,"AAAAAHW3/1I=")</f>
        <v>#REF!</v>
      </c>
      <c r="CF199" t="e">
        <f>AND(Bills!#REF!,"AAAAAHW3/1M=")</f>
        <v>#REF!</v>
      </c>
      <c r="CG199" t="e">
        <f>AND(Bills!#REF!,"AAAAAHW3/1Q=")</f>
        <v>#REF!</v>
      </c>
      <c r="CH199" t="e">
        <f>AND(Bills!#REF!,"AAAAAHW3/1U=")</f>
        <v>#REF!</v>
      </c>
      <c r="CI199" t="e">
        <f>AND(Bills!#REF!,"AAAAAHW3/1Y=")</f>
        <v>#REF!</v>
      </c>
      <c r="CJ199" t="e">
        <f>AND(Bills!#REF!,"AAAAAHW3/1c=")</f>
        <v>#REF!</v>
      </c>
      <c r="CK199" t="e">
        <f>AND(Bills!AA837,"AAAAAHW3/1g=")</f>
        <v>#VALUE!</v>
      </c>
      <c r="CL199" t="e">
        <f>AND(Bills!AB837,"AAAAAHW3/1k=")</f>
        <v>#VALUE!</v>
      </c>
      <c r="CM199" t="e">
        <f>AND(Bills!#REF!,"AAAAAHW3/1o=")</f>
        <v>#REF!</v>
      </c>
      <c r="CN199" t="e">
        <f>AND(Bills!#REF!,"AAAAAHW3/1s=")</f>
        <v>#REF!</v>
      </c>
      <c r="CO199" t="e">
        <f>AND(Bills!#REF!,"AAAAAHW3/1w=")</f>
        <v>#REF!</v>
      </c>
      <c r="CP199" t="e">
        <f>AND(Bills!AC837,"AAAAAHW3/10=")</f>
        <v>#VALUE!</v>
      </c>
      <c r="CQ199" t="e">
        <f>AND(Bills!AD837,"AAAAAHW3/14=")</f>
        <v>#VALUE!</v>
      </c>
      <c r="CR199" t="e">
        <f>AND(Bills!AE837,"AAAAAHW3/18=")</f>
        <v>#VALUE!</v>
      </c>
      <c r="CS199">
        <f>IF(Bills!838:838,"AAAAAHW3/2A=",0)</f>
        <v>0</v>
      </c>
      <c r="CT199" t="e">
        <f>AND(Bills!B838,"AAAAAHW3/2E=")</f>
        <v>#VALUE!</v>
      </c>
      <c r="CU199" t="e">
        <f>AND(Bills!#REF!,"AAAAAHW3/2I=")</f>
        <v>#REF!</v>
      </c>
      <c r="CV199" t="e">
        <f>AND(Bills!C838,"AAAAAHW3/2M=")</f>
        <v>#VALUE!</v>
      </c>
      <c r="CW199" t="e">
        <f>AND(Bills!D838,"AAAAAHW3/2Q=")</f>
        <v>#VALUE!</v>
      </c>
      <c r="CX199" t="e">
        <f>AND(Bills!E838,"AAAAAHW3/2U=")</f>
        <v>#VALUE!</v>
      </c>
      <c r="CY199" t="e">
        <f>AND(Bills!#REF!,"AAAAAHW3/2Y=")</f>
        <v>#REF!</v>
      </c>
      <c r="CZ199" t="e">
        <f>AND(Bills!#REF!,"AAAAAHW3/2c=")</f>
        <v>#REF!</v>
      </c>
      <c r="DA199" t="e">
        <f>AND(Bills!#REF!,"AAAAAHW3/2g=")</f>
        <v>#REF!</v>
      </c>
      <c r="DB199" t="e">
        <f>AND(Bills!F838,"AAAAAHW3/2k=")</f>
        <v>#VALUE!</v>
      </c>
      <c r="DC199" t="e">
        <f>AND(Bills!#REF!,"AAAAAHW3/2o=")</f>
        <v>#REF!</v>
      </c>
      <c r="DD199" t="e">
        <f>AND(Bills!G838,"AAAAAHW3/2s=")</f>
        <v>#VALUE!</v>
      </c>
      <c r="DE199" t="e">
        <f>AND(Bills!H838,"AAAAAHW3/2w=")</f>
        <v>#VALUE!</v>
      </c>
      <c r="DF199" t="e">
        <f>AND(Bills!I838,"AAAAAHW3/20=")</f>
        <v>#VALUE!</v>
      </c>
      <c r="DG199" t="e">
        <f>AND(Bills!J838,"AAAAAHW3/24=")</f>
        <v>#VALUE!</v>
      </c>
      <c r="DH199" t="e">
        <f>AND(Bills!K838,"AAAAAHW3/28=")</f>
        <v>#VALUE!</v>
      </c>
      <c r="DI199" t="e">
        <f>AND(Bills!L838,"AAAAAHW3/3A=")</f>
        <v>#VALUE!</v>
      </c>
      <c r="DJ199" t="e">
        <f>AND(Bills!#REF!,"AAAAAHW3/3E=")</f>
        <v>#REF!</v>
      </c>
      <c r="DK199" t="e">
        <f>AND(Bills!M838,"AAAAAHW3/3I=")</f>
        <v>#VALUE!</v>
      </c>
      <c r="DL199" t="e">
        <f>AND(Bills!N838,"AAAAAHW3/3M=")</f>
        <v>#VALUE!</v>
      </c>
      <c r="DM199" t="e">
        <f>AND(Bills!O838,"AAAAAHW3/3Q=")</f>
        <v>#VALUE!</v>
      </c>
      <c r="DN199" t="e">
        <f>AND(Bills!P838,"AAAAAHW3/3U=")</f>
        <v>#VALUE!</v>
      </c>
      <c r="DO199" t="e">
        <f>AND(Bills!Q838,"AAAAAHW3/3Y=")</f>
        <v>#VALUE!</v>
      </c>
      <c r="DP199" t="e">
        <f>AND(Bills!R838,"AAAAAHW3/3c=")</f>
        <v>#VALUE!</v>
      </c>
      <c r="DQ199" t="e">
        <f>AND(Bills!S838,"AAAAAHW3/3g=")</f>
        <v>#VALUE!</v>
      </c>
      <c r="DR199" t="e">
        <f>AND(Bills!T838,"AAAAAHW3/3k=")</f>
        <v>#VALUE!</v>
      </c>
      <c r="DS199" t="e">
        <f>AND(Bills!#REF!,"AAAAAHW3/3o=")</f>
        <v>#REF!</v>
      </c>
      <c r="DT199" t="e">
        <f>AND(Bills!U838,"AAAAAHW3/3s=")</f>
        <v>#VALUE!</v>
      </c>
      <c r="DU199" t="e">
        <f>AND(Bills!V838,"AAAAAHW3/3w=")</f>
        <v>#VALUE!</v>
      </c>
      <c r="DV199" t="e">
        <f>AND(Bills!W838,"AAAAAHW3/30=")</f>
        <v>#VALUE!</v>
      </c>
      <c r="DW199" t="e">
        <f>AND(Bills!#REF!,"AAAAAHW3/34=")</f>
        <v>#REF!</v>
      </c>
      <c r="DX199" t="e">
        <f>AND(Bills!#REF!,"AAAAAHW3/38=")</f>
        <v>#REF!</v>
      </c>
      <c r="DY199" t="e">
        <f>AND(Bills!Y838,"AAAAAHW3/4A=")</f>
        <v>#VALUE!</v>
      </c>
      <c r="DZ199" t="e">
        <f>AND(Bills!Z838,"AAAAAHW3/4E=")</f>
        <v>#VALUE!</v>
      </c>
      <c r="EA199" t="e">
        <f>AND(Bills!#REF!,"AAAAAHW3/4I=")</f>
        <v>#REF!</v>
      </c>
      <c r="EB199" t="e">
        <f>AND(Bills!#REF!,"AAAAAHW3/4M=")</f>
        <v>#REF!</v>
      </c>
      <c r="EC199" t="e">
        <f>AND(Bills!#REF!,"AAAAAHW3/4Q=")</f>
        <v>#REF!</v>
      </c>
      <c r="ED199" t="e">
        <f>AND(Bills!#REF!,"AAAAAHW3/4U=")</f>
        <v>#REF!</v>
      </c>
      <c r="EE199" t="e">
        <f>AND(Bills!#REF!,"AAAAAHW3/4Y=")</f>
        <v>#REF!</v>
      </c>
      <c r="EF199" t="e">
        <f>AND(Bills!#REF!,"AAAAAHW3/4c=")</f>
        <v>#REF!</v>
      </c>
      <c r="EG199" t="e">
        <f>AND(Bills!#REF!,"AAAAAHW3/4g=")</f>
        <v>#REF!</v>
      </c>
      <c r="EH199" t="e">
        <f>AND(Bills!#REF!,"AAAAAHW3/4k=")</f>
        <v>#REF!</v>
      </c>
      <c r="EI199" t="e">
        <f>AND(Bills!#REF!,"AAAAAHW3/4o=")</f>
        <v>#REF!</v>
      </c>
      <c r="EJ199" t="e">
        <f>AND(Bills!AA838,"AAAAAHW3/4s=")</f>
        <v>#VALUE!</v>
      </c>
      <c r="EK199" t="e">
        <f>AND(Bills!AB838,"AAAAAHW3/4w=")</f>
        <v>#VALUE!</v>
      </c>
      <c r="EL199" t="e">
        <f>AND(Bills!#REF!,"AAAAAHW3/40=")</f>
        <v>#REF!</v>
      </c>
      <c r="EM199" t="e">
        <f>AND(Bills!#REF!,"AAAAAHW3/44=")</f>
        <v>#REF!</v>
      </c>
      <c r="EN199" t="e">
        <f>AND(Bills!#REF!,"AAAAAHW3/48=")</f>
        <v>#REF!</v>
      </c>
      <c r="EO199" t="e">
        <f>AND(Bills!AC838,"AAAAAHW3/5A=")</f>
        <v>#VALUE!</v>
      </c>
      <c r="EP199" t="e">
        <f>AND(Bills!AD838,"AAAAAHW3/5E=")</f>
        <v>#VALUE!</v>
      </c>
      <c r="EQ199" t="e">
        <f>AND(Bills!AE838,"AAAAAHW3/5I=")</f>
        <v>#VALUE!</v>
      </c>
      <c r="ER199">
        <f>IF(Bills!839:839,"AAAAAHW3/5M=",0)</f>
        <v>0</v>
      </c>
      <c r="ES199" t="e">
        <f>AND(Bills!B839,"AAAAAHW3/5Q=")</f>
        <v>#VALUE!</v>
      </c>
      <c r="ET199" t="e">
        <f>AND(Bills!#REF!,"AAAAAHW3/5U=")</f>
        <v>#REF!</v>
      </c>
      <c r="EU199" t="e">
        <f>AND(Bills!C839,"AAAAAHW3/5Y=")</f>
        <v>#VALUE!</v>
      </c>
      <c r="EV199" t="e">
        <f>AND(Bills!D839,"AAAAAHW3/5c=")</f>
        <v>#VALUE!</v>
      </c>
      <c r="EW199" t="e">
        <f>AND(Bills!E839,"AAAAAHW3/5g=")</f>
        <v>#VALUE!</v>
      </c>
      <c r="EX199" t="e">
        <f>AND(Bills!#REF!,"AAAAAHW3/5k=")</f>
        <v>#REF!</v>
      </c>
      <c r="EY199" t="e">
        <f>AND(Bills!#REF!,"AAAAAHW3/5o=")</f>
        <v>#REF!</v>
      </c>
      <c r="EZ199" t="e">
        <f>AND(Bills!#REF!,"AAAAAHW3/5s=")</f>
        <v>#REF!</v>
      </c>
      <c r="FA199" t="e">
        <f>AND(Bills!F839,"AAAAAHW3/5w=")</f>
        <v>#VALUE!</v>
      </c>
      <c r="FB199" t="e">
        <f>AND(Bills!#REF!,"AAAAAHW3/50=")</f>
        <v>#REF!</v>
      </c>
      <c r="FC199" t="e">
        <f>AND(Bills!G839,"AAAAAHW3/54=")</f>
        <v>#VALUE!</v>
      </c>
      <c r="FD199" t="e">
        <f>AND(Bills!H839,"AAAAAHW3/58=")</f>
        <v>#VALUE!</v>
      </c>
      <c r="FE199" t="e">
        <f>AND(Bills!I839,"AAAAAHW3/6A=")</f>
        <v>#VALUE!</v>
      </c>
      <c r="FF199" t="e">
        <f>AND(Bills!J839,"AAAAAHW3/6E=")</f>
        <v>#VALUE!</v>
      </c>
      <c r="FG199" t="e">
        <f>AND(Bills!K839,"AAAAAHW3/6I=")</f>
        <v>#VALUE!</v>
      </c>
      <c r="FH199" t="e">
        <f>AND(Bills!L839,"AAAAAHW3/6M=")</f>
        <v>#VALUE!</v>
      </c>
      <c r="FI199" t="e">
        <f>AND(Bills!#REF!,"AAAAAHW3/6Q=")</f>
        <v>#REF!</v>
      </c>
      <c r="FJ199" t="e">
        <f>AND(Bills!M839,"AAAAAHW3/6U=")</f>
        <v>#VALUE!</v>
      </c>
      <c r="FK199" t="e">
        <f>AND(Bills!N839,"AAAAAHW3/6Y=")</f>
        <v>#VALUE!</v>
      </c>
      <c r="FL199" t="e">
        <f>AND(Bills!O839,"AAAAAHW3/6c=")</f>
        <v>#VALUE!</v>
      </c>
      <c r="FM199" t="e">
        <f>AND(Bills!P839,"AAAAAHW3/6g=")</f>
        <v>#VALUE!</v>
      </c>
      <c r="FN199" t="e">
        <f>AND(Bills!Q839,"AAAAAHW3/6k=")</f>
        <v>#VALUE!</v>
      </c>
      <c r="FO199" t="e">
        <f>AND(Bills!R839,"AAAAAHW3/6o=")</f>
        <v>#VALUE!</v>
      </c>
      <c r="FP199" t="e">
        <f>AND(Bills!S839,"AAAAAHW3/6s=")</f>
        <v>#VALUE!</v>
      </c>
      <c r="FQ199" t="e">
        <f>AND(Bills!T839,"AAAAAHW3/6w=")</f>
        <v>#VALUE!</v>
      </c>
      <c r="FR199" t="e">
        <f>AND(Bills!#REF!,"AAAAAHW3/60=")</f>
        <v>#REF!</v>
      </c>
      <c r="FS199" t="e">
        <f>AND(Bills!U839,"AAAAAHW3/64=")</f>
        <v>#VALUE!</v>
      </c>
      <c r="FT199" t="e">
        <f>AND(Bills!V839,"AAAAAHW3/68=")</f>
        <v>#VALUE!</v>
      </c>
      <c r="FU199" t="e">
        <f>AND(Bills!W839,"AAAAAHW3/7A=")</f>
        <v>#VALUE!</v>
      </c>
      <c r="FV199" t="e">
        <f>AND(Bills!#REF!,"AAAAAHW3/7E=")</f>
        <v>#REF!</v>
      </c>
      <c r="FW199" t="e">
        <f>AND(Bills!#REF!,"AAAAAHW3/7I=")</f>
        <v>#REF!</v>
      </c>
      <c r="FX199" t="e">
        <f>AND(Bills!Y839,"AAAAAHW3/7M=")</f>
        <v>#VALUE!</v>
      </c>
      <c r="FY199" t="e">
        <f>AND(Bills!Z839,"AAAAAHW3/7Q=")</f>
        <v>#VALUE!</v>
      </c>
      <c r="FZ199" t="e">
        <f>AND(Bills!#REF!,"AAAAAHW3/7U=")</f>
        <v>#REF!</v>
      </c>
      <c r="GA199" t="e">
        <f>AND(Bills!#REF!,"AAAAAHW3/7Y=")</f>
        <v>#REF!</v>
      </c>
      <c r="GB199" t="e">
        <f>AND(Bills!#REF!,"AAAAAHW3/7c=")</f>
        <v>#REF!</v>
      </c>
      <c r="GC199" t="e">
        <f>AND(Bills!#REF!,"AAAAAHW3/7g=")</f>
        <v>#REF!</v>
      </c>
      <c r="GD199" t="e">
        <f>AND(Bills!#REF!,"AAAAAHW3/7k=")</f>
        <v>#REF!</v>
      </c>
      <c r="GE199" t="e">
        <f>AND(Bills!#REF!,"AAAAAHW3/7o=")</f>
        <v>#REF!</v>
      </c>
      <c r="GF199" t="e">
        <f>AND(Bills!#REF!,"AAAAAHW3/7s=")</f>
        <v>#REF!</v>
      </c>
      <c r="GG199" t="e">
        <f>AND(Bills!#REF!,"AAAAAHW3/7w=")</f>
        <v>#REF!</v>
      </c>
      <c r="GH199" t="e">
        <f>AND(Bills!#REF!,"AAAAAHW3/70=")</f>
        <v>#REF!</v>
      </c>
      <c r="GI199" t="e">
        <f>AND(Bills!AA839,"AAAAAHW3/74=")</f>
        <v>#VALUE!</v>
      </c>
      <c r="GJ199" t="e">
        <f>AND(Bills!AB839,"AAAAAHW3/78=")</f>
        <v>#VALUE!</v>
      </c>
      <c r="GK199" t="e">
        <f>AND(Bills!#REF!,"AAAAAHW3/8A=")</f>
        <v>#REF!</v>
      </c>
      <c r="GL199" t="e">
        <f>AND(Bills!#REF!,"AAAAAHW3/8E=")</f>
        <v>#REF!</v>
      </c>
      <c r="GM199" t="e">
        <f>AND(Bills!#REF!,"AAAAAHW3/8I=")</f>
        <v>#REF!</v>
      </c>
      <c r="GN199" t="e">
        <f>AND(Bills!AC839,"AAAAAHW3/8M=")</f>
        <v>#VALUE!</v>
      </c>
      <c r="GO199" t="e">
        <f>AND(Bills!AD839,"AAAAAHW3/8Q=")</f>
        <v>#VALUE!</v>
      </c>
      <c r="GP199" t="e">
        <f>AND(Bills!AE839,"AAAAAHW3/8U=")</f>
        <v>#VALUE!</v>
      </c>
      <c r="GQ199">
        <f>IF(Bills!840:840,"AAAAAHW3/8Y=",0)</f>
        <v>0</v>
      </c>
      <c r="GR199" t="e">
        <f>AND(Bills!B840,"AAAAAHW3/8c=")</f>
        <v>#VALUE!</v>
      </c>
      <c r="GS199" t="e">
        <f>AND(Bills!#REF!,"AAAAAHW3/8g=")</f>
        <v>#REF!</v>
      </c>
      <c r="GT199" t="e">
        <f>AND(Bills!C840,"AAAAAHW3/8k=")</f>
        <v>#VALUE!</v>
      </c>
      <c r="GU199" t="e">
        <f>AND(Bills!D840,"AAAAAHW3/8o=")</f>
        <v>#VALUE!</v>
      </c>
      <c r="GV199" t="e">
        <f>AND(Bills!E840,"AAAAAHW3/8s=")</f>
        <v>#VALUE!</v>
      </c>
      <c r="GW199" t="e">
        <f>AND(Bills!#REF!,"AAAAAHW3/8w=")</f>
        <v>#REF!</v>
      </c>
      <c r="GX199" t="e">
        <f>AND(Bills!#REF!,"AAAAAHW3/80=")</f>
        <v>#REF!</v>
      </c>
      <c r="GY199" t="e">
        <f>AND(Bills!#REF!,"AAAAAHW3/84=")</f>
        <v>#REF!</v>
      </c>
      <c r="GZ199" t="e">
        <f>AND(Bills!F840,"AAAAAHW3/88=")</f>
        <v>#VALUE!</v>
      </c>
      <c r="HA199" t="e">
        <f>AND(Bills!#REF!,"AAAAAHW3/9A=")</f>
        <v>#REF!</v>
      </c>
      <c r="HB199" t="e">
        <f>AND(Bills!G840,"AAAAAHW3/9E=")</f>
        <v>#VALUE!</v>
      </c>
      <c r="HC199" t="e">
        <f>AND(Bills!H840,"AAAAAHW3/9I=")</f>
        <v>#VALUE!</v>
      </c>
      <c r="HD199" t="e">
        <f>AND(Bills!I840,"AAAAAHW3/9M=")</f>
        <v>#VALUE!</v>
      </c>
      <c r="HE199" t="e">
        <f>AND(Bills!J840,"AAAAAHW3/9Q=")</f>
        <v>#VALUE!</v>
      </c>
      <c r="HF199" t="e">
        <f>AND(Bills!K840,"AAAAAHW3/9U=")</f>
        <v>#VALUE!</v>
      </c>
      <c r="HG199" t="e">
        <f>AND(Bills!L840,"AAAAAHW3/9Y=")</f>
        <v>#VALUE!</v>
      </c>
      <c r="HH199" t="e">
        <f>AND(Bills!#REF!,"AAAAAHW3/9c=")</f>
        <v>#REF!</v>
      </c>
      <c r="HI199" t="e">
        <f>AND(Bills!M840,"AAAAAHW3/9g=")</f>
        <v>#VALUE!</v>
      </c>
      <c r="HJ199" t="e">
        <f>AND(Bills!N840,"AAAAAHW3/9k=")</f>
        <v>#VALUE!</v>
      </c>
      <c r="HK199" t="e">
        <f>AND(Bills!O840,"AAAAAHW3/9o=")</f>
        <v>#VALUE!</v>
      </c>
      <c r="HL199" t="e">
        <f>AND(Bills!P840,"AAAAAHW3/9s=")</f>
        <v>#VALUE!</v>
      </c>
      <c r="HM199" t="e">
        <f>AND(Bills!Q840,"AAAAAHW3/9w=")</f>
        <v>#VALUE!</v>
      </c>
      <c r="HN199" t="e">
        <f>AND(Bills!R840,"AAAAAHW3/90=")</f>
        <v>#VALUE!</v>
      </c>
      <c r="HO199" t="e">
        <f>AND(Bills!S840,"AAAAAHW3/94=")</f>
        <v>#VALUE!</v>
      </c>
      <c r="HP199" t="e">
        <f>AND(Bills!T840,"AAAAAHW3/98=")</f>
        <v>#VALUE!</v>
      </c>
      <c r="HQ199" t="e">
        <f>AND(Bills!#REF!,"AAAAAHW3/+A=")</f>
        <v>#REF!</v>
      </c>
      <c r="HR199" t="e">
        <f>AND(Bills!U840,"AAAAAHW3/+E=")</f>
        <v>#VALUE!</v>
      </c>
      <c r="HS199" t="e">
        <f>AND(Bills!V840,"AAAAAHW3/+I=")</f>
        <v>#VALUE!</v>
      </c>
      <c r="HT199" t="e">
        <f>AND(Bills!W840,"AAAAAHW3/+M=")</f>
        <v>#VALUE!</v>
      </c>
      <c r="HU199" t="e">
        <f>AND(Bills!#REF!,"AAAAAHW3/+Q=")</f>
        <v>#REF!</v>
      </c>
      <c r="HV199" t="e">
        <f>AND(Bills!#REF!,"AAAAAHW3/+U=")</f>
        <v>#REF!</v>
      </c>
      <c r="HW199" t="e">
        <f>AND(Bills!Y840,"AAAAAHW3/+Y=")</f>
        <v>#VALUE!</v>
      </c>
      <c r="HX199" t="e">
        <f>AND(Bills!Z840,"AAAAAHW3/+c=")</f>
        <v>#VALUE!</v>
      </c>
      <c r="HY199" t="e">
        <f>AND(Bills!#REF!,"AAAAAHW3/+g=")</f>
        <v>#REF!</v>
      </c>
      <c r="HZ199" t="e">
        <f>AND(Bills!#REF!,"AAAAAHW3/+k=")</f>
        <v>#REF!</v>
      </c>
      <c r="IA199" t="e">
        <f>AND(Bills!#REF!,"AAAAAHW3/+o=")</f>
        <v>#REF!</v>
      </c>
      <c r="IB199" t="e">
        <f>AND(Bills!#REF!,"AAAAAHW3/+s=")</f>
        <v>#REF!</v>
      </c>
      <c r="IC199" t="e">
        <f>AND(Bills!#REF!,"AAAAAHW3/+w=")</f>
        <v>#REF!</v>
      </c>
      <c r="ID199" t="e">
        <f>AND(Bills!#REF!,"AAAAAHW3/+0=")</f>
        <v>#REF!</v>
      </c>
      <c r="IE199" t="e">
        <f>AND(Bills!#REF!,"AAAAAHW3/+4=")</f>
        <v>#REF!</v>
      </c>
      <c r="IF199" t="e">
        <f>AND(Bills!#REF!,"AAAAAHW3/+8=")</f>
        <v>#REF!</v>
      </c>
      <c r="IG199" t="e">
        <f>AND(Bills!#REF!,"AAAAAHW3//A=")</f>
        <v>#REF!</v>
      </c>
      <c r="IH199" t="e">
        <f>AND(Bills!AA840,"AAAAAHW3//E=")</f>
        <v>#VALUE!</v>
      </c>
      <c r="II199" t="e">
        <f>AND(Bills!AB840,"AAAAAHW3//I=")</f>
        <v>#VALUE!</v>
      </c>
      <c r="IJ199" t="e">
        <f>AND(Bills!#REF!,"AAAAAHW3//M=")</f>
        <v>#REF!</v>
      </c>
      <c r="IK199" t="e">
        <f>AND(Bills!#REF!,"AAAAAHW3//Q=")</f>
        <v>#REF!</v>
      </c>
      <c r="IL199" t="e">
        <f>AND(Bills!#REF!,"AAAAAHW3//U=")</f>
        <v>#REF!</v>
      </c>
      <c r="IM199" t="e">
        <f>AND(Bills!AC840,"AAAAAHW3//Y=")</f>
        <v>#VALUE!</v>
      </c>
      <c r="IN199" t="e">
        <f>AND(Bills!AD840,"AAAAAHW3//c=")</f>
        <v>#VALUE!</v>
      </c>
      <c r="IO199" t="e">
        <f>AND(Bills!AE840,"AAAAAHW3//g=")</f>
        <v>#VALUE!</v>
      </c>
      <c r="IP199">
        <f>IF(Bills!841:841,"AAAAAHW3//k=",0)</f>
        <v>0</v>
      </c>
      <c r="IQ199" t="e">
        <f>AND(Bills!B841,"AAAAAHW3//o=")</f>
        <v>#VALUE!</v>
      </c>
      <c r="IR199" t="e">
        <f>AND(Bills!#REF!,"AAAAAHW3//s=")</f>
        <v>#REF!</v>
      </c>
      <c r="IS199" t="e">
        <f>AND(Bills!C841,"AAAAAHW3//w=")</f>
        <v>#VALUE!</v>
      </c>
      <c r="IT199" t="e">
        <f>AND(Bills!D841,"AAAAAHW3//0=")</f>
        <v>#VALUE!</v>
      </c>
      <c r="IU199" t="e">
        <f>AND(Bills!E841,"AAAAAHW3//4=")</f>
        <v>#VALUE!</v>
      </c>
      <c r="IV199" t="e">
        <f>AND(Bills!#REF!,"AAAAAHW3//8=")</f>
        <v>#REF!</v>
      </c>
    </row>
    <row r="200" spans="1:256" x14ac:dyDescent="0.25">
      <c r="A200" t="e">
        <f>AND(Bills!#REF!,"AAAAAHz78QA=")</f>
        <v>#REF!</v>
      </c>
      <c r="B200" t="e">
        <f>AND(Bills!#REF!,"AAAAAHz78QE=")</f>
        <v>#REF!</v>
      </c>
      <c r="C200" t="e">
        <f>AND(Bills!F841,"AAAAAHz78QI=")</f>
        <v>#VALUE!</v>
      </c>
      <c r="D200" t="e">
        <f>AND(Bills!#REF!,"AAAAAHz78QM=")</f>
        <v>#REF!</v>
      </c>
      <c r="E200" t="e">
        <f>AND(Bills!G841,"AAAAAHz78QQ=")</f>
        <v>#VALUE!</v>
      </c>
      <c r="F200" t="e">
        <f>AND(Bills!H841,"AAAAAHz78QU=")</f>
        <v>#VALUE!</v>
      </c>
      <c r="G200" t="e">
        <f>AND(Bills!I841,"AAAAAHz78QY=")</f>
        <v>#VALUE!</v>
      </c>
      <c r="H200" t="e">
        <f>AND(Bills!J841,"AAAAAHz78Qc=")</f>
        <v>#VALUE!</v>
      </c>
      <c r="I200" t="e">
        <f>AND(Bills!K841,"AAAAAHz78Qg=")</f>
        <v>#VALUE!</v>
      </c>
      <c r="J200" t="e">
        <f>AND(Bills!L841,"AAAAAHz78Qk=")</f>
        <v>#VALUE!</v>
      </c>
      <c r="K200" t="e">
        <f>AND(Bills!#REF!,"AAAAAHz78Qo=")</f>
        <v>#REF!</v>
      </c>
      <c r="L200" t="e">
        <f>AND(Bills!M841,"AAAAAHz78Qs=")</f>
        <v>#VALUE!</v>
      </c>
      <c r="M200" t="e">
        <f>AND(Bills!N841,"AAAAAHz78Qw=")</f>
        <v>#VALUE!</v>
      </c>
      <c r="N200" t="e">
        <f>AND(Bills!O841,"AAAAAHz78Q0=")</f>
        <v>#VALUE!</v>
      </c>
      <c r="O200" t="e">
        <f>AND(Bills!P841,"AAAAAHz78Q4=")</f>
        <v>#VALUE!</v>
      </c>
      <c r="P200" t="e">
        <f>AND(Bills!Q841,"AAAAAHz78Q8=")</f>
        <v>#VALUE!</v>
      </c>
      <c r="Q200" t="e">
        <f>AND(Bills!R841,"AAAAAHz78RA=")</f>
        <v>#VALUE!</v>
      </c>
      <c r="R200" t="e">
        <f>AND(Bills!S841,"AAAAAHz78RE=")</f>
        <v>#VALUE!</v>
      </c>
      <c r="S200" t="e">
        <f>AND(Bills!T841,"AAAAAHz78RI=")</f>
        <v>#VALUE!</v>
      </c>
      <c r="T200" t="e">
        <f>AND(Bills!#REF!,"AAAAAHz78RM=")</f>
        <v>#REF!</v>
      </c>
      <c r="U200" t="e">
        <f>AND(Bills!U841,"AAAAAHz78RQ=")</f>
        <v>#VALUE!</v>
      </c>
      <c r="V200" t="e">
        <f>AND(Bills!V841,"AAAAAHz78RU=")</f>
        <v>#VALUE!</v>
      </c>
      <c r="W200" t="e">
        <f>AND(Bills!W841,"AAAAAHz78RY=")</f>
        <v>#VALUE!</v>
      </c>
      <c r="X200" t="e">
        <f>AND(Bills!#REF!,"AAAAAHz78Rc=")</f>
        <v>#REF!</v>
      </c>
      <c r="Y200" t="e">
        <f>AND(Bills!#REF!,"AAAAAHz78Rg=")</f>
        <v>#REF!</v>
      </c>
      <c r="Z200" t="e">
        <f>AND(Bills!Y841,"AAAAAHz78Rk=")</f>
        <v>#VALUE!</v>
      </c>
      <c r="AA200" t="e">
        <f>AND(Bills!Z841,"AAAAAHz78Ro=")</f>
        <v>#VALUE!</v>
      </c>
      <c r="AB200" t="e">
        <f>AND(Bills!#REF!,"AAAAAHz78Rs=")</f>
        <v>#REF!</v>
      </c>
      <c r="AC200" t="e">
        <f>AND(Bills!#REF!,"AAAAAHz78Rw=")</f>
        <v>#REF!</v>
      </c>
      <c r="AD200" t="e">
        <f>AND(Bills!#REF!,"AAAAAHz78R0=")</f>
        <v>#REF!</v>
      </c>
      <c r="AE200" t="e">
        <f>AND(Bills!#REF!,"AAAAAHz78R4=")</f>
        <v>#REF!</v>
      </c>
      <c r="AF200" t="e">
        <f>AND(Bills!#REF!,"AAAAAHz78R8=")</f>
        <v>#REF!</v>
      </c>
      <c r="AG200" t="e">
        <f>AND(Bills!#REF!,"AAAAAHz78SA=")</f>
        <v>#REF!</v>
      </c>
      <c r="AH200" t="e">
        <f>AND(Bills!#REF!,"AAAAAHz78SE=")</f>
        <v>#REF!</v>
      </c>
      <c r="AI200" t="e">
        <f>AND(Bills!#REF!,"AAAAAHz78SI=")</f>
        <v>#REF!</v>
      </c>
      <c r="AJ200" t="e">
        <f>AND(Bills!#REF!,"AAAAAHz78SM=")</f>
        <v>#REF!</v>
      </c>
      <c r="AK200" t="e">
        <f>AND(Bills!AA841,"AAAAAHz78SQ=")</f>
        <v>#VALUE!</v>
      </c>
      <c r="AL200" t="e">
        <f>AND(Bills!AB841,"AAAAAHz78SU=")</f>
        <v>#VALUE!</v>
      </c>
      <c r="AM200" t="e">
        <f>AND(Bills!#REF!,"AAAAAHz78SY=")</f>
        <v>#REF!</v>
      </c>
      <c r="AN200" t="e">
        <f>AND(Bills!#REF!,"AAAAAHz78Sc=")</f>
        <v>#REF!</v>
      </c>
      <c r="AO200" t="e">
        <f>AND(Bills!#REF!,"AAAAAHz78Sg=")</f>
        <v>#REF!</v>
      </c>
      <c r="AP200" t="e">
        <f>AND(Bills!AC841,"AAAAAHz78Sk=")</f>
        <v>#VALUE!</v>
      </c>
      <c r="AQ200" t="e">
        <f>AND(Bills!AD841,"AAAAAHz78So=")</f>
        <v>#VALUE!</v>
      </c>
      <c r="AR200" t="e">
        <f>AND(Bills!AE841,"AAAAAHz78Ss=")</f>
        <v>#VALUE!</v>
      </c>
      <c r="AS200">
        <f>IF(Bills!842:842,"AAAAAHz78Sw=",0)</f>
        <v>0</v>
      </c>
      <c r="AT200" t="e">
        <f>AND(Bills!B842,"AAAAAHz78S0=")</f>
        <v>#VALUE!</v>
      </c>
      <c r="AU200" t="e">
        <f>AND(Bills!#REF!,"AAAAAHz78S4=")</f>
        <v>#REF!</v>
      </c>
      <c r="AV200" t="e">
        <f>AND(Bills!C842,"AAAAAHz78S8=")</f>
        <v>#VALUE!</v>
      </c>
      <c r="AW200" t="e">
        <f>AND(Bills!D842,"AAAAAHz78TA=")</f>
        <v>#VALUE!</v>
      </c>
      <c r="AX200" t="e">
        <f>AND(Bills!E842,"AAAAAHz78TE=")</f>
        <v>#VALUE!</v>
      </c>
      <c r="AY200" t="e">
        <f>AND(Bills!#REF!,"AAAAAHz78TI=")</f>
        <v>#REF!</v>
      </c>
      <c r="AZ200" t="e">
        <f>AND(Bills!#REF!,"AAAAAHz78TM=")</f>
        <v>#REF!</v>
      </c>
      <c r="BA200" t="e">
        <f>AND(Bills!#REF!,"AAAAAHz78TQ=")</f>
        <v>#REF!</v>
      </c>
      <c r="BB200" t="e">
        <f>AND(Bills!F842,"AAAAAHz78TU=")</f>
        <v>#VALUE!</v>
      </c>
      <c r="BC200" t="e">
        <f>AND(Bills!#REF!,"AAAAAHz78TY=")</f>
        <v>#REF!</v>
      </c>
      <c r="BD200" t="e">
        <f>AND(Bills!G842,"AAAAAHz78Tc=")</f>
        <v>#VALUE!</v>
      </c>
      <c r="BE200" t="e">
        <f>AND(Bills!H842,"AAAAAHz78Tg=")</f>
        <v>#VALUE!</v>
      </c>
      <c r="BF200" t="e">
        <f>AND(Bills!I842,"AAAAAHz78Tk=")</f>
        <v>#VALUE!</v>
      </c>
      <c r="BG200" t="e">
        <f>AND(Bills!J842,"AAAAAHz78To=")</f>
        <v>#VALUE!</v>
      </c>
      <c r="BH200" t="e">
        <f>AND(Bills!K842,"AAAAAHz78Ts=")</f>
        <v>#VALUE!</v>
      </c>
      <c r="BI200" t="e">
        <f>AND(Bills!L842,"AAAAAHz78Tw=")</f>
        <v>#VALUE!</v>
      </c>
      <c r="BJ200" t="e">
        <f>AND(Bills!#REF!,"AAAAAHz78T0=")</f>
        <v>#REF!</v>
      </c>
      <c r="BK200" t="e">
        <f>AND(Bills!M842,"AAAAAHz78T4=")</f>
        <v>#VALUE!</v>
      </c>
      <c r="BL200" t="e">
        <f>AND(Bills!N842,"AAAAAHz78T8=")</f>
        <v>#VALUE!</v>
      </c>
      <c r="BM200" t="e">
        <f>AND(Bills!O842,"AAAAAHz78UA=")</f>
        <v>#VALUE!</v>
      </c>
      <c r="BN200" t="e">
        <f>AND(Bills!P842,"AAAAAHz78UE=")</f>
        <v>#VALUE!</v>
      </c>
      <c r="BO200" t="e">
        <f>AND(Bills!Q842,"AAAAAHz78UI=")</f>
        <v>#VALUE!</v>
      </c>
      <c r="BP200" t="e">
        <f>AND(Bills!R842,"AAAAAHz78UM=")</f>
        <v>#VALUE!</v>
      </c>
      <c r="BQ200" t="e">
        <f>AND(Bills!S842,"AAAAAHz78UQ=")</f>
        <v>#VALUE!</v>
      </c>
      <c r="BR200" t="e">
        <f>AND(Bills!T842,"AAAAAHz78UU=")</f>
        <v>#VALUE!</v>
      </c>
      <c r="BS200" t="e">
        <f>AND(Bills!#REF!,"AAAAAHz78UY=")</f>
        <v>#REF!</v>
      </c>
      <c r="BT200" t="e">
        <f>AND(Bills!U842,"AAAAAHz78Uc=")</f>
        <v>#VALUE!</v>
      </c>
      <c r="BU200" t="e">
        <f>AND(Bills!V842,"AAAAAHz78Ug=")</f>
        <v>#VALUE!</v>
      </c>
      <c r="BV200" t="e">
        <f>AND(Bills!W842,"AAAAAHz78Uk=")</f>
        <v>#VALUE!</v>
      </c>
      <c r="BW200" t="e">
        <f>AND(Bills!#REF!,"AAAAAHz78Uo=")</f>
        <v>#REF!</v>
      </c>
      <c r="BX200" t="e">
        <f>AND(Bills!#REF!,"AAAAAHz78Us=")</f>
        <v>#REF!</v>
      </c>
      <c r="BY200" t="e">
        <f>AND(Bills!Y842,"AAAAAHz78Uw=")</f>
        <v>#VALUE!</v>
      </c>
      <c r="BZ200" t="e">
        <f>AND(Bills!Z842,"AAAAAHz78U0=")</f>
        <v>#VALUE!</v>
      </c>
      <c r="CA200" t="e">
        <f>AND(Bills!#REF!,"AAAAAHz78U4=")</f>
        <v>#REF!</v>
      </c>
      <c r="CB200" t="e">
        <f>AND(Bills!#REF!,"AAAAAHz78U8=")</f>
        <v>#REF!</v>
      </c>
      <c r="CC200" t="e">
        <f>AND(Bills!#REF!,"AAAAAHz78VA=")</f>
        <v>#REF!</v>
      </c>
      <c r="CD200" t="e">
        <f>AND(Bills!#REF!,"AAAAAHz78VE=")</f>
        <v>#REF!</v>
      </c>
      <c r="CE200" t="e">
        <f>AND(Bills!#REF!,"AAAAAHz78VI=")</f>
        <v>#REF!</v>
      </c>
      <c r="CF200" t="e">
        <f>AND(Bills!#REF!,"AAAAAHz78VM=")</f>
        <v>#REF!</v>
      </c>
      <c r="CG200" t="e">
        <f>AND(Bills!#REF!,"AAAAAHz78VQ=")</f>
        <v>#REF!</v>
      </c>
      <c r="CH200" t="e">
        <f>AND(Bills!#REF!,"AAAAAHz78VU=")</f>
        <v>#REF!</v>
      </c>
      <c r="CI200" t="e">
        <f>AND(Bills!#REF!,"AAAAAHz78VY=")</f>
        <v>#REF!</v>
      </c>
      <c r="CJ200" t="e">
        <f>AND(Bills!AA842,"AAAAAHz78Vc=")</f>
        <v>#VALUE!</v>
      </c>
      <c r="CK200" t="e">
        <f>AND(Bills!AB842,"AAAAAHz78Vg=")</f>
        <v>#VALUE!</v>
      </c>
      <c r="CL200" t="e">
        <f>AND(Bills!#REF!,"AAAAAHz78Vk=")</f>
        <v>#REF!</v>
      </c>
      <c r="CM200" t="e">
        <f>AND(Bills!#REF!,"AAAAAHz78Vo=")</f>
        <v>#REF!</v>
      </c>
      <c r="CN200" t="e">
        <f>AND(Bills!#REF!,"AAAAAHz78Vs=")</f>
        <v>#REF!</v>
      </c>
      <c r="CO200" t="e">
        <f>AND(Bills!AC842,"AAAAAHz78Vw=")</f>
        <v>#VALUE!</v>
      </c>
      <c r="CP200" t="e">
        <f>AND(Bills!AD842,"AAAAAHz78V0=")</f>
        <v>#VALUE!</v>
      </c>
      <c r="CQ200" t="e">
        <f>AND(Bills!AE842,"AAAAAHz78V4=")</f>
        <v>#VALUE!</v>
      </c>
      <c r="CR200">
        <f>IF(Bills!843:843,"AAAAAHz78V8=",0)</f>
        <v>0</v>
      </c>
      <c r="CS200" t="e">
        <f>AND(Bills!B843,"AAAAAHz78WA=")</f>
        <v>#VALUE!</v>
      </c>
      <c r="CT200" t="e">
        <f>AND(Bills!#REF!,"AAAAAHz78WE=")</f>
        <v>#REF!</v>
      </c>
      <c r="CU200" t="e">
        <f>AND(Bills!C843,"AAAAAHz78WI=")</f>
        <v>#VALUE!</v>
      </c>
      <c r="CV200" t="e">
        <f>AND(Bills!D843,"AAAAAHz78WM=")</f>
        <v>#VALUE!</v>
      </c>
      <c r="CW200" t="e">
        <f>AND(Bills!E843,"AAAAAHz78WQ=")</f>
        <v>#VALUE!</v>
      </c>
      <c r="CX200" t="e">
        <f>AND(Bills!#REF!,"AAAAAHz78WU=")</f>
        <v>#REF!</v>
      </c>
      <c r="CY200" t="e">
        <f>AND(Bills!#REF!,"AAAAAHz78WY=")</f>
        <v>#REF!</v>
      </c>
      <c r="CZ200" t="e">
        <f>AND(Bills!#REF!,"AAAAAHz78Wc=")</f>
        <v>#REF!</v>
      </c>
      <c r="DA200" t="e">
        <f>AND(Bills!F843,"AAAAAHz78Wg=")</f>
        <v>#VALUE!</v>
      </c>
      <c r="DB200" t="e">
        <f>AND(Bills!#REF!,"AAAAAHz78Wk=")</f>
        <v>#REF!</v>
      </c>
      <c r="DC200" t="e">
        <f>AND(Bills!G843,"AAAAAHz78Wo=")</f>
        <v>#VALUE!</v>
      </c>
      <c r="DD200" t="e">
        <f>AND(Bills!H843,"AAAAAHz78Ws=")</f>
        <v>#VALUE!</v>
      </c>
      <c r="DE200" t="e">
        <f>AND(Bills!I843,"AAAAAHz78Ww=")</f>
        <v>#VALUE!</v>
      </c>
      <c r="DF200" t="e">
        <f>AND(Bills!J843,"AAAAAHz78W0=")</f>
        <v>#VALUE!</v>
      </c>
      <c r="DG200" t="e">
        <f>AND(Bills!K843,"AAAAAHz78W4=")</f>
        <v>#VALUE!</v>
      </c>
      <c r="DH200" t="e">
        <f>AND(Bills!L843,"AAAAAHz78W8=")</f>
        <v>#VALUE!</v>
      </c>
      <c r="DI200" t="e">
        <f>AND(Bills!#REF!,"AAAAAHz78XA=")</f>
        <v>#REF!</v>
      </c>
      <c r="DJ200" t="e">
        <f>AND(Bills!M843,"AAAAAHz78XE=")</f>
        <v>#VALUE!</v>
      </c>
      <c r="DK200" t="e">
        <f>AND(Bills!N843,"AAAAAHz78XI=")</f>
        <v>#VALUE!</v>
      </c>
      <c r="DL200" t="e">
        <f>AND(Bills!O843,"AAAAAHz78XM=")</f>
        <v>#VALUE!</v>
      </c>
      <c r="DM200" t="e">
        <f>AND(Bills!P843,"AAAAAHz78XQ=")</f>
        <v>#VALUE!</v>
      </c>
      <c r="DN200" t="e">
        <f>AND(Bills!Q843,"AAAAAHz78XU=")</f>
        <v>#VALUE!</v>
      </c>
      <c r="DO200" t="e">
        <f>AND(Bills!R843,"AAAAAHz78XY=")</f>
        <v>#VALUE!</v>
      </c>
      <c r="DP200" t="e">
        <f>AND(Bills!S843,"AAAAAHz78Xc=")</f>
        <v>#VALUE!</v>
      </c>
      <c r="DQ200" t="e">
        <f>AND(Bills!T843,"AAAAAHz78Xg=")</f>
        <v>#VALUE!</v>
      </c>
      <c r="DR200" t="e">
        <f>AND(Bills!#REF!,"AAAAAHz78Xk=")</f>
        <v>#REF!</v>
      </c>
      <c r="DS200" t="e">
        <f>AND(Bills!U843,"AAAAAHz78Xo=")</f>
        <v>#VALUE!</v>
      </c>
      <c r="DT200" t="e">
        <f>AND(Bills!V843,"AAAAAHz78Xs=")</f>
        <v>#VALUE!</v>
      </c>
      <c r="DU200" t="e">
        <f>AND(Bills!W843,"AAAAAHz78Xw=")</f>
        <v>#VALUE!</v>
      </c>
      <c r="DV200" t="e">
        <f>AND(Bills!#REF!,"AAAAAHz78X0=")</f>
        <v>#REF!</v>
      </c>
      <c r="DW200" t="e">
        <f>AND(Bills!#REF!,"AAAAAHz78X4=")</f>
        <v>#REF!</v>
      </c>
      <c r="DX200" t="e">
        <f>AND(Bills!Y843,"AAAAAHz78X8=")</f>
        <v>#VALUE!</v>
      </c>
      <c r="DY200" t="e">
        <f>AND(Bills!Z843,"AAAAAHz78YA=")</f>
        <v>#VALUE!</v>
      </c>
      <c r="DZ200" t="e">
        <f>AND(Bills!#REF!,"AAAAAHz78YE=")</f>
        <v>#REF!</v>
      </c>
      <c r="EA200" t="e">
        <f>AND(Bills!#REF!,"AAAAAHz78YI=")</f>
        <v>#REF!</v>
      </c>
      <c r="EB200" t="e">
        <f>AND(Bills!#REF!,"AAAAAHz78YM=")</f>
        <v>#REF!</v>
      </c>
      <c r="EC200" t="e">
        <f>AND(Bills!#REF!,"AAAAAHz78YQ=")</f>
        <v>#REF!</v>
      </c>
      <c r="ED200" t="e">
        <f>AND(Bills!#REF!,"AAAAAHz78YU=")</f>
        <v>#REF!</v>
      </c>
      <c r="EE200" t="e">
        <f>AND(Bills!#REF!,"AAAAAHz78YY=")</f>
        <v>#REF!</v>
      </c>
      <c r="EF200" t="e">
        <f>AND(Bills!#REF!,"AAAAAHz78Yc=")</f>
        <v>#REF!</v>
      </c>
      <c r="EG200" t="e">
        <f>AND(Bills!#REF!,"AAAAAHz78Yg=")</f>
        <v>#REF!</v>
      </c>
      <c r="EH200" t="e">
        <f>AND(Bills!#REF!,"AAAAAHz78Yk=")</f>
        <v>#REF!</v>
      </c>
      <c r="EI200" t="e">
        <f>AND(Bills!AA843,"AAAAAHz78Yo=")</f>
        <v>#VALUE!</v>
      </c>
      <c r="EJ200" t="e">
        <f>AND(Bills!AB843,"AAAAAHz78Ys=")</f>
        <v>#VALUE!</v>
      </c>
      <c r="EK200" t="e">
        <f>AND(Bills!#REF!,"AAAAAHz78Yw=")</f>
        <v>#REF!</v>
      </c>
      <c r="EL200" t="e">
        <f>AND(Bills!#REF!,"AAAAAHz78Y0=")</f>
        <v>#REF!</v>
      </c>
      <c r="EM200" t="e">
        <f>AND(Bills!#REF!,"AAAAAHz78Y4=")</f>
        <v>#REF!</v>
      </c>
      <c r="EN200" t="e">
        <f>AND(Bills!AC843,"AAAAAHz78Y8=")</f>
        <v>#VALUE!</v>
      </c>
      <c r="EO200" t="e">
        <f>AND(Bills!AD843,"AAAAAHz78ZA=")</f>
        <v>#VALUE!</v>
      </c>
      <c r="EP200" t="e">
        <f>AND(Bills!AE843,"AAAAAHz78ZE=")</f>
        <v>#VALUE!</v>
      </c>
      <c r="EQ200">
        <f>IF(Bills!844:844,"AAAAAHz78ZI=",0)</f>
        <v>0</v>
      </c>
      <c r="ER200" t="e">
        <f>AND(Bills!B844,"AAAAAHz78ZM=")</f>
        <v>#VALUE!</v>
      </c>
      <c r="ES200" t="e">
        <f>AND(Bills!#REF!,"AAAAAHz78ZQ=")</f>
        <v>#REF!</v>
      </c>
      <c r="ET200" t="e">
        <f>AND(Bills!C844,"AAAAAHz78ZU=")</f>
        <v>#VALUE!</v>
      </c>
      <c r="EU200" t="e">
        <f>AND(Bills!D844,"AAAAAHz78ZY=")</f>
        <v>#VALUE!</v>
      </c>
      <c r="EV200" t="e">
        <f>AND(Bills!E844,"AAAAAHz78Zc=")</f>
        <v>#VALUE!</v>
      </c>
      <c r="EW200" t="e">
        <f>AND(Bills!#REF!,"AAAAAHz78Zg=")</f>
        <v>#REF!</v>
      </c>
      <c r="EX200" t="e">
        <f>AND(Bills!#REF!,"AAAAAHz78Zk=")</f>
        <v>#REF!</v>
      </c>
      <c r="EY200" t="e">
        <f>AND(Bills!#REF!,"AAAAAHz78Zo=")</f>
        <v>#REF!</v>
      </c>
      <c r="EZ200" t="e">
        <f>AND(Bills!F844,"AAAAAHz78Zs=")</f>
        <v>#VALUE!</v>
      </c>
      <c r="FA200" t="e">
        <f>AND(Bills!#REF!,"AAAAAHz78Zw=")</f>
        <v>#REF!</v>
      </c>
      <c r="FB200" t="e">
        <f>AND(Bills!G844,"AAAAAHz78Z0=")</f>
        <v>#VALUE!</v>
      </c>
      <c r="FC200" t="e">
        <f>AND(Bills!H844,"AAAAAHz78Z4=")</f>
        <v>#VALUE!</v>
      </c>
      <c r="FD200" t="e">
        <f>AND(Bills!I844,"AAAAAHz78Z8=")</f>
        <v>#VALUE!</v>
      </c>
      <c r="FE200" t="e">
        <f>AND(Bills!J844,"AAAAAHz78aA=")</f>
        <v>#VALUE!</v>
      </c>
      <c r="FF200" t="e">
        <f>AND(Bills!K844,"AAAAAHz78aE=")</f>
        <v>#VALUE!</v>
      </c>
      <c r="FG200" t="e">
        <f>AND(Bills!L844,"AAAAAHz78aI=")</f>
        <v>#VALUE!</v>
      </c>
      <c r="FH200" t="e">
        <f>AND(Bills!#REF!,"AAAAAHz78aM=")</f>
        <v>#REF!</v>
      </c>
      <c r="FI200" t="e">
        <f>AND(Bills!M844,"AAAAAHz78aQ=")</f>
        <v>#VALUE!</v>
      </c>
      <c r="FJ200" t="e">
        <f>AND(Bills!N844,"AAAAAHz78aU=")</f>
        <v>#VALUE!</v>
      </c>
      <c r="FK200" t="e">
        <f>AND(Bills!O844,"AAAAAHz78aY=")</f>
        <v>#VALUE!</v>
      </c>
      <c r="FL200" t="e">
        <f>AND(Bills!P844,"AAAAAHz78ac=")</f>
        <v>#VALUE!</v>
      </c>
      <c r="FM200" t="e">
        <f>AND(Bills!Q844,"AAAAAHz78ag=")</f>
        <v>#VALUE!</v>
      </c>
      <c r="FN200" t="e">
        <f>AND(Bills!R844,"AAAAAHz78ak=")</f>
        <v>#VALUE!</v>
      </c>
      <c r="FO200" t="e">
        <f>AND(Bills!S844,"AAAAAHz78ao=")</f>
        <v>#VALUE!</v>
      </c>
      <c r="FP200" t="e">
        <f>AND(Bills!T844,"AAAAAHz78as=")</f>
        <v>#VALUE!</v>
      </c>
      <c r="FQ200" t="e">
        <f>AND(Bills!#REF!,"AAAAAHz78aw=")</f>
        <v>#REF!</v>
      </c>
      <c r="FR200" t="e">
        <f>AND(Bills!U844,"AAAAAHz78a0=")</f>
        <v>#VALUE!</v>
      </c>
      <c r="FS200" t="e">
        <f>AND(Bills!V844,"AAAAAHz78a4=")</f>
        <v>#VALUE!</v>
      </c>
      <c r="FT200" t="e">
        <f>AND(Bills!W844,"AAAAAHz78a8=")</f>
        <v>#VALUE!</v>
      </c>
      <c r="FU200" t="e">
        <f>AND(Bills!#REF!,"AAAAAHz78bA=")</f>
        <v>#REF!</v>
      </c>
      <c r="FV200" t="e">
        <f>AND(Bills!#REF!,"AAAAAHz78bE=")</f>
        <v>#REF!</v>
      </c>
      <c r="FW200" t="e">
        <f>AND(Bills!Y844,"AAAAAHz78bI=")</f>
        <v>#VALUE!</v>
      </c>
      <c r="FX200" t="e">
        <f>AND(Bills!Z844,"AAAAAHz78bM=")</f>
        <v>#VALUE!</v>
      </c>
      <c r="FY200" t="e">
        <f>AND(Bills!#REF!,"AAAAAHz78bQ=")</f>
        <v>#REF!</v>
      </c>
      <c r="FZ200" t="e">
        <f>AND(Bills!#REF!,"AAAAAHz78bU=")</f>
        <v>#REF!</v>
      </c>
      <c r="GA200" t="e">
        <f>AND(Bills!#REF!,"AAAAAHz78bY=")</f>
        <v>#REF!</v>
      </c>
      <c r="GB200" t="e">
        <f>AND(Bills!#REF!,"AAAAAHz78bc=")</f>
        <v>#REF!</v>
      </c>
      <c r="GC200" t="e">
        <f>AND(Bills!#REF!,"AAAAAHz78bg=")</f>
        <v>#REF!</v>
      </c>
      <c r="GD200" t="e">
        <f>AND(Bills!#REF!,"AAAAAHz78bk=")</f>
        <v>#REF!</v>
      </c>
      <c r="GE200" t="e">
        <f>AND(Bills!#REF!,"AAAAAHz78bo=")</f>
        <v>#REF!</v>
      </c>
      <c r="GF200" t="e">
        <f>AND(Bills!#REF!,"AAAAAHz78bs=")</f>
        <v>#REF!</v>
      </c>
      <c r="GG200" t="e">
        <f>AND(Bills!#REF!,"AAAAAHz78bw=")</f>
        <v>#REF!</v>
      </c>
      <c r="GH200" t="e">
        <f>AND(Bills!AA844,"AAAAAHz78b0=")</f>
        <v>#VALUE!</v>
      </c>
      <c r="GI200" t="e">
        <f>AND(Bills!AB844,"AAAAAHz78b4=")</f>
        <v>#VALUE!</v>
      </c>
      <c r="GJ200" t="e">
        <f>AND(Bills!#REF!,"AAAAAHz78b8=")</f>
        <v>#REF!</v>
      </c>
      <c r="GK200" t="e">
        <f>AND(Bills!#REF!,"AAAAAHz78cA=")</f>
        <v>#REF!</v>
      </c>
      <c r="GL200" t="e">
        <f>AND(Bills!#REF!,"AAAAAHz78cE=")</f>
        <v>#REF!</v>
      </c>
      <c r="GM200" t="e">
        <f>AND(Bills!AC844,"AAAAAHz78cI=")</f>
        <v>#VALUE!</v>
      </c>
      <c r="GN200" t="e">
        <f>AND(Bills!AD844,"AAAAAHz78cM=")</f>
        <v>#VALUE!</v>
      </c>
      <c r="GO200" t="e">
        <f>AND(Bills!AE844,"AAAAAHz78cQ=")</f>
        <v>#VALUE!</v>
      </c>
      <c r="GP200">
        <f>IF(Bills!845:845,"AAAAAHz78cU=",0)</f>
        <v>0</v>
      </c>
      <c r="GQ200" t="e">
        <f>AND(Bills!B845,"AAAAAHz78cY=")</f>
        <v>#VALUE!</v>
      </c>
      <c r="GR200" t="e">
        <f>AND(Bills!#REF!,"AAAAAHz78cc=")</f>
        <v>#REF!</v>
      </c>
      <c r="GS200" t="e">
        <f>AND(Bills!C845,"AAAAAHz78cg=")</f>
        <v>#VALUE!</v>
      </c>
      <c r="GT200" t="e">
        <f>AND(Bills!D845,"AAAAAHz78ck=")</f>
        <v>#VALUE!</v>
      </c>
      <c r="GU200" t="e">
        <f>AND(Bills!E845,"AAAAAHz78co=")</f>
        <v>#VALUE!</v>
      </c>
      <c r="GV200" t="e">
        <f>AND(Bills!#REF!,"AAAAAHz78cs=")</f>
        <v>#REF!</v>
      </c>
      <c r="GW200" t="e">
        <f>AND(Bills!#REF!,"AAAAAHz78cw=")</f>
        <v>#REF!</v>
      </c>
      <c r="GX200" t="e">
        <f>AND(Bills!#REF!,"AAAAAHz78c0=")</f>
        <v>#REF!</v>
      </c>
      <c r="GY200" t="e">
        <f>AND(Bills!F845,"AAAAAHz78c4=")</f>
        <v>#VALUE!</v>
      </c>
      <c r="GZ200" t="e">
        <f>AND(Bills!#REF!,"AAAAAHz78c8=")</f>
        <v>#REF!</v>
      </c>
      <c r="HA200" t="e">
        <f>AND(Bills!G845,"AAAAAHz78dA=")</f>
        <v>#VALUE!</v>
      </c>
      <c r="HB200" t="e">
        <f>AND(Bills!H845,"AAAAAHz78dE=")</f>
        <v>#VALUE!</v>
      </c>
      <c r="HC200" t="e">
        <f>AND(Bills!I845,"AAAAAHz78dI=")</f>
        <v>#VALUE!</v>
      </c>
      <c r="HD200" t="e">
        <f>AND(Bills!J845,"AAAAAHz78dM=")</f>
        <v>#VALUE!</v>
      </c>
      <c r="HE200" t="e">
        <f>AND(Bills!K845,"AAAAAHz78dQ=")</f>
        <v>#VALUE!</v>
      </c>
      <c r="HF200" t="e">
        <f>AND(Bills!L845,"AAAAAHz78dU=")</f>
        <v>#VALUE!</v>
      </c>
      <c r="HG200" t="e">
        <f>AND(Bills!#REF!,"AAAAAHz78dY=")</f>
        <v>#REF!</v>
      </c>
      <c r="HH200" t="e">
        <f>AND(Bills!M845,"AAAAAHz78dc=")</f>
        <v>#VALUE!</v>
      </c>
      <c r="HI200" t="e">
        <f>AND(Bills!N845,"AAAAAHz78dg=")</f>
        <v>#VALUE!</v>
      </c>
      <c r="HJ200" t="e">
        <f>AND(Bills!O845,"AAAAAHz78dk=")</f>
        <v>#VALUE!</v>
      </c>
      <c r="HK200" t="e">
        <f>AND(Bills!P845,"AAAAAHz78do=")</f>
        <v>#VALUE!</v>
      </c>
      <c r="HL200" t="e">
        <f>AND(Bills!Q845,"AAAAAHz78ds=")</f>
        <v>#VALUE!</v>
      </c>
      <c r="HM200" t="e">
        <f>AND(Bills!R845,"AAAAAHz78dw=")</f>
        <v>#VALUE!</v>
      </c>
      <c r="HN200" t="e">
        <f>AND(Bills!S845,"AAAAAHz78d0=")</f>
        <v>#VALUE!</v>
      </c>
      <c r="HO200" t="e">
        <f>AND(Bills!T845,"AAAAAHz78d4=")</f>
        <v>#VALUE!</v>
      </c>
      <c r="HP200" t="e">
        <f>AND(Bills!#REF!,"AAAAAHz78d8=")</f>
        <v>#REF!</v>
      </c>
      <c r="HQ200" t="e">
        <f>AND(Bills!U845,"AAAAAHz78eA=")</f>
        <v>#VALUE!</v>
      </c>
      <c r="HR200" t="e">
        <f>AND(Bills!V845,"AAAAAHz78eE=")</f>
        <v>#VALUE!</v>
      </c>
      <c r="HS200" t="e">
        <f>AND(Bills!W845,"AAAAAHz78eI=")</f>
        <v>#VALUE!</v>
      </c>
      <c r="HT200" t="e">
        <f>AND(Bills!#REF!,"AAAAAHz78eM=")</f>
        <v>#REF!</v>
      </c>
      <c r="HU200" t="e">
        <f>AND(Bills!#REF!,"AAAAAHz78eQ=")</f>
        <v>#REF!</v>
      </c>
      <c r="HV200" t="e">
        <f>AND(Bills!Y845,"AAAAAHz78eU=")</f>
        <v>#VALUE!</v>
      </c>
      <c r="HW200" t="e">
        <f>AND(Bills!Z845,"AAAAAHz78eY=")</f>
        <v>#VALUE!</v>
      </c>
      <c r="HX200" t="e">
        <f>AND(Bills!#REF!,"AAAAAHz78ec=")</f>
        <v>#REF!</v>
      </c>
      <c r="HY200" t="e">
        <f>AND(Bills!#REF!,"AAAAAHz78eg=")</f>
        <v>#REF!</v>
      </c>
      <c r="HZ200" t="e">
        <f>AND(Bills!#REF!,"AAAAAHz78ek=")</f>
        <v>#REF!</v>
      </c>
      <c r="IA200" t="e">
        <f>AND(Bills!#REF!,"AAAAAHz78eo=")</f>
        <v>#REF!</v>
      </c>
      <c r="IB200" t="e">
        <f>AND(Bills!#REF!,"AAAAAHz78es=")</f>
        <v>#REF!</v>
      </c>
      <c r="IC200" t="e">
        <f>AND(Bills!#REF!,"AAAAAHz78ew=")</f>
        <v>#REF!</v>
      </c>
      <c r="ID200" t="e">
        <f>AND(Bills!#REF!,"AAAAAHz78e0=")</f>
        <v>#REF!</v>
      </c>
      <c r="IE200" t="e">
        <f>AND(Bills!#REF!,"AAAAAHz78e4=")</f>
        <v>#REF!</v>
      </c>
      <c r="IF200" t="e">
        <f>AND(Bills!#REF!,"AAAAAHz78e8=")</f>
        <v>#REF!</v>
      </c>
      <c r="IG200" t="e">
        <f>AND(Bills!AA845,"AAAAAHz78fA=")</f>
        <v>#VALUE!</v>
      </c>
      <c r="IH200" t="e">
        <f>AND(Bills!AB845,"AAAAAHz78fE=")</f>
        <v>#VALUE!</v>
      </c>
      <c r="II200" t="e">
        <f>AND(Bills!#REF!,"AAAAAHz78fI=")</f>
        <v>#REF!</v>
      </c>
      <c r="IJ200" t="e">
        <f>AND(Bills!#REF!,"AAAAAHz78fM=")</f>
        <v>#REF!</v>
      </c>
      <c r="IK200" t="e">
        <f>AND(Bills!#REF!,"AAAAAHz78fQ=")</f>
        <v>#REF!</v>
      </c>
      <c r="IL200" t="e">
        <f>AND(Bills!AC845,"AAAAAHz78fU=")</f>
        <v>#VALUE!</v>
      </c>
      <c r="IM200" t="e">
        <f>AND(Bills!AD845,"AAAAAHz78fY=")</f>
        <v>#VALUE!</v>
      </c>
      <c r="IN200" t="e">
        <f>AND(Bills!AE845,"AAAAAHz78fc=")</f>
        <v>#VALUE!</v>
      </c>
      <c r="IO200">
        <f>IF(Bills!846:846,"AAAAAHz78fg=",0)</f>
        <v>0</v>
      </c>
      <c r="IP200" t="e">
        <f>AND(Bills!B846,"AAAAAHz78fk=")</f>
        <v>#VALUE!</v>
      </c>
      <c r="IQ200" t="e">
        <f>AND(Bills!#REF!,"AAAAAHz78fo=")</f>
        <v>#REF!</v>
      </c>
      <c r="IR200" t="e">
        <f>AND(Bills!C846,"AAAAAHz78fs=")</f>
        <v>#VALUE!</v>
      </c>
      <c r="IS200" t="e">
        <f>AND(Bills!D846,"AAAAAHz78fw=")</f>
        <v>#VALUE!</v>
      </c>
      <c r="IT200" t="e">
        <f>AND(Bills!E846,"AAAAAHz78f0=")</f>
        <v>#VALUE!</v>
      </c>
      <c r="IU200" t="e">
        <f>AND(Bills!#REF!,"AAAAAHz78f4=")</f>
        <v>#REF!</v>
      </c>
      <c r="IV200" t="e">
        <f>AND(Bills!#REF!,"AAAAAHz78f8=")</f>
        <v>#REF!</v>
      </c>
    </row>
    <row r="201" spans="1:256" x14ac:dyDescent="0.25">
      <c r="A201" t="e">
        <f>AND(Bills!#REF!,"AAAAAGuunwA=")</f>
        <v>#REF!</v>
      </c>
      <c r="B201" t="e">
        <f>AND(Bills!F846,"AAAAAGuunwE=")</f>
        <v>#VALUE!</v>
      </c>
      <c r="C201" t="e">
        <f>AND(Bills!#REF!,"AAAAAGuunwI=")</f>
        <v>#REF!</v>
      </c>
      <c r="D201" t="e">
        <f>AND(Bills!G846,"AAAAAGuunwM=")</f>
        <v>#VALUE!</v>
      </c>
      <c r="E201" t="e">
        <f>AND(Bills!H846,"AAAAAGuunwQ=")</f>
        <v>#VALUE!</v>
      </c>
      <c r="F201" t="e">
        <f>AND(Bills!I846,"AAAAAGuunwU=")</f>
        <v>#VALUE!</v>
      </c>
      <c r="G201" t="e">
        <f>AND(Bills!J846,"AAAAAGuunwY=")</f>
        <v>#VALUE!</v>
      </c>
      <c r="H201" t="e">
        <f>AND(Bills!K846,"AAAAAGuunwc=")</f>
        <v>#VALUE!</v>
      </c>
      <c r="I201" t="e">
        <f>AND(Bills!L846,"AAAAAGuunwg=")</f>
        <v>#VALUE!</v>
      </c>
      <c r="J201" t="e">
        <f>AND(Bills!#REF!,"AAAAAGuunwk=")</f>
        <v>#REF!</v>
      </c>
      <c r="K201" t="e">
        <f>AND(Bills!M846,"AAAAAGuunwo=")</f>
        <v>#VALUE!</v>
      </c>
      <c r="L201" t="e">
        <f>AND(Bills!N846,"AAAAAGuunws=")</f>
        <v>#VALUE!</v>
      </c>
      <c r="M201" t="e">
        <f>AND(Bills!O846,"AAAAAGuunww=")</f>
        <v>#VALUE!</v>
      </c>
      <c r="N201" t="e">
        <f>AND(Bills!P846,"AAAAAGuunw0=")</f>
        <v>#VALUE!</v>
      </c>
      <c r="O201" t="e">
        <f>AND(Bills!Q846,"AAAAAGuunw4=")</f>
        <v>#VALUE!</v>
      </c>
      <c r="P201" t="e">
        <f>AND(Bills!R846,"AAAAAGuunw8=")</f>
        <v>#VALUE!</v>
      </c>
      <c r="Q201" t="e">
        <f>AND(Bills!S846,"AAAAAGuunxA=")</f>
        <v>#VALUE!</v>
      </c>
      <c r="R201" t="e">
        <f>AND(Bills!T846,"AAAAAGuunxE=")</f>
        <v>#VALUE!</v>
      </c>
      <c r="S201" t="e">
        <f>AND(Bills!#REF!,"AAAAAGuunxI=")</f>
        <v>#REF!</v>
      </c>
      <c r="T201" t="e">
        <f>AND(Bills!U846,"AAAAAGuunxM=")</f>
        <v>#VALUE!</v>
      </c>
      <c r="U201" t="e">
        <f>AND(Bills!V846,"AAAAAGuunxQ=")</f>
        <v>#VALUE!</v>
      </c>
      <c r="V201" t="e">
        <f>AND(Bills!W846,"AAAAAGuunxU=")</f>
        <v>#VALUE!</v>
      </c>
      <c r="W201" t="e">
        <f>AND(Bills!#REF!,"AAAAAGuunxY=")</f>
        <v>#REF!</v>
      </c>
      <c r="X201" t="e">
        <f>AND(Bills!#REF!,"AAAAAGuunxc=")</f>
        <v>#REF!</v>
      </c>
      <c r="Y201" t="e">
        <f>AND(Bills!Y846,"AAAAAGuunxg=")</f>
        <v>#VALUE!</v>
      </c>
      <c r="Z201" t="e">
        <f>AND(Bills!Z846,"AAAAAGuunxk=")</f>
        <v>#VALUE!</v>
      </c>
      <c r="AA201" t="e">
        <f>AND(Bills!#REF!,"AAAAAGuunxo=")</f>
        <v>#REF!</v>
      </c>
      <c r="AB201" t="e">
        <f>AND(Bills!#REF!,"AAAAAGuunxs=")</f>
        <v>#REF!</v>
      </c>
      <c r="AC201" t="e">
        <f>AND(Bills!#REF!,"AAAAAGuunxw=")</f>
        <v>#REF!</v>
      </c>
      <c r="AD201" t="e">
        <f>AND(Bills!#REF!,"AAAAAGuunx0=")</f>
        <v>#REF!</v>
      </c>
      <c r="AE201" t="e">
        <f>AND(Bills!#REF!,"AAAAAGuunx4=")</f>
        <v>#REF!</v>
      </c>
      <c r="AF201" t="e">
        <f>AND(Bills!#REF!,"AAAAAGuunx8=")</f>
        <v>#REF!</v>
      </c>
      <c r="AG201" t="e">
        <f>AND(Bills!#REF!,"AAAAAGuunyA=")</f>
        <v>#REF!</v>
      </c>
      <c r="AH201" t="e">
        <f>AND(Bills!#REF!,"AAAAAGuunyE=")</f>
        <v>#REF!</v>
      </c>
      <c r="AI201" t="e">
        <f>AND(Bills!#REF!,"AAAAAGuunyI=")</f>
        <v>#REF!</v>
      </c>
      <c r="AJ201" t="e">
        <f>AND(Bills!AA846,"AAAAAGuunyM=")</f>
        <v>#VALUE!</v>
      </c>
      <c r="AK201" t="e">
        <f>AND(Bills!AB846,"AAAAAGuunyQ=")</f>
        <v>#VALUE!</v>
      </c>
      <c r="AL201" t="e">
        <f>AND(Bills!#REF!,"AAAAAGuunyU=")</f>
        <v>#REF!</v>
      </c>
      <c r="AM201" t="e">
        <f>AND(Bills!#REF!,"AAAAAGuunyY=")</f>
        <v>#REF!</v>
      </c>
      <c r="AN201" t="e">
        <f>AND(Bills!#REF!,"AAAAAGuunyc=")</f>
        <v>#REF!</v>
      </c>
      <c r="AO201" t="e">
        <f>AND(Bills!AC846,"AAAAAGuunyg=")</f>
        <v>#VALUE!</v>
      </c>
      <c r="AP201" t="e">
        <f>AND(Bills!AD846,"AAAAAGuunyk=")</f>
        <v>#VALUE!</v>
      </c>
      <c r="AQ201" t="e">
        <f>AND(Bills!AE846,"AAAAAGuunyo=")</f>
        <v>#VALUE!</v>
      </c>
      <c r="AR201">
        <f>IF(Bills!847:847,"AAAAAGuunys=",0)</f>
        <v>0</v>
      </c>
      <c r="AS201" t="e">
        <f>AND(Bills!B847,"AAAAAGuunyw=")</f>
        <v>#VALUE!</v>
      </c>
      <c r="AT201" t="e">
        <f>AND(Bills!#REF!,"AAAAAGuuny0=")</f>
        <v>#REF!</v>
      </c>
      <c r="AU201" t="e">
        <f>AND(Bills!C847,"AAAAAGuuny4=")</f>
        <v>#VALUE!</v>
      </c>
      <c r="AV201" t="e">
        <f>AND(Bills!D847,"AAAAAGuuny8=")</f>
        <v>#VALUE!</v>
      </c>
      <c r="AW201" t="e">
        <f>AND(Bills!E847,"AAAAAGuunzA=")</f>
        <v>#VALUE!</v>
      </c>
      <c r="AX201" t="e">
        <f>AND(Bills!#REF!,"AAAAAGuunzE=")</f>
        <v>#REF!</v>
      </c>
      <c r="AY201" t="e">
        <f>AND(Bills!#REF!,"AAAAAGuunzI=")</f>
        <v>#REF!</v>
      </c>
      <c r="AZ201" t="e">
        <f>AND(Bills!#REF!,"AAAAAGuunzM=")</f>
        <v>#REF!</v>
      </c>
      <c r="BA201" t="e">
        <f>AND(Bills!F847,"AAAAAGuunzQ=")</f>
        <v>#VALUE!</v>
      </c>
      <c r="BB201" t="e">
        <f>AND(Bills!#REF!,"AAAAAGuunzU=")</f>
        <v>#REF!</v>
      </c>
      <c r="BC201" t="e">
        <f>AND(Bills!G847,"AAAAAGuunzY=")</f>
        <v>#VALUE!</v>
      </c>
      <c r="BD201" t="e">
        <f>AND(Bills!H847,"AAAAAGuunzc=")</f>
        <v>#VALUE!</v>
      </c>
      <c r="BE201" t="e">
        <f>AND(Bills!I847,"AAAAAGuunzg=")</f>
        <v>#VALUE!</v>
      </c>
      <c r="BF201" t="e">
        <f>AND(Bills!J847,"AAAAAGuunzk=")</f>
        <v>#VALUE!</v>
      </c>
      <c r="BG201" t="e">
        <f>AND(Bills!K847,"AAAAAGuunzo=")</f>
        <v>#VALUE!</v>
      </c>
      <c r="BH201" t="e">
        <f>AND(Bills!L847,"AAAAAGuunzs=")</f>
        <v>#VALUE!</v>
      </c>
      <c r="BI201" t="e">
        <f>AND(Bills!#REF!,"AAAAAGuunzw=")</f>
        <v>#REF!</v>
      </c>
      <c r="BJ201" t="e">
        <f>AND(Bills!M847,"AAAAAGuunz0=")</f>
        <v>#VALUE!</v>
      </c>
      <c r="BK201" t="e">
        <f>AND(Bills!N847,"AAAAAGuunz4=")</f>
        <v>#VALUE!</v>
      </c>
      <c r="BL201" t="e">
        <f>AND(Bills!O847,"AAAAAGuunz8=")</f>
        <v>#VALUE!</v>
      </c>
      <c r="BM201" t="e">
        <f>AND(Bills!P847,"AAAAAGuun0A=")</f>
        <v>#VALUE!</v>
      </c>
      <c r="BN201" t="e">
        <f>AND(Bills!Q847,"AAAAAGuun0E=")</f>
        <v>#VALUE!</v>
      </c>
      <c r="BO201" t="e">
        <f>AND(Bills!R847,"AAAAAGuun0I=")</f>
        <v>#VALUE!</v>
      </c>
      <c r="BP201" t="e">
        <f>AND(Bills!S847,"AAAAAGuun0M=")</f>
        <v>#VALUE!</v>
      </c>
      <c r="BQ201" t="e">
        <f>AND(Bills!T847,"AAAAAGuun0Q=")</f>
        <v>#VALUE!</v>
      </c>
      <c r="BR201" t="e">
        <f>AND(Bills!#REF!,"AAAAAGuun0U=")</f>
        <v>#REF!</v>
      </c>
      <c r="BS201" t="e">
        <f>AND(Bills!U847,"AAAAAGuun0Y=")</f>
        <v>#VALUE!</v>
      </c>
      <c r="BT201" t="e">
        <f>AND(Bills!V847,"AAAAAGuun0c=")</f>
        <v>#VALUE!</v>
      </c>
      <c r="BU201" t="e">
        <f>AND(Bills!W847,"AAAAAGuun0g=")</f>
        <v>#VALUE!</v>
      </c>
      <c r="BV201" t="e">
        <f>AND(Bills!#REF!,"AAAAAGuun0k=")</f>
        <v>#REF!</v>
      </c>
      <c r="BW201" t="e">
        <f>AND(Bills!#REF!,"AAAAAGuun0o=")</f>
        <v>#REF!</v>
      </c>
      <c r="BX201" t="e">
        <f>AND(Bills!Y847,"AAAAAGuun0s=")</f>
        <v>#VALUE!</v>
      </c>
      <c r="BY201" t="e">
        <f>AND(Bills!Z847,"AAAAAGuun0w=")</f>
        <v>#VALUE!</v>
      </c>
      <c r="BZ201" t="e">
        <f>AND(Bills!#REF!,"AAAAAGuun00=")</f>
        <v>#REF!</v>
      </c>
      <c r="CA201" t="e">
        <f>AND(Bills!#REF!,"AAAAAGuun04=")</f>
        <v>#REF!</v>
      </c>
      <c r="CB201" t="e">
        <f>AND(Bills!#REF!,"AAAAAGuun08=")</f>
        <v>#REF!</v>
      </c>
      <c r="CC201" t="e">
        <f>AND(Bills!#REF!,"AAAAAGuun1A=")</f>
        <v>#REF!</v>
      </c>
      <c r="CD201" t="e">
        <f>AND(Bills!#REF!,"AAAAAGuun1E=")</f>
        <v>#REF!</v>
      </c>
      <c r="CE201" t="e">
        <f>AND(Bills!#REF!,"AAAAAGuun1I=")</f>
        <v>#REF!</v>
      </c>
      <c r="CF201" t="e">
        <f>AND(Bills!#REF!,"AAAAAGuun1M=")</f>
        <v>#REF!</v>
      </c>
      <c r="CG201" t="e">
        <f>AND(Bills!#REF!,"AAAAAGuun1Q=")</f>
        <v>#REF!</v>
      </c>
      <c r="CH201" t="e">
        <f>AND(Bills!#REF!,"AAAAAGuun1U=")</f>
        <v>#REF!</v>
      </c>
      <c r="CI201" t="e">
        <f>AND(Bills!AA847,"AAAAAGuun1Y=")</f>
        <v>#VALUE!</v>
      </c>
      <c r="CJ201" t="e">
        <f>AND(Bills!AB847,"AAAAAGuun1c=")</f>
        <v>#VALUE!</v>
      </c>
      <c r="CK201" t="e">
        <f>AND(Bills!#REF!,"AAAAAGuun1g=")</f>
        <v>#REF!</v>
      </c>
      <c r="CL201" t="e">
        <f>AND(Bills!#REF!,"AAAAAGuun1k=")</f>
        <v>#REF!</v>
      </c>
      <c r="CM201" t="e">
        <f>AND(Bills!#REF!,"AAAAAGuun1o=")</f>
        <v>#REF!</v>
      </c>
      <c r="CN201" t="e">
        <f>AND(Bills!AC847,"AAAAAGuun1s=")</f>
        <v>#VALUE!</v>
      </c>
      <c r="CO201" t="e">
        <f>AND(Bills!AD847,"AAAAAGuun1w=")</f>
        <v>#VALUE!</v>
      </c>
      <c r="CP201" t="e">
        <f>AND(Bills!AE847,"AAAAAGuun10=")</f>
        <v>#VALUE!</v>
      </c>
      <c r="CQ201">
        <f>IF(Bills!848:848,"AAAAAGuun14=",0)</f>
        <v>0</v>
      </c>
      <c r="CR201" t="e">
        <f>AND(Bills!B848,"AAAAAGuun18=")</f>
        <v>#VALUE!</v>
      </c>
      <c r="CS201" t="e">
        <f>AND(Bills!#REF!,"AAAAAGuun2A=")</f>
        <v>#REF!</v>
      </c>
      <c r="CT201" t="e">
        <f>AND(Bills!C848,"AAAAAGuun2E=")</f>
        <v>#VALUE!</v>
      </c>
      <c r="CU201" t="e">
        <f>AND(Bills!D848,"AAAAAGuun2I=")</f>
        <v>#VALUE!</v>
      </c>
      <c r="CV201" t="e">
        <f>AND(Bills!E848,"AAAAAGuun2M=")</f>
        <v>#VALUE!</v>
      </c>
      <c r="CW201" t="e">
        <f>AND(Bills!#REF!,"AAAAAGuun2Q=")</f>
        <v>#REF!</v>
      </c>
      <c r="CX201" t="e">
        <f>AND(Bills!#REF!,"AAAAAGuun2U=")</f>
        <v>#REF!</v>
      </c>
      <c r="CY201" t="e">
        <f>AND(Bills!#REF!,"AAAAAGuun2Y=")</f>
        <v>#REF!</v>
      </c>
      <c r="CZ201" t="e">
        <f>AND(Bills!F848,"AAAAAGuun2c=")</f>
        <v>#VALUE!</v>
      </c>
      <c r="DA201" t="e">
        <f>AND(Bills!#REF!,"AAAAAGuun2g=")</f>
        <v>#REF!</v>
      </c>
      <c r="DB201" t="e">
        <f>AND(Bills!G848,"AAAAAGuun2k=")</f>
        <v>#VALUE!</v>
      </c>
      <c r="DC201" t="e">
        <f>AND(Bills!H848,"AAAAAGuun2o=")</f>
        <v>#VALUE!</v>
      </c>
      <c r="DD201" t="e">
        <f>AND(Bills!I848,"AAAAAGuun2s=")</f>
        <v>#VALUE!</v>
      </c>
      <c r="DE201" t="e">
        <f>AND(Bills!J848,"AAAAAGuun2w=")</f>
        <v>#VALUE!</v>
      </c>
      <c r="DF201" t="e">
        <f>AND(Bills!K848,"AAAAAGuun20=")</f>
        <v>#VALUE!</v>
      </c>
      <c r="DG201" t="e">
        <f>AND(Bills!L848,"AAAAAGuun24=")</f>
        <v>#VALUE!</v>
      </c>
      <c r="DH201" t="e">
        <f>AND(Bills!#REF!,"AAAAAGuun28=")</f>
        <v>#REF!</v>
      </c>
      <c r="DI201" t="e">
        <f>AND(Bills!M848,"AAAAAGuun3A=")</f>
        <v>#VALUE!</v>
      </c>
      <c r="DJ201" t="e">
        <f>AND(Bills!N848,"AAAAAGuun3E=")</f>
        <v>#VALUE!</v>
      </c>
      <c r="DK201" t="e">
        <f>AND(Bills!O848,"AAAAAGuun3I=")</f>
        <v>#VALUE!</v>
      </c>
      <c r="DL201" t="e">
        <f>AND(Bills!P848,"AAAAAGuun3M=")</f>
        <v>#VALUE!</v>
      </c>
      <c r="DM201" t="e">
        <f>AND(Bills!Q848,"AAAAAGuun3Q=")</f>
        <v>#VALUE!</v>
      </c>
      <c r="DN201" t="e">
        <f>AND(Bills!R848,"AAAAAGuun3U=")</f>
        <v>#VALUE!</v>
      </c>
      <c r="DO201" t="e">
        <f>AND(Bills!S848,"AAAAAGuun3Y=")</f>
        <v>#VALUE!</v>
      </c>
      <c r="DP201" t="e">
        <f>AND(Bills!T848,"AAAAAGuun3c=")</f>
        <v>#VALUE!</v>
      </c>
      <c r="DQ201" t="e">
        <f>AND(Bills!#REF!,"AAAAAGuun3g=")</f>
        <v>#REF!</v>
      </c>
      <c r="DR201" t="e">
        <f>AND(Bills!U848,"AAAAAGuun3k=")</f>
        <v>#VALUE!</v>
      </c>
      <c r="DS201" t="e">
        <f>AND(Bills!V848,"AAAAAGuun3o=")</f>
        <v>#VALUE!</v>
      </c>
      <c r="DT201" t="e">
        <f>AND(Bills!W848,"AAAAAGuun3s=")</f>
        <v>#VALUE!</v>
      </c>
      <c r="DU201" t="e">
        <f>AND(Bills!#REF!,"AAAAAGuun3w=")</f>
        <v>#REF!</v>
      </c>
      <c r="DV201" t="e">
        <f>AND(Bills!#REF!,"AAAAAGuun30=")</f>
        <v>#REF!</v>
      </c>
      <c r="DW201" t="e">
        <f>AND(Bills!Y848,"AAAAAGuun34=")</f>
        <v>#VALUE!</v>
      </c>
      <c r="DX201" t="e">
        <f>AND(Bills!Z848,"AAAAAGuun38=")</f>
        <v>#VALUE!</v>
      </c>
      <c r="DY201" t="e">
        <f>AND(Bills!#REF!,"AAAAAGuun4A=")</f>
        <v>#REF!</v>
      </c>
      <c r="DZ201" t="e">
        <f>AND(Bills!#REF!,"AAAAAGuun4E=")</f>
        <v>#REF!</v>
      </c>
      <c r="EA201" t="e">
        <f>AND(Bills!#REF!,"AAAAAGuun4I=")</f>
        <v>#REF!</v>
      </c>
      <c r="EB201" t="e">
        <f>AND(Bills!#REF!,"AAAAAGuun4M=")</f>
        <v>#REF!</v>
      </c>
      <c r="EC201" t="e">
        <f>AND(Bills!#REF!,"AAAAAGuun4Q=")</f>
        <v>#REF!</v>
      </c>
      <c r="ED201" t="e">
        <f>AND(Bills!#REF!,"AAAAAGuun4U=")</f>
        <v>#REF!</v>
      </c>
      <c r="EE201" t="e">
        <f>AND(Bills!#REF!,"AAAAAGuun4Y=")</f>
        <v>#REF!</v>
      </c>
      <c r="EF201" t="e">
        <f>AND(Bills!#REF!,"AAAAAGuun4c=")</f>
        <v>#REF!</v>
      </c>
      <c r="EG201" t="e">
        <f>AND(Bills!#REF!,"AAAAAGuun4g=")</f>
        <v>#REF!</v>
      </c>
      <c r="EH201" t="e">
        <f>AND(Bills!AA848,"AAAAAGuun4k=")</f>
        <v>#VALUE!</v>
      </c>
      <c r="EI201" t="e">
        <f>AND(Bills!AB848,"AAAAAGuun4o=")</f>
        <v>#VALUE!</v>
      </c>
      <c r="EJ201" t="e">
        <f>AND(Bills!#REF!,"AAAAAGuun4s=")</f>
        <v>#REF!</v>
      </c>
      <c r="EK201" t="e">
        <f>AND(Bills!#REF!,"AAAAAGuun4w=")</f>
        <v>#REF!</v>
      </c>
      <c r="EL201" t="e">
        <f>AND(Bills!#REF!,"AAAAAGuun40=")</f>
        <v>#REF!</v>
      </c>
      <c r="EM201" t="e">
        <f>AND(Bills!AC848,"AAAAAGuun44=")</f>
        <v>#VALUE!</v>
      </c>
      <c r="EN201" t="e">
        <f>AND(Bills!AD848,"AAAAAGuun48=")</f>
        <v>#VALUE!</v>
      </c>
      <c r="EO201" t="e">
        <f>AND(Bills!AE848,"AAAAAGuun5A=")</f>
        <v>#VALUE!</v>
      </c>
      <c r="EP201">
        <f>IF(Bills!849:849,"AAAAAGuun5E=",0)</f>
        <v>0</v>
      </c>
      <c r="EQ201" t="e">
        <f>AND(Bills!B849,"AAAAAGuun5I=")</f>
        <v>#VALUE!</v>
      </c>
      <c r="ER201" t="e">
        <f>AND(Bills!#REF!,"AAAAAGuun5M=")</f>
        <v>#REF!</v>
      </c>
      <c r="ES201" t="e">
        <f>AND(Bills!C849,"AAAAAGuun5Q=")</f>
        <v>#VALUE!</v>
      </c>
      <c r="ET201" t="e">
        <f>AND(Bills!D849,"AAAAAGuun5U=")</f>
        <v>#VALUE!</v>
      </c>
      <c r="EU201" t="e">
        <f>AND(Bills!E849,"AAAAAGuun5Y=")</f>
        <v>#VALUE!</v>
      </c>
      <c r="EV201" t="e">
        <f>AND(Bills!#REF!,"AAAAAGuun5c=")</f>
        <v>#REF!</v>
      </c>
      <c r="EW201" t="e">
        <f>AND(Bills!#REF!,"AAAAAGuun5g=")</f>
        <v>#REF!</v>
      </c>
      <c r="EX201" t="e">
        <f>AND(Bills!#REF!,"AAAAAGuun5k=")</f>
        <v>#REF!</v>
      </c>
      <c r="EY201" t="e">
        <f>AND(Bills!F849,"AAAAAGuun5o=")</f>
        <v>#VALUE!</v>
      </c>
      <c r="EZ201" t="e">
        <f>AND(Bills!#REF!,"AAAAAGuun5s=")</f>
        <v>#REF!</v>
      </c>
      <c r="FA201" t="e">
        <f>AND(Bills!G849,"AAAAAGuun5w=")</f>
        <v>#VALUE!</v>
      </c>
      <c r="FB201" t="e">
        <f>AND(Bills!H849,"AAAAAGuun50=")</f>
        <v>#VALUE!</v>
      </c>
      <c r="FC201" t="e">
        <f>AND(Bills!I849,"AAAAAGuun54=")</f>
        <v>#VALUE!</v>
      </c>
      <c r="FD201" t="e">
        <f>AND(Bills!J849,"AAAAAGuun58=")</f>
        <v>#VALUE!</v>
      </c>
      <c r="FE201" t="e">
        <f>AND(Bills!K849,"AAAAAGuun6A=")</f>
        <v>#VALUE!</v>
      </c>
      <c r="FF201" t="e">
        <f>AND(Bills!L849,"AAAAAGuun6E=")</f>
        <v>#VALUE!</v>
      </c>
      <c r="FG201" t="e">
        <f>AND(Bills!#REF!,"AAAAAGuun6I=")</f>
        <v>#REF!</v>
      </c>
      <c r="FH201" t="e">
        <f>AND(Bills!M849,"AAAAAGuun6M=")</f>
        <v>#VALUE!</v>
      </c>
      <c r="FI201" t="e">
        <f>AND(Bills!N849,"AAAAAGuun6Q=")</f>
        <v>#VALUE!</v>
      </c>
      <c r="FJ201" t="e">
        <f>AND(Bills!O849,"AAAAAGuun6U=")</f>
        <v>#VALUE!</v>
      </c>
      <c r="FK201" t="e">
        <f>AND(Bills!P849,"AAAAAGuun6Y=")</f>
        <v>#VALUE!</v>
      </c>
      <c r="FL201" t="e">
        <f>AND(Bills!Q849,"AAAAAGuun6c=")</f>
        <v>#VALUE!</v>
      </c>
      <c r="FM201" t="e">
        <f>AND(Bills!R849,"AAAAAGuun6g=")</f>
        <v>#VALUE!</v>
      </c>
      <c r="FN201" t="e">
        <f>AND(Bills!S849,"AAAAAGuun6k=")</f>
        <v>#VALUE!</v>
      </c>
      <c r="FO201" t="e">
        <f>AND(Bills!T849,"AAAAAGuun6o=")</f>
        <v>#VALUE!</v>
      </c>
      <c r="FP201" t="e">
        <f>AND(Bills!#REF!,"AAAAAGuun6s=")</f>
        <v>#REF!</v>
      </c>
      <c r="FQ201" t="e">
        <f>AND(Bills!U849,"AAAAAGuun6w=")</f>
        <v>#VALUE!</v>
      </c>
      <c r="FR201" t="e">
        <f>AND(Bills!V849,"AAAAAGuun60=")</f>
        <v>#VALUE!</v>
      </c>
      <c r="FS201" t="e">
        <f>AND(Bills!W849,"AAAAAGuun64=")</f>
        <v>#VALUE!</v>
      </c>
      <c r="FT201" t="e">
        <f>AND(Bills!#REF!,"AAAAAGuun68=")</f>
        <v>#REF!</v>
      </c>
      <c r="FU201" t="e">
        <f>AND(Bills!#REF!,"AAAAAGuun7A=")</f>
        <v>#REF!</v>
      </c>
      <c r="FV201" t="e">
        <f>AND(Bills!Y849,"AAAAAGuun7E=")</f>
        <v>#VALUE!</v>
      </c>
      <c r="FW201" t="e">
        <f>AND(Bills!Z849,"AAAAAGuun7I=")</f>
        <v>#VALUE!</v>
      </c>
      <c r="FX201" t="e">
        <f>AND(Bills!#REF!,"AAAAAGuun7M=")</f>
        <v>#REF!</v>
      </c>
      <c r="FY201" t="e">
        <f>AND(Bills!#REF!,"AAAAAGuun7Q=")</f>
        <v>#REF!</v>
      </c>
      <c r="FZ201" t="e">
        <f>AND(Bills!#REF!,"AAAAAGuun7U=")</f>
        <v>#REF!</v>
      </c>
      <c r="GA201" t="e">
        <f>AND(Bills!#REF!,"AAAAAGuun7Y=")</f>
        <v>#REF!</v>
      </c>
      <c r="GB201" t="e">
        <f>AND(Bills!#REF!,"AAAAAGuun7c=")</f>
        <v>#REF!</v>
      </c>
      <c r="GC201" t="e">
        <f>AND(Bills!#REF!,"AAAAAGuun7g=")</f>
        <v>#REF!</v>
      </c>
      <c r="GD201" t="e">
        <f>AND(Bills!#REF!,"AAAAAGuun7k=")</f>
        <v>#REF!</v>
      </c>
      <c r="GE201" t="e">
        <f>AND(Bills!#REF!,"AAAAAGuun7o=")</f>
        <v>#REF!</v>
      </c>
      <c r="GF201" t="e">
        <f>AND(Bills!#REF!,"AAAAAGuun7s=")</f>
        <v>#REF!</v>
      </c>
      <c r="GG201" t="e">
        <f>AND(Bills!AA849,"AAAAAGuun7w=")</f>
        <v>#VALUE!</v>
      </c>
      <c r="GH201" t="e">
        <f>AND(Bills!AB849,"AAAAAGuun70=")</f>
        <v>#VALUE!</v>
      </c>
      <c r="GI201" t="e">
        <f>AND(Bills!#REF!,"AAAAAGuun74=")</f>
        <v>#REF!</v>
      </c>
      <c r="GJ201" t="e">
        <f>AND(Bills!#REF!,"AAAAAGuun78=")</f>
        <v>#REF!</v>
      </c>
      <c r="GK201" t="e">
        <f>AND(Bills!#REF!,"AAAAAGuun8A=")</f>
        <v>#REF!</v>
      </c>
      <c r="GL201" t="e">
        <f>AND(Bills!AC849,"AAAAAGuun8E=")</f>
        <v>#VALUE!</v>
      </c>
      <c r="GM201" t="e">
        <f>AND(Bills!AD849,"AAAAAGuun8I=")</f>
        <v>#VALUE!</v>
      </c>
      <c r="GN201" t="e">
        <f>AND(Bills!AE849,"AAAAAGuun8M=")</f>
        <v>#VALUE!</v>
      </c>
      <c r="GO201">
        <f>IF(Bills!850:850,"AAAAAGuun8Q=",0)</f>
        <v>0</v>
      </c>
      <c r="GP201" t="e">
        <f>AND(Bills!B850,"AAAAAGuun8U=")</f>
        <v>#VALUE!</v>
      </c>
      <c r="GQ201" t="e">
        <f>AND(Bills!#REF!,"AAAAAGuun8Y=")</f>
        <v>#REF!</v>
      </c>
      <c r="GR201" t="e">
        <f>AND(Bills!C850,"AAAAAGuun8c=")</f>
        <v>#VALUE!</v>
      </c>
      <c r="GS201" t="e">
        <f>AND(Bills!D850,"AAAAAGuun8g=")</f>
        <v>#VALUE!</v>
      </c>
      <c r="GT201" t="e">
        <f>AND(Bills!E850,"AAAAAGuun8k=")</f>
        <v>#VALUE!</v>
      </c>
      <c r="GU201" t="e">
        <f>AND(Bills!#REF!,"AAAAAGuun8o=")</f>
        <v>#REF!</v>
      </c>
      <c r="GV201" t="e">
        <f>AND(Bills!#REF!,"AAAAAGuun8s=")</f>
        <v>#REF!</v>
      </c>
      <c r="GW201" t="e">
        <f>AND(Bills!#REF!,"AAAAAGuun8w=")</f>
        <v>#REF!</v>
      </c>
      <c r="GX201" t="e">
        <f>AND(Bills!F850,"AAAAAGuun80=")</f>
        <v>#VALUE!</v>
      </c>
      <c r="GY201" t="e">
        <f>AND(Bills!#REF!,"AAAAAGuun84=")</f>
        <v>#REF!</v>
      </c>
      <c r="GZ201" t="e">
        <f>AND(Bills!G850,"AAAAAGuun88=")</f>
        <v>#VALUE!</v>
      </c>
      <c r="HA201" t="e">
        <f>AND(Bills!H850,"AAAAAGuun9A=")</f>
        <v>#VALUE!</v>
      </c>
      <c r="HB201" t="e">
        <f>AND(Bills!I850,"AAAAAGuun9E=")</f>
        <v>#VALUE!</v>
      </c>
      <c r="HC201" t="e">
        <f>AND(Bills!J850,"AAAAAGuun9I=")</f>
        <v>#VALUE!</v>
      </c>
      <c r="HD201" t="e">
        <f>AND(Bills!K850,"AAAAAGuun9M=")</f>
        <v>#VALUE!</v>
      </c>
      <c r="HE201" t="e">
        <f>AND(Bills!L850,"AAAAAGuun9Q=")</f>
        <v>#VALUE!</v>
      </c>
      <c r="HF201" t="e">
        <f>AND(Bills!#REF!,"AAAAAGuun9U=")</f>
        <v>#REF!</v>
      </c>
      <c r="HG201" t="e">
        <f>AND(Bills!M850,"AAAAAGuun9Y=")</f>
        <v>#VALUE!</v>
      </c>
      <c r="HH201" t="e">
        <f>AND(Bills!N850,"AAAAAGuun9c=")</f>
        <v>#VALUE!</v>
      </c>
      <c r="HI201" t="e">
        <f>AND(Bills!O850,"AAAAAGuun9g=")</f>
        <v>#VALUE!</v>
      </c>
      <c r="HJ201" t="e">
        <f>AND(Bills!P850,"AAAAAGuun9k=")</f>
        <v>#VALUE!</v>
      </c>
      <c r="HK201" t="e">
        <f>AND(Bills!Q850,"AAAAAGuun9o=")</f>
        <v>#VALUE!</v>
      </c>
      <c r="HL201" t="e">
        <f>AND(Bills!R850,"AAAAAGuun9s=")</f>
        <v>#VALUE!</v>
      </c>
      <c r="HM201" t="e">
        <f>AND(Bills!S850,"AAAAAGuun9w=")</f>
        <v>#VALUE!</v>
      </c>
      <c r="HN201" t="e">
        <f>AND(Bills!T850,"AAAAAGuun90=")</f>
        <v>#VALUE!</v>
      </c>
      <c r="HO201" t="e">
        <f>AND(Bills!#REF!,"AAAAAGuun94=")</f>
        <v>#REF!</v>
      </c>
      <c r="HP201" t="e">
        <f>AND(Bills!U850,"AAAAAGuun98=")</f>
        <v>#VALUE!</v>
      </c>
      <c r="HQ201" t="e">
        <f>AND(Bills!V850,"AAAAAGuun+A=")</f>
        <v>#VALUE!</v>
      </c>
      <c r="HR201" t="e">
        <f>AND(Bills!W850,"AAAAAGuun+E=")</f>
        <v>#VALUE!</v>
      </c>
      <c r="HS201" t="e">
        <f>AND(Bills!#REF!,"AAAAAGuun+I=")</f>
        <v>#REF!</v>
      </c>
      <c r="HT201" t="e">
        <f>AND(Bills!#REF!,"AAAAAGuun+M=")</f>
        <v>#REF!</v>
      </c>
      <c r="HU201" t="e">
        <f>AND(Bills!Y850,"AAAAAGuun+Q=")</f>
        <v>#VALUE!</v>
      </c>
      <c r="HV201" t="e">
        <f>AND(Bills!Z850,"AAAAAGuun+U=")</f>
        <v>#VALUE!</v>
      </c>
      <c r="HW201" t="e">
        <f>AND(Bills!#REF!,"AAAAAGuun+Y=")</f>
        <v>#REF!</v>
      </c>
      <c r="HX201" t="e">
        <f>AND(Bills!#REF!,"AAAAAGuun+c=")</f>
        <v>#REF!</v>
      </c>
      <c r="HY201" t="e">
        <f>AND(Bills!#REF!,"AAAAAGuun+g=")</f>
        <v>#REF!</v>
      </c>
      <c r="HZ201" t="e">
        <f>AND(Bills!#REF!,"AAAAAGuun+k=")</f>
        <v>#REF!</v>
      </c>
      <c r="IA201" t="e">
        <f>AND(Bills!#REF!,"AAAAAGuun+o=")</f>
        <v>#REF!</v>
      </c>
      <c r="IB201" t="e">
        <f>AND(Bills!#REF!,"AAAAAGuun+s=")</f>
        <v>#REF!</v>
      </c>
      <c r="IC201" t="e">
        <f>AND(Bills!#REF!,"AAAAAGuun+w=")</f>
        <v>#REF!</v>
      </c>
      <c r="ID201" t="e">
        <f>AND(Bills!#REF!,"AAAAAGuun+0=")</f>
        <v>#REF!</v>
      </c>
      <c r="IE201" t="e">
        <f>AND(Bills!#REF!,"AAAAAGuun+4=")</f>
        <v>#REF!</v>
      </c>
      <c r="IF201" t="e">
        <f>AND(Bills!AA850,"AAAAAGuun+8=")</f>
        <v>#VALUE!</v>
      </c>
      <c r="IG201" t="e">
        <f>AND(Bills!AB850,"AAAAAGuun/A=")</f>
        <v>#VALUE!</v>
      </c>
      <c r="IH201" t="e">
        <f>AND(Bills!#REF!,"AAAAAGuun/E=")</f>
        <v>#REF!</v>
      </c>
      <c r="II201" t="e">
        <f>AND(Bills!#REF!,"AAAAAGuun/I=")</f>
        <v>#REF!</v>
      </c>
      <c r="IJ201" t="e">
        <f>AND(Bills!#REF!,"AAAAAGuun/M=")</f>
        <v>#REF!</v>
      </c>
      <c r="IK201" t="e">
        <f>AND(Bills!AC850,"AAAAAGuun/Q=")</f>
        <v>#VALUE!</v>
      </c>
      <c r="IL201" t="e">
        <f>AND(Bills!AD850,"AAAAAGuun/U=")</f>
        <v>#VALUE!</v>
      </c>
      <c r="IM201" t="e">
        <f>AND(Bills!AE850,"AAAAAGuun/Y=")</f>
        <v>#VALUE!</v>
      </c>
      <c r="IN201">
        <f>IF(Bills!851:851,"AAAAAGuun/c=",0)</f>
        <v>0</v>
      </c>
      <c r="IO201" t="e">
        <f>AND(Bills!B851,"AAAAAGuun/g=")</f>
        <v>#VALUE!</v>
      </c>
      <c r="IP201" t="e">
        <f>AND(Bills!#REF!,"AAAAAGuun/k=")</f>
        <v>#REF!</v>
      </c>
      <c r="IQ201" t="e">
        <f>AND(Bills!C851,"AAAAAGuun/o=")</f>
        <v>#VALUE!</v>
      </c>
      <c r="IR201" t="e">
        <f>AND(Bills!D851,"AAAAAGuun/s=")</f>
        <v>#VALUE!</v>
      </c>
      <c r="IS201" t="e">
        <f>AND(Bills!E851,"AAAAAGuun/w=")</f>
        <v>#VALUE!</v>
      </c>
      <c r="IT201" t="e">
        <f>AND(Bills!#REF!,"AAAAAGuun/0=")</f>
        <v>#REF!</v>
      </c>
      <c r="IU201" t="e">
        <f>AND(Bills!#REF!,"AAAAAGuun/4=")</f>
        <v>#REF!</v>
      </c>
      <c r="IV201" t="e">
        <f>AND(Bills!#REF!,"AAAAAGuun/8=")</f>
        <v>#REF!</v>
      </c>
    </row>
    <row r="202" spans="1:256" x14ac:dyDescent="0.25">
      <c r="A202" t="e">
        <f>AND(Bills!F851,"AAAAACaNbwA=")</f>
        <v>#VALUE!</v>
      </c>
      <c r="B202" t="e">
        <f>AND(Bills!#REF!,"AAAAACaNbwE=")</f>
        <v>#REF!</v>
      </c>
      <c r="C202" t="e">
        <f>AND(Bills!G851,"AAAAACaNbwI=")</f>
        <v>#VALUE!</v>
      </c>
      <c r="D202" t="e">
        <f>AND(Bills!H851,"AAAAACaNbwM=")</f>
        <v>#VALUE!</v>
      </c>
      <c r="E202" t="e">
        <f>AND(Bills!I851,"AAAAACaNbwQ=")</f>
        <v>#VALUE!</v>
      </c>
      <c r="F202" t="e">
        <f>AND(Bills!J851,"AAAAACaNbwU=")</f>
        <v>#VALUE!</v>
      </c>
      <c r="G202" t="e">
        <f>AND(Bills!K851,"AAAAACaNbwY=")</f>
        <v>#VALUE!</v>
      </c>
      <c r="H202" t="e">
        <f>AND(Bills!L851,"AAAAACaNbwc=")</f>
        <v>#VALUE!</v>
      </c>
      <c r="I202" t="e">
        <f>AND(Bills!#REF!,"AAAAACaNbwg=")</f>
        <v>#REF!</v>
      </c>
      <c r="J202" t="e">
        <f>AND(Bills!M851,"AAAAACaNbwk=")</f>
        <v>#VALUE!</v>
      </c>
      <c r="K202" t="e">
        <f>AND(Bills!N851,"AAAAACaNbwo=")</f>
        <v>#VALUE!</v>
      </c>
      <c r="L202" t="e">
        <f>AND(Bills!O851,"AAAAACaNbws=")</f>
        <v>#VALUE!</v>
      </c>
      <c r="M202" t="e">
        <f>AND(Bills!P851,"AAAAACaNbww=")</f>
        <v>#VALUE!</v>
      </c>
      <c r="N202" t="e">
        <f>AND(Bills!Q851,"AAAAACaNbw0=")</f>
        <v>#VALUE!</v>
      </c>
      <c r="O202" t="e">
        <f>AND(Bills!R851,"AAAAACaNbw4=")</f>
        <v>#VALUE!</v>
      </c>
      <c r="P202" t="e">
        <f>AND(Bills!S851,"AAAAACaNbw8=")</f>
        <v>#VALUE!</v>
      </c>
      <c r="Q202" t="e">
        <f>AND(Bills!T851,"AAAAACaNbxA=")</f>
        <v>#VALUE!</v>
      </c>
      <c r="R202" t="e">
        <f>AND(Bills!#REF!,"AAAAACaNbxE=")</f>
        <v>#REF!</v>
      </c>
      <c r="S202" t="e">
        <f>AND(Bills!U851,"AAAAACaNbxI=")</f>
        <v>#VALUE!</v>
      </c>
      <c r="T202" t="e">
        <f>AND(Bills!V851,"AAAAACaNbxM=")</f>
        <v>#VALUE!</v>
      </c>
      <c r="U202" t="e">
        <f>AND(Bills!W851,"AAAAACaNbxQ=")</f>
        <v>#VALUE!</v>
      </c>
      <c r="V202" t="e">
        <f>AND(Bills!#REF!,"AAAAACaNbxU=")</f>
        <v>#REF!</v>
      </c>
      <c r="W202" t="e">
        <f>AND(Bills!#REF!,"AAAAACaNbxY=")</f>
        <v>#REF!</v>
      </c>
      <c r="X202" t="e">
        <f>AND(Bills!Y851,"AAAAACaNbxc=")</f>
        <v>#VALUE!</v>
      </c>
      <c r="Y202" t="e">
        <f>AND(Bills!Z851,"AAAAACaNbxg=")</f>
        <v>#VALUE!</v>
      </c>
      <c r="Z202" t="e">
        <f>AND(Bills!#REF!,"AAAAACaNbxk=")</f>
        <v>#REF!</v>
      </c>
      <c r="AA202" t="e">
        <f>AND(Bills!#REF!,"AAAAACaNbxo=")</f>
        <v>#REF!</v>
      </c>
      <c r="AB202" t="e">
        <f>AND(Bills!#REF!,"AAAAACaNbxs=")</f>
        <v>#REF!</v>
      </c>
      <c r="AC202" t="e">
        <f>AND(Bills!#REF!,"AAAAACaNbxw=")</f>
        <v>#REF!</v>
      </c>
      <c r="AD202" t="e">
        <f>AND(Bills!#REF!,"AAAAACaNbx0=")</f>
        <v>#REF!</v>
      </c>
      <c r="AE202" t="e">
        <f>AND(Bills!#REF!,"AAAAACaNbx4=")</f>
        <v>#REF!</v>
      </c>
      <c r="AF202" t="e">
        <f>AND(Bills!#REF!,"AAAAACaNbx8=")</f>
        <v>#REF!</v>
      </c>
      <c r="AG202" t="e">
        <f>AND(Bills!#REF!,"AAAAACaNbyA=")</f>
        <v>#REF!</v>
      </c>
      <c r="AH202" t="e">
        <f>AND(Bills!#REF!,"AAAAACaNbyE=")</f>
        <v>#REF!</v>
      </c>
      <c r="AI202" t="e">
        <f>AND(Bills!AA851,"AAAAACaNbyI=")</f>
        <v>#VALUE!</v>
      </c>
      <c r="AJ202" t="e">
        <f>AND(Bills!AB851,"AAAAACaNbyM=")</f>
        <v>#VALUE!</v>
      </c>
      <c r="AK202" t="e">
        <f>AND(Bills!#REF!,"AAAAACaNbyQ=")</f>
        <v>#REF!</v>
      </c>
      <c r="AL202" t="e">
        <f>AND(Bills!#REF!,"AAAAACaNbyU=")</f>
        <v>#REF!</v>
      </c>
      <c r="AM202" t="e">
        <f>AND(Bills!#REF!,"AAAAACaNbyY=")</f>
        <v>#REF!</v>
      </c>
      <c r="AN202" t="e">
        <f>AND(Bills!AC851,"AAAAACaNbyc=")</f>
        <v>#VALUE!</v>
      </c>
      <c r="AO202" t="e">
        <f>AND(Bills!AD851,"AAAAACaNbyg=")</f>
        <v>#VALUE!</v>
      </c>
      <c r="AP202" t="e">
        <f>AND(Bills!AE851,"AAAAACaNbyk=")</f>
        <v>#VALUE!</v>
      </c>
      <c r="AQ202">
        <f>IF(Bills!852:852,"AAAAACaNbyo=",0)</f>
        <v>0</v>
      </c>
      <c r="AR202" t="e">
        <f>AND(Bills!B852,"AAAAACaNbys=")</f>
        <v>#VALUE!</v>
      </c>
      <c r="AS202" t="e">
        <f>AND(Bills!#REF!,"AAAAACaNbyw=")</f>
        <v>#REF!</v>
      </c>
      <c r="AT202" t="e">
        <f>AND(Bills!C852,"AAAAACaNby0=")</f>
        <v>#VALUE!</v>
      </c>
      <c r="AU202" t="e">
        <f>AND(Bills!D852,"AAAAACaNby4=")</f>
        <v>#VALUE!</v>
      </c>
      <c r="AV202" t="e">
        <f>AND(Bills!E852,"AAAAACaNby8=")</f>
        <v>#VALUE!</v>
      </c>
      <c r="AW202" t="e">
        <f>AND(Bills!#REF!,"AAAAACaNbzA=")</f>
        <v>#REF!</v>
      </c>
      <c r="AX202" t="e">
        <f>AND(Bills!#REF!,"AAAAACaNbzE=")</f>
        <v>#REF!</v>
      </c>
      <c r="AY202" t="e">
        <f>AND(Bills!#REF!,"AAAAACaNbzI=")</f>
        <v>#REF!</v>
      </c>
      <c r="AZ202" t="e">
        <f>AND(Bills!F852,"AAAAACaNbzM=")</f>
        <v>#VALUE!</v>
      </c>
      <c r="BA202" t="e">
        <f>AND(Bills!#REF!,"AAAAACaNbzQ=")</f>
        <v>#REF!</v>
      </c>
      <c r="BB202" t="e">
        <f>AND(Bills!G852,"AAAAACaNbzU=")</f>
        <v>#VALUE!</v>
      </c>
      <c r="BC202" t="e">
        <f>AND(Bills!H852,"AAAAACaNbzY=")</f>
        <v>#VALUE!</v>
      </c>
      <c r="BD202" t="e">
        <f>AND(Bills!I852,"AAAAACaNbzc=")</f>
        <v>#VALUE!</v>
      </c>
      <c r="BE202" t="e">
        <f>AND(Bills!J852,"AAAAACaNbzg=")</f>
        <v>#VALUE!</v>
      </c>
      <c r="BF202" t="e">
        <f>AND(Bills!K852,"AAAAACaNbzk=")</f>
        <v>#VALUE!</v>
      </c>
      <c r="BG202" t="e">
        <f>AND(Bills!L852,"AAAAACaNbzo=")</f>
        <v>#VALUE!</v>
      </c>
      <c r="BH202" t="e">
        <f>AND(Bills!#REF!,"AAAAACaNbzs=")</f>
        <v>#REF!</v>
      </c>
      <c r="BI202" t="e">
        <f>AND(Bills!M852,"AAAAACaNbzw=")</f>
        <v>#VALUE!</v>
      </c>
      <c r="BJ202" t="e">
        <f>AND(Bills!N852,"AAAAACaNbz0=")</f>
        <v>#VALUE!</v>
      </c>
      <c r="BK202" t="e">
        <f>AND(Bills!O852,"AAAAACaNbz4=")</f>
        <v>#VALUE!</v>
      </c>
      <c r="BL202" t="e">
        <f>AND(Bills!P852,"AAAAACaNbz8=")</f>
        <v>#VALUE!</v>
      </c>
      <c r="BM202" t="e">
        <f>AND(Bills!Q852,"AAAAACaNb0A=")</f>
        <v>#VALUE!</v>
      </c>
      <c r="BN202" t="e">
        <f>AND(Bills!R852,"AAAAACaNb0E=")</f>
        <v>#VALUE!</v>
      </c>
      <c r="BO202" t="e">
        <f>AND(Bills!S852,"AAAAACaNb0I=")</f>
        <v>#VALUE!</v>
      </c>
      <c r="BP202" t="e">
        <f>AND(Bills!T852,"AAAAACaNb0M=")</f>
        <v>#VALUE!</v>
      </c>
      <c r="BQ202" t="e">
        <f>AND(Bills!#REF!,"AAAAACaNb0Q=")</f>
        <v>#REF!</v>
      </c>
      <c r="BR202" t="e">
        <f>AND(Bills!U852,"AAAAACaNb0U=")</f>
        <v>#VALUE!</v>
      </c>
      <c r="BS202" t="e">
        <f>AND(Bills!V852,"AAAAACaNb0Y=")</f>
        <v>#VALUE!</v>
      </c>
      <c r="BT202" t="e">
        <f>AND(Bills!W852,"AAAAACaNb0c=")</f>
        <v>#VALUE!</v>
      </c>
      <c r="BU202" t="e">
        <f>AND(Bills!#REF!,"AAAAACaNb0g=")</f>
        <v>#REF!</v>
      </c>
      <c r="BV202" t="e">
        <f>AND(Bills!#REF!,"AAAAACaNb0k=")</f>
        <v>#REF!</v>
      </c>
      <c r="BW202" t="e">
        <f>AND(Bills!Y852,"AAAAACaNb0o=")</f>
        <v>#VALUE!</v>
      </c>
      <c r="BX202" t="e">
        <f>AND(Bills!Z852,"AAAAACaNb0s=")</f>
        <v>#VALUE!</v>
      </c>
      <c r="BY202" t="e">
        <f>AND(Bills!#REF!,"AAAAACaNb0w=")</f>
        <v>#REF!</v>
      </c>
      <c r="BZ202" t="e">
        <f>AND(Bills!#REF!,"AAAAACaNb00=")</f>
        <v>#REF!</v>
      </c>
      <c r="CA202" t="e">
        <f>AND(Bills!#REF!,"AAAAACaNb04=")</f>
        <v>#REF!</v>
      </c>
      <c r="CB202" t="e">
        <f>AND(Bills!#REF!,"AAAAACaNb08=")</f>
        <v>#REF!</v>
      </c>
      <c r="CC202" t="e">
        <f>AND(Bills!#REF!,"AAAAACaNb1A=")</f>
        <v>#REF!</v>
      </c>
      <c r="CD202" t="e">
        <f>AND(Bills!#REF!,"AAAAACaNb1E=")</f>
        <v>#REF!</v>
      </c>
      <c r="CE202" t="e">
        <f>AND(Bills!#REF!,"AAAAACaNb1I=")</f>
        <v>#REF!</v>
      </c>
      <c r="CF202" t="e">
        <f>AND(Bills!#REF!,"AAAAACaNb1M=")</f>
        <v>#REF!</v>
      </c>
      <c r="CG202" t="e">
        <f>AND(Bills!#REF!,"AAAAACaNb1Q=")</f>
        <v>#REF!</v>
      </c>
      <c r="CH202" t="e">
        <f>AND(Bills!AA852,"AAAAACaNb1U=")</f>
        <v>#VALUE!</v>
      </c>
      <c r="CI202" t="e">
        <f>AND(Bills!AB852,"AAAAACaNb1Y=")</f>
        <v>#VALUE!</v>
      </c>
      <c r="CJ202" t="e">
        <f>AND(Bills!#REF!,"AAAAACaNb1c=")</f>
        <v>#REF!</v>
      </c>
      <c r="CK202" t="e">
        <f>AND(Bills!#REF!,"AAAAACaNb1g=")</f>
        <v>#REF!</v>
      </c>
      <c r="CL202" t="e">
        <f>AND(Bills!#REF!,"AAAAACaNb1k=")</f>
        <v>#REF!</v>
      </c>
      <c r="CM202" t="e">
        <f>AND(Bills!AC852,"AAAAACaNb1o=")</f>
        <v>#VALUE!</v>
      </c>
      <c r="CN202" t="e">
        <f>AND(Bills!AD852,"AAAAACaNb1s=")</f>
        <v>#VALUE!</v>
      </c>
      <c r="CO202" t="e">
        <f>AND(Bills!AE852,"AAAAACaNb1w=")</f>
        <v>#VALUE!</v>
      </c>
      <c r="CP202">
        <f>IF(Bills!853:853,"AAAAACaNb10=",0)</f>
        <v>0</v>
      </c>
      <c r="CQ202" t="e">
        <f>AND(Bills!B853,"AAAAACaNb14=")</f>
        <v>#VALUE!</v>
      </c>
      <c r="CR202" t="e">
        <f>AND(Bills!#REF!,"AAAAACaNb18=")</f>
        <v>#REF!</v>
      </c>
      <c r="CS202" t="e">
        <f>AND(Bills!C853,"AAAAACaNb2A=")</f>
        <v>#VALUE!</v>
      </c>
      <c r="CT202" t="e">
        <f>AND(Bills!D853,"AAAAACaNb2E=")</f>
        <v>#VALUE!</v>
      </c>
      <c r="CU202" t="e">
        <f>AND(Bills!E853,"AAAAACaNb2I=")</f>
        <v>#VALUE!</v>
      </c>
      <c r="CV202" t="e">
        <f>AND(Bills!#REF!,"AAAAACaNb2M=")</f>
        <v>#REF!</v>
      </c>
      <c r="CW202" t="e">
        <f>AND(Bills!#REF!,"AAAAACaNb2Q=")</f>
        <v>#REF!</v>
      </c>
      <c r="CX202" t="e">
        <f>AND(Bills!#REF!,"AAAAACaNb2U=")</f>
        <v>#REF!</v>
      </c>
      <c r="CY202" t="e">
        <f>AND(Bills!F853,"AAAAACaNb2Y=")</f>
        <v>#VALUE!</v>
      </c>
      <c r="CZ202" t="e">
        <f>AND(Bills!#REF!,"AAAAACaNb2c=")</f>
        <v>#REF!</v>
      </c>
      <c r="DA202" t="e">
        <f>AND(Bills!G853,"AAAAACaNb2g=")</f>
        <v>#VALUE!</v>
      </c>
      <c r="DB202" t="e">
        <f>AND(Bills!H853,"AAAAACaNb2k=")</f>
        <v>#VALUE!</v>
      </c>
      <c r="DC202" t="e">
        <f>AND(Bills!I853,"AAAAACaNb2o=")</f>
        <v>#VALUE!</v>
      </c>
      <c r="DD202" t="e">
        <f>AND(Bills!J853,"AAAAACaNb2s=")</f>
        <v>#VALUE!</v>
      </c>
      <c r="DE202" t="e">
        <f>AND(Bills!K853,"AAAAACaNb2w=")</f>
        <v>#VALUE!</v>
      </c>
      <c r="DF202" t="e">
        <f>AND(Bills!L853,"AAAAACaNb20=")</f>
        <v>#VALUE!</v>
      </c>
      <c r="DG202" t="e">
        <f>AND(Bills!#REF!,"AAAAACaNb24=")</f>
        <v>#REF!</v>
      </c>
      <c r="DH202" t="e">
        <f>AND(Bills!M853,"AAAAACaNb28=")</f>
        <v>#VALUE!</v>
      </c>
      <c r="DI202" t="e">
        <f>AND(Bills!N853,"AAAAACaNb3A=")</f>
        <v>#VALUE!</v>
      </c>
      <c r="DJ202" t="e">
        <f>AND(Bills!O853,"AAAAACaNb3E=")</f>
        <v>#VALUE!</v>
      </c>
      <c r="DK202" t="e">
        <f>AND(Bills!P853,"AAAAACaNb3I=")</f>
        <v>#VALUE!</v>
      </c>
      <c r="DL202" t="e">
        <f>AND(Bills!Q853,"AAAAACaNb3M=")</f>
        <v>#VALUE!</v>
      </c>
      <c r="DM202" t="e">
        <f>AND(Bills!R853,"AAAAACaNb3Q=")</f>
        <v>#VALUE!</v>
      </c>
      <c r="DN202" t="e">
        <f>AND(Bills!S853,"AAAAACaNb3U=")</f>
        <v>#VALUE!</v>
      </c>
      <c r="DO202" t="e">
        <f>AND(Bills!T853,"AAAAACaNb3Y=")</f>
        <v>#VALUE!</v>
      </c>
      <c r="DP202" t="e">
        <f>AND(Bills!#REF!,"AAAAACaNb3c=")</f>
        <v>#REF!</v>
      </c>
      <c r="DQ202" t="e">
        <f>AND(Bills!U853,"AAAAACaNb3g=")</f>
        <v>#VALUE!</v>
      </c>
      <c r="DR202" t="e">
        <f>AND(Bills!V853,"AAAAACaNb3k=")</f>
        <v>#VALUE!</v>
      </c>
      <c r="DS202" t="e">
        <f>AND(Bills!W853,"AAAAACaNb3o=")</f>
        <v>#VALUE!</v>
      </c>
      <c r="DT202" t="e">
        <f>AND(Bills!#REF!,"AAAAACaNb3s=")</f>
        <v>#REF!</v>
      </c>
      <c r="DU202" t="e">
        <f>AND(Bills!#REF!,"AAAAACaNb3w=")</f>
        <v>#REF!</v>
      </c>
      <c r="DV202" t="e">
        <f>AND(Bills!Y853,"AAAAACaNb30=")</f>
        <v>#VALUE!</v>
      </c>
      <c r="DW202" t="e">
        <f>AND(Bills!Z853,"AAAAACaNb34=")</f>
        <v>#VALUE!</v>
      </c>
      <c r="DX202" t="e">
        <f>AND(Bills!#REF!,"AAAAACaNb38=")</f>
        <v>#REF!</v>
      </c>
      <c r="DY202" t="e">
        <f>AND(Bills!#REF!,"AAAAACaNb4A=")</f>
        <v>#REF!</v>
      </c>
      <c r="DZ202" t="e">
        <f>AND(Bills!#REF!,"AAAAACaNb4E=")</f>
        <v>#REF!</v>
      </c>
      <c r="EA202" t="e">
        <f>AND(Bills!#REF!,"AAAAACaNb4I=")</f>
        <v>#REF!</v>
      </c>
      <c r="EB202" t="e">
        <f>AND(Bills!#REF!,"AAAAACaNb4M=")</f>
        <v>#REF!</v>
      </c>
      <c r="EC202" t="e">
        <f>AND(Bills!#REF!,"AAAAACaNb4Q=")</f>
        <v>#REF!</v>
      </c>
      <c r="ED202" t="e">
        <f>AND(Bills!#REF!,"AAAAACaNb4U=")</f>
        <v>#REF!</v>
      </c>
      <c r="EE202" t="e">
        <f>AND(Bills!#REF!,"AAAAACaNb4Y=")</f>
        <v>#REF!</v>
      </c>
      <c r="EF202" t="e">
        <f>AND(Bills!#REF!,"AAAAACaNb4c=")</f>
        <v>#REF!</v>
      </c>
      <c r="EG202" t="e">
        <f>AND(Bills!AA853,"AAAAACaNb4g=")</f>
        <v>#VALUE!</v>
      </c>
      <c r="EH202" t="e">
        <f>AND(Bills!AB853,"AAAAACaNb4k=")</f>
        <v>#VALUE!</v>
      </c>
      <c r="EI202" t="e">
        <f>AND(Bills!#REF!,"AAAAACaNb4o=")</f>
        <v>#REF!</v>
      </c>
      <c r="EJ202" t="e">
        <f>AND(Bills!#REF!,"AAAAACaNb4s=")</f>
        <v>#REF!</v>
      </c>
      <c r="EK202" t="e">
        <f>AND(Bills!#REF!,"AAAAACaNb4w=")</f>
        <v>#REF!</v>
      </c>
      <c r="EL202" t="e">
        <f>AND(Bills!AC853,"AAAAACaNb40=")</f>
        <v>#VALUE!</v>
      </c>
      <c r="EM202" t="e">
        <f>AND(Bills!AD853,"AAAAACaNb44=")</f>
        <v>#VALUE!</v>
      </c>
      <c r="EN202" t="e">
        <f>AND(Bills!AE853,"AAAAACaNb48=")</f>
        <v>#VALUE!</v>
      </c>
      <c r="EO202">
        <f>IF(Bills!854:854,"AAAAACaNb5A=",0)</f>
        <v>0</v>
      </c>
      <c r="EP202" t="e">
        <f>AND(Bills!B854,"AAAAACaNb5E=")</f>
        <v>#VALUE!</v>
      </c>
      <c r="EQ202" t="e">
        <f>AND(Bills!#REF!,"AAAAACaNb5I=")</f>
        <v>#REF!</v>
      </c>
      <c r="ER202" t="e">
        <f>AND(Bills!C854,"AAAAACaNb5M=")</f>
        <v>#VALUE!</v>
      </c>
      <c r="ES202" t="e">
        <f>AND(Bills!D854,"AAAAACaNb5Q=")</f>
        <v>#VALUE!</v>
      </c>
      <c r="ET202" t="e">
        <f>AND(Bills!E854,"AAAAACaNb5U=")</f>
        <v>#VALUE!</v>
      </c>
      <c r="EU202" t="e">
        <f>AND(Bills!#REF!,"AAAAACaNb5Y=")</f>
        <v>#REF!</v>
      </c>
      <c r="EV202" t="e">
        <f>AND(Bills!#REF!,"AAAAACaNb5c=")</f>
        <v>#REF!</v>
      </c>
      <c r="EW202" t="e">
        <f>AND(Bills!#REF!,"AAAAACaNb5g=")</f>
        <v>#REF!</v>
      </c>
      <c r="EX202" t="e">
        <f>AND(Bills!F854,"AAAAACaNb5k=")</f>
        <v>#VALUE!</v>
      </c>
      <c r="EY202" t="e">
        <f>AND(Bills!#REF!,"AAAAACaNb5o=")</f>
        <v>#REF!</v>
      </c>
      <c r="EZ202" t="e">
        <f>AND(Bills!G854,"AAAAACaNb5s=")</f>
        <v>#VALUE!</v>
      </c>
      <c r="FA202" t="e">
        <f>AND(Bills!H854,"AAAAACaNb5w=")</f>
        <v>#VALUE!</v>
      </c>
      <c r="FB202" t="e">
        <f>AND(Bills!I854,"AAAAACaNb50=")</f>
        <v>#VALUE!</v>
      </c>
      <c r="FC202" t="e">
        <f>AND(Bills!J854,"AAAAACaNb54=")</f>
        <v>#VALUE!</v>
      </c>
      <c r="FD202" t="e">
        <f>AND(Bills!K854,"AAAAACaNb58=")</f>
        <v>#VALUE!</v>
      </c>
      <c r="FE202" t="e">
        <f>AND(Bills!L854,"AAAAACaNb6A=")</f>
        <v>#VALUE!</v>
      </c>
      <c r="FF202" t="e">
        <f>AND(Bills!#REF!,"AAAAACaNb6E=")</f>
        <v>#REF!</v>
      </c>
      <c r="FG202" t="e">
        <f>AND(Bills!M854,"AAAAACaNb6I=")</f>
        <v>#VALUE!</v>
      </c>
      <c r="FH202" t="e">
        <f>AND(Bills!N854,"AAAAACaNb6M=")</f>
        <v>#VALUE!</v>
      </c>
      <c r="FI202" t="e">
        <f>AND(Bills!O854,"AAAAACaNb6Q=")</f>
        <v>#VALUE!</v>
      </c>
      <c r="FJ202" t="e">
        <f>AND(Bills!P854,"AAAAACaNb6U=")</f>
        <v>#VALUE!</v>
      </c>
      <c r="FK202" t="e">
        <f>AND(Bills!Q854,"AAAAACaNb6Y=")</f>
        <v>#VALUE!</v>
      </c>
      <c r="FL202" t="e">
        <f>AND(Bills!R854,"AAAAACaNb6c=")</f>
        <v>#VALUE!</v>
      </c>
      <c r="FM202" t="e">
        <f>AND(Bills!S854,"AAAAACaNb6g=")</f>
        <v>#VALUE!</v>
      </c>
      <c r="FN202" t="e">
        <f>AND(Bills!T854,"AAAAACaNb6k=")</f>
        <v>#VALUE!</v>
      </c>
      <c r="FO202" t="e">
        <f>AND(Bills!#REF!,"AAAAACaNb6o=")</f>
        <v>#REF!</v>
      </c>
      <c r="FP202" t="e">
        <f>AND(Bills!U854,"AAAAACaNb6s=")</f>
        <v>#VALUE!</v>
      </c>
      <c r="FQ202" t="e">
        <f>AND(Bills!V854,"AAAAACaNb6w=")</f>
        <v>#VALUE!</v>
      </c>
      <c r="FR202" t="e">
        <f>AND(Bills!W854,"AAAAACaNb60=")</f>
        <v>#VALUE!</v>
      </c>
      <c r="FS202" t="e">
        <f>AND(Bills!#REF!,"AAAAACaNb64=")</f>
        <v>#REF!</v>
      </c>
      <c r="FT202" t="e">
        <f>AND(Bills!#REF!,"AAAAACaNb68=")</f>
        <v>#REF!</v>
      </c>
      <c r="FU202" t="e">
        <f>AND(Bills!Y854,"AAAAACaNb7A=")</f>
        <v>#VALUE!</v>
      </c>
      <c r="FV202" t="e">
        <f>AND(Bills!Z854,"AAAAACaNb7E=")</f>
        <v>#VALUE!</v>
      </c>
      <c r="FW202" t="e">
        <f>AND(Bills!#REF!,"AAAAACaNb7I=")</f>
        <v>#REF!</v>
      </c>
      <c r="FX202" t="e">
        <f>AND(Bills!#REF!,"AAAAACaNb7M=")</f>
        <v>#REF!</v>
      </c>
      <c r="FY202" t="e">
        <f>AND(Bills!#REF!,"AAAAACaNb7Q=")</f>
        <v>#REF!</v>
      </c>
      <c r="FZ202" t="e">
        <f>AND(Bills!#REF!,"AAAAACaNb7U=")</f>
        <v>#REF!</v>
      </c>
      <c r="GA202" t="e">
        <f>AND(Bills!#REF!,"AAAAACaNb7Y=")</f>
        <v>#REF!</v>
      </c>
      <c r="GB202" t="e">
        <f>AND(Bills!#REF!,"AAAAACaNb7c=")</f>
        <v>#REF!</v>
      </c>
      <c r="GC202" t="e">
        <f>AND(Bills!#REF!,"AAAAACaNb7g=")</f>
        <v>#REF!</v>
      </c>
      <c r="GD202" t="e">
        <f>AND(Bills!#REF!,"AAAAACaNb7k=")</f>
        <v>#REF!</v>
      </c>
      <c r="GE202" t="e">
        <f>AND(Bills!#REF!,"AAAAACaNb7o=")</f>
        <v>#REF!</v>
      </c>
      <c r="GF202" t="e">
        <f>AND(Bills!AA854,"AAAAACaNb7s=")</f>
        <v>#VALUE!</v>
      </c>
      <c r="GG202" t="e">
        <f>AND(Bills!AB854,"AAAAACaNb7w=")</f>
        <v>#VALUE!</v>
      </c>
      <c r="GH202" t="e">
        <f>AND(Bills!#REF!,"AAAAACaNb70=")</f>
        <v>#REF!</v>
      </c>
      <c r="GI202" t="e">
        <f>AND(Bills!#REF!,"AAAAACaNb74=")</f>
        <v>#REF!</v>
      </c>
      <c r="GJ202" t="e">
        <f>AND(Bills!#REF!,"AAAAACaNb78=")</f>
        <v>#REF!</v>
      </c>
      <c r="GK202" t="e">
        <f>AND(Bills!AC854,"AAAAACaNb8A=")</f>
        <v>#VALUE!</v>
      </c>
      <c r="GL202" t="e">
        <f>AND(Bills!AD854,"AAAAACaNb8E=")</f>
        <v>#VALUE!</v>
      </c>
      <c r="GM202" t="e">
        <f>AND(Bills!AE854,"AAAAACaNb8I=")</f>
        <v>#VALUE!</v>
      </c>
      <c r="GN202">
        <f>IF(Bills!855:855,"AAAAACaNb8M=",0)</f>
        <v>0</v>
      </c>
      <c r="GO202" t="e">
        <f>AND(Bills!B855,"AAAAACaNb8Q=")</f>
        <v>#VALUE!</v>
      </c>
      <c r="GP202" t="e">
        <f>AND(Bills!#REF!,"AAAAACaNb8U=")</f>
        <v>#REF!</v>
      </c>
      <c r="GQ202" t="e">
        <f>AND(Bills!C855,"AAAAACaNb8Y=")</f>
        <v>#VALUE!</v>
      </c>
      <c r="GR202" t="e">
        <f>AND(Bills!D855,"AAAAACaNb8c=")</f>
        <v>#VALUE!</v>
      </c>
      <c r="GS202" t="e">
        <f>AND(Bills!E855,"AAAAACaNb8g=")</f>
        <v>#VALUE!</v>
      </c>
      <c r="GT202" t="e">
        <f>AND(Bills!#REF!,"AAAAACaNb8k=")</f>
        <v>#REF!</v>
      </c>
      <c r="GU202" t="e">
        <f>AND(Bills!#REF!,"AAAAACaNb8o=")</f>
        <v>#REF!</v>
      </c>
      <c r="GV202" t="e">
        <f>AND(Bills!#REF!,"AAAAACaNb8s=")</f>
        <v>#REF!</v>
      </c>
      <c r="GW202" t="e">
        <f>AND(Bills!F855,"AAAAACaNb8w=")</f>
        <v>#VALUE!</v>
      </c>
      <c r="GX202" t="e">
        <f>AND(Bills!#REF!,"AAAAACaNb80=")</f>
        <v>#REF!</v>
      </c>
      <c r="GY202" t="e">
        <f>AND(Bills!G855,"AAAAACaNb84=")</f>
        <v>#VALUE!</v>
      </c>
      <c r="GZ202" t="e">
        <f>AND(Bills!H855,"AAAAACaNb88=")</f>
        <v>#VALUE!</v>
      </c>
      <c r="HA202" t="e">
        <f>AND(Bills!I855,"AAAAACaNb9A=")</f>
        <v>#VALUE!</v>
      </c>
      <c r="HB202" t="e">
        <f>AND(Bills!J855,"AAAAACaNb9E=")</f>
        <v>#VALUE!</v>
      </c>
      <c r="HC202" t="e">
        <f>AND(Bills!K855,"AAAAACaNb9I=")</f>
        <v>#VALUE!</v>
      </c>
      <c r="HD202" t="e">
        <f>AND(Bills!L855,"AAAAACaNb9M=")</f>
        <v>#VALUE!</v>
      </c>
      <c r="HE202" t="e">
        <f>AND(Bills!#REF!,"AAAAACaNb9Q=")</f>
        <v>#REF!</v>
      </c>
      <c r="HF202" t="e">
        <f>AND(Bills!M855,"AAAAACaNb9U=")</f>
        <v>#VALUE!</v>
      </c>
      <c r="HG202" t="e">
        <f>AND(Bills!N855,"AAAAACaNb9Y=")</f>
        <v>#VALUE!</v>
      </c>
      <c r="HH202" t="e">
        <f>AND(Bills!O855,"AAAAACaNb9c=")</f>
        <v>#VALUE!</v>
      </c>
      <c r="HI202" t="e">
        <f>AND(Bills!P855,"AAAAACaNb9g=")</f>
        <v>#VALUE!</v>
      </c>
      <c r="HJ202" t="e">
        <f>AND(Bills!Q855,"AAAAACaNb9k=")</f>
        <v>#VALUE!</v>
      </c>
      <c r="HK202" t="e">
        <f>AND(Bills!R855,"AAAAACaNb9o=")</f>
        <v>#VALUE!</v>
      </c>
      <c r="HL202" t="e">
        <f>AND(Bills!S855,"AAAAACaNb9s=")</f>
        <v>#VALUE!</v>
      </c>
      <c r="HM202" t="e">
        <f>AND(Bills!T855,"AAAAACaNb9w=")</f>
        <v>#VALUE!</v>
      </c>
      <c r="HN202" t="e">
        <f>AND(Bills!#REF!,"AAAAACaNb90=")</f>
        <v>#REF!</v>
      </c>
      <c r="HO202" t="e">
        <f>AND(Bills!U855,"AAAAACaNb94=")</f>
        <v>#VALUE!</v>
      </c>
      <c r="HP202" t="e">
        <f>AND(Bills!V855,"AAAAACaNb98=")</f>
        <v>#VALUE!</v>
      </c>
      <c r="HQ202" t="e">
        <f>AND(Bills!W855,"AAAAACaNb+A=")</f>
        <v>#VALUE!</v>
      </c>
      <c r="HR202" t="e">
        <f>AND(Bills!#REF!,"AAAAACaNb+E=")</f>
        <v>#REF!</v>
      </c>
      <c r="HS202" t="e">
        <f>AND(Bills!#REF!,"AAAAACaNb+I=")</f>
        <v>#REF!</v>
      </c>
      <c r="HT202" t="e">
        <f>AND(Bills!Y855,"AAAAACaNb+M=")</f>
        <v>#VALUE!</v>
      </c>
      <c r="HU202" t="e">
        <f>AND(Bills!Z855,"AAAAACaNb+Q=")</f>
        <v>#VALUE!</v>
      </c>
      <c r="HV202" t="e">
        <f>AND(Bills!#REF!,"AAAAACaNb+U=")</f>
        <v>#REF!</v>
      </c>
      <c r="HW202" t="e">
        <f>AND(Bills!#REF!,"AAAAACaNb+Y=")</f>
        <v>#REF!</v>
      </c>
      <c r="HX202" t="e">
        <f>AND(Bills!#REF!,"AAAAACaNb+c=")</f>
        <v>#REF!</v>
      </c>
      <c r="HY202" t="e">
        <f>AND(Bills!#REF!,"AAAAACaNb+g=")</f>
        <v>#REF!</v>
      </c>
      <c r="HZ202" t="e">
        <f>AND(Bills!#REF!,"AAAAACaNb+k=")</f>
        <v>#REF!</v>
      </c>
      <c r="IA202" t="e">
        <f>AND(Bills!#REF!,"AAAAACaNb+o=")</f>
        <v>#REF!</v>
      </c>
      <c r="IB202" t="e">
        <f>AND(Bills!#REF!,"AAAAACaNb+s=")</f>
        <v>#REF!</v>
      </c>
      <c r="IC202" t="e">
        <f>AND(Bills!#REF!,"AAAAACaNb+w=")</f>
        <v>#REF!</v>
      </c>
      <c r="ID202" t="e">
        <f>AND(Bills!#REF!,"AAAAACaNb+0=")</f>
        <v>#REF!</v>
      </c>
      <c r="IE202" t="e">
        <f>AND(Bills!AA855,"AAAAACaNb+4=")</f>
        <v>#VALUE!</v>
      </c>
      <c r="IF202" t="e">
        <f>AND(Bills!AB855,"AAAAACaNb+8=")</f>
        <v>#VALUE!</v>
      </c>
      <c r="IG202" t="e">
        <f>AND(Bills!#REF!,"AAAAACaNb/A=")</f>
        <v>#REF!</v>
      </c>
      <c r="IH202" t="e">
        <f>AND(Bills!#REF!,"AAAAACaNb/E=")</f>
        <v>#REF!</v>
      </c>
      <c r="II202" t="e">
        <f>AND(Bills!#REF!,"AAAAACaNb/I=")</f>
        <v>#REF!</v>
      </c>
      <c r="IJ202" t="e">
        <f>AND(Bills!AC855,"AAAAACaNb/M=")</f>
        <v>#VALUE!</v>
      </c>
      <c r="IK202" t="e">
        <f>AND(Bills!AD855,"AAAAACaNb/Q=")</f>
        <v>#VALUE!</v>
      </c>
      <c r="IL202" t="e">
        <f>AND(Bills!AE855,"AAAAACaNb/U=")</f>
        <v>#VALUE!</v>
      </c>
      <c r="IM202">
        <f>IF(Bills!856:856,"AAAAACaNb/Y=",0)</f>
        <v>0</v>
      </c>
      <c r="IN202" t="e">
        <f>AND(Bills!B856,"AAAAACaNb/c=")</f>
        <v>#VALUE!</v>
      </c>
      <c r="IO202" t="e">
        <f>AND(Bills!#REF!,"AAAAACaNb/g=")</f>
        <v>#REF!</v>
      </c>
      <c r="IP202" t="e">
        <f>AND(Bills!C856,"AAAAACaNb/k=")</f>
        <v>#VALUE!</v>
      </c>
      <c r="IQ202" t="e">
        <f>AND(Bills!D856,"AAAAACaNb/o=")</f>
        <v>#VALUE!</v>
      </c>
      <c r="IR202" t="e">
        <f>AND(Bills!E856,"AAAAACaNb/s=")</f>
        <v>#VALUE!</v>
      </c>
      <c r="IS202" t="e">
        <f>AND(Bills!#REF!,"AAAAACaNb/w=")</f>
        <v>#REF!</v>
      </c>
      <c r="IT202" t="e">
        <f>AND(Bills!#REF!,"AAAAACaNb/0=")</f>
        <v>#REF!</v>
      </c>
      <c r="IU202" t="e">
        <f>AND(Bills!#REF!,"AAAAACaNb/4=")</f>
        <v>#REF!</v>
      </c>
      <c r="IV202" t="e">
        <f>AND(Bills!F856,"AAAAACaNb/8=")</f>
        <v>#VALUE!</v>
      </c>
    </row>
    <row r="203" spans="1:256" x14ac:dyDescent="0.25">
      <c r="A203" t="e">
        <f>AND(Bills!#REF!,"AAAAAHuXnwA=")</f>
        <v>#REF!</v>
      </c>
      <c r="B203" t="e">
        <f>AND(Bills!G856,"AAAAAHuXnwE=")</f>
        <v>#VALUE!</v>
      </c>
      <c r="C203" t="e">
        <f>AND(Bills!H856,"AAAAAHuXnwI=")</f>
        <v>#VALUE!</v>
      </c>
      <c r="D203" t="e">
        <f>AND(Bills!I856,"AAAAAHuXnwM=")</f>
        <v>#VALUE!</v>
      </c>
      <c r="E203" t="e">
        <f>AND(Bills!J856,"AAAAAHuXnwQ=")</f>
        <v>#VALUE!</v>
      </c>
      <c r="F203" t="e">
        <f>AND(Bills!K856,"AAAAAHuXnwU=")</f>
        <v>#VALUE!</v>
      </c>
      <c r="G203" t="e">
        <f>AND(Bills!L856,"AAAAAHuXnwY=")</f>
        <v>#VALUE!</v>
      </c>
      <c r="H203" t="e">
        <f>AND(Bills!#REF!,"AAAAAHuXnwc=")</f>
        <v>#REF!</v>
      </c>
      <c r="I203" t="e">
        <f>AND(Bills!M856,"AAAAAHuXnwg=")</f>
        <v>#VALUE!</v>
      </c>
      <c r="J203" t="e">
        <f>AND(Bills!N856,"AAAAAHuXnwk=")</f>
        <v>#VALUE!</v>
      </c>
      <c r="K203" t="e">
        <f>AND(Bills!O856,"AAAAAHuXnwo=")</f>
        <v>#VALUE!</v>
      </c>
      <c r="L203" t="e">
        <f>AND(Bills!P856,"AAAAAHuXnws=")</f>
        <v>#VALUE!</v>
      </c>
      <c r="M203" t="e">
        <f>AND(Bills!Q856,"AAAAAHuXnww=")</f>
        <v>#VALUE!</v>
      </c>
      <c r="N203" t="e">
        <f>AND(Bills!R856,"AAAAAHuXnw0=")</f>
        <v>#VALUE!</v>
      </c>
      <c r="O203" t="e">
        <f>AND(Bills!S856,"AAAAAHuXnw4=")</f>
        <v>#VALUE!</v>
      </c>
      <c r="P203" t="e">
        <f>AND(Bills!T856,"AAAAAHuXnw8=")</f>
        <v>#VALUE!</v>
      </c>
      <c r="Q203" t="e">
        <f>AND(Bills!#REF!,"AAAAAHuXnxA=")</f>
        <v>#REF!</v>
      </c>
      <c r="R203" t="e">
        <f>AND(Bills!U856,"AAAAAHuXnxE=")</f>
        <v>#VALUE!</v>
      </c>
      <c r="S203" t="e">
        <f>AND(Bills!V856,"AAAAAHuXnxI=")</f>
        <v>#VALUE!</v>
      </c>
      <c r="T203" t="e">
        <f>AND(Bills!W856,"AAAAAHuXnxM=")</f>
        <v>#VALUE!</v>
      </c>
      <c r="U203" t="e">
        <f>AND(Bills!#REF!,"AAAAAHuXnxQ=")</f>
        <v>#REF!</v>
      </c>
      <c r="V203" t="e">
        <f>AND(Bills!#REF!,"AAAAAHuXnxU=")</f>
        <v>#REF!</v>
      </c>
      <c r="W203" t="e">
        <f>AND(Bills!Y856,"AAAAAHuXnxY=")</f>
        <v>#VALUE!</v>
      </c>
      <c r="X203" t="e">
        <f>AND(Bills!Z856,"AAAAAHuXnxc=")</f>
        <v>#VALUE!</v>
      </c>
      <c r="Y203" t="e">
        <f>AND(Bills!#REF!,"AAAAAHuXnxg=")</f>
        <v>#REF!</v>
      </c>
      <c r="Z203" t="e">
        <f>AND(Bills!#REF!,"AAAAAHuXnxk=")</f>
        <v>#REF!</v>
      </c>
      <c r="AA203" t="e">
        <f>AND(Bills!#REF!,"AAAAAHuXnxo=")</f>
        <v>#REF!</v>
      </c>
      <c r="AB203" t="e">
        <f>AND(Bills!#REF!,"AAAAAHuXnxs=")</f>
        <v>#REF!</v>
      </c>
      <c r="AC203" t="e">
        <f>AND(Bills!#REF!,"AAAAAHuXnxw=")</f>
        <v>#REF!</v>
      </c>
      <c r="AD203" t="e">
        <f>AND(Bills!#REF!,"AAAAAHuXnx0=")</f>
        <v>#REF!</v>
      </c>
      <c r="AE203" t="e">
        <f>AND(Bills!#REF!,"AAAAAHuXnx4=")</f>
        <v>#REF!</v>
      </c>
      <c r="AF203" t="e">
        <f>AND(Bills!#REF!,"AAAAAHuXnx8=")</f>
        <v>#REF!</v>
      </c>
      <c r="AG203" t="e">
        <f>AND(Bills!#REF!,"AAAAAHuXnyA=")</f>
        <v>#REF!</v>
      </c>
      <c r="AH203" t="e">
        <f>AND(Bills!AA856,"AAAAAHuXnyE=")</f>
        <v>#VALUE!</v>
      </c>
      <c r="AI203" t="e">
        <f>AND(Bills!AB856,"AAAAAHuXnyI=")</f>
        <v>#VALUE!</v>
      </c>
      <c r="AJ203" t="e">
        <f>AND(Bills!#REF!,"AAAAAHuXnyM=")</f>
        <v>#REF!</v>
      </c>
      <c r="AK203" t="e">
        <f>AND(Bills!#REF!,"AAAAAHuXnyQ=")</f>
        <v>#REF!</v>
      </c>
      <c r="AL203" t="e">
        <f>AND(Bills!#REF!,"AAAAAHuXnyU=")</f>
        <v>#REF!</v>
      </c>
      <c r="AM203" t="e">
        <f>AND(Bills!AC856,"AAAAAHuXnyY=")</f>
        <v>#VALUE!</v>
      </c>
      <c r="AN203" t="e">
        <f>AND(Bills!AD856,"AAAAAHuXnyc=")</f>
        <v>#VALUE!</v>
      </c>
      <c r="AO203" t="e">
        <f>AND(Bills!AE856,"AAAAAHuXnyg=")</f>
        <v>#VALUE!</v>
      </c>
      <c r="AP203">
        <f>IF(Bills!857:857,"AAAAAHuXnyk=",0)</f>
        <v>0</v>
      </c>
      <c r="AQ203" t="e">
        <f>AND(Bills!B857,"AAAAAHuXnyo=")</f>
        <v>#VALUE!</v>
      </c>
      <c r="AR203" t="e">
        <f>AND(Bills!#REF!,"AAAAAHuXnys=")</f>
        <v>#REF!</v>
      </c>
      <c r="AS203" t="e">
        <f>AND(Bills!C857,"AAAAAHuXnyw=")</f>
        <v>#VALUE!</v>
      </c>
      <c r="AT203" t="e">
        <f>AND(Bills!D857,"AAAAAHuXny0=")</f>
        <v>#VALUE!</v>
      </c>
      <c r="AU203" t="e">
        <f>AND(Bills!E857,"AAAAAHuXny4=")</f>
        <v>#VALUE!</v>
      </c>
      <c r="AV203" t="e">
        <f>AND(Bills!#REF!,"AAAAAHuXny8=")</f>
        <v>#REF!</v>
      </c>
      <c r="AW203" t="e">
        <f>AND(Bills!#REF!,"AAAAAHuXnzA=")</f>
        <v>#REF!</v>
      </c>
      <c r="AX203" t="e">
        <f>AND(Bills!#REF!,"AAAAAHuXnzE=")</f>
        <v>#REF!</v>
      </c>
      <c r="AY203" t="e">
        <f>AND(Bills!F857,"AAAAAHuXnzI=")</f>
        <v>#VALUE!</v>
      </c>
      <c r="AZ203" t="e">
        <f>AND(Bills!#REF!,"AAAAAHuXnzM=")</f>
        <v>#REF!</v>
      </c>
      <c r="BA203" t="e">
        <f>AND(Bills!G857,"AAAAAHuXnzQ=")</f>
        <v>#VALUE!</v>
      </c>
      <c r="BB203" t="e">
        <f>AND(Bills!H857,"AAAAAHuXnzU=")</f>
        <v>#VALUE!</v>
      </c>
      <c r="BC203" t="e">
        <f>AND(Bills!I857,"AAAAAHuXnzY=")</f>
        <v>#VALUE!</v>
      </c>
      <c r="BD203" t="e">
        <f>AND(Bills!J857,"AAAAAHuXnzc=")</f>
        <v>#VALUE!</v>
      </c>
      <c r="BE203" t="e">
        <f>AND(Bills!K857,"AAAAAHuXnzg=")</f>
        <v>#VALUE!</v>
      </c>
      <c r="BF203" t="e">
        <f>AND(Bills!L857,"AAAAAHuXnzk=")</f>
        <v>#VALUE!</v>
      </c>
      <c r="BG203" t="e">
        <f>AND(Bills!#REF!,"AAAAAHuXnzo=")</f>
        <v>#REF!</v>
      </c>
      <c r="BH203" t="e">
        <f>AND(Bills!M857,"AAAAAHuXnzs=")</f>
        <v>#VALUE!</v>
      </c>
      <c r="BI203" t="e">
        <f>AND(Bills!N857,"AAAAAHuXnzw=")</f>
        <v>#VALUE!</v>
      </c>
      <c r="BJ203" t="e">
        <f>AND(Bills!O857,"AAAAAHuXnz0=")</f>
        <v>#VALUE!</v>
      </c>
      <c r="BK203" t="e">
        <f>AND(Bills!P857,"AAAAAHuXnz4=")</f>
        <v>#VALUE!</v>
      </c>
      <c r="BL203" t="e">
        <f>AND(Bills!Q857,"AAAAAHuXnz8=")</f>
        <v>#VALUE!</v>
      </c>
      <c r="BM203" t="e">
        <f>AND(Bills!R857,"AAAAAHuXn0A=")</f>
        <v>#VALUE!</v>
      </c>
      <c r="BN203" t="e">
        <f>AND(Bills!S857,"AAAAAHuXn0E=")</f>
        <v>#VALUE!</v>
      </c>
      <c r="BO203" t="e">
        <f>AND(Bills!T857,"AAAAAHuXn0I=")</f>
        <v>#VALUE!</v>
      </c>
      <c r="BP203" t="e">
        <f>AND(Bills!#REF!,"AAAAAHuXn0M=")</f>
        <v>#REF!</v>
      </c>
      <c r="BQ203" t="e">
        <f>AND(Bills!U857,"AAAAAHuXn0Q=")</f>
        <v>#VALUE!</v>
      </c>
      <c r="BR203" t="e">
        <f>AND(Bills!V857,"AAAAAHuXn0U=")</f>
        <v>#VALUE!</v>
      </c>
      <c r="BS203" t="e">
        <f>AND(Bills!W857,"AAAAAHuXn0Y=")</f>
        <v>#VALUE!</v>
      </c>
      <c r="BT203" t="e">
        <f>AND(Bills!#REF!,"AAAAAHuXn0c=")</f>
        <v>#REF!</v>
      </c>
      <c r="BU203" t="e">
        <f>AND(Bills!#REF!,"AAAAAHuXn0g=")</f>
        <v>#REF!</v>
      </c>
      <c r="BV203" t="e">
        <f>AND(Bills!Y857,"AAAAAHuXn0k=")</f>
        <v>#VALUE!</v>
      </c>
      <c r="BW203" t="e">
        <f>AND(Bills!Z857,"AAAAAHuXn0o=")</f>
        <v>#VALUE!</v>
      </c>
      <c r="BX203" t="e">
        <f>AND(Bills!#REF!,"AAAAAHuXn0s=")</f>
        <v>#REF!</v>
      </c>
      <c r="BY203" t="e">
        <f>AND(Bills!#REF!,"AAAAAHuXn0w=")</f>
        <v>#REF!</v>
      </c>
      <c r="BZ203" t="e">
        <f>AND(Bills!#REF!,"AAAAAHuXn00=")</f>
        <v>#REF!</v>
      </c>
      <c r="CA203" t="e">
        <f>AND(Bills!#REF!,"AAAAAHuXn04=")</f>
        <v>#REF!</v>
      </c>
      <c r="CB203" t="e">
        <f>AND(Bills!#REF!,"AAAAAHuXn08=")</f>
        <v>#REF!</v>
      </c>
      <c r="CC203" t="e">
        <f>AND(Bills!#REF!,"AAAAAHuXn1A=")</f>
        <v>#REF!</v>
      </c>
      <c r="CD203" t="e">
        <f>AND(Bills!#REF!,"AAAAAHuXn1E=")</f>
        <v>#REF!</v>
      </c>
      <c r="CE203" t="e">
        <f>AND(Bills!#REF!,"AAAAAHuXn1I=")</f>
        <v>#REF!</v>
      </c>
      <c r="CF203" t="e">
        <f>AND(Bills!#REF!,"AAAAAHuXn1M=")</f>
        <v>#REF!</v>
      </c>
      <c r="CG203" t="e">
        <f>AND(Bills!AA857,"AAAAAHuXn1Q=")</f>
        <v>#VALUE!</v>
      </c>
      <c r="CH203" t="e">
        <f>AND(Bills!AB857,"AAAAAHuXn1U=")</f>
        <v>#VALUE!</v>
      </c>
      <c r="CI203" t="e">
        <f>AND(Bills!#REF!,"AAAAAHuXn1Y=")</f>
        <v>#REF!</v>
      </c>
      <c r="CJ203" t="e">
        <f>AND(Bills!#REF!,"AAAAAHuXn1c=")</f>
        <v>#REF!</v>
      </c>
      <c r="CK203" t="e">
        <f>AND(Bills!#REF!,"AAAAAHuXn1g=")</f>
        <v>#REF!</v>
      </c>
      <c r="CL203" t="e">
        <f>AND(Bills!AC857,"AAAAAHuXn1k=")</f>
        <v>#VALUE!</v>
      </c>
      <c r="CM203" t="e">
        <f>AND(Bills!AD857,"AAAAAHuXn1o=")</f>
        <v>#VALUE!</v>
      </c>
      <c r="CN203" t="e">
        <f>AND(Bills!AE857,"AAAAAHuXn1s=")</f>
        <v>#VALUE!</v>
      </c>
      <c r="CO203">
        <f>IF(Bills!858:858,"AAAAAHuXn1w=",0)</f>
        <v>0</v>
      </c>
      <c r="CP203" t="e">
        <f>AND(Bills!B858,"AAAAAHuXn10=")</f>
        <v>#VALUE!</v>
      </c>
      <c r="CQ203" t="e">
        <f>AND(Bills!#REF!,"AAAAAHuXn14=")</f>
        <v>#REF!</v>
      </c>
      <c r="CR203" t="e">
        <f>AND(Bills!C858,"AAAAAHuXn18=")</f>
        <v>#VALUE!</v>
      </c>
      <c r="CS203" t="e">
        <f>AND(Bills!D858,"AAAAAHuXn2A=")</f>
        <v>#VALUE!</v>
      </c>
      <c r="CT203" t="e">
        <f>AND(Bills!E858,"AAAAAHuXn2E=")</f>
        <v>#VALUE!</v>
      </c>
      <c r="CU203" t="e">
        <f>AND(Bills!#REF!,"AAAAAHuXn2I=")</f>
        <v>#REF!</v>
      </c>
      <c r="CV203" t="e">
        <f>AND(Bills!#REF!,"AAAAAHuXn2M=")</f>
        <v>#REF!</v>
      </c>
      <c r="CW203" t="e">
        <f>AND(Bills!#REF!,"AAAAAHuXn2Q=")</f>
        <v>#REF!</v>
      </c>
      <c r="CX203" t="e">
        <f>AND(Bills!F858,"AAAAAHuXn2U=")</f>
        <v>#VALUE!</v>
      </c>
      <c r="CY203" t="e">
        <f>AND(Bills!#REF!,"AAAAAHuXn2Y=")</f>
        <v>#REF!</v>
      </c>
      <c r="CZ203" t="e">
        <f>AND(Bills!G858,"AAAAAHuXn2c=")</f>
        <v>#VALUE!</v>
      </c>
      <c r="DA203" t="e">
        <f>AND(Bills!H858,"AAAAAHuXn2g=")</f>
        <v>#VALUE!</v>
      </c>
      <c r="DB203" t="e">
        <f>AND(Bills!I858,"AAAAAHuXn2k=")</f>
        <v>#VALUE!</v>
      </c>
      <c r="DC203" t="e">
        <f>AND(Bills!J858,"AAAAAHuXn2o=")</f>
        <v>#VALUE!</v>
      </c>
      <c r="DD203" t="e">
        <f>AND(Bills!K858,"AAAAAHuXn2s=")</f>
        <v>#VALUE!</v>
      </c>
      <c r="DE203" t="e">
        <f>AND(Bills!L858,"AAAAAHuXn2w=")</f>
        <v>#VALUE!</v>
      </c>
      <c r="DF203" t="e">
        <f>AND(Bills!#REF!,"AAAAAHuXn20=")</f>
        <v>#REF!</v>
      </c>
      <c r="DG203" t="e">
        <f>AND(Bills!M858,"AAAAAHuXn24=")</f>
        <v>#VALUE!</v>
      </c>
      <c r="DH203" t="e">
        <f>AND(Bills!N858,"AAAAAHuXn28=")</f>
        <v>#VALUE!</v>
      </c>
      <c r="DI203" t="e">
        <f>AND(Bills!O858,"AAAAAHuXn3A=")</f>
        <v>#VALUE!</v>
      </c>
      <c r="DJ203" t="e">
        <f>AND(Bills!P858,"AAAAAHuXn3E=")</f>
        <v>#VALUE!</v>
      </c>
      <c r="DK203" t="e">
        <f>AND(Bills!Q858,"AAAAAHuXn3I=")</f>
        <v>#VALUE!</v>
      </c>
      <c r="DL203" t="e">
        <f>AND(Bills!R858,"AAAAAHuXn3M=")</f>
        <v>#VALUE!</v>
      </c>
      <c r="DM203" t="e">
        <f>AND(Bills!S858,"AAAAAHuXn3Q=")</f>
        <v>#VALUE!</v>
      </c>
      <c r="DN203" t="e">
        <f>AND(Bills!T858,"AAAAAHuXn3U=")</f>
        <v>#VALUE!</v>
      </c>
      <c r="DO203" t="e">
        <f>AND(Bills!#REF!,"AAAAAHuXn3Y=")</f>
        <v>#REF!</v>
      </c>
      <c r="DP203" t="e">
        <f>AND(Bills!U858,"AAAAAHuXn3c=")</f>
        <v>#VALUE!</v>
      </c>
      <c r="DQ203" t="e">
        <f>AND(Bills!V858,"AAAAAHuXn3g=")</f>
        <v>#VALUE!</v>
      </c>
      <c r="DR203" t="e">
        <f>AND(Bills!W858,"AAAAAHuXn3k=")</f>
        <v>#VALUE!</v>
      </c>
      <c r="DS203" t="e">
        <f>AND(Bills!#REF!,"AAAAAHuXn3o=")</f>
        <v>#REF!</v>
      </c>
      <c r="DT203" t="e">
        <f>AND(Bills!#REF!,"AAAAAHuXn3s=")</f>
        <v>#REF!</v>
      </c>
      <c r="DU203" t="e">
        <f>AND(Bills!Y858,"AAAAAHuXn3w=")</f>
        <v>#VALUE!</v>
      </c>
      <c r="DV203" t="e">
        <f>AND(Bills!Z858,"AAAAAHuXn30=")</f>
        <v>#VALUE!</v>
      </c>
      <c r="DW203" t="e">
        <f>AND(Bills!#REF!,"AAAAAHuXn34=")</f>
        <v>#REF!</v>
      </c>
      <c r="DX203" t="e">
        <f>AND(Bills!#REF!,"AAAAAHuXn38=")</f>
        <v>#REF!</v>
      </c>
      <c r="DY203" t="e">
        <f>AND(Bills!#REF!,"AAAAAHuXn4A=")</f>
        <v>#REF!</v>
      </c>
      <c r="DZ203" t="e">
        <f>AND(Bills!#REF!,"AAAAAHuXn4E=")</f>
        <v>#REF!</v>
      </c>
      <c r="EA203" t="e">
        <f>AND(Bills!#REF!,"AAAAAHuXn4I=")</f>
        <v>#REF!</v>
      </c>
      <c r="EB203" t="e">
        <f>AND(Bills!#REF!,"AAAAAHuXn4M=")</f>
        <v>#REF!</v>
      </c>
      <c r="EC203" t="e">
        <f>AND(Bills!#REF!,"AAAAAHuXn4Q=")</f>
        <v>#REF!</v>
      </c>
      <c r="ED203" t="e">
        <f>AND(Bills!#REF!,"AAAAAHuXn4U=")</f>
        <v>#REF!</v>
      </c>
      <c r="EE203" t="e">
        <f>AND(Bills!#REF!,"AAAAAHuXn4Y=")</f>
        <v>#REF!</v>
      </c>
      <c r="EF203" t="e">
        <f>AND(Bills!AA858,"AAAAAHuXn4c=")</f>
        <v>#VALUE!</v>
      </c>
      <c r="EG203" t="e">
        <f>AND(Bills!AB858,"AAAAAHuXn4g=")</f>
        <v>#VALUE!</v>
      </c>
      <c r="EH203" t="e">
        <f>AND(Bills!#REF!,"AAAAAHuXn4k=")</f>
        <v>#REF!</v>
      </c>
      <c r="EI203" t="e">
        <f>AND(Bills!#REF!,"AAAAAHuXn4o=")</f>
        <v>#REF!</v>
      </c>
      <c r="EJ203" t="e">
        <f>AND(Bills!#REF!,"AAAAAHuXn4s=")</f>
        <v>#REF!</v>
      </c>
      <c r="EK203" t="e">
        <f>AND(Bills!AC858,"AAAAAHuXn4w=")</f>
        <v>#VALUE!</v>
      </c>
      <c r="EL203" t="e">
        <f>AND(Bills!AD858,"AAAAAHuXn40=")</f>
        <v>#VALUE!</v>
      </c>
      <c r="EM203" t="e">
        <f>AND(Bills!AE858,"AAAAAHuXn44=")</f>
        <v>#VALUE!</v>
      </c>
      <c r="EN203">
        <f>IF(Bills!859:859,"AAAAAHuXn48=",0)</f>
        <v>0</v>
      </c>
      <c r="EO203" t="e">
        <f>AND(Bills!B859,"AAAAAHuXn5A=")</f>
        <v>#VALUE!</v>
      </c>
      <c r="EP203" t="e">
        <f>AND(Bills!#REF!,"AAAAAHuXn5E=")</f>
        <v>#REF!</v>
      </c>
      <c r="EQ203" t="e">
        <f>AND(Bills!C859,"AAAAAHuXn5I=")</f>
        <v>#VALUE!</v>
      </c>
      <c r="ER203" t="e">
        <f>AND(Bills!D859,"AAAAAHuXn5M=")</f>
        <v>#VALUE!</v>
      </c>
      <c r="ES203" t="e">
        <f>AND(Bills!E859,"AAAAAHuXn5Q=")</f>
        <v>#VALUE!</v>
      </c>
      <c r="ET203" t="e">
        <f>AND(Bills!#REF!,"AAAAAHuXn5U=")</f>
        <v>#REF!</v>
      </c>
      <c r="EU203" t="e">
        <f>AND(Bills!#REF!,"AAAAAHuXn5Y=")</f>
        <v>#REF!</v>
      </c>
      <c r="EV203" t="e">
        <f>AND(Bills!#REF!,"AAAAAHuXn5c=")</f>
        <v>#REF!</v>
      </c>
      <c r="EW203" t="e">
        <f>AND(Bills!F859,"AAAAAHuXn5g=")</f>
        <v>#VALUE!</v>
      </c>
      <c r="EX203" t="e">
        <f>AND(Bills!#REF!,"AAAAAHuXn5k=")</f>
        <v>#REF!</v>
      </c>
      <c r="EY203" t="e">
        <f>AND(Bills!G859,"AAAAAHuXn5o=")</f>
        <v>#VALUE!</v>
      </c>
      <c r="EZ203" t="e">
        <f>AND(Bills!H859,"AAAAAHuXn5s=")</f>
        <v>#VALUE!</v>
      </c>
      <c r="FA203" t="e">
        <f>AND(Bills!I859,"AAAAAHuXn5w=")</f>
        <v>#VALUE!</v>
      </c>
      <c r="FB203" t="e">
        <f>AND(Bills!J859,"AAAAAHuXn50=")</f>
        <v>#VALUE!</v>
      </c>
      <c r="FC203" t="e">
        <f>AND(Bills!K859,"AAAAAHuXn54=")</f>
        <v>#VALUE!</v>
      </c>
      <c r="FD203" t="e">
        <f>AND(Bills!L859,"AAAAAHuXn58=")</f>
        <v>#VALUE!</v>
      </c>
      <c r="FE203" t="e">
        <f>AND(Bills!#REF!,"AAAAAHuXn6A=")</f>
        <v>#REF!</v>
      </c>
      <c r="FF203" t="e">
        <f>AND(Bills!M859,"AAAAAHuXn6E=")</f>
        <v>#VALUE!</v>
      </c>
      <c r="FG203" t="e">
        <f>AND(Bills!N859,"AAAAAHuXn6I=")</f>
        <v>#VALUE!</v>
      </c>
      <c r="FH203" t="e">
        <f>AND(Bills!O859,"AAAAAHuXn6M=")</f>
        <v>#VALUE!</v>
      </c>
      <c r="FI203" t="e">
        <f>AND(Bills!P859,"AAAAAHuXn6Q=")</f>
        <v>#VALUE!</v>
      </c>
      <c r="FJ203" t="e">
        <f>AND(Bills!Q859,"AAAAAHuXn6U=")</f>
        <v>#VALUE!</v>
      </c>
      <c r="FK203" t="e">
        <f>AND(Bills!R859,"AAAAAHuXn6Y=")</f>
        <v>#VALUE!</v>
      </c>
      <c r="FL203" t="e">
        <f>AND(Bills!S859,"AAAAAHuXn6c=")</f>
        <v>#VALUE!</v>
      </c>
      <c r="FM203" t="e">
        <f>AND(Bills!T859,"AAAAAHuXn6g=")</f>
        <v>#VALUE!</v>
      </c>
      <c r="FN203" t="e">
        <f>AND(Bills!#REF!,"AAAAAHuXn6k=")</f>
        <v>#REF!</v>
      </c>
      <c r="FO203" t="e">
        <f>AND(Bills!U859,"AAAAAHuXn6o=")</f>
        <v>#VALUE!</v>
      </c>
      <c r="FP203" t="e">
        <f>AND(Bills!V859,"AAAAAHuXn6s=")</f>
        <v>#VALUE!</v>
      </c>
      <c r="FQ203" t="e">
        <f>AND(Bills!W859,"AAAAAHuXn6w=")</f>
        <v>#VALUE!</v>
      </c>
      <c r="FR203" t="e">
        <f>AND(Bills!#REF!,"AAAAAHuXn60=")</f>
        <v>#REF!</v>
      </c>
      <c r="FS203" t="e">
        <f>AND(Bills!#REF!,"AAAAAHuXn64=")</f>
        <v>#REF!</v>
      </c>
      <c r="FT203" t="e">
        <f>AND(Bills!Y859,"AAAAAHuXn68=")</f>
        <v>#VALUE!</v>
      </c>
      <c r="FU203" t="e">
        <f>AND(Bills!Z859,"AAAAAHuXn7A=")</f>
        <v>#VALUE!</v>
      </c>
      <c r="FV203" t="e">
        <f>AND(Bills!#REF!,"AAAAAHuXn7E=")</f>
        <v>#REF!</v>
      </c>
      <c r="FW203" t="e">
        <f>AND(Bills!#REF!,"AAAAAHuXn7I=")</f>
        <v>#REF!</v>
      </c>
      <c r="FX203" t="e">
        <f>AND(Bills!#REF!,"AAAAAHuXn7M=")</f>
        <v>#REF!</v>
      </c>
      <c r="FY203" t="e">
        <f>AND(Bills!#REF!,"AAAAAHuXn7Q=")</f>
        <v>#REF!</v>
      </c>
      <c r="FZ203" t="e">
        <f>AND(Bills!#REF!,"AAAAAHuXn7U=")</f>
        <v>#REF!</v>
      </c>
      <c r="GA203" t="e">
        <f>AND(Bills!#REF!,"AAAAAHuXn7Y=")</f>
        <v>#REF!</v>
      </c>
      <c r="GB203" t="e">
        <f>AND(Bills!#REF!,"AAAAAHuXn7c=")</f>
        <v>#REF!</v>
      </c>
      <c r="GC203" t="e">
        <f>AND(Bills!#REF!,"AAAAAHuXn7g=")</f>
        <v>#REF!</v>
      </c>
      <c r="GD203" t="e">
        <f>AND(Bills!#REF!,"AAAAAHuXn7k=")</f>
        <v>#REF!</v>
      </c>
      <c r="GE203" t="e">
        <f>AND(Bills!AA859,"AAAAAHuXn7o=")</f>
        <v>#VALUE!</v>
      </c>
      <c r="GF203" t="e">
        <f>AND(Bills!AB859,"AAAAAHuXn7s=")</f>
        <v>#VALUE!</v>
      </c>
      <c r="GG203" t="e">
        <f>AND(Bills!#REF!,"AAAAAHuXn7w=")</f>
        <v>#REF!</v>
      </c>
      <c r="GH203" t="e">
        <f>AND(Bills!#REF!,"AAAAAHuXn70=")</f>
        <v>#REF!</v>
      </c>
      <c r="GI203" t="e">
        <f>AND(Bills!#REF!,"AAAAAHuXn74=")</f>
        <v>#REF!</v>
      </c>
      <c r="GJ203" t="e">
        <f>AND(Bills!AC859,"AAAAAHuXn78=")</f>
        <v>#VALUE!</v>
      </c>
      <c r="GK203" t="e">
        <f>AND(Bills!AD859,"AAAAAHuXn8A=")</f>
        <v>#VALUE!</v>
      </c>
      <c r="GL203" t="e">
        <f>AND(Bills!AE859,"AAAAAHuXn8E=")</f>
        <v>#VALUE!</v>
      </c>
      <c r="GM203">
        <f>IF(Bills!860:860,"AAAAAHuXn8I=",0)</f>
        <v>0</v>
      </c>
      <c r="GN203" t="e">
        <f>AND(Bills!B860,"AAAAAHuXn8M=")</f>
        <v>#VALUE!</v>
      </c>
      <c r="GO203" t="e">
        <f>AND(Bills!#REF!,"AAAAAHuXn8Q=")</f>
        <v>#REF!</v>
      </c>
      <c r="GP203" t="e">
        <f>AND(Bills!C860,"AAAAAHuXn8U=")</f>
        <v>#VALUE!</v>
      </c>
      <c r="GQ203" t="e">
        <f>AND(Bills!D860,"AAAAAHuXn8Y=")</f>
        <v>#VALUE!</v>
      </c>
      <c r="GR203" t="e">
        <f>AND(Bills!E860,"AAAAAHuXn8c=")</f>
        <v>#VALUE!</v>
      </c>
      <c r="GS203" t="e">
        <f>AND(Bills!#REF!,"AAAAAHuXn8g=")</f>
        <v>#REF!</v>
      </c>
      <c r="GT203" t="e">
        <f>AND(Bills!#REF!,"AAAAAHuXn8k=")</f>
        <v>#REF!</v>
      </c>
      <c r="GU203" t="e">
        <f>AND(Bills!#REF!,"AAAAAHuXn8o=")</f>
        <v>#REF!</v>
      </c>
      <c r="GV203" t="e">
        <f>AND(Bills!F860,"AAAAAHuXn8s=")</f>
        <v>#VALUE!</v>
      </c>
      <c r="GW203" t="e">
        <f>AND(Bills!#REF!,"AAAAAHuXn8w=")</f>
        <v>#REF!</v>
      </c>
      <c r="GX203" t="e">
        <f>AND(Bills!G860,"AAAAAHuXn80=")</f>
        <v>#VALUE!</v>
      </c>
      <c r="GY203" t="e">
        <f>AND(Bills!H860,"AAAAAHuXn84=")</f>
        <v>#VALUE!</v>
      </c>
      <c r="GZ203" t="e">
        <f>AND(Bills!I860,"AAAAAHuXn88=")</f>
        <v>#VALUE!</v>
      </c>
      <c r="HA203" t="e">
        <f>AND(Bills!J860,"AAAAAHuXn9A=")</f>
        <v>#VALUE!</v>
      </c>
      <c r="HB203" t="e">
        <f>AND(Bills!K860,"AAAAAHuXn9E=")</f>
        <v>#VALUE!</v>
      </c>
      <c r="HC203" t="e">
        <f>AND(Bills!L860,"AAAAAHuXn9I=")</f>
        <v>#VALUE!</v>
      </c>
      <c r="HD203" t="e">
        <f>AND(Bills!#REF!,"AAAAAHuXn9M=")</f>
        <v>#REF!</v>
      </c>
      <c r="HE203" t="e">
        <f>AND(Bills!M860,"AAAAAHuXn9Q=")</f>
        <v>#VALUE!</v>
      </c>
      <c r="HF203" t="e">
        <f>AND(Bills!N860,"AAAAAHuXn9U=")</f>
        <v>#VALUE!</v>
      </c>
      <c r="HG203" t="e">
        <f>AND(Bills!O860,"AAAAAHuXn9Y=")</f>
        <v>#VALUE!</v>
      </c>
      <c r="HH203" t="e">
        <f>AND(Bills!P860,"AAAAAHuXn9c=")</f>
        <v>#VALUE!</v>
      </c>
      <c r="HI203" t="e">
        <f>AND(Bills!Q860,"AAAAAHuXn9g=")</f>
        <v>#VALUE!</v>
      </c>
      <c r="HJ203" t="e">
        <f>AND(Bills!R860,"AAAAAHuXn9k=")</f>
        <v>#VALUE!</v>
      </c>
      <c r="HK203" t="e">
        <f>AND(Bills!S860,"AAAAAHuXn9o=")</f>
        <v>#VALUE!</v>
      </c>
      <c r="HL203" t="e">
        <f>AND(Bills!T860,"AAAAAHuXn9s=")</f>
        <v>#VALUE!</v>
      </c>
      <c r="HM203" t="e">
        <f>AND(Bills!#REF!,"AAAAAHuXn9w=")</f>
        <v>#REF!</v>
      </c>
      <c r="HN203" t="e">
        <f>AND(Bills!U860,"AAAAAHuXn90=")</f>
        <v>#VALUE!</v>
      </c>
      <c r="HO203" t="e">
        <f>AND(Bills!V860,"AAAAAHuXn94=")</f>
        <v>#VALUE!</v>
      </c>
      <c r="HP203" t="e">
        <f>AND(Bills!W860,"AAAAAHuXn98=")</f>
        <v>#VALUE!</v>
      </c>
      <c r="HQ203" t="e">
        <f>AND(Bills!#REF!,"AAAAAHuXn+A=")</f>
        <v>#REF!</v>
      </c>
      <c r="HR203" t="e">
        <f>AND(Bills!#REF!,"AAAAAHuXn+E=")</f>
        <v>#REF!</v>
      </c>
      <c r="HS203" t="e">
        <f>AND(Bills!Y860,"AAAAAHuXn+I=")</f>
        <v>#VALUE!</v>
      </c>
      <c r="HT203" t="e">
        <f>AND(Bills!Z860,"AAAAAHuXn+M=")</f>
        <v>#VALUE!</v>
      </c>
      <c r="HU203" t="e">
        <f>AND(Bills!#REF!,"AAAAAHuXn+Q=")</f>
        <v>#REF!</v>
      </c>
      <c r="HV203" t="e">
        <f>AND(Bills!#REF!,"AAAAAHuXn+U=")</f>
        <v>#REF!</v>
      </c>
      <c r="HW203" t="e">
        <f>AND(Bills!#REF!,"AAAAAHuXn+Y=")</f>
        <v>#REF!</v>
      </c>
      <c r="HX203" t="e">
        <f>AND(Bills!#REF!,"AAAAAHuXn+c=")</f>
        <v>#REF!</v>
      </c>
      <c r="HY203" t="e">
        <f>AND(Bills!#REF!,"AAAAAHuXn+g=")</f>
        <v>#REF!</v>
      </c>
      <c r="HZ203" t="e">
        <f>AND(Bills!#REF!,"AAAAAHuXn+k=")</f>
        <v>#REF!</v>
      </c>
      <c r="IA203" t="e">
        <f>AND(Bills!#REF!,"AAAAAHuXn+o=")</f>
        <v>#REF!</v>
      </c>
      <c r="IB203" t="e">
        <f>AND(Bills!#REF!,"AAAAAHuXn+s=")</f>
        <v>#REF!</v>
      </c>
      <c r="IC203" t="e">
        <f>AND(Bills!#REF!,"AAAAAHuXn+w=")</f>
        <v>#REF!</v>
      </c>
      <c r="ID203" t="e">
        <f>AND(Bills!AA860,"AAAAAHuXn+0=")</f>
        <v>#VALUE!</v>
      </c>
      <c r="IE203" t="e">
        <f>AND(Bills!AB860,"AAAAAHuXn+4=")</f>
        <v>#VALUE!</v>
      </c>
      <c r="IF203" t="e">
        <f>AND(Bills!#REF!,"AAAAAHuXn+8=")</f>
        <v>#REF!</v>
      </c>
      <c r="IG203" t="e">
        <f>AND(Bills!#REF!,"AAAAAHuXn/A=")</f>
        <v>#REF!</v>
      </c>
      <c r="IH203" t="e">
        <f>AND(Bills!#REF!,"AAAAAHuXn/E=")</f>
        <v>#REF!</v>
      </c>
      <c r="II203" t="e">
        <f>AND(Bills!AC860,"AAAAAHuXn/I=")</f>
        <v>#VALUE!</v>
      </c>
      <c r="IJ203" t="e">
        <f>AND(Bills!AD860,"AAAAAHuXn/M=")</f>
        <v>#VALUE!</v>
      </c>
      <c r="IK203" t="e">
        <f>AND(Bills!AE860,"AAAAAHuXn/Q=")</f>
        <v>#VALUE!</v>
      </c>
      <c r="IL203">
        <f>IF(Bills!861:861,"AAAAAHuXn/U=",0)</f>
        <v>0</v>
      </c>
      <c r="IM203" t="e">
        <f>AND(Bills!B861,"AAAAAHuXn/Y=")</f>
        <v>#VALUE!</v>
      </c>
      <c r="IN203" t="e">
        <f>AND(Bills!#REF!,"AAAAAHuXn/c=")</f>
        <v>#REF!</v>
      </c>
      <c r="IO203" t="e">
        <f>AND(Bills!C861,"AAAAAHuXn/g=")</f>
        <v>#VALUE!</v>
      </c>
      <c r="IP203" t="e">
        <f>AND(Bills!D861,"AAAAAHuXn/k=")</f>
        <v>#VALUE!</v>
      </c>
      <c r="IQ203" t="e">
        <f>AND(Bills!E861,"AAAAAHuXn/o=")</f>
        <v>#VALUE!</v>
      </c>
      <c r="IR203" t="e">
        <f>AND(Bills!#REF!,"AAAAAHuXn/s=")</f>
        <v>#REF!</v>
      </c>
      <c r="IS203" t="e">
        <f>AND(Bills!#REF!,"AAAAAHuXn/w=")</f>
        <v>#REF!</v>
      </c>
      <c r="IT203" t="e">
        <f>AND(Bills!#REF!,"AAAAAHuXn/0=")</f>
        <v>#REF!</v>
      </c>
      <c r="IU203" t="e">
        <f>AND(Bills!F861,"AAAAAHuXn/4=")</f>
        <v>#VALUE!</v>
      </c>
      <c r="IV203" t="e">
        <f>AND(Bills!#REF!,"AAAAAHuXn/8=")</f>
        <v>#REF!</v>
      </c>
    </row>
    <row r="204" spans="1:256" x14ac:dyDescent="0.25">
      <c r="A204" t="e">
        <f>AND(Bills!G861,"AAAAAHm29wA=")</f>
        <v>#VALUE!</v>
      </c>
      <c r="B204" t="e">
        <f>AND(Bills!H861,"AAAAAHm29wE=")</f>
        <v>#VALUE!</v>
      </c>
      <c r="C204" t="e">
        <f>AND(Bills!I861,"AAAAAHm29wI=")</f>
        <v>#VALUE!</v>
      </c>
      <c r="D204" t="e">
        <f>AND(Bills!J861,"AAAAAHm29wM=")</f>
        <v>#VALUE!</v>
      </c>
      <c r="E204" t="e">
        <f>AND(Bills!K861,"AAAAAHm29wQ=")</f>
        <v>#VALUE!</v>
      </c>
      <c r="F204" t="e">
        <f>AND(Bills!L861,"AAAAAHm29wU=")</f>
        <v>#VALUE!</v>
      </c>
      <c r="G204" t="e">
        <f>AND(Bills!#REF!,"AAAAAHm29wY=")</f>
        <v>#REF!</v>
      </c>
      <c r="H204" t="e">
        <f>AND(Bills!M861,"AAAAAHm29wc=")</f>
        <v>#VALUE!</v>
      </c>
      <c r="I204" t="e">
        <f>AND(Bills!N861,"AAAAAHm29wg=")</f>
        <v>#VALUE!</v>
      </c>
      <c r="J204" t="e">
        <f>AND(Bills!O861,"AAAAAHm29wk=")</f>
        <v>#VALUE!</v>
      </c>
      <c r="K204" t="e">
        <f>AND(Bills!P861,"AAAAAHm29wo=")</f>
        <v>#VALUE!</v>
      </c>
      <c r="L204" t="e">
        <f>AND(Bills!Q861,"AAAAAHm29ws=")</f>
        <v>#VALUE!</v>
      </c>
      <c r="M204" t="e">
        <f>AND(Bills!R861,"AAAAAHm29ww=")</f>
        <v>#VALUE!</v>
      </c>
      <c r="N204" t="e">
        <f>AND(Bills!S861,"AAAAAHm29w0=")</f>
        <v>#VALUE!</v>
      </c>
      <c r="O204" t="e">
        <f>AND(Bills!T861,"AAAAAHm29w4=")</f>
        <v>#VALUE!</v>
      </c>
      <c r="P204" t="e">
        <f>AND(Bills!#REF!,"AAAAAHm29w8=")</f>
        <v>#REF!</v>
      </c>
      <c r="Q204" t="e">
        <f>AND(Bills!U861,"AAAAAHm29xA=")</f>
        <v>#VALUE!</v>
      </c>
      <c r="R204" t="e">
        <f>AND(Bills!V861,"AAAAAHm29xE=")</f>
        <v>#VALUE!</v>
      </c>
      <c r="S204" t="e">
        <f>AND(Bills!W861,"AAAAAHm29xI=")</f>
        <v>#VALUE!</v>
      </c>
      <c r="T204" t="e">
        <f>AND(Bills!#REF!,"AAAAAHm29xM=")</f>
        <v>#REF!</v>
      </c>
      <c r="U204" t="e">
        <f>AND(Bills!#REF!,"AAAAAHm29xQ=")</f>
        <v>#REF!</v>
      </c>
      <c r="V204" t="e">
        <f>AND(Bills!Y861,"AAAAAHm29xU=")</f>
        <v>#VALUE!</v>
      </c>
      <c r="W204" t="e">
        <f>AND(Bills!Z861,"AAAAAHm29xY=")</f>
        <v>#VALUE!</v>
      </c>
      <c r="X204" t="e">
        <f>AND(Bills!#REF!,"AAAAAHm29xc=")</f>
        <v>#REF!</v>
      </c>
      <c r="Y204" t="e">
        <f>AND(Bills!#REF!,"AAAAAHm29xg=")</f>
        <v>#REF!</v>
      </c>
      <c r="Z204" t="e">
        <f>AND(Bills!#REF!,"AAAAAHm29xk=")</f>
        <v>#REF!</v>
      </c>
      <c r="AA204" t="e">
        <f>AND(Bills!#REF!,"AAAAAHm29xo=")</f>
        <v>#REF!</v>
      </c>
      <c r="AB204" t="e">
        <f>AND(Bills!#REF!,"AAAAAHm29xs=")</f>
        <v>#REF!</v>
      </c>
      <c r="AC204" t="e">
        <f>AND(Bills!#REF!,"AAAAAHm29xw=")</f>
        <v>#REF!</v>
      </c>
      <c r="AD204" t="e">
        <f>AND(Bills!#REF!,"AAAAAHm29x0=")</f>
        <v>#REF!</v>
      </c>
      <c r="AE204" t="e">
        <f>AND(Bills!#REF!,"AAAAAHm29x4=")</f>
        <v>#REF!</v>
      </c>
      <c r="AF204" t="e">
        <f>AND(Bills!#REF!,"AAAAAHm29x8=")</f>
        <v>#REF!</v>
      </c>
      <c r="AG204" t="e">
        <f>AND(Bills!AA861,"AAAAAHm29yA=")</f>
        <v>#VALUE!</v>
      </c>
      <c r="AH204" t="e">
        <f>AND(Bills!AB861,"AAAAAHm29yE=")</f>
        <v>#VALUE!</v>
      </c>
      <c r="AI204" t="e">
        <f>AND(Bills!#REF!,"AAAAAHm29yI=")</f>
        <v>#REF!</v>
      </c>
      <c r="AJ204" t="e">
        <f>AND(Bills!#REF!,"AAAAAHm29yM=")</f>
        <v>#REF!</v>
      </c>
      <c r="AK204" t="e">
        <f>AND(Bills!#REF!,"AAAAAHm29yQ=")</f>
        <v>#REF!</v>
      </c>
      <c r="AL204" t="e">
        <f>AND(Bills!AC861,"AAAAAHm29yU=")</f>
        <v>#VALUE!</v>
      </c>
      <c r="AM204" t="e">
        <f>AND(Bills!AD861,"AAAAAHm29yY=")</f>
        <v>#VALUE!</v>
      </c>
      <c r="AN204" t="e">
        <f>AND(Bills!AE861,"AAAAAHm29yc=")</f>
        <v>#VALUE!</v>
      </c>
      <c r="AO204">
        <f>IF(Bills!862:862,"AAAAAHm29yg=",0)</f>
        <v>0</v>
      </c>
      <c r="AP204" t="e">
        <f>AND(Bills!B862,"AAAAAHm29yk=")</f>
        <v>#VALUE!</v>
      </c>
      <c r="AQ204" t="e">
        <f>AND(Bills!#REF!,"AAAAAHm29yo=")</f>
        <v>#REF!</v>
      </c>
      <c r="AR204" t="e">
        <f>AND(Bills!C862,"AAAAAHm29ys=")</f>
        <v>#VALUE!</v>
      </c>
      <c r="AS204" t="e">
        <f>AND(Bills!D862,"AAAAAHm29yw=")</f>
        <v>#VALUE!</v>
      </c>
      <c r="AT204" t="e">
        <f>AND(Bills!E862,"AAAAAHm29y0=")</f>
        <v>#VALUE!</v>
      </c>
      <c r="AU204" t="e">
        <f>AND(Bills!#REF!,"AAAAAHm29y4=")</f>
        <v>#REF!</v>
      </c>
      <c r="AV204" t="e">
        <f>AND(Bills!#REF!,"AAAAAHm29y8=")</f>
        <v>#REF!</v>
      </c>
      <c r="AW204" t="e">
        <f>AND(Bills!#REF!,"AAAAAHm29zA=")</f>
        <v>#REF!</v>
      </c>
      <c r="AX204" t="e">
        <f>AND(Bills!F862,"AAAAAHm29zE=")</f>
        <v>#VALUE!</v>
      </c>
      <c r="AY204" t="e">
        <f>AND(Bills!#REF!,"AAAAAHm29zI=")</f>
        <v>#REF!</v>
      </c>
      <c r="AZ204" t="e">
        <f>AND(Bills!G862,"AAAAAHm29zM=")</f>
        <v>#VALUE!</v>
      </c>
      <c r="BA204" t="e">
        <f>AND(Bills!H862,"AAAAAHm29zQ=")</f>
        <v>#VALUE!</v>
      </c>
      <c r="BB204" t="e">
        <f>AND(Bills!I862,"AAAAAHm29zU=")</f>
        <v>#VALUE!</v>
      </c>
      <c r="BC204" t="e">
        <f>AND(Bills!J862,"AAAAAHm29zY=")</f>
        <v>#VALUE!</v>
      </c>
      <c r="BD204" t="e">
        <f>AND(Bills!K862,"AAAAAHm29zc=")</f>
        <v>#VALUE!</v>
      </c>
      <c r="BE204" t="e">
        <f>AND(Bills!L862,"AAAAAHm29zg=")</f>
        <v>#VALUE!</v>
      </c>
      <c r="BF204" t="e">
        <f>AND(Bills!#REF!,"AAAAAHm29zk=")</f>
        <v>#REF!</v>
      </c>
      <c r="BG204" t="e">
        <f>AND(Bills!M862,"AAAAAHm29zo=")</f>
        <v>#VALUE!</v>
      </c>
      <c r="BH204" t="e">
        <f>AND(Bills!N862,"AAAAAHm29zs=")</f>
        <v>#VALUE!</v>
      </c>
      <c r="BI204" t="e">
        <f>AND(Bills!O862,"AAAAAHm29zw=")</f>
        <v>#VALUE!</v>
      </c>
      <c r="BJ204" t="e">
        <f>AND(Bills!P862,"AAAAAHm29z0=")</f>
        <v>#VALUE!</v>
      </c>
      <c r="BK204" t="e">
        <f>AND(Bills!Q862,"AAAAAHm29z4=")</f>
        <v>#VALUE!</v>
      </c>
      <c r="BL204" t="e">
        <f>AND(Bills!R862,"AAAAAHm29z8=")</f>
        <v>#VALUE!</v>
      </c>
      <c r="BM204" t="e">
        <f>AND(Bills!S862,"AAAAAHm290A=")</f>
        <v>#VALUE!</v>
      </c>
      <c r="BN204" t="e">
        <f>AND(Bills!T862,"AAAAAHm290E=")</f>
        <v>#VALUE!</v>
      </c>
      <c r="BO204" t="e">
        <f>AND(Bills!#REF!,"AAAAAHm290I=")</f>
        <v>#REF!</v>
      </c>
      <c r="BP204" t="e">
        <f>AND(Bills!U862,"AAAAAHm290M=")</f>
        <v>#VALUE!</v>
      </c>
      <c r="BQ204" t="e">
        <f>AND(Bills!V862,"AAAAAHm290Q=")</f>
        <v>#VALUE!</v>
      </c>
      <c r="BR204" t="e">
        <f>AND(Bills!W862,"AAAAAHm290U=")</f>
        <v>#VALUE!</v>
      </c>
      <c r="BS204" t="e">
        <f>AND(Bills!#REF!,"AAAAAHm290Y=")</f>
        <v>#REF!</v>
      </c>
      <c r="BT204" t="e">
        <f>AND(Bills!#REF!,"AAAAAHm290c=")</f>
        <v>#REF!</v>
      </c>
      <c r="BU204" t="e">
        <f>AND(Bills!Y862,"AAAAAHm290g=")</f>
        <v>#VALUE!</v>
      </c>
      <c r="BV204" t="e">
        <f>AND(Bills!Z862,"AAAAAHm290k=")</f>
        <v>#VALUE!</v>
      </c>
      <c r="BW204" t="e">
        <f>AND(Bills!#REF!,"AAAAAHm290o=")</f>
        <v>#REF!</v>
      </c>
      <c r="BX204" t="e">
        <f>AND(Bills!#REF!,"AAAAAHm290s=")</f>
        <v>#REF!</v>
      </c>
      <c r="BY204" t="e">
        <f>AND(Bills!#REF!,"AAAAAHm290w=")</f>
        <v>#REF!</v>
      </c>
      <c r="BZ204" t="e">
        <f>AND(Bills!#REF!,"AAAAAHm2900=")</f>
        <v>#REF!</v>
      </c>
      <c r="CA204" t="e">
        <f>AND(Bills!#REF!,"AAAAAHm2904=")</f>
        <v>#REF!</v>
      </c>
      <c r="CB204" t="e">
        <f>AND(Bills!#REF!,"AAAAAHm2908=")</f>
        <v>#REF!</v>
      </c>
      <c r="CC204" t="e">
        <f>AND(Bills!#REF!,"AAAAAHm291A=")</f>
        <v>#REF!</v>
      </c>
      <c r="CD204" t="e">
        <f>AND(Bills!#REF!,"AAAAAHm291E=")</f>
        <v>#REF!</v>
      </c>
      <c r="CE204" t="e">
        <f>AND(Bills!#REF!,"AAAAAHm291I=")</f>
        <v>#REF!</v>
      </c>
      <c r="CF204" t="e">
        <f>AND(Bills!AA862,"AAAAAHm291M=")</f>
        <v>#VALUE!</v>
      </c>
      <c r="CG204" t="e">
        <f>AND(Bills!AB862,"AAAAAHm291Q=")</f>
        <v>#VALUE!</v>
      </c>
      <c r="CH204" t="e">
        <f>AND(Bills!#REF!,"AAAAAHm291U=")</f>
        <v>#REF!</v>
      </c>
      <c r="CI204" t="e">
        <f>AND(Bills!#REF!,"AAAAAHm291Y=")</f>
        <v>#REF!</v>
      </c>
      <c r="CJ204" t="e">
        <f>AND(Bills!#REF!,"AAAAAHm291c=")</f>
        <v>#REF!</v>
      </c>
      <c r="CK204" t="e">
        <f>AND(Bills!AC862,"AAAAAHm291g=")</f>
        <v>#VALUE!</v>
      </c>
      <c r="CL204" t="e">
        <f>AND(Bills!AD862,"AAAAAHm291k=")</f>
        <v>#VALUE!</v>
      </c>
      <c r="CM204" t="e">
        <f>AND(Bills!AE862,"AAAAAHm291o=")</f>
        <v>#VALUE!</v>
      </c>
      <c r="CN204">
        <f>IF(Bills!863:863,"AAAAAHm291s=",0)</f>
        <v>0</v>
      </c>
      <c r="CO204" t="e">
        <f>AND(Bills!B863,"AAAAAHm291w=")</f>
        <v>#VALUE!</v>
      </c>
      <c r="CP204" t="e">
        <f>AND(Bills!#REF!,"AAAAAHm2910=")</f>
        <v>#REF!</v>
      </c>
      <c r="CQ204" t="e">
        <f>AND(Bills!C863,"AAAAAHm2914=")</f>
        <v>#VALUE!</v>
      </c>
      <c r="CR204" t="e">
        <f>AND(Bills!D863,"AAAAAHm2918=")</f>
        <v>#VALUE!</v>
      </c>
      <c r="CS204" t="e">
        <f>AND(Bills!E863,"AAAAAHm292A=")</f>
        <v>#VALUE!</v>
      </c>
      <c r="CT204" t="e">
        <f>AND(Bills!#REF!,"AAAAAHm292E=")</f>
        <v>#REF!</v>
      </c>
      <c r="CU204" t="e">
        <f>AND(Bills!#REF!,"AAAAAHm292I=")</f>
        <v>#REF!</v>
      </c>
      <c r="CV204" t="e">
        <f>AND(Bills!#REF!,"AAAAAHm292M=")</f>
        <v>#REF!</v>
      </c>
      <c r="CW204" t="e">
        <f>AND(Bills!F863,"AAAAAHm292Q=")</f>
        <v>#VALUE!</v>
      </c>
      <c r="CX204" t="e">
        <f>AND(Bills!#REF!,"AAAAAHm292U=")</f>
        <v>#REF!</v>
      </c>
      <c r="CY204" t="e">
        <f>AND(Bills!G863,"AAAAAHm292Y=")</f>
        <v>#VALUE!</v>
      </c>
      <c r="CZ204" t="e">
        <f>AND(Bills!H863,"AAAAAHm292c=")</f>
        <v>#VALUE!</v>
      </c>
      <c r="DA204" t="e">
        <f>AND(Bills!I863,"AAAAAHm292g=")</f>
        <v>#VALUE!</v>
      </c>
      <c r="DB204" t="e">
        <f>AND(Bills!J863,"AAAAAHm292k=")</f>
        <v>#VALUE!</v>
      </c>
      <c r="DC204" t="e">
        <f>AND(Bills!K863,"AAAAAHm292o=")</f>
        <v>#VALUE!</v>
      </c>
      <c r="DD204" t="e">
        <f>AND(Bills!L863,"AAAAAHm292s=")</f>
        <v>#VALUE!</v>
      </c>
      <c r="DE204" t="e">
        <f>AND(Bills!#REF!,"AAAAAHm292w=")</f>
        <v>#REF!</v>
      </c>
      <c r="DF204" t="e">
        <f>AND(Bills!M863,"AAAAAHm2920=")</f>
        <v>#VALUE!</v>
      </c>
      <c r="DG204" t="e">
        <f>AND(Bills!N863,"AAAAAHm2924=")</f>
        <v>#VALUE!</v>
      </c>
      <c r="DH204" t="e">
        <f>AND(Bills!O863,"AAAAAHm2928=")</f>
        <v>#VALUE!</v>
      </c>
      <c r="DI204" t="e">
        <f>AND(Bills!P863,"AAAAAHm293A=")</f>
        <v>#VALUE!</v>
      </c>
      <c r="DJ204" t="e">
        <f>AND(Bills!Q863,"AAAAAHm293E=")</f>
        <v>#VALUE!</v>
      </c>
      <c r="DK204" t="e">
        <f>AND(Bills!R863,"AAAAAHm293I=")</f>
        <v>#VALUE!</v>
      </c>
      <c r="DL204" t="e">
        <f>AND(Bills!S863,"AAAAAHm293M=")</f>
        <v>#VALUE!</v>
      </c>
      <c r="DM204" t="e">
        <f>AND(Bills!T863,"AAAAAHm293Q=")</f>
        <v>#VALUE!</v>
      </c>
      <c r="DN204" t="e">
        <f>AND(Bills!#REF!,"AAAAAHm293U=")</f>
        <v>#REF!</v>
      </c>
      <c r="DO204" t="e">
        <f>AND(Bills!U863,"AAAAAHm293Y=")</f>
        <v>#VALUE!</v>
      </c>
      <c r="DP204" t="e">
        <f>AND(Bills!V863,"AAAAAHm293c=")</f>
        <v>#VALUE!</v>
      </c>
      <c r="DQ204" t="e">
        <f>AND(Bills!W863,"AAAAAHm293g=")</f>
        <v>#VALUE!</v>
      </c>
      <c r="DR204" t="e">
        <f>AND(Bills!#REF!,"AAAAAHm293k=")</f>
        <v>#REF!</v>
      </c>
      <c r="DS204" t="e">
        <f>AND(Bills!#REF!,"AAAAAHm293o=")</f>
        <v>#REF!</v>
      </c>
      <c r="DT204" t="e">
        <f>AND(Bills!Y863,"AAAAAHm293s=")</f>
        <v>#VALUE!</v>
      </c>
      <c r="DU204" t="e">
        <f>AND(Bills!Z863,"AAAAAHm293w=")</f>
        <v>#VALUE!</v>
      </c>
      <c r="DV204" t="e">
        <f>AND(Bills!#REF!,"AAAAAHm2930=")</f>
        <v>#REF!</v>
      </c>
      <c r="DW204" t="e">
        <f>AND(Bills!#REF!,"AAAAAHm2934=")</f>
        <v>#REF!</v>
      </c>
      <c r="DX204" t="e">
        <f>AND(Bills!#REF!,"AAAAAHm2938=")</f>
        <v>#REF!</v>
      </c>
      <c r="DY204" t="e">
        <f>AND(Bills!#REF!,"AAAAAHm294A=")</f>
        <v>#REF!</v>
      </c>
      <c r="DZ204" t="e">
        <f>AND(Bills!#REF!,"AAAAAHm294E=")</f>
        <v>#REF!</v>
      </c>
      <c r="EA204" t="e">
        <f>AND(Bills!#REF!,"AAAAAHm294I=")</f>
        <v>#REF!</v>
      </c>
      <c r="EB204" t="e">
        <f>AND(Bills!#REF!,"AAAAAHm294M=")</f>
        <v>#REF!</v>
      </c>
      <c r="EC204" t="e">
        <f>AND(Bills!#REF!,"AAAAAHm294Q=")</f>
        <v>#REF!</v>
      </c>
      <c r="ED204" t="e">
        <f>AND(Bills!#REF!,"AAAAAHm294U=")</f>
        <v>#REF!</v>
      </c>
      <c r="EE204" t="e">
        <f>AND(Bills!AA863,"AAAAAHm294Y=")</f>
        <v>#VALUE!</v>
      </c>
      <c r="EF204" t="e">
        <f>AND(Bills!AB863,"AAAAAHm294c=")</f>
        <v>#VALUE!</v>
      </c>
      <c r="EG204" t="e">
        <f>AND(Bills!#REF!,"AAAAAHm294g=")</f>
        <v>#REF!</v>
      </c>
      <c r="EH204" t="e">
        <f>AND(Bills!#REF!,"AAAAAHm294k=")</f>
        <v>#REF!</v>
      </c>
      <c r="EI204" t="e">
        <f>AND(Bills!#REF!,"AAAAAHm294o=")</f>
        <v>#REF!</v>
      </c>
      <c r="EJ204" t="e">
        <f>AND(Bills!AC863,"AAAAAHm294s=")</f>
        <v>#VALUE!</v>
      </c>
      <c r="EK204" t="e">
        <f>AND(Bills!AD863,"AAAAAHm294w=")</f>
        <v>#VALUE!</v>
      </c>
      <c r="EL204" t="e">
        <f>AND(Bills!AE863,"AAAAAHm2940=")</f>
        <v>#VALUE!</v>
      </c>
      <c r="EM204">
        <f>IF(Bills!864:864,"AAAAAHm2944=",0)</f>
        <v>0</v>
      </c>
      <c r="EN204" t="e">
        <f>AND(Bills!B864,"AAAAAHm2948=")</f>
        <v>#VALUE!</v>
      </c>
      <c r="EO204" t="e">
        <f>AND(Bills!#REF!,"AAAAAHm295A=")</f>
        <v>#REF!</v>
      </c>
      <c r="EP204" t="e">
        <f>AND(Bills!C864,"AAAAAHm295E=")</f>
        <v>#VALUE!</v>
      </c>
      <c r="EQ204" t="e">
        <f>AND(Bills!D864,"AAAAAHm295I=")</f>
        <v>#VALUE!</v>
      </c>
      <c r="ER204" t="e">
        <f>AND(Bills!E864,"AAAAAHm295M=")</f>
        <v>#VALUE!</v>
      </c>
      <c r="ES204" t="e">
        <f>AND(Bills!#REF!,"AAAAAHm295Q=")</f>
        <v>#REF!</v>
      </c>
      <c r="ET204" t="e">
        <f>AND(Bills!#REF!,"AAAAAHm295U=")</f>
        <v>#REF!</v>
      </c>
      <c r="EU204" t="e">
        <f>AND(Bills!#REF!,"AAAAAHm295Y=")</f>
        <v>#REF!</v>
      </c>
      <c r="EV204" t="e">
        <f>AND(Bills!F864,"AAAAAHm295c=")</f>
        <v>#VALUE!</v>
      </c>
      <c r="EW204" t="e">
        <f>AND(Bills!#REF!,"AAAAAHm295g=")</f>
        <v>#REF!</v>
      </c>
      <c r="EX204" t="e">
        <f>AND(Bills!G864,"AAAAAHm295k=")</f>
        <v>#VALUE!</v>
      </c>
      <c r="EY204" t="e">
        <f>AND(Bills!H864,"AAAAAHm295o=")</f>
        <v>#VALUE!</v>
      </c>
      <c r="EZ204" t="e">
        <f>AND(Bills!I864,"AAAAAHm295s=")</f>
        <v>#VALUE!</v>
      </c>
      <c r="FA204" t="e">
        <f>AND(Bills!J864,"AAAAAHm295w=")</f>
        <v>#VALUE!</v>
      </c>
      <c r="FB204" t="e">
        <f>AND(Bills!K864,"AAAAAHm2950=")</f>
        <v>#VALUE!</v>
      </c>
      <c r="FC204" t="e">
        <f>AND(Bills!L864,"AAAAAHm2954=")</f>
        <v>#VALUE!</v>
      </c>
      <c r="FD204" t="e">
        <f>AND(Bills!#REF!,"AAAAAHm2958=")</f>
        <v>#REF!</v>
      </c>
      <c r="FE204" t="e">
        <f>AND(Bills!M864,"AAAAAHm296A=")</f>
        <v>#VALUE!</v>
      </c>
      <c r="FF204" t="e">
        <f>AND(Bills!N864,"AAAAAHm296E=")</f>
        <v>#VALUE!</v>
      </c>
      <c r="FG204" t="e">
        <f>AND(Bills!O864,"AAAAAHm296I=")</f>
        <v>#VALUE!</v>
      </c>
      <c r="FH204" t="e">
        <f>AND(Bills!P864,"AAAAAHm296M=")</f>
        <v>#VALUE!</v>
      </c>
      <c r="FI204" t="e">
        <f>AND(Bills!Q864,"AAAAAHm296Q=")</f>
        <v>#VALUE!</v>
      </c>
      <c r="FJ204" t="e">
        <f>AND(Bills!R864,"AAAAAHm296U=")</f>
        <v>#VALUE!</v>
      </c>
      <c r="FK204" t="e">
        <f>AND(Bills!S864,"AAAAAHm296Y=")</f>
        <v>#VALUE!</v>
      </c>
      <c r="FL204" t="e">
        <f>AND(Bills!T864,"AAAAAHm296c=")</f>
        <v>#VALUE!</v>
      </c>
      <c r="FM204" t="e">
        <f>AND(Bills!#REF!,"AAAAAHm296g=")</f>
        <v>#REF!</v>
      </c>
      <c r="FN204" t="e">
        <f>AND(Bills!U864,"AAAAAHm296k=")</f>
        <v>#VALUE!</v>
      </c>
      <c r="FO204" t="e">
        <f>AND(Bills!V864,"AAAAAHm296o=")</f>
        <v>#VALUE!</v>
      </c>
      <c r="FP204" t="e">
        <f>AND(Bills!W864,"AAAAAHm296s=")</f>
        <v>#VALUE!</v>
      </c>
      <c r="FQ204" t="e">
        <f>AND(Bills!#REF!,"AAAAAHm296w=")</f>
        <v>#REF!</v>
      </c>
      <c r="FR204" t="e">
        <f>AND(Bills!#REF!,"AAAAAHm2960=")</f>
        <v>#REF!</v>
      </c>
      <c r="FS204" t="e">
        <f>AND(Bills!Y864,"AAAAAHm2964=")</f>
        <v>#VALUE!</v>
      </c>
      <c r="FT204" t="e">
        <f>AND(Bills!Z864,"AAAAAHm2968=")</f>
        <v>#VALUE!</v>
      </c>
      <c r="FU204" t="e">
        <f>AND(Bills!#REF!,"AAAAAHm297A=")</f>
        <v>#REF!</v>
      </c>
      <c r="FV204" t="e">
        <f>AND(Bills!#REF!,"AAAAAHm297E=")</f>
        <v>#REF!</v>
      </c>
      <c r="FW204" t="e">
        <f>AND(Bills!#REF!,"AAAAAHm297I=")</f>
        <v>#REF!</v>
      </c>
      <c r="FX204" t="e">
        <f>AND(Bills!#REF!,"AAAAAHm297M=")</f>
        <v>#REF!</v>
      </c>
      <c r="FY204" t="e">
        <f>AND(Bills!#REF!,"AAAAAHm297Q=")</f>
        <v>#REF!</v>
      </c>
      <c r="FZ204" t="e">
        <f>AND(Bills!#REF!,"AAAAAHm297U=")</f>
        <v>#REF!</v>
      </c>
      <c r="GA204" t="e">
        <f>AND(Bills!#REF!,"AAAAAHm297Y=")</f>
        <v>#REF!</v>
      </c>
      <c r="GB204" t="e">
        <f>AND(Bills!#REF!,"AAAAAHm297c=")</f>
        <v>#REF!</v>
      </c>
      <c r="GC204" t="e">
        <f>AND(Bills!#REF!,"AAAAAHm297g=")</f>
        <v>#REF!</v>
      </c>
      <c r="GD204" t="e">
        <f>AND(Bills!AA864,"AAAAAHm297k=")</f>
        <v>#VALUE!</v>
      </c>
      <c r="GE204" t="e">
        <f>AND(Bills!AB864,"AAAAAHm297o=")</f>
        <v>#VALUE!</v>
      </c>
      <c r="GF204" t="e">
        <f>AND(Bills!#REF!,"AAAAAHm297s=")</f>
        <v>#REF!</v>
      </c>
      <c r="GG204" t="e">
        <f>AND(Bills!#REF!,"AAAAAHm297w=")</f>
        <v>#REF!</v>
      </c>
      <c r="GH204" t="e">
        <f>AND(Bills!#REF!,"AAAAAHm2970=")</f>
        <v>#REF!</v>
      </c>
      <c r="GI204" t="e">
        <f>AND(Bills!AC864,"AAAAAHm2974=")</f>
        <v>#VALUE!</v>
      </c>
      <c r="GJ204" t="e">
        <f>AND(Bills!AD864,"AAAAAHm2978=")</f>
        <v>#VALUE!</v>
      </c>
      <c r="GK204" t="e">
        <f>AND(Bills!AE864,"AAAAAHm298A=")</f>
        <v>#VALUE!</v>
      </c>
      <c r="GL204">
        <f>IF(Bills!865:865,"AAAAAHm298E=",0)</f>
        <v>0</v>
      </c>
      <c r="GM204" t="e">
        <f>AND(Bills!B865,"AAAAAHm298I=")</f>
        <v>#VALUE!</v>
      </c>
      <c r="GN204" t="e">
        <f>AND(Bills!#REF!,"AAAAAHm298M=")</f>
        <v>#REF!</v>
      </c>
      <c r="GO204" t="e">
        <f>AND(Bills!C865,"AAAAAHm298Q=")</f>
        <v>#VALUE!</v>
      </c>
      <c r="GP204" t="e">
        <f>AND(Bills!D865,"AAAAAHm298U=")</f>
        <v>#VALUE!</v>
      </c>
      <c r="GQ204" t="e">
        <f>AND(Bills!E865,"AAAAAHm298Y=")</f>
        <v>#VALUE!</v>
      </c>
      <c r="GR204" t="e">
        <f>AND(Bills!#REF!,"AAAAAHm298c=")</f>
        <v>#REF!</v>
      </c>
      <c r="GS204" t="e">
        <f>AND(Bills!#REF!,"AAAAAHm298g=")</f>
        <v>#REF!</v>
      </c>
      <c r="GT204" t="e">
        <f>AND(Bills!#REF!,"AAAAAHm298k=")</f>
        <v>#REF!</v>
      </c>
      <c r="GU204" t="e">
        <f>AND(Bills!F865,"AAAAAHm298o=")</f>
        <v>#VALUE!</v>
      </c>
      <c r="GV204" t="e">
        <f>AND(Bills!#REF!,"AAAAAHm298s=")</f>
        <v>#REF!</v>
      </c>
      <c r="GW204" t="e">
        <f>AND(Bills!G865,"AAAAAHm298w=")</f>
        <v>#VALUE!</v>
      </c>
      <c r="GX204" t="e">
        <f>AND(Bills!H865,"AAAAAHm2980=")</f>
        <v>#VALUE!</v>
      </c>
      <c r="GY204" t="e">
        <f>AND(Bills!I865,"AAAAAHm2984=")</f>
        <v>#VALUE!</v>
      </c>
      <c r="GZ204" t="e">
        <f>AND(Bills!J865,"AAAAAHm2988=")</f>
        <v>#VALUE!</v>
      </c>
      <c r="HA204" t="e">
        <f>AND(Bills!K865,"AAAAAHm299A=")</f>
        <v>#VALUE!</v>
      </c>
      <c r="HB204" t="e">
        <f>AND(Bills!L865,"AAAAAHm299E=")</f>
        <v>#VALUE!</v>
      </c>
      <c r="HC204" t="e">
        <f>AND(Bills!#REF!,"AAAAAHm299I=")</f>
        <v>#REF!</v>
      </c>
      <c r="HD204" t="e">
        <f>AND(Bills!M865,"AAAAAHm299M=")</f>
        <v>#VALUE!</v>
      </c>
      <c r="HE204" t="e">
        <f>AND(Bills!N865,"AAAAAHm299Q=")</f>
        <v>#VALUE!</v>
      </c>
      <c r="HF204" t="e">
        <f>AND(Bills!O865,"AAAAAHm299U=")</f>
        <v>#VALUE!</v>
      </c>
      <c r="HG204" t="e">
        <f>AND(Bills!P865,"AAAAAHm299Y=")</f>
        <v>#VALUE!</v>
      </c>
      <c r="HH204" t="e">
        <f>AND(Bills!Q865,"AAAAAHm299c=")</f>
        <v>#VALUE!</v>
      </c>
      <c r="HI204" t="e">
        <f>AND(Bills!R865,"AAAAAHm299g=")</f>
        <v>#VALUE!</v>
      </c>
      <c r="HJ204" t="e">
        <f>AND(Bills!S865,"AAAAAHm299k=")</f>
        <v>#VALUE!</v>
      </c>
      <c r="HK204" t="e">
        <f>AND(Bills!T865,"AAAAAHm299o=")</f>
        <v>#VALUE!</v>
      </c>
      <c r="HL204" t="e">
        <f>AND(Bills!#REF!,"AAAAAHm299s=")</f>
        <v>#REF!</v>
      </c>
      <c r="HM204" t="e">
        <f>AND(Bills!U865,"AAAAAHm299w=")</f>
        <v>#VALUE!</v>
      </c>
      <c r="HN204" t="e">
        <f>AND(Bills!V865,"AAAAAHm2990=")</f>
        <v>#VALUE!</v>
      </c>
      <c r="HO204" t="e">
        <f>AND(Bills!W865,"AAAAAHm2994=")</f>
        <v>#VALUE!</v>
      </c>
      <c r="HP204" t="e">
        <f>AND(Bills!#REF!,"AAAAAHm2998=")</f>
        <v>#REF!</v>
      </c>
      <c r="HQ204" t="e">
        <f>AND(Bills!#REF!,"AAAAAHm29+A=")</f>
        <v>#REF!</v>
      </c>
      <c r="HR204" t="e">
        <f>AND(Bills!Y865,"AAAAAHm29+E=")</f>
        <v>#VALUE!</v>
      </c>
      <c r="HS204" t="e">
        <f>AND(Bills!Z865,"AAAAAHm29+I=")</f>
        <v>#VALUE!</v>
      </c>
      <c r="HT204" t="e">
        <f>AND(Bills!#REF!,"AAAAAHm29+M=")</f>
        <v>#REF!</v>
      </c>
      <c r="HU204" t="e">
        <f>AND(Bills!#REF!,"AAAAAHm29+Q=")</f>
        <v>#REF!</v>
      </c>
      <c r="HV204" t="e">
        <f>AND(Bills!#REF!,"AAAAAHm29+U=")</f>
        <v>#REF!</v>
      </c>
      <c r="HW204" t="e">
        <f>AND(Bills!#REF!,"AAAAAHm29+Y=")</f>
        <v>#REF!</v>
      </c>
      <c r="HX204" t="e">
        <f>AND(Bills!#REF!,"AAAAAHm29+c=")</f>
        <v>#REF!</v>
      </c>
      <c r="HY204" t="e">
        <f>AND(Bills!#REF!,"AAAAAHm29+g=")</f>
        <v>#REF!</v>
      </c>
      <c r="HZ204" t="e">
        <f>AND(Bills!#REF!,"AAAAAHm29+k=")</f>
        <v>#REF!</v>
      </c>
      <c r="IA204" t="e">
        <f>AND(Bills!#REF!,"AAAAAHm29+o=")</f>
        <v>#REF!</v>
      </c>
      <c r="IB204" t="e">
        <f>AND(Bills!#REF!,"AAAAAHm29+s=")</f>
        <v>#REF!</v>
      </c>
      <c r="IC204" t="e">
        <f>AND(Bills!AA865,"AAAAAHm29+w=")</f>
        <v>#VALUE!</v>
      </c>
      <c r="ID204" t="e">
        <f>AND(Bills!AB865,"AAAAAHm29+0=")</f>
        <v>#VALUE!</v>
      </c>
      <c r="IE204" t="e">
        <f>AND(Bills!#REF!,"AAAAAHm29+4=")</f>
        <v>#REF!</v>
      </c>
      <c r="IF204" t="e">
        <f>AND(Bills!#REF!,"AAAAAHm29+8=")</f>
        <v>#REF!</v>
      </c>
      <c r="IG204" t="e">
        <f>AND(Bills!#REF!,"AAAAAHm29/A=")</f>
        <v>#REF!</v>
      </c>
      <c r="IH204" t="e">
        <f>AND(Bills!AC865,"AAAAAHm29/E=")</f>
        <v>#VALUE!</v>
      </c>
      <c r="II204" t="e">
        <f>AND(Bills!AD865,"AAAAAHm29/I=")</f>
        <v>#VALUE!</v>
      </c>
      <c r="IJ204" t="e">
        <f>AND(Bills!AE865,"AAAAAHm29/M=")</f>
        <v>#VALUE!</v>
      </c>
      <c r="IK204">
        <f>IF(Bills!866:866,"AAAAAHm29/Q=",0)</f>
        <v>0</v>
      </c>
      <c r="IL204" t="e">
        <f>AND(Bills!B866,"AAAAAHm29/U=")</f>
        <v>#VALUE!</v>
      </c>
      <c r="IM204" t="e">
        <f>AND(Bills!#REF!,"AAAAAHm29/Y=")</f>
        <v>#REF!</v>
      </c>
      <c r="IN204" t="e">
        <f>AND(Bills!C866,"AAAAAHm29/c=")</f>
        <v>#VALUE!</v>
      </c>
      <c r="IO204" t="e">
        <f>AND(Bills!D866,"AAAAAHm29/g=")</f>
        <v>#VALUE!</v>
      </c>
      <c r="IP204" t="e">
        <f>AND(Bills!E866,"AAAAAHm29/k=")</f>
        <v>#VALUE!</v>
      </c>
      <c r="IQ204" t="e">
        <f>AND(Bills!#REF!,"AAAAAHm29/o=")</f>
        <v>#REF!</v>
      </c>
      <c r="IR204" t="e">
        <f>AND(Bills!#REF!,"AAAAAHm29/s=")</f>
        <v>#REF!</v>
      </c>
      <c r="IS204" t="e">
        <f>AND(Bills!#REF!,"AAAAAHm29/w=")</f>
        <v>#REF!</v>
      </c>
      <c r="IT204" t="e">
        <f>AND(Bills!F866,"AAAAAHm29/0=")</f>
        <v>#VALUE!</v>
      </c>
      <c r="IU204" t="e">
        <f>AND(Bills!#REF!,"AAAAAHm29/4=")</f>
        <v>#REF!</v>
      </c>
      <c r="IV204" t="e">
        <f>AND(Bills!G866,"AAAAAHm29/8=")</f>
        <v>#VALUE!</v>
      </c>
    </row>
    <row r="205" spans="1:256" x14ac:dyDescent="0.25">
      <c r="A205" t="e">
        <f>AND(Bills!H866,"AAAAAFdj7wA=")</f>
        <v>#VALUE!</v>
      </c>
      <c r="B205" t="e">
        <f>AND(Bills!I866,"AAAAAFdj7wE=")</f>
        <v>#VALUE!</v>
      </c>
      <c r="C205" t="e">
        <f>AND(Bills!J866,"AAAAAFdj7wI=")</f>
        <v>#VALUE!</v>
      </c>
      <c r="D205" t="e">
        <f>AND(Bills!K866,"AAAAAFdj7wM=")</f>
        <v>#VALUE!</v>
      </c>
      <c r="E205" t="e">
        <f>AND(Bills!L866,"AAAAAFdj7wQ=")</f>
        <v>#VALUE!</v>
      </c>
      <c r="F205" t="e">
        <f>AND(Bills!#REF!,"AAAAAFdj7wU=")</f>
        <v>#REF!</v>
      </c>
      <c r="G205" t="e">
        <f>AND(Bills!M866,"AAAAAFdj7wY=")</f>
        <v>#VALUE!</v>
      </c>
      <c r="H205" t="e">
        <f>AND(Bills!N866,"AAAAAFdj7wc=")</f>
        <v>#VALUE!</v>
      </c>
      <c r="I205" t="e">
        <f>AND(Bills!O866,"AAAAAFdj7wg=")</f>
        <v>#VALUE!</v>
      </c>
      <c r="J205" t="e">
        <f>AND(Bills!P866,"AAAAAFdj7wk=")</f>
        <v>#VALUE!</v>
      </c>
      <c r="K205" t="e">
        <f>AND(Bills!Q866,"AAAAAFdj7wo=")</f>
        <v>#VALUE!</v>
      </c>
      <c r="L205" t="e">
        <f>AND(Bills!R866,"AAAAAFdj7ws=")</f>
        <v>#VALUE!</v>
      </c>
      <c r="M205" t="e">
        <f>AND(Bills!S866,"AAAAAFdj7ww=")</f>
        <v>#VALUE!</v>
      </c>
      <c r="N205" t="e">
        <f>AND(Bills!T866,"AAAAAFdj7w0=")</f>
        <v>#VALUE!</v>
      </c>
      <c r="O205" t="e">
        <f>AND(Bills!#REF!,"AAAAAFdj7w4=")</f>
        <v>#REF!</v>
      </c>
      <c r="P205" t="e">
        <f>AND(Bills!U866,"AAAAAFdj7w8=")</f>
        <v>#VALUE!</v>
      </c>
      <c r="Q205" t="e">
        <f>AND(Bills!V866,"AAAAAFdj7xA=")</f>
        <v>#VALUE!</v>
      </c>
      <c r="R205" t="e">
        <f>AND(Bills!W866,"AAAAAFdj7xE=")</f>
        <v>#VALUE!</v>
      </c>
      <c r="S205" t="e">
        <f>AND(Bills!#REF!,"AAAAAFdj7xI=")</f>
        <v>#REF!</v>
      </c>
      <c r="T205" t="e">
        <f>AND(Bills!#REF!,"AAAAAFdj7xM=")</f>
        <v>#REF!</v>
      </c>
      <c r="U205" t="e">
        <f>AND(Bills!Y866,"AAAAAFdj7xQ=")</f>
        <v>#VALUE!</v>
      </c>
      <c r="V205" t="e">
        <f>AND(Bills!Z866,"AAAAAFdj7xU=")</f>
        <v>#VALUE!</v>
      </c>
      <c r="W205" t="e">
        <f>AND(Bills!#REF!,"AAAAAFdj7xY=")</f>
        <v>#REF!</v>
      </c>
      <c r="X205" t="e">
        <f>AND(Bills!#REF!,"AAAAAFdj7xc=")</f>
        <v>#REF!</v>
      </c>
      <c r="Y205" t="e">
        <f>AND(Bills!#REF!,"AAAAAFdj7xg=")</f>
        <v>#REF!</v>
      </c>
      <c r="Z205" t="e">
        <f>AND(Bills!#REF!,"AAAAAFdj7xk=")</f>
        <v>#REF!</v>
      </c>
      <c r="AA205" t="e">
        <f>AND(Bills!#REF!,"AAAAAFdj7xo=")</f>
        <v>#REF!</v>
      </c>
      <c r="AB205" t="e">
        <f>AND(Bills!#REF!,"AAAAAFdj7xs=")</f>
        <v>#REF!</v>
      </c>
      <c r="AC205" t="e">
        <f>AND(Bills!#REF!,"AAAAAFdj7xw=")</f>
        <v>#REF!</v>
      </c>
      <c r="AD205" t="e">
        <f>AND(Bills!#REF!,"AAAAAFdj7x0=")</f>
        <v>#REF!</v>
      </c>
      <c r="AE205" t="e">
        <f>AND(Bills!#REF!,"AAAAAFdj7x4=")</f>
        <v>#REF!</v>
      </c>
      <c r="AF205" t="e">
        <f>AND(Bills!AA866,"AAAAAFdj7x8=")</f>
        <v>#VALUE!</v>
      </c>
      <c r="AG205" t="e">
        <f>AND(Bills!AB866,"AAAAAFdj7yA=")</f>
        <v>#VALUE!</v>
      </c>
      <c r="AH205" t="e">
        <f>AND(Bills!#REF!,"AAAAAFdj7yE=")</f>
        <v>#REF!</v>
      </c>
      <c r="AI205" t="e">
        <f>AND(Bills!#REF!,"AAAAAFdj7yI=")</f>
        <v>#REF!</v>
      </c>
      <c r="AJ205" t="e">
        <f>AND(Bills!#REF!,"AAAAAFdj7yM=")</f>
        <v>#REF!</v>
      </c>
      <c r="AK205" t="e">
        <f>AND(Bills!AC866,"AAAAAFdj7yQ=")</f>
        <v>#VALUE!</v>
      </c>
      <c r="AL205" t="e">
        <f>AND(Bills!AD866,"AAAAAFdj7yU=")</f>
        <v>#VALUE!</v>
      </c>
      <c r="AM205" t="e">
        <f>AND(Bills!AE866,"AAAAAFdj7yY=")</f>
        <v>#VALUE!</v>
      </c>
      <c r="AN205">
        <f>IF(Bills!867:867,"AAAAAFdj7yc=",0)</f>
        <v>0</v>
      </c>
      <c r="AO205" t="e">
        <f>AND(Bills!B867,"AAAAAFdj7yg=")</f>
        <v>#VALUE!</v>
      </c>
      <c r="AP205" t="e">
        <f>AND(Bills!#REF!,"AAAAAFdj7yk=")</f>
        <v>#REF!</v>
      </c>
      <c r="AQ205" t="e">
        <f>AND(Bills!C867,"AAAAAFdj7yo=")</f>
        <v>#VALUE!</v>
      </c>
      <c r="AR205" t="e">
        <f>AND(Bills!D867,"AAAAAFdj7ys=")</f>
        <v>#VALUE!</v>
      </c>
      <c r="AS205" t="e">
        <f>AND(Bills!E867,"AAAAAFdj7yw=")</f>
        <v>#VALUE!</v>
      </c>
      <c r="AT205" t="e">
        <f>AND(Bills!#REF!,"AAAAAFdj7y0=")</f>
        <v>#REF!</v>
      </c>
      <c r="AU205" t="e">
        <f>AND(Bills!#REF!,"AAAAAFdj7y4=")</f>
        <v>#REF!</v>
      </c>
      <c r="AV205" t="e">
        <f>AND(Bills!#REF!,"AAAAAFdj7y8=")</f>
        <v>#REF!</v>
      </c>
      <c r="AW205" t="e">
        <f>AND(Bills!F867,"AAAAAFdj7zA=")</f>
        <v>#VALUE!</v>
      </c>
      <c r="AX205" t="e">
        <f>AND(Bills!#REF!,"AAAAAFdj7zE=")</f>
        <v>#REF!</v>
      </c>
      <c r="AY205" t="e">
        <f>AND(Bills!G867,"AAAAAFdj7zI=")</f>
        <v>#VALUE!</v>
      </c>
      <c r="AZ205" t="e">
        <f>AND(Bills!H867,"AAAAAFdj7zM=")</f>
        <v>#VALUE!</v>
      </c>
      <c r="BA205" t="e">
        <f>AND(Bills!I867,"AAAAAFdj7zQ=")</f>
        <v>#VALUE!</v>
      </c>
      <c r="BB205" t="e">
        <f>AND(Bills!J867,"AAAAAFdj7zU=")</f>
        <v>#VALUE!</v>
      </c>
      <c r="BC205" t="e">
        <f>AND(Bills!K867,"AAAAAFdj7zY=")</f>
        <v>#VALUE!</v>
      </c>
      <c r="BD205" t="e">
        <f>AND(Bills!L867,"AAAAAFdj7zc=")</f>
        <v>#VALUE!</v>
      </c>
      <c r="BE205" t="e">
        <f>AND(Bills!#REF!,"AAAAAFdj7zg=")</f>
        <v>#REF!</v>
      </c>
      <c r="BF205" t="e">
        <f>AND(Bills!M867,"AAAAAFdj7zk=")</f>
        <v>#VALUE!</v>
      </c>
      <c r="BG205" t="e">
        <f>AND(Bills!N867,"AAAAAFdj7zo=")</f>
        <v>#VALUE!</v>
      </c>
      <c r="BH205" t="e">
        <f>AND(Bills!O867,"AAAAAFdj7zs=")</f>
        <v>#VALUE!</v>
      </c>
      <c r="BI205" t="e">
        <f>AND(Bills!P867,"AAAAAFdj7zw=")</f>
        <v>#VALUE!</v>
      </c>
      <c r="BJ205" t="e">
        <f>AND(Bills!Q867,"AAAAAFdj7z0=")</f>
        <v>#VALUE!</v>
      </c>
      <c r="BK205" t="e">
        <f>AND(Bills!R867,"AAAAAFdj7z4=")</f>
        <v>#VALUE!</v>
      </c>
      <c r="BL205" t="e">
        <f>AND(Bills!S867,"AAAAAFdj7z8=")</f>
        <v>#VALUE!</v>
      </c>
      <c r="BM205" t="e">
        <f>AND(Bills!T867,"AAAAAFdj70A=")</f>
        <v>#VALUE!</v>
      </c>
      <c r="BN205" t="e">
        <f>AND(Bills!#REF!,"AAAAAFdj70E=")</f>
        <v>#REF!</v>
      </c>
      <c r="BO205" t="e">
        <f>AND(Bills!U867,"AAAAAFdj70I=")</f>
        <v>#VALUE!</v>
      </c>
      <c r="BP205" t="e">
        <f>AND(Bills!V867,"AAAAAFdj70M=")</f>
        <v>#VALUE!</v>
      </c>
      <c r="BQ205" t="e">
        <f>AND(Bills!W867,"AAAAAFdj70Q=")</f>
        <v>#VALUE!</v>
      </c>
      <c r="BR205" t="e">
        <f>AND(Bills!#REF!,"AAAAAFdj70U=")</f>
        <v>#REF!</v>
      </c>
      <c r="BS205" t="e">
        <f>AND(Bills!#REF!,"AAAAAFdj70Y=")</f>
        <v>#REF!</v>
      </c>
      <c r="BT205" t="e">
        <f>AND(Bills!Y867,"AAAAAFdj70c=")</f>
        <v>#VALUE!</v>
      </c>
      <c r="BU205" t="e">
        <f>AND(Bills!Z867,"AAAAAFdj70g=")</f>
        <v>#VALUE!</v>
      </c>
      <c r="BV205" t="e">
        <f>AND(Bills!#REF!,"AAAAAFdj70k=")</f>
        <v>#REF!</v>
      </c>
      <c r="BW205" t="e">
        <f>AND(Bills!#REF!,"AAAAAFdj70o=")</f>
        <v>#REF!</v>
      </c>
      <c r="BX205" t="e">
        <f>AND(Bills!#REF!,"AAAAAFdj70s=")</f>
        <v>#REF!</v>
      </c>
      <c r="BY205" t="e">
        <f>AND(Bills!#REF!,"AAAAAFdj70w=")</f>
        <v>#REF!</v>
      </c>
      <c r="BZ205" t="e">
        <f>AND(Bills!#REF!,"AAAAAFdj700=")</f>
        <v>#REF!</v>
      </c>
      <c r="CA205" t="e">
        <f>AND(Bills!#REF!,"AAAAAFdj704=")</f>
        <v>#REF!</v>
      </c>
      <c r="CB205" t="e">
        <f>AND(Bills!#REF!,"AAAAAFdj708=")</f>
        <v>#REF!</v>
      </c>
      <c r="CC205" t="e">
        <f>AND(Bills!#REF!,"AAAAAFdj71A=")</f>
        <v>#REF!</v>
      </c>
      <c r="CD205" t="e">
        <f>AND(Bills!#REF!,"AAAAAFdj71E=")</f>
        <v>#REF!</v>
      </c>
      <c r="CE205" t="e">
        <f>AND(Bills!AA867,"AAAAAFdj71I=")</f>
        <v>#VALUE!</v>
      </c>
      <c r="CF205" t="e">
        <f>AND(Bills!AB867,"AAAAAFdj71M=")</f>
        <v>#VALUE!</v>
      </c>
      <c r="CG205" t="e">
        <f>AND(Bills!#REF!,"AAAAAFdj71Q=")</f>
        <v>#REF!</v>
      </c>
      <c r="CH205" t="e">
        <f>AND(Bills!#REF!,"AAAAAFdj71U=")</f>
        <v>#REF!</v>
      </c>
      <c r="CI205" t="e">
        <f>AND(Bills!#REF!,"AAAAAFdj71Y=")</f>
        <v>#REF!</v>
      </c>
      <c r="CJ205" t="e">
        <f>AND(Bills!AC867,"AAAAAFdj71c=")</f>
        <v>#VALUE!</v>
      </c>
      <c r="CK205" t="e">
        <f>AND(Bills!AD867,"AAAAAFdj71g=")</f>
        <v>#VALUE!</v>
      </c>
      <c r="CL205" t="e">
        <f>AND(Bills!AE867,"AAAAAFdj71k=")</f>
        <v>#VALUE!</v>
      </c>
      <c r="CM205">
        <f>IF(Bills!868:868,"AAAAAFdj71o=",0)</f>
        <v>0</v>
      </c>
      <c r="CN205" t="e">
        <f>AND(Bills!B868,"AAAAAFdj71s=")</f>
        <v>#VALUE!</v>
      </c>
      <c r="CO205" t="e">
        <f>AND(Bills!#REF!,"AAAAAFdj71w=")</f>
        <v>#REF!</v>
      </c>
      <c r="CP205" t="e">
        <f>AND(Bills!C868,"AAAAAFdj710=")</f>
        <v>#VALUE!</v>
      </c>
      <c r="CQ205" t="e">
        <f>AND(Bills!D868,"AAAAAFdj714=")</f>
        <v>#VALUE!</v>
      </c>
      <c r="CR205" t="e">
        <f>AND(Bills!E868,"AAAAAFdj718=")</f>
        <v>#VALUE!</v>
      </c>
      <c r="CS205" t="e">
        <f>AND(Bills!#REF!,"AAAAAFdj72A=")</f>
        <v>#REF!</v>
      </c>
      <c r="CT205" t="e">
        <f>AND(Bills!#REF!,"AAAAAFdj72E=")</f>
        <v>#REF!</v>
      </c>
      <c r="CU205" t="e">
        <f>AND(Bills!#REF!,"AAAAAFdj72I=")</f>
        <v>#REF!</v>
      </c>
      <c r="CV205" t="e">
        <f>AND(Bills!F868,"AAAAAFdj72M=")</f>
        <v>#VALUE!</v>
      </c>
      <c r="CW205" t="e">
        <f>AND(Bills!#REF!,"AAAAAFdj72Q=")</f>
        <v>#REF!</v>
      </c>
      <c r="CX205" t="e">
        <f>AND(Bills!G868,"AAAAAFdj72U=")</f>
        <v>#VALUE!</v>
      </c>
      <c r="CY205" t="e">
        <f>AND(Bills!H868,"AAAAAFdj72Y=")</f>
        <v>#VALUE!</v>
      </c>
      <c r="CZ205" t="e">
        <f>AND(Bills!I868,"AAAAAFdj72c=")</f>
        <v>#VALUE!</v>
      </c>
      <c r="DA205" t="e">
        <f>AND(Bills!J868,"AAAAAFdj72g=")</f>
        <v>#VALUE!</v>
      </c>
      <c r="DB205" t="e">
        <f>AND(Bills!K868,"AAAAAFdj72k=")</f>
        <v>#VALUE!</v>
      </c>
      <c r="DC205" t="e">
        <f>AND(Bills!L868,"AAAAAFdj72o=")</f>
        <v>#VALUE!</v>
      </c>
      <c r="DD205" t="e">
        <f>AND(Bills!#REF!,"AAAAAFdj72s=")</f>
        <v>#REF!</v>
      </c>
      <c r="DE205" t="e">
        <f>AND(Bills!M868,"AAAAAFdj72w=")</f>
        <v>#VALUE!</v>
      </c>
      <c r="DF205" t="e">
        <f>AND(Bills!N868,"AAAAAFdj720=")</f>
        <v>#VALUE!</v>
      </c>
      <c r="DG205" t="e">
        <f>AND(Bills!O868,"AAAAAFdj724=")</f>
        <v>#VALUE!</v>
      </c>
      <c r="DH205" t="e">
        <f>AND(Bills!P868,"AAAAAFdj728=")</f>
        <v>#VALUE!</v>
      </c>
      <c r="DI205" t="e">
        <f>AND(Bills!Q868,"AAAAAFdj73A=")</f>
        <v>#VALUE!</v>
      </c>
      <c r="DJ205" t="e">
        <f>AND(Bills!R868,"AAAAAFdj73E=")</f>
        <v>#VALUE!</v>
      </c>
      <c r="DK205" t="e">
        <f>AND(Bills!S868,"AAAAAFdj73I=")</f>
        <v>#VALUE!</v>
      </c>
      <c r="DL205" t="e">
        <f>AND(Bills!T868,"AAAAAFdj73M=")</f>
        <v>#VALUE!</v>
      </c>
      <c r="DM205" t="e">
        <f>AND(Bills!#REF!,"AAAAAFdj73Q=")</f>
        <v>#REF!</v>
      </c>
      <c r="DN205" t="e">
        <f>AND(Bills!U868,"AAAAAFdj73U=")</f>
        <v>#VALUE!</v>
      </c>
      <c r="DO205" t="e">
        <f>AND(Bills!V868,"AAAAAFdj73Y=")</f>
        <v>#VALUE!</v>
      </c>
      <c r="DP205" t="e">
        <f>AND(Bills!W868,"AAAAAFdj73c=")</f>
        <v>#VALUE!</v>
      </c>
      <c r="DQ205" t="e">
        <f>AND(Bills!#REF!,"AAAAAFdj73g=")</f>
        <v>#REF!</v>
      </c>
      <c r="DR205" t="e">
        <f>AND(Bills!#REF!,"AAAAAFdj73k=")</f>
        <v>#REF!</v>
      </c>
      <c r="DS205" t="e">
        <f>AND(Bills!Y868,"AAAAAFdj73o=")</f>
        <v>#VALUE!</v>
      </c>
      <c r="DT205" t="e">
        <f>AND(Bills!Z868,"AAAAAFdj73s=")</f>
        <v>#VALUE!</v>
      </c>
      <c r="DU205" t="e">
        <f>AND(Bills!#REF!,"AAAAAFdj73w=")</f>
        <v>#REF!</v>
      </c>
      <c r="DV205" t="e">
        <f>AND(Bills!#REF!,"AAAAAFdj730=")</f>
        <v>#REF!</v>
      </c>
      <c r="DW205" t="e">
        <f>AND(Bills!#REF!,"AAAAAFdj734=")</f>
        <v>#REF!</v>
      </c>
      <c r="DX205" t="e">
        <f>AND(Bills!#REF!,"AAAAAFdj738=")</f>
        <v>#REF!</v>
      </c>
      <c r="DY205" t="e">
        <f>AND(Bills!#REF!,"AAAAAFdj74A=")</f>
        <v>#REF!</v>
      </c>
      <c r="DZ205" t="e">
        <f>AND(Bills!#REF!,"AAAAAFdj74E=")</f>
        <v>#REF!</v>
      </c>
      <c r="EA205" t="e">
        <f>AND(Bills!#REF!,"AAAAAFdj74I=")</f>
        <v>#REF!</v>
      </c>
      <c r="EB205" t="e">
        <f>AND(Bills!#REF!,"AAAAAFdj74M=")</f>
        <v>#REF!</v>
      </c>
      <c r="EC205" t="e">
        <f>AND(Bills!#REF!,"AAAAAFdj74Q=")</f>
        <v>#REF!</v>
      </c>
      <c r="ED205" t="e">
        <f>AND(Bills!AA868,"AAAAAFdj74U=")</f>
        <v>#VALUE!</v>
      </c>
      <c r="EE205" t="e">
        <f>AND(Bills!AB868,"AAAAAFdj74Y=")</f>
        <v>#VALUE!</v>
      </c>
      <c r="EF205" t="e">
        <f>AND(Bills!#REF!,"AAAAAFdj74c=")</f>
        <v>#REF!</v>
      </c>
      <c r="EG205" t="e">
        <f>AND(Bills!#REF!,"AAAAAFdj74g=")</f>
        <v>#REF!</v>
      </c>
      <c r="EH205" t="e">
        <f>AND(Bills!#REF!,"AAAAAFdj74k=")</f>
        <v>#REF!</v>
      </c>
      <c r="EI205" t="e">
        <f>AND(Bills!AC868,"AAAAAFdj74o=")</f>
        <v>#VALUE!</v>
      </c>
      <c r="EJ205" t="e">
        <f>AND(Bills!AD868,"AAAAAFdj74s=")</f>
        <v>#VALUE!</v>
      </c>
      <c r="EK205" t="e">
        <f>AND(Bills!AE868,"AAAAAFdj74w=")</f>
        <v>#VALUE!</v>
      </c>
      <c r="EL205">
        <f>IF(Bills!869:869,"AAAAAFdj740=",0)</f>
        <v>0</v>
      </c>
      <c r="EM205" t="e">
        <f>AND(Bills!B869,"AAAAAFdj744=")</f>
        <v>#VALUE!</v>
      </c>
      <c r="EN205" t="e">
        <f>AND(Bills!#REF!,"AAAAAFdj748=")</f>
        <v>#REF!</v>
      </c>
      <c r="EO205" t="e">
        <f>AND(Bills!C869,"AAAAAFdj75A=")</f>
        <v>#VALUE!</v>
      </c>
      <c r="EP205" t="e">
        <f>AND(Bills!D869,"AAAAAFdj75E=")</f>
        <v>#VALUE!</v>
      </c>
      <c r="EQ205" t="e">
        <f>AND(Bills!E869,"AAAAAFdj75I=")</f>
        <v>#VALUE!</v>
      </c>
      <c r="ER205" t="e">
        <f>AND(Bills!#REF!,"AAAAAFdj75M=")</f>
        <v>#REF!</v>
      </c>
      <c r="ES205" t="e">
        <f>AND(Bills!#REF!,"AAAAAFdj75Q=")</f>
        <v>#REF!</v>
      </c>
      <c r="ET205" t="e">
        <f>AND(Bills!#REF!,"AAAAAFdj75U=")</f>
        <v>#REF!</v>
      </c>
      <c r="EU205" t="e">
        <f>AND(Bills!F869,"AAAAAFdj75Y=")</f>
        <v>#VALUE!</v>
      </c>
      <c r="EV205" t="e">
        <f>AND(Bills!#REF!,"AAAAAFdj75c=")</f>
        <v>#REF!</v>
      </c>
      <c r="EW205" t="e">
        <f>AND(Bills!G869,"AAAAAFdj75g=")</f>
        <v>#VALUE!</v>
      </c>
      <c r="EX205" t="e">
        <f>AND(Bills!H869,"AAAAAFdj75k=")</f>
        <v>#VALUE!</v>
      </c>
      <c r="EY205" t="e">
        <f>AND(Bills!I869,"AAAAAFdj75o=")</f>
        <v>#VALUE!</v>
      </c>
      <c r="EZ205" t="e">
        <f>AND(Bills!J869,"AAAAAFdj75s=")</f>
        <v>#VALUE!</v>
      </c>
      <c r="FA205" t="e">
        <f>AND(Bills!K869,"AAAAAFdj75w=")</f>
        <v>#VALUE!</v>
      </c>
      <c r="FB205" t="e">
        <f>AND(Bills!L869,"AAAAAFdj750=")</f>
        <v>#VALUE!</v>
      </c>
      <c r="FC205" t="e">
        <f>AND(Bills!#REF!,"AAAAAFdj754=")</f>
        <v>#REF!</v>
      </c>
      <c r="FD205" t="e">
        <f>AND(Bills!M869,"AAAAAFdj758=")</f>
        <v>#VALUE!</v>
      </c>
      <c r="FE205" t="e">
        <f>AND(Bills!N869,"AAAAAFdj76A=")</f>
        <v>#VALUE!</v>
      </c>
      <c r="FF205" t="e">
        <f>AND(Bills!O869,"AAAAAFdj76E=")</f>
        <v>#VALUE!</v>
      </c>
      <c r="FG205" t="e">
        <f>AND(Bills!P869,"AAAAAFdj76I=")</f>
        <v>#VALUE!</v>
      </c>
      <c r="FH205" t="e">
        <f>AND(Bills!Q869,"AAAAAFdj76M=")</f>
        <v>#VALUE!</v>
      </c>
      <c r="FI205" t="e">
        <f>AND(Bills!R869,"AAAAAFdj76Q=")</f>
        <v>#VALUE!</v>
      </c>
      <c r="FJ205" t="e">
        <f>AND(Bills!S869,"AAAAAFdj76U=")</f>
        <v>#VALUE!</v>
      </c>
      <c r="FK205" t="e">
        <f>AND(Bills!T869,"AAAAAFdj76Y=")</f>
        <v>#VALUE!</v>
      </c>
      <c r="FL205" t="e">
        <f>AND(Bills!#REF!,"AAAAAFdj76c=")</f>
        <v>#REF!</v>
      </c>
      <c r="FM205" t="e">
        <f>AND(Bills!U869,"AAAAAFdj76g=")</f>
        <v>#VALUE!</v>
      </c>
      <c r="FN205" t="e">
        <f>AND(Bills!V869,"AAAAAFdj76k=")</f>
        <v>#VALUE!</v>
      </c>
      <c r="FO205" t="e">
        <f>AND(Bills!W869,"AAAAAFdj76o=")</f>
        <v>#VALUE!</v>
      </c>
      <c r="FP205" t="e">
        <f>AND(Bills!#REF!,"AAAAAFdj76s=")</f>
        <v>#REF!</v>
      </c>
      <c r="FQ205" t="e">
        <f>AND(Bills!#REF!,"AAAAAFdj76w=")</f>
        <v>#REF!</v>
      </c>
      <c r="FR205" t="e">
        <f>AND(Bills!Y869,"AAAAAFdj760=")</f>
        <v>#VALUE!</v>
      </c>
      <c r="FS205" t="e">
        <f>AND(Bills!Z869,"AAAAAFdj764=")</f>
        <v>#VALUE!</v>
      </c>
      <c r="FT205" t="e">
        <f>AND(Bills!#REF!,"AAAAAFdj768=")</f>
        <v>#REF!</v>
      </c>
      <c r="FU205" t="e">
        <f>AND(Bills!#REF!,"AAAAAFdj77A=")</f>
        <v>#REF!</v>
      </c>
      <c r="FV205" t="e">
        <f>AND(Bills!#REF!,"AAAAAFdj77E=")</f>
        <v>#REF!</v>
      </c>
      <c r="FW205" t="e">
        <f>AND(Bills!#REF!,"AAAAAFdj77I=")</f>
        <v>#REF!</v>
      </c>
      <c r="FX205" t="e">
        <f>AND(Bills!#REF!,"AAAAAFdj77M=")</f>
        <v>#REF!</v>
      </c>
      <c r="FY205" t="e">
        <f>AND(Bills!#REF!,"AAAAAFdj77Q=")</f>
        <v>#REF!</v>
      </c>
      <c r="FZ205" t="e">
        <f>AND(Bills!#REF!,"AAAAAFdj77U=")</f>
        <v>#REF!</v>
      </c>
      <c r="GA205" t="e">
        <f>AND(Bills!#REF!,"AAAAAFdj77Y=")</f>
        <v>#REF!</v>
      </c>
      <c r="GB205" t="e">
        <f>AND(Bills!#REF!,"AAAAAFdj77c=")</f>
        <v>#REF!</v>
      </c>
      <c r="GC205" t="e">
        <f>AND(Bills!AA869,"AAAAAFdj77g=")</f>
        <v>#VALUE!</v>
      </c>
      <c r="GD205" t="e">
        <f>AND(Bills!AB869,"AAAAAFdj77k=")</f>
        <v>#VALUE!</v>
      </c>
      <c r="GE205" t="e">
        <f>AND(Bills!#REF!,"AAAAAFdj77o=")</f>
        <v>#REF!</v>
      </c>
      <c r="GF205" t="e">
        <f>AND(Bills!#REF!,"AAAAAFdj77s=")</f>
        <v>#REF!</v>
      </c>
      <c r="GG205" t="e">
        <f>AND(Bills!#REF!,"AAAAAFdj77w=")</f>
        <v>#REF!</v>
      </c>
      <c r="GH205" t="e">
        <f>AND(Bills!AC869,"AAAAAFdj770=")</f>
        <v>#VALUE!</v>
      </c>
      <c r="GI205" t="e">
        <f>AND(Bills!AD869,"AAAAAFdj774=")</f>
        <v>#VALUE!</v>
      </c>
      <c r="GJ205" t="e">
        <f>AND(Bills!AE869,"AAAAAFdj778=")</f>
        <v>#VALUE!</v>
      </c>
      <c r="GK205">
        <f>IF(Bills!870:870,"AAAAAFdj78A=",0)</f>
        <v>0</v>
      </c>
      <c r="GL205" t="e">
        <f>AND(Bills!B870,"AAAAAFdj78E=")</f>
        <v>#VALUE!</v>
      </c>
      <c r="GM205" t="e">
        <f>AND(Bills!#REF!,"AAAAAFdj78I=")</f>
        <v>#REF!</v>
      </c>
      <c r="GN205" t="e">
        <f>AND(Bills!C870,"AAAAAFdj78M=")</f>
        <v>#VALUE!</v>
      </c>
      <c r="GO205" t="e">
        <f>AND(Bills!D870,"AAAAAFdj78Q=")</f>
        <v>#VALUE!</v>
      </c>
      <c r="GP205" t="e">
        <f>AND(Bills!E870,"AAAAAFdj78U=")</f>
        <v>#VALUE!</v>
      </c>
      <c r="GQ205" t="e">
        <f>AND(Bills!#REF!,"AAAAAFdj78Y=")</f>
        <v>#REF!</v>
      </c>
      <c r="GR205" t="e">
        <f>AND(Bills!#REF!,"AAAAAFdj78c=")</f>
        <v>#REF!</v>
      </c>
      <c r="GS205" t="e">
        <f>AND(Bills!#REF!,"AAAAAFdj78g=")</f>
        <v>#REF!</v>
      </c>
      <c r="GT205" t="e">
        <f>AND(Bills!F870,"AAAAAFdj78k=")</f>
        <v>#VALUE!</v>
      </c>
      <c r="GU205" t="e">
        <f>AND(Bills!#REF!,"AAAAAFdj78o=")</f>
        <v>#REF!</v>
      </c>
      <c r="GV205" t="e">
        <f>AND(Bills!G870,"AAAAAFdj78s=")</f>
        <v>#VALUE!</v>
      </c>
      <c r="GW205" t="e">
        <f>AND(Bills!H870,"AAAAAFdj78w=")</f>
        <v>#VALUE!</v>
      </c>
      <c r="GX205" t="e">
        <f>AND(Bills!I870,"AAAAAFdj780=")</f>
        <v>#VALUE!</v>
      </c>
      <c r="GY205" t="e">
        <f>AND(Bills!J870,"AAAAAFdj784=")</f>
        <v>#VALUE!</v>
      </c>
      <c r="GZ205" t="e">
        <f>AND(Bills!K870,"AAAAAFdj788=")</f>
        <v>#VALUE!</v>
      </c>
      <c r="HA205" t="e">
        <f>AND(Bills!L870,"AAAAAFdj79A=")</f>
        <v>#VALUE!</v>
      </c>
      <c r="HB205" t="e">
        <f>AND(Bills!#REF!,"AAAAAFdj79E=")</f>
        <v>#REF!</v>
      </c>
      <c r="HC205" t="e">
        <f>AND(Bills!M870,"AAAAAFdj79I=")</f>
        <v>#VALUE!</v>
      </c>
      <c r="HD205" t="e">
        <f>AND(Bills!N870,"AAAAAFdj79M=")</f>
        <v>#VALUE!</v>
      </c>
      <c r="HE205" t="e">
        <f>AND(Bills!O870,"AAAAAFdj79Q=")</f>
        <v>#VALUE!</v>
      </c>
      <c r="HF205" t="e">
        <f>AND(Bills!P870,"AAAAAFdj79U=")</f>
        <v>#VALUE!</v>
      </c>
      <c r="HG205" t="e">
        <f>AND(Bills!Q870,"AAAAAFdj79Y=")</f>
        <v>#VALUE!</v>
      </c>
      <c r="HH205" t="e">
        <f>AND(Bills!R870,"AAAAAFdj79c=")</f>
        <v>#VALUE!</v>
      </c>
      <c r="HI205" t="e">
        <f>AND(Bills!S870,"AAAAAFdj79g=")</f>
        <v>#VALUE!</v>
      </c>
      <c r="HJ205" t="e">
        <f>AND(Bills!T870,"AAAAAFdj79k=")</f>
        <v>#VALUE!</v>
      </c>
      <c r="HK205" t="e">
        <f>AND(Bills!#REF!,"AAAAAFdj79o=")</f>
        <v>#REF!</v>
      </c>
      <c r="HL205" t="e">
        <f>AND(Bills!U870,"AAAAAFdj79s=")</f>
        <v>#VALUE!</v>
      </c>
      <c r="HM205" t="e">
        <f>AND(Bills!V870,"AAAAAFdj79w=")</f>
        <v>#VALUE!</v>
      </c>
      <c r="HN205" t="e">
        <f>AND(Bills!W870,"AAAAAFdj790=")</f>
        <v>#VALUE!</v>
      </c>
      <c r="HO205" t="e">
        <f>AND(Bills!#REF!,"AAAAAFdj794=")</f>
        <v>#REF!</v>
      </c>
      <c r="HP205" t="e">
        <f>AND(Bills!#REF!,"AAAAAFdj798=")</f>
        <v>#REF!</v>
      </c>
      <c r="HQ205" t="e">
        <f>AND(Bills!Y870,"AAAAAFdj7+A=")</f>
        <v>#VALUE!</v>
      </c>
      <c r="HR205" t="e">
        <f>AND(Bills!Z870,"AAAAAFdj7+E=")</f>
        <v>#VALUE!</v>
      </c>
      <c r="HS205" t="e">
        <f>AND(Bills!#REF!,"AAAAAFdj7+I=")</f>
        <v>#REF!</v>
      </c>
      <c r="HT205" t="e">
        <f>AND(Bills!#REF!,"AAAAAFdj7+M=")</f>
        <v>#REF!</v>
      </c>
      <c r="HU205" t="e">
        <f>AND(Bills!#REF!,"AAAAAFdj7+Q=")</f>
        <v>#REF!</v>
      </c>
      <c r="HV205" t="e">
        <f>AND(Bills!#REF!,"AAAAAFdj7+U=")</f>
        <v>#REF!</v>
      </c>
      <c r="HW205" t="e">
        <f>AND(Bills!#REF!,"AAAAAFdj7+Y=")</f>
        <v>#REF!</v>
      </c>
      <c r="HX205" t="e">
        <f>AND(Bills!#REF!,"AAAAAFdj7+c=")</f>
        <v>#REF!</v>
      </c>
      <c r="HY205" t="e">
        <f>AND(Bills!#REF!,"AAAAAFdj7+g=")</f>
        <v>#REF!</v>
      </c>
      <c r="HZ205" t="e">
        <f>AND(Bills!#REF!,"AAAAAFdj7+k=")</f>
        <v>#REF!</v>
      </c>
      <c r="IA205" t="e">
        <f>AND(Bills!#REF!,"AAAAAFdj7+o=")</f>
        <v>#REF!</v>
      </c>
      <c r="IB205" t="e">
        <f>AND(Bills!AA870,"AAAAAFdj7+s=")</f>
        <v>#VALUE!</v>
      </c>
      <c r="IC205" t="e">
        <f>AND(Bills!AB870,"AAAAAFdj7+w=")</f>
        <v>#VALUE!</v>
      </c>
      <c r="ID205" t="e">
        <f>AND(Bills!#REF!,"AAAAAFdj7+0=")</f>
        <v>#REF!</v>
      </c>
      <c r="IE205" t="e">
        <f>AND(Bills!#REF!,"AAAAAFdj7+4=")</f>
        <v>#REF!</v>
      </c>
      <c r="IF205" t="e">
        <f>AND(Bills!#REF!,"AAAAAFdj7+8=")</f>
        <v>#REF!</v>
      </c>
      <c r="IG205" t="e">
        <f>AND(Bills!AC870,"AAAAAFdj7/A=")</f>
        <v>#VALUE!</v>
      </c>
      <c r="IH205" t="e">
        <f>AND(Bills!AD870,"AAAAAFdj7/E=")</f>
        <v>#VALUE!</v>
      </c>
      <c r="II205" t="e">
        <f>AND(Bills!AE870,"AAAAAFdj7/I=")</f>
        <v>#VALUE!</v>
      </c>
      <c r="IJ205">
        <f>IF(Bills!871:871,"AAAAAFdj7/M=",0)</f>
        <v>0</v>
      </c>
      <c r="IK205" t="e">
        <f>AND(Bills!B871,"AAAAAFdj7/Q=")</f>
        <v>#VALUE!</v>
      </c>
      <c r="IL205" t="e">
        <f>AND(Bills!#REF!,"AAAAAFdj7/U=")</f>
        <v>#REF!</v>
      </c>
      <c r="IM205" t="e">
        <f>AND(Bills!C871,"AAAAAFdj7/Y=")</f>
        <v>#VALUE!</v>
      </c>
      <c r="IN205" t="e">
        <f>AND(Bills!D871,"AAAAAFdj7/c=")</f>
        <v>#VALUE!</v>
      </c>
      <c r="IO205" t="e">
        <f>AND(Bills!E871,"AAAAAFdj7/g=")</f>
        <v>#VALUE!</v>
      </c>
      <c r="IP205" t="e">
        <f>AND(Bills!#REF!,"AAAAAFdj7/k=")</f>
        <v>#REF!</v>
      </c>
      <c r="IQ205" t="e">
        <f>AND(Bills!#REF!,"AAAAAFdj7/o=")</f>
        <v>#REF!</v>
      </c>
      <c r="IR205" t="e">
        <f>AND(Bills!#REF!,"AAAAAFdj7/s=")</f>
        <v>#REF!</v>
      </c>
      <c r="IS205" t="e">
        <f>AND(Bills!F871,"AAAAAFdj7/w=")</f>
        <v>#VALUE!</v>
      </c>
      <c r="IT205" t="e">
        <f>AND(Bills!#REF!,"AAAAAFdj7/0=")</f>
        <v>#REF!</v>
      </c>
      <c r="IU205" t="e">
        <f>AND(Bills!G871,"AAAAAFdj7/4=")</f>
        <v>#VALUE!</v>
      </c>
      <c r="IV205" t="e">
        <f>AND(Bills!H871,"AAAAAFdj7/8=")</f>
        <v>#VALUE!</v>
      </c>
    </row>
    <row r="206" spans="1:256" x14ac:dyDescent="0.25">
      <c r="A206" t="e">
        <f>AND(Bills!I871,"AAAAAB/YewA=")</f>
        <v>#VALUE!</v>
      </c>
      <c r="B206" t="e">
        <f>AND(Bills!J871,"AAAAAB/YewE=")</f>
        <v>#VALUE!</v>
      </c>
      <c r="C206" t="e">
        <f>AND(Bills!K871,"AAAAAB/YewI=")</f>
        <v>#VALUE!</v>
      </c>
      <c r="D206" t="e">
        <f>AND(Bills!L871,"AAAAAB/YewM=")</f>
        <v>#VALUE!</v>
      </c>
      <c r="E206" t="e">
        <f>AND(Bills!#REF!,"AAAAAB/YewQ=")</f>
        <v>#REF!</v>
      </c>
      <c r="F206" t="e">
        <f>AND(Bills!M871,"AAAAAB/YewU=")</f>
        <v>#VALUE!</v>
      </c>
      <c r="G206" t="e">
        <f>AND(Bills!N871,"AAAAAB/YewY=")</f>
        <v>#VALUE!</v>
      </c>
      <c r="H206" t="e">
        <f>AND(Bills!O871,"AAAAAB/Yewc=")</f>
        <v>#VALUE!</v>
      </c>
      <c r="I206" t="e">
        <f>AND(Bills!P871,"AAAAAB/Yewg=")</f>
        <v>#VALUE!</v>
      </c>
      <c r="J206" t="e">
        <f>AND(Bills!Q871,"AAAAAB/Yewk=")</f>
        <v>#VALUE!</v>
      </c>
      <c r="K206" t="e">
        <f>AND(Bills!R871,"AAAAAB/Yewo=")</f>
        <v>#VALUE!</v>
      </c>
      <c r="L206" t="e">
        <f>AND(Bills!S871,"AAAAAB/Yews=")</f>
        <v>#VALUE!</v>
      </c>
      <c r="M206" t="e">
        <f>AND(Bills!T871,"AAAAAB/Yeww=")</f>
        <v>#VALUE!</v>
      </c>
      <c r="N206" t="e">
        <f>AND(Bills!#REF!,"AAAAAB/Yew0=")</f>
        <v>#REF!</v>
      </c>
      <c r="O206" t="e">
        <f>AND(Bills!U871,"AAAAAB/Yew4=")</f>
        <v>#VALUE!</v>
      </c>
      <c r="P206" t="e">
        <f>AND(Bills!V871,"AAAAAB/Yew8=")</f>
        <v>#VALUE!</v>
      </c>
      <c r="Q206" t="e">
        <f>AND(Bills!W871,"AAAAAB/YexA=")</f>
        <v>#VALUE!</v>
      </c>
      <c r="R206" t="e">
        <f>AND(Bills!#REF!,"AAAAAB/YexE=")</f>
        <v>#REF!</v>
      </c>
      <c r="S206" t="e">
        <f>AND(Bills!#REF!,"AAAAAB/YexI=")</f>
        <v>#REF!</v>
      </c>
      <c r="T206" t="e">
        <f>AND(Bills!Y871,"AAAAAB/YexM=")</f>
        <v>#VALUE!</v>
      </c>
      <c r="U206" t="e">
        <f>AND(Bills!Z871,"AAAAAB/YexQ=")</f>
        <v>#VALUE!</v>
      </c>
      <c r="V206" t="e">
        <f>AND(Bills!#REF!,"AAAAAB/YexU=")</f>
        <v>#REF!</v>
      </c>
      <c r="W206" t="e">
        <f>AND(Bills!#REF!,"AAAAAB/YexY=")</f>
        <v>#REF!</v>
      </c>
      <c r="X206" t="e">
        <f>AND(Bills!#REF!,"AAAAAB/Yexc=")</f>
        <v>#REF!</v>
      </c>
      <c r="Y206" t="e">
        <f>AND(Bills!#REF!,"AAAAAB/Yexg=")</f>
        <v>#REF!</v>
      </c>
      <c r="Z206" t="e">
        <f>AND(Bills!#REF!,"AAAAAB/Yexk=")</f>
        <v>#REF!</v>
      </c>
      <c r="AA206" t="e">
        <f>AND(Bills!#REF!,"AAAAAB/Yexo=")</f>
        <v>#REF!</v>
      </c>
      <c r="AB206" t="e">
        <f>AND(Bills!#REF!,"AAAAAB/Yexs=")</f>
        <v>#REF!</v>
      </c>
      <c r="AC206" t="e">
        <f>AND(Bills!#REF!,"AAAAAB/Yexw=")</f>
        <v>#REF!</v>
      </c>
      <c r="AD206" t="e">
        <f>AND(Bills!#REF!,"AAAAAB/Yex0=")</f>
        <v>#REF!</v>
      </c>
      <c r="AE206" t="e">
        <f>AND(Bills!AA871,"AAAAAB/Yex4=")</f>
        <v>#VALUE!</v>
      </c>
      <c r="AF206" t="e">
        <f>AND(Bills!AB871,"AAAAAB/Yex8=")</f>
        <v>#VALUE!</v>
      </c>
      <c r="AG206" t="e">
        <f>AND(Bills!#REF!,"AAAAAB/YeyA=")</f>
        <v>#REF!</v>
      </c>
      <c r="AH206" t="e">
        <f>AND(Bills!#REF!,"AAAAAB/YeyE=")</f>
        <v>#REF!</v>
      </c>
      <c r="AI206" t="e">
        <f>AND(Bills!#REF!,"AAAAAB/YeyI=")</f>
        <v>#REF!</v>
      </c>
      <c r="AJ206" t="e">
        <f>AND(Bills!AC871,"AAAAAB/YeyM=")</f>
        <v>#VALUE!</v>
      </c>
      <c r="AK206" t="e">
        <f>AND(Bills!AD871,"AAAAAB/YeyQ=")</f>
        <v>#VALUE!</v>
      </c>
      <c r="AL206" t="e">
        <f>AND(Bills!AE871,"AAAAAB/YeyU=")</f>
        <v>#VALUE!</v>
      </c>
      <c r="AM206">
        <f>IF(Bills!872:872,"AAAAAB/YeyY=",0)</f>
        <v>0</v>
      </c>
      <c r="AN206" t="e">
        <f>AND(Bills!B872,"AAAAAB/Yeyc=")</f>
        <v>#VALUE!</v>
      </c>
      <c r="AO206" t="e">
        <f>AND(Bills!#REF!,"AAAAAB/Yeyg=")</f>
        <v>#REF!</v>
      </c>
      <c r="AP206" t="e">
        <f>AND(Bills!C872,"AAAAAB/Yeyk=")</f>
        <v>#VALUE!</v>
      </c>
      <c r="AQ206" t="e">
        <f>AND(Bills!D872,"AAAAAB/Yeyo=")</f>
        <v>#VALUE!</v>
      </c>
      <c r="AR206" t="e">
        <f>AND(Bills!E872,"AAAAAB/Yeys=")</f>
        <v>#VALUE!</v>
      </c>
      <c r="AS206" t="e">
        <f>AND(Bills!#REF!,"AAAAAB/Yeyw=")</f>
        <v>#REF!</v>
      </c>
      <c r="AT206" t="e">
        <f>AND(Bills!#REF!,"AAAAAB/Yey0=")</f>
        <v>#REF!</v>
      </c>
      <c r="AU206" t="e">
        <f>AND(Bills!#REF!,"AAAAAB/Yey4=")</f>
        <v>#REF!</v>
      </c>
      <c r="AV206" t="e">
        <f>AND(Bills!F872,"AAAAAB/Yey8=")</f>
        <v>#VALUE!</v>
      </c>
      <c r="AW206" t="e">
        <f>AND(Bills!#REF!,"AAAAAB/YezA=")</f>
        <v>#REF!</v>
      </c>
      <c r="AX206" t="e">
        <f>AND(Bills!G872,"AAAAAB/YezE=")</f>
        <v>#VALUE!</v>
      </c>
      <c r="AY206" t="e">
        <f>AND(Bills!H872,"AAAAAB/YezI=")</f>
        <v>#VALUE!</v>
      </c>
      <c r="AZ206" t="e">
        <f>AND(Bills!I872,"AAAAAB/YezM=")</f>
        <v>#VALUE!</v>
      </c>
      <c r="BA206" t="e">
        <f>AND(Bills!J872,"AAAAAB/YezQ=")</f>
        <v>#VALUE!</v>
      </c>
      <c r="BB206" t="e">
        <f>AND(Bills!K872,"AAAAAB/YezU=")</f>
        <v>#VALUE!</v>
      </c>
      <c r="BC206" t="e">
        <f>AND(Bills!L872,"AAAAAB/YezY=")</f>
        <v>#VALUE!</v>
      </c>
      <c r="BD206" t="e">
        <f>AND(Bills!#REF!,"AAAAAB/Yezc=")</f>
        <v>#REF!</v>
      </c>
      <c r="BE206" t="e">
        <f>AND(Bills!M872,"AAAAAB/Yezg=")</f>
        <v>#VALUE!</v>
      </c>
      <c r="BF206" t="e">
        <f>AND(Bills!N872,"AAAAAB/Yezk=")</f>
        <v>#VALUE!</v>
      </c>
      <c r="BG206" t="e">
        <f>AND(Bills!O872,"AAAAAB/Yezo=")</f>
        <v>#VALUE!</v>
      </c>
      <c r="BH206" t="e">
        <f>AND(Bills!P872,"AAAAAB/Yezs=")</f>
        <v>#VALUE!</v>
      </c>
      <c r="BI206" t="e">
        <f>AND(Bills!Q872,"AAAAAB/Yezw=")</f>
        <v>#VALUE!</v>
      </c>
      <c r="BJ206" t="e">
        <f>AND(Bills!R872,"AAAAAB/Yez0=")</f>
        <v>#VALUE!</v>
      </c>
      <c r="BK206" t="e">
        <f>AND(Bills!S872,"AAAAAB/Yez4=")</f>
        <v>#VALUE!</v>
      </c>
      <c r="BL206" t="e">
        <f>AND(Bills!T872,"AAAAAB/Yez8=")</f>
        <v>#VALUE!</v>
      </c>
      <c r="BM206" t="e">
        <f>AND(Bills!#REF!,"AAAAAB/Ye0A=")</f>
        <v>#REF!</v>
      </c>
      <c r="BN206" t="e">
        <f>AND(Bills!U872,"AAAAAB/Ye0E=")</f>
        <v>#VALUE!</v>
      </c>
      <c r="BO206" t="e">
        <f>AND(Bills!V872,"AAAAAB/Ye0I=")</f>
        <v>#VALUE!</v>
      </c>
      <c r="BP206" t="e">
        <f>AND(Bills!W872,"AAAAAB/Ye0M=")</f>
        <v>#VALUE!</v>
      </c>
      <c r="BQ206" t="e">
        <f>AND(Bills!#REF!,"AAAAAB/Ye0Q=")</f>
        <v>#REF!</v>
      </c>
      <c r="BR206" t="e">
        <f>AND(Bills!#REF!,"AAAAAB/Ye0U=")</f>
        <v>#REF!</v>
      </c>
      <c r="BS206" t="e">
        <f>AND(Bills!Y872,"AAAAAB/Ye0Y=")</f>
        <v>#VALUE!</v>
      </c>
      <c r="BT206" t="e">
        <f>AND(Bills!Z872,"AAAAAB/Ye0c=")</f>
        <v>#VALUE!</v>
      </c>
      <c r="BU206" t="e">
        <f>AND(Bills!#REF!,"AAAAAB/Ye0g=")</f>
        <v>#REF!</v>
      </c>
      <c r="BV206" t="e">
        <f>AND(Bills!#REF!,"AAAAAB/Ye0k=")</f>
        <v>#REF!</v>
      </c>
      <c r="BW206" t="e">
        <f>AND(Bills!#REF!,"AAAAAB/Ye0o=")</f>
        <v>#REF!</v>
      </c>
      <c r="BX206" t="e">
        <f>AND(Bills!#REF!,"AAAAAB/Ye0s=")</f>
        <v>#REF!</v>
      </c>
      <c r="BY206" t="e">
        <f>AND(Bills!#REF!,"AAAAAB/Ye0w=")</f>
        <v>#REF!</v>
      </c>
      <c r="BZ206" t="e">
        <f>AND(Bills!#REF!,"AAAAAB/Ye00=")</f>
        <v>#REF!</v>
      </c>
      <c r="CA206" t="e">
        <f>AND(Bills!#REF!,"AAAAAB/Ye04=")</f>
        <v>#REF!</v>
      </c>
      <c r="CB206" t="e">
        <f>AND(Bills!#REF!,"AAAAAB/Ye08=")</f>
        <v>#REF!</v>
      </c>
      <c r="CC206" t="e">
        <f>AND(Bills!#REF!,"AAAAAB/Ye1A=")</f>
        <v>#REF!</v>
      </c>
      <c r="CD206" t="e">
        <f>AND(Bills!AA872,"AAAAAB/Ye1E=")</f>
        <v>#VALUE!</v>
      </c>
      <c r="CE206" t="e">
        <f>AND(Bills!AB872,"AAAAAB/Ye1I=")</f>
        <v>#VALUE!</v>
      </c>
      <c r="CF206" t="e">
        <f>AND(Bills!#REF!,"AAAAAB/Ye1M=")</f>
        <v>#REF!</v>
      </c>
      <c r="CG206" t="e">
        <f>AND(Bills!#REF!,"AAAAAB/Ye1Q=")</f>
        <v>#REF!</v>
      </c>
      <c r="CH206" t="e">
        <f>AND(Bills!#REF!,"AAAAAB/Ye1U=")</f>
        <v>#REF!</v>
      </c>
      <c r="CI206" t="e">
        <f>AND(Bills!AC872,"AAAAAB/Ye1Y=")</f>
        <v>#VALUE!</v>
      </c>
      <c r="CJ206" t="e">
        <f>AND(Bills!AD872,"AAAAAB/Ye1c=")</f>
        <v>#VALUE!</v>
      </c>
      <c r="CK206" t="e">
        <f>AND(Bills!AE872,"AAAAAB/Ye1g=")</f>
        <v>#VALUE!</v>
      </c>
      <c r="CL206">
        <f>IF(Bills!873:873,"AAAAAB/Ye1k=",0)</f>
        <v>0</v>
      </c>
      <c r="CM206" t="e">
        <f>AND(Bills!B873,"AAAAAB/Ye1o=")</f>
        <v>#VALUE!</v>
      </c>
      <c r="CN206" t="e">
        <f>AND(Bills!#REF!,"AAAAAB/Ye1s=")</f>
        <v>#REF!</v>
      </c>
      <c r="CO206" t="e">
        <f>AND(Bills!C873,"AAAAAB/Ye1w=")</f>
        <v>#VALUE!</v>
      </c>
      <c r="CP206" t="e">
        <f>AND(Bills!D873,"AAAAAB/Ye10=")</f>
        <v>#VALUE!</v>
      </c>
      <c r="CQ206" t="e">
        <f>AND(Bills!E873,"AAAAAB/Ye14=")</f>
        <v>#VALUE!</v>
      </c>
      <c r="CR206" t="e">
        <f>AND(Bills!#REF!,"AAAAAB/Ye18=")</f>
        <v>#REF!</v>
      </c>
      <c r="CS206" t="e">
        <f>AND(Bills!#REF!,"AAAAAB/Ye2A=")</f>
        <v>#REF!</v>
      </c>
      <c r="CT206" t="e">
        <f>AND(Bills!#REF!,"AAAAAB/Ye2E=")</f>
        <v>#REF!</v>
      </c>
      <c r="CU206" t="e">
        <f>AND(Bills!F873,"AAAAAB/Ye2I=")</f>
        <v>#VALUE!</v>
      </c>
      <c r="CV206" t="e">
        <f>AND(Bills!#REF!,"AAAAAB/Ye2M=")</f>
        <v>#REF!</v>
      </c>
      <c r="CW206" t="e">
        <f>AND(Bills!G873,"AAAAAB/Ye2Q=")</f>
        <v>#VALUE!</v>
      </c>
      <c r="CX206" t="e">
        <f>AND(Bills!H873,"AAAAAB/Ye2U=")</f>
        <v>#VALUE!</v>
      </c>
      <c r="CY206" t="e">
        <f>AND(Bills!I873,"AAAAAB/Ye2Y=")</f>
        <v>#VALUE!</v>
      </c>
      <c r="CZ206" t="e">
        <f>AND(Bills!J873,"AAAAAB/Ye2c=")</f>
        <v>#VALUE!</v>
      </c>
      <c r="DA206" t="e">
        <f>AND(Bills!K873,"AAAAAB/Ye2g=")</f>
        <v>#VALUE!</v>
      </c>
      <c r="DB206" t="e">
        <f>AND(Bills!L873,"AAAAAB/Ye2k=")</f>
        <v>#VALUE!</v>
      </c>
      <c r="DC206" t="e">
        <f>AND(Bills!#REF!,"AAAAAB/Ye2o=")</f>
        <v>#REF!</v>
      </c>
      <c r="DD206" t="e">
        <f>AND(Bills!M873,"AAAAAB/Ye2s=")</f>
        <v>#VALUE!</v>
      </c>
      <c r="DE206" t="e">
        <f>AND(Bills!N873,"AAAAAB/Ye2w=")</f>
        <v>#VALUE!</v>
      </c>
      <c r="DF206" t="e">
        <f>AND(Bills!O873,"AAAAAB/Ye20=")</f>
        <v>#VALUE!</v>
      </c>
      <c r="DG206" t="e">
        <f>AND(Bills!P873,"AAAAAB/Ye24=")</f>
        <v>#VALUE!</v>
      </c>
      <c r="DH206" t="e">
        <f>AND(Bills!Q873,"AAAAAB/Ye28=")</f>
        <v>#VALUE!</v>
      </c>
      <c r="DI206" t="e">
        <f>AND(Bills!R873,"AAAAAB/Ye3A=")</f>
        <v>#VALUE!</v>
      </c>
      <c r="DJ206" t="e">
        <f>AND(Bills!S873,"AAAAAB/Ye3E=")</f>
        <v>#VALUE!</v>
      </c>
      <c r="DK206" t="e">
        <f>AND(Bills!T873,"AAAAAB/Ye3I=")</f>
        <v>#VALUE!</v>
      </c>
      <c r="DL206" t="e">
        <f>AND(Bills!#REF!,"AAAAAB/Ye3M=")</f>
        <v>#REF!</v>
      </c>
      <c r="DM206" t="e">
        <f>AND(Bills!U873,"AAAAAB/Ye3Q=")</f>
        <v>#VALUE!</v>
      </c>
      <c r="DN206" t="e">
        <f>AND(Bills!V873,"AAAAAB/Ye3U=")</f>
        <v>#VALUE!</v>
      </c>
      <c r="DO206" t="e">
        <f>AND(Bills!W873,"AAAAAB/Ye3Y=")</f>
        <v>#VALUE!</v>
      </c>
      <c r="DP206" t="e">
        <f>AND(Bills!#REF!,"AAAAAB/Ye3c=")</f>
        <v>#REF!</v>
      </c>
      <c r="DQ206" t="e">
        <f>AND(Bills!#REF!,"AAAAAB/Ye3g=")</f>
        <v>#REF!</v>
      </c>
      <c r="DR206" t="e">
        <f>AND(Bills!Y873,"AAAAAB/Ye3k=")</f>
        <v>#VALUE!</v>
      </c>
      <c r="DS206" t="e">
        <f>AND(Bills!Z873,"AAAAAB/Ye3o=")</f>
        <v>#VALUE!</v>
      </c>
      <c r="DT206" t="e">
        <f>AND(Bills!#REF!,"AAAAAB/Ye3s=")</f>
        <v>#REF!</v>
      </c>
      <c r="DU206" t="e">
        <f>AND(Bills!#REF!,"AAAAAB/Ye3w=")</f>
        <v>#REF!</v>
      </c>
      <c r="DV206" t="e">
        <f>AND(Bills!#REF!,"AAAAAB/Ye30=")</f>
        <v>#REF!</v>
      </c>
      <c r="DW206" t="e">
        <f>AND(Bills!#REF!,"AAAAAB/Ye34=")</f>
        <v>#REF!</v>
      </c>
      <c r="DX206" t="e">
        <f>AND(Bills!#REF!,"AAAAAB/Ye38=")</f>
        <v>#REF!</v>
      </c>
      <c r="DY206" t="e">
        <f>AND(Bills!#REF!,"AAAAAB/Ye4A=")</f>
        <v>#REF!</v>
      </c>
      <c r="DZ206" t="e">
        <f>AND(Bills!#REF!,"AAAAAB/Ye4E=")</f>
        <v>#REF!</v>
      </c>
      <c r="EA206" t="e">
        <f>AND(Bills!#REF!,"AAAAAB/Ye4I=")</f>
        <v>#REF!</v>
      </c>
      <c r="EB206" t="e">
        <f>AND(Bills!#REF!,"AAAAAB/Ye4M=")</f>
        <v>#REF!</v>
      </c>
      <c r="EC206" t="e">
        <f>AND(Bills!AA873,"AAAAAB/Ye4Q=")</f>
        <v>#VALUE!</v>
      </c>
      <c r="ED206" t="e">
        <f>AND(Bills!AB873,"AAAAAB/Ye4U=")</f>
        <v>#VALUE!</v>
      </c>
      <c r="EE206" t="e">
        <f>AND(Bills!#REF!,"AAAAAB/Ye4Y=")</f>
        <v>#REF!</v>
      </c>
      <c r="EF206" t="e">
        <f>AND(Bills!#REF!,"AAAAAB/Ye4c=")</f>
        <v>#REF!</v>
      </c>
      <c r="EG206" t="e">
        <f>AND(Bills!#REF!,"AAAAAB/Ye4g=")</f>
        <v>#REF!</v>
      </c>
      <c r="EH206" t="e">
        <f>AND(Bills!AC873,"AAAAAB/Ye4k=")</f>
        <v>#VALUE!</v>
      </c>
      <c r="EI206" t="e">
        <f>AND(Bills!AD873,"AAAAAB/Ye4o=")</f>
        <v>#VALUE!</v>
      </c>
      <c r="EJ206" t="e">
        <f>AND(Bills!AE873,"AAAAAB/Ye4s=")</f>
        <v>#VALUE!</v>
      </c>
      <c r="EK206">
        <f>IF(Bills!874:874,"AAAAAB/Ye4w=",0)</f>
        <v>0</v>
      </c>
      <c r="EL206" t="e">
        <f>AND(Bills!B874,"AAAAAB/Ye40=")</f>
        <v>#VALUE!</v>
      </c>
      <c r="EM206" t="e">
        <f>AND(Bills!#REF!,"AAAAAB/Ye44=")</f>
        <v>#REF!</v>
      </c>
      <c r="EN206" t="e">
        <f>AND(Bills!C874,"AAAAAB/Ye48=")</f>
        <v>#VALUE!</v>
      </c>
      <c r="EO206" t="e">
        <f>AND(Bills!D874,"AAAAAB/Ye5A=")</f>
        <v>#VALUE!</v>
      </c>
      <c r="EP206" t="e">
        <f>AND(Bills!E874,"AAAAAB/Ye5E=")</f>
        <v>#VALUE!</v>
      </c>
      <c r="EQ206" t="e">
        <f>AND(Bills!#REF!,"AAAAAB/Ye5I=")</f>
        <v>#REF!</v>
      </c>
      <c r="ER206" t="e">
        <f>AND(Bills!#REF!,"AAAAAB/Ye5M=")</f>
        <v>#REF!</v>
      </c>
      <c r="ES206" t="e">
        <f>AND(Bills!#REF!,"AAAAAB/Ye5Q=")</f>
        <v>#REF!</v>
      </c>
      <c r="ET206" t="e">
        <f>AND(Bills!F874,"AAAAAB/Ye5U=")</f>
        <v>#VALUE!</v>
      </c>
      <c r="EU206" t="e">
        <f>AND(Bills!#REF!,"AAAAAB/Ye5Y=")</f>
        <v>#REF!</v>
      </c>
      <c r="EV206" t="e">
        <f>AND(Bills!G874,"AAAAAB/Ye5c=")</f>
        <v>#VALUE!</v>
      </c>
      <c r="EW206" t="e">
        <f>AND(Bills!H874,"AAAAAB/Ye5g=")</f>
        <v>#VALUE!</v>
      </c>
      <c r="EX206" t="e">
        <f>AND(Bills!I874,"AAAAAB/Ye5k=")</f>
        <v>#VALUE!</v>
      </c>
      <c r="EY206" t="e">
        <f>AND(Bills!J874,"AAAAAB/Ye5o=")</f>
        <v>#VALUE!</v>
      </c>
      <c r="EZ206" t="e">
        <f>AND(Bills!K874,"AAAAAB/Ye5s=")</f>
        <v>#VALUE!</v>
      </c>
      <c r="FA206" t="e">
        <f>AND(Bills!L874,"AAAAAB/Ye5w=")</f>
        <v>#VALUE!</v>
      </c>
      <c r="FB206" t="e">
        <f>AND(Bills!#REF!,"AAAAAB/Ye50=")</f>
        <v>#REF!</v>
      </c>
      <c r="FC206" t="e">
        <f>AND(Bills!M874,"AAAAAB/Ye54=")</f>
        <v>#VALUE!</v>
      </c>
      <c r="FD206" t="e">
        <f>AND(Bills!N874,"AAAAAB/Ye58=")</f>
        <v>#VALUE!</v>
      </c>
      <c r="FE206" t="e">
        <f>AND(Bills!O874,"AAAAAB/Ye6A=")</f>
        <v>#VALUE!</v>
      </c>
      <c r="FF206" t="e">
        <f>AND(Bills!P874,"AAAAAB/Ye6E=")</f>
        <v>#VALUE!</v>
      </c>
      <c r="FG206" t="e">
        <f>AND(Bills!Q874,"AAAAAB/Ye6I=")</f>
        <v>#VALUE!</v>
      </c>
      <c r="FH206" t="e">
        <f>AND(Bills!R874,"AAAAAB/Ye6M=")</f>
        <v>#VALUE!</v>
      </c>
      <c r="FI206" t="e">
        <f>AND(Bills!S874,"AAAAAB/Ye6Q=")</f>
        <v>#VALUE!</v>
      </c>
      <c r="FJ206" t="e">
        <f>AND(Bills!T874,"AAAAAB/Ye6U=")</f>
        <v>#VALUE!</v>
      </c>
      <c r="FK206" t="e">
        <f>AND(Bills!#REF!,"AAAAAB/Ye6Y=")</f>
        <v>#REF!</v>
      </c>
      <c r="FL206" t="e">
        <f>AND(Bills!U874,"AAAAAB/Ye6c=")</f>
        <v>#VALUE!</v>
      </c>
      <c r="FM206" t="e">
        <f>AND(Bills!V874,"AAAAAB/Ye6g=")</f>
        <v>#VALUE!</v>
      </c>
      <c r="FN206" t="e">
        <f>AND(Bills!W874,"AAAAAB/Ye6k=")</f>
        <v>#VALUE!</v>
      </c>
      <c r="FO206" t="e">
        <f>AND(Bills!#REF!,"AAAAAB/Ye6o=")</f>
        <v>#REF!</v>
      </c>
      <c r="FP206" t="e">
        <f>AND(Bills!#REF!,"AAAAAB/Ye6s=")</f>
        <v>#REF!</v>
      </c>
      <c r="FQ206" t="e">
        <f>AND(Bills!Y874,"AAAAAB/Ye6w=")</f>
        <v>#VALUE!</v>
      </c>
      <c r="FR206" t="e">
        <f>AND(Bills!Z874,"AAAAAB/Ye60=")</f>
        <v>#VALUE!</v>
      </c>
      <c r="FS206" t="e">
        <f>AND(Bills!#REF!,"AAAAAB/Ye64=")</f>
        <v>#REF!</v>
      </c>
      <c r="FT206" t="e">
        <f>AND(Bills!#REF!,"AAAAAB/Ye68=")</f>
        <v>#REF!</v>
      </c>
      <c r="FU206" t="e">
        <f>AND(Bills!#REF!,"AAAAAB/Ye7A=")</f>
        <v>#REF!</v>
      </c>
      <c r="FV206" t="e">
        <f>AND(Bills!#REF!,"AAAAAB/Ye7E=")</f>
        <v>#REF!</v>
      </c>
      <c r="FW206" t="e">
        <f>AND(Bills!#REF!,"AAAAAB/Ye7I=")</f>
        <v>#REF!</v>
      </c>
      <c r="FX206" t="e">
        <f>AND(Bills!#REF!,"AAAAAB/Ye7M=")</f>
        <v>#REF!</v>
      </c>
      <c r="FY206" t="e">
        <f>AND(Bills!#REF!,"AAAAAB/Ye7Q=")</f>
        <v>#REF!</v>
      </c>
      <c r="FZ206" t="e">
        <f>AND(Bills!#REF!,"AAAAAB/Ye7U=")</f>
        <v>#REF!</v>
      </c>
      <c r="GA206" t="e">
        <f>AND(Bills!#REF!,"AAAAAB/Ye7Y=")</f>
        <v>#REF!</v>
      </c>
      <c r="GB206" t="e">
        <f>AND(Bills!AA874,"AAAAAB/Ye7c=")</f>
        <v>#VALUE!</v>
      </c>
      <c r="GC206" t="e">
        <f>AND(Bills!AB874,"AAAAAB/Ye7g=")</f>
        <v>#VALUE!</v>
      </c>
      <c r="GD206" t="e">
        <f>AND(Bills!#REF!,"AAAAAB/Ye7k=")</f>
        <v>#REF!</v>
      </c>
      <c r="GE206" t="e">
        <f>AND(Bills!#REF!,"AAAAAB/Ye7o=")</f>
        <v>#REF!</v>
      </c>
      <c r="GF206" t="e">
        <f>AND(Bills!#REF!,"AAAAAB/Ye7s=")</f>
        <v>#REF!</v>
      </c>
      <c r="GG206" t="e">
        <f>AND(Bills!AC874,"AAAAAB/Ye7w=")</f>
        <v>#VALUE!</v>
      </c>
      <c r="GH206" t="e">
        <f>AND(Bills!AD874,"AAAAAB/Ye70=")</f>
        <v>#VALUE!</v>
      </c>
      <c r="GI206" t="e">
        <f>AND(Bills!AE874,"AAAAAB/Ye74=")</f>
        <v>#VALUE!</v>
      </c>
      <c r="GJ206">
        <f>IF(Bills!875:875,"AAAAAB/Ye78=",0)</f>
        <v>0</v>
      </c>
      <c r="GK206" t="e">
        <f>AND(Bills!B875,"AAAAAB/Ye8A=")</f>
        <v>#VALUE!</v>
      </c>
      <c r="GL206" t="e">
        <f>AND(Bills!#REF!,"AAAAAB/Ye8E=")</f>
        <v>#REF!</v>
      </c>
      <c r="GM206" t="e">
        <f>AND(Bills!C875,"AAAAAB/Ye8I=")</f>
        <v>#VALUE!</v>
      </c>
      <c r="GN206" t="e">
        <f>AND(Bills!D875,"AAAAAB/Ye8M=")</f>
        <v>#VALUE!</v>
      </c>
      <c r="GO206" t="e">
        <f>AND(Bills!E875,"AAAAAB/Ye8Q=")</f>
        <v>#VALUE!</v>
      </c>
      <c r="GP206" t="e">
        <f>AND(Bills!#REF!,"AAAAAB/Ye8U=")</f>
        <v>#REF!</v>
      </c>
      <c r="GQ206" t="e">
        <f>AND(Bills!#REF!,"AAAAAB/Ye8Y=")</f>
        <v>#REF!</v>
      </c>
      <c r="GR206" t="e">
        <f>AND(Bills!#REF!,"AAAAAB/Ye8c=")</f>
        <v>#REF!</v>
      </c>
      <c r="GS206" t="e">
        <f>AND(Bills!F875,"AAAAAB/Ye8g=")</f>
        <v>#VALUE!</v>
      </c>
      <c r="GT206" t="e">
        <f>AND(Bills!#REF!,"AAAAAB/Ye8k=")</f>
        <v>#REF!</v>
      </c>
      <c r="GU206" t="e">
        <f>AND(Bills!G875,"AAAAAB/Ye8o=")</f>
        <v>#VALUE!</v>
      </c>
      <c r="GV206" t="e">
        <f>AND(Bills!H875,"AAAAAB/Ye8s=")</f>
        <v>#VALUE!</v>
      </c>
      <c r="GW206" t="e">
        <f>AND(Bills!I875,"AAAAAB/Ye8w=")</f>
        <v>#VALUE!</v>
      </c>
      <c r="GX206" t="e">
        <f>AND(Bills!J875,"AAAAAB/Ye80=")</f>
        <v>#VALUE!</v>
      </c>
      <c r="GY206" t="e">
        <f>AND(Bills!K875,"AAAAAB/Ye84=")</f>
        <v>#VALUE!</v>
      </c>
      <c r="GZ206" t="e">
        <f>AND(Bills!L875,"AAAAAB/Ye88=")</f>
        <v>#VALUE!</v>
      </c>
      <c r="HA206" t="e">
        <f>AND(Bills!#REF!,"AAAAAB/Ye9A=")</f>
        <v>#REF!</v>
      </c>
      <c r="HB206" t="e">
        <f>AND(Bills!M875,"AAAAAB/Ye9E=")</f>
        <v>#VALUE!</v>
      </c>
      <c r="HC206" t="e">
        <f>AND(Bills!N875,"AAAAAB/Ye9I=")</f>
        <v>#VALUE!</v>
      </c>
      <c r="HD206" t="e">
        <f>AND(Bills!O875,"AAAAAB/Ye9M=")</f>
        <v>#VALUE!</v>
      </c>
      <c r="HE206" t="e">
        <f>AND(Bills!P875,"AAAAAB/Ye9Q=")</f>
        <v>#VALUE!</v>
      </c>
      <c r="HF206" t="e">
        <f>AND(Bills!Q875,"AAAAAB/Ye9U=")</f>
        <v>#VALUE!</v>
      </c>
      <c r="HG206" t="e">
        <f>AND(Bills!R875,"AAAAAB/Ye9Y=")</f>
        <v>#VALUE!</v>
      </c>
      <c r="HH206" t="e">
        <f>AND(Bills!S875,"AAAAAB/Ye9c=")</f>
        <v>#VALUE!</v>
      </c>
      <c r="HI206" t="e">
        <f>AND(Bills!T875,"AAAAAB/Ye9g=")</f>
        <v>#VALUE!</v>
      </c>
      <c r="HJ206" t="e">
        <f>AND(Bills!#REF!,"AAAAAB/Ye9k=")</f>
        <v>#REF!</v>
      </c>
      <c r="HK206" t="e">
        <f>AND(Bills!U875,"AAAAAB/Ye9o=")</f>
        <v>#VALUE!</v>
      </c>
      <c r="HL206" t="e">
        <f>AND(Bills!V875,"AAAAAB/Ye9s=")</f>
        <v>#VALUE!</v>
      </c>
      <c r="HM206" t="e">
        <f>AND(Bills!W875,"AAAAAB/Ye9w=")</f>
        <v>#VALUE!</v>
      </c>
      <c r="HN206" t="e">
        <f>AND(Bills!#REF!,"AAAAAB/Ye90=")</f>
        <v>#REF!</v>
      </c>
      <c r="HO206" t="e">
        <f>AND(Bills!#REF!,"AAAAAB/Ye94=")</f>
        <v>#REF!</v>
      </c>
      <c r="HP206" t="e">
        <f>AND(Bills!Y875,"AAAAAB/Ye98=")</f>
        <v>#VALUE!</v>
      </c>
      <c r="HQ206" t="e">
        <f>AND(Bills!Z875,"AAAAAB/Ye+A=")</f>
        <v>#VALUE!</v>
      </c>
      <c r="HR206" t="e">
        <f>AND(Bills!#REF!,"AAAAAB/Ye+E=")</f>
        <v>#REF!</v>
      </c>
      <c r="HS206" t="e">
        <f>AND(Bills!#REF!,"AAAAAB/Ye+I=")</f>
        <v>#REF!</v>
      </c>
      <c r="HT206" t="e">
        <f>AND(Bills!#REF!,"AAAAAB/Ye+M=")</f>
        <v>#REF!</v>
      </c>
      <c r="HU206" t="e">
        <f>AND(Bills!#REF!,"AAAAAB/Ye+Q=")</f>
        <v>#REF!</v>
      </c>
      <c r="HV206" t="e">
        <f>AND(Bills!#REF!,"AAAAAB/Ye+U=")</f>
        <v>#REF!</v>
      </c>
      <c r="HW206" t="e">
        <f>AND(Bills!#REF!,"AAAAAB/Ye+Y=")</f>
        <v>#REF!</v>
      </c>
      <c r="HX206" t="e">
        <f>AND(Bills!#REF!,"AAAAAB/Ye+c=")</f>
        <v>#REF!</v>
      </c>
      <c r="HY206" t="e">
        <f>AND(Bills!#REF!,"AAAAAB/Ye+g=")</f>
        <v>#REF!</v>
      </c>
      <c r="HZ206" t="e">
        <f>AND(Bills!#REF!,"AAAAAB/Ye+k=")</f>
        <v>#REF!</v>
      </c>
      <c r="IA206" t="e">
        <f>AND(Bills!AA875,"AAAAAB/Ye+o=")</f>
        <v>#VALUE!</v>
      </c>
      <c r="IB206" t="e">
        <f>AND(Bills!AB875,"AAAAAB/Ye+s=")</f>
        <v>#VALUE!</v>
      </c>
      <c r="IC206" t="e">
        <f>AND(Bills!#REF!,"AAAAAB/Ye+w=")</f>
        <v>#REF!</v>
      </c>
      <c r="ID206" t="e">
        <f>AND(Bills!#REF!,"AAAAAB/Ye+0=")</f>
        <v>#REF!</v>
      </c>
      <c r="IE206" t="e">
        <f>AND(Bills!#REF!,"AAAAAB/Ye+4=")</f>
        <v>#REF!</v>
      </c>
      <c r="IF206" t="e">
        <f>AND(Bills!AC875,"AAAAAB/Ye+8=")</f>
        <v>#VALUE!</v>
      </c>
      <c r="IG206" t="e">
        <f>AND(Bills!AD875,"AAAAAB/Ye/A=")</f>
        <v>#VALUE!</v>
      </c>
      <c r="IH206" t="e">
        <f>AND(Bills!AE875,"AAAAAB/Ye/E=")</f>
        <v>#VALUE!</v>
      </c>
      <c r="II206">
        <f>IF(Bills!876:876,"AAAAAB/Ye/I=",0)</f>
        <v>0</v>
      </c>
      <c r="IJ206" t="e">
        <f>AND(Bills!B876,"AAAAAB/Ye/M=")</f>
        <v>#VALUE!</v>
      </c>
      <c r="IK206" t="e">
        <f>AND(Bills!#REF!,"AAAAAB/Ye/Q=")</f>
        <v>#REF!</v>
      </c>
      <c r="IL206" t="e">
        <f>AND(Bills!C876,"AAAAAB/Ye/U=")</f>
        <v>#VALUE!</v>
      </c>
      <c r="IM206" t="e">
        <f>AND(Bills!D876,"AAAAAB/Ye/Y=")</f>
        <v>#VALUE!</v>
      </c>
      <c r="IN206" t="e">
        <f>AND(Bills!E876,"AAAAAB/Ye/c=")</f>
        <v>#VALUE!</v>
      </c>
      <c r="IO206" t="e">
        <f>AND(Bills!#REF!,"AAAAAB/Ye/g=")</f>
        <v>#REF!</v>
      </c>
      <c r="IP206" t="e">
        <f>AND(Bills!#REF!,"AAAAAB/Ye/k=")</f>
        <v>#REF!</v>
      </c>
      <c r="IQ206" t="e">
        <f>AND(Bills!#REF!,"AAAAAB/Ye/o=")</f>
        <v>#REF!</v>
      </c>
      <c r="IR206" t="e">
        <f>AND(Bills!F876,"AAAAAB/Ye/s=")</f>
        <v>#VALUE!</v>
      </c>
      <c r="IS206" t="e">
        <f>AND(Bills!#REF!,"AAAAAB/Ye/w=")</f>
        <v>#REF!</v>
      </c>
      <c r="IT206" t="e">
        <f>AND(Bills!G876,"AAAAAB/Ye/0=")</f>
        <v>#VALUE!</v>
      </c>
      <c r="IU206" t="e">
        <f>AND(Bills!H876,"AAAAAB/Ye/4=")</f>
        <v>#VALUE!</v>
      </c>
      <c r="IV206" t="e">
        <f>AND(Bills!I876,"AAAAAB/Ye/8=")</f>
        <v>#VALUE!</v>
      </c>
    </row>
    <row r="207" spans="1:256" x14ac:dyDescent="0.25">
      <c r="A207" t="e">
        <f>AND(Bills!J876,"AAAAAHa7/QA=")</f>
        <v>#VALUE!</v>
      </c>
      <c r="B207" t="e">
        <f>AND(Bills!K876,"AAAAAHa7/QE=")</f>
        <v>#VALUE!</v>
      </c>
      <c r="C207" t="e">
        <f>AND(Bills!L876,"AAAAAHa7/QI=")</f>
        <v>#VALUE!</v>
      </c>
      <c r="D207" t="e">
        <f>AND(Bills!#REF!,"AAAAAHa7/QM=")</f>
        <v>#REF!</v>
      </c>
      <c r="E207" t="e">
        <f>AND(Bills!M876,"AAAAAHa7/QQ=")</f>
        <v>#VALUE!</v>
      </c>
      <c r="F207" t="e">
        <f>AND(Bills!N876,"AAAAAHa7/QU=")</f>
        <v>#VALUE!</v>
      </c>
      <c r="G207" t="e">
        <f>AND(Bills!O876,"AAAAAHa7/QY=")</f>
        <v>#VALUE!</v>
      </c>
      <c r="H207" t="e">
        <f>AND(Bills!P876,"AAAAAHa7/Qc=")</f>
        <v>#VALUE!</v>
      </c>
      <c r="I207" t="e">
        <f>AND(Bills!Q876,"AAAAAHa7/Qg=")</f>
        <v>#VALUE!</v>
      </c>
      <c r="J207" t="e">
        <f>AND(Bills!R876,"AAAAAHa7/Qk=")</f>
        <v>#VALUE!</v>
      </c>
      <c r="K207" t="e">
        <f>AND(Bills!S876,"AAAAAHa7/Qo=")</f>
        <v>#VALUE!</v>
      </c>
      <c r="L207" t="e">
        <f>AND(Bills!T876,"AAAAAHa7/Qs=")</f>
        <v>#VALUE!</v>
      </c>
      <c r="M207" t="e">
        <f>AND(Bills!#REF!,"AAAAAHa7/Qw=")</f>
        <v>#REF!</v>
      </c>
      <c r="N207" t="e">
        <f>AND(Bills!U876,"AAAAAHa7/Q0=")</f>
        <v>#VALUE!</v>
      </c>
      <c r="O207" t="e">
        <f>AND(Bills!V876,"AAAAAHa7/Q4=")</f>
        <v>#VALUE!</v>
      </c>
      <c r="P207" t="e">
        <f>AND(Bills!W876,"AAAAAHa7/Q8=")</f>
        <v>#VALUE!</v>
      </c>
      <c r="Q207" t="e">
        <f>AND(Bills!#REF!,"AAAAAHa7/RA=")</f>
        <v>#REF!</v>
      </c>
      <c r="R207" t="e">
        <f>AND(Bills!#REF!,"AAAAAHa7/RE=")</f>
        <v>#REF!</v>
      </c>
      <c r="S207" t="e">
        <f>AND(Bills!Y876,"AAAAAHa7/RI=")</f>
        <v>#VALUE!</v>
      </c>
      <c r="T207" t="e">
        <f>AND(Bills!Z876,"AAAAAHa7/RM=")</f>
        <v>#VALUE!</v>
      </c>
      <c r="U207" t="e">
        <f>AND(Bills!#REF!,"AAAAAHa7/RQ=")</f>
        <v>#REF!</v>
      </c>
      <c r="V207" t="e">
        <f>AND(Bills!#REF!,"AAAAAHa7/RU=")</f>
        <v>#REF!</v>
      </c>
      <c r="W207" t="e">
        <f>AND(Bills!#REF!,"AAAAAHa7/RY=")</f>
        <v>#REF!</v>
      </c>
      <c r="X207" t="e">
        <f>AND(Bills!#REF!,"AAAAAHa7/Rc=")</f>
        <v>#REF!</v>
      </c>
      <c r="Y207" t="e">
        <f>AND(Bills!#REF!,"AAAAAHa7/Rg=")</f>
        <v>#REF!</v>
      </c>
      <c r="Z207" t="e">
        <f>AND(Bills!#REF!,"AAAAAHa7/Rk=")</f>
        <v>#REF!</v>
      </c>
      <c r="AA207" t="e">
        <f>AND(Bills!#REF!,"AAAAAHa7/Ro=")</f>
        <v>#REF!</v>
      </c>
      <c r="AB207" t="e">
        <f>AND(Bills!#REF!,"AAAAAHa7/Rs=")</f>
        <v>#REF!</v>
      </c>
      <c r="AC207" t="e">
        <f>AND(Bills!#REF!,"AAAAAHa7/Rw=")</f>
        <v>#REF!</v>
      </c>
      <c r="AD207" t="e">
        <f>AND(Bills!AA876,"AAAAAHa7/R0=")</f>
        <v>#VALUE!</v>
      </c>
      <c r="AE207" t="e">
        <f>AND(Bills!AB876,"AAAAAHa7/R4=")</f>
        <v>#VALUE!</v>
      </c>
      <c r="AF207" t="e">
        <f>AND(Bills!#REF!,"AAAAAHa7/R8=")</f>
        <v>#REF!</v>
      </c>
      <c r="AG207" t="e">
        <f>AND(Bills!#REF!,"AAAAAHa7/SA=")</f>
        <v>#REF!</v>
      </c>
      <c r="AH207" t="e">
        <f>AND(Bills!#REF!,"AAAAAHa7/SE=")</f>
        <v>#REF!</v>
      </c>
      <c r="AI207" t="e">
        <f>AND(Bills!AC876,"AAAAAHa7/SI=")</f>
        <v>#VALUE!</v>
      </c>
      <c r="AJ207" t="e">
        <f>AND(Bills!AD876,"AAAAAHa7/SM=")</f>
        <v>#VALUE!</v>
      </c>
      <c r="AK207" t="e">
        <f>AND(Bills!AE876,"AAAAAHa7/SQ=")</f>
        <v>#VALUE!</v>
      </c>
      <c r="AL207">
        <f>IF(Bills!877:877,"AAAAAHa7/SU=",0)</f>
        <v>0</v>
      </c>
      <c r="AM207" t="e">
        <f>AND(Bills!B877,"AAAAAHa7/SY=")</f>
        <v>#VALUE!</v>
      </c>
      <c r="AN207" t="e">
        <f>AND(Bills!#REF!,"AAAAAHa7/Sc=")</f>
        <v>#REF!</v>
      </c>
      <c r="AO207" t="e">
        <f>AND(Bills!C877,"AAAAAHa7/Sg=")</f>
        <v>#VALUE!</v>
      </c>
      <c r="AP207" t="e">
        <f>AND(Bills!D877,"AAAAAHa7/Sk=")</f>
        <v>#VALUE!</v>
      </c>
      <c r="AQ207" t="e">
        <f>AND(Bills!E877,"AAAAAHa7/So=")</f>
        <v>#VALUE!</v>
      </c>
      <c r="AR207" t="e">
        <f>AND(Bills!#REF!,"AAAAAHa7/Ss=")</f>
        <v>#REF!</v>
      </c>
      <c r="AS207" t="e">
        <f>AND(Bills!#REF!,"AAAAAHa7/Sw=")</f>
        <v>#REF!</v>
      </c>
      <c r="AT207" t="e">
        <f>AND(Bills!#REF!,"AAAAAHa7/S0=")</f>
        <v>#REF!</v>
      </c>
      <c r="AU207" t="e">
        <f>AND(Bills!F877,"AAAAAHa7/S4=")</f>
        <v>#VALUE!</v>
      </c>
      <c r="AV207" t="e">
        <f>AND(Bills!#REF!,"AAAAAHa7/S8=")</f>
        <v>#REF!</v>
      </c>
      <c r="AW207" t="e">
        <f>AND(Bills!G877,"AAAAAHa7/TA=")</f>
        <v>#VALUE!</v>
      </c>
      <c r="AX207" t="e">
        <f>AND(Bills!H877,"AAAAAHa7/TE=")</f>
        <v>#VALUE!</v>
      </c>
      <c r="AY207" t="e">
        <f>AND(Bills!I877,"AAAAAHa7/TI=")</f>
        <v>#VALUE!</v>
      </c>
      <c r="AZ207" t="e">
        <f>AND(Bills!J877,"AAAAAHa7/TM=")</f>
        <v>#VALUE!</v>
      </c>
      <c r="BA207" t="e">
        <f>AND(Bills!K877,"AAAAAHa7/TQ=")</f>
        <v>#VALUE!</v>
      </c>
      <c r="BB207" t="e">
        <f>AND(Bills!L877,"AAAAAHa7/TU=")</f>
        <v>#VALUE!</v>
      </c>
      <c r="BC207" t="e">
        <f>AND(Bills!#REF!,"AAAAAHa7/TY=")</f>
        <v>#REF!</v>
      </c>
      <c r="BD207" t="e">
        <f>AND(Bills!M877,"AAAAAHa7/Tc=")</f>
        <v>#VALUE!</v>
      </c>
      <c r="BE207" t="e">
        <f>AND(Bills!N877,"AAAAAHa7/Tg=")</f>
        <v>#VALUE!</v>
      </c>
      <c r="BF207" t="e">
        <f>AND(Bills!O877,"AAAAAHa7/Tk=")</f>
        <v>#VALUE!</v>
      </c>
      <c r="BG207" t="e">
        <f>AND(Bills!P877,"AAAAAHa7/To=")</f>
        <v>#VALUE!</v>
      </c>
      <c r="BH207" t="e">
        <f>AND(Bills!Q877,"AAAAAHa7/Ts=")</f>
        <v>#VALUE!</v>
      </c>
      <c r="BI207" t="e">
        <f>AND(Bills!R877,"AAAAAHa7/Tw=")</f>
        <v>#VALUE!</v>
      </c>
      <c r="BJ207" t="e">
        <f>AND(Bills!S877,"AAAAAHa7/T0=")</f>
        <v>#VALUE!</v>
      </c>
      <c r="BK207" t="e">
        <f>AND(Bills!T877,"AAAAAHa7/T4=")</f>
        <v>#VALUE!</v>
      </c>
      <c r="BL207" t="e">
        <f>AND(Bills!#REF!,"AAAAAHa7/T8=")</f>
        <v>#REF!</v>
      </c>
      <c r="BM207" t="e">
        <f>AND(Bills!U877,"AAAAAHa7/UA=")</f>
        <v>#VALUE!</v>
      </c>
      <c r="BN207" t="e">
        <f>AND(Bills!V877,"AAAAAHa7/UE=")</f>
        <v>#VALUE!</v>
      </c>
      <c r="BO207" t="e">
        <f>AND(Bills!W877,"AAAAAHa7/UI=")</f>
        <v>#VALUE!</v>
      </c>
      <c r="BP207" t="e">
        <f>AND(Bills!#REF!,"AAAAAHa7/UM=")</f>
        <v>#REF!</v>
      </c>
      <c r="BQ207" t="e">
        <f>AND(Bills!#REF!,"AAAAAHa7/UQ=")</f>
        <v>#REF!</v>
      </c>
      <c r="BR207" t="e">
        <f>AND(Bills!Y877,"AAAAAHa7/UU=")</f>
        <v>#VALUE!</v>
      </c>
      <c r="BS207" t="e">
        <f>AND(Bills!Z877,"AAAAAHa7/UY=")</f>
        <v>#VALUE!</v>
      </c>
      <c r="BT207" t="e">
        <f>AND(Bills!#REF!,"AAAAAHa7/Uc=")</f>
        <v>#REF!</v>
      </c>
      <c r="BU207" t="e">
        <f>AND(Bills!#REF!,"AAAAAHa7/Ug=")</f>
        <v>#REF!</v>
      </c>
      <c r="BV207" t="e">
        <f>AND(Bills!#REF!,"AAAAAHa7/Uk=")</f>
        <v>#REF!</v>
      </c>
      <c r="BW207" t="e">
        <f>AND(Bills!#REF!,"AAAAAHa7/Uo=")</f>
        <v>#REF!</v>
      </c>
      <c r="BX207" t="e">
        <f>AND(Bills!#REF!,"AAAAAHa7/Us=")</f>
        <v>#REF!</v>
      </c>
      <c r="BY207" t="e">
        <f>AND(Bills!#REF!,"AAAAAHa7/Uw=")</f>
        <v>#REF!</v>
      </c>
      <c r="BZ207" t="e">
        <f>AND(Bills!#REF!,"AAAAAHa7/U0=")</f>
        <v>#REF!</v>
      </c>
      <c r="CA207" t="e">
        <f>AND(Bills!#REF!,"AAAAAHa7/U4=")</f>
        <v>#REF!</v>
      </c>
      <c r="CB207" t="e">
        <f>AND(Bills!#REF!,"AAAAAHa7/U8=")</f>
        <v>#REF!</v>
      </c>
      <c r="CC207" t="e">
        <f>AND(Bills!AA877,"AAAAAHa7/VA=")</f>
        <v>#VALUE!</v>
      </c>
      <c r="CD207" t="e">
        <f>AND(Bills!AB877,"AAAAAHa7/VE=")</f>
        <v>#VALUE!</v>
      </c>
      <c r="CE207" t="e">
        <f>AND(Bills!#REF!,"AAAAAHa7/VI=")</f>
        <v>#REF!</v>
      </c>
      <c r="CF207" t="e">
        <f>AND(Bills!#REF!,"AAAAAHa7/VM=")</f>
        <v>#REF!</v>
      </c>
      <c r="CG207" t="e">
        <f>AND(Bills!#REF!,"AAAAAHa7/VQ=")</f>
        <v>#REF!</v>
      </c>
      <c r="CH207" t="e">
        <f>AND(Bills!AC877,"AAAAAHa7/VU=")</f>
        <v>#VALUE!</v>
      </c>
      <c r="CI207" t="e">
        <f>AND(Bills!AD877,"AAAAAHa7/VY=")</f>
        <v>#VALUE!</v>
      </c>
      <c r="CJ207" t="e">
        <f>AND(Bills!AE877,"AAAAAHa7/Vc=")</f>
        <v>#VALUE!</v>
      </c>
      <c r="CK207">
        <f>IF(Bills!878:878,"AAAAAHa7/Vg=",0)</f>
        <v>0</v>
      </c>
      <c r="CL207" t="e">
        <f>AND(Bills!B878,"AAAAAHa7/Vk=")</f>
        <v>#VALUE!</v>
      </c>
      <c r="CM207" t="e">
        <f>AND(Bills!#REF!,"AAAAAHa7/Vo=")</f>
        <v>#REF!</v>
      </c>
      <c r="CN207" t="e">
        <f>AND(Bills!C878,"AAAAAHa7/Vs=")</f>
        <v>#VALUE!</v>
      </c>
      <c r="CO207" t="e">
        <f>AND(Bills!D878,"AAAAAHa7/Vw=")</f>
        <v>#VALUE!</v>
      </c>
      <c r="CP207" t="e">
        <f>AND(Bills!E878,"AAAAAHa7/V0=")</f>
        <v>#VALUE!</v>
      </c>
      <c r="CQ207" t="e">
        <f>AND(Bills!#REF!,"AAAAAHa7/V4=")</f>
        <v>#REF!</v>
      </c>
      <c r="CR207" t="e">
        <f>AND(Bills!#REF!,"AAAAAHa7/V8=")</f>
        <v>#REF!</v>
      </c>
      <c r="CS207" t="e">
        <f>AND(Bills!#REF!,"AAAAAHa7/WA=")</f>
        <v>#REF!</v>
      </c>
      <c r="CT207" t="e">
        <f>AND(Bills!F878,"AAAAAHa7/WE=")</f>
        <v>#VALUE!</v>
      </c>
      <c r="CU207" t="e">
        <f>AND(Bills!#REF!,"AAAAAHa7/WI=")</f>
        <v>#REF!</v>
      </c>
      <c r="CV207" t="e">
        <f>AND(Bills!G878,"AAAAAHa7/WM=")</f>
        <v>#VALUE!</v>
      </c>
      <c r="CW207" t="e">
        <f>AND(Bills!H878,"AAAAAHa7/WQ=")</f>
        <v>#VALUE!</v>
      </c>
      <c r="CX207" t="e">
        <f>AND(Bills!I878,"AAAAAHa7/WU=")</f>
        <v>#VALUE!</v>
      </c>
      <c r="CY207" t="e">
        <f>AND(Bills!J878,"AAAAAHa7/WY=")</f>
        <v>#VALUE!</v>
      </c>
      <c r="CZ207" t="e">
        <f>AND(Bills!K878,"AAAAAHa7/Wc=")</f>
        <v>#VALUE!</v>
      </c>
      <c r="DA207" t="e">
        <f>AND(Bills!L878,"AAAAAHa7/Wg=")</f>
        <v>#VALUE!</v>
      </c>
      <c r="DB207" t="e">
        <f>AND(Bills!#REF!,"AAAAAHa7/Wk=")</f>
        <v>#REF!</v>
      </c>
      <c r="DC207" t="e">
        <f>AND(Bills!M878,"AAAAAHa7/Wo=")</f>
        <v>#VALUE!</v>
      </c>
      <c r="DD207" t="e">
        <f>AND(Bills!N878,"AAAAAHa7/Ws=")</f>
        <v>#VALUE!</v>
      </c>
      <c r="DE207" t="e">
        <f>AND(Bills!O878,"AAAAAHa7/Ww=")</f>
        <v>#VALUE!</v>
      </c>
      <c r="DF207" t="e">
        <f>AND(Bills!P878,"AAAAAHa7/W0=")</f>
        <v>#VALUE!</v>
      </c>
      <c r="DG207" t="e">
        <f>AND(Bills!Q878,"AAAAAHa7/W4=")</f>
        <v>#VALUE!</v>
      </c>
      <c r="DH207" t="e">
        <f>AND(Bills!R878,"AAAAAHa7/W8=")</f>
        <v>#VALUE!</v>
      </c>
      <c r="DI207" t="e">
        <f>AND(Bills!S878,"AAAAAHa7/XA=")</f>
        <v>#VALUE!</v>
      </c>
      <c r="DJ207" t="e">
        <f>AND(Bills!T878,"AAAAAHa7/XE=")</f>
        <v>#VALUE!</v>
      </c>
      <c r="DK207" t="e">
        <f>AND(Bills!#REF!,"AAAAAHa7/XI=")</f>
        <v>#REF!</v>
      </c>
      <c r="DL207" t="e">
        <f>AND(Bills!U878,"AAAAAHa7/XM=")</f>
        <v>#VALUE!</v>
      </c>
      <c r="DM207" t="e">
        <f>AND(Bills!V878,"AAAAAHa7/XQ=")</f>
        <v>#VALUE!</v>
      </c>
      <c r="DN207" t="e">
        <f>AND(Bills!W878,"AAAAAHa7/XU=")</f>
        <v>#VALUE!</v>
      </c>
      <c r="DO207" t="e">
        <f>AND(Bills!#REF!,"AAAAAHa7/XY=")</f>
        <v>#REF!</v>
      </c>
      <c r="DP207" t="e">
        <f>AND(Bills!#REF!,"AAAAAHa7/Xc=")</f>
        <v>#REF!</v>
      </c>
      <c r="DQ207" t="e">
        <f>AND(Bills!Y878,"AAAAAHa7/Xg=")</f>
        <v>#VALUE!</v>
      </c>
      <c r="DR207" t="e">
        <f>AND(Bills!Z878,"AAAAAHa7/Xk=")</f>
        <v>#VALUE!</v>
      </c>
      <c r="DS207" t="e">
        <f>AND(Bills!#REF!,"AAAAAHa7/Xo=")</f>
        <v>#REF!</v>
      </c>
      <c r="DT207" t="e">
        <f>AND(Bills!#REF!,"AAAAAHa7/Xs=")</f>
        <v>#REF!</v>
      </c>
      <c r="DU207" t="e">
        <f>AND(Bills!#REF!,"AAAAAHa7/Xw=")</f>
        <v>#REF!</v>
      </c>
      <c r="DV207" t="e">
        <f>AND(Bills!#REF!,"AAAAAHa7/X0=")</f>
        <v>#REF!</v>
      </c>
      <c r="DW207" t="e">
        <f>AND(Bills!#REF!,"AAAAAHa7/X4=")</f>
        <v>#REF!</v>
      </c>
      <c r="DX207" t="e">
        <f>AND(Bills!#REF!,"AAAAAHa7/X8=")</f>
        <v>#REF!</v>
      </c>
      <c r="DY207" t="e">
        <f>AND(Bills!#REF!,"AAAAAHa7/YA=")</f>
        <v>#REF!</v>
      </c>
      <c r="DZ207" t="e">
        <f>AND(Bills!#REF!,"AAAAAHa7/YE=")</f>
        <v>#REF!</v>
      </c>
      <c r="EA207" t="e">
        <f>AND(Bills!#REF!,"AAAAAHa7/YI=")</f>
        <v>#REF!</v>
      </c>
      <c r="EB207" t="e">
        <f>AND(Bills!AA878,"AAAAAHa7/YM=")</f>
        <v>#VALUE!</v>
      </c>
      <c r="EC207" t="e">
        <f>AND(Bills!AB878,"AAAAAHa7/YQ=")</f>
        <v>#VALUE!</v>
      </c>
      <c r="ED207" t="e">
        <f>AND(Bills!#REF!,"AAAAAHa7/YU=")</f>
        <v>#REF!</v>
      </c>
      <c r="EE207" t="e">
        <f>AND(Bills!#REF!,"AAAAAHa7/YY=")</f>
        <v>#REF!</v>
      </c>
      <c r="EF207" t="e">
        <f>AND(Bills!#REF!,"AAAAAHa7/Yc=")</f>
        <v>#REF!</v>
      </c>
      <c r="EG207" t="e">
        <f>AND(Bills!AC878,"AAAAAHa7/Yg=")</f>
        <v>#VALUE!</v>
      </c>
      <c r="EH207" t="e">
        <f>AND(Bills!AD878,"AAAAAHa7/Yk=")</f>
        <v>#VALUE!</v>
      </c>
      <c r="EI207" t="e">
        <f>AND(Bills!AE878,"AAAAAHa7/Yo=")</f>
        <v>#VALUE!</v>
      </c>
      <c r="EJ207">
        <f>IF(Bills!879:879,"AAAAAHa7/Ys=",0)</f>
        <v>0</v>
      </c>
      <c r="EK207" t="e">
        <f>AND(Bills!B879,"AAAAAHa7/Yw=")</f>
        <v>#VALUE!</v>
      </c>
      <c r="EL207" t="e">
        <f>AND(Bills!#REF!,"AAAAAHa7/Y0=")</f>
        <v>#REF!</v>
      </c>
      <c r="EM207" t="e">
        <f>AND(Bills!C879,"AAAAAHa7/Y4=")</f>
        <v>#VALUE!</v>
      </c>
      <c r="EN207" t="e">
        <f>AND(Bills!D879,"AAAAAHa7/Y8=")</f>
        <v>#VALUE!</v>
      </c>
      <c r="EO207" t="e">
        <f>AND(Bills!E879,"AAAAAHa7/ZA=")</f>
        <v>#VALUE!</v>
      </c>
      <c r="EP207" t="e">
        <f>AND(Bills!#REF!,"AAAAAHa7/ZE=")</f>
        <v>#REF!</v>
      </c>
      <c r="EQ207" t="e">
        <f>AND(Bills!#REF!,"AAAAAHa7/ZI=")</f>
        <v>#REF!</v>
      </c>
      <c r="ER207" t="e">
        <f>AND(Bills!#REF!,"AAAAAHa7/ZM=")</f>
        <v>#REF!</v>
      </c>
      <c r="ES207" t="e">
        <f>AND(Bills!F879,"AAAAAHa7/ZQ=")</f>
        <v>#VALUE!</v>
      </c>
      <c r="ET207" t="e">
        <f>AND(Bills!#REF!,"AAAAAHa7/ZU=")</f>
        <v>#REF!</v>
      </c>
      <c r="EU207" t="e">
        <f>AND(Bills!G879,"AAAAAHa7/ZY=")</f>
        <v>#VALUE!</v>
      </c>
      <c r="EV207" t="e">
        <f>AND(Bills!H879,"AAAAAHa7/Zc=")</f>
        <v>#VALUE!</v>
      </c>
      <c r="EW207" t="e">
        <f>AND(Bills!I879,"AAAAAHa7/Zg=")</f>
        <v>#VALUE!</v>
      </c>
      <c r="EX207" t="e">
        <f>AND(Bills!J879,"AAAAAHa7/Zk=")</f>
        <v>#VALUE!</v>
      </c>
      <c r="EY207" t="e">
        <f>AND(Bills!K879,"AAAAAHa7/Zo=")</f>
        <v>#VALUE!</v>
      </c>
      <c r="EZ207" t="e">
        <f>AND(Bills!L879,"AAAAAHa7/Zs=")</f>
        <v>#VALUE!</v>
      </c>
      <c r="FA207" t="e">
        <f>AND(Bills!#REF!,"AAAAAHa7/Zw=")</f>
        <v>#REF!</v>
      </c>
      <c r="FB207" t="e">
        <f>AND(Bills!M879,"AAAAAHa7/Z0=")</f>
        <v>#VALUE!</v>
      </c>
      <c r="FC207" t="e">
        <f>AND(Bills!N879,"AAAAAHa7/Z4=")</f>
        <v>#VALUE!</v>
      </c>
      <c r="FD207" t="e">
        <f>AND(Bills!O879,"AAAAAHa7/Z8=")</f>
        <v>#VALUE!</v>
      </c>
      <c r="FE207" t="e">
        <f>AND(Bills!P879,"AAAAAHa7/aA=")</f>
        <v>#VALUE!</v>
      </c>
      <c r="FF207" t="e">
        <f>AND(Bills!Q879,"AAAAAHa7/aE=")</f>
        <v>#VALUE!</v>
      </c>
      <c r="FG207" t="e">
        <f>AND(Bills!R879,"AAAAAHa7/aI=")</f>
        <v>#VALUE!</v>
      </c>
      <c r="FH207" t="e">
        <f>AND(Bills!S879,"AAAAAHa7/aM=")</f>
        <v>#VALUE!</v>
      </c>
      <c r="FI207" t="e">
        <f>AND(Bills!T879,"AAAAAHa7/aQ=")</f>
        <v>#VALUE!</v>
      </c>
      <c r="FJ207" t="e">
        <f>AND(Bills!#REF!,"AAAAAHa7/aU=")</f>
        <v>#REF!</v>
      </c>
      <c r="FK207" t="e">
        <f>AND(Bills!U879,"AAAAAHa7/aY=")</f>
        <v>#VALUE!</v>
      </c>
      <c r="FL207" t="e">
        <f>AND(Bills!V879,"AAAAAHa7/ac=")</f>
        <v>#VALUE!</v>
      </c>
      <c r="FM207" t="e">
        <f>AND(Bills!W879,"AAAAAHa7/ag=")</f>
        <v>#VALUE!</v>
      </c>
      <c r="FN207" t="e">
        <f>AND(Bills!#REF!,"AAAAAHa7/ak=")</f>
        <v>#REF!</v>
      </c>
      <c r="FO207" t="e">
        <f>AND(Bills!#REF!,"AAAAAHa7/ao=")</f>
        <v>#REF!</v>
      </c>
      <c r="FP207" t="e">
        <f>AND(Bills!Y879,"AAAAAHa7/as=")</f>
        <v>#VALUE!</v>
      </c>
      <c r="FQ207" t="e">
        <f>AND(Bills!Z879,"AAAAAHa7/aw=")</f>
        <v>#VALUE!</v>
      </c>
      <c r="FR207" t="e">
        <f>AND(Bills!#REF!,"AAAAAHa7/a0=")</f>
        <v>#REF!</v>
      </c>
      <c r="FS207" t="e">
        <f>AND(Bills!#REF!,"AAAAAHa7/a4=")</f>
        <v>#REF!</v>
      </c>
      <c r="FT207" t="e">
        <f>AND(Bills!#REF!,"AAAAAHa7/a8=")</f>
        <v>#REF!</v>
      </c>
      <c r="FU207" t="e">
        <f>AND(Bills!#REF!,"AAAAAHa7/bA=")</f>
        <v>#REF!</v>
      </c>
      <c r="FV207" t="e">
        <f>AND(Bills!#REF!,"AAAAAHa7/bE=")</f>
        <v>#REF!</v>
      </c>
      <c r="FW207" t="e">
        <f>AND(Bills!#REF!,"AAAAAHa7/bI=")</f>
        <v>#REF!</v>
      </c>
      <c r="FX207" t="e">
        <f>AND(Bills!#REF!,"AAAAAHa7/bM=")</f>
        <v>#REF!</v>
      </c>
      <c r="FY207" t="e">
        <f>AND(Bills!#REF!,"AAAAAHa7/bQ=")</f>
        <v>#REF!</v>
      </c>
      <c r="FZ207" t="e">
        <f>AND(Bills!#REF!,"AAAAAHa7/bU=")</f>
        <v>#REF!</v>
      </c>
      <c r="GA207" t="e">
        <f>AND(Bills!AA879,"AAAAAHa7/bY=")</f>
        <v>#VALUE!</v>
      </c>
      <c r="GB207" t="e">
        <f>AND(Bills!AB879,"AAAAAHa7/bc=")</f>
        <v>#VALUE!</v>
      </c>
      <c r="GC207" t="e">
        <f>AND(Bills!#REF!,"AAAAAHa7/bg=")</f>
        <v>#REF!</v>
      </c>
      <c r="GD207" t="e">
        <f>AND(Bills!#REF!,"AAAAAHa7/bk=")</f>
        <v>#REF!</v>
      </c>
      <c r="GE207" t="e">
        <f>AND(Bills!#REF!,"AAAAAHa7/bo=")</f>
        <v>#REF!</v>
      </c>
      <c r="GF207" t="e">
        <f>AND(Bills!AC879,"AAAAAHa7/bs=")</f>
        <v>#VALUE!</v>
      </c>
      <c r="GG207" t="e">
        <f>AND(Bills!AD879,"AAAAAHa7/bw=")</f>
        <v>#VALUE!</v>
      </c>
      <c r="GH207" t="e">
        <f>AND(Bills!AE879,"AAAAAHa7/b0=")</f>
        <v>#VALUE!</v>
      </c>
      <c r="GI207">
        <f>IF(Bills!880:880,"AAAAAHa7/b4=",0)</f>
        <v>0</v>
      </c>
      <c r="GJ207" t="e">
        <f>AND(Bills!B880,"AAAAAHa7/b8=")</f>
        <v>#VALUE!</v>
      </c>
      <c r="GK207" t="e">
        <f>AND(Bills!#REF!,"AAAAAHa7/cA=")</f>
        <v>#REF!</v>
      </c>
      <c r="GL207" t="e">
        <f>AND(Bills!C880,"AAAAAHa7/cE=")</f>
        <v>#VALUE!</v>
      </c>
      <c r="GM207" t="e">
        <f>AND(Bills!D880,"AAAAAHa7/cI=")</f>
        <v>#VALUE!</v>
      </c>
      <c r="GN207" t="e">
        <f>AND(Bills!E880,"AAAAAHa7/cM=")</f>
        <v>#VALUE!</v>
      </c>
      <c r="GO207" t="e">
        <f>AND(Bills!#REF!,"AAAAAHa7/cQ=")</f>
        <v>#REF!</v>
      </c>
      <c r="GP207" t="e">
        <f>AND(Bills!#REF!,"AAAAAHa7/cU=")</f>
        <v>#REF!</v>
      </c>
      <c r="GQ207" t="e">
        <f>AND(Bills!#REF!,"AAAAAHa7/cY=")</f>
        <v>#REF!</v>
      </c>
      <c r="GR207" t="e">
        <f>AND(Bills!F880,"AAAAAHa7/cc=")</f>
        <v>#VALUE!</v>
      </c>
      <c r="GS207" t="e">
        <f>AND(Bills!#REF!,"AAAAAHa7/cg=")</f>
        <v>#REF!</v>
      </c>
      <c r="GT207" t="e">
        <f>AND(Bills!G880,"AAAAAHa7/ck=")</f>
        <v>#VALUE!</v>
      </c>
      <c r="GU207" t="e">
        <f>AND(Bills!H880,"AAAAAHa7/co=")</f>
        <v>#VALUE!</v>
      </c>
      <c r="GV207" t="e">
        <f>AND(Bills!I880,"AAAAAHa7/cs=")</f>
        <v>#VALUE!</v>
      </c>
      <c r="GW207" t="e">
        <f>AND(Bills!J880,"AAAAAHa7/cw=")</f>
        <v>#VALUE!</v>
      </c>
      <c r="GX207" t="e">
        <f>AND(Bills!K880,"AAAAAHa7/c0=")</f>
        <v>#VALUE!</v>
      </c>
      <c r="GY207" t="e">
        <f>AND(Bills!L880,"AAAAAHa7/c4=")</f>
        <v>#VALUE!</v>
      </c>
      <c r="GZ207" t="e">
        <f>AND(Bills!#REF!,"AAAAAHa7/c8=")</f>
        <v>#REF!</v>
      </c>
      <c r="HA207" t="e">
        <f>AND(Bills!M880,"AAAAAHa7/dA=")</f>
        <v>#VALUE!</v>
      </c>
      <c r="HB207" t="e">
        <f>AND(Bills!N880,"AAAAAHa7/dE=")</f>
        <v>#VALUE!</v>
      </c>
      <c r="HC207" t="e">
        <f>AND(Bills!O880,"AAAAAHa7/dI=")</f>
        <v>#VALUE!</v>
      </c>
      <c r="HD207" t="e">
        <f>AND(Bills!P880,"AAAAAHa7/dM=")</f>
        <v>#VALUE!</v>
      </c>
      <c r="HE207" t="e">
        <f>AND(Bills!Q880,"AAAAAHa7/dQ=")</f>
        <v>#VALUE!</v>
      </c>
      <c r="HF207" t="e">
        <f>AND(Bills!R880,"AAAAAHa7/dU=")</f>
        <v>#VALUE!</v>
      </c>
      <c r="HG207" t="e">
        <f>AND(Bills!S880,"AAAAAHa7/dY=")</f>
        <v>#VALUE!</v>
      </c>
      <c r="HH207" t="e">
        <f>AND(Bills!T880,"AAAAAHa7/dc=")</f>
        <v>#VALUE!</v>
      </c>
      <c r="HI207" t="e">
        <f>AND(Bills!#REF!,"AAAAAHa7/dg=")</f>
        <v>#REF!</v>
      </c>
      <c r="HJ207" t="e">
        <f>AND(Bills!U880,"AAAAAHa7/dk=")</f>
        <v>#VALUE!</v>
      </c>
      <c r="HK207" t="e">
        <f>AND(Bills!V880,"AAAAAHa7/do=")</f>
        <v>#VALUE!</v>
      </c>
      <c r="HL207" t="e">
        <f>AND(Bills!W880,"AAAAAHa7/ds=")</f>
        <v>#VALUE!</v>
      </c>
      <c r="HM207" t="e">
        <f>AND(Bills!#REF!,"AAAAAHa7/dw=")</f>
        <v>#REF!</v>
      </c>
      <c r="HN207" t="e">
        <f>AND(Bills!#REF!,"AAAAAHa7/d0=")</f>
        <v>#REF!</v>
      </c>
      <c r="HO207" t="e">
        <f>AND(Bills!Y880,"AAAAAHa7/d4=")</f>
        <v>#VALUE!</v>
      </c>
      <c r="HP207" t="e">
        <f>AND(Bills!Z880,"AAAAAHa7/d8=")</f>
        <v>#VALUE!</v>
      </c>
      <c r="HQ207" t="e">
        <f>AND(Bills!#REF!,"AAAAAHa7/eA=")</f>
        <v>#REF!</v>
      </c>
      <c r="HR207" t="e">
        <f>AND(Bills!#REF!,"AAAAAHa7/eE=")</f>
        <v>#REF!</v>
      </c>
      <c r="HS207" t="e">
        <f>AND(Bills!#REF!,"AAAAAHa7/eI=")</f>
        <v>#REF!</v>
      </c>
      <c r="HT207" t="e">
        <f>AND(Bills!#REF!,"AAAAAHa7/eM=")</f>
        <v>#REF!</v>
      </c>
      <c r="HU207" t="e">
        <f>AND(Bills!#REF!,"AAAAAHa7/eQ=")</f>
        <v>#REF!</v>
      </c>
      <c r="HV207" t="e">
        <f>AND(Bills!#REF!,"AAAAAHa7/eU=")</f>
        <v>#REF!</v>
      </c>
      <c r="HW207" t="e">
        <f>AND(Bills!#REF!,"AAAAAHa7/eY=")</f>
        <v>#REF!</v>
      </c>
      <c r="HX207" t="e">
        <f>AND(Bills!#REF!,"AAAAAHa7/ec=")</f>
        <v>#REF!</v>
      </c>
      <c r="HY207" t="e">
        <f>AND(Bills!#REF!,"AAAAAHa7/eg=")</f>
        <v>#REF!</v>
      </c>
      <c r="HZ207" t="e">
        <f>AND(Bills!AA880,"AAAAAHa7/ek=")</f>
        <v>#VALUE!</v>
      </c>
      <c r="IA207" t="e">
        <f>AND(Bills!AB880,"AAAAAHa7/eo=")</f>
        <v>#VALUE!</v>
      </c>
      <c r="IB207" t="e">
        <f>AND(Bills!#REF!,"AAAAAHa7/es=")</f>
        <v>#REF!</v>
      </c>
      <c r="IC207" t="e">
        <f>AND(Bills!#REF!,"AAAAAHa7/ew=")</f>
        <v>#REF!</v>
      </c>
      <c r="ID207" t="e">
        <f>AND(Bills!#REF!,"AAAAAHa7/e0=")</f>
        <v>#REF!</v>
      </c>
      <c r="IE207" t="e">
        <f>AND(Bills!AC880,"AAAAAHa7/e4=")</f>
        <v>#VALUE!</v>
      </c>
      <c r="IF207" t="e">
        <f>AND(Bills!AD880,"AAAAAHa7/e8=")</f>
        <v>#VALUE!</v>
      </c>
      <c r="IG207" t="e">
        <f>AND(Bills!AE880,"AAAAAHa7/fA=")</f>
        <v>#VALUE!</v>
      </c>
      <c r="IH207">
        <f>IF(Bills!881:881,"AAAAAHa7/fE=",0)</f>
        <v>0</v>
      </c>
      <c r="II207" t="e">
        <f>AND(Bills!B881,"AAAAAHa7/fI=")</f>
        <v>#VALUE!</v>
      </c>
      <c r="IJ207" t="e">
        <f>AND(Bills!#REF!,"AAAAAHa7/fM=")</f>
        <v>#REF!</v>
      </c>
      <c r="IK207" t="e">
        <f>AND(Bills!C881,"AAAAAHa7/fQ=")</f>
        <v>#VALUE!</v>
      </c>
      <c r="IL207" t="e">
        <f>AND(Bills!D881,"AAAAAHa7/fU=")</f>
        <v>#VALUE!</v>
      </c>
      <c r="IM207" t="e">
        <f>AND(Bills!E881,"AAAAAHa7/fY=")</f>
        <v>#VALUE!</v>
      </c>
      <c r="IN207" t="e">
        <f>AND(Bills!#REF!,"AAAAAHa7/fc=")</f>
        <v>#REF!</v>
      </c>
      <c r="IO207" t="e">
        <f>AND(Bills!#REF!,"AAAAAHa7/fg=")</f>
        <v>#REF!</v>
      </c>
      <c r="IP207" t="e">
        <f>AND(Bills!#REF!,"AAAAAHa7/fk=")</f>
        <v>#REF!</v>
      </c>
      <c r="IQ207" t="e">
        <f>AND(Bills!F881,"AAAAAHa7/fo=")</f>
        <v>#VALUE!</v>
      </c>
      <c r="IR207" t="e">
        <f>AND(Bills!#REF!,"AAAAAHa7/fs=")</f>
        <v>#REF!</v>
      </c>
      <c r="IS207" t="e">
        <f>AND(Bills!G881,"AAAAAHa7/fw=")</f>
        <v>#VALUE!</v>
      </c>
      <c r="IT207" t="e">
        <f>AND(Bills!H881,"AAAAAHa7/f0=")</f>
        <v>#VALUE!</v>
      </c>
      <c r="IU207" t="e">
        <f>AND(Bills!I881,"AAAAAHa7/f4=")</f>
        <v>#VALUE!</v>
      </c>
      <c r="IV207" t="e">
        <f>AND(Bills!J881,"AAAAAHa7/f8=")</f>
        <v>#VALUE!</v>
      </c>
    </row>
    <row r="208" spans="1:256" x14ac:dyDescent="0.25">
      <c r="A208" t="e">
        <f>AND(Bills!K881,"AAAAAE+ztQA=")</f>
        <v>#VALUE!</v>
      </c>
      <c r="B208" t="e">
        <f>AND(Bills!L881,"AAAAAE+ztQE=")</f>
        <v>#VALUE!</v>
      </c>
      <c r="C208" t="e">
        <f>AND(Bills!#REF!,"AAAAAE+ztQI=")</f>
        <v>#REF!</v>
      </c>
      <c r="D208" t="e">
        <f>AND(Bills!M881,"AAAAAE+ztQM=")</f>
        <v>#VALUE!</v>
      </c>
      <c r="E208" t="e">
        <f>AND(Bills!N881,"AAAAAE+ztQQ=")</f>
        <v>#VALUE!</v>
      </c>
      <c r="F208" t="e">
        <f>AND(Bills!O881,"AAAAAE+ztQU=")</f>
        <v>#VALUE!</v>
      </c>
      <c r="G208" t="e">
        <f>AND(Bills!P881,"AAAAAE+ztQY=")</f>
        <v>#VALUE!</v>
      </c>
      <c r="H208" t="e">
        <f>AND(Bills!Q881,"AAAAAE+ztQc=")</f>
        <v>#VALUE!</v>
      </c>
      <c r="I208" t="e">
        <f>AND(Bills!R881,"AAAAAE+ztQg=")</f>
        <v>#VALUE!</v>
      </c>
      <c r="J208" t="e">
        <f>AND(Bills!S881,"AAAAAE+ztQk=")</f>
        <v>#VALUE!</v>
      </c>
      <c r="K208" t="e">
        <f>AND(Bills!T881,"AAAAAE+ztQo=")</f>
        <v>#VALUE!</v>
      </c>
      <c r="L208" t="e">
        <f>AND(Bills!#REF!,"AAAAAE+ztQs=")</f>
        <v>#REF!</v>
      </c>
      <c r="M208" t="e">
        <f>AND(Bills!U881,"AAAAAE+ztQw=")</f>
        <v>#VALUE!</v>
      </c>
      <c r="N208" t="e">
        <f>AND(Bills!V881,"AAAAAE+ztQ0=")</f>
        <v>#VALUE!</v>
      </c>
      <c r="O208" t="e">
        <f>AND(Bills!W881,"AAAAAE+ztQ4=")</f>
        <v>#VALUE!</v>
      </c>
      <c r="P208" t="e">
        <f>AND(Bills!#REF!,"AAAAAE+ztQ8=")</f>
        <v>#REF!</v>
      </c>
      <c r="Q208" t="e">
        <f>AND(Bills!#REF!,"AAAAAE+ztRA=")</f>
        <v>#REF!</v>
      </c>
      <c r="R208" t="e">
        <f>AND(Bills!Y881,"AAAAAE+ztRE=")</f>
        <v>#VALUE!</v>
      </c>
      <c r="S208" t="e">
        <f>AND(Bills!Z881,"AAAAAE+ztRI=")</f>
        <v>#VALUE!</v>
      </c>
      <c r="T208" t="e">
        <f>AND(Bills!#REF!,"AAAAAE+ztRM=")</f>
        <v>#REF!</v>
      </c>
      <c r="U208" t="e">
        <f>AND(Bills!#REF!,"AAAAAE+ztRQ=")</f>
        <v>#REF!</v>
      </c>
      <c r="V208" t="e">
        <f>AND(Bills!#REF!,"AAAAAE+ztRU=")</f>
        <v>#REF!</v>
      </c>
      <c r="W208" t="e">
        <f>AND(Bills!#REF!,"AAAAAE+ztRY=")</f>
        <v>#REF!</v>
      </c>
      <c r="X208" t="e">
        <f>AND(Bills!#REF!,"AAAAAE+ztRc=")</f>
        <v>#REF!</v>
      </c>
      <c r="Y208" t="e">
        <f>AND(Bills!#REF!,"AAAAAE+ztRg=")</f>
        <v>#REF!</v>
      </c>
      <c r="Z208" t="e">
        <f>AND(Bills!#REF!,"AAAAAE+ztRk=")</f>
        <v>#REF!</v>
      </c>
      <c r="AA208" t="e">
        <f>AND(Bills!#REF!,"AAAAAE+ztRo=")</f>
        <v>#REF!</v>
      </c>
      <c r="AB208" t="e">
        <f>AND(Bills!#REF!,"AAAAAE+ztRs=")</f>
        <v>#REF!</v>
      </c>
      <c r="AC208" t="e">
        <f>AND(Bills!AA881,"AAAAAE+ztRw=")</f>
        <v>#VALUE!</v>
      </c>
      <c r="AD208" t="e">
        <f>AND(Bills!AB881,"AAAAAE+ztR0=")</f>
        <v>#VALUE!</v>
      </c>
      <c r="AE208" t="e">
        <f>AND(Bills!#REF!,"AAAAAE+ztR4=")</f>
        <v>#REF!</v>
      </c>
      <c r="AF208" t="e">
        <f>AND(Bills!#REF!,"AAAAAE+ztR8=")</f>
        <v>#REF!</v>
      </c>
      <c r="AG208" t="e">
        <f>AND(Bills!#REF!,"AAAAAE+ztSA=")</f>
        <v>#REF!</v>
      </c>
      <c r="AH208" t="e">
        <f>AND(Bills!AC881,"AAAAAE+ztSE=")</f>
        <v>#VALUE!</v>
      </c>
      <c r="AI208" t="e">
        <f>AND(Bills!AD881,"AAAAAE+ztSI=")</f>
        <v>#VALUE!</v>
      </c>
      <c r="AJ208" t="e">
        <f>AND(Bills!AE881,"AAAAAE+ztSM=")</f>
        <v>#VALUE!</v>
      </c>
      <c r="AK208">
        <f>IF(Bills!882:882,"AAAAAE+ztSQ=",0)</f>
        <v>0</v>
      </c>
      <c r="AL208" t="e">
        <f>AND(Bills!B882,"AAAAAE+ztSU=")</f>
        <v>#VALUE!</v>
      </c>
      <c r="AM208" t="e">
        <f>AND(Bills!#REF!,"AAAAAE+ztSY=")</f>
        <v>#REF!</v>
      </c>
      <c r="AN208" t="e">
        <f>AND(Bills!C882,"AAAAAE+ztSc=")</f>
        <v>#VALUE!</v>
      </c>
      <c r="AO208" t="e">
        <f>AND(Bills!D882,"AAAAAE+ztSg=")</f>
        <v>#VALUE!</v>
      </c>
      <c r="AP208" t="e">
        <f>AND(Bills!E882,"AAAAAE+ztSk=")</f>
        <v>#VALUE!</v>
      </c>
      <c r="AQ208" t="e">
        <f>AND(Bills!#REF!,"AAAAAE+ztSo=")</f>
        <v>#REF!</v>
      </c>
      <c r="AR208" t="e">
        <f>AND(Bills!#REF!,"AAAAAE+ztSs=")</f>
        <v>#REF!</v>
      </c>
      <c r="AS208" t="e">
        <f>AND(Bills!#REF!,"AAAAAE+ztSw=")</f>
        <v>#REF!</v>
      </c>
      <c r="AT208" t="e">
        <f>AND(Bills!F882,"AAAAAE+ztS0=")</f>
        <v>#VALUE!</v>
      </c>
      <c r="AU208" t="e">
        <f>AND(Bills!#REF!,"AAAAAE+ztS4=")</f>
        <v>#REF!</v>
      </c>
      <c r="AV208" t="e">
        <f>AND(Bills!G882,"AAAAAE+ztS8=")</f>
        <v>#VALUE!</v>
      </c>
      <c r="AW208" t="e">
        <f>AND(Bills!H882,"AAAAAE+ztTA=")</f>
        <v>#VALUE!</v>
      </c>
      <c r="AX208" t="e">
        <f>AND(Bills!I882,"AAAAAE+ztTE=")</f>
        <v>#VALUE!</v>
      </c>
      <c r="AY208" t="e">
        <f>AND(Bills!J882,"AAAAAE+ztTI=")</f>
        <v>#VALUE!</v>
      </c>
      <c r="AZ208" t="e">
        <f>AND(Bills!K882,"AAAAAE+ztTM=")</f>
        <v>#VALUE!</v>
      </c>
      <c r="BA208" t="e">
        <f>AND(Bills!L882,"AAAAAE+ztTQ=")</f>
        <v>#VALUE!</v>
      </c>
      <c r="BB208" t="e">
        <f>AND(Bills!#REF!,"AAAAAE+ztTU=")</f>
        <v>#REF!</v>
      </c>
      <c r="BC208" t="e">
        <f>AND(Bills!M882,"AAAAAE+ztTY=")</f>
        <v>#VALUE!</v>
      </c>
      <c r="BD208" t="e">
        <f>AND(Bills!N882,"AAAAAE+ztTc=")</f>
        <v>#VALUE!</v>
      </c>
      <c r="BE208" t="e">
        <f>AND(Bills!O882,"AAAAAE+ztTg=")</f>
        <v>#VALUE!</v>
      </c>
      <c r="BF208" t="e">
        <f>AND(Bills!P882,"AAAAAE+ztTk=")</f>
        <v>#VALUE!</v>
      </c>
      <c r="BG208" t="e">
        <f>AND(Bills!Q882,"AAAAAE+ztTo=")</f>
        <v>#VALUE!</v>
      </c>
      <c r="BH208" t="e">
        <f>AND(Bills!R882,"AAAAAE+ztTs=")</f>
        <v>#VALUE!</v>
      </c>
      <c r="BI208" t="e">
        <f>AND(Bills!S882,"AAAAAE+ztTw=")</f>
        <v>#VALUE!</v>
      </c>
      <c r="BJ208" t="e">
        <f>AND(Bills!T882,"AAAAAE+ztT0=")</f>
        <v>#VALUE!</v>
      </c>
      <c r="BK208" t="e">
        <f>AND(Bills!#REF!,"AAAAAE+ztT4=")</f>
        <v>#REF!</v>
      </c>
      <c r="BL208" t="e">
        <f>AND(Bills!U882,"AAAAAE+ztT8=")</f>
        <v>#VALUE!</v>
      </c>
      <c r="BM208" t="e">
        <f>AND(Bills!V882,"AAAAAE+ztUA=")</f>
        <v>#VALUE!</v>
      </c>
      <c r="BN208" t="e">
        <f>AND(Bills!W882,"AAAAAE+ztUE=")</f>
        <v>#VALUE!</v>
      </c>
      <c r="BO208" t="e">
        <f>AND(Bills!#REF!,"AAAAAE+ztUI=")</f>
        <v>#REF!</v>
      </c>
      <c r="BP208" t="e">
        <f>AND(Bills!#REF!,"AAAAAE+ztUM=")</f>
        <v>#REF!</v>
      </c>
      <c r="BQ208" t="e">
        <f>AND(Bills!Y882,"AAAAAE+ztUQ=")</f>
        <v>#VALUE!</v>
      </c>
      <c r="BR208" t="e">
        <f>AND(Bills!Z882,"AAAAAE+ztUU=")</f>
        <v>#VALUE!</v>
      </c>
      <c r="BS208" t="e">
        <f>AND(Bills!#REF!,"AAAAAE+ztUY=")</f>
        <v>#REF!</v>
      </c>
      <c r="BT208" t="e">
        <f>AND(Bills!#REF!,"AAAAAE+ztUc=")</f>
        <v>#REF!</v>
      </c>
      <c r="BU208" t="e">
        <f>AND(Bills!#REF!,"AAAAAE+ztUg=")</f>
        <v>#REF!</v>
      </c>
      <c r="BV208" t="e">
        <f>AND(Bills!#REF!,"AAAAAE+ztUk=")</f>
        <v>#REF!</v>
      </c>
      <c r="BW208" t="e">
        <f>AND(Bills!#REF!,"AAAAAE+ztUo=")</f>
        <v>#REF!</v>
      </c>
      <c r="BX208" t="e">
        <f>AND(Bills!#REF!,"AAAAAE+ztUs=")</f>
        <v>#REF!</v>
      </c>
      <c r="BY208" t="e">
        <f>AND(Bills!#REF!,"AAAAAE+ztUw=")</f>
        <v>#REF!</v>
      </c>
      <c r="BZ208" t="e">
        <f>AND(Bills!#REF!,"AAAAAE+ztU0=")</f>
        <v>#REF!</v>
      </c>
      <c r="CA208" t="e">
        <f>AND(Bills!#REF!,"AAAAAE+ztU4=")</f>
        <v>#REF!</v>
      </c>
      <c r="CB208" t="e">
        <f>AND(Bills!AA882,"AAAAAE+ztU8=")</f>
        <v>#VALUE!</v>
      </c>
      <c r="CC208" t="e">
        <f>AND(Bills!AB882,"AAAAAE+ztVA=")</f>
        <v>#VALUE!</v>
      </c>
      <c r="CD208" t="e">
        <f>AND(Bills!#REF!,"AAAAAE+ztVE=")</f>
        <v>#REF!</v>
      </c>
      <c r="CE208" t="e">
        <f>AND(Bills!#REF!,"AAAAAE+ztVI=")</f>
        <v>#REF!</v>
      </c>
      <c r="CF208" t="e">
        <f>AND(Bills!#REF!,"AAAAAE+ztVM=")</f>
        <v>#REF!</v>
      </c>
      <c r="CG208" t="e">
        <f>AND(Bills!AC882,"AAAAAE+ztVQ=")</f>
        <v>#VALUE!</v>
      </c>
      <c r="CH208" t="e">
        <f>AND(Bills!AD882,"AAAAAE+ztVU=")</f>
        <v>#VALUE!</v>
      </c>
      <c r="CI208" t="e">
        <f>AND(Bills!AE882,"AAAAAE+ztVY=")</f>
        <v>#VALUE!</v>
      </c>
      <c r="CJ208">
        <f>IF(Bills!883:883,"AAAAAE+ztVc=",0)</f>
        <v>0</v>
      </c>
      <c r="CK208" t="e">
        <f>AND(Bills!B883,"AAAAAE+ztVg=")</f>
        <v>#VALUE!</v>
      </c>
      <c r="CL208" t="e">
        <f>AND(Bills!#REF!,"AAAAAE+ztVk=")</f>
        <v>#REF!</v>
      </c>
      <c r="CM208" t="e">
        <f>AND(Bills!C883,"AAAAAE+ztVo=")</f>
        <v>#VALUE!</v>
      </c>
      <c r="CN208" t="e">
        <f>AND(Bills!D883,"AAAAAE+ztVs=")</f>
        <v>#VALUE!</v>
      </c>
      <c r="CO208" t="e">
        <f>AND(Bills!E883,"AAAAAE+ztVw=")</f>
        <v>#VALUE!</v>
      </c>
      <c r="CP208" t="e">
        <f>AND(Bills!#REF!,"AAAAAE+ztV0=")</f>
        <v>#REF!</v>
      </c>
      <c r="CQ208" t="e">
        <f>AND(Bills!#REF!,"AAAAAE+ztV4=")</f>
        <v>#REF!</v>
      </c>
      <c r="CR208" t="e">
        <f>AND(Bills!#REF!,"AAAAAE+ztV8=")</f>
        <v>#REF!</v>
      </c>
      <c r="CS208" t="e">
        <f>AND(Bills!F883,"AAAAAE+ztWA=")</f>
        <v>#VALUE!</v>
      </c>
      <c r="CT208" t="e">
        <f>AND(Bills!#REF!,"AAAAAE+ztWE=")</f>
        <v>#REF!</v>
      </c>
      <c r="CU208" t="e">
        <f>AND(Bills!G883,"AAAAAE+ztWI=")</f>
        <v>#VALUE!</v>
      </c>
      <c r="CV208" t="e">
        <f>AND(Bills!H883,"AAAAAE+ztWM=")</f>
        <v>#VALUE!</v>
      </c>
      <c r="CW208" t="e">
        <f>AND(Bills!I883,"AAAAAE+ztWQ=")</f>
        <v>#VALUE!</v>
      </c>
      <c r="CX208" t="e">
        <f>AND(Bills!J883,"AAAAAE+ztWU=")</f>
        <v>#VALUE!</v>
      </c>
      <c r="CY208" t="e">
        <f>AND(Bills!K883,"AAAAAE+ztWY=")</f>
        <v>#VALUE!</v>
      </c>
      <c r="CZ208" t="e">
        <f>AND(Bills!L883,"AAAAAE+ztWc=")</f>
        <v>#VALUE!</v>
      </c>
      <c r="DA208" t="e">
        <f>AND(Bills!#REF!,"AAAAAE+ztWg=")</f>
        <v>#REF!</v>
      </c>
      <c r="DB208" t="e">
        <f>AND(Bills!M883,"AAAAAE+ztWk=")</f>
        <v>#VALUE!</v>
      </c>
      <c r="DC208" t="e">
        <f>AND(Bills!N883,"AAAAAE+ztWo=")</f>
        <v>#VALUE!</v>
      </c>
      <c r="DD208" t="e">
        <f>AND(Bills!O883,"AAAAAE+ztWs=")</f>
        <v>#VALUE!</v>
      </c>
      <c r="DE208" t="e">
        <f>AND(Bills!P883,"AAAAAE+ztWw=")</f>
        <v>#VALUE!</v>
      </c>
      <c r="DF208" t="e">
        <f>AND(Bills!Q883,"AAAAAE+ztW0=")</f>
        <v>#VALUE!</v>
      </c>
      <c r="DG208" t="e">
        <f>AND(Bills!R883,"AAAAAE+ztW4=")</f>
        <v>#VALUE!</v>
      </c>
      <c r="DH208" t="e">
        <f>AND(Bills!S883,"AAAAAE+ztW8=")</f>
        <v>#VALUE!</v>
      </c>
      <c r="DI208" t="e">
        <f>AND(Bills!T883,"AAAAAE+ztXA=")</f>
        <v>#VALUE!</v>
      </c>
      <c r="DJ208" t="e">
        <f>AND(Bills!#REF!,"AAAAAE+ztXE=")</f>
        <v>#REF!</v>
      </c>
      <c r="DK208" t="e">
        <f>AND(Bills!U883,"AAAAAE+ztXI=")</f>
        <v>#VALUE!</v>
      </c>
      <c r="DL208" t="e">
        <f>AND(Bills!V883,"AAAAAE+ztXM=")</f>
        <v>#VALUE!</v>
      </c>
      <c r="DM208" t="e">
        <f>AND(Bills!W883,"AAAAAE+ztXQ=")</f>
        <v>#VALUE!</v>
      </c>
      <c r="DN208" t="e">
        <f>AND(Bills!#REF!,"AAAAAE+ztXU=")</f>
        <v>#REF!</v>
      </c>
      <c r="DO208" t="e">
        <f>AND(Bills!#REF!,"AAAAAE+ztXY=")</f>
        <v>#REF!</v>
      </c>
      <c r="DP208" t="e">
        <f>AND(Bills!Y883,"AAAAAE+ztXc=")</f>
        <v>#VALUE!</v>
      </c>
      <c r="DQ208" t="e">
        <f>AND(Bills!Z883,"AAAAAE+ztXg=")</f>
        <v>#VALUE!</v>
      </c>
      <c r="DR208" t="e">
        <f>AND(Bills!#REF!,"AAAAAE+ztXk=")</f>
        <v>#REF!</v>
      </c>
      <c r="DS208" t="e">
        <f>AND(Bills!#REF!,"AAAAAE+ztXo=")</f>
        <v>#REF!</v>
      </c>
      <c r="DT208" t="e">
        <f>AND(Bills!#REF!,"AAAAAE+ztXs=")</f>
        <v>#REF!</v>
      </c>
      <c r="DU208" t="e">
        <f>AND(Bills!#REF!,"AAAAAE+ztXw=")</f>
        <v>#REF!</v>
      </c>
      <c r="DV208" t="e">
        <f>AND(Bills!#REF!,"AAAAAE+ztX0=")</f>
        <v>#REF!</v>
      </c>
      <c r="DW208" t="e">
        <f>AND(Bills!#REF!,"AAAAAE+ztX4=")</f>
        <v>#REF!</v>
      </c>
      <c r="DX208" t="e">
        <f>AND(Bills!#REF!,"AAAAAE+ztX8=")</f>
        <v>#REF!</v>
      </c>
      <c r="DY208" t="e">
        <f>AND(Bills!#REF!,"AAAAAE+ztYA=")</f>
        <v>#REF!</v>
      </c>
      <c r="DZ208" t="e">
        <f>AND(Bills!#REF!,"AAAAAE+ztYE=")</f>
        <v>#REF!</v>
      </c>
      <c r="EA208" t="e">
        <f>AND(Bills!AA883,"AAAAAE+ztYI=")</f>
        <v>#VALUE!</v>
      </c>
      <c r="EB208" t="e">
        <f>AND(Bills!AB883,"AAAAAE+ztYM=")</f>
        <v>#VALUE!</v>
      </c>
      <c r="EC208" t="e">
        <f>AND(Bills!#REF!,"AAAAAE+ztYQ=")</f>
        <v>#REF!</v>
      </c>
      <c r="ED208" t="e">
        <f>AND(Bills!#REF!,"AAAAAE+ztYU=")</f>
        <v>#REF!</v>
      </c>
      <c r="EE208" t="e">
        <f>AND(Bills!#REF!,"AAAAAE+ztYY=")</f>
        <v>#REF!</v>
      </c>
      <c r="EF208" t="e">
        <f>AND(Bills!AC883,"AAAAAE+ztYc=")</f>
        <v>#VALUE!</v>
      </c>
      <c r="EG208" t="e">
        <f>AND(Bills!AD883,"AAAAAE+ztYg=")</f>
        <v>#VALUE!</v>
      </c>
      <c r="EH208" t="e">
        <f>AND(Bills!AE883,"AAAAAE+ztYk=")</f>
        <v>#VALUE!</v>
      </c>
      <c r="EI208">
        <f>IF(Bills!884:884,"AAAAAE+ztYo=",0)</f>
        <v>0</v>
      </c>
      <c r="EJ208" t="e">
        <f>AND(Bills!B884,"AAAAAE+ztYs=")</f>
        <v>#VALUE!</v>
      </c>
      <c r="EK208" t="e">
        <f>AND(Bills!#REF!,"AAAAAE+ztYw=")</f>
        <v>#REF!</v>
      </c>
      <c r="EL208" t="e">
        <f>AND(Bills!C884,"AAAAAE+ztY0=")</f>
        <v>#VALUE!</v>
      </c>
      <c r="EM208" t="e">
        <f>AND(Bills!D884,"AAAAAE+ztY4=")</f>
        <v>#VALUE!</v>
      </c>
      <c r="EN208" t="e">
        <f>AND(Bills!E884,"AAAAAE+ztY8=")</f>
        <v>#VALUE!</v>
      </c>
      <c r="EO208" t="e">
        <f>AND(Bills!#REF!,"AAAAAE+ztZA=")</f>
        <v>#REF!</v>
      </c>
      <c r="EP208" t="e">
        <f>AND(Bills!#REF!,"AAAAAE+ztZE=")</f>
        <v>#REF!</v>
      </c>
      <c r="EQ208" t="e">
        <f>AND(Bills!#REF!,"AAAAAE+ztZI=")</f>
        <v>#REF!</v>
      </c>
      <c r="ER208" t="e">
        <f>AND(Bills!F884,"AAAAAE+ztZM=")</f>
        <v>#VALUE!</v>
      </c>
      <c r="ES208" t="e">
        <f>AND(Bills!#REF!,"AAAAAE+ztZQ=")</f>
        <v>#REF!</v>
      </c>
      <c r="ET208" t="e">
        <f>AND(Bills!G884,"AAAAAE+ztZU=")</f>
        <v>#VALUE!</v>
      </c>
      <c r="EU208" t="e">
        <f>AND(Bills!H884,"AAAAAE+ztZY=")</f>
        <v>#VALUE!</v>
      </c>
      <c r="EV208" t="e">
        <f>AND(Bills!I884,"AAAAAE+ztZc=")</f>
        <v>#VALUE!</v>
      </c>
      <c r="EW208" t="e">
        <f>AND(Bills!J884,"AAAAAE+ztZg=")</f>
        <v>#VALUE!</v>
      </c>
      <c r="EX208" t="e">
        <f>AND(Bills!K884,"AAAAAE+ztZk=")</f>
        <v>#VALUE!</v>
      </c>
      <c r="EY208" t="e">
        <f>AND(Bills!L884,"AAAAAE+ztZo=")</f>
        <v>#VALUE!</v>
      </c>
      <c r="EZ208" t="e">
        <f>AND(Bills!#REF!,"AAAAAE+ztZs=")</f>
        <v>#REF!</v>
      </c>
      <c r="FA208" t="e">
        <f>AND(Bills!M884,"AAAAAE+ztZw=")</f>
        <v>#VALUE!</v>
      </c>
      <c r="FB208" t="e">
        <f>AND(Bills!N884,"AAAAAE+ztZ0=")</f>
        <v>#VALUE!</v>
      </c>
      <c r="FC208" t="e">
        <f>AND(Bills!O884,"AAAAAE+ztZ4=")</f>
        <v>#VALUE!</v>
      </c>
      <c r="FD208" t="e">
        <f>AND(Bills!P884,"AAAAAE+ztZ8=")</f>
        <v>#VALUE!</v>
      </c>
      <c r="FE208" t="e">
        <f>AND(Bills!Q884,"AAAAAE+ztaA=")</f>
        <v>#VALUE!</v>
      </c>
      <c r="FF208" t="e">
        <f>AND(Bills!R884,"AAAAAE+ztaE=")</f>
        <v>#VALUE!</v>
      </c>
      <c r="FG208" t="e">
        <f>AND(Bills!S884,"AAAAAE+ztaI=")</f>
        <v>#VALUE!</v>
      </c>
      <c r="FH208" t="e">
        <f>AND(Bills!T884,"AAAAAE+ztaM=")</f>
        <v>#VALUE!</v>
      </c>
      <c r="FI208" t="e">
        <f>AND(Bills!#REF!,"AAAAAE+ztaQ=")</f>
        <v>#REF!</v>
      </c>
      <c r="FJ208" t="e">
        <f>AND(Bills!U884,"AAAAAE+ztaU=")</f>
        <v>#VALUE!</v>
      </c>
      <c r="FK208" t="e">
        <f>AND(Bills!V884,"AAAAAE+ztaY=")</f>
        <v>#VALUE!</v>
      </c>
      <c r="FL208" t="e">
        <f>AND(Bills!W884,"AAAAAE+ztac=")</f>
        <v>#VALUE!</v>
      </c>
      <c r="FM208" t="e">
        <f>AND(Bills!#REF!,"AAAAAE+ztag=")</f>
        <v>#REF!</v>
      </c>
      <c r="FN208" t="e">
        <f>AND(Bills!#REF!,"AAAAAE+ztak=")</f>
        <v>#REF!</v>
      </c>
      <c r="FO208" t="e">
        <f>AND(Bills!Y884,"AAAAAE+ztao=")</f>
        <v>#VALUE!</v>
      </c>
      <c r="FP208" t="e">
        <f>AND(Bills!Z884,"AAAAAE+ztas=")</f>
        <v>#VALUE!</v>
      </c>
      <c r="FQ208" t="e">
        <f>AND(Bills!#REF!,"AAAAAE+ztaw=")</f>
        <v>#REF!</v>
      </c>
      <c r="FR208" t="e">
        <f>AND(Bills!#REF!,"AAAAAE+zta0=")</f>
        <v>#REF!</v>
      </c>
      <c r="FS208" t="e">
        <f>AND(Bills!#REF!,"AAAAAE+zta4=")</f>
        <v>#REF!</v>
      </c>
      <c r="FT208" t="e">
        <f>AND(Bills!#REF!,"AAAAAE+zta8=")</f>
        <v>#REF!</v>
      </c>
      <c r="FU208" t="e">
        <f>AND(Bills!#REF!,"AAAAAE+ztbA=")</f>
        <v>#REF!</v>
      </c>
      <c r="FV208" t="e">
        <f>AND(Bills!#REF!,"AAAAAE+ztbE=")</f>
        <v>#REF!</v>
      </c>
      <c r="FW208" t="e">
        <f>AND(Bills!#REF!,"AAAAAE+ztbI=")</f>
        <v>#REF!</v>
      </c>
      <c r="FX208" t="e">
        <f>AND(Bills!#REF!,"AAAAAE+ztbM=")</f>
        <v>#REF!</v>
      </c>
      <c r="FY208" t="e">
        <f>AND(Bills!#REF!,"AAAAAE+ztbQ=")</f>
        <v>#REF!</v>
      </c>
      <c r="FZ208" t="e">
        <f>AND(Bills!AA884,"AAAAAE+ztbU=")</f>
        <v>#VALUE!</v>
      </c>
      <c r="GA208" t="e">
        <f>AND(Bills!AB884,"AAAAAE+ztbY=")</f>
        <v>#VALUE!</v>
      </c>
      <c r="GB208" t="e">
        <f>AND(Bills!#REF!,"AAAAAE+ztbc=")</f>
        <v>#REF!</v>
      </c>
      <c r="GC208" t="e">
        <f>AND(Bills!#REF!,"AAAAAE+ztbg=")</f>
        <v>#REF!</v>
      </c>
      <c r="GD208" t="e">
        <f>AND(Bills!#REF!,"AAAAAE+ztbk=")</f>
        <v>#REF!</v>
      </c>
      <c r="GE208" t="e">
        <f>AND(Bills!AC884,"AAAAAE+ztbo=")</f>
        <v>#VALUE!</v>
      </c>
      <c r="GF208" t="e">
        <f>AND(Bills!AD884,"AAAAAE+ztbs=")</f>
        <v>#VALUE!</v>
      </c>
      <c r="GG208" t="e">
        <f>AND(Bills!AE884,"AAAAAE+ztbw=")</f>
        <v>#VALUE!</v>
      </c>
      <c r="GH208">
        <f>IF(Bills!885:885,"AAAAAE+ztb0=",0)</f>
        <v>0</v>
      </c>
      <c r="GI208" t="e">
        <f>AND(Bills!B885,"AAAAAE+ztb4=")</f>
        <v>#VALUE!</v>
      </c>
      <c r="GJ208" t="e">
        <f>AND(Bills!#REF!,"AAAAAE+ztb8=")</f>
        <v>#REF!</v>
      </c>
      <c r="GK208" t="e">
        <f>AND(Bills!C885,"AAAAAE+ztcA=")</f>
        <v>#VALUE!</v>
      </c>
      <c r="GL208" t="e">
        <f>AND(Bills!D885,"AAAAAE+ztcE=")</f>
        <v>#VALUE!</v>
      </c>
      <c r="GM208" t="e">
        <f>AND(Bills!E885,"AAAAAE+ztcI=")</f>
        <v>#VALUE!</v>
      </c>
      <c r="GN208" t="e">
        <f>AND(Bills!#REF!,"AAAAAE+ztcM=")</f>
        <v>#REF!</v>
      </c>
      <c r="GO208" t="e">
        <f>AND(Bills!#REF!,"AAAAAE+ztcQ=")</f>
        <v>#REF!</v>
      </c>
      <c r="GP208" t="e">
        <f>AND(Bills!#REF!,"AAAAAE+ztcU=")</f>
        <v>#REF!</v>
      </c>
      <c r="GQ208" t="e">
        <f>AND(Bills!F885,"AAAAAE+ztcY=")</f>
        <v>#VALUE!</v>
      </c>
      <c r="GR208" t="e">
        <f>AND(Bills!#REF!,"AAAAAE+ztcc=")</f>
        <v>#REF!</v>
      </c>
      <c r="GS208" t="e">
        <f>AND(Bills!G885,"AAAAAE+ztcg=")</f>
        <v>#VALUE!</v>
      </c>
      <c r="GT208" t="e">
        <f>AND(Bills!H885,"AAAAAE+ztck=")</f>
        <v>#VALUE!</v>
      </c>
      <c r="GU208" t="e">
        <f>AND(Bills!I885,"AAAAAE+ztco=")</f>
        <v>#VALUE!</v>
      </c>
      <c r="GV208" t="e">
        <f>AND(Bills!J885,"AAAAAE+ztcs=")</f>
        <v>#VALUE!</v>
      </c>
      <c r="GW208" t="e">
        <f>AND(Bills!K885,"AAAAAE+ztcw=")</f>
        <v>#VALUE!</v>
      </c>
      <c r="GX208" t="e">
        <f>AND(Bills!L885,"AAAAAE+ztc0=")</f>
        <v>#VALUE!</v>
      </c>
      <c r="GY208" t="e">
        <f>AND(Bills!#REF!,"AAAAAE+ztc4=")</f>
        <v>#REF!</v>
      </c>
      <c r="GZ208" t="e">
        <f>AND(Bills!M885,"AAAAAE+ztc8=")</f>
        <v>#VALUE!</v>
      </c>
      <c r="HA208" t="e">
        <f>AND(Bills!N885,"AAAAAE+ztdA=")</f>
        <v>#VALUE!</v>
      </c>
      <c r="HB208" t="e">
        <f>AND(Bills!O885,"AAAAAE+ztdE=")</f>
        <v>#VALUE!</v>
      </c>
      <c r="HC208" t="e">
        <f>AND(Bills!P885,"AAAAAE+ztdI=")</f>
        <v>#VALUE!</v>
      </c>
      <c r="HD208" t="e">
        <f>AND(Bills!Q885,"AAAAAE+ztdM=")</f>
        <v>#VALUE!</v>
      </c>
      <c r="HE208" t="e">
        <f>AND(Bills!R885,"AAAAAE+ztdQ=")</f>
        <v>#VALUE!</v>
      </c>
      <c r="HF208" t="e">
        <f>AND(Bills!S885,"AAAAAE+ztdU=")</f>
        <v>#VALUE!</v>
      </c>
      <c r="HG208" t="e">
        <f>AND(Bills!T885,"AAAAAE+ztdY=")</f>
        <v>#VALUE!</v>
      </c>
      <c r="HH208" t="e">
        <f>AND(Bills!#REF!,"AAAAAE+ztdc=")</f>
        <v>#REF!</v>
      </c>
      <c r="HI208" t="e">
        <f>AND(Bills!U885,"AAAAAE+ztdg=")</f>
        <v>#VALUE!</v>
      </c>
      <c r="HJ208" t="e">
        <f>AND(Bills!V885,"AAAAAE+ztdk=")</f>
        <v>#VALUE!</v>
      </c>
      <c r="HK208" t="e">
        <f>AND(Bills!W885,"AAAAAE+ztdo=")</f>
        <v>#VALUE!</v>
      </c>
      <c r="HL208" t="e">
        <f>AND(Bills!#REF!,"AAAAAE+ztds=")</f>
        <v>#REF!</v>
      </c>
      <c r="HM208" t="e">
        <f>AND(Bills!#REF!,"AAAAAE+ztdw=")</f>
        <v>#REF!</v>
      </c>
      <c r="HN208" t="e">
        <f>AND(Bills!Y885,"AAAAAE+ztd0=")</f>
        <v>#VALUE!</v>
      </c>
      <c r="HO208" t="e">
        <f>AND(Bills!Z885,"AAAAAE+ztd4=")</f>
        <v>#VALUE!</v>
      </c>
      <c r="HP208" t="e">
        <f>AND(Bills!#REF!,"AAAAAE+ztd8=")</f>
        <v>#REF!</v>
      </c>
      <c r="HQ208" t="e">
        <f>AND(Bills!#REF!,"AAAAAE+zteA=")</f>
        <v>#REF!</v>
      </c>
      <c r="HR208" t="e">
        <f>AND(Bills!#REF!,"AAAAAE+zteE=")</f>
        <v>#REF!</v>
      </c>
      <c r="HS208" t="e">
        <f>AND(Bills!#REF!,"AAAAAE+zteI=")</f>
        <v>#REF!</v>
      </c>
      <c r="HT208" t="e">
        <f>AND(Bills!#REF!,"AAAAAE+zteM=")</f>
        <v>#REF!</v>
      </c>
      <c r="HU208" t="e">
        <f>AND(Bills!#REF!,"AAAAAE+zteQ=")</f>
        <v>#REF!</v>
      </c>
      <c r="HV208" t="e">
        <f>AND(Bills!#REF!,"AAAAAE+zteU=")</f>
        <v>#REF!</v>
      </c>
      <c r="HW208" t="e">
        <f>AND(Bills!#REF!,"AAAAAE+zteY=")</f>
        <v>#REF!</v>
      </c>
      <c r="HX208" t="e">
        <f>AND(Bills!#REF!,"AAAAAE+ztec=")</f>
        <v>#REF!</v>
      </c>
      <c r="HY208" t="e">
        <f>AND(Bills!AA885,"AAAAAE+zteg=")</f>
        <v>#VALUE!</v>
      </c>
      <c r="HZ208" t="e">
        <f>AND(Bills!AB885,"AAAAAE+ztek=")</f>
        <v>#VALUE!</v>
      </c>
      <c r="IA208" t="e">
        <f>AND(Bills!#REF!,"AAAAAE+zteo=")</f>
        <v>#REF!</v>
      </c>
      <c r="IB208" t="e">
        <f>AND(Bills!#REF!,"AAAAAE+ztes=")</f>
        <v>#REF!</v>
      </c>
      <c r="IC208" t="e">
        <f>AND(Bills!#REF!,"AAAAAE+ztew=")</f>
        <v>#REF!</v>
      </c>
      <c r="ID208" t="e">
        <f>AND(Bills!AC885,"AAAAAE+zte0=")</f>
        <v>#VALUE!</v>
      </c>
      <c r="IE208" t="e">
        <f>AND(Bills!AD885,"AAAAAE+zte4=")</f>
        <v>#VALUE!</v>
      </c>
      <c r="IF208" t="e">
        <f>AND(Bills!AE885,"AAAAAE+zte8=")</f>
        <v>#VALUE!</v>
      </c>
      <c r="IG208">
        <f>IF(Bills!886:886,"AAAAAE+ztfA=",0)</f>
        <v>0</v>
      </c>
      <c r="IH208" t="e">
        <f>AND(Bills!B886,"AAAAAE+ztfE=")</f>
        <v>#VALUE!</v>
      </c>
      <c r="II208" t="e">
        <f>AND(Bills!#REF!,"AAAAAE+ztfI=")</f>
        <v>#REF!</v>
      </c>
      <c r="IJ208" t="e">
        <f>AND(Bills!C886,"AAAAAE+ztfM=")</f>
        <v>#VALUE!</v>
      </c>
      <c r="IK208" t="e">
        <f>AND(Bills!D886,"AAAAAE+ztfQ=")</f>
        <v>#VALUE!</v>
      </c>
      <c r="IL208" t="e">
        <f>AND(Bills!E886,"AAAAAE+ztfU=")</f>
        <v>#VALUE!</v>
      </c>
      <c r="IM208" t="e">
        <f>AND(Bills!#REF!,"AAAAAE+ztfY=")</f>
        <v>#REF!</v>
      </c>
      <c r="IN208" t="e">
        <f>AND(Bills!#REF!,"AAAAAE+ztfc=")</f>
        <v>#REF!</v>
      </c>
      <c r="IO208" t="e">
        <f>AND(Bills!#REF!,"AAAAAE+ztfg=")</f>
        <v>#REF!</v>
      </c>
      <c r="IP208" t="e">
        <f>AND(Bills!F886,"AAAAAE+ztfk=")</f>
        <v>#VALUE!</v>
      </c>
      <c r="IQ208" t="e">
        <f>AND(Bills!#REF!,"AAAAAE+ztfo=")</f>
        <v>#REF!</v>
      </c>
      <c r="IR208" t="e">
        <f>AND(Bills!G886,"AAAAAE+ztfs=")</f>
        <v>#VALUE!</v>
      </c>
      <c r="IS208" t="e">
        <f>AND(Bills!H886,"AAAAAE+ztfw=")</f>
        <v>#VALUE!</v>
      </c>
      <c r="IT208" t="e">
        <f>AND(Bills!I886,"AAAAAE+ztf0=")</f>
        <v>#VALUE!</v>
      </c>
      <c r="IU208" t="e">
        <f>AND(Bills!J886,"AAAAAE+ztf4=")</f>
        <v>#VALUE!</v>
      </c>
      <c r="IV208" t="e">
        <f>AND(Bills!K886,"AAAAAE+ztf8=")</f>
        <v>#VALUE!</v>
      </c>
    </row>
    <row r="209" spans="1:256" x14ac:dyDescent="0.25">
      <c r="A209" t="e">
        <f>AND(Bills!L886,"AAAAAF3+5wA=")</f>
        <v>#VALUE!</v>
      </c>
      <c r="B209" t="e">
        <f>AND(Bills!#REF!,"AAAAAF3+5wE=")</f>
        <v>#REF!</v>
      </c>
      <c r="C209" t="e">
        <f>AND(Bills!M886,"AAAAAF3+5wI=")</f>
        <v>#VALUE!</v>
      </c>
      <c r="D209" t="e">
        <f>AND(Bills!N886,"AAAAAF3+5wM=")</f>
        <v>#VALUE!</v>
      </c>
      <c r="E209" t="e">
        <f>AND(Bills!O886,"AAAAAF3+5wQ=")</f>
        <v>#VALUE!</v>
      </c>
      <c r="F209" t="e">
        <f>AND(Bills!P886,"AAAAAF3+5wU=")</f>
        <v>#VALUE!</v>
      </c>
      <c r="G209" t="e">
        <f>AND(Bills!Q886,"AAAAAF3+5wY=")</f>
        <v>#VALUE!</v>
      </c>
      <c r="H209" t="e">
        <f>AND(Bills!R886,"AAAAAF3+5wc=")</f>
        <v>#VALUE!</v>
      </c>
      <c r="I209" t="e">
        <f>AND(Bills!S886,"AAAAAF3+5wg=")</f>
        <v>#VALUE!</v>
      </c>
      <c r="J209" t="e">
        <f>AND(Bills!T886,"AAAAAF3+5wk=")</f>
        <v>#VALUE!</v>
      </c>
      <c r="K209" t="e">
        <f>AND(Bills!#REF!,"AAAAAF3+5wo=")</f>
        <v>#REF!</v>
      </c>
      <c r="L209" t="e">
        <f>AND(Bills!U886,"AAAAAF3+5ws=")</f>
        <v>#VALUE!</v>
      </c>
      <c r="M209" t="e">
        <f>AND(Bills!V886,"AAAAAF3+5ww=")</f>
        <v>#VALUE!</v>
      </c>
      <c r="N209" t="e">
        <f>AND(Bills!W886,"AAAAAF3+5w0=")</f>
        <v>#VALUE!</v>
      </c>
      <c r="O209" t="e">
        <f>AND(Bills!#REF!,"AAAAAF3+5w4=")</f>
        <v>#REF!</v>
      </c>
      <c r="P209" t="e">
        <f>AND(Bills!#REF!,"AAAAAF3+5w8=")</f>
        <v>#REF!</v>
      </c>
      <c r="Q209" t="e">
        <f>AND(Bills!Y886,"AAAAAF3+5xA=")</f>
        <v>#VALUE!</v>
      </c>
      <c r="R209" t="e">
        <f>AND(Bills!Z886,"AAAAAF3+5xE=")</f>
        <v>#VALUE!</v>
      </c>
      <c r="S209" t="e">
        <f>AND(Bills!#REF!,"AAAAAF3+5xI=")</f>
        <v>#REF!</v>
      </c>
      <c r="T209" t="e">
        <f>AND(Bills!#REF!,"AAAAAF3+5xM=")</f>
        <v>#REF!</v>
      </c>
      <c r="U209" t="e">
        <f>AND(Bills!#REF!,"AAAAAF3+5xQ=")</f>
        <v>#REF!</v>
      </c>
      <c r="V209" t="e">
        <f>AND(Bills!#REF!,"AAAAAF3+5xU=")</f>
        <v>#REF!</v>
      </c>
      <c r="W209" t="e">
        <f>AND(Bills!#REF!,"AAAAAF3+5xY=")</f>
        <v>#REF!</v>
      </c>
      <c r="X209" t="e">
        <f>AND(Bills!#REF!,"AAAAAF3+5xc=")</f>
        <v>#REF!</v>
      </c>
      <c r="Y209" t="e">
        <f>AND(Bills!#REF!,"AAAAAF3+5xg=")</f>
        <v>#REF!</v>
      </c>
      <c r="Z209" t="e">
        <f>AND(Bills!#REF!,"AAAAAF3+5xk=")</f>
        <v>#REF!</v>
      </c>
      <c r="AA209" t="e">
        <f>AND(Bills!#REF!,"AAAAAF3+5xo=")</f>
        <v>#REF!</v>
      </c>
      <c r="AB209" t="e">
        <f>AND(Bills!AA886,"AAAAAF3+5xs=")</f>
        <v>#VALUE!</v>
      </c>
      <c r="AC209" t="e">
        <f>AND(Bills!AB886,"AAAAAF3+5xw=")</f>
        <v>#VALUE!</v>
      </c>
      <c r="AD209" t="e">
        <f>AND(Bills!#REF!,"AAAAAF3+5x0=")</f>
        <v>#REF!</v>
      </c>
      <c r="AE209" t="e">
        <f>AND(Bills!#REF!,"AAAAAF3+5x4=")</f>
        <v>#REF!</v>
      </c>
      <c r="AF209" t="e">
        <f>AND(Bills!#REF!,"AAAAAF3+5x8=")</f>
        <v>#REF!</v>
      </c>
      <c r="AG209" t="e">
        <f>AND(Bills!AC886,"AAAAAF3+5yA=")</f>
        <v>#VALUE!</v>
      </c>
      <c r="AH209" t="e">
        <f>AND(Bills!AD886,"AAAAAF3+5yE=")</f>
        <v>#VALUE!</v>
      </c>
      <c r="AI209" t="e">
        <f>AND(Bills!AE886,"AAAAAF3+5yI=")</f>
        <v>#VALUE!</v>
      </c>
      <c r="AJ209">
        <f>IF(Bills!887:887,"AAAAAF3+5yM=",0)</f>
        <v>0</v>
      </c>
      <c r="AK209" t="e">
        <f>AND(Bills!B887,"AAAAAF3+5yQ=")</f>
        <v>#VALUE!</v>
      </c>
      <c r="AL209" t="e">
        <f>AND(Bills!#REF!,"AAAAAF3+5yU=")</f>
        <v>#REF!</v>
      </c>
      <c r="AM209" t="e">
        <f>AND(Bills!C887,"AAAAAF3+5yY=")</f>
        <v>#VALUE!</v>
      </c>
      <c r="AN209" t="e">
        <f>AND(Bills!D887,"AAAAAF3+5yc=")</f>
        <v>#VALUE!</v>
      </c>
      <c r="AO209" t="e">
        <f>AND(Bills!E887,"AAAAAF3+5yg=")</f>
        <v>#VALUE!</v>
      </c>
      <c r="AP209" t="e">
        <f>AND(Bills!#REF!,"AAAAAF3+5yk=")</f>
        <v>#REF!</v>
      </c>
      <c r="AQ209" t="e">
        <f>AND(Bills!#REF!,"AAAAAF3+5yo=")</f>
        <v>#REF!</v>
      </c>
      <c r="AR209" t="e">
        <f>AND(Bills!#REF!,"AAAAAF3+5ys=")</f>
        <v>#REF!</v>
      </c>
      <c r="AS209" t="e">
        <f>AND(Bills!F887,"AAAAAF3+5yw=")</f>
        <v>#VALUE!</v>
      </c>
      <c r="AT209" t="e">
        <f>AND(Bills!#REF!,"AAAAAF3+5y0=")</f>
        <v>#REF!</v>
      </c>
      <c r="AU209" t="e">
        <f>AND(Bills!G887,"AAAAAF3+5y4=")</f>
        <v>#VALUE!</v>
      </c>
      <c r="AV209" t="e">
        <f>AND(Bills!H887,"AAAAAF3+5y8=")</f>
        <v>#VALUE!</v>
      </c>
      <c r="AW209" t="e">
        <f>AND(Bills!I887,"AAAAAF3+5zA=")</f>
        <v>#VALUE!</v>
      </c>
      <c r="AX209" t="e">
        <f>AND(Bills!J887,"AAAAAF3+5zE=")</f>
        <v>#VALUE!</v>
      </c>
      <c r="AY209" t="e">
        <f>AND(Bills!K887,"AAAAAF3+5zI=")</f>
        <v>#VALUE!</v>
      </c>
      <c r="AZ209" t="e">
        <f>AND(Bills!L887,"AAAAAF3+5zM=")</f>
        <v>#VALUE!</v>
      </c>
      <c r="BA209" t="e">
        <f>AND(Bills!#REF!,"AAAAAF3+5zQ=")</f>
        <v>#REF!</v>
      </c>
      <c r="BB209" t="e">
        <f>AND(Bills!M887,"AAAAAF3+5zU=")</f>
        <v>#VALUE!</v>
      </c>
      <c r="BC209" t="e">
        <f>AND(Bills!N887,"AAAAAF3+5zY=")</f>
        <v>#VALUE!</v>
      </c>
      <c r="BD209" t="e">
        <f>AND(Bills!O887,"AAAAAF3+5zc=")</f>
        <v>#VALUE!</v>
      </c>
      <c r="BE209" t="e">
        <f>AND(Bills!P887,"AAAAAF3+5zg=")</f>
        <v>#VALUE!</v>
      </c>
      <c r="BF209" t="e">
        <f>AND(Bills!Q887,"AAAAAF3+5zk=")</f>
        <v>#VALUE!</v>
      </c>
      <c r="BG209" t="e">
        <f>AND(Bills!R887,"AAAAAF3+5zo=")</f>
        <v>#VALUE!</v>
      </c>
      <c r="BH209" t="e">
        <f>AND(Bills!S887,"AAAAAF3+5zs=")</f>
        <v>#VALUE!</v>
      </c>
      <c r="BI209" t="e">
        <f>AND(Bills!T887,"AAAAAF3+5zw=")</f>
        <v>#VALUE!</v>
      </c>
      <c r="BJ209" t="e">
        <f>AND(Bills!#REF!,"AAAAAF3+5z0=")</f>
        <v>#REF!</v>
      </c>
      <c r="BK209" t="e">
        <f>AND(Bills!U887,"AAAAAF3+5z4=")</f>
        <v>#VALUE!</v>
      </c>
      <c r="BL209" t="e">
        <f>AND(Bills!V887,"AAAAAF3+5z8=")</f>
        <v>#VALUE!</v>
      </c>
      <c r="BM209" t="e">
        <f>AND(Bills!W887,"AAAAAF3+50A=")</f>
        <v>#VALUE!</v>
      </c>
      <c r="BN209" t="e">
        <f>AND(Bills!#REF!,"AAAAAF3+50E=")</f>
        <v>#REF!</v>
      </c>
      <c r="BO209" t="e">
        <f>AND(Bills!#REF!,"AAAAAF3+50I=")</f>
        <v>#REF!</v>
      </c>
      <c r="BP209" t="e">
        <f>AND(Bills!Y887,"AAAAAF3+50M=")</f>
        <v>#VALUE!</v>
      </c>
      <c r="BQ209" t="e">
        <f>AND(Bills!Z887,"AAAAAF3+50Q=")</f>
        <v>#VALUE!</v>
      </c>
      <c r="BR209" t="e">
        <f>AND(Bills!#REF!,"AAAAAF3+50U=")</f>
        <v>#REF!</v>
      </c>
      <c r="BS209" t="e">
        <f>AND(Bills!#REF!,"AAAAAF3+50Y=")</f>
        <v>#REF!</v>
      </c>
      <c r="BT209" t="e">
        <f>AND(Bills!#REF!,"AAAAAF3+50c=")</f>
        <v>#REF!</v>
      </c>
      <c r="BU209" t="e">
        <f>AND(Bills!#REF!,"AAAAAF3+50g=")</f>
        <v>#REF!</v>
      </c>
      <c r="BV209" t="e">
        <f>AND(Bills!#REF!,"AAAAAF3+50k=")</f>
        <v>#REF!</v>
      </c>
      <c r="BW209" t="e">
        <f>AND(Bills!#REF!,"AAAAAF3+50o=")</f>
        <v>#REF!</v>
      </c>
      <c r="BX209" t="e">
        <f>AND(Bills!#REF!,"AAAAAF3+50s=")</f>
        <v>#REF!</v>
      </c>
      <c r="BY209" t="e">
        <f>AND(Bills!#REF!,"AAAAAF3+50w=")</f>
        <v>#REF!</v>
      </c>
      <c r="BZ209" t="e">
        <f>AND(Bills!#REF!,"AAAAAF3+500=")</f>
        <v>#REF!</v>
      </c>
      <c r="CA209" t="e">
        <f>AND(Bills!AA887,"AAAAAF3+504=")</f>
        <v>#VALUE!</v>
      </c>
      <c r="CB209" t="e">
        <f>AND(Bills!AB887,"AAAAAF3+508=")</f>
        <v>#VALUE!</v>
      </c>
      <c r="CC209" t="e">
        <f>AND(Bills!#REF!,"AAAAAF3+51A=")</f>
        <v>#REF!</v>
      </c>
      <c r="CD209" t="e">
        <f>AND(Bills!#REF!,"AAAAAF3+51E=")</f>
        <v>#REF!</v>
      </c>
      <c r="CE209" t="e">
        <f>AND(Bills!#REF!,"AAAAAF3+51I=")</f>
        <v>#REF!</v>
      </c>
      <c r="CF209" t="e">
        <f>AND(Bills!AC887,"AAAAAF3+51M=")</f>
        <v>#VALUE!</v>
      </c>
      <c r="CG209" t="e">
        <f>AND(Bills!AD887,"AAAAAF3+51Q=")</f>
        <v>#VALUE!</v>
      </c>
      <c r="CH209" t="e">
        <f>AND(Bills!AE887,"AAAAAF3+51U=")</f>
        <v>#VALUE!</v>
      </c>
      <c r="CI209">
        <f>IF(Bills!888:888,"AAAAAF3+51Y=",0)</f>
        <v>0</v>
      </c>
      <c r="CJ209" t="e">
        <f>AND(Bills!B888,"AAAAAF3+51c=")</f>
        <v>#VALUE!</v>
      </c>
      <c r="CK209" t="e">
        <f>AND(Bills!#REF!,"AAAAAF3+51g=")</f>
        <v>#REF!</v>
      </c>
      <c r="CL209" t="e">
        <f>AND(Bills!C888,"AAAAAF3+51k=")</f>
        <v>#VALUE!</v>
      </c>
      <c r="CM209" t="e">
        <f>AND(Bills!D888,"AAAAAF3+51o=")</f>
        <v>#VALUE!</v>
      </c>
      <c r="CN209" t="e">
        <f>AND(Bills!E888,"AAAAAF3+51s=")</f>
        <v>#VALUE!</v>
      </c>
      <c r="CO209" t="e">
        <f>AND(Bills!#REF!,"AAAAAF3+51w=")</f>
        <v>#REF!</v>
      </c>
      <c r="CP209" t="e">
        <f>AND(Bills!#REF!,"AAAAAF3+510=")</f>
        <v>#REF!</v>
      </c>
      <c r="CQ209" t="e">
        <f>AND(Bills!#REF!,"AAAAAF3+514=")</f>
        <v>#REF!</v>
      </c>
      <c r="CR209" t="e">
        <f>AND(Bills!F888,"AAAAAF3+518=")</f>
        <v>#VALUE!</v>
      </c>
      <c r="CS209" t="e">
        <f>AND(Bills!#REF!,"AAAAAF3+52A=")</f>
        <v>#REF!</v>
      </c>
      <c r="CT209" t="e">
        <f>AND(Bills!G888,"AAAAAF3+52E=")</f>
        <v>#VALUE!</v>
      </c>
      <c r="CU209" t="e">
        <f>AND(Bills!H888,"AAAAAF3+52I=")</f>
        <v>#VALUE!</v>
      </c>
      <c r="CV209" t="e">
        <f>AND(Bills!I888,"AAAAAF3+52M=")</f>
        <v>#VALUE!</v>
      </c>
      <c r="CW209" t="e">
        <f>AND(Bills!J888,"AAAAAF3+52Q=")</f>
        <v>#VALUE!</v>
      </c>
      <c r="CX209" t="e">
        <f>AND(Bills!K888,"AAAAAF3+52U=")</f>
        <v>#VALUE!</v>
      </c>
      <c r="CY209" t="e">
        <f>AND(Bills!L888,"AAAAAF3+52Y=")</f>
        <v>#VALUE!</v>
      </c>
      <c r="CZ209" t="e">
        <f>AND(Bills!#REF!,"AAAAAF3+52c=")</f>
        <v>#REF!</v>
      </c>
      <c r="DA209" t="e">
        <f>AND(Bills!M888,"AAAAAF3+52g=")</f>
        <v>#VALUE!</v>
      </c>
      <c r="DB209" t="e">
        <f>AND(Bills!N888,"AAAAAF3+52k=")</f>
        <v>#VALUE!</v>
      </c>
      <c r="DC209" t="e">
        <f>AND(Bills!O888,"AAAAAF3+52o=")</f>
        <v>#VALUE!</v>
      </c>
      <c r="DD209" t="e">
        <f>AND(Bills!P888,"AAAAAF3+52s=")</f>
        <v>#VALUE!</v>
      </c>
      <c r="DE209" t="e">
        <f>AND(Bills!Q888,"AAAAAF3+52w=")</f>
        <v>#VALUE!</v>
      </c>
      <c r="DF209" t="e">
        <f>AND(Bills!R888,"AAAAAF3+520=")</f>
        <v>#VALUE!</v>
      </c>
      <c r="DG209" t="e">
        <f>AND(Bills!S888,"AAAAAF3+524=")</f>
        <v>#VALUE!</v>
      </c>
      <c r="DH209" t="e">
        <f>AND(Bills!T888,"AAAAAF3+528=")</f>
        <v>#VALUE!</v>
      </c>
      <c r="DI209" t="e">
        <f>AND(Bills!#REF!,"AAAAAF3+53A=")</f>
        <v>#REF!</v>
      </c>
      <c r="DJ209" t="e">
        <f>AND(Bills!U888,"AAAAAF3+53E=")</f>
        <v>#VALUE!</v>
      </c>
      <c r="DK209" t="e">
        <f>AND(Bills!V888,"AAAAAF3+53I=")</f>
        <v>#VALUE!</v>
      </c>
      <c r="DL209" t="e">
        <f>AND(Bills!W888,"AAAAAF3+53M=")</f>
        <v>#VALUE!</v>
      </c>
      <c r="DM209" t="e">
        <f>AND(Bills!#REF!,"AAAAAF3+53Q=")</f>
        <v>#REF!</v>
      </c>
      <c r="DN209" t="e">
        <f>AND(Bills!#REF!,"AAAAAF3+53U=")</f>
        <v>#REF!</v>
      </c>
      <c r="DO209" t="e">
        <f>AND(Bills!Y888,"AAAAAF3+53Y=")</f>
        <v>#VALUE!</v>
      </c>
      <c r="DP209" t="e">
        <f>AND(Bills!Z888,"AAAAAF3+53c=")</f>
        <v>#VALUE!</v>
      </c>
      <c r="DQ209" t="e">
        <f>AND(Bills!#REF!,"AAAAAF3+53g=")</f>
        <v>#REF!</v>
      </c>
      <c r="DR209" t="e">
        <f>AND(Bills!#REF!,"AAAAAF3+53k=")</f>
        <v>#REF!</v>
      </c>
      <c r="DS209" t="e">
        <f>AND(Bills!#REF!,"AAAAAF3+53o=")</f>
        <v>#REF!</v>
      </c>
      <c r="DT209" t="e">
        <f>AND(Bills!#REF!,"AAAAAF3+53s=")</f>
        <v>#REF!</v>
      </c>
      <c r="DU209" t="e">
        <f>AND(Bills!#REF!,"AAAAAF3+53w=")</f>
        <v>#REF!</v>
      </c>
      <c r="DV209" t="e">
        <f>AND(Bills!#REF!,"AAAAAF3+530=")</f>
        <v>#REF!</v>
      </c>
      <c r="DW209" t="e">
        <f>AND(Bills!#REF!,"AAAAAF3+534=")</f>
        <v>#REF!</v>
      </c>
      <c r="DX209" t="e">
        <f>AND(Bills!#REF!,"AAAAAF3+538=")</f>
        <v>#REF!</v>
      </c>
      <c r="DY209" t="e">
        <f>AND(Bills!#REF!,"AAAAAF3+54A=")</f>
        <v>#REF!</v>
      </c>
      <c r="DZ209" t="e">
        <f>AND(Bills!AA888,"AAAAAF3+54E=")</f>
        <v>#VALUE!</v>
      </c>
      <c r="EA209" t="e">
        <f>AND(Bills!AB888,"AAAAAF3+54I=")</f>
        <v>#VALUE!</v>
      </c>
      <c r="EB209" t="e">
        <f>AND(Bills!#REF!,"AAAAAF3+54M=")</f>
        <v>#REF!</v>
      </c>
      <c r="EC209" t="e">
        <f>AND(Bills!#REF!,"AAAAAF3+54Q=")</f>
        <v>#REF!</v>
      </c>
      <c r="ED209" t="e">
        <f>AND(Bills!#REF!,"AAAAAF3+54U=")</f>
        <v>#REF!</v>
      </c>
      <c r="EE209" t="e">
        <f>AND(Bills!AC888,"AAAAAF3+54Y=")</f>
        <v>#VALUE!</v>
      </c>
      <c r="EF209" t="e">
        <f>AND(Bills!AD888,"AAAAAF3+54c=")</f>
        <v>#VALUE!</v>
      </c>
      <c r="EG209" t="e">
        <f>AND(Bills!AE888,"AAAAAF3+54g=")</f>
        <v>#VALUE!</v>
      </c>
      <c r="EH209">
        <f>IF(Bills!889:889,"AAAAAF3+54k=",0)</f>
        <v>0</v>
      </c>
      <c r="EI209" t="e">
        <f>AND(Bills!B889,"AAAAAF3+54o=")</f>
        <v>#VALUE!</v>
      </c>
      <c r="EJ209" t="e">
        <f>AND(Bills!#REF!,"AAAAAF3+54s=")</f>
        <v>#REF!</v>
      </c>
      <c r="EK209" t="e">
        <f>AND(Bills!C889,"AAAAAF3+54w=")</f>
        <v>#VALUE!</v>
      </c>
      <c r="EL209" t="e">
        <f>AND(Bills!D889,"AAAAAF3+540=")</f>
        <v>#VALUE!</v>
      </c>
      <c r="EM209" t="e">
        <f>AND(Bills!E889,"AAAAAF3+544=")</f>
        <v>#VALUE!</v>
      </c>
      <c r="EN209" t="e">
        <f>AND(Bills!#REF!,"AAAAAF3+548=")</f>
        <v>#REF!</v>
      </c>
      <c r="EO209" t="e">
        <f>AND(Bills!#REF!,"AAAAAF3+55A=")</f>
        <v>#REF!</v>
      </c>
      <c r="EP209" t="e">
        <f>AND(Bills!#REF!,"AAAAAF3+55E=")</f>
        <v>#REF!</v>
      </c>
      <c r="EQ209" t="e">
        <f>AND(Bills!F889,"AAAAAF3+55I=")</f>
        <v>#VALUE!</v>
      </c>
      <c r="ER209" t="e">
        <f>AND(Bills!#REF!,"AAAAAF3+55M=")</f>
        <v>#REF!</v>
      </c>
      <c r="ES209" t="e">
        <f>AND(Bills!G889,"AAAAAF3+55Q=")</f>
        <v>#VALUE!</v>
      </c>
      <c r="ET209" t="e">
        <f>AND(Bills!H889,"AAAAAF3+55U=")</f>
        <v>#VALUE!</v>
      </c>
      <c r="EU209" t="e">
        <f>AND(Bills!I889,"AAAAAF3+55Y=")</f>
        <v>#VALUE!</v>
      </c>
      <c r="EV209" t="e">
        <f>AND(Bills!J889,"AAAAAF3+55c=")</f>
        <v>#VALUE!</v>
      </c>
      <c r="EW209" t="e">
        <f>AND(Bills!K889,"AAAAAF3+55g=")</f>
        <v>#VALUE!</v>
      </c>
      <c r="EX209" t="e">
        <f>AND(Bills!L889,"AAAAAF3+55k=")</f>
        <v>#VALUE!</v>
      </c>
      <c r="EY209" t="e">
        <f>AND(Bills!#REF!,"AAAAAF3+55o=")</f>
        <v>#REF!</v>
      </c>
      <c r="EZ209" t="e">
        <f>AND(Bills!M889,"AAAAAF3+55s=")</f>
        <v>#VALUE!</v>
      </c>
      <c r="FA209" t="e">
        <f>AND(Bills!N889,"AAAAAF3+55w=")</f>
        <v>#VALUE!</v>
      </c>
      <c r="FB209" t="e">
        <f>AND(Bills!O889,"AAAAAF3+550=")</f>
        <v>#VALUE!</v>
      </c>
      <c r="FC209" t="e">
        <f>AND(Bills!P889,"AAAAAF3+554=")</f>
        <v>#VALUE!</v>
      </c>
      <c r="FD209" t="e">
        <f>AND(Bills!Q889,"AAAAAF3+558=")</f>
        <v>#VALUE!</v>
      </c>
      <c r="FE209" t="e">
        <f>AND(Bills!R889,"AAAAAF3+56A=")</f>
        <v>#VALUE!</v>
      </c>
      <c r="FF209" t="e">
        <f>AND(Bills!S889,"AAAAAF3+56E=")</f>
        <v>#VALUE!</v>
      </c>
      <c r="FG209" t="e">
        <f>AND(Bills!T889,"AAAAAF3+56I=")</f>
        <v>#VALUE!</v>
      </c>
      <c r="FH209" t="e">
        <f>AND(Bills!#REF!,"AAAAAF3+56M=")</f>
        <v>#REF!</v>
      </c>
      <c r="FI209" t="e">
        <f>AND(Bills!U889,"AAAAAF3+56Q=")</f>
        <v>#VALUE!</v>
      </c>
      <c r="FJ209" t="e">
        <f>AND(Bills!V889,"AAAAAF3+56U=")</f>
        <v>#VALUE!</v>
      </c>
      <c r="FK209" t="e">
        <f>AND(Bills!W889,"AAAAAF3+56Y=")</f>
        <v>#VALUE!</v>
      </c>
      <c r="FL209" t="e">
        <f>AND(Bills!#REF!,"AAAAAF3+56c=")</f>
        <v>#REF!</v>
      </c>
      <c r="FM209" t="e">
        <f>AND(Bills!#REF!,"AAAAAF3+56g=")</f>
        <v>#REF!</v>
      </c>
      <c r="FN209" t="e">
        <f>AND(Bills!Y889,"AAAAAF3+56k=")</f>
        <v>#VALUE!</v>
      </c>
      <c r="FO209" t="e">
        <f>AND(Bills!Z889,"AAAAAF3+56o=")</f>
        <v>#VALUE!</v>
      </c>
      <c r="FP209" t="e">
        <f>AND(Bills!#REF!,"AAAAAF3+56s=")</f>
        <v>#REF!</v>
      </c>
      <c r="FQ209" t="e">
        <f>AND(Bills!#REF!,"AAAAAF3+56w=")</f>
        <v>#REF!</v>
      </c>
      <c r="FR209" t="e">
        <f>AND(Bills!#REF!,"AAAAAF3+560=")</f>
        <v>#REF!</v>
      </c>
      <c r="FS209" t="e">
        <f>AND(Bills!#REF!,"AAAAAF3+564=")</f>
        <v>#REF!</v>
      </c>
      <c r="FT209" t="e">
        <f>AND(Bills!#REF!,"AAAAAF3+568=")</f>
        <v>#REF!</v>
      </c>
      <c r="FU209" t="e">
        <f>AND(Bills!#REF!,"AAAAAF3+57A=")</f>
        <v>#REF!</v>
      </c>
      <c r="FV209" t="e">
        <f>AND(Bills!#REF!,"AAAAAF3+57E=")</f>
        <v>#REF!</v>
      </c>
      <c r="FW209" t="e">
        <f>AND(Bills!#REF!,"AAAAAF3+57I=")</f>
        <v>#REF!</v>
      </c>
      <c r="FX209" t="e">
        <f>AND(Bills!#REF!,"AAAAAF3+57M=")</f>
        <v>#REF!</v>
      </c>
      <c r="FY209" t="e">
        <f>AND(Bills!AA889,"AAAAAF3+57Q=")</f>
        <v>#VALUE!</v>
      </c>
      <c r="FZ209" t="e">
        <f>AND(Bills!AB889,"AAAAAF3+57U=")</f>
        <v>#VALUE!</v>
      </c>
      <c r="GA209" t="e">
        <f>AND(Bills!#REF!,"AAAAAF3+57Y=")</f>
        <v>#REF!</v>
      </c>
      <c r="GB209" t="e">
        <f>AND(Bills!#REF!,"AAAAAF3+57c=")</f>
        <v>#REF!</v>
      </c>
      <c r="GC209" t="e">
        <f>AND(Bills!#REF!,"AAAAAF3+57g=")</f>
        <v>#REF!</v>
      </c>
      <c r="GD209" t="e">
        <f>AND(Bills!AC889,"AAAAAF3+57k=")</f>
        <v>#VALUE!</v>
      </c>
      <c r="GE209" t="e">
        <f>AND(Bills!AD889,"AAAAAF3+57o=")</f>
        <v>#VALUE!</v>
      </c>
      <c r="GF209" t="e">
        <f>AND(Bills!AE889,"AAAAAF3+57s=")</f>
        <v>#VALUE!</v>
      </c>
      <c r="GG209">
        <f>IF(Bills!890:890,"AAAAAF3+57w=",0)</f>
        <v>0</v>
      </c>
      <c r="GH209" t="e">
        <f>AND(Bills!B890,"AAAAAF3+570=")</f>
        <v>#VALUE!</v>
      </c>
      <c r="GI209" t="e">
        <f>AND(Bills!#REF!,"AAAAAF3+574=")</f>
        <v>#REF!</v>
      </c>
      <c r="GJ209" t="e">
        <f>AND(Bills!C890,"AAAAAF3+578=")</f>
        <v>#VALUE!</v>
      </c>
      <c r="GK209" t="e">
        <f>AND(Bills!D890,"AAAAAF3+58A=")</f>
        <v>#VALUE!</v>
      </c>
      <c r="GL209" t="e">
        <f>AND(Bills!E890,"AAAAAF3+58E=")</f>
        <v>#VALUE!</v>
      </c>
      <c r="GM209" t="e">
        <f>AND(Bills!#REF!,"AAAAAF3+58I=")</f>
        <v>#REF!</v>
      </c>
      <c r="GN209" t="e">
        <f>AND(Bills!#REF!,"AAAAAF3+58M=")</f>
        <v>#REF!</v>
      </c>
      <c r="GO209" t="e">
        <f>AND(Bills!#REF!,"AAAAAF3+58Q=")</f>
        <v>#REF!</v>
      </c>
      <c r="GP209" t="e">
        <f>AND(Bills!F890,"AAAAAF3+58U=")</f>
        <v>#VALUE!</v>
      </c>
      <c r="GQ209" t="e">
        <f>AND(Bills!#REF!,"AAAAAF3+58Y=")</f>
        <v>#REF!</v>
      </c>
      <c r="GR209" t="e">
        <f>AND(Bills!G890,"AAAAAF3+58c=")</f>
        <v>#VALUE!</v>
      </c>
      <c r="GS209" t="e">
        <f>AND(Bills!H890,"AAAAAF3+58g=")</f>
        <v>#VALUE!</v>
      </c>
      <c r="GT209" t="e">
        <f>AND(Bills!I890,"AAAAAF3+58k=")</f>
        <v>#VALUE!</v>
      </c>
      <c r="GU209" t="e">
        <f>AND(Bills!J890,"AAAAAF3+58o=")</f>
        <v>#VALUE!</v>
      </c>
      <c r="GV209" t="e">
        <f>AND(Bills!K890,"AAAAAF3+58s=")</f>
        <v>#VALUE!</v>
      </c>
      <c r="GW209" t="e">
        <f>AND(Bills!L890,"AAAAAF3+58w=")</f>
        <v>#VALUE!</v>
      </c>
      <c r="GX209" t="e">
        <f>AND(Bills!#REF!,"AAAAAF3+580=")</f>
        <v>#REF!</v>
      </c>
      <c r="GY209" t="e">
        <f>AND(Bills!M890,"AAAAAF3+584=")</f>
        <v>#VALUE!</v>
      </c>
      <c r="GZ209" t="e">
        <f>AND(Bills!N890,"AAAAAF3+588=")</f>
        <v>#VALUE!</v>
      </c>
      <c r="HA209" t="e">
        <f>AND(Bills!O890,"AAAAAF3+59A=")</f>
        <v>#VALUE!</v>
      </c>
      <c r="HB209" t="e">
        <f>AND(Bills!P890,"AAAAAF3+59E=")</f>
        <v>#VALUE!</v>
      </c>
      <c r="HC209" t="e">
        <f>AND(Bills!Q890,"AAAAAF3+59I=")</f>
        <v>#VALUE!</v>
      </c>
      <c r="HD209" t="e">
        <f>AND(Bills!R890,"AAAAAF3+59M=")</f>
        <v>#VALUE!</v>
      </c>
      <c r="HE209" t="e">
        <f>AND(Bills!S890,"AAAAAF3+59Q=")</f>
        <v>#VALUE!</v>
      </c>
      <c r="HF209" t="e">
        <f>AND(Bills!T890,"AAAAAF3+59U=")</f>
        <v>#VALUE!</v>
      </c>
      <c r="HG209" t="e">
        <f>AND(Bills!#REF!,"AAAAAF3+59Y=")</f>
        <v>#REF!</v>
      </c>
      <c r="HH209" t="e">
        <f>AND(Bills!U890,"AAAAAF3+59c=")</f>
        <v>#VALUE!</v>
      </c>
      <c r="HI209" t="e">
        <f>AND(Bills!V890,"AAAAAF3+59g=")</f>
        <v>#VALUE!</v>
      </c>
      <c r="HJ209" t="e">
        <f>AND(Bills!W890,"AAAAAF3+59k=")</f>
        <v>#VALUE!</v>
      </c>
      <c r="HK209" t="e">
        <f>AND(Bills!#REF!,"AAAAAF3+59o=")</f>
        <v>#REF!</v>
      </c>
      <c r="HL209" t="e">
        <f>AND(Bills!#REF!,"AAAAAF3+59s=")</f>
        <v>#REF!</v>
      </c>
      <c r="HM209" t="e">
        <f>AND(Bills!Y890,"AAAAAF3+59w=")</f>
        <v>#VALUE!</v>
      </c>
      <c r="HN209" t="e">
        <f>AND(Bills!Z890,"AAAAAF3+590=")</f>
        <v>#VALUE!</v>
      </c>
      <c r="HO209" t="e">
        <f>AND(Bills!#REF!,"AAAAAF3+594=")</f>
        <v>#REF!</v>
      </c>
      <c r="HP209" t="e">
        <f>AND(Bills!#REF!,"AAAAAF3+598=")</f>
        <v>#REF!</v>
      </c>
      <c r="HQ209" t="e">
        <f>AND(Bills!#REF!,"AAAAAF3+5+A=")</f>
        <v>#REF!</v>
      </c>
      <c r="HR209" t="e">
        <f>AND(Bills!#REF!,"AAAAAF3+5+E=")</f>
        <v>#REF!</v>
      </c>
      <c r="HS209" t="e">
        <f>AND(Bills!#REF!,"AAAAAF3+5+I=")</f>
        <v>#REF!</v>
      </c>
      <c r="HT209" t="e">
        <f>AND(Bills!#REF!,"AAAAAF3+5+M=")</f>
        <v>#REF!</v>
      </c>
      <c r="HU209" t="e">
        <f>AND(Bills!#REF!,"AAAAAF3+5+Q=")</f>
        <v>#REF!</v>
      </c>
      <c r="HV209" t="e">
        <f>AND(Bills!#REF!,"AAAAAF3+5+U=")</f>
        <v>#REF!</v>
      </c>
      <c r="HW209" t="e">
        <f>AND(Bills!#REF!,"AAAAAF3+5+Y=")</f>
        <v>#REF!</v>
      </c>
      <c r="HX209" t="e">
        <f>AND(Bills!AA890,"AAAAAF3+5+c=")</f>
        <v>#VALUE!</v>
      </c>
      <c r="HY209" t="e">
        <f>AND(Bills!AB890,"AAAAAF3+5+g=")</f>
        <v>#VALUE!</v>
      </c>
      <c r="HZ209" t="e">
        <f>AND(Bills!#REF!,"AAAAAF3+5+k=")</f>
        <v>#REF!</v>
      </c>
      <c r="IA209" t="e">
        <f>AND(Bills!#REF!,"AAAAAF3+5+o=")</f>
        <v>#REF!</v>
      </c>
      <c r="IB209" t="e">
        <f>AND(Bills!#REF!,"AAAAAF3+5+s=")</f>
        <v>#REF!</v>
      </c>
      <c r="IC209" t="e">
        <f>AND(Bills!AC890,"AAAAAF3+5+w=")</f>
        <v>#VALUE!</v>
      </c>
      <c r="ID209" t="e">
        <f>AND(Bills!AD890,"AAAAAF3+5+0=")</f>
        <v>#VALUE!</v>
      </c>
      <c r="IE209" t="e">
        <f>AND(Bills!AE890,"AAAAAF3+5+4=")</f>
        <v>#VALUE!</v>
      </c>
      <c r="IF209">
        <f>IF(Bills!891:891,"AAAAAF3+5+8=",0)</f>
        <v>0</v>
      </c>
      <c r="IG209" t="e">
        <f>AND(Bills!B891,"AAAAAF3+5/A=")</f>
        <v>#VALUE!</v>
      </c>
      <c r="IH209" t="e">
        <f>AND(Bills!#REF!,"AAAAAF3+5/E=")</f>
        <v>#REF!</v>
      </c>
      <c r="II209" t="e">
        <f>AND(Bills!C891,"AAAAAF3+5/I=")</f>
        <v>#VALUE!</v>
      </c>
      <c r="IJ209" t="e">
        <f>AND(Bills!D891,"AAAAAF3+5/M=")</f>
        <v>#VALUE!</v>
      </c>
      <c r="IK209" t="e">
        <f>AND(Bills!E891,"AAAAAF3+5/Q=")</f>
        <v>#VALUE!</v>
      </c>
      <c r="IL209" t="e">
        <f>AND(Bills!#REF!,"AAAAAF3+5/U=")</f>
        <v>#REF!</v>
      </c>
      <c r="IM209" t="e">
        <f>AND(Bills!#REF!,"AAAAAF3+5/Y=")</f>
        <v>#REF!</v>
      </c>
      <c r="IN209" t="e">
        <f>AND(Bills!#REF!,"AAAAAF3+5/c=")</f>
        <v>#REF!</v>
      </c>
      <c r="IO209" t="e">
        <f>AND(Bills!F891,"AAAAAF3+5/g=")</f>
        <v>#VALUE!</v>
      </c>
      <c r="IP209" t="e">
        <f>AND(Bills!#REF!,"AAAAAF3+5/k=")</f>
        <v>#REF!</v>
      </c>
      <c r="IQ209" t="e">
        <f>AND(Bills!G891,"AAAAAF3+5/o=")</f>
        <v>#VALUE!</v>
      </c>
      <c r="IR209" t="e">
        <f>AND(Bills!H891,"AAAAAF3+5/s=")</f>
        <v>#VALUE!</v>
      </c>
      <c r="IS209" t="e">
        <f>AND(Bills!I891,"AAAAAF3+5/w=")</f>
        <v>#VALUE!</v>
      </c>
      <c r="IT209" t="e">
        <f>AND(Bills!J891,"AAAAAF3+5/0=")</f>
        <v>#VALUE!</v>
      </c>
      <c r="IU209" t="e">
        <f>AND(Bills!K891,"AAAAAF3+5/4=")</f>
        <v>#VALUE!</v>
      </c>
      <c r="IV209" t="e">
        <f>AND(Bills!L891,"AAAAAF3+5/8=")</f>
        <v>#VALUE!</v>
      </c>
    </row>
    <row r="210" spans="1:256" x14ac:dyDescent="0.25">
      <c r="A210" t="e">
        <f>AND(Bills!#REF!,"AAAAAF3V3QA=")</f>
        <v>#REF!</v>
      </c>
      <c r="B210" t="e">
        <f>AND(Bills!M891,"AAAAAF3V3QE=")</f>
        <v>#VALUE!</v>
      </c>
      <c r="C210" t="e">
        <f>AND(Bills!N891,"AAAAAF3V3QI=")</f>
        <v>#VALUE!</v>
      </c>
      <c r="D210" t="e">
        <f>AND(Bills!O891,"AAAAAF3V3QM=")</f>
        <v>#VALUE!</v>
      </c>
      <c r="E210" t="e">
        <f>AND(Bills!P891,"AAAAAF3V3QQ=")</f>
        <v>#VALUE!</v>
      </c>
      <c r="F210" t="e">
        <f>AND(Bills!Q891,"AAAAAF3V3QU=")</f>
        <v>#VALUE!</v>
      </c>
      <c r="G210" t="e">
        <f>AND(Bills!R891,"AAAAAF3V3QY=")</f>
        <v>#VALUE!</v>
      </c>
      <c r="H210" t="e">
        <f>AND(Bills!S891,"AAAAAF3V3Qc=")</f>
        <v>#VALUE!</v>
      </c>
      <c r="I210" t="e">
        <f>AND(Bills!T891,"AAAAAF3V3Qg=")</f>
        <v>#VALUE!</v>
      </c>
      <c r="J210" t="e">
        <f>AND(Bills!#REF!,"AAAAAF3V3Qk=")</f>
        <v>#REF!</v>
      </c>
      <c r="K210" t="e">
        <f>AND(Bills!U891,"AAAAAF3V3Qo=")</f>
        <v>#VALUE!</v>
      </c>
      <c r="L210" t="e">
        <f>AND(Bills!V891,"AAAAAF3V3Qs=")</f>
        <v>#VALUE!</v>
      </c>
      <c r="M210" t="e">
        <f>AND(Bills!W891,"AAAAAF3V3Qw=")</f>
        <v>#VALUE!</v>
      </c>
      <c r="N210" t="e">
        <f>AND(Bills!#REF!,"AAAAAF3V3Q0=")</f>
        <v>#REF!</v>
      </c>
      <c r="O210" t="e">
        <f>AND(Bills!#REF!,"AAAAAF3V3Q4=")</f>
        <v>#REF!</v>
      </c>
      <c r="P210" t="e">
        <f>AND(Bills!Y891,"AAAAAF3V3Q8=")</f>
        <v>#VALUE!</v>
      </c>
      <c r="Q210" t="e">
        <f>AND(Bills!Z891,"AAAAAF3V3RA=")</f>
        <v>#VALUE!</v>
      </c>
      <c r="R210" t="e">
        <f>AND(Bills!#REF!,"AAAAAF3V3RE=")</f>
        <v>#REF!</v>
      </c>
      <c r="S210" t="e">
        <f>AND(Bills!#REF!,"AAAAAF3V3RI=")</f>
        <v>#REF!</v>
      </c>
      <c r="T210" t="e">
        <f>AND(Bills!#REF!,"AAAAAF3V3RM=")</f>
        <v>#REF!</v>
      </c>
      <c r="U210" t="e">
        <f>AND(Bills!#REF!,"AAAAAF3V3RQ=")</f>
        <v>#REF!</v>
      </c>
      <c r="V210" t="e">
        <f>AND(Bills!#REF!,"AAAAAF3V3RU=")</f>
        <v>#REF!</v>
      </c>
      <c r="W210" t="e">
        <f>AND(Bills!#REF!,"AAAAAF3V3RY=")</f>
        <v>#REF!</v>
      </c>
      <c r="X210" t="e">
        <f>AND(Bills!#REF!,"AAAAAF3V3Rc=")</f>
        <v>#REF!</v>
      </c>
      <c r="Y210" t="e">
        <f>AND(Bills!#REF!,"AAAAAF3V3Rg=")</f>
        <v>#REF!</v>
      </c>
      <c r="Z210" t="e">
        <f>AND(Bills!#REF!,"AAAAAF3V3Rk=")</f>
        <v>#REF!</v>
      </c>
      <c r="AA210" t="e">
        <f>AND(Bills!AA891,"AAAAAF3V3Ro=")</f>
        <v>#VALUE!</v>
      </c>
      <c r="AB210" t="e">
        <f>AND(Bills!AB891,"AAAAAF3V3Rs=")</f>
        <v>#VALUE!</v>
      </c>
      <c r="AC210" t="e">
        <f>AND(Bills!#REF!,"AAAAAF3V3Rw=")</f>
        <v>#REF!</v>
      </c>
      <c r="AD210" t="e">
        <f>AND(Bills!#REF!,"AAAAAF3V3R0=")</f>
        <v>#REF!</v>
      </c>
      <c r="AE210" t="e">
        <f>AND(Bills!#REF!,"AAAAAF3V3R4=")</f>
        <v>#REF!</v>
      </c>
      <c r="AF210" t="e">
        <f>AND(Bills!AC891,"AAAAAF3V3R8=")</f>
        <v>#VALUE!</v>
      </c>
      <c r="AG210" t="e">
        <f>AND(Bills!AD891,"AAAAAF3V3SA=")</f>
        <v>#VALUE!</v>
      </c>
      <c r="AH210" t="e">
        <f>AND(Bills!AE891,"AAAAAF3V3SE=")</f>
        <v>#VALUE!</v>
      </c>
      <c r="AI210">
        <f>IF(Bills!892:892,"AAAAAF3V3SI=",0)</f>
        <v>0</v>
      </c>
      <c r="AJ210" t="e">
        <f>AND(Bills!B892,"AAAAAF3V3SM=")</f>
        <v>#VALUE!</v>
      </c>
      <c r="AK210" t="e">
        <f>AND(Bills!#REF!,"AAAAAF3V3SQ=")</f>
        <v>#REF!</v>
      </c>
      <c r="AL210" t="e">
        <f>AND(Bills!C892,"AAAAAF3V3SU=")</f>
        <v>#VALUE!</v>
      </c>
      <c r="AM210" t="e">
        <f>AND(Bills!D892,"AAAAAF3V3SY=")</f>
        <v>#VALUE!</v>
      </c>
      <c r="AN210" t="e">
        <f>AND(Bills!E892,"AAAAAF3V3Sc=")</f>
        <v>#VALUE!</v>
      </c>
      <c r="AO210" t="e">
        <f>AND(Bills!#REF!,"AAAAAF3V3Sg=")</f>
        <v>#REF!</v>
      </c>
      <c r="AP210" t="e">
        <f>AND(Bills!#REF!,"AAAAAF3V3Sk=")</f>
        <v>#REF!</v>
      </c>
      <c r="AQ210" t="e">
        <f>AND(Bills!#REF!,"AAAAAF3V3So=")</f>
        <v>#REF!</v>
      </c>
      <c r="AR210" t="e">
        <f>AND(Bills!F892,"AAAAAF3V3Ss=")</f>
        <v>#VALUE!</v>
      </c>
      <c r="AS210" t="e">
        <f>AND(Bills!#REF!,"AAAAAF3V3Sw=")</f>
        <v>#REF!</v>
      </c>
      <c r="AT210" t="e">
        <f>AND(Bills!G892,"AAAAAF3V3S0=")</f>
        <v>#VALUE!</v>
      </c>
      <c r="AU210" t="e">
        <f>AND(Bills!H892,"AAAAAF3V3S4=")</f>
        <v>#VALUE!</v>
      </c>
      <c r="AV210" t="e">
        <f>AND(Bills!I892,"AAAAAF3V3S8=")</f>
        <v>#VALUE!</v>
      </c>
      <c r="AW210" t="e">
        <f>AND(Bills!J892,"AAAAAF3V3TA=")</f>
        <v>#VALUE!</v>
      </c>
      <c r="AX210" t="e">
        <f>AND(Bills!K892,"AAAAAF3V3TE=")</f>
        <v>#VALUE!</v>
      </c>
      <c r="AY210" t="e">
        <f>AND(Bills!L892,"AAAAAF3V3TI=")</f>
        <v>#VALUE!</v>
      </c>
      <c r="AZ210" t="e">
        <f>AND(Bills!#REF!,"AAAAAF3V3TM=")</f>
        <v>#REF!</v>
      </c>
      <c r="BA210" t="e">
        <f>AND(Bills!M892,"AAAAAF3V3TQ=")</f>
        <v>#VALUE!</v>
      </c>
      <c r="BB210" t="e">
        <f>AND(Bills!N892,"AAAAAF3V3TU=")</f>
        <v>#VALUE!</v>
      </c>
      <c r="BC210" t="e">
        <f>AND(Bills!O892,"AAAAAF3V3TY=")</f>
        <v>#VALUE!</v>
      </c>
      <c r="BD210" t="e">
        <f>AND(Bills!P892,"AAAAAF3V3Tc=")</f>
        <v>#VALUE!</v>
      </c>
      <c r="BE210" t="e">
        <f>AND(Bills!Q892,"AAAAAF3V3Tg=")</f>
        <v>#VALUE!</v>
      </c>
      <c r="BF210" t="e">
        <f>AND(Bills!R892,"AAAAAF3V3Tk=")</f>
        <v>#VALUE!</v>
      </c>
      <c r="BG210" t="e">
        <f>AND(Bills!S892,"AAAAAF3V3To=")</f>
        <v>#VALUE!</v>
      </c>
      <c r="BH210" t="e">
        <f>AND(Bills!T892,"AAAAAF3V3Ts=")</f>
        <v>#VALUE!</v>
      </c>
      <c r="BI210" t="e">
        <f>AND(Bills!#REF!,"AAAAAF3V3Tw=")</f>
        <v>#REF!</v>
      </c>
      <c r="BJ210" t="e">
        <f>AND(Bills!U892,"AAAAAF3V3T0=")</f>
        <v>#VALUE!</v>
      </c>
      <c r="BK210" t="e">
        <f>AND(Bills!V892,"AAAAAF3V3T4=")</f>
        <v>#VALUE!</v>
      </c>
      <c r="BL210" t="e">
        <f>AND(Bills!W892,"AAAAAF3V3T8=")</f>
        <v>#VALUE!</v>
      </c>
      <c r="BM210" t="e">
        <f>AND(Bills!#REF!,"AAAAAF3V3UA=")</f>
        <v>#REF!</v>
      </c>
      <c r="BN210" t="e">
        <f>AND(Bills!#REF!,"AAAAAF3V3UE=")</f>
        <v>#REF!</v>
      </c>
      <c r="BO210" t="e">
        <f>AND(Bills!Y892,"AAAAAF3V3UI=")</f>
        <v>#VALUE!</v>
      </c>
      <c r="BP210" t="e">
        <f>AND(Bills!Z892,"AAAAAF3V3UM=")</f>
        <v>#VALUE!</v>
      </c>
      <c r="BQ210" t="e">
        <f>AND(Bills!#REF!,"AAAAAF3V3UQ=")</f>
        <v>#REF!</v>
      </c>
      <c r="BR210" t="e">
        <f>AND(Bills!#REF!,"AAAAAF3V3UU=")</f>
        <v>#REF!</v>
      </c>
      <c r="BS210" t="e">
        <f>AND(Bills!#REF!,"AAAAAF3V3UY=")</f>
        <v>#REF!</v>
      </c>
      <c r="BT210" t="e">
        <f>AND(Bills!#REF!,"AAAAAF3V3Uc=")</f>
        <v>#REF!</v>
      </c>
      <c r="BU210" t="e">
        <f>AND(Bills!#REF!,"AAAAAF3V3Ug=")</f>
        <v>#REF!</v>
      </c>
      <c r="BV210" t="e">
        <f>AND(Bills!#REF!,"AAAAAF3V3Uk=")</f>
        <v>#REF!</v>
      </c>
      <c r="BW210" t="e">
        <f>AND(Bills!#REF!,"AAAAAF3V3Uo=")</f>
        <v>#REF!</v>
      </c>
      <c r="BX210" t="e">
        <f>AND(Bills!#REF!,"AAAAAF3V3Us=")</f>
        <v>#REF!</v>
      </c>
      <c r="BY210" t="e">
        <f>AND(Bills!#REF!,"AAAAAF3V3Uw=")</f>
        <v>#REF!</v>
      </c>
      <c r="BZ210" t="e">
        <f>AND(Bills!AA892,"AAAAAF3V3U0=")</f>
        <v>#VALUE!</v>
      </c>
      <c r="CA210" t="e">
        <f>AND(Bills!AB892,"AAAAAF3V3U4=")</f>
        <v>#VALUE!</v>
      </c>
      <c r="CB210" t="e">
        <f>AND(Bills!#REF!,"AAAAAF3V3U8=")</f>
        <v>#REF!</v>
      </c>
      <c r="CC210" t="e">
        <f>AND(Bills!#REF!,"AAAAAF3V3VA=")</f>
        <v>#REF!</v>
      </c>
      <c r="CD210" t="e">
        <f>AND(Bills!#REF!,"AAAAAF3V3VE=")</f>
        <v>#REF!</v>
      </c>
      <c r="CE210" t="e">
        <f>AND(Bills!AC892,"AAAAAF3V3VI=")</f>
        <v>#VALUE!</v>
      </c>
      <c r="CF210" t="e">
        <f>AND(Bills!AD892,"AAAAAF3V3VM=")</f>
        <v>#VALUE!</v>
      </c>
      <c r="CG210" t="e">
        <f>AND(Bills!AE892,"AAAAAF3V3VQ=")</f>
        <v>#VALUE!</v>
      </c>
      <c r="CH210">
        <f>IF(Bills!893:893,"AAAAAF3V3VU=",0)</f>
        <v>0</v>
      </c>
      <c r="CI210" t="e">
        <f>AND(Bills!B893,"AAAAAF3V3VY=")</f>
        <v>#VALUE!</v>
      </c>
      <c r="CJ210" t="e">
        <f>AND(Bills!#REF!,"AAAAAF3V3Vc=")</f>
        <v>#REF!</v>
      </c>
      <c r="CK210" t="e">
        <f>AND(Bills!C893,"AAAAAF3V3Vg=")</f>
        <v>#VALUE!</v>
      </c>
      <c r="CL210" t="e">
        <f>AND(Bills!D893,"AAAAAF3V3Vk=")</f>
        <v>#VALUE!</v>
      </c>
      <c r="CM210" t="e">
        <f>AND(Bills!E893,"AAAAAF3V3Vo=")</f>
        <v>#VALUE!</v>
      </c>
      <c r="CN210" t="e">
        <f>AND(Bills!#REF!,"AAAAAF3V3Vs=")</f>
        <v>#REF!</v>
      </c>
      <c r="CO210" t="e">
        <f>AND(Bills!#REF!,"AAAAAF3V3Vw=")</f>
        <v>#REF!</v>
      </c>
      <c r="CP210" t="e">
        <f>AND(Bills!#REF!,"AAAAAF3V3V0=")</f>
        <v>#REF!</v>
      </c>
      <c r="CQ210" t="e">
        <f>AND(Bills!F893,"AAAAAF3V3V4=")</f>
        <v>#VALUE!</v>
      </c>
      <c r="CR210" t="e">
        <f>AND(Bills!#REF!,"AAAAAF3V3V8=")</f>
        <v>#REF!</v>
      </c>
      <c r="CS210" t="e">
        <f>AND(Bills!G893,"AAAAAF3V3WA=")</f>
        <v>#VALUE!</v>
      </c>
      <c r="CT210" t="e">
        <f>AND(Bills!H893,"AAAAAF3V3WE=")</f>
        <v>#VALUE!</v>
      </c>
      <c r="CU210" t="e">
        <f>AND(Bills!I893,"AAAAAF3V3WI=")</f>
        <v>#VALUE!</v>
      </c>
      <c r="CV210" t="e">
        <f>AND(Bills!J893,"AAAAAF3V3WM=")</f>
        <v>#VALUE!</v>
      </c>
      <c r="CW210" t="e">
        <f>AND(Bills!K893,"AAAAAF3V3WQ=")</f>
        <v>#VALUE!</v>
      </c>
      <c r="CX210" t="e">
        <f>AND(Bills!L893,"AAAAAF3V3WU=")</f>
        <v>#VALUE!</v>
      </c>
      <c r="CY210" t="e">
        <f>AND(Bills!#REF!,"AAAAAF3V3WY=")</f>
        <v>#REF!</v>
      </c>
      <c r="CZ210" t="e">
        <f>AND(Bills!M893,"AAAAAF3V3Wc=")</f>
        <v>#VALUE!</v>
      </c>
      <c r="DA210" t="e">
        <f>AND(Bills!N893,"AAAAAF3V3Wg=")</f>
        <v>#VALUE!</v>
      </c>
      <c r="DB210" t="e">
        <f>AND(Bills!O893,"AAAAAF3V3Wk=")</f>
        <v>#VALUE!</v>
      </c>
      <c r="DC210" t="e">
        <f>AND(Bills!P893,"AAAAAF3V3Wo=")</f>
        <v>#VALUE!</v>
      </c>
      <c r="DD210" t="e">
        <f>AND(Bills!Q893,"AAAAAF3V3Ws=")</f>
        <v>#VALUE!</v>
      </c>
      <c r="DE210" t="e">
        <f>AND(Bills!R893,"AAAAAF3V3Ww=")</f>
        <v>#VALUE!</v>
      </c>
      <c r="DF210" t="e">
        <f>AND(Bills!S893,"AAAAAF3V3W0=")</f>
        <v>#VALUE!</v>
      </c>
      <c r="DG210" t="e">
        <f>AND(Bills!T893,"AAAAAF3V3W4=")</f>
        <v>#VALUE!</v>
      </c>
      <c r="DH210" t="e">
        <f>AND(Bills!#REF!,"AAAAAF3V3W8=")</f>
        <v>#REF!</v>
      </c>
      <c r="DI210" t="e">
        <f>AND(Bills!U893,"AAAAAF3V3XA=")</f>
        <v>#VALUE!</v>
      </c>
      <c r="DJ210" t="e">
        <f>AND(Bills!V893,"AAAAAF3V3XE=")</f>
        <v>#VALUE!</v>
      </c>
      <c r="DK210" t="e">
        <f>AND(Bills!W893,"AAAAAF3V3XI=")</f>
        <v>#VALUE!</v>
      </c>
      <c r="DL210" t="e">
        <f>AND(Bills!#REF!,"AAAAAF3V3XM=")</f>
        <v>#REF!</v>
      </c>
      <c r="DM210" t="e">
        <f>AND(Bills!#REF!,"AAAAAF3V3XQ=")</f>
        <v>#REF!</v>
      </c>
      <c r="DN210" t="e">
        <f>AND(Bills!Y893,"AAAAAF3V3XU=")</f>
        <v>#VALUE!</v>
      </c>
      <c r="DO210" t="e">
        <f>AND(Bills!Z893,"AAAAAF3V3XY=")</f>
        <v>#VALUE!</v>
      </c>
      <c r="DP210" t="e">
        <f>AND(Bills!#REF!,"AAAAAF3V3Xc=")</f>
        <v>#REF!</v>
      </c>
      <c r="DQ210" t="e">
        <f>AND(Bills!#REF!,"AAAAAF3V3Xg=")</f>
        <v>#REF!</v>
      </c>
      <c r="DR210" t="e">
        <f>AND(Bills!#REF!,"AAAAAF3V3Xk=")</f>
        <v>#REF!</v>
      </c>
      <c r="DS210" t="e">
        <f>AND(Bills!#REF!,"AAAAAF3V3Xo=")</f>
        <v>#REF!</v>
      </c>
      <c r="DT210" t="e">
        <f>AND(Bills!#REF!,"AAAAAF3V3Xs=")</f>
        <v>#REF!</v>
      </c>
      <c r="DU210" t="e">
        <f>AND(Bills!#REF!,"AAAAAF3V3Xw=")</f>
        <v>#REF!</v>
      </c>
      <c r="DV210" t="e">
        <f>AND(Bills!#REF!,"AAAAAF3V3X0=")</f>
        <v>#REF!</v>
      </c>
      <c r="DW210" t="e">
        <f>AND(Bills!#REF!,"AAAAAF3V3X4=")</f>
        <v>#REF!</v>
      </c>
      <c r="DX210" t="e">
        <f>AND(Bills!#REF!,"AAAAAF3V3X8=")</f>
        <v>#REF!</v>
      </c>
      <c r="DY210" t="e">
        <f>AND(Bills!AA893,"AAAAAF3V3YA=")</f>
        <v>#VALUE!</v>
      </c>
      <c r="DZ210" t="e">
        <f>AND(Bills!AB893,"AAAAAF3V3YE=")</f>
        <v>#VALUE!</v>
      </c>
      <c r="EA210" t="e">
        <f>AND(Bills!#REF!,"AAAAAF3V3YI=")</f>
        <v>#REF!</v>
      </c>
      <c r="EB210" t="e">
        <f>AND(Bills!#REF!,"AAAAAF3V3YM=")</f>
        <v>#REF!</v>
      </c>
      <c r="EC210" t="e">
        <f>AND(Bills!#REF!,"AAAAAF3V3YQ=")</f>
        <v>#REF!</v>
      </c>
      <c r="ED210" t="e">
        <f>AND(Bills!AC893,"AAAAAF3V3YU=")</f>
        <v>#VALUE!</v>
      </c>
      <c r="EE210" t="e">
        <f>AND(Bills!AD893,"AAAAAF3V3YY=")</f>
        <v>#VALUE!</v>
      </c>
      <c r="EF210" t="e">
        <f>AND(Bills!AE893,"AAAAAF3V3Yc=")</f>
        <v>#VALUE!</v>
      </c>
      <c r="EG210">
        <f>IF(Bills!894:894,"AAAAAF3V3Yg=",0)</f>
        <v>0</v>
      </c>
      <c r="EH210" t="e">
        <f>AND(Bills!B894,"AAAAAF3V3Yk=")</f>
        <v>#VALUE!</v>
      </c>
      <c r="EI210" t="e">
        <f>AND(Bills!#REF!,"AAAAAF3V3Yo=")</f>
        <v>#REF!</v>
      </c>
      <c r="EJ210" t="e">
        <f>AND(Bills!C894,"AAAAAF3V3Ys=")</f>
        <v>#VALUE!</v>
      </c>
      <c r="EK210" t="e">
        <f>AND(Bills!D894,"AAAAAF3V3Yw=")</f>
        <v>#VALUE!</v>
      </c>
      <c r="EL210" t="e">
        <f>AND(Bills!E894,"AAAAAF3V3Y0=")</f>
        <v>#VALUE!</v>
      </c>
      <c r="EM210" t="e">
        <f>AND(Bills!#REF!,"AAAAAF3V3Y4=")</f>
        <v>#REF!</v>
      </c>
      <c r="EN210" t="e">
        <f>AND(Bills!#REF!,"AAAAAF3V3Y8=")</f>
        <v>#REF!</v>
      </c>
      <c r="EO210" t="e">
        <f>AND(Bills!#REF!,"AAAAAF3V3ZA=")</f>
        <v>#REF!</v>
      </c>
      <c r="EP210" t="e">
        <f>AND(Bills!F894,"AAAAAF3V3ZE=")</f>
        <v>#VALUE!</v>
      </c>
      <c r="EQ210" t="e">
        <f>AND(Bills!#REF!,"AAAAAF3V3ZI=")</f>
        <v>#REF!</v>
      </c>
      <c r="ER210" t="e">
        <f>AND(Bills!G894,"AAAAAF3V3ZM=")</f>
        <v>#VALUE!</v>
      </c>
      <c r="ES210" t="e">
        <f>AND(Bills!H894,"AAAAAF3V3ZQ=")</f>
        <v>#VALUE!</v>
      </c>
      <c r="ET210" t="e">
        <f>AND(Bills!I894,"AAAAAF3V3ZU=")</f>
        <v>#VALUE!</v>
      </c>
      <c r="EU210" t="e">
        <f>AND(Bills!J894,"AAAAAF3V3ZY=")</f>
        <v>#VALUE!</v>
      </c>
      <c r="EV210" t="e">
        <f>AND(Bills!K894,"AAAAAF3V3Zc=")</f>
        <v>#VALUE!</v>
      </c>
      <c r="EW210" t="e">
        <f>AND(Bills!L894,"AAAAAF3V3Zg=")</f>
        <v>#VALUE!</v>
      </c>
      <c r="EX210" t="e">
        <f>AND(Bills!#REF!,"AAAAAF3V3Zk=")</f>
        <v>#REF!</v>
      </c>
      <c r="EY210" t="e">
        <f>AND(Bills!M894,"AAAAAF3V3Zo=")</f>
        <v>#VALUE!</v>
      </c>
      <c r="EZ210" t="e">
        <f>AND(Bills!N894,"AAAAAF3V3Zs=")</f>
        <v>#VALUE!</v>
      </c>
      <c r="FA210" t="e">
        <f>AND(Bills!O894,"AAAAAF3V3Zw=")</f>
        <v>#VALUE!</v>
      </c>
      <c r="FB210" t="e">
        <f>AND(Bills!P894,"AAAAAF3V3Z0=")</f>
        <v>#VALUE!</v>
      </c>
      <c r="FC210" t="e">
        <f>AND(Bills!Q894,"AAAAAF3V3Z4=")</f>
        <v>#VALUE!</v>
      </c>
      <c r="FD210" t="e">
        <f>AND(Bills!R894,"AAAAAF3V3Z8=")</f>
        <v>#VALUE!</v>
      </c>
      <c r="FE210" t="e">
        <f>AND(Bills!S894,"AAAAAF3V3aA=")</f>
        <v>#VALUE!</v>
      </c>
      <c r="FF210" t="e">
        <f>AND(Bills!T894,"AAAAAF3V3aE=")</f>
        <v>#VALUE!</v>
      </c>
      <c r="FG210" t="e">
        <f>AND(Bills!#REF!,"AAAAAF3V3aI=")</f>
        <v>#REF!</v>
      </c>
      <c r="FH210" t="e">
        <f>AND(Bills!U894,"AAAAAF3V3aM=")</f>
        <v>#VALUE!</v>
      </c>
      <c r="FI210" t="e">
        <f>AND(Bills!V894,"AAAAAF3V3aQ=")</f>
        <v>#VALUE!</v>
      </c>
      <c r="FJ210" t="e">
        <f>AND(Bills!W894,"AAAAAF3V3aU=")</f>
        <v>#VALUE!</v>
      </c>
      <c r="FK210" t="e">
        <f>AND(Bills!#REF!,"AAAAAF3V3aY=")</f>
        <v>#REF!</v>
      </c>
      <c r="FL210" t="e">
        <f>AND(Bills!#REF!,"AAAAAF3V3ac=")</f>
        <v>#REF!</v>
      </c>
      <c r="FM210" t="e">
        <f>AND(Bills!Y894,"AAAAAF3V3ag=")</f>
        <v>#VALUE!</v>
      </c>
      <c r="FN210" t="e">
        <f>AND(Bills!Z894,"AAAAAF3V3ak=")</f>
        <v>#VALUE!</v>
      </c>
      <c r="FO210" t="e">
        <f>AND(Bills!#REF!,"AAAAAF3V3ao=")</f>
        <v>#REF!</v>
      </c>
      <c r="FP210" t="e">
        <f>AND(Bills!#REF!,"AAAAAF3V3as=")</f>
        <v>#REF!</v>
      </c>
      <c r="FQ210" t="e">
        <f>AND(Bills!#REF!,"AAAAAF3V3aw=")</f>
        <v>#REF!</v>
      </c>
      <c r="FR210" t="e">
        <f>AND(Bills!#REF!,"AAAAAF3V3a0=")</f>
        <v>#REF!</v>
      </c>
      <c r="FS210" t="e">
        <f>AND(Bills!#REF!,"AAAAAF3V3a4=")</f>
        <v>#REF!</v>
      </c>
      <c r="FT210" t="e">
        <f>AND(Bills!#REF!,"AAAAAF3V3a8=")</f>
        <v>#REF!</v>
      </c>
      <c r="FU210" t="e">
        <f>AND(Bills!#REF!,"AAAAAF3V3bA=")</f>
        <v>#REF!</v>
      </c>
      <c r="FV210" t="e">
        <f>AND(Bills!#REF!,"AAAAAF3V3bE=")</f>
        <v>#REF!</v>
      </c>
      <c r="FW210" t="e">
        <f>AND(Bills!#REF!,"AAAAAF3V3bI=")</f>
        <v>#REF!</v>
      </c>
      <c r="FX210" t="e">
        <f>AND(Bills!AA894,"AAAAAF3V3bM=")</f>
        <v>#VALUE!</v>
      </c>
      <c r="FY210" t="e">
        <f>AND(Bills!AB894,"AAAAAF3V3bQ=")</f>
        <v>#VALUE!</v>
      </c>
      <c r="FZ210" t="e">
        <f>AND(Bills!#REF!,"AAAAAF3V3bU=")</f>
        <v>#REF!</v>
      </c>
      <c r="GA210" t="e">
        <f>AND(Bills!#REF!,"AAAAAF3V3bY=")</f>
        <v>#REF!</v>
      </c>
      <c r="GB210" t="e">
        <f>AND(Bills!#REF!,"AAAAAF3V3bc=")</f>
        <v>#REF!</v>
      </c>
      <c r="GC210" t="e">
        <f>AND(Bills!AC894,"AAAAAF3V3bg=")</f>
        <v>#VALUE!</v>
      </c>
      <c r="GD210" t="e">
        <f>AND(Bills!AD894,"AAAAAF3V3bk=")</f>
        <v>#VALUE!</v>
      </c>
      <c r="GE210" t="e">
        <f>AND(Bills!AE894,"AAAAAF3V3bo=")</f>
        <v>#VALUE!</v>
      </c>
      <c r="GF210">
        <f>IF(Bills!895:895,"AAAAAF3V3bs=",0)</f>
        <v>0</v>
      </c>
      <c r="GG210" t="e">
        <f>AND(Bills!B895,"AAAAAF3V3bw=")</f>
        <v>#VALUE!</v>
      </c>
      <c r="GH210" t="e">
        <f>AND(Bills!#REF!,"AAAAAF3V3b0=")</f>
        <v>#REF!</v>
      </c>
      <c r="GI210" t="e">
        <f>AND(Bills!C895,"AAAAAF3V3b4=")</f>
        <v>#VALUE!</v>
      </c>
      <c r="GJ210" t="e">
        <f>AND(Bills!D895,"AAAAAF3V3b8=")</f>
        <v>#VALUE!</v>
      </c>
      <c r="GK210" t="e">
        <f>AND(Bills!E895,"AAAAAF3V3cA=")</f>
        <v>#VALUE!</v>
      </c>
      <c r="GL210" t="e">
        <f>AND(Bills!#REF!,"AAAAAF3V3cE=")</f>
        <v>#REF!</v>
      </c>
      <c r="GM210" t="e">
        <f>AND(Bills!#REF!,"AAAAAF3V3cI=")</f>
        <v>#REF!</v>
      </c>
      <c r="GN210" t="e">
        <f>AND(Bills!#REF!,"AAAAAF3V3cM=")</f>
        <v>#REF!</v>
      </c>
      <c r="GO210" t="e">
        <f>AND(Bills!F895,"AAAAAF3V3cQ=")</f>
        <v>#VALUE!</v>
      </c>
      <c r="GP210" t="e">
        <f>AND(Bills!#REF!,"AAAAAF3V3cU=")</f>
        <v>#REF!</v>
      </c>
      <c r="GQ210" t="e">
        <f>AND(Bills!G895,"AAAAAF3V3cY=")</f>
        <v>#VALUE!</v>
      </c>
      <c r="GR210" t="e">
        <f>AND(Bills!H895,"AAAAAF3V3cc=")</f>
        <v>#VALUE!</v>
      </c>
      <c r="GS210" t="e">
        <f>AND(Bills!I895,"AAAAAF3V3cg=")</f>
        <v>#VALUE!</v>
      </c>
      <c r="GT210" t="e">
        <f>AND(Bills!J895,"AAAAAF3V3ck=")</f>
        <v>#VALUE!</v>
      </c>
      <c r="GU210" t="e">
        <f>AND(Bills!K895,"AAAAAF3V3co=")</f>
        <v>#VALUE!</v>
      </c>
      <c r="GV210" t="e">
        <f>AND(Bills!L895,"AAAAAF3V3cs=")</f>
        <v>#VALUE!</v>
      </c>
      <c r="GW210" t="e">
        <f>AND(Bills!#REF!,"AAAAAF3V3cw=")</f>
        <v>#REF!</v>
      </c>
      <c r="GX210" t="e">
        <f>AND(Bills!M895,"AAAAAF3V3c0=")</f>
        <v>#VALUE!</v>
      </c>
      <c r="GY210" t="e">
        <f>AND(Bills!N895,"AAAAAF3V3c4=")</f>
        <v>#VALUE!</v>
      </c>
      <c r="GZ210" t="e">
        <f>AND(Bills!O895,"AAAAAF3V3c8=")</f>
        <v>#VALUE!</v>
      </c>
      <c r="HA210" t="e">
        <f>AND(Bills!P895,"AAAAAF3V3dA=")</f>
        <v>#VALUE!</v>
      </c>
      <c r="HB210" t="e">
        <f>AND(Bills!Q895,"AAAAAF3V3dE=")</f>
        <v>#VALUE!</v>
      </c>
      <c r="HC210" t="e">
        <f>AND(Bills!R895,"AAAAAF3V3dI=")</f>
        <v>#VALUE!</v>
      </c>
      <c r="HD210" t="e">
        <f>AND(Bills!S895,"AAAAAF3V3dM=")</f>
        <v>#VALUE!</v>
      </c>
      <c r="HE210" t="e">
        <f>AND(Bills!T895,"AAAAAF3V3dQ=")</f>
        <v>#VALUE!</v>
      </c>
      <c r="HF210" t="e">
        <f>AND(Bills!#REF!,"AAAAAF3V3dU=")</f>
        <v>#REF!</v>
      </c>
      <c r="HG210" t="e">
        <f>AND(Bills!U895,"AAAAAF3V3dY=")</f>
        <v>#VALUE!</v>
      </c>
      <c r="HH210" t="e">
        <f>AND(Bills!V895,"AAAAAF3V3dc=")</f>
        <v>#VALUE!</v>
      </c>
      <c r="HI210" t="e">
        <f>AND(Bills!W895,"AAAAAF3V3dg=")</f>
        <v>#VALUE!</v>
      </c>
      <c r="HJ210" t="e">
        <f>AND(Bills!#REF!,"AAAAAF3V3dk=")</f>
        <v>#REF!</v>
      </c>
      <c r="HK210" t="e">
        <f>AND(Bills!#REF!,"AAAAAF3V3do=")</f>
        <v>#REF!</v>
      </c>
      <c r="HL210" t="e">
        <f>AND(Bills!Y895,"AAAAAF3V3ds=")</f>
        <v>#VALUE!</v>
      </c>
      <c r="HM210" t="e">
        <f>AND(Bills!Z895,"AAAAAF3V3dw=")</f>
        <v>#VALUE!</v>
      </c>
      <c r="HN210" t="e">
        <f>AND(Bills!#REF!,"AAAAAF3V3d0=")</f>
        <v>#REF!</v>
      </c>
      <c r="HO210" t="e">
        <f>AND(Bills!#REF!,"AAAAAF3V3d4=")</f>
        <v>#REF!</v>
      </c>
      <c r="HP210" t="e">
        <f>AND(Bills!#REF!,"AAAAAF3V3d8=")</f>
        <v>#REF!</v>
      </c>
      <c r="HQ210" t="e">
        <f>AND(Bills!#REF!,"AAAAAF3V3eA=")</f>
        <v>#REF!</v>
      </c>
      <c r="HR210" t="e">
        <f>AND(Bills!#REF!,"AAAAAF3V3eE=")</f>
        <v>#REF!</v>
      </c>
      <c r="HS210" t="e">
        <f>AND(Bills!#REF!,"AAAAAF3V3eI=")</f>
        <v>#REF!</v>
      </c>
      <c r="HT210" t="e">
        <f>AND(Bills!#REF!,"AAAAAF3V3eM=")</f>
        <v>#REF!</v>
      </c>
      <c r="HU210" t="e">
        <f>AND(Bills!#REF!,"AAAAAF3V3eQ=")</f>
        <v>#REF!</v>
      </c>
      <c r="HV210" t="e">
        <f>AND(Bills!#REF!,"AAAAAF3V3eU=")</f>
        <v>#REF!</v>
      </c>
      <c r="HW210" t="e">
        <f>AND(Bills!AA895,"AAAAAF3V3eY=")</f>
        <v>#VALUE!</v>
      </c>
      <c r="HX210" t="e">
        <f>AND(Bills!AB895,"AAAAAF3V3ec=")</f>
        <v>#VALUE!</v>
      </c>
      <c r="HY210" t="e">
        <f>AND(Bills!#REF!,"AAAAAF3V3eg=")</f>
        <v>#REF!</v>
      </c>
      <c r="HZ210" t="e">
        <f>AND(Bills!#REF!,"AAAAAF3V3ek=")</f>
        <v>#REF!</v>
      </c>
      <c r="IA210" t="e">
        <f>AND(Bills!#REF!,"AAAAAF3V3eo=")</f>
        <v>#REF!</v>
      </c>
      <c r="IB210" t="e">
        <f>AND(Bills!AC895,"AAAAAF3V3es=")</f>
        <v>#VALUE!</v>
      </c>
      <c r="IC210" t="e">
        <f>AND(Bills!AD895,"AAAAAF3V3ew=")</f>
        <v>#VALUE!</v>
      </c>
      <c r="ID210" t="e">
        <f>AND(Bills!AE895,"AAAAAF3V3e0=")</f>
        <v>#VALUE!</v>
      </c>
      <c r="IE210">
        <f>IF(Bills!896:896,"AAAAAF3V3e4=",0)</f>
        <v>0</v>
      </c>
      <c r="IF210" t="e">
        <f>AND(Bills!B896,"AAAAAF3V3e8=")</f>
        <v>#VALUE!</v>
      </c>
      <c r="IG210" t="e">
        <f>AND(Bills!#REF!,"AAAAAF3V3fA=")</f>
        <v>#REF!</v>
      </c>
      <c r="IH210" t="e">
        <f>AND(Bills!C896,"AAAAAF3V3fE=")</f>
        <v>#VALUE!</v>
      </c>
      <c r="II210" t="e">
        <f>AND(Bills!D896,"AAAAAF3V3fI=")</f>
        <v>#VALUE!</v>
      </c>
      <c r="IJ210" t="e">
        <f>AND(Bills!E896,"AAAAAF3V3fM=")</f>
        <v>#VALUE!</v>
      </c>
      <c r="IK210" t="e">
        <f>AND(Bills!#REF!,"AAAAAF3V3fQ=")</f>
        <v>#REF!</v>
      </c>
      <c r="IL210" t="e">
        <f>AND(Bills!#REF!,"AAAAAF3V3fU=")</f>
        <v>#REF!</v>
      </c>
      <c r="IM210" t="e">
        <f>AND(Bills!#REF!,"AAAAAF3V3fY=")</f>
        <v>#REF!</v>
      </c>
      <c r="IN210" t="e">
        <f>AND(Bills!F896,"AAAAAF3V3fc=")</f>
        <v>#VALUE!</v>
      </c>
      <c r="IO210" t="e">
        <f>AND(Bills!#REF!,"AAAAAF3V3fg=")</f>
        <v>#REF!</v>
      </c>
      <c r="IP210" t="e">
        <f>AND(Bills!G896,"AAAAAF3V3fk=")</f>
        <v>#VALUE!</v>
      </c>
      <c r="IQ210" t="e">
        <f>AND(Bills!H896,"AAAAAF3V3fo=")</f>
        <v>#VALUE!</v>
      </c>
      <c r="IR210" t="e">
        <f>AND(Bills!I896,"AAAAAF3V3fs=")</f>
        <v>#VALUE!</v>
      </c>
      <c r="IS210" t="e">
        <f>AND(Bills!J896,"AAAAAF3V3fw=")</f>
        <v>#VALUE!</v>
      </c>
      <c r="IT210" t="e">
        <f>AND(Bills!K896,"AAAAAF3V3f0=")</f>
        <v>#VALUE!</v>
      </c>
      <c r="IU210" t="e">
        <f>AND(Bills!L896,"AAAAAF3V3f4=")</f>
        <v>#VALUE!</v>
      </c>
      <c r="IV210" t="e">
        <f>AND(Bills!#REF!,"AAAAAF3V3f8=")</f>
        <v>#REF!</v>
      </c>
    </row>
    <row r="211" spans="1:256" x14ac:dyDescent="0.25">
      <c r="A211" t="e">
        <f>AND(Bills!M896,"AAAAAH+fOwA=")</f>
        <v>#VALUE!</v>
      </c>
      <c r="B211" t="e">
        <f>AND(Bills!N896,"AAAAAH+fOwE=")</f>
        <v>#VALUE!</v>
      </c>
      <c r="C211" t="e">
        <f>AND(Bills!O896,"AAAAAH+fOwI=")</f>
        <v>#VALUE!</v>
      </c>
      <c r="D211" t="e">
        <f>AND(Bills!P896,"AAAAAH+fOwM=")</f>
        <v>#VALUE!</v>
      </c>
      <c r="E211" t="e">
        <f>AND(Bills!Q896,"AAAAAH+fOwQ=")</f>
        <v>#VALUE!</v>
      </c>
      <c r="F211" t="e">
        <f>AND(Bills!R896,"AAAAAH+fOwU=")</f>
        <v>#VALUE!</v>
      </c>
      <c r="G211" t="e">
        <f>AND(Bills!S896,"AAAAAH+fOwY=")</f>
        <v>#VALUE!</v>
      </c>
      <c r="H211" t="e">
        <f>AND(Bills!T896,"AAAAAH+fOwc=")</f>
        <v>#VALUE!</v>
      </c>
      <c r="I211" t="e">
        <f>AND(Bills!#REF!,"AAAAAH+fOwg=")</f>
        <v>#REF!</v>
      </c>
      <c r="J211" t="e">
        <f>AND(Bills!U896,"AAAAAH+fOwk=")</f>
        <v>#VALUE!</v>
      </c>
      <c r="K211" t="e">
        <f>AND(Bills!V896,"AAAAAH+fOwo=")</f>
        <v>#VALUE!</v>
      </c>
      <c r="L211" t="e">
        <f>AND(Bills!W896,"AAAAAH+fOws=")</f>
        <v>#VALUE!</v>
      </c>
      <c r="M211" t="e">
        <f>AND(Bills!#REF!,"AAAAAH+fOww=")</f>
        <v>#REF!</v>
      </c>
      <c r="N211" t="e">
        <f>AND(Bills!#REF!,"AAAAAH+fOw0=")</f>
        <v>#REF!</v>
      </c>
      <c r="O211" t="e">
        <f>AND(Bills!Y896,"AAAAAH+fOw4=")</f>
        <v>#VALUE!</v>
      </c>
      <c r="P211" t="e">
        <f>AND(Bills!Z896,"AAAAAH+fOw8=")</f>
        <v>#VALUE!</v>
      </c>
      <c r="Q211" t="e">
        <f>AND(Bills!#REF!,"AAAAAH+fOxA=")</f>
        <v>#REF!</v>
      </c>
      <c r="R211" t="e">
        <f>AND(Bills!#REF!,"AAAAAH+fOxE=")</f>
        <v>#REF!</v>
      </c>
      <c r="S211" t="e">
        <f>AND(Bills!#REF!,"AAAAAH+fOxI=")</f>
        <v>#REF!</v>
      </c>
      <c r="T211" t="e">
        <f>AND(Bills!#REF!,"AAAAAH+fOxM=")</f>
        <v>#REF!</v>
      </c>
      <c r="U211" t="e">
        <f>AND(Bills!#REF!,"AAAAAH+fOxQ=")</f>
        <v>#REF!</v>
      </c>
      <c r="V211" t="e">
        <f>AND(Bills!#REF!,"AAAAAH+fOxU=")</f>
        <v>#REF!</v>
      </c>
      <c r="W211" t="e">
        <f>AND(Bills!#REF!,"AAAAAH+fOxY=")</f>
        <v>#REF!</v>
      </c>
      <c r="X211" t="e">
        <f>AND(Bills!#REF!,"AAAAAH+fOxc=")</f>
        <v>#REF!</v>
      </c>
      <c r="Y211" t="e">
        <f>AND(Bills!#REF!,"AAAAAH+fOxg=")</f>
        <v>#REF!</v>
      </c>
      <c r="Z211" t="e">
        <f>AND(Bills!AA896,"AAAAAH+fOxk=")</f>
        <v>#VALUE!</v>
      </c>
      <c r="AA211" t="e">
        <f>AND(Bills!AB896,"AAAAAH+fOxo=")</f>
        <v>#VALUE!</v>
      </c>
      <c r="AB211" t="e">
        <f>AND(Bills!#REF!,"AAAAAH+fOxs=")</f>
        <v>#REF!</v>
      </c>
      <c r="AC211" t="e">
        <f>AND(Bills!#REF!,"AAAAAH+fOxw=")</f>
        <v>#REF!</v>
      </c>
      <c r="AD211" t="e">
        <f>AND(Bills!#REF!,"AAAAAH+fOx0=")</f>
        <v>#REF!</v>
      </c>
      <c r="AE211" t="e">
        <f>AND(Bills!AC896,"AAAAAH+fOx4=")</f>
        <v>#VALUE!</v>
      </c>
      <c r="AF211" t="e">
        <f>AND(Bills!AD896,"AAAAAH+fOx8=")</f>
        <v>#VALUE!</v>
      </c>
      <c r="AG211" t="e">
        <f>AND(Bills!AE896,"AAAAAH+fOyA=")</f>
        <v>#VALUE!</v>
      </c>
      <c r="AH211">
        <f>IF(Bills!897:897,"AAAAAH+fOyE=",0)</f>
        <v>0</v>
      </c>
      <c r="AI211" t="e">
        <f>AND(Bills!B897,"AAAAAH+fOyI=")</f>
        <v>#VALUE!</v>
      </c>
      <c r="AJ211" t="e">
        <f>AND(Bills!#REF!,"AAAAAH+fOyM=")</f>
        <v>#REF!</v>
      </c>
      <c r="AK211" t="e">
        <f>AND(Bills!C897,"AAAAAH+fOyQ=")</f>
        <v>#VALUE!</v>
      </c>
      <c r="AL211" t="e">
        <f>AND(Bills!D897,"AAAAAH+fOyU=")</f>
        <v>#VALUE!</v>
      </c>
      <c r="AM211" t="e">
        <f>AND(Bills!E897,"AAAAAH+fOyY=")</f>
        <v>#VALUE!</v>
      </c>
      <c r="AN211" t="e">
        <f>AND(Bills!#REF!,"AAAAAH+fOyc=")</f>
        <v>#REF!</v>
      </c>
      <c r="AO211" t="e">
        <f>AND(Bills!#REF!,"AAAAAH+fOyg=")</f>
        <v>#REF!</v>
      </c>
      <c r="AP211" t="e">
        <f>AND(Bills!#REF!,"AAAAAH+fOyk=")</f>
        <v>#REF!</v>
      </c>
      <c r="AQ211" t="e">
        <f>AND(Bills!F897,"AAAAAH+fOyo=")</f>
        <v>#VALUE!</v>
      </c>
      <c r="AR211" t="e">
        <f>AND(Bills!#REF!,"AAAAAH+fOys=")</f>
        <v>#REF!</v>
      </c>
      <c r="AS211" t="e">
        <f>AND(Bills!G897,"AAAAAH+fOyw=")</f>
        <v>#VALUE!</v>
      </c>
      <c r="AT211" t="e">
        <f>AND(Bills!H897,"AAAAAH+fOy0=")</f>
        <v>#VALUE!</v>
      </c>
      <c r="AU211" t="e">
        <f>AND(Bills!I897,"AAAAAH+fOy4=")</f>
        <v>#VALUE!</v>
      </c>
      <c r="AV211" t="e">
        <f>AND(Bills!J897,"AAAAAH+fOy8=")</f>
        <v>#VALUE!</v>
      </c>
      <c r="AW211" t="e">
        <f>AND(Bills!K897,"AAAAAH+fOzA=")</f>
        <v>#VALUE!</v>
      </c>
      <c r="AX211" t="e">
        <f>AND(Bills!L897,"AAAAAH+fOzE=")</f>
        <v>#VALUE!</v>
      </c>
      <c r="AY211" t="e">
        <f>AND(Bills!#REF!,"AAAAAH+fOzI=")</f>
        <v>#REF!</v>
      </c>
      <c r="AZ211" t="e">
        <f>AND(Bills!M897,"AAAAAH+fOzM=")</f>
        <v>#VALUE!</v>
      </c>
      <c r="BA211" t="e">
        <f>AND(Bills!N897,"AAAAAH+fOzQ=")</f>
        <v>#VALUE!</v>
      </c>
      <c r="BB211" t="e">
        <f>AND(Bills!O897,"AAAAAH+fOzU=")</f>
        <v>#VALUE!</v>
      </c>
      <c r="BC211" t="e">
        <f>AND(Bills!P897,"AAAAAH+fOzY=")</f>
        <v>#VALUE!</v>
      </c>
      <c r="BD211" t="e">
        <f>AND(Bills!Q897,"AAAAAH+fOzc=")</f>
        <v>#VALUE!</v>
      </c>
      <c r="BE211" t="e">
        <f>AND(Bills!R897,"AAAAAH+fOzg=")</f>
        <v>#VALUE!</v>
      </c>
      <c r="BF211" t="e">
        <f>AND(Bills!S897,"AAAAAH+fOzk=")</f>
        <v>#VALUE!</v>
      </c>
      <c r="BG211" t="e">
        <f>AND(Bills!T897,"AAAAAH+fOzo=")</f>
        <v>#VALUE!</v>
      </c>
      <c r="BH211" t="e">
        <f>AND(Bills!#REF!,"AAAAAH+fOzs=")</f>
        <v>#REF!</v>
      </c>
      <c r="BI211" t="e">
        <f>AND(Bills!U897,"AAAAAH+fOzw=")</f>
        <v>#VALUE!</v>
      </c>
      <c r="BJ211" t="e">
        <f>AND(Bills!V897,"AAAAAH+fOz0=")</f>
        <v>#VALUE!</v>
      </c>
      <c r="BK211" t="e">
        <f>AND(Bills!W897,"AAAAAH+fOz4=")</f>
        <v>#VALUE!</v>
      </c>
      <c r="BL211" t="e">
        <f>AND(Bills!#REF!,"AAAAAH+fOz8=")</f>
        <v>#REF!</v>
      </c>
      <c r="BM211" t="e">
        <f>AND(Bills!#REF!,"AAAAAH+fO0A=")</f>
        <v>#REF!</v>
      </c>
      <c r="BN211" t="e">
        <f>AND(Bills!Y897,"AAAAAH+fO0E=")</f>
        <v>#VALUE!</v>
      </c>
      <c r="BO211" t="e">
        <f>AND(Bills!Z897,"AAAAAH+fO0I=")</f>
        <v>#VALUE!</v>
      </c>
      <c r="BP211" t="e">
        <f>AND(Bills!#REF!,"AAAAAH+fO0M=")</f>
        <v>#REF!</v>
      </c>
      <c r="BQ211" t="e">
        <f>AND(Bills!#REF!,"AAAAAH+fO0Q=")</f>
        <v>#REF!</v>
      </c>
      <c r="BR211" t="e">
        <f>AND(Bills!#REF!,"AAAAAH+fO0U=")</f>
        <v>#REF!</v>
      </c>
      <c r="BS211" t="e">
        <f>AND(Bills!#REF!,"AAAAAH+fO0Y=")</f>
        <v>#REF!</v>
      </c>
      <c r="BT211" t="e">
        <f>AND(Bills!#REF!,"AAAAAH+fO0c=")</f>
        <v>#REF!</v>
      </c>
      <c r="BU211" t="e">
        <f>AND(Bills!#REF!,"AAAAAH+fO0g=")</f>
        <v>#REF!</v>
      </c>
      <c r="BV211" t="e">
        <f>AND(Bills!#REF!,"AAAAAH+fO0k=")</f>
        <v>#REF!</v>
      </c>
      <c r="BW211" t="e">
        <f>AND(Bills!#REF!,"AAAAAH+fO0o=")</f>
        <v>#REF!</v>
      </c>
      <c r="BX211" t="e">
        <f>AND(Bills!#REF!,"AAAAAH+fO0s=")</f>
        <v>#REF!</v>
      </c>
      <c r="BY211" t="e">
        <f>AND(Bills!AA897,"AAAAAH+fO0w=")</f>
        <v>#VALUE!</v>
      </c>
      <c r="BZ211" t="e">
        <f>AND(Bills!AB897,"AAAAAH+fO00=")</f>
        <v>#VALUE!</v>
      </c>
      <c r="CA211" t="e">
        <f>AND(Bills!#REF!,"AAAAAH+fO04=")</f>
        <v>#REF!</v>
      </c>
      <c r="CB211" t="e">
        <f>AND(Bills!#REF!,"AAAAAH+fO08=")</f>
        <v>#REF!</v>
      </c>
      <c r="CC211" t="e">
        <f>AND(Bills!#REF!,"AAAAAH+fO1A=")</f>
        <v>#REF!</v>
      </c>
      <c r="CD211" t="e">
        <f>AND(Bills!AC897,"AAAAAH+fO1E=")</f>
        <v>#VALUE!</v>
      </c>
      <c r="CE211" t="e">
        <f>AND(Bills!AD897,"AAAAAH+fO1I=")</f>
        <v>#VALUE!</v>
      </c>
      <c r="CF211" t="e">
        <f>AND(Bills!AE897,"AAAAAH+fO1M=")</f>
        <v>#VALUE!</v>
      </c>
      <c r="CG211">
        <f>IF(Bills!898:898,"AAAAAH+fO1Q=",0)</f>
        <v>0</v>
      </c>
      <c r="CH211" t="e">
        <f>AND(Bills!B898,"AAAAAH+fO1U=")</f>
        <v>#VALUE!</v>
      </c>
      <c r="CI211" t="e">
        <f>AND(Bills!#REF!,"AAAAAH+fO1Y=")</f>
        <v>#REF!</v>
      </c>
      <c r="CJ211" t="e">
        <f>AND(Bills!C898,"AAAAAH+fO1c=")</f>
        <v>#VALUE!</v>
      </c>
      <c r="CK211" t="e">
        <f>AND(Bills!D898,"AAAAAH+fO1g=")</f>
        <v>#VALUE!</v>
      </c>
      <c r="CL211" t="e">
        <f>AND(Bills!E898,"AAAAAH+fO1k=")</f>
        <v>#VALUE!</v>
      </c>
      <c r="CM211" t="e">
        <f>AND(Bills!#REF!,"AAAAAH+fO1o=")</f>
        <v>#REF!</v>
      </c>
      <c r="CN211" t="e">
        <f>AND(Bills!#REF!,"AAAAAH+fO1s=")</f>
        <v>#REF!</v>
      </c>
      <c r="CO211" t="e">
        <f>AND(Bills!#REF!,"AAAAAH+fO1w=")</f>
        <v>#REF!</v>
      </c>
      <c r="CP211" t="e">
        <f>AND(Bills!F898,"AAAAAH+fO10=")</f>
        <v>#VALUE!</v>
      </c>
      <c r="CQ211" t="e">
        <f>AND(Bills!#REF!,"AAAAAH+fO14=")</f>
        <v>#REF!</v>
      </c>
      <c r="CR211" t="e">
        <f>AND(Bills!G898,"AAAAAH+fO18=")</f>
        <v>#VALUE!</v>
      </c>
      <c r="CS211" t="e">
        <f>AND(Bills!H898,"AAAAAH+fO2A=")</f>
        <v>#VALUE!</v>
      </c>
      <c r="CT211" t="e">
        <f>AND(Bills!I898,"AAAAAH+fO2E=")</f>
        <v>#VALUE!</v>
      </c>
      <c r="CU211" t="e">
        <f>AND(Bills!J898,"AAAAAH+fO2I=")</f>
        <v>#VALUE!</v>
      </c>
      <c r="CV211" t="e">
        <f>AND(Bills!K898,"AAAAAH+fO2M=")</f>
        <v>#VALUE!</v>
      </c>
      <c r="CW211" t="e">
        <f>AND(Bills!L898,"AAAAAH+fO2Q=")</f>
        <v>#VALUE!</v>
      </c>
      <c r="CX211" t="e">
        <f>AND(Bills!#REF!,"AAAAAH+fO2U=")</f>
        <v>#REF!</v>
      </c>
      <c r="CY211" t="e">
        <f>AND(Bills!M898,"AAAAAH+fO2Y=")</f>
        <v>#VALUE!</v>
      </c>
      <c r="CZ211" t="e">
        <f>AND(Bills!N898,"AAAAAH+fO2c=")</f>
        <v>#VALUE!</v>
      </c>
      <c r="DA211" t="e">
        <f>AND(Bills!O898,"AAAAAH+fO2g=")</f>
        <v>#VALUE!</v>
      </c>
      <c r="DB211" t="e">
        <f>AND(Bills!P898,"AAAAAH+fO2k=")</f>
        <v>#VALUE!</v>
      </c>
      <c r="DC211" t="e">
        <f>AND(Bills!Q898,"AAAAAH+fO2o=")</f>
        <v>#VALUE!</v>
      </c>
      <c r="DD211" t="e">
        <f>AND(Bills!R898,"AAAAAH+fO2s=")</f>
        <v>#VALUE!</v>
      </c>
      <c r="DE211" t="e">
        <f>AND(Bills!S898,"AAAAAH+fO2w=")</f>
        <v>#VALUE!</v>
      </c>
      <c r="DF211" t="e">
        <f>AND(Bills!T898,"AAAAAH+fO20=")</f>
        <v>#VALUE!</v>
      </c>
      <c r="DG211" t="e">
        <f>AND(Bills!#REF!,"AAAAAH+fO24=")</f>
        <v>#REF!</v>
      </c>
      <c r="DH211" t="e">
        <f>AND(Bills!U898,"AAAAAH+fO28=")</f>
        <v>#VALUE!</v>
      </c>
      <c r="DI211" t="e">
        <f>AND(Bills!V898,"AAAAAH+fO3A=")</f>
        <v>#VALUE!</v>
      </c>
      <c r="DJ211" t="e">
        <f>AND(Bills!W898,"AAAAAH+fO3E=")</f>
        <v>#VALUE!</v>
      </c>
      <c r="DK211" t="e">
        <f>AND(Bills!#REF!,"AAAAAH+fO3I=")</f>
        <v>#REF!</v>
      </c>
      <c r="DL211" t="e">
        <f>AND(Bills!#REF!,"AAAAAH+fO3M=")</f>
        <v>#REF!</v>
      </c>
      <c r="DM211" t="e">
        <f>AND(Bills!Y898,"AAAAAH+fO3Q=")</f>
        <v>#VALUE!</v>
      </c>
      <c r="DN211" t="e">
        <f>AND(Bills!Z898,"AAAAAH+fO3U=")</f>
        <v>#VALUE!</v>
      </c>
      <c r="DO211" t="e">
        <f>AND(Bills!#REF!,"AAAAAH+fO3Y=")</f>
        <v>#REF!</v>
      </c>
      <c r="DP211" t="e">
        <f>AND(Bills!#REF!,"AAAAAH+fO3c=")</f>
        <v>#REF!</v>
      </c>
      <c r="DQ211" t="e">
        <f>AND(Bills!#REF!,"AAAAAH+fO3g=")</f>
        <v>#REF!</v>
      </c>
      <c r="DR211" t="e">
        <f>AND(Bills!#REF!,"AAAAAH+fO3k=")</f>
        <v>#REF!</v>
      </c>
      <c r="DS211" t="e">
        <f>AND(Bills!#REF!,"AAAAAH+fO3o=")</f>
        <v>#REF!</v>
      </c>
      <c r="DT211" t="e">
        <f>AND(Bills!#REF!,"AAAAAH+fO3s=")</f>
        <v>#REF!</v>
      </c>
      <c r="DU211" t="e">
        <f>AND(Bills!#REF!,"AAAAAH+fO3w=")</f>
        <v>#REF!</v>
      </c>
      <c r="DV211" t="e">
        <f>AND(Bills!#REF!,"AAAAAH+fO30=")</f>
        <v>#REF!</v>
      </c>
      <c r="DW211" t="e">
        <f>AND(Bills!#REF!,"AAAAAH+fO34=")</f>
        <v>#REF!</v>
      </c>
      <c r="DX211" t="e">
        <f>AND(Bills!AA898,"AAAAAH+fO38=")</f>
        <v>#VALUE!</v>
      </c>
      <c r="DY211" t="e">
        <f>AND(Bills!AB898,"AAAAAH+fO4A=")</f>
        <v>#VALUE!</v>
      </c>
      <c r="DZ211" t="e">
        <f>AND(Bills!#REF!,"AAAAAH+fO4E=")</f>
        <v>#REF!</v>
      </c>
      <c r="EA211" t="e">
        <f>AND(Bills!#REF!,"AAAAAH+fO4I=")</f>
        <v>#REF!</v>
      </c>
      <c r="EB211" t="e">
        <f>AND(Bills!#REF!,"AAAAAH+fO4M=")</f>
        <v>#REF!</v>
      </c>
      <c r="EC211" t="e">
        <f>AND(Bills!AC898,"AAAAAH+fO4Q=")</f>
        <v>#VALUE!</v>
      </c>
      <c r="ED211" t="e">
        <f>AND(Bills!AD898,"AAAAAH+fO4U=")</f>
        <v>#VALUE!</v>
      </c>
      <c r="EE211" t="e">
        <f>AND(Bills!AE898,"AAAAAH+fO4Y=")</f>
        <v>#VALUE!</v>
      </c>
      <c r="EF211">
        <f>IF(Bills!899:899,"AAAAAH+fO4c=",0)</f>
        <v>0</v>
      </c>
      <c r="EG211" t="e">
        <f>AND(Bills!B899,"AAAAAH+fO4g=")</f>
        <v>#VALUE!</v>
      </c>
      <c r="EH211" t="e">
        <f>AND(Bills!#REF!,"AAAAAH+fO4k=")</f>
        <v>#REF!</v>
      </c>
      <c r="EI211" t="e">
        <f>AND(Bills!C899,"AAAAAH+fO4o=")</f>
        <v>#VALUE!</v>
      </c>
      <c r="EJ211" t="e">
        <f>AND(Bills!D899,"AAAAAH+fO4s=")</f>
        <v>#VALUE!</v>
      </c>
      <c r="EK211" t="e">
        <f>AND(Bills!E899,"AAAAAH+fO4w=")</f>
        <v>#VALUE!</v>
      </c>
      <c r="EL211" t="e">
        <f>AND(Bills!#REF!,"AAAAAH+fO40=")</f>
        <v>#REF!</v>
      </c>
      <c r="EM211" t="e">
        <f>AND(Bills!#REF!,"AAAAAH+fO44=")</f>
        <v>#REF!</v>
      </c>
      <c r="EN211" t="e">
        <f>AND(Bills!#REF!,"AAAAAH+fO48=")</f>
        <v>#REF!</v>
      </c>
      <c r="EO211" t="e">
        <f>AND(Bills!F899,"AAAAAH+fO5A=")</f>
        <v>#VALUE!</v>
      </c>
      <c r="EP211" t="e">
        <f>AND(Bills!#REF!,"AAAAAH+fO5E=")</f>
        <v>#REF!</v>
      </c>
      <c r="EQ211" t="e">
        <f>AND(Bills!G899,"AAAAAH+fO5I=")</f>
        <v>#VALUE!</v>
      </c>
      <c r="ER211" t="e">
        <f>AND(Bills!H899,"AAAAAH+fO5M=")</f>
        <v>#VALUE!</v>
      </c>
      <c r="ES211" t="e">
        <f>AND(Bills!I899,"AAAAAH+fO5Q=")</f>
        <v>#VALUE!</v>
      </c>
      <c r="ET211" t="e">
        <f>AND(Bills!J899,"AAAAAH+fO5U=")</f>
        <v>#VALUE!</v>
      </c>
      <c r="EU211" t="e">
        <f>AND(Bills!K899,"AAAAAH+fO5Y=")</f>
        <v>#VALUE!</v>
      </c>
      <c r="EV211" t="e">
        <f>AND(Bills!L899,"AAAAAH+fO5c=")</f>
        <v>#VALUE!</v>
      </c>
      <c r="EW211" t="e">
        <f>AND(Bills!#REF!,"AAAAAH+fO5g=")</f>
        <v>#REF!</v>
      </c>
      <c r="EX211" t="e">
        <f>AND(Bills!M899,"AAAAAH+fO5k=")</f>
        <v>#VALUE!</v>
      </c>
      <c r="EY211" t="e">
        <f>AND(Bills!N899,"AAAAAH+fO5o=")</f>
        <v>#VALUE!</v>
      </c>
      <c r="EZ211" t="e">
        <f>AND(Bills!O899,"AAAAAH+fO5s=")</f>
        <v>#VALUE!</v>
      </c>
      <c r="FA211" t="e">
        <f>AND(Bills!P899,"AAAAAH+fO5w=")</f>
        <v>#VALUE!</v>
      </c>
      <c r="FB211" t="e">
        <f>AND(Bills!Q899,"AAAAAH+fO50=")</f>
        <v>#VALUE!</v>
      </c>
      <c r="FC211" t="e">
        <f>AND(Bills!R899,"AAAAAH+fO54=")</f>
        <v>#VALUE!</v>
      </c>
      <c r="FD211" t="e">
        <f>AND(Bills!S899,"AAAAAH+fO58=")</f>
        <v>#VALUE!</v>
      </c>
      <c r="FE211" t="e">
        <f>AND(Bills!T899,"AAAAAH+fO6A=")</f>
        <v>#VALUE!</v>
      </c>
      <c r="FF211" t="e">
        <f>AND(Bills!#REF!,"AAAAAH+fO6E=")</f>
        <v>#REF!</v>
      </c>
      <c r="FG211" t="e">
        <f>AND(Bills!U899,"AAAAAH+fO6I=")</f>
        <v>#VALUE!</v>
      </c>
      <c r="FH211" t="e">
        <f>AND(Bills!V899,"AAAAAH+fO6M=")</f>
        <v>#VALUE!</v>
      </c>
      <c r="FI211" t="e">
        <f>AND(Bills!W899,"AAAAAH+fO6Q=")</f>
        <v>#VALUE!</v>
      </c>
      <c r="FJ211" t="e">
        <f>AND(Bills!#REF!,"AAAAAH+fO6U=")</f>
        <v>#REF!</v>
      </c>
      <c r="FK211" t="e">
        <f>AND(Bills!#REF!,"AAAAAH+fO6Y=")</f>
        <v>#REF!</v>
      </c>
      <c r="FL211" t="e">
        <f>AND(Bills!Y899,"AAAAAH+fO6c=")</f>
        <v>#VALUE!</v>
      </c>
      <c r="FM211" t="e">
        <f>AND(Bills!Z899,"AAAAAH+fO6g=")</f>
        <v>#VALUE!</v>
      </c>
      <c r="FN211" t="e">
        <f>AND(Bills!#REF!,"AAAAAH+fO6k=")</f>
        <v>#REF!</v>
      </c>
      <c r="FO211" t="e">
        <f>AND(Bills!#REF!,"AAAAAH+fO6o=")</f>
        <v>#REF!</v>
      </c>
      <c r="FP211" t="e">
        <f>AND(Bills!#REF!,"AAAAAH+fO6s=")</f>
        <v>#REF!</v>
      </c>
      <c r="FQ211" t="e">
        <f>AND(Bills!#REF!,"AAAAAH+fO6w=")</f>
        <v>#REF!</v>
      </c>
      <c r="FR211" t="e">
        <f>AND(Bills!#REF!,"AAAAAH+fO60=")</f>
        <v>#REF!</v>
      </c>
      <c r="FS211" t="e">
        <f>AND(Bills!#REF!,"AAAAAH+fO64=")</f>
        <v>#REF!</v>
      </c>
      <c r="FT211" t="e">
        <f>AND(Bills!#REF!,"AAAAAH+fO68=")</f>
        <v>#REF!</v>
      </c>
      <c r="FU211" t="e">
        <f>AND(Bills!#REF!,"AAAAAH+fO7A=")</f>
        <v>#REF!</v>
      </c>
      <c r="FV211" t="e">
        <f>AND(Bills!#REF!,"AAAAAH+fO7E=")</f>
        <v>#REF!</v>
      </c>
      <c r="FW211" t="e">
        <f>AND(Bills!AA899,"AAAAAH+fO7I=")</f>
        <v>#VALUE!</v>
      </c>
      <c r="FX211" t="e">
        <f>AND(Bills!AB899,"AAAAAH+fO7M=")</f>
        <v>#VALUE!</v>
      </c>
      <c r="FY211" t="e">
        <f>AND(Bills!#REF!,"AAAAAH+fO7Q=")</f>
        <v>#REF!</v>
      </c>
      <c r="FZ211" t="e">
        <f>AND(Bills!#REF!,"AAAAAH+fO7U=")</f>
        <v>#REF!</v>
      </c>
      <c r="GA211" t="e">
        <f>AND(Bills!#REF!,"AAAAAH+fO7Y=")</f>
        <v>#REF!</v>
      </c>
      <c r="GB211" t="e">
        <f>AND(Bills!AC899,"AAAAAH+fO7c=")</f>
        <v>#VALUE!</v>
      </c>
      <c r="GC211" t="e">
        <f>AND(Bills!AD899,"AAAAAH+fO7g=")</f>
        <v>#VALUE!</v>
      </c>
      <c r="GD211" t="e">
        <f>AND(Bills!AE899,"AAAAAH+fO7k=")</f>
        <v>#VALUE!</v>
      </c>
      <c r="GE211">
        <f>IF(Bills!900:900,"AAAAAH+fO7o=",0)</f>
        <v>0</v>
      </c>
      <c r="GF211" t="e">
        <f>AND(Bills!B900,"AAAAAH+fO7s=")</f>
        <v>#VALUE!</v>
      </c>
      <c r="GG211" t="e">
        <f>AND(Bills!#REF!,"AAAAAH+fO7w=")</f>
        <v>#REF!</v>
      </c>
      <c r="GH211" t="e">
        <f>AND(Bills!C900,"AAAAAH+fO70=")</f>
        <v>#VALUE!</v>
      </c>
      <c r="GI211" t="e">
        <f>AND(Bills!D900,"AAAAAH+fO74=")</f>
        <v>#VALUE!</v>
      </c>
      <c r="GJ211" t="e">
        <f>AND(Bills!E900,"AAAAAH+fO78=")</f>
        <v>#VALUE!</v>
      </c>
      <c r="GK211" t="e">
        <f>AND(Bills!#REF!,"AAAAAH+fO8A=")</f>
        <v>#REF!</v>
      </c>
      <c r="GL211" t="e">
        <f>AND(Bills!#REF!,"AAAAAH+fO8E=")</f>
        <v>#REF!</v>
      </c>
      <c r="GM211" t="e">
        <f>AND(Bills!#REF!,"AAAAAH+fO8I=")</f>
        <v>#REF!</v>
      </c>
      <c r="GN211" t="e">
        <f>AND(Bills!F900,"AAAAAH+fO8M=")</f>
        <v>#VALUE!</v>
      </c>
      <c r="GO211" t="e">
        <f>AND(Bills!#REF!,"AAAAAH+fO8Q=")</f>
        <v>#REF!</v>
      </c>
      <c r="GP211" t="e">
        <f>AND(Bills!G900,"AAAAAH+fO8U=")</f>
        <v>#VALUE!</v>
      </c>
      <c r="GQ211" t="e">
        <f>AND(Bills!H900,"AAAAAH+fO8Y=")</f>
        <v>#VALUE!</v>
      </c>
      <c r="GR211" t="e">
        <f>AND(Bills!I900,"AAAAAH+fO8c=")</f>
        <v>#VALUE!</v>
      </c>
      <c r="GS211" t="e">
        <f>AND(Bills!J900,"AAAAAH+fO8g=")</f>
        <v>#VALUE!</v>
      </c>
      <c r="GT211" t="e">
        <f>AND(Bills!K900,"AAAAAH+fO8k=")</f>
        <v>#VALUE!</v>
      </c>
      <c r="GU211" t="e">
        <f>AND(Bills!L900,"AAAAAH+fO8o=")</f>
        <v>#VALUE!</v>
      </c>
      <c r="GV211" t="e">
        <f>AND(Bills!#REF!,"AAAAAH+fO8s=")</f>
        <v>#REF!</v>
      </c>
      <c r="GW211" t="e">
        <f>AND(Bills!M900,"AAAAAH+fO8w=")</f>
        <v>#VALUE!</v>
      </c>
      <c r="GX211" t="e">
        <f>AND(Bills!N900,"AAAAAH+fO80=")</f>
        <v>#VALUE!</v>
      </c>
      <c r="GY211" t="e">
        <f>AND(Bills!O900,"AAAAAH+fO84=")</f>
        <v>#VALUE!</v>
      </c>
      <c r="GZ211" t="e">
        <f>AND(Bills!P900,"AAAAAH+fO88=")</f>
        <v>#VALUE!</v>
      </c>
      <c r="HA211" t="e">
        <f>AND(Bills!Q900,"AAAAAH+fO9A=")</f>
        <v>#VALUE!</v>
      </c>
      <c r="HB211" t="e">
        <f>AND(Bills!R900,"AAAAAH+fO9E=")</f>
        <v>#VALUE!</v>
      </c>
      <c r="HC211" t="e">
        <f>AND(Bills!S900,"AAAAAH+fO9I=")</f>
        <v>#VALUE!</v>
      </c>
      <c r="HD211" t="e">
        <f>AND(Bills!T900,"AAAAAH+fO9M=")</f>
        <v>#VALUE!</v>
      </c>
      <c r="HE211" t="e">
        <f>AND(Bills!#REF!,"AAAAAH+fO9Q=")</f>
        <v>#REF!</v>
      </c>
      <c r="HF211" t="e">
        <f>AND(Bills!U900,"AAAAAH+fO9U=")</f>
        <v>#VALUE!</v>
      </c>
      <c r="HG211" t="e">
        <f>AND(Bills!V900,"AAAAAH+fO9Y=")</f>
        <v>#VALUE!</v>
      </c>
      <c r="HH211" t="e">
        <f>AND(Bills!W900,"AAAAAH+fO9c=")</f>
        <v>#VALUE!</v>
      </c>
      <c r="HI211" t="e">
        <f>AND(Bills!#REF!,"AAAAAH+fO9g=")</f>
        <v>#REF!</v>
      </c>
      <c r="HJ211" t="e">
        <f>AND(Bills!#REF!,"AAAAAH+fO9k=")</f>
        <v>#REF!</v>
      </c>
      <c r="HK211" t="e">
        <f>AND(Bills!Y900,"AAAAAH+fO9o=")</f>
        <v>#VALUE!</v>
      </c>
      <c r="HL211" t="e">
        <f>AND(Bills!Z900,"AAAAAH+fO9s=")</f>
        <v>#VALUE!</v>
      </c>
      <c r="HM211" t="e">
        <f>AND(Bills!#REF!,"AAAAAH+fO9w=")</f>
        <v>#REF!</v>
      </c>
      <c r="HN211" t="e">
        <f>AND(Bills!#REF!,"AAAAAH+fO90=")</f>
        <v>#REF!</v>
      </c>
      <c r="HO211" t="e">
        <f>AND(Bills!#REF!,"AAAAAH+fO94=")</f>
        <v>#REF!</v>
      </c>
      <c r="HP211" t="e">
        <f>AND(Bills!#REF!,"AAAAAH+fO98=")</f>
        <v>#REF!</v>
      </c>
      <c r="HQ211" t="e">
        <f>AND(Bills!#REF!,"AAAAAH+fO+A=")</f>
        <v>#REF!</v>
      </c>
      <c r="HR211" t="e">
        <f>AND(Bills!#REF!,"AAAAAH+fO+E=")</f>
        <v>#REF!</v>
      </c>
      <c r="HS211" t="e">
        <f>AND(Bills!#REF!,"AAAAAH+fO+I=")</f>
        <v>#REF!</v>
      </c>
      <c r="HT211" t="e">
        <f>AND(Bills!#REF!,"AAAAAH+fO+M=")</f>
        <v>#REF!</v>
      </c>
      <c r="HU211" t="e">
        <f>AND(Bills!#REF!,"AAAAAH+fO+Q=")</f>
        <v>#REF!</v>
      </c>
      <c r="HV211" t="e">
        <f>AND(Bills!AA900,"AAAAAH+fO+U=")</f>
        <v>#VALUE!</v>
      </c>
      <c r="HW211" t="e">
        <f>AND(Bills!AB900,"AAAAAH+fO+Y=")</f>
        <v>#VALUE!</v>
      </c>
      <c r="HX211" t="e">
        <f>AND(Bills!#REF!,"AAAAAH+fO+c=")</f>
        <v>#REF!</v>
      </c>
      <c r="HY211" t="e">
        <f>AND(Bills!#REF!,"AAAAAH+fO+g=")</f>
        <v>#REF!</v>
      </c>
      <c r="HZ211" t="e">
        <f>AND(Bills!#REF!,"AAAAAH+fO+k=")</f>
        <v>#REF!</v>
      </c>
      <c r="IA211" t="e">
        <f>AND(Bills!AC900,"AAAAAH+fO+o=")</f>
        <v>#VALUE!</v>
      </c>
      <c r="IB211" t="e">
        <f>AND(Bills!AD900,"AAAAAH+fO+s=")</f>
        <v>#VALUE!</v>
      </c>
      <c r="IC211" t="e">
        <f>AND(Bills!AE900,"AAAAAH+fO+w=")</f>
        <v>#VALUE!</v>
      </c>
      <c r="ID211">
        <f>IF(Bills!901:901,"AAAAAH+fO+0=",0)</f>
        <v>0</v>
      </c>
      <c r="IE211" t="e">
        <f>AND(Bills!B901,"AAAAAH+fO+4=")</f>
        <v>#VALUE!</v>
      </c>
      <c r="IF211" t="e">
        <f>AND(Bills!#REF!,"AAAAAH+fO+8=")</f>
        <v>#REF!</v>
      </c>
      <c r="IG211" t="e">
        <f>AND(Bills!C901,"AAAAAH+fO/A=")</f>
        <v>#VALUE!</v>
      </c>
      <c r="IH211" t="e">
        <f>AND(Bills!D901,"AAAAAH+fO/E=")</f>
        <v>#VALUE!</v>
      </c>
      <c r="II211" t="e">
        <f>AND(Bills!E901,"AAAAAH+fO/I=")</f>
        <v>#VALUE!</v>
      </c>
      <c r="IJ211" t="e">
        <f>AND(Bills!#REF!,"AAAAAH+fO/M=")</f>
        <v>#REF!</v>
      </c>
      <c r="IK211" t="e">
        <f>AND(Bills!#REF!,"AAAAAH+fO/Q=")</f>
        <v>#REF!</v>
      </c>
      <c r="IL211" t="e">
        <f>AND(Bills!#REF!,"AAAAAH+fO/U=")</f>
        <v>#REF!</v>
      </c>
      <c r="IM211" t="e">
        <f>AND(Bills!F901,"AAAAAH+fO/Y=")</f>
        <v>#VALUE!</v>
      </c>
      <c r="IN211" t="e">
        <f>AND(Bills!#REF!,"AAAAAH+fO/c=")</f>
        <v>#REF!</v>
      </c>
      <c r="IO211" t="e">
        <f>AND(Bills!G901,"AAAAAH+fO/g=")</f>
        <v>#VALUE!</v>
      </c>
      <c r="IP211" t="e">
        <f>AND(Bills!H901,"AAAAAH+fO/k=")</f>
        <v>#VALUE!</v>
      </c>
      <c r="IQ211" t="e">
        <f>AND(Bills!I901,"AAAAAH+fO/o=")</f>
        <v>#VALUE!</v>
      </c>
      <c r="IR211" t="e">
        <f>AND(Bills!J901,"AAAAAH+fO/s=")</f>
        <v>#VALUE!</v>
      </c>
      <c r="IS211" t="e">
        <f>AND(Bills!K901,"AAAAAH+fO/w=")</f>
        <v>#VALUE!</v>
      </c>
      <c r="IT211" t="e">
        <f>AND(Bills!L901,"AAAAAH+fO/0=")</f>
        <v>#VALUE!</v>
      </c>
      <c r="IU211" t="e">
        <f>AND(Bills!#REF!,"AAAAAH+fO/4=")</f>
        <v>#REF!</v>
      </c>
      <c r="IV211" t="e">
        <f>AND(Bills!M901,"AAAAAH+fO/8=")</f>
        <v>#VALUE!</v>
      </c>
    </row>
    <row r="212" spans="1:256" x14ac:dyDescent="0.25">
      <c r="A212" t="e">
        <f>AND(Bills!N901,"AAAAAH/9vgA=")</f>
        <v>#VALUE!</v>
      </c>
      <c r="B212" t="e">
        <f>AND(Bills!O901,"AAAAAH/9vgE=")</f>
        <v>#VALUE!</v>
      </c>
      <c r="C212" t="e">
        <f>AND(Bills!P901,"AAAAAH/9vgI=")</f>
        <v>#VALUE!</v>
      </c>
      <c r="D212" t="e">
        <f>AND(Bills!Q901,"AAAAAH/9vgM=")</f>
        <v>#VALUE!</v>
      </c>
      <c r="E212" t="e">
        <f>AND(Bills!R901,"AAAAAH/9vgQ=")</f>
        <v>#VALUE!</v>
      </c>
      <c r="F212" t="e">
        <f>AND(Bills!S901,"AAAAAH/9vgU=")</f>
        <v>#VALUE!</v>
      </c>
      <c r="G212" t="e">
        <f>AND(Bills!T901,"AAAAAH/9vgY=")</f>
        <v>#VALUE!</v>
      </c>
      <c r="H212" t="e">
        <f>AND(Bills!#REF!,"AAAAAH/9vgc=")</f>
        <v>#REF!</v>
      </c>
      <c r="I212" t="e">
        <f>AND(Bills!U901,"AAAAAH/9vgg=")</f>
        <v>#VALUE!</v>
      </c>
      <c r="J212" t="e">
        <f>AND(Bills!V901,"AAAAAH/9vgk=")</f>
        <v>#VALUE!</v>
      </c>
      <c r="K212" t="e">
        <f>AND(Bills!W901,"AAAAAH/9vgo=")</f>
        <v>#VALUE!</v>
      </c>
      <c r="L212" t="e">
        <f>AND(Bills!#REF!,"AAAAAH/9vgs=")</f>
        <v>#REF!</v>
      </c>
      <c r="M212" t="e">
        <f>AND(Bills!#REF!,"AAAAAH/9vgw=")</f>
        <v>#REF!</v>
      </c>
      <c r="N212" t="e">
        <f>AND(Bills!Y901,"AAAAAH/9vg0=")</f>
        <v>#VALUE!</v>
      </c>
      <c r="O212" t="e">
        <f>AND(Bills!Z901,"AAAAAH/9vg4=")</f>
        <v>#VALUE!</v>
      </c>
      <c r="P212" t="e">
        <f>AND(Bills!#REF!,"AAAAAH/9vg8=")</f>
        <v>#REF!</v>
      </c>
      <c r="Q212" t="e">
        <f>AND(Bills!#REF!,"AAAAAH/9vhA=")</f>
        <v>#REF!</v>
      </c>
      <c r="R212" t="e">
        <f>AND(Bills!#REF!,"AAAAAH/9vhE=")</f>
        <v>#REF!</v>
      </c>
      <c r="S212" t="e">
        <f>AND(Bills!#REF!,"AAAAAH/9vhI=")</f>
        <v>#REF!</v>
      </c>
      <c r="T212" t="e">
        <f>AND(Bills!#REF!,"AAAAAH/9vhM=")</f>
        <v>#REF!</v>
      </c>
      <c r="U212" t="e">
        <f>AND(Bills!#REF!,"AAAAAH/9vhQ=")</f>
        <v>#REF!</v>
      </c>
      <c r="V212" t="e">
        <f>AND(Bills!#REF!,"AAAAAH/9vhU=")</f>
        <v>#REF!</v>
      </c>
      <c r="W212" t="e">
        <f>AND(Bills!#REF!,"AAAAAH/9vhY=")</f>
        <v>#REF!</v>
      </c>
      <c r="X212" t="e">
        <f>AND(Bills!#REF!,"AAAAAH/9vhc=")</f>
        <v>#REF!</v>
      </c>
      <c r="Y212" t="e">
        <f>AND(Bills!AA901,"AAAAAH/9vhg=")</f>
        <v>#VALUE!</v>
      </c>
      <c r="Z212" t="e">
        <f>AND(Bills!AB901,"AAAAAH/9vhk=")</f>
        <v>#VALUE!</v>
      </c>
      <c r="AA212" t="e">
        <f>AND(Bills!#REF!,"AAAAAH/9vho=")</f>
        <v>#REF!</v>
      </c>
      <c r="AB212" t="e">
        <f>AND(Bills!#REF!,"AAAAAH/9vhs=")</f>
        <v>#REF!</v>
      </c>
      <c r="AC212" t="e">
        <f>AND(Bills!#REF!,"AAAAAH/9vhw=")</f>
        <v>#REF!</v>
      </c>
      <c r="AD212" t="e">
        <f>AND(Bills!AC901,"AAAAAH/9vh0=")</f>
        <v>#VALUE!</v>
      </c>
      <c r="AE212" t="e">
        <f>AND(Bills!AD901,"AAAAAH/9vh4=")</f>
        <v>#VALUE!</v>
      </c>
      <c r="AF212" t="e">
        <f>AND(Bills!AE901,"AAAAAH/9vh8=")</f>
        <v>#VALUE!</v>
      </c>
      <c r="AG212">
        <f>IF(Bills!902:902,"AAAAAH/9viA=",0)</f>
        <v>0</v>
      </c>
      <c r="AH212" t="e">
        <f>AND(Bills!B902,"AAAAAH/9viE=")</f>
        <v>#VALUE!</v>
      </c>
      <c r="AI212" t="e">
        <f>AND(Bills!#REF!,"AAAAAH/9viI=")</f>
        <v>#REF!</v>
      </c>
      <c r="AJ212" t="e">
        <f>AND(Bills!C902,"AAAAAH/9viM=")</f>
        <v>#VALUE!</v>
      </c>
      <c r="AK212" t="e">
        <f>AND(Bills!D902,"AAAAAH/9viQ=")</f>
        <v>#VALUE!</v>
      </c>
      <c r="AL212" t="e">
        <f>AND(Bills!E902,"AAAAAH/9viU=")</f>
        <v>#VALUE!</v>
      </c>
      <c r="AM212" t="e">
        <f>AND(Bills!#REF!,"AAAAAH/9viY=")</f>
        <v>#REF!</v>
      </c>
      <c r="AN212" t="e">
        <f>AND(Bills!#REF!,"AAAAAH/9vic=")</f>
        <v>#REF!</v>
      </c>
      <c r="AO212" t="e">
        <f>AND(Bills!#REF!,"AAAAAH/9vig=")</f>
        <v>#REF!</v>
      </c>
      <c r="AP212" t="e">
        <f>AND(Bills!F902,"AAAAAH/9vik=")</f>
        <v>#VALUE!</v>
      </c>
      <c r="AQ212" t="e">
        <f>AND(Bills!#REF!,"AAAAAH/9vio=")</f>
        <v>#REF!</v>
      </c>
      <c r="AR212" t="e">
        <f>AND(Bills!G902,"AAAAAH/9vis=")</f>
        <v>#VALUE!</v>
      </c>
      <c r="AS212" t="e">
        <f>AND(Bills!H902,"AAAAAH/9viw=")</f>
        <v>#VALUE!</v>
      </c>
      <c r="AT212" t="e">
        <f>AND(Bills!I902,"AAAAAH/9vi0=")</f>
        <v>#VALUE!</v>
      </c>
      <c r="AU212" t="e">
        <f>AND(Bills!J902,"AAAAAH/9vi4=")</f>
        <v>#VALUE!</v>
      </c>
      <c r="AV212" t="e">
        <f>AND(Bills!K902,"AAAAAH/9vi8=")</f>
        <v>#VALUE!</v>
      </c>
      <c r="AW212" t="e">
        <f>AND(Bills!L902,"AAAAAH/9vjA=")</f>
        <v>#VALUE!</v>
      </c>
      <c r="AX212" t="e">
        <f>AND(Bills!#REF!,"AAAAAH/9vjE=")</f>
        <v>#REF!</v>
      </c>
      <c r="AY212" t="e">
        <f>AND(Bills!M902,"AAAAAH/9vjI=")</f>
        <v>#VALUE!</v>
      </c>
      <c r="AZ212" t="e">
        <f>AND(Bills!N902,"AAAAAH/9vjM=")</f>
        <v>#VALUE!</v>
      </c>
      <c r="BA212" t="e">
        <f>AND(Bills!O902,"AAAAAH/9vjQ=")</f>
        <v>#VALUE!</v>
      </c>
      <c r="BB212" t="e">
        <f>AND(Bills!P902,"AAAAAH/9vjU=")</f>
        <v>#VALUE!</v>
      </c>
      <c r="BC212" t="e">
        <f>AND(Bills!Q902,"AAAAAH/9vjY=")</f>
        <v>#VALUE!</v>
      </c>
      <c r="BD212" t="e">
        <f>AND(Bills!R902,"AAAAAH/9vjc=")</f>
        <v>#VALUE!</v>
      </c>
      <c r="BE212" t="e">
        <f>AND(Bills!S902,"AAAAAH/9vjg=")</f>
        <v>#VALUE!</v>
      </c>
      <c r="BF212" t="e">
        <f>AND(Bills!T902,"AAAAAH/9vjk=")</f>
        <v>#VALUE!</v>
      </c>
      <c r="BG212" t="e">
        <f>AND(Bills!#REF!,"AAAAAH/9vjo=")</f>
        <v>#REF!</v>
      </c>
      <c r="BH212" t="e">
        <f>AND(Bills!U902,"AAAAAH/9vjs=")</f>
        <v>#VALUE!</v>
      </c>
      <c r="BI212" t="e">
        <f>AND(Bills!V902,"AAAAAH/9vjw=")</f>
        <v>#VALUE!</v>
      </c>
      <c r="BJ212" t="e">
        <f>AND(Bills!W902,"AAAAAH/9vj0=")</f>
        <v>#VALUE!</v>
      </c>
      <c r="BK212" t="e">
        <f>AND(Bills!#REF!,"AAAAAH/9vj4=")</f>
        <v>#REF!</v>
      </c>
      <c r="BL212" t="e">
        <f>AND(Bills!#REF!,"AAAAAH/9vj8=")</f>
        <v>#REF!</v>
      </c>
      <c r="BM212" t="e">
        <f>AND(Bills!Y902,"AAAAAH/9vkA=")</f>
        <v>#VALUE!</v>
      </c>
      <c r="BN212" t="e">
        <f>AND(Bills!Z902,"AAAAAH/9vkE=")</f>
        <v>#VALUE!</v>
      </c>
      <c r="BO212" t="e">
        <f>AND(Bills!#REF!,"AAAAAH/9vkI=")</f>
        <v>#REF!</v>
      </c>
      <c r="BP212" t="e">
        <f>AND(Bills!#REF!,"AAAAAH/9vkM=")</f>
        <v>#REF!</v>
      </c>
      <c r="BQ212" t="e">
        <f>AND(Bills!#REF!,"AAAAAH/9vkQ=")</f>
        <v>#REF!</v>
      </c>
      <c r="BR212" t="e">
        <f>AND(Bills!#REF!,"AAAAAH/9vkU=")</f>
        <v>#REF!</v>
      </c>
      <c r="BS212" t="e">
        <f>AND(Bills!#REF!,"AAAAAH/9vkY=")</f>
        <v>#REF!</v>
      </c>
      <c r="BT212" t="e">
        <f>AND(Bills!#REF!,"AAAAAH/9vkc=")</f>
        <v>#REF!</v>
      </c>
      <c r="BU212" t="e">
        <f>AND(Bills!#REF!,"AAAAAH/9vkg=")</f>
        <v>#REF!</v>
      </c>
      <c r="BV212" t="e">
        <f>AND(Bills!#REF!,"AAAAAH/9vkk=")</f>
        <v>#REF!</v>
      </c>
      <c r="BW212" t="e">
        <f>AND(Bills!#REF!,"AAAAAH/9vko=")</f>
        <v>#REF!</v>
      </c>
      <c r="BX212" t="e">
        <f>AND(Bills!AA902,"AAAAAH/9vks=")</f>
        <v>#VALUE!</v>
      </c>
      <c r="BY212" t="e">
        <f>AND(Bills!AB902,"AAAAAH/9vkw=")</f>
        <v>#VALUE!</v>
      </c>
      <c r="BZ212" t="e">
        <f>AND(Bills!#REF!,"AAAAAH/9vk0=")</f>
        <v>#REF!</v>
      </c>
      <c r="CA212" t="e">
        <f>AND(Bills!#REF!,"AAAAAH/9vk4=")</f>
        <v>#REF!</v>
      </c>
      <c r="CB212" t="e">
        <f>AND(Bills!#REF!,"AAAAAH/9vk8=")</f>
        <v>#REF!</v>
      </c>
      <c r="CC212" t="e">
        <f>AND(Bills!AC902,"AAAAAH/9vlA=")</f>
        <v>#VALUE!</v>
      </c>
      <c r="CD212" t="e">
        <f>AND(Bills!AD902,"AAAAAH/9vlE=")</f>
        <v>#VALUE!</v>
      </c>
      <c r="CE212" t="e">
        <f>AND(Bills!AE902,"AAAAAH/9vlI=")</f>
        <v>#VALUE!</v>
      </c>
      <c r="CF212">
        <f>IF(Bills!903:903,"AAAAAH/9vlM=",0)</f>
        <v>0</v>
      </c>
      <c r="CG212" t="e">
        <f>AND(Bills!B903,"AAAAAH/9vlQ=")</f>
        <v>#VALUE!</v>
      </c>
      <c r="CH212" t="e">
        <f>AND(Bills!#REF!,"AAAAAH/9vlU=")</f>
        <v>#REF!</v>
      </c>
      <c r="CI212" t="e">
        <f>AND(Bills!C903,"AAAAAH/9vlY=")</f>
        <v>#VALUE!</v>
      </c>
      <c r="CJ212" t="e">
        <f>AND(Bills!D903,"AAAAAH/9vlc=")</f>
        <v>#VALUE!</v>
      </c>
      <c r="CK212" t="e">
        <f>AND(Bills!E903,"AAAAAH/9vlg=")</f>
        <v>#VALUE!</v>
      </c>
      <c r="CL212" t="e">
        <f>AND(Bills!#REF!,"AAAAAH/9vlk=")</f>
        <v>#REF!</v>
      </c>
      <c r="CM212" t="e">
        <f>AND(Bills!#REF!,"AAAAAH/9vlo=")</f>
        <v>#REF!</v>
      </c>
      <c r="CN212" t="e">
        <f>AND(Bills!#REF!,"AAAAAH/9vls=")</f>
        <v>#REF!</v>
      </c>
      <c r="CO212" t="e">
        <f>AND(Bills!F903,"AAAAAH/9vlw=")</f>
        <v>#VALUE!</v>
      </c>
      <c r="CP212" t="e">
        <f>AND(Bills!#REF!,"AAAAAH/9vl0=")</f>
        <v>#REF!</v>
      </c>
      <c r="CQ212" t="e">
        <f>AND(Bills!G903,"AAAAAH/9vl4=")</f>
        <v>#VALUE!</v>
      </c>
      <c r="CR212" t="e">
        <f>AND(Bills!H903,"AAAAAH/9vl8=")</f>
        <v>#VALUE!</v>
      </c>
      <c r="CS212" t="e">
        <f>AND(Bills!I903,"AAAAAH/9vmA=")</f>
        <v>#VALUE!</v>
      </c>
      <c r="CT212" t="e">
        <f>AND(Bills!J903,"AAAAAH/9vmE=")</f>
        <v>#VALUE!</v>
      </c>
      <c r="CU212" t="e">
        <f>AND(Bills!K903,"AAAAAH/9vmI=")</f>
        <v>#VALUE!</v>
      </c>
      <c r="CV212" t="e">
        <f>AND(Bills!L903,"AAAAAH/9vmM=")</f>
        <v>#VALUE!</v>
      </c>
      <c r="CW212" t="e">
        <f>AND(Bills!#REF!,"AAAAAH/9vmQ=")</f>
        <v>#REF!</v>
      </c>
      <c r="CX212" t="e">
        <f>AND(Bills!M903,"AAAAAH/9vmU=")</f>
        <v>#VALUE!</v>
      </c>
      <c r="CY212" t="e">
        <f>AND(Bills!N903,"AAAAAH/9vmY=")</f>
        <v>#VALUE!</v>
      </c>
      <c r="CZ212" t="e">
        <f>AND(Bills!O903,"AAAAAH/9vmc=")</f>
        <v>#VALUE!</v>
      </c>
      <c r="DA212" t="e">
        <f>AND(Bills!P903,"AAAAAH/9vmg=")</f>
        <v>#VALUE!</v>
      </c>
      <c r="DB212" t="e">
        <f>AND(Bills!Q903,"AAAAAH/9vmk=")</f>
        <v>#VALUE!</v>
      </c>
      <c r="DC212" t="e">
        <f>AND(Bills!R903,"AAAAAH/9vmo=")</f>
        <v>#VALUE!</v>
      </c>
      <c r="DD212" t="e">
        <f>AND(Bills!S903,"AAAAAH/9vms=")</f>
        <v>#VALUE!</v>
      </c>
      <c r="DE212" t="e">
        <f>AND(Bills!T903,"AAAAAH/9vmw=")</f>
        <v>#VALUE!</v>
      </c>
      <c r="DF212" t="e">
        <f>AND(Bills!#REF!,"AAAAAH/9vm0=")</f>
        <v>#REF!</v>
      </c>
      <c r="DG212" t="e">
        <f>AND(Bills!U903,"AAAAAH/9vm4=")</f>
        <v>#VALUE!</v>
      </c>
      <c r="DH212" t="e">
        <f>AND(Bills!V903,"AAAAAH/9vm8=")</f>
        <v>#VALUE!</v>
      </c>
      <c r="DI212" t="e">
        <f>AND(Bills!W903,"AAAAAH/9vnA=")</f>
        <v>#VALUE!</v>
      </c>
      <c r="DJ212" t="e">
        <f>AND(Bills!#REF!,"AAAAAH/9vnE=")</f>
        <v>#REF!</v>
      </c>
      <c r="DK212" t="e">
        <f>AND(Bills!#REF!,"AAAAAH/9vnI=")</f>
        <v>#REF!</v>
      </c>
      <c r="DL212" t="e">
        <f>AND(Bills!Y903,"AAAAAH/9vnM=")</f>
        <v>#VALUE!</v>
      </c>
      <c r="DM212" t="e">
        <f>AND(Bills!Z903,"AAAAAH/9vnQ=")</f>
        <v>#VALUE!</v>
      </c>
      <c r="DN212" t="e">
        <f>AND(Bills!#REF!,"AAAAAH/9vnU=")</f>
        <v>#REF!</v>
      </c>
      <c r="DO212" t="e">
        <f>AND(Bills!#REF!,"AAAAAH/9vnY=")</f>
        <v>#REF!</v>
      </c>
      <c r="DP212" t="e">
        <f>AND(Bills!#REF!,"AAAAAH/9vnc=")</f>
        <v>#REF!</v>
      </c>
      <c r="DQ212" t="e">
        <f>AND(Bills!#REF!,"AAAAAH/9vng=")</f>
        <v>#REF!</v>
      </c>
      <c r="DR212" t="e">
        <f>AND(Bills!#REF!,"AAAAAH/9vnk=")</f>
        <v>#REF!</v>
      </c>
      <c r="DS212" t="e">
        <f>AND(Bills!#REF!,"AAAAAH/9vno=")</f>
        <v>#REF!</v>
      </c>
      <c r="DT212" t="e">
        <f>AND(Bills!#REF!,"AAAAAH/9vns=")</f>
        <v>#REF!</v>
      </c>
      <c r="DU212" t="e">
        <f>AND(Bills!#REF!,"AAAAAH/9vnw=")</f>
        <v>#REF!</v>
      </c>
      <c r="DV212" t="e">
        <f>AND(Bills!#REF!,"AAAAAH/9vn0=")</f>
        <v>#REF!</v>
      </c>
      <c r="DW212" t="e">
        <f>AND(Bills!AA903,"AAAAAH/9vn4=")</f>
        <v>#VALUE!</v>
      </c>
      <c r="DX212" t="e">
        <f>AND(Bills!AB903,"AAAAAH/9vn8=")</f>
        <v>#VALUE!</v>
      </c>
      <c r="DY212" t="e">
        <f>AND(Bills!#REF!,"AAAAAH/9voA=")</f>
        <v>#REF!</v>
      </c>
      <c r="DZ212" t="e">
        <f>AND(Bills!#REF!,"AAAAAH/9voE=")</f>
        <v>#REF!</v>
      </c>
      <c r="EA212" t="e">
        <f>AND(Bills!#REF!,"AAAAAH/9voI=")</f>
        <v>#REF!</v>
      </c>
      <c r="EB212" t="e">
        <f>AND(Bills!AC903,"AAAAAH/9voM=")</f>
        <v>#VALUE!</v>
      </c>
      <c r="EC212" t="e">
        <f>AND(Bills!AD903,"AAAAAH/9voQ=")</f>
        <v>#VALUE!</v>
      </c>
      <c r="ED212" t="e">
        <f>AND(Bills!AE903,"AAAAAH/9voU=")</f>
        <v>#VALUE!</v>
      </c>
      <c r="EE212">
        <f>IF(Bills!904:904,"AAAAAH/9voY=",0)</f>
        <v>0</v>
      </c>
      <c r="EF212" t="e">
        <f>AND(Bills!B904,"AAAAAH/9voc=")</f>
        <v>#VALUE!</v>
      </c>
      <c r="EG212" t="e">
        <f>AND(Bills!#REF!,"AAAAAH/9vog=")</f>
        <v>#REF!</v>
      </c>
      <c r="EH212" t="e">
        <f>AND(Bills!C904,"AAAAAH/9vok=")</f>
        <v>#VALUE!</v>
      </c>
      <c r="EI212" t="e">
        <f>AND(Bills!D904,"AAAAAH/9voo=")</f>
        <v>#VALUE!</v>
      </c>
      <c r="EJ212" t="e">
        <f>AND(Bills!E904,"AAAAAH/9vos=")</f>
        <v>#VALUE!</v>
      </c>
      <c r="EK212" t="e">
        <f>AND(Bills!#REF!,"AAAAAH/9vow=")</f>
        <v>#REF!</v>
      </c>
      <c r="EL212" t="e">
        <f>AND(Bills!#REF!,"AAAAAH/9vo0=")</f>
        <v>#REF!</v>
      </c>
      <c r="EM212" t="e">
        <f>AND(Bills!#REF!,"AAAAAH/9vo4=")</f>
        <v>#REF!</v>
      </c>
      <c r="EN212" t="e">
        <f>AND(Bills!F904,"AAAAAH/9vo8=")</f>
        <v>#VALUE!</v>
      </c>
      <c r="EO212" t="e">
        <f>AND(Bills!#REF!,"AAAAAH/9vpA=")</f>
        <v>#REF!</v>
      </c>
      <c r="EP212" t="e">
        <f>AND(Bills!G904,"AAAAAH/9vpE=")</f>
        <v>#VALUE!</v>
      </c>
      <c r="EQ212" t="e">
        <f>AND(Bills!H904,"AAAAAH/9vpI=")</f>
        <v>#VALUE!</v>
      </c>
      <c r="ER212" t="e">
        <f>AND(Bills!I904,"AAAAAH/9vpM=")</f>
        <v>#VALUE!</v>
      </c>
      <c r="ES212" t="e">
        <f>AND(Bills!J904,"AAAAAH/9vpQ=")</f>
        <v>#VALUE!</v>
      </c>
      <c r="ET212" t="e">
        <f>AND(Bills!K904,"AAAAAH/9vpU=")</f>
        <v>#VALUE!</v>
      </c>
      <c r="EU212" t="e">
        <f>AND(Bills!L904,"AAAAAH/9vpY=")</f>
        <v>#VALUE!</v>
      </c>
      <c r="EV212" t="e">
        <f>AND(Bills!#REF!,"AAAAAH/9vpc=")</f>
        <v>#REF!</v>
      </c>
      <c r="EW212" t="e">
        <f>AND(Bills!M904,"AAAAAH/9vpg=")</f>
        <v>#VALUE!</v>
      </c>
      <c r="EX212" t="e">
        <f>AND(Bills!N904,"AAAAAH/9vpk=")</f>
        <v>#VALUE!</v>
      </c>
      <c r="EY212" t="e">
        <f>AND(Bills!O904,"AAAAAH/9vpo=")</f>
        <v>#VALUE!</v>
      </c>
      <c r="EZ212" t="e">
        <f>AND(Bills!P904,"AAAAAH/9vps=")</f>
        <v>#VALUE!</v>
      </c>
      <c r="FA212" t="e">
        <f>AND(Bills!Q904,"AAAAAH/9vpw=")</f>
        <v>#VALUE!</v>
      </c>
      <c r="FB212" t="e">
        <f>AND(Bills!R904,"AAAAAH/9vp0=")</f>
        <v>#VALUE!</v>
      </c>
      <c r="FC212" t="e">
        <f>AND(Bills!S904,"AAAAAH/9vp4=")</f>
        <v>#VALUE!</v>
      </c>
      <c r="FD212" t="e">
        <f>AND(Bills!T904,"AAAAAH/9vp8=")</f>
        <v>#VALUE!</v>
      </c>
      <c r="FE212" t="e">
        <f>AND(Bills!#REF!,"AAAAAH/9vqA=")</f>
        <v>#REF!</v>
      </c>
      <c r="FF212" t="e">
        <f>AND(Bills!U904,"AAAAAH/9vqE=")</f>
        <v>#VALUE!</v>
      </c>
      <c r="FG212" t="e">
        <f>AND(Bills!V904,"AAAAAH/9vqI=")</f>
        <v>#VALUE!</v>
      </c>
      <c r="FH212" t="e">
        <f>AND(Bills!W904,"AAAAAH/9vqM=")</f>
        <v>#VALUE!</v>
      </c>
      <c r="FI212" t="e">
        <f>AND(Bills!#REF!,"AAAAAH/9vqQ=")</f>
        <v>#REF!</v>
      </c>
      <c r="FJ212" t="e">
        <f>AND(Bills!#REF!,"AAAAAH/9vqU=")</f>
        <v>#REF!</v>
      </c>
      <c r="FK212" t="e">
        <f>AND(Bills!Y904,"AAAAAH/9vqY=")</f>
        <v>#VALUE!</v>
      </c>
      <c r="FL212" t="e">
        <f>AND(Bills!Z904,"AAAAAH/9vqc=")</f>
        <v>#VALUE!</v>
      </c>
      <c r="FM212" t="e">
        <f>AND(Bills!#REF!,"AAAAAH/9vqg=")</f>
        <v>#REF!</v>
      </c>
      <c r="FN212" t="e">
        <f>AND(Bills!#REF!,"AAAAAH/9vqk=")</f>
        <v>#REF!</v>
      </c>
      <c r="FO212" t="e">
        <f>AND(Bills!#REF!,"AAAAAH/9vqo=")</f>
        <v>#REF!</v>
      </c>
      <c r="FP212" t="e">
        <f>AND(Bills!#REF!,"AAAAAH/9vqs=")</f>
        <v>#REF!</v>
      </c>
      <c r="FQ212" t="e">
        <f>AND(Bills!#REF!,"AAAAAH/9vqw=")</f>
        <v>#REF!</v>
      </c>
      <c r="FR212" t="e">
        <f>AND(Bills!#REF!,"AAAAAH/9vq0=")</f>
        <v>#REF!</v>
      </c>
      <c r="FS212" t="e">
        <f>AND(Bills!#REF!,"AAAAAH/9vq4=")</f>
        <v>#REF!</v>
      </c>
      <c r="FT212" t="e">
        <f>AND(Bills!#REF!,"AAAAAH/9vq8=")</f>
        <v>#REF!</v>
      </c>
      <c r="FU212" t="e">
        <f>AND(Bills!#REF!,"AAAAAH/9vrA=")</f>
        <v>#REF!</v>
      </c>
      <c r="FV212" t="e">
        <f>AND(Bills!AA904,"AAAAAH/9vrE=")</f>
        <v>#VALUE!</v>
      </c>
      <c r="FW212" t="e">
        <f>AND(Bills!AB904,"AAAAAH/9vrI=")</f>
        <v>#VALUE!</v>
      </c>
      <c r="FX212" t="e">
        <f>AND(Bills!#REF!,"AAAAAH/9vrM=")</f>
        <v>#REF!</v>
      </c>
      <c r="FY212" t="e">
        <f>AND(Bills!#REF!,"AAAAAH/9vrQ=")</f>
        <v>#REF!</v>
      </c>
      <c r="FZ212" t="e">
        <f>AND(Bills!#REF!,"AAAAAH/9vrU=")</f>
        <v>#REF!</v>
      </c>
      <c r="GA212" t="e">
        <f>AND(Bills!AC904,"AAAAAH/9vrY=")</f>
        <v>#VALUE!</v>
      </c>
      <c r="GB212" t="e">
        <f>AND(Bills!AD904,"AAAAAH/9vrc=")</f>
        <v>#VALUE!</v>
      </c>
      <c r="GC212" t="e">
        <f>AND(Bills!AE904,"AAAAAH/9vrg=")</f>
        <v>#VALUE!</v>
      </c>
      <c r="GD212">
        <f>IF(Bills!905:905,"AAAAAH/9vrk=",0)</f>
        <v>0</v>
      </c>
      <c r="GE212" t="e">
        <f>AND(Bills!B905,"AAAAAH/9vro=")</f>
        <v>#VALUE!</v>
      </c>
      <c r="GF212" t="e">
        <f>AND(Bills!#REF!,"AAAAAH/9vrs=")</f>
        <v>#REF!</v>
      </c>
      <c r="GG212" t="e">
        <f>AND(Bills!C905,"AAAAAH/9vrw=")</f>
        <v>#VALUE!</v>
      </c>
      <c r="GH212" t="e">
        <f>AND(Bills!D905,"AAAAAH/9vr0=")</f>
        <v>#VALUE!</v>
      </c>
      <c r="GI212" t="e">
        <f>AND(Bills!E905,"AAAAAH/9vr4=")</f>
        <v>#VALUE!</v>
      </c>
      <c r="GJ212" t="e">
        <f>AND(Bills!#REF!,"AAAAAH/9vr8=")</f>
        <v>#REF!</v>
      </c>
      <c r="GK212" t="e">
        <f>AND(Bills!#REF!,"AAAAAH/9vsA=")</f>
        <v>#REF!</v>
      </c>
      <c r="GL212" t="e">
        <f>AND(Bills!#REF!,"AAAAAH/9vsE=")</f>
        <v>#REF!</v>
      </c>
      <c r="GM212" t="e">
        <f>AND(Bills!F905,"AAAAAH/9vsI=")</f>
        <v>#VALUE!</v>
      </c>
      <c r="GN212" t="e">
        <f>AND(Bills!#REF!,"AAAAAH/9vsM=")</f>
        <v>#REF!</v>
      </c>
      <c r="GO212" t="e">
        <f>AND(Bills!G905,"AAAAAH/9vsQ=")</f>
        <v>#VALUE!</v>
      </c>
      <c r="GP212" t="e">
        <f>AND(Bills!H905,"AAAAAH/9vsU=")</f>
        <v>#VALUE!</v>
      </c>
      <c r="GQ212" t="e">
        <f>AND(Bills!I905,"AAAAAH/9vsY=")</f>
        <v>#VALUE!</v>
      </c>
      <c r="GR212" t="e">
        <f>AND(Bills!J905,"AAAAAH/9vsc=")</f>
        <v>#VALUE!</v>
      </c>
      <c r="GS212" t="e">
        <f>AND(Bills!K905,"AAAAAH/9vsg=")</f>
        <v>#VALUE!</v>
      </c>
      <c r="GT212" t="e">
        <f>AND(Bills!L905,"AAAAAH/9vsk=")</f>
        <v>#VALUE!</v>
      </c>
      <c r="GU212" t="e">
        <f>AND(Bills!#REF!,"AAAAAH/9vso=")</f>
        <v>#REF!</v>
      </c>
      <c r="GV212" t="e">
        <f>AND(Bills!M905,"AAAAAH/9vss=")</f>
        <v>#VALUE!</v>
      </c>
      <c r="GW212" t="e">
        <f>AND(Bills!N905,"AAAAAH/9vsw=")</f>
        <v>#VALUE!</v>
      </c>
      <c r="GX212" t="e">
        <f>AND(Bills!O905,"AAAAAH/9vs0=")</f>
        <v>#VALUE!</v>
      </c>
      <c r="GY212" t="e">
        <f>AND(Bills!P905,"AAAAAH/9vs4=")</f>
        <v>#VALUE!</v>
      </c>
      <c r="GZ212" t="e">
        <f>AND(Bills!Q905,"AAAAAH/9vs8=")</f>
        <v>#VALUE!</v>
      </c>
      <c r="HA212" t="e">
        <f>AND(Bills!R905,"AAAAAH/9vtA=")</f>
        <v>#VALUE!</v>
      </c>
      <c r="HB212" t="e">
        <f>AND(Bills!S905,"AAAAAH/9vtE=")</f>
        <v>#VALUE!</v>
      </c>
      <c r="HC212" t="e">
        <f>AND(Bills!T905,"AAAAAH/9vtI=")</f>
        <v>#VALUE!</v>
      </c>
      <c r="HD212" t="e">
        <f>AND(Bills!#REF!,"AAAAAH/9vtM=")</f>
        <v>#REF!</v>
      </c>
      <c r="HE212" t="e">
        <f>AND(Bills!U905,"AAAAAH/9vtQ=")</f>
        <v>#VALUE!</v>
      </c>
      <c r="HF212" t="e">
        <f>AND(Bills!V905,"AAAAAH/9vtU=")</f>
        <v>#VALUE!</v>
      </c>
      <c r="HG212" t="e">
        <f>AND(Bills!W905,"AAAAAH/9vtY=")</f>
        <v>#VALUE!</v>
      </c>
      <c r="HH212" t="e">
        <f>AND(Bills!#REF!,"AAAAAH/9vtc=")</f>
        <v>#REF!</v>
      </c>
      <c r="HI212" t="e">
        <f>AND(Bills!#REF!,"AAAAAH/9vtg=")</f>
        <v>#REF!</v>
      </c>
      <c r="HJ212" t="e">
        <f>AND(Bills!Y905,"AAAAAH/9vtk=")</f>
        <v>#VALUE!</v>
      </c>
      <c r="HK212" t="e">
        <f>AND(Bills!Z905,"AAAAAH/9vto=")</f>
        <v>#VALUE!</v>
      </c>
      <c r="HL212" t="e">
        <f>AND(Bills!#REF!,"AAAAAH/9vts=")</f>
        <v>#REF!</v>
      </c>
      <c r="HM212" t="e">
        <f>AND(Bills!#REF!,"AAAAAH/9vtw=")</f>
        <v>#REF!</v>
      </c>
      <c r="HN212" t="e">
        <f>AND(Bills!#REF!,"AAAAAH/9vt0=")</f>
        <v>#REF!</v>
      </c>
      <c r="HO212" t="e">
        <f>AND(Bills!#REF!,"AAAAAH/9vt4=")</f>
        <v>#REF!</v>
      </c>
      <c r="HP212" t="e">
        <f>AND(Bills!#REF!,"AAAAAH/9vt8=")</f>
        <v>#REF!</v>
      </c>
      <c r="HQ212" t="e">
        <f>AND(Bills!#REF!,"AAAAAH/9vuA=")</f>
        <v>#REF!</v>
      </c>
      <c r="HR212" t="e">
        <f>AND(Bills!#REF!,"AAAAAH/9vuE=")</f>
        <v>#REF!</v>
      </c>
      <c r="HS212" t="e">
        <f>AND(Bills!#REF!,"AAAAAH/9vuI=")</f>
        <v>#REF!</v>
      </c>
      <c r="HT212" t="e">
        <f>AND(Bills!#REF!,"AAAAAH/9vuM=")</f>
        <v>#REF!</v>
      </c>
      <c r="HU212" t="e">
        <f>AND(Bills!AA905,"AAAAAH/9vuQ=")</f>
        <v>#VALUE!</v>
      </c>
      <c r="HV212" t="e">
        <f>AND(Bills!AB905,"AAAAAH/9vuU=")</f>
        <v>#VALUE!</v>
      </c>
      <c r="HW212" t="e">
        <f>AND(Bills!#REF!,"AAAAAH/9vuY=")</f>
        <v>#REF!</v>
      </c>
      <c r="HX212" t="e">
        <f>AND(Bills!#REF!,"AAAAAH/9vuc=")</f>
        <v>#REF!</v>
      </c>
      <c r="HY212" t="e">
        <f>AND(Bills!#REF!,"AAAAAH/9vug=")</f>
        <v>#REF!</v>
      </c>
      <c r="HZ212" t="e">
        <f>AND(Bills!AC905,"AAAAAH/9vuk=")</f>
        <v>#VALUE!</v>
      </c>
      <c r="IA212" t="e">
        <f>AND(Bills!AD905,"AAAAAH/9vuo=")</f>
        <v>#VALUE!</v>
      </c>
      <c r="IB212" t="e">
        <f>AND(Bills!AE905,"AAAAAH/9vus=")</f>
        <v>#VALUE!</v>
      </c>
      <c r="IC212">
        <f>IF(Bills!906:906,"AAAAAH/9vuw=",0)</f>
        <v>0</v>
      </c>
      <c r="ID212" t="e">
        <f>AND(Bills!B906,"AAAAAH/9vu0=")</f>
        <v>#VALUE!</v>
      </c>
      <c r="IE212" t="e">
        <f>AND(Bills!#REF!,"AAAAAH/9vu4=")</f>
        <v>#REF!</v>
      </c>
      <c r="IF212" t="e">
        <f>AND(Bills!C906,"AAAAAH/9vu8=")</f>
        <v>#VALUE!</v>
      </c>
      <c r="IG212" t="e">
        <f>AND(Bills!D906,"AAAAAH/9vvA=")</f>
        <v>#VALUE!</v>
      </c>
      <c r="IH212" t="e">
        <f>AND(Bills!E906,"AAAAAH/9vvE=")</f>
        <v>#VALUE!</v>
      </c>
      <c r="II212" t="e">
        <f>AND(Bills!#REF!,"AAAAAH/9vvI=")</f>
        <v>#REF!</v>
      </c>
      <c r="IJ212" t="e">
        <f>AND(Bills!#REF!,"AAAAAH/9vvM=")</f>
        <v>#REF!</v>
      </c>
      <c r="IK212" t="e">
        <f>AND(Bills!#REF!,"AAAAAH/9vvQ=")</f>
        <v>#REF!</v>
      </c>
      <c r="IL212" t="e">
        <f>AND(Bills!F906,"AAAAAH/9vvU=")</f>
        <v>#VALUE!</v>
      </c>
      <c r="IM212" t="e">
        <f>AND(Bills!#REF!,"AAAAAH/9vvY=")</f>
        <v>#REF!</v>
      </c>
      <c r="IN212" t="e">
        <f>AND(Bills!G906,"AAAAAH/9vvc=")</f>
        <v>#VALUE!</v>
      </c>
      <c r="IO212" t="e">
        <f>AND(Bills!H906,"AAAAAH/9vvg=")</f>
        <v>#VALUE!</v>
      </c>
      <c r="IP212" t="e">
        <f>AND(Bills!I906,"AAAAAH/9vvk=")</f>
        <v>#VALUE!</v>
      </c>
      <c r="IQ212" t="e">
        <f>AND(Bills!J906,"AAAAAH/9vvo=")</f>
        <v>#VALUE!</v>
      </c>
      <c r="IR212" t="e">
        <f>AND(Bills!K906,"AAAAAH/9vvs=")</f>
        <v>#VALUE!</v>
      </c>
      <c r="IS212" t="e">
        <f>AND(Bills!L906,"AAAAAH/9vvw=")</f>
        <v>#VALUE!</v>
      </c>
      <c r="IT212" t="e">
        <f>AND(Bills!#REF!,"AAAAAH/9vv0=")</f>
        <v>#REF!</v>
      </c>
      <c r="IU212" t="e">
        <f>AND(Bills!M906,"AAAAAH/9vv4=")</f>
        <v>#VALUE!</v>
      </c>
      <c r="IV212" t="e">
        <f>AND(Bills!N906,"AAAAAH/9vv8=")</f>
        <v>#VALUE!</v>
      </c>
    </row>
    <row r="213" spans="1:256" x14ac:dyDescent="0.25">
      <c r="A213" t="e">
        <f>AND(Bills!O906,"AAAAAH//+gA=")</f>
        <v>#VALUE!</v>
      </c>
      <c r="B213" t="e">
        <f>AND(Bills!P906,"AAAAAH//+gE=")</f>
        <v>#VALUE!</v>
      </c>
      <c r="C213" t="e">
        <f>AND(Bills!Q906,"AAAAAH//+gI=")</f>
        <v>#VALUE!</v>
      </c>
      <c r="D213" t="e">
        <f>AND(Bills!R906,"AAAAAH//+gM=")</f>
        <v>#VALUE!</v>
      </c>
      <c r="E213" t="e">
        <f>AND(Bills!S906,"AAAAAH//+gQ=")</f>
        <v>#VALUE!</v>
      </c>
      <c r="F213" t="e">
        <f>AND(Bills!T906,"AAAAAH//+gU=")</f>
        <v>#VALUE!</v>
      </c>
      <c r="G213" t="e">
        <f>AND(Bills!#REF!,"AAAAAH//+gY=")</f>
        <v>#REF!</v>
      </c>
      <c r="H213" t="e">
        <f>AND(Bills!U906,"AAAAAH//+gc=")</f>
        <v>#VALUE!</v>
      </c>
      <c r="I213" t="e">
        <f>AND(Bills!V906,"AAAAAH//+gg=")</f>
        <v>#VALUE!</v>
      </c>
      <c r="J213" t="e">
        <f>AND(Bills!W906,"AAAAAH//+gk=")</f>
        <v>#VALUE!</v>
      </c>
      <c r="K213" t="e">
        <f>AND(Bills!#REF!,"AAAAAH//+go=")</f>
        <v>#REF!</v>
      </c>
      <c r="L213" t="e">
        <f>AND(Bills!#REF!,"AAAAAH//+gs=")</f>
        <v>#REF!</v>
      </c>
      <c r="M213" t="e">
        <f>AND(Bills!Y906,"AAAAAH//+gw=")</f>
        <v>#VALUE!</v>
      </c>
      <c r="N213" t="e">
        <f>AND(Bills!Z906,"AAAAAH//+g0=")</f>
        <v>#VALUE!</v>
      </c>
      <c r="O213" t="e">
        <f>AND(Bills!#REF!,"AAAAAH//+g4=")</f>
        <v>#REF!</v>
      </c>
      <c r="P213" t="e">
        <f>AND(Bills!#REF!,"AAAAAH//+g8=")</f>
        <v>#REF!</v>
      </c>
      <c r="Q213" t="e">
        <f>AND(Bills!#REF!,"AAAAAH//+hA=")</f>
        <v>#REF!</v>
      </c>
      <c r="R213" t="e">
        <f>AND(Bills!#REF!,"AAAAAH//+hE=")</f>
        <v>#REF!</v>
      </c>
      <c r="S213" t="e">
        <f>AND(Bills!#REF!,"AAAAAH//+hI=")</f>
        <v>#REF!</v>
      </c>
      <c r="T213" t="e">
        <f>AND(Bills!#REF!,"AAAAAH//+hM=")</f>
        <v>#REF!</v>
      </c>
      <c r="U213" t="e">
        <f>AND(Bills!#REF!,"AAAAAH//+hQ=")</f>
        <v>#REF!</v>
      </c>
      <c r="V213" t="e">
        <f>AND(Bills!#REF!,"AAAAAH//+hU=")</f>
        <v>#REF!</v>
      </c>
      <c r="W213" t="e">
        <f>AND(Bills!#REF!,"AAAAAH//+hY=")</f>
        <v>#REF!</v>
      </c>
      <c r="X213" t="e">
        <f>AND(Bills!AA906,"AAAAAH//+hc=")</f>
        <v>#VALUE!</v>
      </c>
      <c r="Y213" t="e">
        <f>AND(Bills!AB906,"AAAAAH//+hg=")</f>
        <v>#VALUE!</v>
      </c>
      <c r="Z213" t="e">
        <f>AND(Bills!#REF!,"AAAAAH//+hk=")</f>
        <v>#REF!</v>
      </c>
      <c r="AA213" t="e">
        <f>AND(Bills!#REF!,"AAAAAH//+ho=")</f>
        <v>#REF!</v>
      </c>
      <c r="AB213" t="e">
        <f>AND(Bills!#REF!,"AAAAAH//+hs=")</f>
        <v>#REF!</v>
      </c>
      <c r="AC213" t="e">
        <f>AND(Bills!AC906,"AAAAAH//+hw=")</f>
        <v>#VALUE!</v>
      </c>
      <c r="AD213" t="e">
        <f>AND(Bills!AD906,"AAAAAH//+h0=")</f>
        <v>#VALUE!</v>
      </c>
      <c r="AE213" t="e">
        <f>AND(Bills!AE906,"AAAAAH//+h4=")</f>
        <v>#VALUE!</v>
      </c>
      <c r="AF213">
        <f>IF(Bills!907:907,"AAAAAH//+h8=",0)</f>
        <v>0</v>
      </c>
      <c r="AG213" t="e">
        <f>AND(Bills!B907,"AAAAAH//+iA=")</f>
        <v>#VALUE!</v>
      </c>
      <c r="AH213" t="e">
        <f>AND(Bills!#REF!,"AAAAAH//+iE=")</f>
        <v>#REF!</v>
      </c>
      <c r="AI213" t="e">
        <f>AND(Bills!C907,"AAAAAH//+iI=")</f>
        <v>#VALUE!</v>
      </c>
      <c r="AJ213" t="e">
        <f>AND(Bills!D907,"AAAAAH//+iM=")</f>
        <v>#VALUE!</v>
      </c>
      <c r="AK213" t="e">
        <f>AND(Bills!E907,"AAAAAH//+iQ=")</f>
        <v>#VALUE!</v>
      </c>
      <c r="AL213" t="e">
        <f>AND(Bills!#REF!,"AAAAAH//+iU=")</f>
        <v>#REF!</v>
      </c>
      <c r="AM213" t="e">
        <f>AND(Bills!#REF!,"AAAAAH//+iY=")</f>
        <v>#REF!</v>
      </c>
      <c r="AN213" t="e">
        <f>AND(Bills!#REF!,"AAAAAH//+ic=")</f>
        <v>#REF!</v>
      </c>
      <c r="AO213" t="e">
        <f>AND(Bills!F907,"AAAAAH//+ig=")</f>
        <v>#VALUE!</v>
      </c>
      <c r="AP213" t="e">
        <f>AND(Bills!#REF!,"AAAAAH//+ik=")</f>
        <v>#REF!</v>
      </c>
      <c r="AQ213" t="e">
        <f>AND(Bills!G907,"AAAAAH//+io=")</f>
        <v>#VALUE!</v>
      </c>
      <c r="AR213" t="e">
        <f>AND(Bills!H907,"AAAAAH//+is=")</f>
        <v>#VALUE!</v>
      </c>
      <c r="AS213" t="e">
        <f>AND(Bills!I907,"AAAAAH//+iw=")</f>
        <v>#VALUE!</v>
      </c>
      <c r="AT213" t="e">
        <f>AND(Bills!J907,"AAAAAH//+i0=")</f>
        <v>#VALUE!</v>
      </c>
      <c r="AU213" t="e">
        <f>AND(Bills!K907,"AAAAAH//+i4=")</f>
        <v>#VALUE!</v>
      </c>
      <c r="AV213" t="e">
        <f>AND(Bills!L907,"AAAAAH//+i8=")</f>
        <v>#VALUE!</v>
      </c>
      <c r="AW213" t="e">
        <f>AND(Bills!#REF!,"AAAAAH//+jA=")</f>
        <v>#REF!</v>
      </c>
      <c r="AX213" t="e">
        <f>AND(Bills!M907,"AAAAAH//+jE=")</f>
        <v>#VALUE!</v>
      </c>
      <c r="AY213" t="e">
        <f>AND(Bills!N907,"AAAAAH//+jI=")</f>
        <v>#VALUE!</v>
      </c>
      <c r="AZ213" t="e">
        <f>AND(Bills!O907,"AAAAAH//+jM=")</f>
        <v>#VALUE!</v>
      </c>
      <c r="BA213" t="e">
        <f>AND(Bills!P907,"AAAAAH//+jQ=")</f>
        <v>#VALUE!</v>
      </c>
      <c r="BB213" t="e">
        <f>AND(Bills!Q907,"AAAAAH//+jU=")</f>
        <v>#VALUE!</v>
      </c>
      <c r="BC213" t="e">
        <f>AND(Bills!R907,"AAAAAH//+jY=")</f>
        <v>#VALUE!</v>
      </c>
      <c r="BD213" t="e">
        <f>AND(Bills!S907,"AAAAAH//+jc=")</f>
        <v>#VALUE!</v>
      </c>
      <c r="BE213" t="e">
        <f>AND(Bills!T907,"AAAAAH//+jg=")</f>
        <v>#VALUE!</v>
      </c>
      <c r="BF213" t="e">
        <f>AND(Bills!#REF!,"AAAAAH//+jk=")</f>
        <v>#REF!</v>
      </c>
      <c r="BG213" t="e">
        <f>AND(Bills!U907,"AAAAAH//+jo=")</f>
        <v>#VALUE!</v>
      </c>
      <c r="BH213" t="e">
        <f>AND(Bills!V907,"AAAAAH//+js=")</f>
        <v>#VALUE!</v>
      </c>
      <c r="BI213" t="e">
        <f>AND(Bills!W907,"AAAAAH//+jw=")</f>
        <v>#VALUE!</v>
      </c>
      <c r="BJ213" t="e">
        <f>AND(Bills!#REF!,"AAAAAH//+j0=")</f>
        <v>#REF!</v>
      </c>
      <c r="BK213" t="e">
        <f>AND(Bills!#REF!,"AAAAAH//+j4=")</f>
        <v>#REF!</v>
      </c>
      <c r="BL213" t="e">
        <f>AND(Bills!Y907,"AAAAAH//+j8=")</f>
        <v>#VALUE!</v>
      </c>
      <c r="BM213" t="e">
        <f>AND(Bills!Z907,"AAAAAH//+kA=")</f>
        <v>#VALUE!</v>
      </c>
      <c r="BN213" t="e">
        <f>AND(Bills!#REF!,"AAAAAH//+kE=")</f>
        <v>#REF!</v>
      </c>
      <c r="BO213" t="e">
        <f>AND(Bills!#REF!,"AAAAAH//+kI=")</f>
        <v>#REF!</v>
      </c>
      <c r="BP213" t="e">
        <f>AND(Bills!#REF!,"AAAAAH//+kM=")</f>
        <v>#REF!</v>
      </c>
      <c r="BQ213" t="e">
        <f>AND(Bills!#REF!,"AAAAAH//+kQ=")</f>
        <v>#REF!</v>
      </c>
      <c r="BR213" t="e">
        <f>AND(Bills!#REF!,"AAAAAH//+kU=")</f>
        <v>#REF!</v>
      </c>
      <c r="BS213" t="e">
        <f>AND(Bills!#REF!,"AAAAAH//+kY=")</f>
        <v>#REF!</v>
      </c>
      <c r="BT213" t="e">
        <f>AND(Bills!#REF!,"AAAAAH//+kc=")</f>
        <v>#REF!</v>
      </c>
      <c r="BU213" t="e">
        <f>AND(Bills!#REF!,"AAAAAH//+kg=")</f>
        <v>#REF!</v>
      </c>
      <c r="BV213" t="e">
        <f>AND(Bills!#REF!,"AAAAAH//+kk=")</f>
        <v>#REF!</v>
      </c>
      <c r="BW213" t="e">
        <f>AND(Bills!AA907,"AAAAAH//+ko=")</f>
        <v>#VALUE!</v>
      </c>
      <c r="BX213" t="e">
        <f>AND(Bills!AB907,"AAAAAH//+ks=")</f>
        <v>#VALUE!</v>
      </c>
      <c r="BY213" t="e">
        <f>AND(Bills!#REF!,"AAAAAH//+kw=")</f>
        <v>#REF!</v>
      </c>
      <c r="BZ213" t="e">
        <f>AND(Bills!#REF!,"AAAAAH//+k0=")</f>
        <v>#REF!</v>
      </c>
      <c r="CA213" t="e">
        <f>AND(Bills!#REF!,"AAAAAH//+k4=")</f>
        <v>#REF!</v>
      </c>
      <c r="CB213" t="e">
        <f>AND(Bills!AC907,"AAAAAH//+k8=")</f>
        <v>#VALUE!</v>
      </c>
      <c r="CC213" t="e">
        <f>AND(Bills!AD907,"AAAAAH//+lA=")</f>
        <v>#VALUE!</v>
      </c>
      <c r="CD213" t="e">
        <f>AND(Bills!AE907,"AAAAAH//+lE=")</f>
        <v>#VALUE!</v>
      </c>
      <c r="CE213">
        <f>IF(Bills!908:908,"AAAAAH//+lI=",0)</f>
        <v>0</v>
      </c>
      <c r="CF213" t="e">
        <f>AND(Bills!B908,"AAAAAH//+lM=")</f>
        <v>#VALUE!</v>
      </c>
      <c r="CG213" t="e">
        <f>AND(Bills!#REF!,"AAAAAH//+lQ=")</f>
        <v>#REF!</v>
      </c>
      <c r="CH213" t="e">
        <f>AND(Bills!C908,"AAAAAH//+lU=")</f>
        <v>#VALUE!</v>
      </c>
      <c r="CI213" t="e">
        <f>AND(Bills!D908,"AAAAAH//+lY=")</f>
        <v>#VALUE!</v>
      </c>
      <c r="CJ213" t="e">
        <f>AND(Bills!E908,"AAAAAH//+lc=")</f>
        <v>#VALUE!</v>
      </c>
      <c r="CK213" t="e">
        <f>AND(Bills!#REF!,"AAAAAH//+lg=")</f>
        <v>#REF!</v>
      </c>
      <c r="CL213" t="e">
        <f>AND(Bills!#REF!,"AAAAAH//+lk=")</f>
        <v>#REF!</v>
      </c>
      <c r="CM213" t="e">
        <f>AND(Bills!#REF!,"AAAAAH//+lo=")</f>
        <v>#REF!</v>
      </c>
      <c r="CN213" t="e">
        <f>AND(Bills!F908,"AAAAAH//+ls=")</f>
        <v>#VALUE!</v>
      </c>
      <c r="CO213" t="e">
        <f>AND(Bills!#REF!,"AAAAAH//+lw=")</f>
        <v>#REF!</v>
      </c>
      <c r="CP213" t="e">
        <f>AND(Bills!G908,"AAAAAH//+l0=")</f>
        <v>#VALUE!</v>
      </c>
      <c r="CQ213" t="e">
        <f>AND(Bills!H908,"AAAAAH//+l4=")</f>
        <v>#VALUE!</v>
      </c>
      <c r="CR213" t="e">
        <f>AND(Bills!I908,"AAAAAH//+l8=")</f>
        <v>#VALUE!</v>
      </c>
      <c r="CS213" t="e">
        <f>AND(Bills!J908,"AAAAAH//+mA=")</f>
        <v>#VALUE!</v>
      </c>
      <c r="CT213" t="e">
        <f>AND(Bills!K908,"AAAAAH//+mE=")</f>
        <v>#VALUE!</v>
      </c>
      <c r="CU213" t="e">
        <f>AND(Bills!L908,"AAAAAH//+mI=")</f>
        <v>#VALUE!</v>
      </c>
      <c r="CV213" t="e">
        <f>AND(Bills!#REF!,"AAAAAH//+mM=")</f>
        <v>#REF!</v>
      </c>
      <c r="CW213" t="e">
        <f>AND(Bills!M908,"AAAAAH//+mQ=")</f>
        <v>#VALUE!</v>
      </c>
      <c r="CX213" t="e">
        <f>AND(Bills!N908,"AAAAAH//+mU=")</f>
        <v>#VALUE!</v>
      </c>
      <c r="CY213" t="e">
        <f>AND(Bills!O908,"AAAAAH//+mY=")</f>
        <v>#VALUE!</v>
      </c>
      <c r="CZ213" t="e">
        <f>AND(Bills!P908,"AAAAAH//+mc=")</f>
        <v>#VALUE!</v>
      </c>
      <c r="DA213" t="e">
        <f>AND(Bills!Q908,"AAAAAH//+mg=")</f>
        <v>#VALUE!</v>
      </c>
      <c r="DB213" t="e">
        <f>AND(Bills!R908,"AAAAAH//+mk=")</f>
        <v>#VALUE!</v>
      </c>
      <c r="DC213" t="e">
        <f>AND(Bills!S908,"AAAAAH//+mo=")</f>
        <v>#VALUE!</v>
      </c>
      <c r="DD213" t="e">
        <f>AND(Bills!T908,"AAAAAH//+ms=")</f>
        <v>#VALUE!</v>
      </c>
      <c r="DE213" t="e">
        <f>AND(Bills!#REF!,"AAAAAH//+mw=")</f>
        <v>#REF!</v>
      </c>
      <c r="DF213" t="e">
        <f>AND(Bills!U908,"AAAAAH//+m0=")</f>
        <v>#VALUE!</v>
      </c>
      <c r="DG213" t="e">
        <f>AND(Bills!V908,"AAAAAH//+m4=")</f>
        <v>#VALUE!</v>
      </c>
      <c r="DH213" t="e">
        <f>AND(Bills!W908,"AAAAAH//+m8=")</f>
        <v>#VALUE!</v>
      </c>
      <c r="DI213" t="e">
        <f>AND(Bills!#REF!,"AAAAAH//+nA=")</f>
        <v>#REF!</v>
      </c>
      <c r="DJ213" t="e">
        <f>AND(Bills!#REF!,"AAAAAH//+nE=")</f>
        <v>#REF!</v>
      </c>
      <c r="DK213" t="e">
        <f>AND(Bills!Y908,"AAAAAH//+nI=")</f>
        <v>#VALUE!</v>
      </c>
      <c r="DL213" t="e">
        <f>AND(Bills!Z908,"AAAAAH//+nM=")</f>
        <v>#VALUE!</v>
      </c>
      <c r="DM213" t="e">
        <f>AND(Bills!#REF!,"AAAAAH//+nQ=")</f>
        <v>#REF!</v>
      </c>
      <c r="DN213" t="e">
        <f>AND(Bills!#REF!,"AAAAAH//+nU=")</f>
        <v>#REF!</v>
      </c>
      <c r="DO213" t="e">
        <f>AND(Bills!#REF!,"AAAAAH//+nY=")</f>
        <v>#REF!</v>
      </c>
      <c r="DP213" t="e">
        <f>AND(Bills!#REF!,"AAAAAH//+nc=")</f>
        <v>#REF!</v>
      </c>
      <c r="DQ213" t="e">
        <f>AND(Bills!#REF!,"AAAAAH//+ng=")</f>
        <v>#REF!</v>
      </c>
      <c r="DR213" t="e">
        <f>AND(Bills!#REF!,"AAAAAH//+nk=")</f>
        <v>#REF!</v>
      </c>
      <c r="DS213" t="e">
        <f>AND(Bills!#REF!,"AAAAAH//+no=")</f>
        <v>#REF!</v>
      </c>
      <c r="DT213" t="e">
        <f>AND(Bills!#REF!,"AAAAAH//+ns=")</f>
        <v>#REF!</v>
      </c>
      <c r="DU213" t="e">
        <f>AND(Bills!#REF!,"AAAAAH//+nw=")</f>
        <v>#REF!</v>
      </c>
      <c r="DV213" t="e">
        <f>AND(Bills!AA908,"AAAAAH//+n0=")</f>
        <v>#VALUE!</v>
      </c>
      <c r="DW213" t="e">
        <f>AND(Bills!AB908,"AAAAAH//+n4=")</f>
        <v>#VALUE!</v>
      </c>
      <c r="DX213" t="e">
        <f>AND(Bills!#REF!,"AAAAAH//+n8=")</f>
        <v>#REF!</v>
      </c>
      <c r="DY213" t="e">
        <f>AND(Bills!#REF!,"AAAAAH//+oA=")</f>
        <v>#REF!</v>
      </c>
      <c r="DZ213" t="e">
        <f>AND(Bills!#REF!,"AAAAAH//+oE=")</f>
        <v>#REF!</v>
      </c>
      <c r="EA213" t="e">
        <f>AND(Bills!AC908,"AAAAAH//+oI=")</f>
        <v>#VALUE!</v>
      </c>
      <c r="EB213" t="e">
        <f>AND(Bills!AD908,"AAAAAH//+oM=")</f>
        <v>#VALUE!</v>
      </c>
      <c r="EC213" t="e">
        <f>AND(Bills!AE908,"AAAAAH//+oQ=")</f>
        <v>#VALUE!</v>
      </c>
      <c r="ED213">
        <f>IF(Bills!909:909,"AAAAAH//+oU=",0)</f>
        <v>0</v>
      </c>
      <c r="EE213" t="e">
        <f>AND(Bills!B909,"AAAAAH//+oY=")</f>
        <v>#VALUE!</v>
      </c>
      <c r="EF213" t="e">
        <f>AND(Bills!#REF!,"AAAAAH//+oc=")</f>
        <v>#REF!</v>
      </c>
      <c r="EG213" t="e">
        <f>AND(Bills!C909,"AAAAAH//+og=")</f>
        <v>#VALUE!</v>
      </c>
      <c r="EH213" t="e">
        <f>AND(Bills!D909,"AAAAAH//+ok=")</f>
        <v>#VALUE!</v>
      </c>
      <c r="EI213" t="e">
        <f>AND(Bills!E909,"AAAAAH//+oo=")</f>
        <v>#VALUE!</v>
      </c>
      <c r="EJ213" t="e">
        <f>AND(Bills!#REF!,"AAAAAH//+os=")</f>
        <v>#REF!</v>
      </c>
      <c r="EK213" t="e">
        <f>AND(Bills!#REF!,"AAAAAH//+ow=")</f>
        <v>#REF!</v>
      </c>
      <c r="EL213" t="e">
        <f>AND(Bills!#REF!,"AAAAAH//+o0=")</f>
        <v>#REF!</v>
      </c>
      <c r="EM213" t="e">
        <f>AND(Bills!F909,"AAAAAH//+o4=")</f>
        <v>#VALUE!</v>
      </c>
      <c r="EN213" t="e">
        <f>AND(Bills!#REF!,"AAAAAH//+o8=")</f>
        <v>#REF!</v>
      </c>
      <c r="EO213" t="e">
        <f>AND(Bills!G909,"AAAAAH//+pA=")</f>
        <v>#VALUE!</v>
      </c>
      <c r="EP213" t="e">
        <f>AND(Bills!H909,"AAAAAH//+pE=")</f>
        <v>#VALUE!</v>
      </c>
      <c r="EQ213" t="e">
        <f>AND(Bills!I909,"AAAAAH//+pI=")</f>
        <v>#VALUE!</v>
      </c>
      <c r="ER213" t="e">
        <f>AND(Bills!J909,"AAAAAH//+pM=")</f>
        <v>#VALUE!</v>
      </c>
      <c r="ES213" t="e">
        <f>AND(Bills!K909,"AAAAAH//+pQ=")</f>
        <v>#VALUE!</v>
      </c>
      <c r="ET213" t="e">
        <f>AND(Bills!L909,"AAAAAH//+pU=")</f>
        <v>#VALUE!</v>
      </c>
      <c r="EU213" t="e">
        <f>AND(Bills!#REF!,"AAAAAH//+pY=")</f>
        <v>#REF!</v>
      </c>
      <c r="EV213" t="e">
        <f>AND(Bills!M909,"AAAAAH//+pc=")</f>
        <v>#VALUE!</v>
      </c>
      <c r="EW213" t="e">
        <f>AND(Bills!N909,"AAAAAH//+pg=")</f>
        <v>#VALUE!</v>
      </c>
      <c r="EX213" t="e">
        <f>AND(Bills!O909,"AAAAAH//+pk=")</f>
        <v>#VALUE!</v>
      </c>
      <c r="EY213" t="e">
        <f>AND(Bills!P909,"AAAAAH//+po=")</f>
        <v>#VALUE!</v>
      </c>
      <c r="EZ213" t="e">
        <f>AND(Bills!Q909,"AAAAAH//+ps=")</f>
        <v>#VALUE!</v>
      </c>
      <c r="FA213" t="e">
        <f>AND(Bills!R909,"AAAAAH//+pw=")</f>
        <v>#VALUE!</v>
      </c>
      <c r="FB213" t="e">
        <f>AND(Bills!S909,"AAAAAH//+p0=")</f>
        <v>#VALUE!</v>
      </c>
      <c r="FC213" t="e">
        <f>AND(Bills!T909,"AAAAAH//+p4=")</f>
        <v>#VALUE!</v>
      </c>
      <c r="FD213" t="e">
        <f>AND(Bills!#REF!,"AAAAAH//+p8=")</f>
        <v>#REF!</v>
      </c>
      <c r="FE213" t="e">
        <f>AND(Bills!U909,"AAAAAH//+qA=")</f>
        <v>#VALUE!</v>
      </c>
      <c r="FF213" t="e">
        <f>AND(Bills!V909,"AAAAAH//+qE=")</f>
        <v>#VALUE!</v>
      </c>
      <c r="FG213" t="e">
        <f>AND(Bills!W909,"AAAAAH//+qI=")</f>
        <v>#VALUE!</v>
      </c>
      <c r="FH213" t="e">
        <f>AND(Bills!#REF!,"AAAAAH//+qM=")</f>
        <v>#REF!</v>
      </c>
      <c r="FI213" t="e">
        <f>AND(Bills!#REF!,"AAAAAH//+qQ=")</f>
        <v>#REF!</v>
      </c>
      <c r="FJ213" t="e">
        <f>AND(Bills!Y909,"AAAAAH//+qU=")</f>
        <v>#VALUE!</v>
      </c>
      <c r="FK213" t="e">
        <f>AND(Bills!Z909,"AAAAAH//+qY=")</f>
        <v>#VALUE!</v>
      </c>
      <c r="FL213" t="e">
        <f>AND(Bills!#REF!,"AAAAAH//+qc=")</f>
        <v>#REF!</v>
      </c>
      <c r="FM213" t="e">
        <f>AND(Bills!#REF!,"AAAAAH//+qg=")</f>
        <v>#REF!</v>
      </c>
      <c r="FN213" t="e">
        <f>AND(Bills!#REF!,"AAAAAH//+qk=")</f>
        <v>#REF!</v>
      </c>
      <c r="FO213" t="e">
        <f>AND(Bills!#REF!,"AAAAAH//+qo=")</f>
        <v>#REF!</v>
      </c>
      <c r="FP213" t="e">
        <f>AND(Bills!#REF!,"AAAAAH//+qs=")</f>
        <v>#REF!</v>
      </c>
      <c r="FQ213" t="e">
        <f>AND(Bills!#REF!,"AAAAAH//+qw=")</f>
        <v>#REF!</v>
      </c>
      <c r="FR213" t="e">
        <f>AND(Bills!#REF!,"AAAAAH//+q0=")</f>
        <v>#REF!</v>
      </c>
      <c r="FS213" t="e">
        <f>AND(Bills!#REF!,"AAAAAH//+q4=")</f>
        <v>#REF!</v>
      </c>
      <c r="FT213" t="e">
        <f>AND(Bills!#REF!,"AAAAAH//+q8=")</f>
        <v>#REF!</v>
      </c>
      <c r="FU213" t="e">
        <f>AND(Bills!AA909,"AAAAAH//+rA=")</f>
        <v>#VALUE!</v>
      </c>
      <c r="FV213" t="e">
        <f>AND(Bills!AB909,"AAAAAH//+rE=")</f>
        <v>#VALUE!</v>
      </c>
      <c r="FW213" t="e">
        <f>AND(Bills!#REF!,"AAAAAH//+rI=")</f>
        <v>#REF!</v>
      </c>
      <c r="FX213" t="e">
        <f>AND(Bills!#REF!,"AAAAAH//+rM=")</f>
        <v>#REF!</v>
      </c>
      <c r="FY213" t="e">
        <f>AND(Bills!#REF!,"AAAAAH//+rQ=")</f>
        <v>#REF!</v>
      </c>
      <c r="FZ213" t="e">
        <f>AND(Bills!AC909,"AAAAAH//+rU=")</f>
        <v>#VALUE!</v>
      </c>
      <c r="GA213" t="e">
        <f>AND(Bills!AD909,"AAAAAH//+rY=")</f>
        <v>#VALUE!</v>
      </c>
      <c r="GB213" t="e">
        <f>AND(Bills!AE909,"AAAAAH//+rc=")</f>
        <v>#VALUE!</v>
      </c>
      <c r="GC213">
        <f>IF(Bills!910:910,"AAAAAH//+rg=",0)</f>
        <v>0</v>
      </c>
      <c r="GD213" t="e">
        <f>AND(Bills!B910,"AAAAAH//+rk=")</f>
        <v>#VALUE!</v>
      </c>
      <c r="GE213" t="e">
        <f>AND(Bills!#REF!,"AAAAAH//+ro=")</f>
        <v>#REF!</v>
      </c>
      <c r="GF213" t="e">
        <f>AND(Bills!C910,"AAAAAH//+rs=")</f>
        <v>#VALUE!</v>
      </c>
      <c r="GG213" t="e">
        <f>AND(Bills!D910,"AAAAAH//+rw=")</f>
        <v>#VALUE!</v>
      </c>
      <c r="GH213" t="e">
        <f>AND(Bills!E910,"AAAAAH//+r0=")</f>
        <v>#VALUE!</v>
      </c>
      <c r="GI213" t="e">
        <f>AND(Bills!#REF!,"AAAAAH//+r4=")</f>
        <v>#REF!</v>
      </c>
      <c r="GJ213" t="e">
        <f>AND(Bills!#REF!,"AAAAAH//+r8=")</f>
        <v>#REF!</v>
      </c>
      <c r="GK213" t="e">
        <f>AND(Bills!#REF!,"AAAAAH//+sA=")</f>
        <v>#REF!</v>
      </c>
      <c r="GL213" t="e">
        <f>AND(Bills!F910,"AAAAAH//+sE=")</f>
        <v>#VALUE!</v>
      </c>
      <c r="GM213" t="e">
        <f>AND(Bills!#REF!,"AAAAAH//+sI=")</f>
        <v>#REF!</v>
      </c>
      <c r="GN213" t="e">
        <f>AND(Bills!G910,"AAAAAH//+sM=")</f>
        <v>#VALUE!</v>
      </c>
      <c r="GO213" t="e">
        <f>AND(Bills!H910,"AAAAAH//+sQ=")</f>
        <v>#VALUE!</v>
      </c>
      <c r="GP213" t="e">
        <f>AND(Bills!I910,"AAAAAH//+sU=")</f>
        <v>#VALUE!</v>
      </c>
      <c r="GQ213" t="e">
        <f>AND(Bills!J910,"AAAAAH//+sY=")</f>
        <v>#VALUE!</v>
      </c>
      <c r="GR213" t="e">
        <f>AND(Bills!K910,"AAAAAH//+sc=")</f>
        <v>#VALUE!</v>
      </c>
      <c r="GS213" t="e">
        <f>AND(Bills!L910,"AAAAAH//+sg=")</f>
        <v>#VALUE!</v>
      </c>
      <c r="GT213" t="e">
        <f>AND(Bills!#REF!,"AAAAAH//+sk=")</f>
        <v>#REF!</v>
      </c>
      <c r="GU213" t="e">
        <f>AND(Bills!M910,"AAAAAH//+so=")</f>
        <v>#VALUE!</v>
      </c>
      <c r="GV213" t="e">
        <f>AND(Bills!N910,"AAAAAH//+ss=")</f>
        <v>#VALUE!</v>
      </c>
      <c r="GW213" t="e">
        <f>AND(Bills!O910,"AAAAAH//+sw=")</f>
        <v>#VALUE!</v>
      </c>
      <c r="GX213" t="e">
        <f>AND(Bills!P910,"AAAAAH//+s0=")</f>
        <v>#VALUE!</v>
      </c>
      <c r="GY213" t="e">
        <f>AND(Bills!Q910,"AAAAAH//+s4=")</f>
        <v>#VALUE!</v>
      </c>
      <c r="GZ213" t="e">
        <f>AND(Bills!R910,"AAAAAH//+s8=")</f>
        <v>#VALUE!</v>
      </c>
      <c r="HA213" t="e">
        <f>AND(Bills!S910,"AAAAAH//+tA=")</f>
        <v>#VALUE!</v>
      </c>
      <c r="HB213" t="e">
        <f>AND(Bills!T910,"AAAAAH//+tE=")</f>
        <v>#VALUE!</v>
      </c>
      <c r="HC213" t="e">
        <f>AND(Bills!#REF!,"AAAAAH//+tI=")</f>
        <v>#REF!</v>
      </c>
      <c r="HD213" t="e">
        <f>AND(Bills!U910,"AAAAAH//+tM=")</f>
        <v>#VALUE!</v>
      </c>
      <c r="HE213" t="e">
        <f>AND(Bills!V910,"AAAAAH//+tQ=")</f>
        <v>#VALUE!</v>
      </c>
      <c r="HF213" t="e">
        <f>AND(Bills!W910,"AAAAAH//+tU=")</f>
        <v>#VALUE!</v>
      </c>
      <c r="HG213" t="e">
        <f>AND(Bills!#REF!,"AAAAAH//+tY=")</f>
        <v>#REF!</v>
      </c>
      <c r="HH213" t="e">
        <f>AND(Bills!#REF!,"AAAAAH//+tc=")</f>
        <v>#REF!</v>
      </c>
      <c r="HI213" t="e">
        <f>AND(Bills!Y910,"AAAAAH//+tg=")</f>
        <v>#VALUE!</v>
      </c>
      <c r="HJ213" t="e">
        <f>AND(Bills!Z910,"AAAAAH//+tk=")</f>
        <v>#VALUE!</v>
      </c>
      <c r="HK213" t="e">
        <f>AND(Bills!#REF!,"AAAAAH//+to=")</f>
        <v>#REF!</v>
      </c>
      <c r="HL213" t="e">
        <f>AND(Bills!#REF!,"AAAAAH//+ts=")</f>
        <v>#REF!</v>
      </c>
      <c r="HM213" t="e">
        <f>AND(Bills!#REF!,"AAAAAH//+tw=")</f>
        <v>#REF!</v>
      </c>
      <c r="HN213" t="e">
        <f>AND(Bills!#REF!,"AAAAAH//+t0=")</f>
        <v>#REF!</v>
      </c>
      <c r="HO213" t="e">
        <f>AND(Bills!#REF!,"AAAAAH//+t4=")</f>
        <v>#REF!</v>
      </c>
      <c r="HP213" t="e">
        <f>AND(Bills!#REF!,"AAAAAH//+t8=")</f>
        <v>#REF!</v>
      </c>
      <c r="HQ213" t="e">
        <f>AND(Bills!#REF!,"AAAAAH//+uA=")</f>
        <v>#REF!</v>
      </c>
      <c r="HR213" t="e">
        <f>AND(Bills!#REF!,"AAAAAH//+uE=")</f>
        <v>#REF!</v>
      </c>
      <c r="HS213" t="e">
        <f>AND(Bills!#REF!,"AAAAAH//+uI=")</f>
        <v>#REF!</v>
      </c>
      <c r="HT213" t="e">
        <f>AND(Bills!AA910,"AAAAAH//+uM=")</f>
        <v>#VALUE!</v>
      </c>
      <c r="HU213" t="e">
        <f>AND(Bills!AB910,"AAAAAH//+uQ=")</f>
        <v>#VALUE!</v>
      </c>
      <c r="HV213" t="e">
        <f>AND(Bills!#REF!,"AAAAAH//+uU=")</f>
        <v>#REF!</v>
      </c>
      <c r="HW213" t="e">
        <f>AND(Bills!#REF!,"AAAAAH//+uY=")</f>
        <v>#REF!</v>
      </c>
      <c r="HX213" t="e">
        <f>AND(Bills!#REF!,"AAAAAH//+uc=")</f>
        <v>#REF!</v>
      </c>
      <c r="HY213" t="e">
        <f>AND(Bills!AC910,"AAAAAH//+ug=")</f>
        <v>#VALUE!</v>
      </c>
      <c r="HZ213" t="e">
        <f>AND(Bills!AD910,"AAAAAH//+uk=")</f>
        <v>#VALUE!</v>
      </c>
      <c r="IA213" t="e">
        <f>AND(Bills!AE910,"AAAAAH//+uo=")</f>
        <v>#VALUE!</v>
      </c>
      <c r="IB213">
        <f>IF(Bills!911:911,"AAAAAH//+us=",0)</f>
        <v>0</v>
      </c>
      <c r="IC213" t="e">
        <f>AND(Bills!B911,"AAAAAH//+uw=")</f>
        <v>#VALUE!</v>
      </c>
      <c r="ID213" t="e">
        <f>AND(Bills!#REF!,"AAAAAH//+u0=")</f>
        <v>#REF!</v>
      </c>
      <c r="IE213" t="e">
        <f>AND(Bills!C911,"AAAAAH//+u4=")</f>
        <v>#VALUE!</v>
      </c>
      <c r="IF213" t="e">
        <f>AND(Bills!D911,"AAAAAH//+u8=")</f>
        <v>#VALUE!</v>
      </c>
      <c r="IG213" t="e">
        <f>AND(Bills!E911,"AAAAAH//+vA=")</f>
        <v>#VALUE!</v>
      </c>
      <c r="IH213" t="e">
        <f>AND(Bills!#REF!,"AAAAAH//+vE=")</f>
        <v>#REF!</v>
      </c>
      <c r="II213" t="e">
        <f>AND(Bills!#REF!,"AAAAAH//+vI=")</f>
        <v>#REF!</v>
      </c>
      <c r="IJ213" t="e">
        <f>AND(Bills!#REF!,"AAAAAH//+vM=")</f>
        <v>#REF!</v>
      </c>
      <c r="IK213" t="e">
        <f>AND(Bills!F911,"AAAAAH//+vQ=")</f>
        <v>#VALUE!</v>
      </c>
      <c r="IL213" t="e">
        <f>AND(Bills!#REF!,"AAAAAH//+vU=")</f>
        <v>#REF!</v>
      </c>
      <c r="IM213" t="e">
        <f>AND(Bills!G911,"AAAAAH//+vY=")</f>
        <v>#VALUE!</v>
      </c>
      <c r="IN213" t="e">
        <f>AND(Bills!H911,"AAAAAH//+vc=")</f>
        <v>#VALUE!</v>
      </c>
      <c r="IO213" t="e">
        <f>AND(Bills!I911,"AAAAAH//+vg=")</f>
        <v>#VALUE!</v>
      </c>
      <c r="IP213" t="e">
        <f>AND(Bills!J911,"AAAAAH//+vk=")</f>
        <v>#VALUE!</v>
      </c>
      <c r="IQ213" t="e">
        <f>AND(Bills!K911,"AAAAAH//+vo=")</f>
        <v>#VALUE!</v>
      </c>
      <c r="IR213" t="e">
        <f>AND(Bills!L911,"AAAAAH//+vs=")</f>
        <v>#VALUE!</v>
      </c>
      <c r="IS213" t="e">
        <f>AND(Bills!#REF!,"AAAAAH//+vw=")</f>
        <v>#REF!</v>
      </c>
      <c r="IT213" t="e">
        <f>AND(Bills!M911,"AAAAAH//+v0=")</f>
        <v>#VALUE!</v>
      </c>
      <c r="IU213" t="e">
        <f>AND(Bills!N911,"AAAAAH//+v4=")</f>
        <v>#VALUE!</v>
      </c>
      <c r="IV213" t="e">
        <f>AND(Bills!O911,"AAAAAH//+v8=")</f>
        <v>#VALUE!</v>
      </c>
    </row>
    <row r="214" spans="1:256" x14ac:dyDescent="0.25">
      <c r="A214" t="e">
        <f>AND(Bills!P911,"AAAAADf61gA=")</f>
        <v>#VALUE!</v>
      </c>
      <c r="B214" t="e">
        <f>AND(Bills!Q911,"AAAAADf61gE=")</f>
        <v>#VALUE!</v>
      </c>
      <c r="C214" t="e">
        <f>AND(Bills!R911,"AAAAADf61gI=")</f>
        <v>#VALUE!</v>
      </c>
      <c r="D214" t="e">
        <f>AND(Bills!S911,"AAAAADf61gM=")</f>
        <v>#VALUE!</v>
      </c>
      <c r="E214" t="e">
        <f>AND(Bills!T911,"AAAAADf61gQ=")</f>
        <v>#VALUE!</v>
      </c>
      <c r="F214" t="e">
        <f>AND(Bills!#REF!,"AAAAADf61gU=")</f>
        <v>#REF!</v>
      </c>
      <c r="G214" t="e">
        <f>AND(Bills!U911,"AAAAADf61gY=")</f>
        <v>#VALUE!</v>
      </c>
      <c r="H214" t="e">
        <f>AND(Bills!V911,"AAAAADf61gc=")</f>
        <v>#VALUE!</v>
      </c>
      <c r="I214" t="e">
        <f>AND(Bills!W911,"AAAAADf61gg=")</f>
        <v>#VALUE!</v>
      </c>
      <c r="J214" t="e">
        <f>AND(Bills!#REF!,"AAAAADf61gk=")</f>
        <v>#REF!</v>
      </c>
      <c r="K214" t="e">
        <f>AND(Bills!#REF!,"AAAAADf61go=")</f>
        <v>#REF!</v>
      </c>
      <c r="L214" t="e">
        <f>AND(Bills!Y911,"AAAAADf61gs=")</f>
        <v>#VALUE!</v>
      </c>
      <c r="M214" t="e">
        <f>AND(Bills!Z911,"AAAAADf61gw=")</f>
        <v>#VALUE!</v>
      </c>
      <c r="N214" t="e">
        <f>AND(Bills!#REF!,"AAAAADf61g0=")</f>
        <v>#REF!</v>
      </c>
      <c r="O214" t="e">
        <f>AND(Bills!#REF!,"AAAAADf61g4=")</f>
        <v>#REF!</v>
      </c>
      <c r="P214" t="e">
        <f>AND(Bills!#REF!,"AAAAADf61g8=")</f>
        <v>#REF!</v>
      </c>
      <c r="Q214" t="e">
        <f>AND(Bills!#REF!,"AAAAADf61hA=")</f>
        <v>#REF!</v>
      </c>
      <c r="R214" t="e">
        <f>AND(Bills!#REF!,"AAAAADf61hE=")</f>
        <v>#REF!</v>
      </c>
      <c r="S214" t="e">
        <f>AND(Bills!#REF!,"AAAAADf61hI=")</f>
        <v>#REF!</v>
      </c>
      <c r="T214" t="e">
        <f>AND(Bills!#REF!,"AAAAADf61hM=")</f>
        <v>#REF!</v>
      </c>
      <c r="U214" t="e">
        <f>AND(Bills!#REF!,"AAAAADf61hQ=")</f>
        <v>#REF!</v>
      </c>
      <c r="V214" t="e">
        <f>AND(Bills!#REF!,"AAAAADf61hU=")</f>
        <v>#REF!</v>
      </c>
      <c r="W214" t="e">
        <f>AND(Bills!AA911,"AAAAADf61hY=")</f>
        <v>#VALUE!</v>
      </c>
      <c r="X214" t="e">
        <f>AND(Bills!AB911,"AAAAADf61hc=")</f>
        <v>#VALUE!</v>
      </c>
      <c r="Y214" t="e">
        <f>AND(Bills!#REF!,"AAAAADf61hg=")</f>
        <v>#REF!</v>
      </c>
      <c r="Z214" t="e">
        <f>AND(Bills!#REF!,"AAAAADf61hk=")</f>
        <v>#REF!</v>
      </c>
      <c r="AA214" t="e">
        <f>AND(Bills!#REF!,"AAAAADf61ho=")</f>
        <v>#REF!</v>
      </c>
      <c r="AB214" t="e">
        <f>AND(Bills!AC911,"AAAAADf61hs=")</f>
        <v>#VALUE!</v>
      </c>
      <c r="AC214" t="e">
        <f>AND(Bills!AD911,"AAAAADf61hw=")</f>
        <v>#VALUE!</v>
      </c>
      <c r="AD214" t="e">
        <f>AND(Bills!AE911,"AAAAADf61h0=")</f>
        <v>#VALUE!</v>
      </c>
      <c r="AE214" t="e">
        <f>IF(Bills!912:912,"AAAAADf61h4=",0)</f>
        <v>#REF!</v>
      </c>
      <c r="AF214" t="e">
        <f>AND(Bills!B912,"AAAAADf61h8=")</f>
        <v>#VALUE!</v>
      </c>
      <c r="AG214" t="e">
        <f>AND(Bills!#REF!,"AAAAADf61iA=")</f>
        <v>#REF!</v>
      </c>
      <c r="AH214" t="e">
        <f>AND(Bills!C912,"AAAAADf61iE=")</f>
        <v>#VALUE!</v>
      </c>
      <c r="AI214" t="e">
        <f>AND(Bills!D912,"AAAAADf61iI=")</f>
        <v>#VALUE!</v>
      </c>
      <c r="AJ214" t="e">
        <f>AND(Bills!E912,"AAAAADf61iM=")</f>
        <v>#VALUE!</v>
      </c>
      <c r="AK214" t="e">
        <f>AND(Bills!#REF!,"AAAAADf61iQ=")</f>
        <v>#REF!</v>
      </c>
      <c r="AL214" t="e">
        <f>AND(Bills!#REF!,"AAAAADf61iU=")</f>
        <v>#REF!</v>
      </c>
      <c r="AM214" t="e">
        <f>AND(Bills!#REF!,"AAAAADf61iY=")</f>
        <v>#REF!</v>
      </c>
      <c r="AN214" t="e">
        <f>AND(Bills!F912,"AAAAADf61ic=")</f>
        <v>#VALUE!</v>
      </c>
      <c r="AO214" t="e">
        <f>AND(Bills!#REF!,"AAAAADf61ig=")</f>
        <v>#REF!</v>
      </c>
      <c r="AP214" t="e">
        <f>AND(Bills!G912,"AAAAADf61ik=")</f>
        <v>#VALUE!</v>
      </c>
      <c r="AQ214" t="e">
        <f>AND(Bills!H912,"AAAAADf61io=")</f>
        <v>#VALUE!</v>
      </c>
      <c r="AR214" t="e">
        <f>AND(Bills!I912,"AAAAADf61is=")</f>
        <v>#VALUE!</v>
      </c>
      <c r="AS214" t="e">
        <f>AND(Bills!J912,"AAAAADf61iw=")</f>
        <v>#VALUE!</v>
      </c>
      <c r="AT214" t="e">
        <f>AND(Bills!K912,"AAAAADf61i0=")</f>
        <v>#VALUE!</v>
      </c>
      <c r="AU214" t="e">
        <f>AND(Bills!L912,"AAAAADf61i4=")</f>
        <v>#VALUE!</v>
      </c>
      <c r="AV214" t="e">
        <f>AND(Bills!#REF!,"AAAAADf61i8=")</f>
        <v>#REF!</v>
      </c>
      <c r="AW214" t="e">
        <f>AND(Bills!M912,"AAAAADf61jA=")</f>
        <v>#VALUE!</v>
      </c>
      <c r="AX214" t="e">
        <f>AND(Bills!N912,"AAAAADf61jE=")</f>
        <v>#VALUE!</v>
      </c>
      <c r="AY214" t="e">
        <f>AND(Bills!O912,"AAAAADf61jI=")</f>
        <v>#VALUE!</v>
      </c>
      <c r="AZ214" t="e">
        <f>AND(Bills!P912,"AAAAADf61jM=")</f>
        <v>#VALUE!</v>
      </c>
      <c r="BA214" t="e">
        <f>AND(Bills!Q912,"AAAAADf61jQ=")</f>
        <v>#VALUE!</v>
      </c>
      <c r="BB214" t="e">
        <f>AND(Bills!R912,"AAAAADf61jU=")</f>
        <v>#VALUE!</v>
      </c>
      <c r="BC214" t="e">
        <f>AND(Bills!S912,"AAAAADf61jY=")</f>
        <v>#VALUE!</v>
      </c>
      <c r="BD214" t="e">
        <f>AND(Bills!T912,"AAAAADf61jc=")</f>
        <v>#VALUE!</v>
      </c>
      <c r="BE214" t="e">
        <f>AND(Bills!#REF!,"AAAAADf61jg=")</f>
        <v>#REF!</v>
      </c>
      <c r="BF214" t="e">
        <f>AND(Bills!U912,"AAAAADf61jk=")</f>
        <v>#VALUE!</v>
      </c>
      <c r="BG214" t="e">
        <f>AND(Bills!V912,"AAAAADf61jo=")</f>
        <v>#VALUE!</v>
      </c>
      <c r="BH214" t="e">
        <f>AND(Bills!W912,"AAAAADf61js=")</f>
        <v>#VALUE!</v>
      </c>
      <c r="BI214" t="e">
        <f>AND(Bills!#REF!,"AAAAADf61jw=")</f>
        <v>#REF!</v>
      </c>
      <c r="BJ214" t="e">
        <f>AND(Bills!#REF!,"AAAAADf61j0=")</f>
        <v>#REF!</v>
      </c>
      <c r="BK214" t="e">
        <f>AND(Bills!Y912,"AAAAADf61j4=")</f>
        <v>#VALUE!</v>
      </c>
      <c r="BL214" t="e">
        <f>AND(Bills!Z912,"AAAAADf61j8=")</f>
        <v>#VALUE!</v>
      </c>
      <c r="BM214" t="e">
        <f>AND(Bills!#REF!,"AAAAADf61kA=")</f>
        <v>#REF!</v>
      </c>
      <c r="BN214" t="e">
        <f>AND(Bills!#REF!,"AAAAADf61kE=")</f>
        <v>#REF!</v>
      </c>
      <c r="BO214" t="e">
        <f>AND(Bills!#REF!,"AAAAADf61kI=")</f>
        <v>#REF!</v>
      </c>
      <c r="BP214" t="e">
        <f>AND(Bills!#REF!,"AAAAADf61kM=")</f>
        <v>#REF!</v>
      </c>
      <c r="BQ214" t="e">
        <f>AND(Bills!#REF!,"AAAAADf61kQ=")</f>
        <v>#REF!</v>
      </c>
      <c r="BR214" t="e">
        <f>AND(Bills!#REF!,"AAAAADf61kU=")</f>
        <v>#REF!</v>
      </c>
      <c r="BS214" t="e">
        <f>AND(Bills!#REF!,"AAAAADf61kY=")</f>
        <v>#REF!</v>
      </c>
      <c r="BT214" t="e">
        <f>AND(Bills!#REF!,"AAAAADf61kc=")</f>
        <v>#REF!</v>
      </c>
      <c r="BU214" t="e">
        <f>AND(Bills!#REF!,"AAAAADf61kg=")</f>
        <v>#REF!</v>
      </c>
      <c r="BV214" t="e">
        <f>AND(Bills!AA912,"AAAAADf61kk=")</f>
        <v>#VALUE!</v>
      </c>
      <c r="BW214" t="e">
        <f>AND(Bills!AB912,"AAAAADf61ko=")</f>
        <v>#VALUE!</v>
      </c>
      <c r="BX214" t="e">
        <f>AND(Bills!#REF!,"AAAAADf61ks=")</f>
        <v>#REF!</v>
      </c>
      <c r="BY214" t="e">
        <f>AND(Bills!#REF!,"AAAAADf61kw=")</f>
        <v>#REF!</v>
      </c>
      <c r="BZ214" t="e">
        <f>AND(Bills!#REF!,"AAAAADf61k0=")</f>
        <v>#REF!</v>
      </c>
      <c r="CA214" t="e">
        <f>AND(Bills!AC912,"AAAAADf61k4=")</f>
        <v>#VALUE!</v>
      </c>
      <c r="CB214" t="e">
        <f>AND(Bills!AD912,"AAAAADf61k8=")</f>
        <v>#VALUE!</v>
      </c>
      <c r="CC214" t="e">
        <f>AND(Bills!AE912,"AAAAADf61lA=")</f>
        <v>#VALUE!</v>
      </c>
      <c r="CD214">
        <f>IF(Bills!913:913,"AAAAADf61lE=",0)</f>
        <v>0</v>
      </c>
      <c r="CE214" t="e">
        <f>AND(Bills!B913,"AAAAADf61lI=")</f>
        <v>#VALUE!</v>
      </c>
      <c r="CF214" t="e">
        <f>AND(Bills!#REF!,"AAAAADf61lM=")</f>
        <v>#REF!</v>
      </c>
      <c r="CG214" t="e">
        <f>AND(Bills!C913,"AAAAADf61lQ=")</f>
        <v>#VALUE!</v>
      </c>
      <c r="CH214" t="e">
        <f>AND(Bills!D913,"AAAAADf61lU=")</f>
        <v>#VALUE!</v>
      </c>
      <c r="CI214" t="e">
        <f>AND(Bills!E913,"AAAAADf61lY=")</f>
        <v>#VALUE!</v>
      </c>
      <c r="CJ214" t="e">
        <f>AND(Bills!#REF!,"AAAAADf61lc=")</f>
        <v>#REF!</v>
      </c>
      <c r="CK214" t="e">
        <f>AND(Bills!#REF!,"AAAAADf61lg=")</f>
        <v>#REF!</v>
      </c>
      <c r="CL214" t="e">
        <f>AND(Bills!#REF!,"AAAAADf61lk=")</f>
        <v>#REF!</v>
      </c>
      <c r="CM214" t="e">
        <f>AND(Bills!F913,"AAAAADf61lo=")</f>
        <v>#VALUE!</v>
      </c>
      <c r="CN214" t="e">
        <f>AND(Bills!#REF!,"AAAAADf61ls=")</f>
        <v>#REF!</v>
      </c>
      <c r="CO214" t="e">
        <f>AND(Bills!G913,"AAAAADf61lw=")</f>
        <v>#VALUE!</v>
      </c>
      <c r="CP214" t="e">
        <f>AND(Bills!H913,"AAAAADf61l0=")</f>
        <v>#VALUE!</v>
      </c>
      <c r="CQ214" t="e">
        <f>AND(Bills!I913,"AAAAADf61l4=")</f>
        <v>#VALUE!</v>
      </c>
      <c r="CR214" t="e">
        <f>AND(Bills!J913,"AAAAADf61l8=")</f>
        <v>#VALUE!</v>
      </c>
      <c r="CS214" t="e">
        <f>AND(Bills!K913,"AAAAADf61mA=")</f>
        <v>#VALUE!</v>
      </c>
      <c r="CT214" t="e">
        <f>AND(Bills!L913,"AAAAADf61mE=")</f>
        <v>#VALUE!</v>
      </c>
      <c r="CU214" t="e">
        <f>AND(Bills!#REF!,"AAAAADf61mI=")</f>
        <v>#REF!</v>
      </c>
      <c r="CV214" t="e">
        <f>AND(Bills!M913,"AAAAADf61mM=")</f>
        <v>#VALUE!</v>
      </c>
      <c r="CW214" t="e">
        <f>AND(Bills!N913,"AAAAADf61mQ=")</f>
        <v>#VALUE!</v>
      </c>
      <c r="CX214" t="e">
        <f>AND(Bills!O913,"AAAAADf61mU=")</f>
        <v>#VALUE!</v>
      </c>
      <c r="CY214" t="e">
        <f>AND(Bills!P913,"AAAAADf61mY=")</f>
        <v>#VALUE!</v>
      </c>
      <c r="CZ214" t="e">
        <f>AND(Bills!Q913,"AAAAADf61mc=")</f>
        <v>#VALUE!</v>
      </c>
      <c r="DA214" t="e">
        <f>AND(Bills!R913,"AAAAADf61mg=")</f>
        <v>#VALUE!</v>
      </c>
      <c r="DB214" t="e">
        <f>AND(Bills!S913,"AAAAADf61mk=")</f>
        <v>#VALUE!</v>
      </c>
      <c r="DC214" t="e">
        <f>AND(Bills!T913,"AAAAADf61mo=")</f>
        <v>#VALUE!</v>
      </c>
      <c r="DD214" t="e">
        <f>AND(Bills!#REF!,"AAAAADf61ms=")</f>
        <v>#REF!</v>
      </c>
      <c r="DE214" t="e">
        <f>AND(Bills!U913,"AAAAADf61mw=")</f>
        <v>#VALUE!</v>
      </c>
      <c r="DF214" t="e">
        <f>AND(Bills!V913,"AAAAADf61m0=")</f>
        <v>#VALUE!</v>
      </c>
      <c r="DG214" t="e">
        <f>AND(Bills!W913,"AAAAADf61m4=")</f>
        <v>#VALUE!</v>
      </c>
      <c r="DH214" t="e">
        <f>AND(Bills!#REF!,"AAAAADf61m8=")</f>
        <v>#REF!</v>
      </c>
      <c r="DI214" t="e">
        <f>AND(Bills!#REF!,"AAAAADf61nA=")</f>
        <v>#REF!</v>
      </c>
      <c r="DJ214" t="e">
        <f>AND(Bills!Y913,"AAAAADf61nE=")</f>
        <v>#VALUE!</v>
      </c>
      <c r="DK214" t="e">
        <f>AND(Bills!Z913,"AAAAADf61nI=")</f>
        <v>#VALUE!</v>
      </c>
      <c r="DL214" t="e">
        <f>AND(Bills!#REF!,"AAAAADf61nM=")</f>
        <v>#REF!</v>
      </c>
      <c r="DM214" t="e">
        <f>AND(Bills!#REF!,"AAAAADf61nQ=")</f>
        <v>#REF!</v>
      </c>
      <c r="DN214" t="e">
        <f>AND(Bills!#REF!,"AAAAADf61nU=")</f>
        <v>#REF!</v>
      </c>
      <c r="DO214" t="e">
        <f>AND(Bills!#REF!,"AAAAADf61nY=")</f>
        <v>#REF!</v>
      </c>
      <c r="DP214" t="e">
        <f>AND(Bills!#REF!,"AAAAADf61nc=")</f>
        <v>#REF!</v>
      </c>
      <c r="DQ214" t="e">
        <f>AND(Bills!#REF!,"AAAAADf61ng=")</f>
        <v>#REF!</v>
      </c>
      <c r="DR214" t="e">
        <f>AND(Bills!#REF!,"AAAAADf61nk=")</f>
        <v>#REF!</v>
      </c>
      <c r="DS214" t="e">
        <f>AND(Bills!#REF!,"AAAAADf61no=")</f>
        <v>#REF!</v>
      </c>
      <c r="DT214" t="e">
        <f>AND(Bills!#REF!,"AAAAADf61ns=")</f>
        <v>#REF!</v>
      </c>
      <c r="DU214" t="e">
        <f>AND(Bills!AA913,"AAAAADf61nw=")</f>
        <v>#VALUE!</v>
      </c>
      <c r="DV214" t="e">
        <f>AND(Bills!AB913,"AAAAADf61n0=")</f>
        <v>#VALUE!</v>
      </c>
      <c r="DW214" t="e">
        <f>AND(Bills!#REF!,"AAAAADf61n4=")</f>
        <v>#REF!</v>
      </c>
      <c r="DX214" t="e">
        <f>AND(Bills!#REF!,"AAAAADf61n8=")</f>
        <v>#REF!</v>
      </c>
      <c r="DY214" t="e">
        <f>AND(Bills!#REF!,"AAAAADf61oA=")</f>
        <v>#REF!</v>
      </c>
      <c r="DZ214" t="e">
        <f>AND(Bills!AC913,"AAAAADf61oE=")</f>
        <v>#VALUE!</v>
      </c>
      <c r="EA214" t="e">
        <f>AND(Bills!AD913,"AAAAADf61oI=")</f>
        <v>#VALUE!</v>
      </c>
      <c r="EB214" t="e">
        <f>AND(Bills!AE913,"AAAAADf61oM=")</f>
        <v>#VALUE!</v>
      </c>
      <c r="EC214">
        <f>IF(Bills!914:914,"AAAAADf61oQ=",0)</f>
        <v>0</v>
      </c>
      <c r="ED214" t="e">
        <f>AND(Bills!B914,"AAAAADf61oU=")</f>
        <v>#VALUE!</v>
      </c>
      <c r="EE214" t="e">
        <f>AND(Bills!#REF!,"AAAAADf61oY=")</f>
        <v>#REF!</v>
      </c>
      <c r="EF214" t="e">
        <f>AND(Bills!C914,"AAAAADf61oc=")</f>
        <v>#VALUE!</v>
      </c>
      <c r="EG214" t="e">
        <f>AND(Bills!D914,"AAAAADf61og=")</f>
        <v>#VALUE!</v>
      </c>
      <c r="EH214" t="e">
        <f>AND(Bills!E914,"AAAAADf61ok=")</f>
        <v>#VALUE!</v>
      </c>
      <c r="EI214" t="e">
        <f>AND(Bills!#REF!,"AAAAADf61oo=")</f>
        <v>#REF!</v>
      </c>
      <c r="EJ214" t="e">
        <f>AND(Bills!#REF!,"AAAAADf61os=")</f>
        <v>#REF!</v>
      </c>
      <c r="EK214" t="e">
        <f>AND(Bills!#REF!,"AAAAADf61ow=")</f>
        <v>#REF!</v>
      </c>
      <c r="EL214" t="e">
        <f>AND(Bills!F914,"AAAAADf61o0=")</f>
        <v>#VALUE!</v>
      </c>
      <c r="EM214" t="e">
        <f>AND(Bills!#REF!,"AAAAADf61o4=")</f>
        <v>#REF!</v>
      </c>
      <c r="EN214" t="e">
        <f>AND(Bills!G914,"AAAAADf61o8=")</f>
        <v>#VALUE!</v>
      </c>
      <c r="EO214" t="e">
        <f>AND(Bills!H914,"AAAAADf61pA=")</f>
        <v>#VALUE!</v>
      </c>
      <c r="EP214" t="e">
        <f>AND(Bills!I914,"AAAAADf61pE=")</f>
        <v>#VALUE!</v>
      </c>
      <c r="EQ214" t="e">
        <f>AND(Bills!J914,"AAAAADf61pI=")</f>
        <v>#VALUE!</v>
      </c>
      <c r="ER214" t="e">
        <f>AND(Bills!K914,"AAAAADf61pM=")</f>
        <v>#VALUE!</v>
      </c>
      <c r="ES214" t="e">
        <f>AND(Bills!L914,"AAAAADf61pQ=")</f>
        <v>#VALUE!</v>
      </c>
      <c r="ET214" t="e">
        <f>AND(Bills!#REF!,"AAAAADf61pU=")</f>
        <v>#REF!</v>
      </c>
      <c r="EU214" t="e">
        <f>AND(Bills!M914,"AAAAADf61pY=")</f>
        <v>#VALUE!</v>
      </c>
      <c r="EV214" t="e">
        <f>AND(Bills!N914,"AAAAADf61pc=")</f>
        <v>#VALUE!</v>
      </c>
      <c r="EW214" t="e">
        <f>AND(Bills!O914,"AAAAADf61pg=")</f>
        <v>#VALUE!</v>
      </c>
      <c r="EX214" t="e">
        <f>AND(Bills!P914,"AAAAADf61pk=")</f>
        <v>#VALUE!</v>
      </c>
      <c r="EY214" t="e">
        <f>AND(Bills!Q914,"AAAAADf61po=")</f>
        <v>#VALUE!</v>
      </c>
      <c r="EZ214" t="e">
        <f>AND(Bills!R914,"AAAAADf61ps=")</f>
        <v>#VALUE!</v>
      </c>
      <c r="FA214" t="e">
        <f>AND(Bills!S914,"AAAAADf61pw=")</f>
        <v>#VALUE!</v>
      </c>
      <c r="FB214" t="e">
        <f>AND(Bills!T914,"AAAAADf61p0=")</f>
        <v>#VALUE!</v>
      </c>
      <c r="FC214" t="e">
        <f>AND(Bills!#REF!,"AAAAADf61p4=")</f>
        <v>#REF!</v>
      </c>
      <c r="FD214" t="e">
        <f>AND(Bills!U914,"AAAAADf61p8=")</f>
        <v>#VALUE!</v>
      </c>
      <c r="FE214" t="e">
        <f>AND(Bills!V914,"AAAAADf61qA=")</f>
        <v>#VALUE!</v>
      </c>
      <c r="FF214" t="e">
        <f>AND(Bills!W914,"AAAAADf61qE=")</f>
        <v>#VALUE!</v>
      </c>
      <c r="FG214" t="e">
        <f>AND(Bills!#REF!,"AAAAADf61qI=")</f>
        <v>#REF!</v>
      </c>
      <c r="FH214" t="e">
        <f>AND(Bills!#REF!,"AAAAADf61qM=")</f>
        <v>#REF!</v>
      </c>
      <c r="FI214" t="e">
        <f>AND(Bills!Y914,"AAAAADf61qQ=")</f>
        <v>#VALUE!</v>
      </c>
      <c r="FJ214" t="e">
        <f>AND(Bills!Z914,"AAAAADf61qU=")</f>
        <v>#VALUE!</v>
      </c>
      <c r="FK214" t="e">
        <f>AND(Bills!#REF!,"AAAAADf61qY=")</f>
        <v>#REF!</v>
      </c>
      <c r="FL214" t="e">
        <f>AND(Bills!#REF!,"AAAAADf61qc=")</f>
        <v>#REF!</v>
      </c>
      <c r="FM214" t="e">
        <f>AND(Bills!#REF!,"AAAAADf61qg=")</f>
        <v>#REF!</v>
      </c>
      <c r="FN214" t="e">
        <f>AND(Bills!#REF!,"AAAAADf61qk=")</f>
        <v>#REF!</v>
      </c>
      <c r="FO214" t="e">
        <f>AND(Bills!#REF!,"AAAAADf61qo=")</f>
        <v>#REF!</v>
      </c>
      <c r="FP214" t="e">
        <f>AND(Bills!#REF!,"AAAAADf61qs=")</f>
        <v>#REF!</v>
      </c>
      <c r="FQ214" t="e">
        <f>AND(Bills!#REF!,"AAAAADf61qw=")</f>
        <v>#REF!</v>
      </c>
      <c r="FR214" t="e">
        <f>AND(Bills!#REF!,"AAAAADf61q0=")</f>
        <v>#REF!</v>
      </c>
      <c r="FS214" t="e">
        <f>AND(Bills!#REF!,"AAAAADf61q4=")</f>
        <v>#REF!</v>
      </c>
      <c r="FT214" t="e">
        <f>AND(Bills!AA914,"AAAAADf61q8=")</f>
        <v>#VALUE!</v>
      </c>
      <c r="FU214" t="e">
        <f>AND(Bills!AB914,"AAAAADf61rA=")</f>
        <v>#VALUE!</v>
      </c>
      <c r="FV214" t="e">
        <f>AND(Bills!#REF!,"AAAAADf61rE=")</f>
        <v>#REF!</v>
      </c>
      <c r="FW214" t="e">
        <f>AND(Bills!#REF!,"AAAAADf61rI=")</f>
        <v>#REF!</v>
      </c>
      <c r="FX214" t="e">
        <f>AND(Bills!#REF!,"AAAAADf61rM=")</f>
        <v>#REF!</v>
      </c>
      <c r="FY214" t="e">
        <f>AND(Bills!AC914,"AAAAADf61rQ=")</f>
        <v>#VALUE!</v>
      </c>
      <c r="FZ214" t="e">
        <f>AND(Bills!AD914,"AAAAADf61rU=")</f>
        <v>#VALUE!</v>
      </c>
      <c r="GA214" t="e">
        <f>AND(Bills!AE914,"AAAAADf61rY=")</f>
        <v>#VALUE!</v>
      </c>
      <c r="GB214">
        <f>IF(Bills!915:915,"AAAAADf61rc=",0)</f>
        <v>0</v>
      </c>
      <c r="GC214" t="e">
        <f>AND(Bills!B915,"AAAAADf61rg=")</f>
        <v>#VALUE!</v>
      </c>
      <c r="GD214" t="e">
        <f>AND(Bills!#REF!,"AAAAADf61rk=")</f>
        <v>#REF!</v>
      </c>
      <c r="GE214" t="e">
        <f>AND(Bills!C915,"AAAAADf61ro=")</f>
        <v>#VALUE!</v>
      </c>
      <c r="GF214" t="e">
        <f>AND(Bills!D915,"AAAAADf61rs=")</f>
        <v>#VALUE!</v>
      </c>
      <c r="GG214" t="e">
        <f>AND(Bills!E915,"AAAAADf61rw=")</f>
        <v>#VALUE!</v>
      </c>
      <c r="GH214" t="e">
        <f>AND(Bills!#REF!,"AAAAADf61r0=")</f>
        <v>#REF!</v>
      </c>
      <c r="GI214" t="e">
        <f>AND(Bills!#REF!,"AAAAADf61r4=")</f>
        <v>#REF!</v>
      </c>
      <c r="GJ214" t="e">
        <f>AND(Bills!#REF!,"AAAAADf61r8=")</f>
        <v>#REF!</v>
      </c>
      <c r="GK214" t="e">
        <f>AND(Bills!F915,"AAAAADf61sA=")</f>
        <v>#VALUE!</v>
      </c>
      <c r="GL214" t="e">
        <f>AND(Bills!#REF!,"AAAAADf61sE=")</f>
        <v>#REF!</v>
      </c>
      <c r="GM214" t="e">
        <f>AND(Bills!G915,"AAAAADf61sI=")</f>
        <v>#VALUE!</v>
      </c>
      <c r="GN214" t="e">
        <f>AND(Bills!H915,"AAAAADf61sM=")</f>
        <v>#VALUE!</v>
      </c>
      <c r="GO214" t="e">
        <f>AND(Bills!I915,"AAAAADf61sQ=")</f>
        <v>#VALUE!</v>
      </c>
      <c r="GP214" t="e">
        <f>AND(Bills!J915,"AAAAADf61sU=")</f>
        <v>#VALUE!</v>
      </c>
      <c r="GQ214" t="e">
        <f>AND(Bills!K915,"AAAAADf61sY=")</f>
        <v>#VALUE!</v>
      </c>
      <c r="GR214" t="e">
        <f>AND(Bills!L915,"AAAAADf61sc=")</f>
        <v>#VALUE!</v>
      </c>
      <c r="GS214" t="e">
        <f>AND(Bills!#REF!,"AAAAADf61sg=")</f>
        <v>#REF!</v>
      </c>
      <c r="GT214" t="e">
        <f>AND(Bills!M915,"AAAAADf61sk=")</f>
        <v>#VALUE!</v>
      </c>
      <c r="GU214" t="e">
        <f>AND(Bills!N915,"AAAAADf61so=")</f>
        <v>#VALUE!</v>
      </c>
      <c r="GV214" t="e">
        <f>AND(Bills!O915,"AAAAADf61ss=")</f>
        <v>#VALUE!</v>
      </c>
      <c r="GW214" t="e">
        <f>AND(Bills!P915,"AAAAADf61sw=")</f>
        <v>#VALUE!</v>
      </c>
      <c r="GX214" t="e">
        <f>AND(Bills!Q915,"AAAAADf61s0=")</f>
        <v>#VALUE!</v>
      </c>
      <c r="GY214" t="e">
        <f>AND(Bills!R915,"AAAAADf61s4=")</f>
        <v>#VALUE!</v>
      </c>
      <c r="GZ214" t="e">
        <f>AND(Bills!S915,"AAAAADf61s8=")</f>
        <v>#VALUE!</v>
      </c>
      <c r="HA214" t="e">
        <f>AND(Bills!T915,"AAAAADf61tA=")</f>
        <v>#VALUE!</v>
      </c>
      <c r="HB214" t="e">
        <f>AND(Bills!#REF!,"AAAAADf61tE=")</f>
        <v>#REF!</v>
      </c>
      <c r="HC214" t="e">
        <f>AND(Bills!U915,"AAAAADf61tI=")</f>
        <v>#VALUE!</v>
      </c>
      <c r="HD214" t="e">
        <f>AND(Bills!V915,"AAAAADf61tM=")</f>
        <v>#VALUE!</v>
      </c>
      <c r="HE214" t="e">
        <f>AND(Bills!W915,"AAAAADf61tQ=")</f>
        <v>#VALUE!</v>
      </c>
      <c r="HF214" t="e">
        <f>AND(Bills!#REF!,"AAAAADf61tU=")</f>
        <v>#REF!</v>
      </c>
      <c r="HG214" t="e">
        <f>AND(Bills!#REF!,"AAAAADf61tY=")</f>
        <v>#REF!</v>
      </c>
      <c r="HH214" t="e">
        <f>AND(Bills!Y915,"AAAAADf61tc=")</f>
        <v>#VALUE!</v>
      </c>
      <c r="HI214" t="e">
        <f>AND(Bills!Z915,"AAAAADf61tg=")</f>
        <v>#VALUE!</v>
      </c>
      <c r="HJ214" t="e">
        <f>AND(Bills!#REF!,"AAAAADf61tk=")</f>
        <v>#REF!</v>
      </c>
      <c r="HK214" t="e">
        <f>AND(Bills!#REF!,"AAAAADf61to=")</f>
        <v>#REF!</v>
      </c>
      <c r="HL214" t="e">
        <f>AND(Bills!#REF!,"AAAAADf61ts=")</f>
        <v>#REF!</v>
      </c>
      <c r="HM214" t="e">
        <f>AND(Bills!#REF!,"AAAAADf61tw=")</f>
        <v>#REF!</v>
      </c>
      <c r="HN214" t="e">
        <f>AND(Bills!#REF!,"AAAAADf61t0=")</f>
        <v>#REF!</v>
      </c>
      <c r="HO214" t="e">
        <f>AND(Bills!#REF!,"AAAAADf61t4=")</f>
        <v>#REF!</v>
      </c>
      <c r="HP214" t="e">
        <f>AND(Bills!#REF!,"AAAAADf61t8=")</f>
        <v>#REF!</v>
      </c>
      <c r="HQ214" t="e">
        <f>AND(Bills!#REF!,"AAAAADf61uA=")</f>
        <v>#REF!</v>
      </c>
      <c r="HR214" t="e">
        <f>AND(Bills!#REF!,"AAAAADf61uE=")</f>
        <v>#REF!</v>
      </c>
      <c r="HS214" t="e">
        <f>AND(Bills!AA915,"AAAAADf61uI=")</f>
        <v>#VALUE!</v>
      </c>
      <c r="HT214" t="e">
        <f>AND(Bills!AB915,"AAAAADf61uM=")</f>
        <v>#VALUE!</v>
      </c>
      <c r="HU214" t="e">
        <f>AND(Bills!#REF!,"AAAAADf61uQ=")</f>
        <v>#REF!</v>
      </c>
      <c r="HV214" t="e">
        <f>AND(Bills!#REF!,"AAAAADf61uU=")</f>
        <v>#REF!</v>
      </c>
      <c r="HW214" t="e">
        <f>AND(Bills!#REF!,"AAAAADf61uY=")</f>
        <v>#REF!</v>
      </c>
      <c r="HX214" t="e">
        <f>AND(Bills!AC915,"AAAAADf61uc=")</f>
        <v>#VALUE!</v>
      </c>
      <c r="HY214" t="e">
        <f>AND(Bills!AD915,"AAAAADf61ug=")</f>
        <v>#VALUE!</v>
      </c>
      <c r="HZ214" t="e">
        <f>AND(Bills!AE915,"AAAAADf61uk=")</f>
        <v>#VALUE!</v>
      </c>
      <c r="IA214">
        <f>IF(Bills!916:916,"AAAAADf61uo=",0)</f>
        <v>0</v>
      </c>
      <c r="IB214" t="e">
        <f>AND(Bills!B916,"AAAAADf61us=")</f>
        <v>#VALUE!</v>
      </c>
      <c r="IC214" t="e">
        <f>AND(Bills!#REF!,"AAAAADf61uw=")</f>
        <v>#REF!</v>
      </c>
      <c r="ID214" t="e">
        <f>AND(Bills!C916,"AAAAADf61u0=")</f>
        <v>#VALUE!</v>
      </c>
      <c r="IE214" t="e">
        <f>AND(Bills!D916,"AAAAADf61u4=")</f>
        <v>#VALUE!</v>
      </c>
      <c r="IF214" t="e">
        <f>AND(Bills!E916,"AAAAADf61u8=")</f>
        <v>#VALUE!</v>
      </c>
      <c r="IG214" t="e">
        <f>AND(Bills!#REF!,"AAAAADf61vA=")</f>
        <v>#REF!</v>
      </c>
      <c r="IH214" t="e">
        <f>AND(Bills!#REF!,"AAAAADf61vE=")</f>
        <v>#REF!</v>
      </c>
      <c r="II214" t="e">
        <f>AND(Bills!#REF!,"AAAAADf61vI=")</f>
        <v>#REF!</v>
      </c>
      <c r="IJ214" t="e">
        <f>AND(Bills!F916,"AAAAADf61vM=")</f>
        <v>#VALUE!</v>
      </c>
      <c r="IK214" t="e">
        <f>AND(Bills!#REF!,"AAAAADf61vQ=")</f>
        <v>#REF!</v>
      </c>
      <c r="IL214" t="e">
        <f>AND(Bills!G916,"AAAAADf61vU=")</f>
        <v>#VALUE!</v>
      </c>
      <c r="IM214" t="e">
        <f>AND(Bills!H916,"AAAAADf61vY=")</f>
        <v>#VALUE!</v>
      </c>
      <c r="IN214" t="e">
        <f>AND(Bills!I916,"AAAAADf61vc=")</f>
        <v>#VALUE!</v>
      </c>
      <c r="IO214" t="e">
        <f>AND(Bills!J916,"AAAAADf61vg=")</f>
        <v>#VALUE!</v>
      </c>
      <c r="IP214" t="e">
        <f>AND(Bills!K916,"AAAAADf61vk=")</f>
        <v>#VALUE!</v>
      </c>
      <c r="IQ214" t="e">
        <f>AND(Bills!L916,"AAAAADf61vo=")</f>
        <v>#VALUE!</v>
      </c>
      <c r="IR214" t="e">
        <f>AND(Bills!#REF!,"AAAAADf61vs=")</f>
        <v>#REF!</v>
      </c>
      <c r="IS214" t="e">
        <f>AND(Bills!M916,"AAAAADf61vw=")</f>
        <v>#VALUE!</v>
      </c>
      <c r="IT214" t="e">
        <f>AND(Bills!N916,"AAAAADf61v0=")</f>
        <v>#VALUE!</v>
      </c>
      <c r="IU214" t="e">
        <f>AND(Bills!O916,"AAAAADf61v4=")</f>
        <v>#VALUE!</v>
      </c>
      <c r="IV214" t="e">
        <f>AND(Bills!P916,"AAAAADf61v8=")</f>
        <v>#VALUE!</v>
      </c>
    </row>
    <row r="215" spans="1:256" x14ac:dyDescent="0.25">
      <c r="A215" t="e">
        <f>AND(Bills!Q916,"AAAAACT++wA=")</f>
        <v>#VALUE!</v>
      </c>
      <c r="B215" t="e">
        <f>AND(Bills!R916,"AAAAACT++wE=")</f>
        <v>#VALUE!</v>
      </c>
      <c r="C215" t="e">
        <f>AND(Bills!S916,"AAAAACT++wI=")</f>
        <v>#VALUE!</v>
      </c>
      <c r="D215" t="e">
        <f>AND(Bills!T916,"AAAAACT++wM=")</f>
        <v>#VALUE!</v>
      </c>
      <c r="E215" t="e">
        <f>AND(Bills!#REF!,"AAAAACT++wQ=")</f>
        <v>#REF!</v>
      </c>
      <c r="F215" t="e">
        <f>AND(Bills!U916,"AAAAACT++wU=")</f>
        <v>#VALUE!</v>
      </c>
      <c r="G215" t="e">
        <f>AND(Bills!V916,"AAAAACT++wY=")</f>
        <v>#VALUE!</v>
      </c>
      <c r="H215" t="e">
        <f>AND(Bills!W916,"AAAAACT++wc=")</f>
        <v>#VALUE!</v>
      </c>
      <c r="I215" t="e">
        <f>AND(Bills!#REF!,"AAAAACT++wg=")</f>
        <v>#REF!</v>
      </c>
      <c r="J215" t="e">
        <f>AND(Bills!#REF!,"AAAAACT++wk=")</f>
        <v>#REF!</v>
      </c>
      <c r="K215" t="e">
        <f>AND(Bills!Y916,"AAAAACT++wo=")</f>
        <v>#VALUE!</v>
      </c>
      <c r="L215" t="e">
        <f>AND(Bills!Z916,"AAAAACT++ws=")</f>
        <v>#VALUE!</v>
      </c>
      <c r="M215" t="e">
        <f>AND(Bills!#REF!,"AAAAACT++ww=")</f>
        <v>#REF!</v>
      </c>
      <c r="N215" t="e">
        <f>AND(Bills!#REF!,"AAAAACT++w0=")</f>
        <v>#REF!</v>
      </c>
      <c r="O215" t="e">
        <f>AND(Bills!#REF!,"AAAAACT++w4=")</f>
        <v>#REF!</v>
      </c>
      <c r="P215" t="e">
        <f>AND(Bills!#REF!,"AAAAACT++w8=")</f>
        <v>#REF!</v>
      </c>
      <c r="Q215" t="e">
        <f>AND(Bills!#REF!,"AAAAACT++xA=")</f>
        <v>#REF!</v>
      </c>
      <c r="R215" t="e">
        <f>AND(Bills!#REF!,"AAAAACT++xE=")</f>
        <v>#REF!</v>
      </c>
      <c r="S215" t="e">
        <f>AND(Bills!#REF!,"AAAAACT++xI=")</f>
        <v>#REF!</v>
      </c>
      <c r="T215" t="e">
        <f>AND(Bills!#REF!,"AAAAACT++xM=")</f>
        <v>#REF!</v>
      </c>
      <c r="U215" t="e">
        <f>AND(Bills!#REF!,"AAAAACT++xQ=")</f>
        <v>#REF!</v>
      </c>
      <c r="V215" t="e">
        <f>AND(Bills!AA916,"AAAAACT++xU=")</f>
        <v>#VALUE!</v>
      </c>
      <c r="W215" t="e">
        <f>AND(Bills!AB916,"AAAAACT++xY=")</f>
        <v>#VALUE!</v>
      </c>
      <c r="X215" t="e">
        <f>AND(Bills!#REF!,"AAAAACT++xc=")</f>
        <v>#REF!</v>
      </c>
      <c r="Y215" t="e">
        <f>AND(Bills!#REF!,"AAAAACT++xg=")</f>
        <v>#REF!</v>
      </c>
      <c r="Z215" t="e">
        <f>AND(Bills!#REF!,"AAAAACT++xk=")</f>
        <v>#REF!</v>
      </c>
      <c r="AA215" t="e">
        <f>AND(Bills!AC916,"AAAAACT++xo=")</f>
        <v>#VALUE!</v>
      </c>
      <c r="AB215" t="e">
        <f>AND(Bills!AD916,"AAAAACT++xs=")</f>
        <v>#VALUE!</v>
      </c>
      <c r="AC215" t="e">
        <f>AND(Bills!AE916,"AAAAACT++xw=")</f>
        <v>#VALUE!</v>
      </c>
      <c r="AD215">
        <f>IF(Bills!917:917,"AAAAACT++x0=",0)</f>
        <v>0</v>
      </c>
      <c r="AE215" t="e">
        <f>AND(Bills!B917,"AAAAACT++x4=")</f>
        <v>#VALUE!</v>
      </c>
      <c r="AF215" t="e">
        <f>AND(Bills!#REF!,"AAAAACT++x8=")</f>
        <v>#REF!</v>
      </c>
      <c r="AG215" t="e">
        <f>AND(Bills!C917,"AAAAACT++yA=")</f>
        <v>#VALUE!</v>
      </c>
      <c r="AH215" t="e">
        <f>AND(Bills!D917,"AAAAACT++yE=")</f>
        <v>#VALUE!</v>
      </c>
      <c r="AI215" t="e">
        <f>AND(Bills!E917,"AAAAACT++yI=")</f>
        <v>#VALUE!</v>
      </c>
      <c r="AJ215" t="e">
        <f>AND(Bills!#REF!,"AAAAACT++yM=")</f>
        <v>#REF!</v>
      </c>
      <c r="AK215" t="e">
        <f>AND(Bills!#REF!,"AAAAACT++yQ=")</f>
        <v>#REF!</v>
      </c>
      <c r="AL215" t="e">
        <f>AND(Bills!#REF!,"AAAAACT++yU=")</f>
        <v>#REF!</v>
      </c>
      <c r="AM215" t="e">
        <f>AND(Bills!F917,"AAAAACT++yY=")</f>
        <v>#VALUE!</v>
      </c>
      <c r="AN215" t="e">
        <f>AND(Bills!#REF!,"AAAAACT++yc=")</f>
        <v>#REF!</v>
      </c>
      <c r="AO215" t="e">
        <f>AND(Bills!G917,"AAAAACT++yg=")</f>
        <v>#VALUE!</v>
      </c>
      <c r="AP215" t="e">
        <f>AND(Bills!H917,"AAAAACT++yk=")</f>
        <v>#VALUE!</v>
      </c>
      <c r="AQ215" t="e">
        <f>AND(Bills!I917,"AAAAACT++yo=")</f>
        <v>#VALUE!</v>
      </c>
      <c r="AR215" t="e">
        <f>AND(Bills!J917,"AAAAACT++ys=")</f>
        <v>#VALUE!</v>
      </c>
      <c r="AS215" t="e">
        <f>AND(Bills!K917,"AAAAACT++yw=")</f>
        <v>#VALUE!</v>
      </c>
      <c r="AT215" t="e">
        <f>AND(Bills!L917,"AAAAACT++y0=")</f>
        <v>#VALUE!</v>
      </c>
      <c r="AU215" t="e">
        <f>AND(Bills!#REF!,"AAAAACT++y4=")</f>
        <v>#REF!</v>
      </c>
      <c r="AV215" t="e">
        <f>AND(Bills!M917,"AAAAACT++y8=")</f>
        <v>#VALUE!</v>
      </c>
      <c r="AW215" t="e">
        <f>AND(Bills!N917,"AAAAACT++zA=")</f>
        <v>#VALUE!</v>
      </c>
      <c r="AX215" t="e">
        <f>AND(Bills!O917,"AAAAACT++zE=")</f>
        <v>#VALUE!</v>
      </c>
      <c r="AY215" t="e">
        <f>AND(Bills!P917,"AAAAACT++zI=")</f>
        <v>#VALUE!</v>
      </c>
      <c r="AZ215" t="e">
        <f>AND(Bills!Q917,"AAAAACT++zM=")</f>
        <v>#VALUE!</v>
      </c>
      <c r="BA215" t="e">
        <f>AND(Bills!R917,"AAAAACT++zQ=")</f>
        <v>#VALUE!</v>
      </c>
      <c r="BB215" t="e">
        <f>AND(Bills!S917,"AAAAACT++zU=")</f>
        <v>#VALUE!</v>
      </c>
      <c r="BC215" t="e">
        <f>AND(Bills!T917,"AAAAACT++zY=")</f>
        <v>#VALUE!</v>
      </c>
      <c r="BD215" t="e">
        <f>AND(Bills!#REF!,"AAAAACT++zc=")</f>
        <v>#REF!</v>
      </c>
      <c r="BE215" t="e">
        <f>AND(Bills!U917,"AAAAACT++zg=")</f>
        <v>#VALUE!</v>
      </c>
      <c r="BF215" t="e">
        <f>AND(Bills!V917,"AAAAACT++zk=")</f>
        <v>#VALUE!</v>
      </c>
      <c r="BG215" t="e">
        <f>AND(Bills!W917,"AAAAACT++zo=")</f>
        <v>#VALUE!</v>
      </c>
      <c r="BH215" t="e">
        <f>AND(Bills!#REF!,"AAAAACT++zs=")</f>
        <v>#REF!</v>
      </c>
      <c r="BI215" t="e">
        <f>AND(Bills!#REF!,"AAAAACT++zw=")</f>
        <v>#REF!</v>
      </c>
      <c r="BJ215" t="e">
        <f>AND(Bills!Y917,"AAAAACT++z0=")</f>
        <v>#VALUE!</v>
      </c>
      <c r="BK215" t="e">
        <f>AND(Bills!Z917,"AAAAACT++z4=")</f>
        <v>#VALUE!</v>
      </c>
      <c r="BL215" t="e">
        <f>AND(Bills!#REF!,"AAAAACT++z8=")</f>
        <v>#REF!</v>
      </c>
      <c r="BM215" t="e">
        <f>AND(Bills!#REF!,"AAAAACT++0A=")</f>
        <v>#REF!</v>
      </c>
      <c r="BN215" t="e">
        <f>AND(Bills!#REF!,"AAAAACT++0E=")</f>
        <v>#REF!</v>
      </c>
      <c r="BO215" t="e">
        <f>AND(Bills!#REF!,"AAAAACT++0I=")</f>
        <v>#REF!</v>
      </c>
      <c r="BP215" t="e">
        <f>AND(Bills!#REF!,"AAAAACT++0M=")</f>
        <v>#REF!</v>
      </c>
      <c r="BQ215" t="e">
        <f>AND(Bills!#REF!,"AAAAACT++0Q=")</f>
        <v>#REF!</v>
      </c>
      <c r="BR215" t="e">
        <f>AND(Bills!#REF!,"AAAAACT++0U=")</f>
        <v>#REF!</v>
      </c>
      <c r="BS215" t="e">
        <f>AND(Bills!#REF!,"AAAAACT++0Y=")</f>
        <v>#REF!</v>
      </c>
      <c r="BT215" t="e">
        <f>AND(Bills!#REF!,"AAAAACT++0c=")</f>
        <v>#REF!</v>
      </c>
      <c r="BU215" t="e">
        <f>AND(Bills!AA917,"AAAAACT++0g=")</f>
        <v>#VALUE!</v>
      </c>
      <c r="BV215" t="e">
        <f>AND(Bills!AB917,"AAAAACT++0k=")</f>
        <v>#VALUE!</v>
      </c>
      <c r="BW215" t="e">
        <f>AND(Bills!#REF!,"AAAAACT++0o=")</f>
        <v>#REF!</v>
      </c>
      <c r="BX215" t="e">
        <f>AND(Bills!#REF!,"AAAAACT++0s=")</f>
        <v>#REF!</v>
      </c>
      <c r="BY215" t="e">
        <f>AND(Bills!#REF!,"AAAAACT++0w=")</f>
        <v>#REF!</v>
      </c>
      <c r="BZ215" t="e">
        <f>AND(Bills!AC917,"AAAAACT++00=")</f>
        <v>#VALUE!</v>
      </c>
      <c r="CA215" t="e">
        <f>AND(Bills!AD917,"AAAAACT++04=")</f>
        <v>#VALUE!</v>
      </c>
      <c r="CB215" t="e">
        <f>AND(Bills!AE917,"AAAAACT++08=")</f>
        <v>#VALUE!</v>
      </c>
      <c r="CC215">
        <f>IF(Bills!918:918,"AAAAACT++1A=",0)</f>
        <v>0</v>
      </c>
      <c r="CD215" t="e">
        <f>AND(Bills!B918,"AAAAACT++1E=")</f>
        <v>#VALUE!</v>
      </c>
      <c r="CE215" t="e">
        <f>AND(Bills!#REF!,"AAAAACT++1I=")</f>
        <v>#REF!</v>
      </c>
      <c r="CF215" t="e">
        <f>AND(Bills!C918,"AAAAACT++1M=")</f>
        <v>#VALUE!</v>
      </c>
      <c r="CG215" t="e">
        <f>AND(Bills!D918,"AAAAACT++1Q=")</f>
        <v>#VALUE!</v>
      </c>
      <c r="CH215" t="e">
        <f>AND(Bills!E918,"AAAAACT++1U=")</f>
        <v>#VALUE!</v>
      </c>
      <c r="CI215" t="e">
        <f>AND(Bills!#REF!,"AAAAACT++1Y=")</f>
        <v>#REF!</v>
      </c>
      <c r="CJ215" t="e">
        <f>AND(Bills!#REF!,"AAAAACT++1c=")</f>
        <v>#REF!</v>
      </c>
      <c r="CK215" t="e">
        <f>AND(Bills!#REF!,"AAAAACT++1g=")</f>
        <v>#REF!</v>
      </c>
      <c r="CL215" t="e">
        <f>AND(Bills!F918,"AAAAACT++1k=")</f>
        <v>#VALUE!</v>
      </c>
      <c r="CM215" t="e">
        <f>AND(Bills!#REF!,"AAAAACT++1o=")</f>
        <v>#REF!</v>
      </c>
      <c r="CN215" t="e">
        <f>AND(Bills!G918,"AAAAACT++1s=")</f>
        <v>#VALUE!</v>
      </c>
      <c r="CO215" t="e">
        <f>AND(Bills!H918,"AAAAACT++1w=")</f>
        <v>#VALUE!</v>
      </c>
      <c r="CP215" t="e">
        <f>AND(Bills!I918,"AAAAACT++10=")</f>
        <v>#VALUE!</v>
      </c>
      <c r="CQ215" t="e">
        <f>AND(Bills!J918,"AAAAACT++14=")</f>
        <v>#VALUE!</v>
      </c>
      <c r="CR215" t="e">
        <f>AND(Bills!K918,"AAAAACT++18=")</f>
        <v>#VALUE!</v>
      </c>
      <c r="CS215" t="e">
        <f>AND(Bills!L918,"AAAAACT++2A=")</f>
        <v>#VALUE!</v>
      </c>
      <c r="CT215" t="e">
        <f>AND(Bills!#REF!,"AAAAACT++2E=")</f>
        <v>#REF!</v>
      </c>
      <c r="CU215" t="e">
        <f>AND(Bills!M918,"AAAAACT++2I=")</f>
        <v>#VALUE!</v>
      </c>
      <c r="CV215" t="e">
        <f>AND(Bills!N918,"AAAAACT++2M=")</f>
        <v>#VALUE!</v>
      </c>
      <c r="CW215" t="e">
        <f>AND(Bills!O918,"AAAAACT++2Q=")</f>
        <v>#VALUE!</v>
      </c>
      <c r="CX215" t="e">
        <f>AND(Bills!P918,"AAAAACT++2U=")</f>
        <v>#VALUE!</v>
      </c>
      <c r="CY215" t="e">
        <f>AND(Bills!Q918,"AAAAACT++2Y=")</f>
        <v>#VALUE!</v>
      </c>
      <c r="CZ215" t="e">
        <f>AND(Bills!R918,"AAAAACT++2c=")</f>
        <v>#VALUE!</v>
      </c>
      <c r="DA215" t="e">
        <f>AND(Bills!S918,"AAAAACT++2g=")</f>
        <v>#VALUE!</v>
      </c>
      <c r="DB215" t="e">
        <f>AND(Bills!T918,"AAAAACT++2k=")</f>
        <v>#VALUE!</v>
      </c>
      <c r="DC215" t="e">
        <f>AND(Bills!#REF!,"AAAAACT++2o=")</f>
        <v>#REF!</v>
      </c>
      <c r="DD215" t="e">
        <f>AND(Bills!U918,"AAAAACT++2s=")</f>
        <v>#VALUE!</v>
      </c>
      <c r="DE215" t="e">
        <f>AND(Bills!V918,"AAAAACT++2w=")</f>
        <v>#VALUE!</v>
      </c>
      <c r="DF215" t="e">
        <f>AND(Bills!W918,"AAAAACT++20=")</f>
        <v>#VALUE!</v>
      </c>
      <c r="DG215" t="e">
        <f>AND(Bills!#REF!,"AAAAACT++24=")</f>
        <v>#REF!</v>
      </c>
      <c r="DH215" t="e">
        <f>AND(Bills!#REF!,"AAAAACT++28=")</f>
        <v>#REF!</v>
      </c>
      <c r="DI215" t="e">
        <f>AND(Bills!Y918,"AAAAACT++3A=")</f>
        <v>#VALUE!</v>
      </c>
      <c r="DJ215" t="e">
        <f>AND(Bills!Z918,"AAAAACT++3E=")</f>
        <v>#VALUE!</v>
      </c>
      <c r="DK215" t="e">
        <f>AND(Bills!#REF!,"AAAAACT++3I=")</f>
        <v>#REF!</v>
      </c>
      <c r="DL215" t="e">
        <f>AND(Bills!#REF!,"AAAAACT++3M=")</f>
        <v>#REF!</v>
      </c>
      <c r="DM215" t="e">
        <f>AND(Bills!#REF!,"AAAAACT++3Q=")</f>
        <v>#REF!</v>
      </c>
      <c r="DN215" t="e">
        <f>AND(Bills!#REF!,"AAAAACT++3U=")</f>
        <v>#REF!</v>
      </c>
      <c r="DO215" t="e">
        <f>AND(Bills!#REF!,"AAAAACT++3Y=")</f>
        <v>#REF!</v>
      </c>
      <c r="DP215" t="e">
        <f>AND(Bills!#REF!,"AAAAACT++3c=")</f>
        <v>#REF!</v>
      </c>
      <c r="DQ215" t="e">
        <f>AND(Bills!#REF!,"AAAAACT++3g=")</f>
        <v>#REF!</v>
      </c>
      <c r="DR215" t="e">
        <f>AND(Bills!#REF!,"AAAAACT++3k=")</f>
        <v>#REF!</v>
      </c>
      <c r="DS215" t="e">
        <f>AND(Bills!#REF!,"AAAAACT++3o=")</f>
        <v>#REF!</v>
      </c>
      <c r="DT215" t="e">
        <f>AND(Bills!AA918,"AAAAACT++3s=")</f>
        <v>#VALUE!</v>
      </c>
      <c r="DU215" t="e">
        <f>AND(Bills!AB918,"AAAAACT++3w=")</f>
        <v>#VALUE!</v>
      </c>
      <c r="DV215" t="e">
        <f>AND(Bills!#REF!,"AAAAACT++30=")</f>
        <v>#REF!</v>
      </c>
      <c r="DW215" t="e">
        <f>AND(Bills!#REF!,"AAAAACT++34=")</f>
        <v>#REF!</v>
      </c>
      <c r="DX215" t="e">
        <f>AND(Bills!#REF!,"AAAAACT++38=")</f>
        <v>#REF!</v>
      </c>
      <c r="DY215" t="e">
        <f>AND(Bills!AC918,"AAAAACT++4A=")</f>
        <v>#VALUE!</v>
      </c>
      <c r="DZ215" t="e">
        <f>AND(Bills!AD918,"AAAAACT++4E=")</f>
        <v>#VALUE!</v>
      </c>
      <c r="EA215" t="e">
        <f>AND(Bills!AE918,"AAAAACT++4I=")</f>
        <v>#VALUE!</v>
      </c>
      <c r="EB215">
        <f>IF(Bills!919:919,"AAAAACT++4M=",0)</f>
        <v>0</v>
      </c>
      <c r="EC215" t="e">
        <f>AND(Bills!B919,"AAAAACT++4Q=")</f>
        <v>#VALUE!</v>
      </c>
      <c r="ED215" t="e">
        <f>AND(Bills!#REF!,"AAAAACT++4U=")</f>
        <v>#REF!</v>
      </c>
      <c r="EE215" t="e">
        <f>AND(Bills!C919,"AAAAACT++4Y=")</f>
        <v>#VALUE!</v>
      </c>
      <c r="EF215" t="e">
        <f>AND(Bills!D919,"AAAAACT++4c=")</f>
        <v>#VALUE!</v>
      </c>
      <c r="EG215" t="e">
        <f>AND(Bills!E919,"AAAAACT++4g=")</f>
        <v>#VALUE!</v>
      </c>
      <c r="EH215" t="e">
        <f>AND(Bills!#REF!,"AAAAACT++4k=")</f>
        <v>#REF!</v>
      </c>
      <c r="EI215" t="e">
        <f>AND(Bills!#REF!,"AAAAACT++4o=")</f>
        <v>#REF!</v>
      </c>
      <c r="EJ215" t="e">
        <f>AND(Bills!#REF!,"AAAAACT++4s=")</f>
        <v>#REF!</v>
      </c>
      <c r="EK215" t="e">
        <f>AND(Bills!F919,"AAAAACT++4w=")</f>
        <v>#VALUE!</v>
      </c>
      <c r="EL215" t="e">
        <f>AND(Bills!#REF!,"AAAAACT++40=")</f>
        <v>#REF!</v>
      </c>
      <c r="EM215" t="e">
        <f>AND(Bills!G919,"AAAAACT++44=")</f>
        <v>#VALUE!</v>
      </c>
      <c r="EN215" t="e">
        <f>AND(Bills!H919,"AAAAACT++48=")</f>
        <v>#VALUE!</v>
      </c>
      <c r="EO215" t="e">
        <f>AND(Bills!I919,"AAAAACT++5A=")</f>
        <v>#VALUE!</v>
      </c>
      <c r="EP215" t="e">
        <f>AND(Bills!J919,"AAAAACT++5E=")</f>
        <v>#VALUE!</v>
      </c>
      <c r="EQ215" t="e">
        <f>AND(Bills!K919,"AAAAACT++5I=")</f>
        <v>#VALUE!</v>
      </c>
      <c r="ER215" t="e">
        <f>AND(Bills!L919,"AAAAACT++5M=")</f>
        <v>#VALUE!</v>
      </c>
      <c r="ES215" t="e">
        <f>AND(Bills!#REF!,"AAAAACT++5Q=")</f>
        <v>#REF!</v>
      </c>
      <c r="ET215" t="e">
        <f>AND(Bills!M919,"AAAAACT++5U=")</f>
        <v>#VALUE!</v>
      </c>
      <c r="EU215" t="e">
        <f>AND(Bills!N919,"AAAAACT++5Y=")</f>
        <v>#VALUE!</v>
      </c>
      <c r="EV215" t="e">
        <f>AND(Bills!O919,"AAAAACT++5c=")</f>
        <v>#VALUE!</v>
      </c>
      <c r="EW215" t="e">
        <f>AND(Bills!P919,"AAAAACT++5g=")</f>
        <v>#VALUE!</v>
      </c>
      <c r="EX215" t="e">
        <f>AND(Bills!Q919,"AAAAACT++5k=")</f>
        <v>#VALUE!</v>
      </c>
      <c r="EY215" t="e">
        <f>AND(Bills!R919,"AAAAACT++5o=")</f>
        <v>#VALUE!</v>
      </c>
      <c r="EZ215" t="e">
        <f>AND(Bills!S919,"AAAAACT++5s=")</f>
        <v>#VALUE!</v>
      </c>
      <c r="FA215" t="e">
        <f>AND(Bills!T919,"AAAAACT++5w=")</f>
        <v>#VALUE!</v>
      </c>
      <c r="FB215" t="e">
        <f>AND(Bills!#REF!,"AAAAACT++50=")</f>
        <v>#REF!</v>
      </c>
      <c r="FC215" t="e">
        <f>AND(Bills!U919,"AAAAACT++54=")</f>
        <v>#VALUE!</v>
      </c>
      <c r="FD215" t="e">
        <f>AND(Bills!V919,"AAAAACT++58=")</f>
        <v>#VALUE!</v>
      </c>
      <c r="FE215" t="e">
        <f>AND(Bills!W919,"AAAAACT++6A=")</f>
        <v>#VALUE!</v>
      </c>
      <c r="FF215" t="e">
        <f>AND(Bills!#REF!,"AAAAACT++6E=")</f>
        <v>#REF!</v>
      </c>
      <c r="FG215" t="e">
        <f>AND(Bills!#REF!,"AAAAACT++6I=")</f>
        <v>#REF!</v>
      </c>
      <c r="FH215" t="e">
        <f>AND(Bills!Y919,"AAAAACT++6M=")</f>
        <v>#VALUE!</v>
      </c>
      <c r="FI215" t="e">
        <f>AND(Bills!Z919,"AAAAACT++6Q=")</f>
        <v>#VALUE!</v>
      </c>
      <c r="FJ215" t="e">
        <f>AND(Bills!#REF!,"AAAAACT++6U=")</f>
        <v>#REF!</v>
      </c>
      <c r="FK215" t="e">
        <f>AND(Bills!#REF!,"AAAAACT++6Y=")</f>
        <v>#REF!</v>
      </c>
      <c r="FL215" t="e">
        <f>AND(Bills!#REF!,"AAAAACT++6c=")</f>
        <v>#REF!</v>
      </c>
      <c r="FM215" t="e">
        <f>AND(Bills!#REF!,"AAAAACT++6g=")</f>
        <v>#REF!</v>
      </c>
      <c r="FN215" t="e">
        <f>AND(Bills!#REF!,"AAAAACT++6k=")</f>
        <v>#REF!</v>
      </c>
      <c r="FO215" t="e">
        <f>AND(Bills!#REF!,"AAAAACT++6o=")</f>
        <v>#REF!</v>
      </c>
      <c r="FP215" t="e">
        <f>AND(Bills!#REF!,"AAAAACT++6s=")</f>
        <v>#REF!</v>
      </c>
      <c r="FQ215" t="e">
        <f>AND(Bills!#REF!,"AAAAACT++6w=")</f>
        <v>#REF!</v>
      </c>
      <c r="FR215" t="e">
        <f>AND(Bills!#REF!,"AAAAACT++60=")</f>
        <v>#REF!</v>
      </c>
      <c r="FS215" t="e">
        <f>AND(Bills!AA919,"AAAAACT++64=")</f>
        <v>#VALUE!</v>
      </c>
      <c r="FT215" t="e">
        <f>AND(Bills!AB919,"AAAAACT++68=")</f>
        <v>#VALUE!</v>
      </c>
      <c r="FU215" t="e">
        <f>AND(Bills!#REF!,"AAAAACT++7A=")</f>
        <v>#REF!</v>
      </c>
      <c r="FV215" t="e">
        <f>AND(Bills!#REF!,"AAAAACT++7E=")</f>
        <v>#REF!</v>
      </c>
      <c r="FW215" t="e">
        <f>AND(Bills!#REF!,"AAAAACT++7I=")</f>
        <v>#REF!</v>
      </c>
      <c r="FX215" t="e">
        <f>AND(Bills!AC919,"AAAAACT++7M=")</f>
        <v>#VALUE!</v>
      </c>
      <c r="FY215" t="e">
        <f>AND(Bills!AD919,"AAAAACT++7Q=")</f>
        <v>#VALUE!</v>
      </c>
      <c r="FZ215" t="e">
        <f>AND(Bills!AE919,"AAAAACT++7U=")</f>
        <v>#VALUE!</v>
      </c>
      <c r="GA215">
        <f>IF(Bills!920:920,"AAAAACT++7Y=",0)</f>
        <v>0</v>
      </c>
      <c r="GB215" t="e">
        <f>AND(Bills!B920,"AAAAACT++7c=")</f>
        <v>#VALUE!</v>
      </c>
      <c r="GC215" t="e">
        <f>AND(Bills!#REF!,"AAAAACT++7g=")</f>
        <v>#REF!</v>
      </c>
      <c r="GD215" t="e">
        <f>AND(Bills!C920,"AAAAACT++7k=")</f>
        <v>#VALUE!</v>
      </c>
      <c r="GE215" t="e">
        <f>AND(Bills!D920,"AAAAACT++7o=")</f>
        <v>#VALUE!</v>
      </c>
      <c r="GF215" t="e">
        <f>AND(Bills!E920,"AAAAACT++7s=")</f>
        <v>#VALUE!</v>
      </c>
      <c r="GG215" t="e">
        <f>AND(Bills!#REF!,"AAAAACT++7w=")</f>
        <v>#REF!</v>
      </c>
      <c r="GH215" t="e">
        <f>AND(Bills!#REF!,"AAAAACT++70=")</f>
        <v>#REF!</v>
      </c>
      <c r="GI215" t="e">
        <f>AND(Bills!#REF!,"AAAAACT++74=")</f>
        <v>#REF!</v>
      </c>
      <c r="GJ215" t="e">
        <f>AND(Bills!F920,"AAAAACT++78=")</f>
        <v>#VALUE!</v>
      </c>
      <c r="GK215" t="e">
        <f>AND(Bills!#REF!,"AAAAACT++8A=")</f>
        <v>#REF!</v>
      </c>
      <c r="GL215" t="e">
        <f>AND(Bills!G920,"AAAAACT++8E=")</f>
        <v>#VALUE!</v>
      </c>
      <c r="GM215" t="e">
        <f>AND(Bills!H920,"AAAAACT++8I=")</f>
        <v>#VALUE!</v>
      </c>
      <c r="GN215" t="e">
        <f>AND(Bills!I920,"AAAAACT++8M=")</f>
        <v>#VALUE!</v>
      </c>
      <c r="GO215" t="e">
        <f>AND(Bills!J920,"AAAAACT++8Q=")</f>
        <v>#VALUE!</v>
      </c>
      <c r="GP215" t="e">
        <f>AND(Bills!K920,"AAAAACT++8U=")</f>
        <v>#VALUE!</v>
      </c>
      <c r="GQ215" t="e">
        <f>AND(Bills!L920,"AAAAACT++8Y=")</f>
        <v>#VALUE!</v>
      </c>
      <c r="GR215" t="e">
        <f>AND(Bills!#REF!,"AAAAACT++8c=")</f>
        <v>#REF!</v>
      </c>
      <c r="GS215" t="e">
        <f>AND(Bills!M920,"AAAAACT++8g=")</f>
        <v>#VALUE!</v>
      </c>
      <c r="GT215" t="e">
        <f>AND(Bills!N920,"AAAAACT++8k=")</f>
        <v>#VALUE!</v>
      </c>
      <c r="GU215" t="e">
        <f>AND(Bills!O920,"AAAAACT++8o=")</f>
        <v>#VALUE!</v>
      </c>
      <c r="GV215" t="e">
        <f>AND(Bills!P920,"AAAAACT++8s=")</f>
        <v>#VALUE!</v>
      </c>
      <c r="GW215" t="e">
        <f>AND(Bills!Q920,"AAAAACT++8w=")</f>
        <v>#VALUE!</v>
      </c>
      <c r="GX215" t="e">
        <f>AND(Bills!R920,"AAAAACT++80=")</f>
        <v>#VALUE!</v>
      </c>
      <c r="GY215" t="e">
        <f>AND(Bills!S920,"AAAAACT++84=")</f>
        <v>#VALUE!</v>
      </c>
      <c r="GZ215" t="e">
        <f>AND(Bills!T920,"AAAAACT++88=")</f>
        <v>#VALUE!</v>
      </c>
      <c r="HA215" t="e">
        <f>AND(Bills!#REF!,"AAAAACT++9A=")</f>
        <v>#REF!</v>
      </c>
      <c r="HB215" t="e">
        <f>AND(Bills!U920,"AAAAACT++9E=")</f>
        <v>#VALUE!</v>
      </c>
      <c r="HC215" t="e">
        <f>AND(Bills!V920,"AAAAACT++9I=")</f>
        <v>#VALUE!</v>
      </c>
      <c r="HD215" t="e">
        <f>AND(Bills!W920,"AAAAACT++9M=")</f>
        <v>#VALUE!</v>
      </c>
      <c r="HE215" t="e">
        <f>AND(Bills!#REF!,"AAAAACT++9Q=")</f>
        <v>#REF!</v>
      </c>
      <c r="HF215" t="e">
        <f>AND(Bills!#REF!,"AAAAACT++9U=")</f>
        <v>#REF!</v>
      </c>
      <c r="HG215" t="e">
        <f>AND(Bills!Y920,"AAAAACT++9Y=")</f>
        <v>#VALUE!</v>
      </c>
      <c r="HH215" t="e">
        <f>AND(Bills!Z920,"AAAAACT++9c=")</f>
        <v>#VALUE!</v>
      </c>
      <c r="HI215" t="e">
        <f>AND(Bills!#REF!,"AAAAACT++9g=")</f>
        <v>#REF!</v>
      </c>
      <c r="HJ215" t="e">
        <f>AND(Bills!#REF!,"AAAAACT++9k=")</f>
        <v>#REF!</v>
      </c>
      <c r="HK215" t="e">
        <f>AND(Bills!#REF!,"AAAAACT++9o=")</f>
        <v>#REF!</v>
      </c>
      <c r="HL215" t="e">
        <f>AND(Bills!#REF!,"AAAAACT++9s=")</f>
        <v>#REF!</v>
      </c>
      <c r="HM215" t="e">
        <f>AND(Bills!#REF!,"AAAAACT++9w=")</f>
        <v>#REF!</v>
      </c>
      <c r="HN215" t="e">
        <f>AND(Bills!#REF!,"AAAAACT++90=")</f>
        <v>#REF!</v>
      </c>
      <c r="HO215" t="e">
        <f>AND(Bills!#REF!,"AAAAACT++94=")</f>
        <v>#REF!</v>
      </c>
      <c r="HP215" t="e">
        <f>AND(Bills!#REF!,"AAAAACT++98=")</f>
        <v>#REF!</v>
      </c>
      <c r="HQ215" t="e">
        <f>AND(Bills!#REF!,"AAAAACT+++A=")</f>
        <v>#REF!</v>
      </c>
      <c r="HR215" t="e">
        <f>AND(Bills!AA920,"AAAAACT+++E=")</f>
        <v>#VALUE!</v>
      </c>
      <c r="HS215" t="e">
        <f>AND(Bills!AB920,"AAAAACT+++I=")</f>
        <v>#VALUE!</v>
      </c>
      <c r="HT215" t="e">
        <f>AND(Bills!#REF!,"AAAAACT+++M=")</f>
        <v>#REF!</v>
      </c>
      <c r="HU215" t="e">
        <f>AND(Bills!#REF!,"AAAAACT+++Q=")</f>
        <v>#REF!</v>
      </c>
      <c r="HV215" t="e">
        <f>AND(Bills!#REF!,"AAAAACT+++U=")</f>
        <v>#REF!</v>
      </c>
      <c r="HW215" t="e">
        <f>AND(Bills!AC920,"AAAAACT+++Y=")</f>
        <v>#VALUE!</v>
      </c>
      <c r="HX215" t="e">
        <f>AND(Bills!AD920,"AAAAACT+++c=")</f>
        <v>#VALUE!</v>
      </c>
      <c r="HY215" t="e">
        <f>AND(Bills!AE920,"AAAAACT+++g=")</f>
        <v>#VALUE!</v>
      </c>
      <c r="HZ215">
        <f>IF(Bills!921:921,"AAAAACT+++k=",0)</f>
        <v>0</v>
      </c>
      <c r="IA215" t="e">
        <f>AND(Bills!B921,"AAAAACT+++o=")</f>
        <v>#VALUE!</v>
      </c>
      <c r="IB215" t="e">
        <f>AND(Bills!#REF!,"AAAAACT+++s=")</f>
        <v>#REF!</v>
      </c>
      <c r="IC215" t="e">
        <f>AND(Bills!C921,"AAAAACT+++w=")</f>
        <v>#VALUE!</v>
      </c>
      <c r="ID215" t="e">
        <f>AND(Bills!D921,"AAAAACT+++0=")</f>
        <v>#VALUE!</v>
      </c>
      <c r="IE215" t="e">
        <f>AND(Bills!E921,"AAAAACT+++4=")</f>
        <v>#VALUE!</v>
      </c>
      <c r="IF215" t="e">
        <f>AND(Bills!#REF!,"AAAAACT+++8=")</f>
        <v>#REF!</v>
      </c>
      <c r="IG215" t="e">
        <f>AND(Bills!#REF!,"AAAAACT++/A=")</f>
        <v>#REF!</v>
      </c>
      <c r="IH215" t="e">
        <f>AND(Bills!#REF!,"AAAAACT++/E=")</f>
        <v>#REF!</v>
      </c>
      <c r="II215" t="e">
        <f>AND(Bills!F921,"AAAAACT++/I=")</f>
        <v>#VALUE!</v>
      </c>
      <c r="IJ215" t="e">
        <f>AND(Bills!#REF!,"AAAAACT++/M=")</f>
        <v>#REF!</v>
      </c>
      <c r="IK215" t="e">
        <f>AND(Bills!G921,"AAAAACT++/Q=")</f>
        <v>#VALUE!</v>
      </c>
      <c r="IL215" t="e">
        <f>AND(Bills!H921,"AAAAACT++/U=")</f>
        <v>#VALUE!</v>
      </c>
      <c r="IM215" t="e">
        <f>AND(Bills!I921,"AAAAACT++/Y=")</f>
        <v>#VALUE!</v>
      </c>
      <c r="IN215" t="e">
        <f>AND(Bills!J921,"AAAAACT++/c=")</f>
        <v>#VALUE!</v>
      </c>
      <c r="IO215" t="e">
        <f>AND(Bills!K921,"AAAAACT++/g=")</f>
        <v>#VALUE!</v>
      </c>
      <c r="IP215" t="e">
        <f>AND(Bills!L921,"AAAAACT++/k=")</f>
        <v>#VALUE!</v>
      </c>
      <c r="IQ215" t="e">
        <f>AND(Bills!#REF!,"AAAAACT++/o=")</f>
        <v>#REF!</v>
      </c>
      <c r="IR215" t="e">
        <f>AND(Bills!M921,"AAAAACT++/s=")</f>
        <v>#VALUE!</v>
      </c>
      <c r="IS215" t="e">
        <f>AND(Bills!N921,"AAAAACT++/w=")</f>
        <v>#VALUE!</v>
      </c>
      <c r="IT215" t="e">
        <f>AND(Bills!O921,"AAAAACT++/0=")</f>
        <v>#VALUE!</v>
      </c>
      <c r="IU215" t="e">
        <f>AND(Bills!P921,"AAAAACT++/4=")</f>
        <v>#VALUE!</v>
      </c>
      <c r="IV215" t="e">
        <f>AND(Bills!Q921,"AAAAACT++/8=")</f>
        <v>#VALUE!</v>
      </c>
    </row>
    <row r="216" spans="1:256" x14ac:dyDescent="0.25">
      <c r="A216" t="e">
        <f>AND(Bills!R921,"AAAAAD/s9wA=")</f>
        <v>#VALUE!</v>
      </c>
      <c r="B216" t="e">
        <f>AND(Bills!S921,"AAAAAD/s9wE=")</f>
        <v>#VALUE!</v>
      </c>
      <c r="C216" t="e">
        <f>AND(Bills!T921,"AAAAAD/s9wI=")</f>
        <v>#VALUE!</v>
      </c>
      <c r="D216" t="e">
        <f>AND(Bills!#REF!,"AAAAAD/s9wM=")</f>
        <v>#REF!</v>
      </c>
      <c r="E216" t="e">
        <f>AND(Bills!U921,"AAAAAD/s9wQ=")</f>
        <v>#VALUE!</v>
      </c>
      <c r="F216" t="e">
        <f>AND(Bills!V921,"AAAAAD/s9wU=")</f>
        <v>#VALUE!</v>
      </c>
      <c r="G216" t="e">
        <f>AND(Bills!W921,"AAAAAD/s9wY=")</f>
        <v>#VALUE!</v>
      </c>
      <c r="H216" t="e">
        <f>AND(Bills!#REF!,"AAAAAD/s9wc=")</f>
        <v>#REF!</v>
      </c>
      <c r="I216" t="e">
        <f>AND(Bills!#REF!,"AAAAAD/s9wg=")</f>
        <v>#REF!</v>
      </c>
      <c r="J216" t="e">
        <f>AND(Bills!Y921,"AAAAAD/s9wk=")</f>
        <v>#VALUE!</v>
      </c>
      <c r="K216" t="e">
        <f>AND(Bills!Z921,"AAAAAD/s9wo=")</f>
        <v>#VALUE!</v>
      </c>
      <c r="L216" t="e">
        <f>AND(Bills!#REF!,"AAAAAD/s9ws=")</f>
        <v>#REF!</v>
      </c>
      <c r="M216" t="e">
        <f>AND(Bills!#REF!,"AAAAAD/s9ww=")</f>
        <v>#REF!</v>
      </c>
      <c r="N216" t="e">
        <f>AND(Bills!#REF!,"AAAAAD/s9w0=")</f>
        <v>#REF!</v>
      </c>
      <c r="O216" t="e">
        <f>AND(Bills!#REF!,"AAAAAD/s9w4=")</f>
        <v>#REF!</v>
      </c>
      <c r="P216" t="e">
        <f>AND(Bills!#REF!,"AAAAAD/s9w8=")</f>
        <v>#REF!</v>
      </c>
      <c r="Q216" t="e">
        <f>AND(Bills!#REF!,"AAAAAD/s9xA=")</f>
        <v>#REF!</v>
      </c>
      <c r="R216" t="e">
        <f>AND(Bills!#REF!,"AAAAAD/s9xE=")</f>
        <v>#REF!</v>
      </c>
      <c r="S216" t="e">
        <f>AND(Bills!#REF!,"AAAAAD/s9xI=")</f>
        <v>#REF!</v>
      </c>
      <c r="T216" t="e">
        <f>AND(Bills!#REF!,"AAAAAD/s9xM=")</f>
        <v>#REF!</v>
      </c>
      <c r="U216" t="e">
        <f>AND(Bills!AA921,"AAAAAD/s9xQ=")</f>
        <v>#VALUE!</v>
      </c>
      <c r="V216" t="e">
        <f>AND(Bills!AB921,"AAAAAD/s9xU=")</f>
        <v>#VALUE!</v>
      </c>
      <c r="W216" t="e">
        <f>AND(Bills!#REF!,"AAAAAD/s9xY=")</f>
        <v>#REF!</v>
      </c>
      <c r="X216" t="e">
        <f>AND(Bills!#REF!,"AAAAAD/s9xc=")</f>
        <v>#REF!</v>
      </c>
      <c r="Y216" t="e">
        <f>AND(Bills!#REF!,"AAAAAD/s9xg=")</f>
        <v>#REF!</v>
      </c>
      <c r="Z216" t="e">
        <f>AND(Bills!AC921,"AAAAAD/s9xk=")</f>
        <v>#VALUE!</v>
      </c>
      <c r="AA216" t="e">
        <f>AND(Bills!AD921,"AAAAAD/s9xo=")</f>
        <v>#VALUE!</v>
      </c>
      <c r="AB216" t="e">
        <f>AND(Bills!AE921,"AAAAAD/s9xs=")</f>
        <v>#VALUE!</v>
      </c>
      <c r="AC216">
        <f>IF(Bills!922:922,"AAAAAD/s9xw=",0)</f>
        <v>0</v>
      </c>
      <c r="AD216" t="e">
        <f>AND(Bills!B922,"AAAAAD/s9x0=")</f>
        <v>#VALUE!</v>
      </c>
      <c r="AE216" t="e">
        <f>AND(Bills!#REF!,"AAAAAD/s9x4=")</f>
        <v>#REF!</v>
      </c>
      <c r="AF216" t="e">
        <f>AND(Bills!C922,"AAAAAD/s9x8=")</f>
        <v>#VALUE!</v>
      </c>
      <c r="AG216" t="e">
        <f>AND(Bills!D922,"AAAAAD/s9yA=")</f>
        <v>#VALUE!</v>
      </c>
      <c r="AH216" t="e">
        <f>AND(Bills!E922,"AAAAAD/s9yE=")</f>
        <v>#VALUE!</v>
      </c>
      <c r="AI216" t="e">
        <f>AND(Bills!#REF!,"AAAAAD/s9yI=")</f>
        <v>#REF!</v>
      </c>
      <c r="AJ216" t="e">
        <f>AND(Bills!#REF!,"AAAAAD/s9yM=")</f>
        <v>#REF!</v>
      </c>
      <c r="AK216" t="e">
        <f>AND(Bills!#REF!,"AAAAAD/s9yQ=")</f>
        <v>#REF!</v>
      </c>
      <c r="AL216" t="e">
        <f>AND(Bills!F922,"AAAAAD/s9yU=")</f>
        <v>#VALUE!</v>
      </c>
      <c r="AM216" t="e">
        <f>AND(Bills!#REF!,"AAAAAD/s9yY=")</f>
        <v>#REF!</v>
      </c>
      <c r="AN216" t="e">
        <f>AND(Bills!G922,"AAAAAD/s9yc=")</f>
        <v>#VALUE!</v>
      </c>
      <c r="AO216" t="e">
        <f>AND(Bills!H922,"AAAAAD/s9yg=")</f>
        <v>#VALUE!</v>
      </c>
      <c r="AP216" t="e">
        <f>AND(Bills!I922,"AAAAAD/s9yk=")</f>
        <v>#VALUE!</v>
      </c>
      <c r="AQ216" t="e">
        <f>AND(Bills!J922,"AAAAAD/s9yo=")</f>
        <v>#VALUE!</v>
      </c>
      <c r="AR216" t="e">
        <f>AND(Bills!K922,"AAAAAD/s9ys=")</f>
        <v>#VALUE!</v>
      </c>
      <c r="AS216" t="e">
        <f>AND(Bills!L922,"AAAAAD/s9yw=")</f>
        <v>#VALUE!</v>
      </c>
      <c r="AT216" t="e">
        <f>AND(Bills!#REF!,"AAAAAD/s9y0=")</f>
        <v>#REF!</v>
      </c>
      <c r="AU216" t="e">
        <f>AND(Bills!M922,"AAAAAD/s9y4=")</f>
        <v>#VALUE!</v>
      </c>
      <c r="AV216" t="e">
        <f>AND(Bills!N922,"AAAAAD/s9y8=")</f>
        <v>#VALUE!</v>
      </c>
      <c r="AW216" t="e">
        <f>AND(Bills!O922,"AAAAAD/s9zA=")</f>
        <v>#VALUE!</v>
      </c>
      <c r="AX216" t="e">
        <f>AND(Bills!P922,"AAAAAD/s9zE=")</f>
        <v>#VALUE!</v>
      </c>
      <c r="AY216" t="e">
        <f>AND(Bills!Q922,"AAAAAD/s9zI=")</f>
        <v>#VALUE!</v>
      </c>
      <c r="AZ216" t="e">
        <f>AND(Bills!R922,"AAAAAD/s9zM=")</f>
        <v>#VALUE!</v>
      </c>
      <c r="BA216" t="e">
        <f>AND(Bills!S922,"AAAAAD/s9zQ=")</f>
        <v>#VALUE!</v>
      </c>
      <c r="BB216" t="e">
        <f>AND(Bills!T922,"AAAAAD/s9zU=")</f>
        <v>#VALUE!</v>
      </c>
      <c r="BC216" t="e">
        <f>AND(Bills!#REF!,"AAAAAD/s9zY=")</f>
        <v>#REF!</v>
      </c>
      <c r="BD216" t="e">
        <f>AND(Bills!U922,"AAAAAD/s9zc=")</f>
        <v>#VALUE!</v>
      </c>
      <c r="BE216" t="e">
        <f>AND(Bills!V922,"AAAAAD/s9zg=")</f>
        <v>#VALUE!</v>
      </c>
      <c r="BF216" t="e">
        <f>AND(Bills!W922,"AAAAAD/s9zk=")</f>
        <v>#VALUE!</v>
      </c>
      <c r="BG216" t="e">
        <f>AND(Bills!#REF!,"AAAAAD/s9zo=")</f>
        <v>#REF!</v>
      </c>
      <c r="BH216" t="e">
        <f>AND(Bills!#REF!,"AAAAAD/s9zs=")</f>
        <v>#REF!</v>
      </c>
      <c r="BI216" t="e">
        <f>AND(Bills!Y922,"AAAAAD/s9zw=")</f>
        <v>#VALUE!</v>
      </c>
      <c r="BJ216" t="e">
        <f>AND(Bills!Z922,"AAAAAD/s9z0=")</f>
        <v>#VALUE!</v>
      </c>
      <c r="BK216" t="e">
        <f>AND(Bills!#REF!,"AAAAAD/s9z4=")</f>
        <v>#REF!</v>
      </c>
      <c r="BL216" t="e">
        <f>AND(Bills!#REF!,"AAAAAD/s9z8=")</f>
        <v>#REF!</v>
      </c>
      <c r="BM216" t="e">
        <f>AND(Bills!#REF!,"AAAAAD/s90A=")</f>
        <v>#REF!</v>
      </c>
      <c r="BN216" t="e">
        <f>AND(Bills!#REF!,"AAAAAD/s90E=")</f>
        <v>#REF!</v>
      </c>
      <c r="BO216" t="e">
        <f>AND(Bills!#REF!,"AAAAAD/s90I=")</f>
        <v>#REF!</v>
      </c>
      <c r="BP216" t="e">
        <f>AND(Bills!#REF!,"AAAAAD/s90M=")</f>
        <v>#REF!</v>
      </c>
      <c r="BQ216" t="e">
        <f>AND(Bills!#REF!,"AAAAAD/s90Q=")</f>
        <v>#REF!</v>
      </c>
      <c r="BR216" t="e">
        <f>AND(Bills!#REF!,"AAAAAD/s90U=")</f>
        <v>#REF!</v>
      </c>
      <c r="BS216" t="e">
        <f>AND(Bills!#REF!,"AAAAAD/s90Y=")</f>
        <v>#REF!</v>
      </c>
      <c r="BT216" t="e">
        <f>AND(Bills!AA922,"AAAAAD/s90c=")</f>
        <v>#VALUE!</v>
      </c>
      <c r="BU216" t="e">
        <f>AND(Bills!AB922,"AAAAAD/s90g=")</f>
        <v>#VALUE!</v>
      </c>
      <c r="BV216" t="e">
        <f>AND(Bills!#REF!,"AAAAAD/s90k=")</f>
        <v>#REF!</v>
      </c>
      <c r="BW216" t="e">
        <f>AND(Bills!#REF!,"AAAAAD/s90o=")</f>
        <v>#REF!</v>
      </c>
      <c r="BX216" t="e">
        <f>AND(Bills!#REF!,"AAAAAD/s90s=")</f>
        <v>#REF!</v>
      </c>
      <c r="BY216" t="e">
        <f>AND(Bills!AC922,"AAAAAD/s90w=")</f>
        <v>#VALUE!</v>
      </c>
      <c r="BZ216" t="e">
        <f>AND(Bills!AD922,"AAAAAD/s900=")</f>
        <v>#VALUE!</v>
      </c>
      <c r="CA216" t="e">
        <f>AND(Bills!AE922,"AAAAAD/s904=")</f>
        <v>#VALUE!</v>
      </c>
      <c r="CB216">
        <f>IF(Bills!923:923,"AAAAAD/s908=",0)</f>
        <v>0</v>
      </c>
      <c r="CC216" t="e">
        <f>AND(Bills!B923,"AAAAAD/s91A=")</f>
        <v>#VALUE!</v>
      </c>
      <c r="CD216" t="e">
        <f>AND(Bills!#REF!,"AAAAAD/s91E=")</f>
        <v>#REF!</v>
      </c>
      <c r="CE216" t="e">
        <f>AND(Bills!C923,"AAAAAD/s91I=")</f>
        <v>#VALUE!</v>
      </c>
      <c r="CF216" t="e">
        <f>AND(Bills!D923,"AAAAAD/s91M=")</f>
        <v>#VALUE!</v>
      </c>
      <c r="CG216" t="e">
        <f>AND(Bills!E923,"AAAAAD/s91Q=")</f>
        <v>#VALUE!</v>
      </c>
      <c r="CH216" t="e">
        <f>AND(Bills!#REF!,"AAAAAD/s91U=")</f>
        <v>#REF!</v>
      </c>
      <c r="CI216" t="e">
        <f>AND(Bills!#REF!,"AAAAAD/s91Y=")</f>
        <v>#REF!</v>
      </c>
      <c r="CJ216" t="e">
        <f>AND(Bills!#REF!,"AAAAAD/s91c=")</f>
        <v>#REF!</v>
      </c>
      <c r="CK216" t="e">
        <f>AND(Bills!F923,"AAAAAD/s91g=")</f>
        <v>#VALUE!</v>
      </c>
      <c r="CL216" t="e">
        <f>AND(Bills!#REF!,"AAAAAD/s91k=")</f>
        <v>#REF!</v>
      </c>
      <c r="CM216" t="e">
        <f>AND(Bills!G923,"AAAAAD/s91o=")</f>
        <v>#VALUE!</v>
      </c>
      <c r="CN216" t="e">
        <f>AND(Bills!H923,"AAAAAD/s91s=")</f>
        <v>#VALUE!</v>
      </c>
      <c r="CO216" t="e">
        <f>AND(Bills!I923,"AAAAAD/s91w=")</f>
        <v>#VALUE!</v>
      </c>
      <c r="CP216" t="e">
        <f>AND(Bills!J923,"AAAAAD/s910=")</f>
        <v>#VALUE!</v>
      </c>
      <c r="CQ216" t="e">
        <f>AND(Bills!K923,"AAAAAD/s914=")</f>
        <v>#VALUE!</v>
      </c>
      <c r="CR216" t="e">
        <f>AND(Bills!L923,"AAAAAD/s918=")</f>
        <v>#VALUE!</v>
      </c>
      <c r="CS216" t="e">
        <f>AND(Bills!#REF!,"AAAAAD/s92A=")</f>
        <v>#REF!</v>
      </c>
      <c r="CT216" t="e">
        <f>AND(Bills!M923,"AAAAAD/s92E=")</f>
        <v>#VALUE!</v>
      </c>
      <c r="CU216" t="e">
        <f>AND(Bills!N923,"AAAAAD/s92I=")</f>
        <v>#VALUE!</v>
      </c>
      <c r="CV216" t="e">
        <f>AND(Bills!O923,"AAAAAD/s92M=")</f>
        <v>#VALUE!</v>
      </c>
      <c r="CW216" t="e">
        <f>AND(Bills!P923,"AAAAAD/s92Q=")</f>
        <v>#VALUE!</v>
      </c>
      <c r="CX216" t="e">
        <f>AND(Bills!Q923,"AAAAAD/s92U=")</f>
        <v>#VALUE!</v>
      </c>
      <c r="CY216" t="e">
        <f>AND(Bills!R923,"AAAAAD/s92Y=")</f>
        <v>#VALUE!</v>
      </c>
      <c r="CZ216" t="e">
        <f>AND(Bills!S923,"AAAAAD/s92c=")</f>
        <v>#VALUE!</v>
      </c>
      <c r="DA216" t="e">
        <f>AND(Bills!T923,"AAAAAD/s92g=")</f>
        <v>#VALUE!</v>
      </c>
      <c r="DB216" t="e">
        <f>AND(Bills!#REF!,"AAAAAD/s92k=")</f>
        <v>#REF!</v>
      </c>
      <c r="DC216" t="e">
        <f>AND(Bills!U923,"AAAAAD/s92o=")</f>
        <v>#VALUE!</v>
      </c>
      <c r="DD216" t="e">
        <f>AND(Bills!V923,"AAAAAD/s92s=")</f>
        <v>#VALUE!</v>
      </c>
      <c r="DE216" t="e">
        <f>AND(Bills!W923,"AAAAAD/s92w=")</f>
        <v>#VALUE!</v>
      </c>
      <c r="DF216" t="e">
        <f>AND(Bills!#REF!,"AAAAAD/s920=")</f>
        <v>#REF!</v>
      </c>
      <c r="DG216" t="e">
        <f>AND(Bills!#REF!,"AAAAAD/s924=")</f>
        <v>#REF!</v>
      </c>
      <c r="DH216" t="e">
        <f>AND(Bills!Y923,"AAAAAD/s928=")</f>
        <v>#VALUE!</v>
      </c>
      <c r="DI216" t="e">
        <f>AND(Bills!Z923,"AAAAAD/s93A=")</f>
        <v>#VALUE!</v>
      </c>
      <c r="DJ216" t="e">
        <f>AND(Bills!#REF!,"AAAAAD/s93E=")</f>
        <v>#REF!</v>
      </c>
      <c r="DK216" t="e">
        <f>AND(Bills!#REF!,"AAAAAD/s93I=")</f>
        <v>#REF!</v>
      </c>
      <c r="DL216" t="e">
        <f>AND(Bills!#REF!,"AAAAAD/s93M=")</f>
        <v>#REF!</v>
      </c>
      <c r="DM216" t="e">
        <f>AND(Bills!#REF!,"AAAAAD/s93Q=")</f>
        <v>#REF!</v>
      </c>
      <c r="DN216" t="e">
        <f>AND(Bills!#REF!,"AAAAAD/s93U=")</f>
        <v>#REF!</v>
      </c>
      <c r="DO216" t="e">
        <f>AND(Bills!#REF!,"AAAAAD/s93Y=")</f>
        <v>#REF!</v>
      </c>
      <c r="DP216" t="e">
        <f>AND(Bills!#REF!,"AAAAAD/s93c=")</f>
        <v>#REF!</v>
      </c>
      <c r="DQ216" t="e">
        <f>AND(Bills!#REF!,"AAAAAD/s93g=")</f>
        <v>#REF!</v>
      </c>
      <c r="DR216" t="e">
        <f>AND(Bills!#REF!,"AAAAAD/s93k=")</f>
        <v>#REF!</v>
      </c>
      <c r="DS216" t="e">
        <f>AND(Bills!AA923,"AAAAAD/s93o=")</f>
        <v>#VALUE!</v>
      </c>
      <c r="DT216" t="e">
        <f>AND(Bills!AB923,"AAAAAD/s93s=")</f>
        <v>#VALUE!</v>
      </c>
      <c r="DU216" t="e">
        <f>AND(Bills!#REF!,"AAAAAD/s93w=")</f>
        <v>#REF!</v>
      </c>
      <c r="DV216" t="e">
        <f>AND(Bills!#REF!,"AAAAAD/s930=")</f>
        <v>#REF!</v>
      </c>
      <c r="DW216" t="e">
        <f>AND(Bills!#REF!,"AAAAAD/s934=")</f>
        <v>#REF!</v>
      </c>
      <c r="DX216" t="e">
        <f>AND(Bills!AC923,"AAAAAD/s938=")</f>
        <v>#VALUE!</v>
      </c>
      <c r="DY216" t="e">
        <f>AND(Bills!AD923,"AAAAAD/s94A=")</f>
        <v>#VALUE!</v>
      </c>
      <c r="DZ216" t="e">
        <f>AND(Bills!AE923,"AAAAAD/s94E=")</f>
        <v>#VALUE!</v>
      </c>
      <c r="EA216">
        <f>IF(Bills!924:924,"AAAAAD/s94I=",0)</f>
        <v>0</v>
      </c>
      <c r="EB216" t="e">
        <f>AND(Bills!B924,"AAAAAD/s94M=")</f>
        <v>#VALUE!</v>
      </c>
      <c r="EC216" t="e">
        <f>AND(Bills!#REF!,"AAAAAD/s94Q=")</f>
        <v>#REF!</v>
      </c>
      <c r="ED216" t="e">
        <f>AND(Bills!C924,"AAAAAD/s94U=")</f>
        <v>#VALUE!</v>
      </c>
      <c r="EE216" t="e">
        <f>AND(Bills!D924,"AAAAAD/s94Y=")</f>
        <v>#VALUE!</v>
      </c>
      <c r="EF216" t="e">
        <f>AND(Bills!E924,"AAAAAD/s94c=")</f>
        <v>#VALUE!</v>
      </c>
      <c r="EG216" t="e">
        <f>AND(Bills!#REF!,"AAAAAD/s94g=")</f>
        <v>#REF!</v>
      </c>
      <c r="EH216" t="e">
        <f>AND(Bills!#REF!,"AAAAAD/s94k=")</f>
        <v>#REF!</v>
      </c>
      <c r="EI216" t="e">
        <f>AND(Bills!#REF!,"AAAAAD/s94o=")</f>
        <v>#REF!</v>
      </c>
      <c r="EJ216" t="e">
        <f>AND(Bills!F924,"AAAAAD/s94s=")</f>
        <v>#VALUE!</v>
      </c>
      <c r="EK216" t="e">
        <f>AND(Bills!#REF!,"AAAAAD/s94w=")</f>
        <v>#REF!</v>
      </c>
      <c r="EL216" t="e">
        <f>AND(Bills!G924,"AAAAAD/s940=")</f>
        <v>#VALUE!</v>
      </c>
      <c r="EM216" t="e">
        <f>AND(Bills!H924,"AAAAAD/s944=")</f>
        <v>#VALUE!</v>
      </c>
      <c r="EN216" t="e">
        <f>AND(Bills!I924,"AAAAAD/s948=")</f>
        <v>#VALUE!</v>
      </c>
      <c r="EO216" t="e">
        <f>AND(Bills!J924,"AAAAAD/s95A=")</f>
        <v>#VALUE!</v>
      </c>
      <c r="EP216" t="e">
        <f>AND(Bills!K924,"AAAAAD/s95E=")</f>
        <v>#VALUE!</v>
      </c>
      <c r="EQ216" t="e">
        <f>AND(Bills!L924,"AAAAAD/s95I=")</f>
        <v>#VALUE!</v>
      </c>
      <c r="ER216" t="e">
        <f>AND(Bills!#REF!,"AAAAAD/s95M=")</f>
        <v>#REF!</v>
      </c>
      <c r="ES216" t="e">
        <f>AND(Bills!M924,"AAAAAD/s95Q=")</f>
        <v>#VALUE!</v>
      </c>
      <c r="ET216" t="e">
        <f>AND(Bills!N924,"AAAAAD/s95U=")</f>
        <v>#VALUE!</v>
      </c>
      <c r="EU216" t="e">
        <f>AND(Bills!O924,"AAAAAD/s95Y=")</f>
        <v>#VALUE!</v>
      </c>
      <c r="EV216" t="e">
        <f>AND(Bills!P924,"AAAAAD/s95c=")</f>
        <v>#VALUE!</v>
      </c>
      <c r="EW216" t="e">
        <f>AND(Bills!Q924,"AAAAAD/s95g=")</f>
        <v>#VALUE!</v>
      </c>
      <c r="EX216" t="e">
        <f>AND(Bills!R924,"AAAAAD/s95k=")</f>
        <v>#VALUE!</v>
      </c>
      <c r="EY216" t="e">
        <f>AND(Bills!S924,"AAAAAD/s95o=")</f>
        <v>#VALUE!</v>
      </c>
      <c r="EZ216" t="e">
        <f>AND(Bills!T924,"AAAAAD/s95s=")</f>
        <v>#VALUE!</v>
      </c>
      <c r="FA216" t="e">
        <f>AND(Bills!#REF!,"AAAAAD/s95w=")</f>
        <v>#REF!</v>
      </c>
      <c r="FB216" t="e">
        <f>AND(Bills!U924,"AAAAAD/s950=")</f>
        <v>#VALUE!</v>
      </c>
      <c r="FC216" t="e">
        <f>AND(Bills!V924,"AAAAAD/s954=")</f>
        <v>#VALUE!</v>
      </c>
      <c r="FD216" t="e">
        <f>AND(Bills!W924,"AAAAAD/s958=")</f>
        <v>#VALUE!</v>
      </c>
      <c r="FE216" t="e">
        <f>AND(Bills!#REF!,"AAAAAD/s96A=")</f>
        <v>#REF!</v>
      </c>
      <c r="FF216" t="e">
        <f>AND(Bills!#REF!,"AAAAAD/s96E=")</f>
        <v>#REF!</v>
      </c>
      <c r="FG216" t="e">
        <f>AND(Bills!Y924,"AAAAAD/s96I=")</f>
        <v>#VALUE!</v>
      </c>
      <c r="FH216" t="e">
        <f>AND(Bills!Z924,"AAAAAD/s96M=")</f>
        <v>#VALUE!</v>
      </c>
      <c r="FI216" t="e">
        <f>AND(Bills!#REF!,"AAAAAD/s96Q=")</f>
        <v>#REF!</v>
      </c>
      <c r="FJ216" t="e">
        <f>AND(Bills!#REF!,"AAAAAD/s96U=")</f>
        <v>#REF!</v>
      </c>
      <c r="FK216" t="e">
        <f>AND(Bills!#REF!,"AAAAAD/s96Y=")</f>
        <v>#REF!</v>
      </c>
      <c r="FL216" t="e">
        <f>AND(Bills!#REF!,"AAAAAD/s96c=")</f>
        <v>#REF!</v>
      </c>
      <c r="FM216" t="e">
        <f>AND(Bills!#REF!,"AAAAAD/s96g=")</f>
        <v>#REF!</v>
      </c>
      <c r="FN216" t="e">
        <f>AND(Bills!#REF!,"AAAAAD/s96k=")</f>
        <v>#REF!</v>
      </c>
      <c r="FO216" t="e">
        <f>AND(Bills!#REF!,"AAAAAD/s96o=")</f>
        <v>#REF!</v>
      </c>
      <c r="FP216" t="e">
        <f>AND(Bills!#REF!,"AAAAAD/s96s=")</f>
        <v>#REF!</v>
      </c>
      <c r="FQ216" t="e">
        <f>AND(Bills!#REF!,"AAAAAD/s96w=")</f>
        <v>#REF!</v>
      </c>
      <c r="FR216" t="e">
        <f>AND(Bills!AA924,"AAAAAD/s960=")</f>
        <v>#VALUE!</v>
      </c>
      <c r="FS216" t="e">
        <f>AND(Bills!AB924,"AAAAAD/s964=")</f>
        <v>#VALUE!</v>
      </c>
      <c r="FT216" t="e">
        <f>AND(Bills!#REF!,"AAAAAD/s968=")</f>
        <v>#REF!</v>
      </c>
      <c r="FU216" t="e">
        <f>AND(Bills!#REF!,"AAAAAD/s97A=")</f>
        <v>#REF!</v>
      </c>
      <c r="FV216" t="e">
        <f>AND(Bills!#REF!,"AAAAAD/s97E=")</f>
        <v>#REF!</v>
      </c>
      <c r="FW216" t="e">
        <f>AND(Bills!AC924,"AAAAAD/s97I=")</f>
        <v>#VALUE!</v>
      </c>
      <c r="FX216" t="e">
        <f>AND(Bills!AD924,"AAAAAD/s97M=")</f>
        <v>#VALUE!</v>
      </c>
      <c r="FY216" t="e">
        <f>AND(Bills!AE924,"AAAAAD/s97Q=")</f>
        <v>#VALUE!</v>
      </c>
      <c r="FZ216">
        <f>IF(Bills!925:925,"AAAAAD/s97U=",0)</f>
        <v>0</v>
      </c>
      <c r="GA216" t="e">
        <f>AND(Bills!B925,"AAAAAD/s97Y=")</f>
        <v>#VALUE!</v>
      </c>
      <c r="GB216" t="e">
        <f>AND(Bills!#REF!,"AAAAAD/s97c=")</f>
        <v>#REF!</v>
      </c>
      <c r="GC216" t="e">
        <f>AND(Bills!C925,"AAAAAD/s97g=")</f>
        <v>#VALUE!</v>
      </c>
      <c r="GD216" t="e">
        <f>AND(Bills!D925,"AAAAAD/s97k=")</f>
        <v>#VALUE!</v>
      </c>
      <c r="GE216" t="e">
        <f>AND(Bills!E925,"AAAAAD/s97o=")</f>
        <v>#VALUE!</v>
      </c>
      <c r="GF216" t="e">
        <f>AND(Bills!#REF!,"AAAAAD/s97s=")</f>
        <v>#REF!</v>
      </c>
      <c r="GG216" t="e">
        <f>AND(Bills!#REF!,"AAAAAD/s97w=")</f>
        <v>#REF!</v>
      </c>
      <c r="GH216" t="e">
        <f>AND(Bills!#REF!,"AAAAAD/s970=")</f>
        <v>#REF!</v>
      </c>
      <c r="GI216" t="e">
        <f>AND(Bills!F925,"AAAAAD/s974=")</f>
        <v>#VALUE!</v>
      </c>
      <c r="GJ216" t="e">
        <f>AND(Bills!#REF!,"AAAAAD/s978=")</f>
        <v>#REF!</v>
      </c>
      <c r="GK216" t="e">
        <f>AND(Bills!G925,"AAAAAD/s98A=")</f>
        <v>#VALUE!</v>
      </c>
      <c r="GL216" t="e">
        <f>AND(Bills!H925,"AAAAAD/s98E=")</f>
        <v>#VALUE!</v>
      </c>
      <c r="GM216" t="e">
        <f>AND(Bills!I925,"AAAAAD/s98I=")</f>
        <v>#VALUE!</v>
      </c>
      <c r="GN216" t="e">
        <f>AND(Bills!J925,"AAAAAD/s98M=")</f>
        <v>#VALUE!</v>
      </c>
      <c r="GO216" t="e">
        <f>AND(Bills!K925,"AAAAAD/s98Q=")</f>
        <v>#VALUE!</v>
      </c>
      <c r="GP216" t="e">
        <f>AND(Bills!L925,"AAAAAD/s98U=")</f>
        <v>#VALUE!</v>
      </c>
      <c r="GQ216" t="e">
        <f>AND(Bills!#REF!,"AAAAAD/s98Y=")</f>
        <v>#REF!</v>
      </c>
      <c r="GR216" t="e">
        <f>AND(Bills!M925,"AAAAAD/s98c=")</f>
        <v>#VALUE!</v>
      </c>
      <c r="GS216" t="e">
        <f>AND(Bills!N925,"AAAAAD/s98g=")</f>
        <v>#VALUE!</v>
      </c>
      <c r="GT216" t="e">
        <f>AND(Bills!O925,"AAAAAD/s98k=")</f>
        <v>#VALUE!</v>
      </c>
      <c r="GU216" t="e">
        <f>AND(Bills!P925,"AAAAAD/s98o=")</f>
        <v>#VALUE!</v>
      </c>
      <c r="GV216" t="e">
        <f>AND(Bills!Q925,"AAAAAD/s98s=")</f>
        <v>#VALUE!</v>
      </c>
      <c r="GW216" t="e">
        <f>AND(Bills!R925,"AAAAAD/s98w=")</f>
        <v>#VALUE!</v>
      </c>
      <c r="GX216" t="e">
        <f>AND(Bills!S925,"AAAAAD/s980=")</f>
        <v>#VALUE!</v>
      </c>
      <c r="GY216" t="e">
        <f>AND(Bills!T925,"AAAAAD/s984=")</f>
        <v>#VALUE!</v>
      </c>
      <c r="GZ216" t="e">
        <f>AND(Bills!#REF!,"AAAAAD/s988=")</f>
        <v>#REF!</v>
      </c>
      <c r="HA216" t="e">
        <f>AND(Bills!U925,"AAAAAD/s99A=")</f>
        <v>#VALUE!</v>
      </c>
      <c r="HB216" t="e">
        <f>AND(Bills!V925,"AAAAAD/s99E=")</f>
        <v>#VALUE!</v>
      </c>
      <c r="HC216" t="e">
        <f>AND(Bills!W925,"AAAAAD/s99I=")</f>
        <v>#VALUE!</v>
      </c>
      <c r="HD216" t="e">
        <f>AND(Bills!#REF!,"AAAAAD/s99M=")</f>
        <v>#REF!</v>
      </c>
      <c r="HE216" t="e">
        <f>AND(Bills!#REF!,"AAAAAD/s99Q=")</f>
        <v>#REF!</v>
      </c>
      <c r="HF216" t="e">
        <f>AND(Bills!Y925,"AAAAAD/s99U=")</f>
        <v>#VALUE!</v>
      </c>
      <c r="HG216" t="e">
        <f>AND(Bills!Z925,"AAAAAD/s99Y=")</f>
        <v>#VALUE!</v>
      </c>
      <c r="HH216" t="e">
        <f>AND(Bills!#REF!,"AAAAAD/s99c=")</f>
        <v>#REF!</v>
      </c>
      <c r="HI216" t="e">
        <f>AND(Bills!#REF!,"AAAAAD/s99g=")</f>
        <v>#REF!</v>
      </c>
      <c r="HJ216" t="e">
        <f>AND(Bills!#REF!,"AAAAAD/s99k=")</f>
        <v>#REF!</v>
      </c>
      <c r="HK216" t="e">
        <f>AND(Bills!#REF!,"AAAAAD/s99o=")</f>
        <v>#REF!</v>
      </c>
      <c r="HL216" t="e">
        <f>AND(Bills!#REF!,"AAAAAD/s99s=")</f>
        <v>#REF!</v>
      </c>
      <c r="HM216" t="e">
        <f>AND(Bills!#REF!,"AAAAAD/s99w=")</f>
        <v>#REF!</v>
      </c>
      <c r="HN216" t="e">
        <f>AND(Bills!#REF!,"AAAAAD/s990=")</f>
        <v>#REF!</v>
      </c>
      <c r="HO216" t="e">
        <f>AND(Bills!#REF!,"AAAAAD/s994=")</f>
        <v>#REF!</v>
      </c>
      <c r="HP216" t="e">
        <f>AND(Bills!#REF!,"AAAAAD/s998=")</f>
        <v>#REF!</v>
      </c>
      <c r="HQ216" t="e">
        <f>AND(Bills!AA925,"AAAAAD/s9+A=")</f>
        <v>#VALUE!</v>
      </c>
      <c r="HR216" t="e">
        <f>AND(Bills!AB925,"AAAAAD/s9+E=")</f>
        <v>#VALUE!</v>
      </c>
      <c r="HS216" t="e">
        <f>AND(Bills!#REF!,"AAAAAD/s9+I=")</f>
        <v>#REF!</v>
      </c>
      <c r="HT216" t="e">
        <f>AND(Bills!#REF!,"AAAAAD/s9+M=")</f>
        <v>#REF!</v>
      </c>
      <c r="HU216" t="e">
        <f>AND(Bills!#REF!,"AAAAAD/s9+Q=")</f>
        <v>#REF!</v>
      </c>
      <c r="HV216" t="e">
        <f>AND(Bills!AC925,"AAAAAD/s9+U=")</f>
        <v>#VALUE!</v>
      </c>
      <c r="HW216" t="e">
        <f>AND(Bills!AD925,"AAAAAD/s9+Y=")</f>
        <v>#VALUE!</v>
      </c>
      <c r="HX216" t="e">
        <f>AND(Bills!AE925,"AAAAAD/s9+c=")</f>
        <v>#VALUE!</v>
      </c>
      <c r="HY216">
        <f>IF(Bills!926:926,"AAAAAD/s9+g=",0)</f>
        <v>0</v>
      </c>
      <c r="HZ216" t="e">
        <f>AND(Bills!B926,"AAAAAD/s9+k=")</f>
        <v>#VALUE!</v>
      </c>
      <c r="IA216" t="e">
        <f>AND(Bills!#REF!,"AAAAAD/s9+o=")</f>
        <v>#REF!</v>
      </c>
      <c r="IB216" t="e">
        <f>AND(Bills!C926,"AAAAAD/s9+s=")</f>
        <v>#VALUE!</v>
      </c>
      <c r="IC216" t="e">
        <f>AND(Bills!D926,"AAAAAD/s9+w=")</f>
        <v>#VALUE!</v>
      </c>
      <c r="ID216" t="e">
        <f>AND(Bills!E926,"AAAAAD/s9+0=")</f>
        <v>#VALUE!</v>
      </c>
      <c r="IE216" t="e">
        <f>AND(Bills!#REF!,"AAAAAD/s9+4=")</f>
        <v>#REF!</v>
      </c>
      <c r="IF216" t="e">
        <f>AND(Bills!#REF!,"AAAAAD/s9+8=")</f>
        <v>#REF!</v>
      </c>
      <c r="IG216" t="e">
        <f>AND(Bills!#REF!,"AAAAAD/s9/A=")</f>
        <v>#REF!</v>
      </c>
      <c r="IH216" t="e">
        <f>AND(Bills!F926,"AAAAAD/s9/E=")</f>
        <v>#VALUE!</v>
      </c>
      <c r="II216" t="e">
        <f>AND(Bills!#REF!,"AAAAAD/s9/I=")</f>
        <v>#REF!</v>
      </c>
      <c r="IJ216" t="e">
        <f>AND(Bills!G926,"AAAAAD/s9/M=")</f>
        <v>#VALUE!</v>
      </c>
      <c r="IK216" t="e">
        <f>AND(Bills!H926,"AAAAAD/s9/Q=")</f>
        <v>#VALUE!</v>
      </c>
      <c r="IL216" t="e">
        <f>AND(Bills!I926,"AAAAAD/s9/U=")</f>
        <v>#VALUE!</v>
      </c>
      <c r="IM216" t="e">
        <f>AND(Bills!J926,"AAAAAD/s9/Y=")</f>
        <v>#VALUE!</v>
      </c>
      <c r="IN216" t="e">
        <f>AND(Bills!K926,"AAAAAD/s9/c=")</f>
        <v>#VALUE!</v>
      </c>
      <c r="IO216" t="e">
        <f>AND(Bills!L926,"AAAAAD/s9/g=")</f>
        <v>#VALUE!</v>
      </c>
      <c r="IP216" t="e">
        <f>AND(Bills!#REF!,"AAAAAD/s9/k=")</f>
        <v>#REF!</v>
      </c>
      <c r="IQ216" t="e">
        <f>AND(Bills!M926,"AAAAAD/s9/o=")</f>
        <v>#VALUE!</v>
      </c>
      <c r="IR216" t="e">
        <f>AND(Bills!N926,"AAAAAD/s9/s=")</f>
        <v>#VALUE!</v>
      </c>
      <c r="IS216" t="e">
        <f>AND(Bills!O926,"AAAAAD/s9/w=")</f>
        <v>#VALUE!</v>
      </c>
      <c r="IT216" t="e">
        <f>AND(Bills!P926,"AAAAAD/s9/0=")</f>
        <v>#VALUE!</v>
      </c>
      <c r="IU216" t="e">
        <f>AND(Bills!Q926,"AAAAAD/s9/4=")</f>
        <v>#VALUE!</v>
      </c>
      <c r="IV216" t="e">
        <f>AND(Bills!R926,"AAAAAD/s9/8=")</f>
        <v>#VALUE!</v>
      </c>
    </row>
    <row r="217" spans="1:256" x14ac:dyDescent="0.25">
      <c r="A217" t="e">
        <f>AND(Bills!S926,"AAAAAG6/mAA=")</f>
        <v>#VALUE!</v>
      </c>
      <c r="B217" t="e">
        <f>AND(Bills!T926,"AAAAAG6/mAE=")</f>
        <v>#VALUE!</v>
      </c>
      <c r="C217" t="e">
        <f>AND(Bills!#REF!,"AAAAAG6/mAI=")</f>
        <v>#REF!</v>
      </c>
      <c r="D217" t="e">
        <f>AND(Bills!U926,"AAAAAG6/mAM=")</f>
        <v>#VALUE!</v>
      </c>
      <c r="E217" t="e">
        <f>AND(Bills!V926,"AAAAAG6/mAQ=")</f>
        <v>#VALUE!</v>
      </c>
      <c r="F217" t="e">
        <f>AND(Bills!W926,"AAAAAG6/mAU=")</f>
        <v>#VALUE!</v>
      </c>
      <c r="G217" t="e">
        <f>AND(Bills!#REF!,"AAAAAG6/mAY=")</f>
        <v>#REF!</v>
      </c>
      <c r="H217" t="e">
        <f>AND(Bills!#REF!,"AAAAAG6/mAc=")</f>
        <v>#REF!</v>
      </c>
      <c r="I217" t="e">
        <f>AND(Bills!Y926,"AAAAAG6/mAg=")</f>
        <v>#VALUE!</v>
      </c>
      <c r="J217" t="e">
        <f>AND(Bills!Z926,"AAAAAG6/mAk=")</f>
        <v>#VALUE!</v>
      </c>
      <c r="K217" t="e">
        <f>AND(Bills!#REF!,"AAAAAG6/mAo=")</f>
        <v>#REF!</v>
      </c>
      <c r="L217" t="e">
        <f>AND(Bills!#REF!,"AAAAAG6/mAs=")</f>
        <v>#REF!</v>
      </c>
      <c r="M217" t="e">
        <f>AND(Bills!#REF!,"AAAAAG6/mAw=")</f>
        <v>#REF!</v>
      </c>
      <c r="N217" t="e">
        <f>AND(Bills!#REF!,"AAAAAG6/mA0=")</f>
        <v>#REF!</v>
      </c>
      <c r="O217" t="e">
        <f>AND(Bills!#REF!,"AAAAAG6/mA4=")</f>
        <v>#REF!</v>
      </c>
      <c r="P217" t="e">
        <f>AND(Bills!#REF!,"AAAAAG6/mA8=")</f>
        <v>#REF!</v>
      </c>
      <c r="Q217" t="e">
        <f>AND(Bills!#REF!,"AAAAAG6/mBA=")</f>
        <v>#REF!</v>
      </c>
      <c r="R217" t="e">
        <f>AND(Bills!#REF!,"AAAAAG6/mBE=")</f>
        <v>#REF!</v>
      </c>
      <c r="S217" t="e">
        <f>AND(Bills!#REF!,"AAAAAG6/mBI=")</f>
        <v>#REF!</v>
      </c>
      <c r="T217" t="e">
        <f>AND(Bills!AA926,"AAAAAG6/mBM=")</f>
        <v>#VALUE!</v>
      </c>
      <c r="U217" t="e">
        <f>AND(Bills!AB926,"AAAAAG6/mBQ=")</f>
        <v>#VALUE!</v>
      </c>
      <c r="V217" t="e">
        <f>AND(Bills!#REF!,"AAAAAG6/mBU=")</f>
        <v>#REF!</v>
      </c>
      <c r="W217" t="e">
        <f>AND(Bills!#REF!,"AAAAAG6/mBY=")</f>
        <v>#REF!</v>
      </c>
      <c r="X217" t="e">
        <f>AND(Bills!#REF!,"AAAAAG6/mBc=")</f>
        <v>#REF!</v>
      </c>
      <c r="Y217" t="e">
        <f>AND(Bills!AC926,"AAAAAG6/mBg=")</f>
        <v>#VALUE!</v>
      </c>
      <c r="Z217" t="e">
        <f>AND(Bills!AD926,"AAAAAG6/mBk=")</f>
        <v>#VALUE!</v>
      </c>
      <c r="AA217" t="e">
        <f>AND(Bills!AE926,"AAAAAG6/mBo=")</f>
        <v>#VALUE!</v>
      </c>
      <c r="AB217">
        <f>IF(Bills!927:927,"AAAAAG6/mBs=",0)</f>
        <v>0</v>
      </c>
      <c r="AC217" t="e">
        <f>AND(Bills!B927,"AAAAAG6/mBw=")</f>
        <v>#VALUE!</v>
      </c>
      <c r="AD217" t="e">
        <f>AND(Bills!#REF!,"AAAAAG6/mB0=")</f>
        <v>#REF!</v>
      </c>
      <c r="AE217" t="e">
        <f>AND(Bills!C927,"AAAAAG6/mB4=")</f>
        <v>#VALUE!</v>
      </c>
      <c r="AF217" t="e">
        <f>AND(Bills!D927,"AAAAAG6/mB8=")</f>
        <v>#VALUE!</v>
      </c>
      <c r="AG217" t="e">
        <f>AND(Bills!E927,"AAAAAG6/mCA=")</f>
        <v>#VALUE!</v>
      </c>
      <c r="AH217" t="e">
        <f>AND(Bills!#REF!,"AAAAAG6/mCE=")</f>
        <v>#REF!</v>
      </c>
      <c r="AI217" t="e">
        <f>AND(Bills!#REF!,"AAAAAG6/mCI=")</f>
        <v>#REF!</v>
      </c>
      <c r="AJ217" t="e">
        <f>AND(Bills!#REF!,"AAAAAG6/mCM=")</f>
        <v>#REF!</v>
      </c>
      <c r="AK217" t="e">
        <f>AND(Bills!F927,"AAAAAG6/mCQ=")</f>
        <v>#VALUE!</v>
      </c>
      <c r="AL217" t="e">
        <f>AND(Bills!#REF!,"AAAAAG6/mCU=")</f>
        <v>#REF!</v>
      </c>
      <c r="AM217" t="e">
        <f>AND(Bills!G927,"AAAAAG6/mCY=")</f>
        <v>#VALUE!</v>
      </c>
      <c r="AN217" t="e">
        <f>AND(Bills!H927,"AAAAAG6/mCc=")</f>
        <v>#VALUE!</v>
      </c>
      <c r="AO217" t="e">
        <f>AND(Bills!I927,"AAAAAG6/mCg=")</f>
        <v>#VALUE!</v>
      </c>
      <c r="AP217" t="e">
        <f>AND(Bills!J927,"AAAAAG6/mCk=")</f>
        <v>#VALUE!</v>
      </c>
      <c r="AQ217" t="e">
        <f>AND(Bills!K927,"AAAAAG6/mCo=")</f>
        <v>#VALUE!</v>
      </c>
      <c r="AR217" t="e">
        <f>AND(Bills!L927,"AAAAAG6/mCs=")</f>
        <v>#VALUE!</v>
      </c>
      <c r="AS217" t="e">
        <f>AND(Bills!#REF!,"AAAAAG6/mCw=")</f>
        <v>#REF!</v>
      </c>
      <c r="AT217" t="e">
        <f>AND(Bills!M927,"AAAAAG6/mC0=")</f>
        <v>#VALUE!</v>
      </c>
      <c r="AU217" t="e">
        <f>AND(Bills!N927,"AAAAAG6/mC4=")</f>
        <v>#VALUE!</v>
      </c>
      <c r="AV217" t="e">
        <f>AND(Bills!O927,"AAAAAG6/mC8=")</f>
        <v>#VALUE!</v>
      </c>
      <c r="AW217" t="e">
        <f>AND(Bills!P927,"AAAAAG6/mDA=")</f>
        <v>#VALUE!</v>
      </c>
      <c r="AX217" t="e">
        <f>AND(Bills!Q927,"AAAAAG6/mDE=")</f>
        <v>#VALUE!</v>
      </c>
      <c r="AY217" t="e">
        <f>AND(Bills!R927,"AAAAAG6/mDI=")</f>
        <v>#VALUE!</v>
      </c>
      <c r="AZ217" t="e">
        <f>AND(Bills!S927,"AAAAAG6/mDM=")</f>
        <v>#VALUE!</v>
      </c>
      <c r="BA217" t="e">
        <f>AND(Bills!T927,"AAAAAG6/mDQ=")</f>
        <v>#VALUE!</v>
      </c>
      <c r="BB217" t="e">
        <f>AND(Bills!#REF!,"AAAAAG6/mDU=")</f>
        <v>#REF!</v>
      </c>
      <c r="BC217" t="e">
        <f>AND(Bills!U927,"AAAAAG6/mDY=")</f>
        <v>#VALUE!</v>
      </c>
      <c r="BD217" t="e">
        <f>AND(Bills!V927,"AAAAAG6/mDc=")</f>
        <v>#VALUE!</v>
      </c>
      <c r="BE217" t="e">
        <f>AND(Bills!W927,"AAAAAG6/mDg=")</f>
        <v>#VALUE!</v>
      </c>
      <c r="BF217" t="e">
        <f>AND(Bills!#REF!,"AAAAAG6/mDk=")</f>
        <v>#REF!</v>
      </c>
      <c r="BG217" t="e">
        <f>AND(Bills!#REF!,"AAAAAG6/mDo=")</f>
        <v>#REF!</v>
      </c>
      <c r="BH217" t="e">
        <f>AND(Bills!Y927,"AAAAAG6/mDs=")</f>
        <v>#VALUE!</v>
      </c>
      <c r="BI217" t="e">
        <f>AND(Bills!Z927,"AAAAAG6/mDw=")</f>
        <v>#VALUE!</v>
      </c>
      <c r="BJ217" t="e">
        <f>AND(Bills!#REF!,"AAAAAG6/mD0=")</f>
        <v>#REF!</v>
      </c>
      <c r="BK217" t="e">
        <f>AND(Bills!#REF!,"AAAAAG6/mD4=")</f>
        <v>#REF!</v>
      </c>
      <c r="BL217" t="e">
        <f>AND(Bills!#REF!,"AAAAAG6/mD8=")</f>
        <v>#REF!</v>
      </c>
      <c r="BM217" t="e">
        <f>AND(Bills!#REF!,"AAAAAG6/mEA=")</f>
        <v>#REF!</v>
      </c>
      <c r="BN217" t="e">
        <f>AND(Bills!#REF!,"AAAAAG6/mEE=")</f>
        <v>#REF!</v>
      </c>
      <c r="BO217" t="e">
        <f>AND(Bills!#REF!,"AAAAAG6/mEI=")</f>
        <v>#REF!</v>
      </c>
      <c r="BP217" t="e">
        <f>AND(Bills!#REF!,"AAAAAG6/mEM=")</f>
        <v>#REF!</v>
      </c>
      <c r="BQ217" t="e">
        <f>AND(Bills!#REF!,"AAAAAG6/mEQ=")</f>
        <v>#REF!</v>
      </c>
      <c r="BR217" t="e">
        <f>AND(Bills!#REF!,"AAAAAG6/mEU=")</f>
        <v>#REF!</v>
      </c>
      <c r="BS217" t="e">
        <f>AND(Bills!AA927,"AAAAAG6/mEY=")</f>
        <v>#VALUE!</v>
      </c>
      <c r="BT217" t="e">
        <f>AND(Bills!AB927,"AAAAAG6/mEc=")</f>
        <v>#VALUE!</v>
      </c>
      <c r="BU217" t="e">
        <f>AND(Bills!#REF!,"AAAAAG6/mEg=")</f>
        <v>#REF!</v>
      </c>
      <c r="BV217" t="e">
        <f>AND(Bills!#REF!,"AAAAAG6/mEk=")</f>
        <v>#REF!</v>
      </c>
      <c r="BW217" t="e">
        <f>AND(Bills!#REF!,"AAAAAG6/mEo=")</f>
        <v>#REF!</v>
      </c>
      <c r="BX217" t="e">
        <f>AND(Bills!AC927,"AAAAAG6/mEs=")</f>
        <v>#VALUE!</v>
      </c>
      <c r="BY217" t="e">
        <f>AND(Bills!AD927,"AAAAAG6/mEw=")</f>
        <v>#VALUE!</v>
      </c>
      <c r="BZ217" t="e">
        <f>AND(Bills!AE927,"AAAAAG6/mE0=")</f>
        <v>#VALUE!</v>
      </c>
      <c r="CA217">
        <f>IF(Bills!928:928,"AAAAAG6/mE4=",0)</f>
        <v>0</v>
      </c>
      <c r="CB217" t="e">
        <f>AND(Bills!B928,"AAAAAG6/mE8=")</f>
        <v>#VALUE!</v>
      </c>
      <c r="CC217" t="e">
        <f>AND(Bills!#REF!,"AAAAAG6/mFA=")</f>
        <v>#REF!</v>
      </c>
      <c r="CD217" t="e">
        <f>AND(Bills!C928,"AAAAAG6/mFE=")</f>
        <v>#VALUE!</v>
      </c>
      <c r="CE217" t="e">
        <f>AND(Bills!D928,"AAAAAG6/mFI=")</f>
        <v>#VALUE!</v>
      </c>
      <c r="CF217" t="e">
        <f>AND(Bills!E928,"AAAAAG6/mFM=")</f>
        <v>#VALUE!</v>
      </c>
      <c r="CG217" t="e">
        <f>AND(Bills!#REF!,"AAAAAG6/mFQ=")</f>
        <v>#REF!</v>
      </c>
      <c r="CH217" t="e">
        <f>AND(Bills!#REF!,"AAAAAG6/mFU=")</f>
        <v>#REF!</v>
      </c>
      <c r="CI217" t="e">
        <f>AND(Bills!#REF!,"AAAAAG6/mFY=")</f>
        <v>#REF!</v>
      </c>
      <c r="CJ217" t="e">
        <f>AND(Bills!F928,"AAAAAG6/mFc=")</f>
        <v>#VALUE!</v>
      </c>
      <c r="CK217" t="e">
        <f>AND(Bills!#REF!,"AAAAAG6/mFg=")</f>
        <v>#REF!</v>
      </c>
      <c r="CL217" t="e">
        <f>AND(Bills!G928,"AAAAAG6/mFk=")</f>
        <v>#VALUE!</v>
      </c>
      <c r="CM217" t="e">
        <f>AND(Bills!H928,"AAAAAG6/mFo=")</f>
        <v>#VALUE!</v>
      </c>
      <c r="CN217" t="e">
        <f>AND(Bills!I928,"AAAAAG6/mFs=")</f>
        <v>#VALUE!</v>
      </c>
      <c r="CO217" t="e">
        <f>AND(Bills!J928,"AAAAAG6/mFw=")</f>
        <v>#VALUE!</v>
      </c>
      <c r="CP217" t="e">
        <f>AND(Bills!K928,"AAAAAG6/mF0=")</f>
        <v>#VALUE!</v>
      </c>
      <c r="CQ217" t="e">
        <f>AND(Bills!L928,"AAAAAG6/mF4=")</f>
        <v>#VALUE!</v>
      </c>
      <c r="CR217" t="e">
        <f>AND(Bills!#REF!,"AAAAAG6/mF8=")</f>
        <v>#REF!</v>
      </c>
      <c r="CS217" t="e">
        <f>AND(Bills!M928,"AAAAAG6/mGA=")</f>
        <v>#VALUE!</v>
      </c>
      <c r="CT217" t="e">
        <f>AND(Bills!N928,"AAAAAG6/mGE=")</f>
        <v>#VALUE!</v>
      </c>
      <c r="CU217" t="e">
        <f>AND(Bills!O928,"AAAAAG6/mGI=")</f>
        <v>#VALUE!</v>
      </c>
      <c r="CV217" t="e">
        <f>AND(Bills!P928,"AAAAAG6/mGM=")</f>
        <v>#VALUE!</v>
      </c>
      <c r="CW217" t="e">
        <f>AND(Bills!Q928,"AAAAAG6/mGQ=")</f>
        <v>#VALUE!</v>
      </c>
      <c r="CX217" t="e">
        <f>AND(Bills!R928,"AAAAAG6/mGU=")</f>
        <v>#VALUE!</v>
      </c>
      <c r="CY217" t="e">
        <f>AND(Bills!S928,"AAAAAG6/mGY=")</f>
        <v>#VALUE!</v>
      </c>
      <c r="CZ217" t="e">
        <f>AND(Bills!T928,"AAAAAG6/mGc=")</f>
        <v>#VALUE!</v>
      </c>
      <c r="DA217" t="e">
        <f>AND(Bills!#REF!,"AAAAAG6/mGg=")</f>
        <v>#REF!</v>
      </c>
      <c r="DB217" t="e">
        <f>AND(Bills!U928,"AAAAAG6/mGk=")</f>
        <v>#VALUE!</v>
      </c>
      <c r="DC217" t="e">
        <f>AND(Bills!V928,"AAAAAG6/mGo=")</f>
        <v>#VALUE!</v>
      </c>
      <c r="DD217" t="e">
        <f>AND(Bills!W928,"AAAAAG6/mGs=")</f>
        <v>#VALUE!</v>
      </c>
      <c r="DE217" t="e">
        <f>AND(Bills!#REF!,"AAAAAG6/mGw=")</f>
        <v>#REF!</v>
      </c>
      <c r="DF217" t="e">
        <f>AND(Bills!#REF!,"AAAAAG6/mG0=")</f>
        <v>#REF!</v>
      </c>
      <c r="DG217" t="e">
        <f>AND(Bills!Y928,"AAAAAG6/mG4=")</f>
        <v>#VALUE!</v>
      </c>
      <c r="DH217" t="e">
        <f>AND(Bills!Z928,"AAAAAG6/mG8=")</f>
        <v>#VALUE!</v>
      </c>
      <c r="DI217" t="e">
        <f>AND(Bills!#REF!,"AAAAAG6/mHA=")</f>
        <v>#REF!</v>
      </c>
      <c r="DJ217" t="e">
        <f>AND(Bills!#REF!,"AAAAAG6/mHE=")</f>
        <v>#REF!</v>
      </c>
      <c r="DK217" t="e">
        <f>AND(Bills!#REF!,"AAAAAG6/mHI=")</f>
        <v>#REF!</v>
      </c>
      <c r="DL217" t="e">
        <f>AND(Bills!#REF!,"AAAAAG6/mHM=")</f>
        <v>#REF!</v>
      </c>
      <c r="DM217" t="e">
        <f>AND(Bills!#REF!,"AAAAAG6/mHQ=")</f>
        <v>#REF!</v>
      </c>
      <c r="DN217" t="e">
        <f>AND(Bills!#REF!,"AAAAAG6/mHU=")</f>
        <v>#REF!</v>
      </c>
      <c r="DO217" t="e">
        <f>AND(Bills!#REF!,"AAAAAG6/mHY=")</f>
        <v>#REF!</v>
      </c>
      <c r="DP217" t="e">
        <f>AND(Bills!#REF!,"AAAAAG6/mHc=")</f>
        <v>#REF!</v>
      </c>
      <c r="DQ217" t="e">
        <f>AND(Bills!#REF!,"AAAAAG6/mHg=")</f>
        <v>#REF!</v>
      </c>
      <c r="DR217" t="e">
        <f>AND(Bills!AA928,"AAAAAG6/mHk=")</f>
        <v>#VALUE!</v>
      </c>
      <c r="DS217" t="e">
        <f>AND(Bills!AB928,"AAAAAG6/mHo=")</f>
        <v>#VALUE!</v>
      </c>
      <c r="DT217" t="e">
        <f>AND(Bills!#REF!,"AAAAAG6/mHs=")</f>
        <v>#REF!</v>
      </c>
      <c r="DU217" t="e">
        <f>AND(Bills!#REF!,"AAAAAG6/mHw=")</f>
        <v>#REF!</v>
      </c>
      <c r="DV217" t="e">
        <f>AND(Bills!#REF!,"AAAAAG6/mH0=")</f>
        <v>#REF!</v>
      </c>
      <c r="DW217" t="e">
        <f>AND(Bills!AC928,"AAAAAG6/mH4=")</f>
        <v>#VALUE!</v>
      </c>
      <c r="DX217" t="e">
        <f>AND(Bills!AD928,"AAAAAG6/mH8=")</f>
        <v>#VALUE!</v>
      </c>
      <c r="DY217" t="e">
        <f>AND(Bills!AE928,"AAAAAG6/mIA=")</f>
        <v>#VALUE!</v>
      </c>
      <c r="DZ217">
        <f>IF(Bills!929:929,"AAAAAG6/mIE=",0)</f>
        <v>0</v>
      </c>
      <c r="EA217" t="e">
        <f>AND(Bills!B929,"AAAAAG6/mII=")</f>
        <v>#VALUE!</v>
      </c>
      <c r="EB217" t="e">
        <f>AND(Bills!#REF!,"AAAAAG6/mIM=")</f>
        <v>#REF!</v>
      </c>
      <c r="EC217" t="e">
        <f>AND(Bills!C929,"AAAAAG6/mIQ=")</f>
        <v>#VALUE!</v>
      </c>
      <c r="ED217" t="e">
        <f>AND(Bills!D929,"AAAAAG6/mIU=")</f>
        <v>#VALUE!</v>
      </c>
      <c r="EE217" t="e">
        <f>AND(Bills!E929,"AAAAAG6/mIY=")</f>
        <v>#VALUE!</v>
      </c>
      <c r="EF217" t="e">
        <f>AND(Bills!#REF!,"AAAAAG6/mIc=")</f>
        <v>#REF!</v>
      </c>
      <c r="EG217" t="e">
        <f>AND(Bills!#REF!,"AAAAAG6/mIg=")</f>
        <v>#REF!</v>
      </c>
      <c r="EH217" t="e">
        <f>AND(Bills!#REF!,"AAAAAG6/mIk=")</f>
        <v>#REF!</v>
      </c>
      <c r="EI217" t="e">
        <f>AND(Bills!F929,"AAAAAG6/mIo=")</f>
        <v>#VALUE!</v>
      </c>
      <c r="EJ217" t="e">
        <f>AND(Bills!#REF!,"AAAAAG6/mIs=")</f>
        <v>#REF!</v>
      </c>
      <c r="EK217" t="e">
        <f>AND(Bills!G929,"AAAAAG6/mIw=")</f>
        <v>#VALUE!</v>
      </c>
      <c r="EL217" t="e">
        <f>AND(Bills!H929,"AAAAAG6/mI0=")</f>
        <v>#VALUE!</v>
      </c>
      <c r="EM217" t="e">
        <f>AND(Bills!I929,"AAAAAG6/mI4=")</f>
        <v>#VALUE!</v>
      </c>
      <c r="EN217" t="e">
        <f>AND(Bills!J929,"AAAAAG6/mI8=")</f>
        <v>#VALUE!</v>
      </c>
      <c r="EO217" t="e">
        <f>AND(Bills!K929,"AAAAAG6/mJA=")</f>
        <v>#VALUE!</v>
      </c>
      <c r="EP217" t="e">
        <f>AND(Bills!L929,"AAAAAG6/mJE=")</f>
        <v>#VALUE!</v>
      </c>
      <c r="EQ217" t="e">
        <f>AND(Bills!#REF!,"AAAAAG6/mJI=")</f>
        <v>#REF!</v>
      </c>
      <c r="ER217" t="e">
        <f>AND(Bills!M929,"AAAAAG6/mJM=")</f>
        <v>#VALUE!</v>
      </c>
      <c r="ES217" t="e">
        <f>AND(Bills!N929,"AAAAAG6/mJQ=")</f>
        <v>#VALUE!</v>
      </c>
      <c r="ET217" t="e">
        <f>AND(Bills!O929,"AAAAAG6/mJU=")</f>
        <v>#VALUE!</v>
      </c>
      <c r="EU217" t="e">
        <f>AND(Bills!P929,"AAAAAG6/mJY=")</f>
        <v>#VALUE!</v>
      </c>
      <c r="EV217" t="e">
        <f>AND(Bills!Q929,"AAAAAG6/mJc=")</f>
        <v>#VALUE!</v>
      </c>
      <c r="EW217" t="e">
        <f>AND(Bills!R929,"AAAAAG6/mJg=")</f>
        <v>#VALUE!</v>
      </c>
      <c r="EX217" t="e">
        <f>AND(Bills!S929,"AAAAAG6/mJk=")</f>
        <v>#VALUE!</v>
      </c>
      <c r="EY217" t="e">
        <f>AND(Bills!T929,"AAAAAG6/mJo=")</f>
        <v>#VALUE!</v>
      </c>
      <c r="EZ217" t="e">
        <f>AND(Bills!#REF!,"AAAAAG6/mJs=")</f>
        <v>#REF!</v>
      </c>
      <c r="FA217" t="e">
        <f>AND(Bills!U929,"AAAAAG6/mJw=")</f>
        <v>#VALUE!</v>
      </c>
      <c r="FB217" t="e">
        <f>AND(Bills!V929,"AAAAAG6/mJ0=")</f>
        <v>#VALUE!</v>
      </c>
      <c r="FC217" t="e">
        <f>AND(Bills!W929,"AAAAAG6/mJ4=")</f>
        <v>#VALUE!</v>
      </c>
      <c r="FD217" t="e">
        <f>AND(Bills!#REF!,"AAAAAG6/mJ8=")</f>
        <v>#REF!</v>
      </c>
      <c r="FE217" t="e">
        <f>AND(Bills!#REF!,"AAAAAG6/mKA=")</f>
        <v>#REF!</v>
      </c>
      <c r="FF217" t="e">
        <f>AND(Bills!Y929,"AAAAAG6/mKE=")</f>
        <v>#VALUE!</v>
      </c>
      <c r="FG217" t="e">
        <f>AND(Bills!Z929,"AAAAAG6/mKI=")</f>
        <v>#VALUE!</v>
      </c>
      <c r="FH217" t="e">
        <f>AND(Bills!#REF!,"AAAAAG6/mKM=")</f>
        <v>#REF!</v>
      </c>
      <c r="FI217" t="e">
        <f>AND(Bills!#REF!,"AAAAAG6/mKQ=")</f>
        <v>#REF!</v>
      </c>
      <c r="FJ217" t="e">
        <f>AND(Bills!#REF!,"AAAAAG6/mKU=")</f>
        <v>#REF!</v>
      </c>
      <c r="FK217" t="e">
        <f>AND(Bills!#REF!,"AAAAAG6/mKY=")</f>
        <v>#REF!</v>
      </c>
      <c r="FL217" t="e">
        <f>AND(Bills!#REF!,"AAAAAG6/mKc=")</f>
        <v>#REF!</v>
      </c>
      <c r="FM217" t="e">
        <f>AND(Bills!#REF!,"AAAAAG6/mKg=")</f>
        <v>#REF!</v>
      </c>
      <c r="FN217" t="e">
        <f>AND(Bills!#REF!,"AAAAAG6/mKk=")</f>
        <v>#REF!</v>
      </c>
      <c r="FO217" t="e">
        <f>AND(Bills!#REF!,"AAAAAG6/mKo=")</f>
        <v>#REF!</v>
      </c>
      <c r="FP217" t="e">
        <f>AND(Bills!#REF!,"AAAAAG6/mKs=")</f>
        <v>#REF!</v>
      </c>
      <c r="FQ217" t="e">
        <f>AND(Bills!AA929,"AAAAAG6/mKw=")</f>
        <v>#VALUE!</v>
      </c>
      <c r="FR217" t="e">
        <f>AND(Bills!AB929,"AAAAAG6/mK0=")</f>
        <v>#VALUE!</v>
      </c>
      <c r="FS217" t="e">
        <f>AND(Bills!#REF!,"AAAAAG6/mK4=")</f>
        <v>#REF!</v>
      </c>
      <c r="FT217" t="e">
        <f>AND(Bills!#REF!,"AAAAAG6/mK8=")</f>
        <v>#REF!</v>
      </c>
      <c r="FU217" t="e">
        <f>AND(Bills!#REF!,"AAAAAG6/mLA=")</f>
        <v>#REF!</v>
      </c>
      <c r="FV217" t="e">
        <f>AND(Bills!AC929,"AAAAAG6/mLE=")</f>
        <v>#VALUE!</v>
      </c>
      <c r="FW217" t="e">
        <f>AND(Bills!AD929,"AAAAAG6/mLI=")</f>
        <v>#VALUE!</v>
      </c>
      <c r="FX217" t="e">
        <f>AND(Bills!AE929,"AAAAAG6/mLM=")</f>
        <v>#VALUE!</v>
      </c>
      <c r="FY217">
        <f>IF(Bills!930:930,"AAAAAG6/mLQ=",0)</f>
        <v>0</v>
      </c>
      <c r="FZ217" t="e">
        <f>AND(Bills!B930,"AAAAAG6/mLU=")</f>
        <v>#VALUE!</v>
      </c>
      <c r="GA217" t="e">
        <f>AND(Bills!#REF!,"AAAAAG6/mLY=")</f>
        <v>#REF!</v>
      </c>
      <c r="GB217" t="e">
        <f>AND(Bills!C930,"AAAAAG6/mLc=")</f>
        <v>#VALUE!</v>
      </c>
      <c r="GC217" t="e">
        <f>AND(Bills!D930,"AAAAAG6/mLg=")</f>
        <v>#VALUE!</v>
      </c>
      <c r="GD217" t="e">
        <f>AND(Bills!E930,"AAAAAG6/mLk=")</f>
        <v>#VALUE!</v>
      </c>
      <c r="GE217" t="e">
        <f>AND(Bills!#REF!,"AAAAAG6/mLo=")</f>
        <v>#REF!</v>
      </c>
      <c r="GF217" t="e">
        <f>AND(Bills!#REF!,"AAAAAG6/mLs=")</f>
        <v>#REF!</v>
      </c>
      <c r="GG217" t="e">
        <f>AND(Bills!#REF!,"AAAAAG6/mLw=")</f>
        <v>#REF!</v>
      </c>
      <c r="GH217" t="e">
        <f>AND(Bills!F930,"AAAAAG6/mL0=")</f>
        <v>#VALUE!</v>
      </c>
      <c r="GI217" t="e">
        <f>AND(Bills!#REF!,"AAAAAG6/mL4=")</f>
        <v>#REF!</v>
      </c>
      <c r="GJ217" t="e">
        <f>AND(Bills!G930,"AAAAAG6/mL8=")</f>
        <v>#VALUE!</v>
      </c>
      <c r="GK217" t="e">
        <f>AND(Bills!H930,"AAAAAG6/mMA=")</f>
        <v>#VALUE!</v>
      </c>
      <c r="GL217" t="e">
        <f>AND(Bills!I930,"AAAAAG6/mME=")</f>
        <v>#VALUE!</v>
      </c>
      <c r="GM217" t="e">
        <f>AND(Bills!J930,"AAAAAG6/mMI=")</f>
        <v>#VALUE!</v>
      </c>
      <c r="GN217" t="e">
        <f>AND(Bills!K930,"AAAAAG6/mMM=")</f>
        <v>#VALUE!</v>
      </c>
      <c r="GO217" t="e">
        <f>AND(Bills!L930,"AAAAAG6/mMQ=")</f>
        <v>#VALUE!</v>
      </c>
      <c r="GP217" t="e">
        <f>AND(Bills!#REF!,"AAAAAG6/mMU=")</f>
        <v>#REF!</v>
      </c>
      <c r="GQ217" t="e">
        <f>AND(Bills!M930,"AAAAAG6/mMY=")</f>
        <v>#VALUE!</v>
      </c>
      <c r="GR217" t="e">
        <f>AND(Bills!N930,"AAAAAG6/mMc=")</f>
        <v>#VALUE!</v>
      </c>
      <c r="GS217" t="e">
        <f>AND(Bills!O930,"AAAAAG6/mMg=")</f>
        <v>#VALUE!</v>
      </c>
      <c r="GT217" t="e">
        <f>AND(Bills!P930,"AAAAAG6/mMk=")</f>
        <v>#VALUE!</v>
      </c>
      <c r="GU217" t="e">
        <f>AND(Bills!Q930,"AAAAAG6/mMo=")</f>
        <v>#VALUE!</v>
      </c>
      <c r="GV217" t="e">
        <f>AND(Bills!R930,"AAAAAG6/mMs=")</f>
        <v>#VALUE!</v>
      </c>
      <c r="GW217" t="e">
        <f>AND(Bills!S930,"AAAAAG6/mMw=")</f>
        <v>#VALUE!</v>
      </c>
      <c r="GX217" t="e">
        <f>AND(Bills!T930,"AAAAAG6/mM0=")</f>
        <v>#VALUE!</v>
      </c>
      <c r="GY217" t="e">
        <f>AND(Bills!#REF!,"AAAAAG6/mM4=")</f>
        <v>#REF!</v>
      </c>
      <c r="GZ217" t="e">
        <f>AND(Bills!U930,"AAAAAG6/mM8=")</f>
        <v>#VALUE!</v>
      </c>
      <c r="HA217" t="e">
        <f>AND(Bills!V930,"AAAAAG6/mNA=")</f>
        <v>#VALUE!</v>
      </c>
      <c r="HB217" t="e">
        <f>AND(Bills!W930,"AAAAAG6/mNE=")</f>
        <v>#VALUE!</v>
      </c>
      <c r="HC217" t="e">
        <f>AND(Bills!#REF!,"AAAAAG6/mNI=")</f>
        <v>#REF!</v>
      </c>
      <c r="HD217" t="e">
        <f>AND(Bills!#REF!,"AAAAAG6/mNM=")</f>
        <v>#REF!</v>
      </c>
      <c r="HE217" t="e">
        <f>AND(Bills!Y930,"AAAAAG6/mNQ=")</f>
        <v>#VALUE!</v>
      </c>
      <c r="HF217" t="e">
        <f>AND(Bills!Z930,"AAAAAG6/mNU=")</f>
        <v>#VALUE!</v>
      </c>
      <c r="HG217" t="e">
        <f>AND(Bills!#REF!,"AAAAAG6/mNY=")</f>
        <v>#REF!</v>
      </c>
      <c r="HH217" t="e">
        <f>AND(Bills!#REF!,"AAAAAG6/mNc=")</f>
        <v>#REF!</v>
      </c>
      <c r="HI217" t="e">
        <f>AND(Bills!#REF!,"AAAAAG6/mNg=")</f>
        <v>#REF!</v>
      </c>
      <c r="HJ217" t="e">
        <f>AND(Bills!#REF!,"AAAAAG6/mNk=")</f>
        <v>#REF!</v>
      </c>
      <c r="HK217" t="e">
        <f>AND(Bills!#REF!,"AAAAAG6/mNo=")</f>
        <v>#REF!</v>
      </c>
      <c r="HL217" t="e">
        <f>AND(Bills!#REF!,"AAAAAG6/mNs=")</f>
        <v>#REF!</v>
      </c>
      <c r="HM217" t="e">
        <f>AND(Bills!#REF!,"AAAAAG6/mNw=")</f>
        <v>#REF!</v>
      </c>
      <c r="HN217" t="e">
        <f>AND(Bills!#REF!,"AAAAAG6/mN0=")</f>
        <v>#REF!</v>
      </c>
      <c r="HO217" t="e">
        <f>AND(Bills!#REF!,"AAAAAG6/mN4=")</f>
        <v>#REF!</v>
      </c>
      <c r="HP217" t="e">
        <f>AND(Bills!AA930,"AAAAAG6/mN8=")</f>
        <v>#VALUE!</v>
      </c>
      <c r="HQ217" t="e">
        <f>AND(Bills!AB930,"AAAAAG6/mOA=")</f>
        <v>#VALUE!</v>
      </c>
      <c r="HR217" t="e">
        <f>AND(Bills!#REF!,"AAAAAG6/mOE=")</f>
        <v>#REF!</v>
      </c>
      <c r="HS217" t="e">
        <f>AND(Bills!#REF!,"AAAAAG6/mOI=")</f>
        <v>#REF!</v>
      </c>
      <c r="HT217" t="e">
        <f>AND(Bills!#REF!,"AAAAAG6/mOM=")</f>
        <v>#REF!</v>
      </c>
      <c r="HU217" t="e">
        <f>AND(Bills!AC930,"AAAAAG6/mOQ=")</f>
        <v>#VALUE!</v>
      </c>
      <c r="HV217" t="e">
        <f>AND(Bills!AD930,"AAAAAG6/mOU=")</f>
        <v>#VALUE!</v>
      </c>
      <c r="HW217" t="e">
        <f>AND(Bills!AE930,"AAAAAG6/mOY=")</f>
        <v>#VALUE!</v>
      </c>
      <c r="HX217">
        <f>IF(Bills!931:931,"AAAAAG6/mOc=",0)</f>
        <v>0</v>
      </c>
      <c r="HY217" t="e">
        <f>AND(Bills!B931,"AAAAAG6/mOg=")</f>
        <v>#VALUE!</v>
      </c>
      <c r="HZ217" t="e">
        <f>AND(Bills!#REF!,"AAAAAG6/mOk=")</f>
        <v>#REF!</v>
      </c>
      <c r="IA217" t="e">
        <f>AND(Bills!C931,"AAAAAG6/mOo=")</f>
        <v>#VALUE!</v>
      </c>
      <c r="IB217" t="e">
        <f>AND(Bills!D931,"AAAAAG6/mOs=")</f>
        <v>#VALUE!</v>
      </c>
      <c r="IC217" t="e">
        <f>AND(Bills!E931,"AAAAAG6/mOw=")</f>
        <v>#VALUE!</v>
      </c>
      <c r="ID217" t="e">
        <f>AND(Bills!#REF!,"AAAAAG6/mO0=")</f>
        <v>#REF!</v>
      </c>
      <c r="IE217" t="e">
        <f>AND(Bills!#REF!,"AAAAAG6/mO4=")</f>
        <v>#REF!</v>
      </c>
      <c r="IF217" t="e">
        <f>AND(Bills!#REF!,"AAAAAG6/mO8=")</f>
        <v>#REF!</v>
      </c>
      <c r="IG217" t="e">
        <f>AND(Bills!F931,"AAAAAG6/mPA=")</f>
        <v>#VALUE!</v>
      </c>
      <c r="IH217" t="e">
        <f>AND(Bills!#REF!,"AAAAAG6/mPE=")</f>
        <v>#REF!</v>
      </c>
      <c r="II217" t="e">
        <f>AND(Bills!G931,"AAAAAG6/mPI=")</f>
        <v>#VALUE!</v>
      </c>
      <c r="IJ217" t="e">
        <f>AND(Bills!H931,"AAAAAG6/mPM=")</f>
        <v>#VALUE!</v>
      </c>
      <c r="IK217" t="e">
        <f>AND(Bills!I931,"AAAAAG6/mPQ=")</f>
        <v>#VALUE!</v>
      </c>
      <c r="IL217" t="e">
        <f>AND(Bills!J931,"AAAAAG6/mPU=")</f>
        <v>#VALUE!</v>
      </c>
      <c r="IM217" t="e">
        <f>AND(Bills!K931,"AAAAAG6/mPY=")</f>
        <v>#VALUE!</v>
      </c>
      <c r="IN217" t="e">
        <f>AND(Bills!L931,"AAAAAG6/mPc=")</f>
        <v>#VALUE!</v>
      </c>
      <c r="IO217" t="e">
        <f>AND(Bills!#REF!,"AAAAAG6/mPg=")</f>
        <v>#REF!</v>
      </c>
      <c r="IP217" t="e">
        <f>AND(Bills!M931,"AAAAAG6/mPk=")</f>
        <v>#VALUE!</v>
      </c>
      <c r="IQ217" t="e">
        <f>AND(Bills!N931,"AAAAAG6/mPo=")</f>
        <v>#VALUE!</v>
      </c>
      <c r="IR217" t="e">
        <f>AND(Bills!O931,"AAAAAG6/mPs=")</f>
        <v>#VALUE!</v>
      </c>
      <c r="IS217" t="e">
        <f>AND(Bills!P931,"AAAAAG6/mPw=")</f>
        <v>#VALUE!</v>
      </c>
      <c r="IT217" t="e">
        <f>AND(Bills!Q931,"AAAAAG6/mP0=")</f>
        <v>#VALUE!</v>
      </c>
      <c r="IU217" t="e">
        <f>AND(Bills!R931,"AAAAAG6/mP4=")</f>
        <v>#VALUE!</v>
      </c>
      <c r="IV217" t="e">
        <f>AND(Bills!S931,"AAAAAG6/mP8=")</f>
        <v>#VALUE!</v>
      </c>
    </row>
    <row r="218" spans="1:256" x14ac:dyDescent="0.25">
      <c r="A218" t="e">
        <f>AND(Bills!T931,"AAAAAG3/8wA=")</f>
        <v>#VALUE!</v>
      </c>
      <c r="B218" t="e">
        <f>AND(Bills!#REF!,"AAAAAG3/8wE=")</f>
        <v>#REF!</v>
      </c>
      <c r="C218" t="e">
        <f>AND(Bills!U931,"AAAAAG3/8wI=")</f>
        <v>#VALUE!</v>
      </c>
      <c r="D218" t="e">
        <f>AND(Bills!V931,"AAAAAG3/8wM=")</f>
        <v>#VALUE!</v>
      </c>
      <c r="E218" t="e">
        <f>AND(Bills!W931,"AAAAAG3/8wQ=")</f>
        <v>#VALUE!</v>
      </c>
      <c r="F218" t="e">
        <f>AND(Bills!#REF!,"AAAAAG3/8wU=")</f>
        <v>#REF!</v>
      </c>
      <c r="G218" t="e">
        <f>AND(Bills!#REF!,"AAAAAG3/8wY=")</f>
        <v>#REF!</v>
      </c>
      <c r="H218" t="e">
        <f>AND(Bills!Y931,"AAAAAG3/8wc=")</f>
        <v>#VALUE!</v>
      </c>
      <c r="I218" t="e">
        <f>AND(Bills!Z931,"AAAAAG3/8wg=")</f>
        <v>#VALUE!</v>
      </c>
      <c r="J218" t="e">
        <f>AND(Bills!#REF!,"AAAAAG3/8wk=")</f>
        <v>#REF!</v>
      </c>
      <c r="K218" t="e">
        <f>AND(Bills!#REF!,"AAAAAG3/8wo=")</f>
        <v>#REF!</v>
      </c>
      <c r="L218" t="e">
        <f>AND(Bills!#REF!,"AAAAAG3/8ws=")</f>
        <v>#REF!</v>
      </c>
      <c r="M218" t="e">
        <f>AND(Bills!#REF!,"AAAAAG3/8ww=")</f>
        <v>#REF!</v>
      </c>
      <c r="N218" t="e">
        <f>AND(Bills!#REF!,"AAAAAG3/8w0=")</f>
        <v>#REF!</v>
      </c>
      <c r="O218" t="e">
        <f>AND(Bills!#REF!,"AAAAAG3/8w4=")</f>
        <v>#REF!</v>
      </c>
      <c r="P218" t="e">
        <f>AND(Bills!#REF!,"AAAAAG3/8w8=")</f>
        <v>#REF!</v>
      </c>
      <c r="Q218" t="e">
        <f>AND(Bills!#REF!,"AAAAAG3/8xA=")</f>
        <v>#REF!</v>
      </c>
      <c r="R218" t="e">
        <f>AND(Bills!#REF!,"AAAAAG3/8xE=")</f>
        <v>#REF!</v>
      </c>
      <c r="S218" t="e">
        <f>AND(Bills!AA931,"AAAAAG3/8xI=")</f>
        <v>#VALUE!</v>
      </c>
      <c r="T218" t="e">
        <f>AND(Bills!AB931,"AAAAAG3/8xM=")</f>
        <v>#VALUE!</v>
      </c>
      <c r="U218" t="e">
        <f>AND(Bills!#REF!,"AAAAAG3/8xQ=")</f>
        <v>#REF!</v>
      </c>
      <c r="V218" t="e">
        <f>AND(Bills!#REF!,"AAAAAG3/8xU=")</f>
        <v>#REF!</v>
      </c>
      <c r="W218" t="e">
        <f>AND(Bills!#REF!,"AAAAAG3/8xY=")</f>
        <v>#REF!</v>
      </c>
      <c r="X218" t="e">
        <f>AND(Bills!AC931,"AAAAAG3/8xc=")</f>
        <v>#VALUE!</v>
      </c>
      <c r="Y218" t="e">
        <f>AND(Bills!AD931,"AAAAAG3/8xg=")</f>
        <v>#VALUE!</v>
      </c>
      <c r="Z218" t="e">
        <f>AND(Bills!AE931,"AAAAAG3/8xk=")</f>
        <v>#VALUE!</v>
      </c>
      <c r="AA218">
        <f>IF(Bills!932:932,"AAAAAG3/8xo=",0)</f>
        <v>0</v>
      </c>
      <c r="AB218" t="e">
        <f>AND(Bills!B932,"AAAAAG3/8xs=")</f>
        <v>#VALUE!</v>
      </c>
      <c r="AC218" t="e">
        <f>AND(Bills!#REF!,"AAAAAG3/8xw=")</f>
        <v>#REF!</v>
      </c>
      <c r="AD218" t="e">
        <f>AND(Bills!C932,"AAAAAG3/8x0=")</f>
        <v>#VALUE!</v>
      </c>
      <c r="AE218" t="e">
        <f>AND(Bills!D932,"AAAAAG3/8x4=")</f>
        <v>#VALUE!</v>
      </c>
      <c r="AF218" t="e">
        <f>AND(Bills!E932,"AAAAAG3/8x8=")</f>
        <v>#VALUE!</v>
      </c>
      <c r="AG218" t="e">
        <f>AND(Bills!#REF!,"AAAAAG3/8yA=")</f>
        <v>#REF!</v>
      </c>
      <c r="AH218" t="e">
        <f>AND(Bills!#REF!,"AAAAAG3/8yE=")</f>
        <v>#REF!</v>
      </c>
      <c r="AI218" t="e">
        <f>AND(Bills!#REF!,"AAAAAG3/8yI=")</f>
        <v>#REF!</v>
      </c>
      <c r="AJ218" t="e">
        <f>AND(Bills!F932,"AAAAAG3/8yM=")</f>
        <v>#VALUE!</v>
      </c>
      <c r="AK218" t="e">
        <f>AND(Bills!#REF!,"AAAAAG3/8yQ=")</f>
        <v>#REF!</v>
      </c>
      <c r="AL218" t="e">
        <f>AND(Bills!G932,"AAAAAG3/8yU=")</f>
        <v>#VALUE!</v>
      </c>
      <c r="AM218" t="e">
        <f>AND(Bills!H932,"AAAAAG3/8yY=")</f>
        <v>#VALUE!</v>
      </c>
      <c r="AN218" t="e">
        <f>AND(Bills!I932,"AAAAAG3/8yc=")</f>
        <v>#VALUE!</v>
      </c>
      <c r="AO218" t="e">
        <f>AND(Bills!J932,"AAAAAG3/8yg=")</f>
        <v>#VALUE!</v>
      </c>
      <c r="AP218" t="e">
        <f>AND(Bills!K932,"AAAAAG3/8yk=")</f>
        <v>#VALUE!</v>
      </c>
      <c r="AQ218" t="e">
        <f>AND(Bills!L932,"AAAAAG3/8yo=")</f>
        <v>#VALUE!</v>
      </c>
      <c r="AR218" t="e">
        <f>AND(Bills!#REF!,"AAAAAG3/8ys=")</f>
        <v>#REF!</v>
      </c>
      <c r="AS218" t="e">
        <f>AND(Bills!M932,"AAAAAG3/8yw=")</f>
        <v>#VALUE!</v>
      </c>
      <c r="AT218" t="e">
        <f>AND(Bills!N932,"AAAAAG3/8y0=")</f>
        <v>#VALUE!</v>
      </c>
      <c r="AU218" t="e">
        <f>AND(Bills!O932,"AAAAAG3/8y4=")</f>
        <v>#VALUE!</v>
      </c>
      <c r="AV218" t="e">
        <f>AND(Bills!P932,"AAAAAG3/8y8=")</f>
        <v>#VALUE!</v>
      </c>
      <c r="AW218" t="e">
        <f>AND(Bills!Q932,"AAAAAG3/8zA=")</f>
        <v>#VALUE!</v>
      </c>
      <c r="AX218" t="e">
        <f>AND(Bills!R932,"AAAAAG3/8zE=")</f>
        <v>#VALUE!</v>
      </c>
      <c r="AY218" t="e">
        <f>AND(Bills!S932,"AAAAAG3/8zI=")</f>
        <v>#VALUE!</v>
      </c>
      <c r="AZ218" t="e">
        <f>AND(Bills!T932,"AAAAAG3/8zM=")</f>
        <v>#VALUE!</v>
      </c>
      <c r="BA218" t="e">
        <f>AND(Bills!#REF!,"AAAAAG3/8zQ=")</f>
        <v>#REF!</v>
      </c>
      <c r="BB218" t="e">
        <f>AND(Bills!U932,"AAAAAG3/8zU=")</f>
        <v>#VALUE!</v>
      </c>
      <c r="BC218" t="e">
        <f>AND(Bills!V932,"AAAAAG3/8zY=")</f>
        <v>#VALUE!</v>
      </c>
      <c r="BD218" t="e">
        <f>AND(Bills!W932,"AAAAAG3/8zc=")</f>
        <v>#VALUE!</v>
      </c>
      <c r="BE218" t="e">
        <f>AND(Bills!#REF!,"AAAAAG3/8zg=")</f>
        <v>#REF!</v>
      </c>
      <c r="BF218" t="e">
        <f>AND(Bills!#REF!,"AAAAAG3/8zk=")</f>
        <v>#REF!</v>
      </c>
      <c r="BG218" t="e">
        <f>AND(Bills!Y932,"AAAAAG3/8zo=")</f>
        <v>#VALUE!</v>
      </c>
      <c r="BH218" t="e">
        <f>AND(Bills!Z932,"AAAAAG3/8zs=")</f>
        <v>#VALUE!</v>
      </c>
      <c r="BI218" t="e">
        <f>AND(Bills!#REF!,"AAAAAG3/8zw=")</f>
        <v>#REF!</v>
      </c>
      <c r="BJ218" t="e">
        <f>AND(Bills!#REF!,"AAAAAG3/8z0=")</f>
        <v>#REF!</v>
      </c>
      <c r="BK218" t="e">
        <f>AND(Bills!#REF!,"AAAAAG3/8z4=")</f>
        <v>#REF!</v>
      </c>
      <c r="BL218" t="e">
        <f>AND(Bills!#REF!,"AAAAAG3/8z8=")</f>
        <v>#REF!</v>
      </c>
      <c r="BM218" t="e">
        <f>AND(Bills!#REF!,"AAAAAG3/80A=")</f>
        <v>#REF!</v>
      </c>
      <c r="BN218" t="e">
        <f>AND(Bills!#REF!,"AAAAAG3/80E=")</f>
        <v>#REF!</v>
      </c>
      <c r="BO218" t="e">
        <f>AND(Bills!#REF!,"AAAAAG3/80I=")</f>
        <v>#REF!</v>
      </c>
      <c r="BP218" t="e">
        <f>AND(Bills!#REF!,"AAAAAG3/80M=")</f>
        <v>#REF!</v>
      </c>
      <c r="BQ218" t="e">
        <f>AND(Bills!#REF!,"AAAAAG3/80Q=")</f>
        <v>#REF!</v>
      </c>
      <c r="BR218" t="e">
        <f>AND(Bills!AA932,"AAAAAG3/80U=")</f>
        <v>#VALUE!</v>
      </c>
      <c r="BS218" t="e">
        <f>AND(Bills!AB932,"AAAAAG3/80Y=")</f>
        <v>#VALUE!</v>
      </c>
      <c r="BT218" t="e">
        <f>AND(Bills!#REF!,"AAAAAG3/80c=")</f>
        <v>#REF!</v>
      </c>
      <c r="BU218" t="e">
        <f>AND(Bills!#REF!,"AAAAAG3/80g=")</f>
        <v>#REF!</v>
      </c>
      <c r="BV218" t="e">
        <f>AND(Bills!#REF!,"AAAAAG3/80k=")</f>
        <v>#REF!</v>
      </c>
      <c r="BW218" t="e">
        <f>AND(Bills!AC932,"AAAAAG3/80o=")</f>
        <v>#VALUE!</v>
      </c>
      <c r="BX218" t="e">
        <f>AND(Bills!AD932,"AAAAAG3/80s=")</f>
        <v>#VALUE!</v>
      </c>
      <c r="BY218" t="e">
        <f>AND(Bills!AE932,"AAAAAG3/80w=")</f>
        <v>#VALUE!</v>
      </c>
      <c r="BZ218">
        <f>IF(Bills!933:933,"AAAAAG3/800=",0)</f>
        <v>0</v>
      </c>
      <c r="CA218" t="e">
        <f>AND(Bills!B933,"AAAAAG3/804=")</f>
        <v>#VALUE!</v>
      </c>
      <c r="CB218" t="e">
        <f>AND(Bills!#REF!,"AAAAAG3/808=")</f>
        <v>#REF!</v>
      </c>
      <c r="CC218" t="e">
        <f>AND(Bills!C933,"AAAAAG3/81A=")</f>
        <v>#VALUE!</v>
      </c>
      <c r="CD218" t="e">
        <f>AND(Bills!D933,"AAAAAG3/81E=")</f>
        <v>#VALUE!</v>
      </c>
      <c r="CE218" t="e">
        <f>AND(Bills!E933,"AAAAAG3/81I=")</f>
        <v>#VALUE!</v>
      </c>
      <c r="CF218" t="e">
        <f>AND(Bills!#REF!,"AAAAAG3/81M=")</f>
        <v>#REF!</v>
      </c>
      <c r="CG218" t="e">
        <f>AND(Bills!#REF!,"AAAAAG3/81Q=")</f>
        <v>#REF!</v>
      </c>
      <c r="CH218" t="e">
        <f>AND(Bills!#REF!,"AAAAAG3/81U=")</f>
        <v>#REF!</v>
      </c>
      <c r="CI218" t="e">
        <f>AND(Bills!F933,"AAAAAG3/81Y=")</f>
        <v>#VALUE!</v>
      </c>
      <c r="CJ218" t="e">
        <f>AND(Bills!#REF!,"AAAAAG3/81c=")</f>
        <v>#REF!</v>
      </c>
      <c r="CK218" t="e">
        <f>AND(Bills!G933,"AAAAAG3/81g=")</f>
        <v>#VALUE!</v>
      </c>
      <c r="CL218" t="e">
        <f>AND(Bills!H933,"AAAAAG3/81k=")</f>
        <v>#VALUE!</v>
      </c>
      <c r="CM218" t="e">
        <f>AND(Bills!I933,"AAAAAG3/81o=")</f>
        <v>#VALUE!</v>
      </c>
      <c r="CN218" t="e">
        <f>AND(Bills!J933,"AAAAAG3/81s=")</f>
        <v>#VALUE!</v>
      </c>
      <c r="CO218" t="e">
        <f>AND(Bills!K933,"AAAAAG3/81w=")</f>
        <v>#VALUE!</v>
      </c>
      <c r="CP218" t="e">
        <f>AND(Bills!L933,"AAAAAG3/810=")</f>
        <v>#VALUE!</v>
      </c>
      <c r="CQ218" t="e">
        <f>AND(Bills!#REF!,"AAAAAG3/814=")</f>
        <v>#REF!</v>
      </c>
      <c r="CR218" t="e">
        <f>AND(Bills!M933,"AAAAAG3/818=")</f>
        <v>#VALUE!</v>
      </c>
      <c r="CS218" t="e">
        <f>AND(Bills!N933,"AAAAAG3/82A=")</f>
        <v>#VALUE!</v>
      </c>
      <c r="CT218" t="e">
        <f>AND(Bills!O933,"AAAAAG3/82E=")</f>
        <v>#VALUE!</v>
      </c>
      <c r="CU218" t="e">
        <f>AND(Bills!P933,"AAAAAG3/82I=")</f>
        <v>#VALUE!</v>
      </c>
      <c r="CV218" t="e">
        <f>AND(Bills!Q933,"AAAAAG3/82M=")</f>
        <v>#VALUE!</v>
      </c>
      <c r="CW218" t="e">
        <f>AND(Bills!R933,"AAAAAG3/82Q=")</f>
        <v>#VALUE!</v>
      </c>
      <c r="CX218" t="e">
        <f>AND(Bills!S933,"AAAAAG3/82U=")</f>
        <v>#VALUE!</v>
      </c>
      <c r="CY218" t="e">
        <f>AND(Bills!T933,"AAAAAG3/82Y=")</f>
        <v>#VALUE!</v>
      </c>
      <c r="CZ218" t="e">
        <f>AND(Bills!#REF!,"AAAAAG3/82c=")</f>
        <v>#REF!</v>
      </c>
      <c r="DA218" t="e">
        <f>AND(Bills!U933,"AAAAAG3/82g=")</f>
        <v>#VALUE!</v>
      </c>
      <c r="DB218" t="e">
        <f>AND(Bills!V933,"AAAAAG3/82k=")</f>
        <v>#VALUE!</v>
      </c>
      <c r="DC218" t="e">
        <f>AND(Bills!W933,"AAAAAG3/82o=")</f>
        <v>#VALUE!</v>
      </c>
      <c r="DD218" t="e">
        <f>AND(Bills!#REF!,"AAAAAG3/82s=")</f>
        <v>#REF!</v>
      </c>
      <c r="DE218" t="e">
        <f>AND(Bills!#REF!,"AAAAAG3/82w=")</f>
        <v>#REF!</v>
      </c>
      <c r="DF218" t="e">
        <f>AND(Bills!Y933,"AAAAAG3/820=")</f>
        <v>#VALUE!</v>
      </c>
      <c r="DG218" t="e">
        <f>AND(Bills!Z933,"AAAAAG3/824=")</f>
        <v>#VALUE!</v>
      </c>
      <c r="DH218" t="e">
        <f>AND(Bills!#REF!,"AAAAAG3/828=")</f>
        <v>#REF!</v>
      </c>
      <c r="DI218" t="e">
        <f>AND(Bills!#REF!,"AAAAAG3/83A=")</f>
        <v>#REF!</v>
      </c>
      <c r="DJ218" t="e">
        <f>AND(Bills!#REF!,"AAAAAG3/83E=")</f>
        <v>#REF!</v>
      </c>
      <c r="DK218" t="e">
        <f>AND(Bills!#REF!,"AAAAAG3/83I=")</f>
        <v>#REF!</v>
      </c>
      <c r="DL218" t="e">
        <f>AND(Bills!#REF!,"AAAAAG3/83M=")</f>
        <v>#REF!</v>
      </c>
      <c r="DM218" t="e">
        <f>AND(Bills!#REF!,"AAAAAG3/83Q=")</f>
        <v>#REF!</v>
      </c>
      <c r="DN218" t="e">
        <f>AND(Bills!#REF!,"AAAAAG3/83U=")</f>
        <v>#REF!</v>
      </c>
      <c r="DO218" t="e">
        <f>AND(Bills!#REF!,"AAAAAG3/83Y=")</f>
        <v>#REF!</v>
      </c>
      <c r="DP218" t="e">
        <f>AND(Bills!#REF!,"AAAAAG3/83c=")</f>
        <v>#REF!</v>
      </c>
      <c r="DQ218" t="e">
        <f>AND(Bills!AA933,"AAAAAG3/83g=")</f>
        <v>#VALUE!</v>
      </c>
      <c r="DR218" t="e">
        <f>AND(Bills!AB933,"AAAAAG3/83k=")</f>
        <v>#VALUE!</v>
      </c>
      <c r="DS218" t="e">
        <f>AND(Bills!#REF!,"AAAAAG3/83o=")</f>
        <v>#REF!</v>
      </c>
      <c r="DT218" t="e">
        <f>AND(Bills!#REF!,"AAAAAG3/83s=")</f>
        <v>#REF!</v>
      </c>
      <c r="DU218" t="e">
        <f>AND(Bills!#REF!,"AAAAAG3/83w=")</f>
        <v>#REF!</v>
      </c>
      <c r="DV218" t="e">
        <f>AND(Bills!AC933,"AAAAAG3/830=")</f>
        <v>#VALUE!</v>
      </c>
      <c r="DW218" t="e">
        <f>AND(Bills!AD933,"AAAAAG3/834=")</f>
        <v>#VALUE!</v>
      </c>
      <c r="DX218" t="e">
        <f>AND(Bills!AE933,"AAAAAG3/838=")</f>
        <v>#VALUE!</v>
      </c>
      <c r="DY218">
        <f>IF(Bills!934:934,"AAAAAG3/84A=",0)</f>
        <v>0</v>
      </c>
      <c r="DZ218" t="e">
        <f>AND(Bills!B934,"AAAAAG3/84E=")</f>
        <v>#VALUE!</v>
      </c>
      <c r="EA218" t="e">
        <f>AND(Bills!#REF!,"AAAAAG3/84I=")</f>
        <v>#REF!</v>
      </c>
      <c r="EB218" t="e">
        <f>AND(Bills!C934,"AAAAAG3/84M=")</f>
        <v>#VALUE!</v>
      </c>
      <c r="EC218" t="e">
        <f>AND(Bills!D934,"AAAAAG3/84Q=")</f>
        <v>#VALUE!</v>
      </c>
      <c r="ED218" t="e">
        <f>AND(Bills!E934,"AAAAAG3/84U=")</f>
        <v>#VALUE!</v>
      </c>
      <c r="EE218" t="e">
        <f>AND(Bills!#REF!,"AAAAAG3/84Y=")</f>
        <v>#REF!</v>
      </c>
      <c r="EF218" t="e">
        <f>AND(Bills!#REF!,"AAAAAG3/84c=")</f>
        <v>#REF!</v>
      </c>
      <c r="EG218" t="e">
        <f>AND(Bills!#REF!,"AAAAAG3/84g=")</f>
        <v>#REF!</v>
      </c>
      <c r="EH218" t="e">
        <f>AND(Bills!F934,"AAAAAG3/84k=")</f>
        <v>#VALUE!</v>
      </c>
      <c r="EI218" t="e">
        <f>AND(Bills!#REF!,"AAAAAG3/84o=")</f>
        <v>#REF!</v>
      </c>
      <c r="EJ218" t="e">
        <f>AND(Bills!G934,"AAAAAG3/84s=")</f>
        <v>#VALUE!</v>
      </c>
      <c r="EK218" t="e">
        <f>AND(Bills!H934,"AAAAAG3/84w=")</f>
        <v>#VALUE!</v>
      </c>
      <c r="EL218" t="e">
        <f>AND(Bills!I934,"AAAAAG3/840=")</f>
        <v>#VALUE!</v>
      </c>
      <c r="EM218" t="e">
        <f>AND(Bills!J934,"AAAAAG3/844=")</f>
        <v>#VALUE!</v>
      </c>
      <c r="EN218" t="e">
        <f>AND(Bills!K934,"AAAAAG3/848=")</f>
        <v>#VALUE!</v>
      </c>
      <c r="EO218" t="e">
        <f>AND(Bills!L934,"AAAAAG3/85A=")</f>
        <v>#VALUE!</v>
      </c>
      <c r="EP218" t="e">
        <f>AND(Bills!#REF!,"AAAAAG3/85E=")</f>
        <v>#REF!</v>
      </c>
      <c r="EQ218" t="e">
        <f>AND(Bills!M934,"AAAAAG3/85I=")</f>
        <v>#VALUE!</v>
      </c>
      <c r="ER218" t="e">
        <f>AND(Bills!N934,"AAAAAG3/85M=")</f>
        <v>#VALUE!</v>
      </c>
      <c r="ES218" t="e">
        <f>AND(Bills!O934,"AAAAAG3/85Q=")</f>
        <v>#VALUE!</v>
      </c>
      <c r="ET218" t="e">
        <f>AND(Bills!P934,"AAAAAG3/85U=")</f>
        <v>#VALUE!</v>
      </c>
      <c r="EU218" t="e">
        <f>AND(Bills!Q934,"AAAAAG3/85Y=")</f>
        <v>#VALUE!</v>
      </c>
      <c r="EV218" t="e">
        <f>AND(Bills!R934,"AAAAAG3/85c=")</f>
        <v>#VALUE!</v>
      </c>
      <c r="EW218" t="e">
        <f>AND(Bills!S934,"AAAAAG3/85g=")</f>
        <v>#VALUE!</v>
      </c>
      <c r="EX218" t="e">
        <f>AND(Bills!T934,"AAAAAG3/85k=")</f>
        <v>#VALUE!</v>
      </c>
      <c r="EY218" t="e">
        <f>AND(Bills!#REF!,"AAAAAG3/85o=")</f>
        <v>#REF!</v>
      </c>
      <c r="EZ218" t="e">
        <f>AND(Bills!U934,"AAAAAG3/85s=")</f>
        <v>#VALUE!</v>
      </c>
      <c r="FA218" t="e">
        <f>AND(Bills!V934,"AAAAAG3/85w=")</f>
        <v>#VALUE!</v>
      </c>
      <c r="FB218" t="e">
        <f>AND(Bills!W934,"AAAAAG3/850=")</f>
        <v>#VALUE!</v>
      </c>
      <c r="FC218" t="e">
        <f>AND(Bills!#REF!,"AAAAAG3/854=")</f>
        <v>#REF!</v>
      </c>
      <c r="FD218" t="e">
        <f>AND(Bills!#REF!,"AAAAAG3/858=")</f>
        <v>#REF!</v>
      </c>
      <c r="FE218" t="e">
        <f>AND(Bills!Y934,"AAAAAG3/86A=")</f>
        <v>#VALUE!</v>
      </c>
      <c r="FF218" t="e">
        <f>AND(Bills!Z934,"AAAAAG3/86E=")</f>
        <v>#VALUE!</v>
      </c>
      <c r="FG218" t="e">
        <f>AND(Bills!#REF!,"AAAAAG3/86I=")</f>
        <v>#REF!</v>
      </c>
      <c r="FH218" t="e">
        <f>AND(Bills!#REF!,"AAAAAG3/86M=")</f>
        <v>#REF!</v>
      </c>
      <c r="FI218" t="e">
        <f>AND(Bills!#REF!,"AAAAAG3/86Q=")</f>
        <v>#REF!</v>
      </c>
      <c r="FJ218" t="e">
        <f>AND(Bills!#REF!,"AAAAAG3/86U=")</f>
        <v>#REF!</v>
      </c>
      <c r="FK218" t="e">
        <f>AND(Bills!#REF!,"AAAAAG3/86Y=")</f>
        <v>#REF!</v>
      </c>
      <c r="FL218" t="e">
        <f>AND(Bills!#REF!,"AAAAAG3/86c=")</f>
        <v>#REF!</v>
      </c>
      <c r="FM218" t="e">
        <f>AND(Bills!#REF!,"AAAAAG3/86g=")</f>
        <v>#REF!</v>
      </c>
      <c r="FN218" t="e">
        <f>AND(Bills!#REF!,"AAAAAG3/86k=")</f>
        <v>#REF!</v>
      </c>
      <c r="FO218" t="e">
        <f>AND(Bills!#REF!,"AAAAAG3/86o=")</f>
        <v>#REF!</v>
      </c>
      <c r="FP218" t="e">
        <f>AND(Bills!AA934,"AAAAAG3/86s=")</f>
        <v>#VALUE!</v>
      </c>
      <c r="FQ218" t="e">
        <f>AND(Bills!AB934,"AAAAAG3/86w=")</f>
        <v>#VALUE!</v>
      </c>
      <c r="FR218" t="e">
        <f>AND(Bills!#REF!,"AAAAAG3/860=")</f>
        <v>#REF!</v>
      </c>
      <c r="FS218" t="e">
        <f>AND(Bills!#REF!,"AAAAAG3/864=")</f>
        <v>#REF!</v>
      </c>
      <c r="FT218" t="e">
        <f>AND(Bills!#REF!,"AAAAAG3/868=")</f>
        <v>#REF!</v>
      </c>
      <c r="FU218" t="e">
        <f>AND(Bills!AC934,"AAAAAG3/87A=")</f>
        <v>#VALUE!</v>
      </c>
      <c r="FV218" t="e">
        <f>AND(Bills!AD934,"AAAAAG3/87E=")</f>
        <v>#VALUE!</v>
      </c>
      <c r="FW218" t="e">
        <f>AND(Bills!AE934,"AAAAAG3/87I=")</f>
        <v>#VALUE!</v>
      </c>
      <c r="FX218">
        <f>IF(Bills!935:935,"AAAAAG3/87M=",0)</f>
        <v>0</v>
      </c>
      <c r="FY218" t="e">
        <f>AND(Bills!B935,"AAAAAG3/87Q=")</f>
        <v>#VALUE!</v>
      </c>
      <c r="FZ218" t="e">
        <f>AND(Bills!#REF!,"AAAAAG3/87U=")</f>
        <v>#REF!</v>
      </c>
      <c r="GA218" t="e">
        <f>AND(Bills!C935,"AAAAAG3/87Y=")</f>
        <v>#VALUE!</v>
      </c>
      <c r="GB218" t="e">
        <f>AND(Bills!D935,"AAAAAG3/87c=")</f>
        <v>#VALUE!</v>
      </c>
      <c r="GC218" t="e">
        <f>AND(Bills!E935,"AAAAAG3/87g=")</f>
        <v>#VALUE!</v>
      </c>
      <c r="GD218" t="e">
        <f>AND(Bills!#REF!,"AAAAAG3/87k=")</f>
        <v>#REF!</v>
      </c>
      <c r="GE218" t="e">
        <f>AND(Bills!#REF!,"AAAAAG3/87o=")</f>
        <v>#REF!</v>
      </c>
      <c r="GF218" t="e">
        <f>AND(Bills!#REF!,"AAAAAG3/87s=")</f>
        <v>#REF!</v>
      </c>
      <c r="GG218" t="e">
        <f>AND(Bills!F935,"AAAAAG3/87w=")</f>
        <v>#VALUE!</v>
      </c>
      <c r="GH218" t="e">
        <f>AND(Bills!#REF!,"AAAAAG3/870=")</f>
        <v>#REF!</v>
      </c>
      <c r="GI218" t="e">
        <f>AND(Bills!G935,"AAAAAG3/874=")</f>
        <v>#VALUE!</v>
      </c>
      <c r="GJ218" t="e">
        <f>AND(Bills!H935,"AAAAAG3/878=")</f>
        <v>#VALUE!</v>
      </c>
      <c r="GK218" t="e">
        <f>AND(Bills!I935,"AAAAAG3/88A=")</f>
        <v>#VALUE!</v>
      </c>
      <c r="GL218" t="e">
        <f>AND(Bills!J935,"AAAAAG3/88E=")</f>
        <v>#VALUE!</v>
      </c>
      <c r="GM218" t="e">
        <f>AND(Bills!K935,"AAAAAG3/88I=")</f>
        <v>#VALUE!</v>
      </c>
      <c r="GN218" t="e">
        <f>AND(Bills!L935,"AAAAAG3/88M=")</f>
        <v>#VALUE!</v>
      </c>
      <c r="GO218" t="e">
        <f>AND(Bills!#REF!,"AAAAAG3/88Q=")</f>
        <v>#REF!</v>
      </c>
      <c r="GP218" t="e">
        <f>AND(Bills!M935,"AAAAAG3/88U=")</f>
        <v>#VALUE!</v>
      </c>
      <c r="GQ218" t="e">
        <f>AND(Bills!N935,"AAAAAG3/88Y=")</f>
        <v>#VALUE!</v>
      </c>
      <c r="GR218" t="e">
        <f>AND(Bills!O935,"AAAAAG3/88c=")</f>
        <v>#VALUE!</v>
      </c>
      <c r="GS218" t="e">
        <f>AND(Bills!P935,"AAAAAG3/88g=")</f>
        <v>#VALUE!</v>
      </c>
      <c r="GT218" t="e">
        <f>AND(Bills!Q935,"AAAAAG3/88k=")</f>
        <v>#VALUE!</v>
      </c>
      <c r="GU218" t="e">
        <f>AND(Bills!R935,"AAAAAG3/88o=")</f>
        <v>#VALUE!</v>
      </c>
      <c r="GV218" t="e">
        <f>AND(Bills!S935,"AAAAAG3/88s=")</f>
        <v>#VALUE!</v>
      </c>
      <c r="GW218" t="e">
        <f>AND(Bills!T935,"AAAAAG3/88w=")</f>
        <v>#VALUE!</v>
      </c>
      <c r="GX218" t="e">
        <f>AND(Bills!#REF!,"AAAAAG3/880=")</f>
        <v>#REF!</v>
      </c>
      <c r="GY218" t="e">
        <f>AND(Bills!U935,"AAAAAG3/884=")</f>
        <v>#VALUE!</v>
      </c>
      <c r="GZ218" t="e">
        <f>AND(Bills!V935,"AAAAAG3/888=")</f>
        <v>#VALUE!</v>
      </c>
      <c r="HA218" t="e">
        <f>AND(Bills!W935,"AAAAAG3/89A=")</f>
        <v>#VALUE!</v>
      </c>
      <c r="HB218" t="e">
        <f>AND(Bills!#REF!,"AAAAAG3/89E=")</f>
        <v>#REF!</v>
      </c>
      <c r="HC218" t="e">
        <f>AND(Bills!#REF!,"AAAAAG3/89I=")</f>
        <v>#REF!</v>
      </c>
      <c r="HD218" t="e">
        <f>AND(Bills!Y935,"AAAAAG3/89M=")</f>
        <v>#VALUE!</v>
      </c>
      <c r="HE218" t="e">
        <f>AND(Bills!Z935,"AAAAAG3/89Q=")</f>
        <v>#VALUE!</v>
      </c>
      <c r="HF218" t="e">
        <f>AND(Bills!#REF!,"AAAAAG3/89U=")</f>
        <v>#REF!</v>
      </c>
      <c r="HG218" t="e">
        <f>AND(Bills!#REF!,"AAAAAG3/89Y=")</f>
        <v>#REF!</v>
      </c>
      <c r="HH218" t="e">
        <f>AND(Bills!#REF!,"AAAAAG3/89c=")</f>
        <v>#REF!</v>
      </c>
      <c r="HI218" t="e">
        <f>AND(Bills!#REF!,"AAAAAG3/89g=")</f>
        <v>#REF!</v>
      </c>
      <c r="HJ218" t="e">
        <f>AND(Bills!#REF!,"AAAAAG3/89k=")</f>
        <v>#REF!</v>
      </c>
      <c r="HK218" t="e">
        <f>AND(Bills!#REF!,"AAAAAG3/89o=")</f>
        <v>#REF!</v>
      </c>
      <c r="HL218" t="e">
        <f>AND(Bills!#REF!,"AAAAAG3/89s=")</f>
        <v>#REF!</v>
      </c>
      <c r="HM218" t="e">
        <f>AND(Bills!#REF!,"AAAAAG3/89w=")</f>
        <v>#REF!</v>
      </c>
      <c r="HN218" t="e">
        <f>AND(Bills!#REF!,"AAAAAG3/890=")</f>
        <v>#REF!</v>
      </c>
      <c r="HO218" t="e">
        <f>AND(Bills!AA935,"AAAAAG3/894=")</f>
        <v>#VALUE!</v>
      </c>
      <c r="HP218" t="e">
        <f>AND(Bills!AB935,"AAAAAG3/898=")</f>
        <v>#VALUE!</v>
      </c>
      <c r="HQ218" t="e">
        <f>AND(Bills!#REF!,"AAAAAG3/8+A=")</f>
        <v>#REF!</v>
      </c>
      <c r="HR218" t="e">
        <f>AND(Bills!#REF!,"AAAAAG3/8+E=")</f>
        <v>#REF!</v>
      </c>
      <c r="HS218" t="e">
        <f>AND(Bills!#REF!,"AAAAAG3/8+I=")</f>
        <v>#REF!</v>
      </c>
      <c r="HT218" t="e">
        <f>AND(Bills!AC935,"AAAAAG3/8+M=")</f>
        <v>#VALUE!</v>
      </c>
      <c r="HU218" t="e">
        <f>AND(Bills!AD935,"AAAAAG3/8+Q=")</f>
        <v>#VALUE!</v>
      </c>
      <c r="HV218" t="e">
        <f>AND(Bills!AE935,"AAAAAG3/8+U=")</f>
        <v>#VALUE!</v>
      </c>
      <c r="HW218">
        <f>IF(Bills!936:936,"AAAAAG3/8+Y=",0)</f>
        <v>0</v>
      </c>
      <c r="HX218" t="e">
        <f>AND(Bills!B936,"AAAAAG3/8+c=")</f>
        <v>#VALUE!</v>
      </c>
      <c r="HY218" t="e">
        <f>AND(Bills!#REF!,"AAAAAG3/8+g=")</f>
        <v>#REF!</v>
      </c>
      <c r="HZ218" t="e">
        <f>AND(Bills!C936,"AAAAAG3/8+k=")</f>
        <v>#VALUE!</v>
      </c>
      <c r="IA218" t="e">
        <f>AND(Bills!D936,"AAAAAG3/8+o=")</f>
        <v>#VALUE!</v>
      </c>
      <c r="IB218" t="e">
        <f>AND(Bills!E936,"AAAAAG3/8+s=")</f>
        <v>#VALUE!</v>
      </c>
      <c r="IC218" t="e">
        <f>AND(Bills!#REF!,"AAAAAG3/8+w=")</f>
        <v>#REF!</v>
      </c>
      <c r="ID218" t="e">
        <f>AND(Bills!#REF!,"AAAAAG3/8+0=")</f>
        <v>#REF!</v>
      </c>
      <c r="IE218" t="e">
        <f>AND(Bills!#REF!,"AAAAAG3/8+4=")</f>
        <v>#REF!</v>
      </c>
      <c r="IF218" t="e">
        <f>AND(Bills!F936,"AAAAAG3/8+8=")</f>
        <v>#VALUE!</v>
      </c>
      <c r="IG218" t="e">
        <f>AND(Bills!#REF!,"AAAAAG3/8/A=")</f>
        <v>#REF!</v>
      </c>
      <c r="IH218" t="e">
        <f>AND(Bills!G936,"AAAAAG3/8/E=")</f>
        <v>#VALUE!</v>
      </c>
      <c r="II218" t="e">
        <f>AND(Bills!H936,"AAAAAG3/8/I=")</f>
        <v>#VALUE!</v>
      </c>
      <c r="IJ218" t="e">
        <f>AND(Bills!I936,"AAAAAG3/8/M=")</f>
        <v>#VALUE!</v>
      </c>
      <c r="IK218" t="e">
        <f>AND(Bills!J936,"AAAAAG3/8/Q=")</f>
        <v>#VALUE!</v>
      </c>
      <c r="IL218" t="e">
        <f>AND(Bills!K936,"AAAAAG3/8/U=")</f>
        <v>#VALUE!</v>
      </c>
      <c r="IM218" t="e">
        <f>AND(Bills!L936,"AAAAAG3/8/Y=")</f>
        <v>#VALUE!</v>
      </c>
      <c r="IN218" t="e">
        <f>AND(Bills!#REF!,"AAAAAG3/8/c=")</f>
        <v>#REF!</v>
      </c>
      <c r="IO218" t="e">
        <f>AND(Bills!M936,"AAAAAG3/8/g=")</f>
        <v>#VALUE!</v>
      </c>
      <c r="IP218" t="e">
        <f>AND(Bills!N936,"AAAAAG3/8/k=")</f>
        <v>#VALUE!</v>
      </c>
      <c r="IQ218" t="e">
        <f>AND(Bills!O936,"AAAAAG3/8/o=")</f>
        <v>#VALUE!</v>
      </c>
      <c r="IR218" t="e">
        <f>AND(Bills!P936,"AAAAAG3/8/s=")</f>
        <v>#VALUE!</v>
      </c>
      <c r="IS218" t="e">
        <f>AND(Bills!Q936,"AAAAAG3/8/w=")</f>
        <v>#VALUE!</v>
      </c>
      <c r="IT218" t="e">
        <f>AND(Bills!R936,"AAAAAG3/8/0=")</f>
        <v>#VALUE!</v>
      </c>
      <c r="IU218" t="e">
        <f>AND(Bills!S936,"AAAAAG3/8/4=")</f>
        <v>#VALUE!</v>
      </c>
      <c r="IV218" t="e">
        <f>AND(Bills!T936,"AAAAAG3/8/8=")</f>
        <v>#VALUE!</v>
      </c>
    </row>
    <row r="219" spans="1:256" x14ac:dyDescent="0.25">
      <c r="A219" t="e">
        <f>AND(Bills!#REF!,"AAAAAHx3twA=")</f>
        <v>#REF!</v>
      </c>
      <c r="B219" t="e">
        <f>AND(Bills!U936,"AAAAAHx3twE=")</f>
        <v>#VALUE!</v>
      </c>
      <c r="C219" t="e">
        <f>AND(Bills!V936,"AAAAAHx3twI=")</f>
        <v>#VALUE!</v>
      </c>
      <c r="D219" t="e">
        <f>AND(Bills!W936,"AAAAAHx3twM=")</f>
        <v>#VALUE!</v>
      </c>
      <c r="E219" t="e">
        <f>AND(Bills!#REF!,"AAAAAHx3twQ=")</f>
        <v>#REF!</v>
      </c>
      <c r="F219" t="e">
        <f>AND(Bills!#REF!,"AAAAAHx3twU=")</f>
        <v>#REF!</v>
      </c>
      <c r="G219" t="e">
        <f>AND(Bills!Y936,"AAAAAHx3twY=")</f>
        <v>#VALUE!</v>
      </c>
      <c r="H219" t="e">
        <f>AND(Bills!Z936,"AAAAAHx3twc=")</f>
        <v>#VALUE!</v>
      </c>
      <c r="I219" t="e">
        <f>AND(Bills!#REF!,"AAAAAHx3twg=")</f>
        <v>#REF!</v>
      </c>
      <c r="J219" t="e">
        <f>AND(Bills!#REF!,"AAAAAHx3twk=")</f>
        <v>#REF!</v>
      </c>
      <c r="K219" t="e">
        <f>AND(Bills!#REF!,"AAAAAHx3two=")</f>
        <v>#REF!</v>
      </c>
      <c r="L219" t="e">
        <f>AND(Bills!#REF!,"AAAAAHx3tws=")</f>
        <v>#REF!</v>
      </c>
      <c r="M219" t="e">
        <f>AND(Bills!#REF!,"AAAAAHx3tww=")</f>
        <v>#REF!</v>
      </c>
      <c r="N219" t="e">
        <f>AND(Bills!#REF!,"AAAAAHx3tw0=")</f>
        <v>#REF!</v>
      </c>
      <c r="O219" t="e">
        <f>AND(Bills!#REF!,"AAAAAHx3tw4=")</f>
        <v>#REF!</v>
      </c>
      <c r="P219" t="e">
        <f>AND(Bills!#REF!,"AAAAAHx3tw8=")</f>
        <v>#REF!</v>
      </c>
      <c r="Q219" t="e">
        <f>AND(Bills!#REF!,"AAAAAHx3txA=")</f>
        <v>#REF!</v>
      </c>
      <c r="R219" t="e">
        <f>AND(Bills!AA936,"AAAAAHx3txE=")</f>
        <v>#VALUE!</v>
      </c>
      <c r="S219" t="e">
        <f>AND(Bills!AB936,"AAAAAHx3txI=")</f>
        <v>#VALUE!</v>
      </c>
      <c r="T219" t="e">
        <f>AND(Bills!#REF!,"AAAAAHx3txM=")</f>
        <v>#REF!</v>
      </c>
      <c r="U219" t="e">
        <f>AND(Bills!#REF!,"AAAAAHx3txQ=")</f>
        <v>#REF!</v>
      </c>
      <c r="V219" t="e">
        <f>AND(Bills!#REF!,"AAAAAHx3txU=")</f>
        <v>#REF!</v>
      </c>
      <c r="W219" t="e">
        <f>AND(Bills!AC936,"AAAAAHx3txY=")</f>
        <v>#VALUE!</v>
      </c>
      <c r="X219" t="e">
        <f>AND(Bills!AD936,"AAAAAHx3txc=")</f>
        <v>#VALUE!</v>
      </c>
      <c r="Y219" t="e">
        <f>AND(Bills!AE936,"AAAAAHx3txg=")</f>
        <v>#VALUE!</v>
      </c>
      <c r="Z219">
        <f>IF(Bills!937:937,"AAAAAHx3txk=",0)</f>
        <v>0</v>
      </c>
      <c r="AA219" t="e">
        <f>AND(Bills!B937,"AAAAAHx3txo=")</f>
        <v>#VALUE!</v>
      </c>
      <c r="AB219" t="e">
        <f>AND(Bills!#REF!,"AAAAAHx3txs=")</f>
        <v>#REF!</v>
      </c>
      <c r="AC219" t="e">
        <f>AND(Bills!C937,"AAAAAHx3txw=")</f>
        <v>#VALUE!</v>
      </c>
      <c r="AD219" t="e">
        <f>AND(Bills!D937,"AAAAAHx3tx0=")</f>
        <v>#VALUE!</v>
      </c>
      <c r="AE219" t="e">
        <f>AND(Bills!E937,"AAAAAHx3tx4=")</f>
        <v>#VALUE!</v>
      </c>
      <c r="AF219" t="e">
        <f>AND(Bills!#REF!,"AAAAAHx3tx8=")</f>
        <v>#REF!</v>
      </c>
      <c r="AG219" t="e">
        <f>AND(Bills!#REF!,"AAAAAHx3tyA=")</f>
        <v>#REF!</v>
      </c>
      <c r="AH219" t="e">
        <f>AND(Bills!#REF!,"AAAAAHx3tyE=")</f>
        <v>#REF!</v>
      </c>
      <c r="AI219" t="e">
        <f>AND(Bills!F937,"AAAAAHx3tyI=")</f>
        <v>#VALUE!</v>
      </c>
      <c r="AJ219" t="e">
        <f>AND(Bills!#REF!,"AAAAAHx3tyM=")</f>
        <v>#REF!</v>
      </c>
      <c r="AK219" t="e">
        <f>AND(Bills!G937,"AAAAAHx3tyQ=")</f>
        <v>#VALUE!</v>
      </c>
      <c r="AL219" t="e">
        <f>AND(Bills!H937,"AAAAAHx3tyU=")</f>
        <v>#VALUE!</v>
      </c>
      <c r="AM219" t="e">
        <f>AND(Bills!I937,"AAAAAHx3tyY=")</f>
        <v>#VALUE!</v>
      </c>
      <c r="AN219" t="e">
        <f>AND(Bills!J937,"AAAAAHx3tyc=")</f>
        <v>#VALUE!</v>
      </c>
      <c r="AO219" t="e">
        <f>AND(Bills!K937,"AAAAAHx3tyg=")</f>
        <v>#VALUE!</v>
      </c>
      <c r="AP219" t="e">
        <f>AND(Bills!L937,"AAAAAHx3tyk=")</f>
        <v>#VALUE!</v>
      </c>
      <c r="AQ219" t="e">
        <f>AND(Bills!#REF!,"AAAAAHx3tyo=")</f>
        <v>#REF!</v>
      </c>
      <c r="AR219" t="e">
        <f>AND(Bills!M937,"AAAAAHx3tys=")</f>
        <v>#VALUE!</v>
      </c>
      <c r="AS219" t="e">
        <f>AND(Bills!N937,"AAAAAHx3tyw=")</f>
        <v>#VALUE!</v>
      </c>
      <c r="AT219" t="e">
        <f>AND(Bills!O937,"AAAAAHx3ty0=")</f>
        <v>#VALUE!</v>
      </c>
      <c r="AU219" t="e">
        <f>AND(Bills!P937,"AAAAAHx3ty4=")</f>
        <v>#VALUE!</v>
      </c>
      <c r="AV219" t="e">
        <f>AND(Bills!Q937,"AAAAAHx3ty8=")</f>
        <v>#VALUE!</v>
      </c>
      <c r="AW219" t="e">
        <f>AND(Bills!R937,"AAAAAHx3tzA=")</f>
        <v>#VALUE!</v>
      </c>
      <c r="AX219" t="e">
        <f>AND(Bills!S937,"AAAAAHx3tzE=")</f>
        <v>#VALUE!</v>
      </c>
      <c r="AY219" t="e">
        <f>AND(Bills!T937,"AAAAAHx3tzI=")</f>
        <v>#VALUE!</v>
      </c>
      <c r="AZ219" t="e">
        <f>AND(Bills!#REF!,"AAAAAHx3tzM=")</f>
        <v>#REF!</v>
      </c>
      <c r="BA219" t="e">
        <f>AND(Bills!U937,"AAAAAHx3tzQ=")</f>
        <v>#VALUE!</v>
      </c>
      <c r="BB219" t="e">
        <f>AND(Bills!V937,"AAAAAHx3tzU=")</f>
        <v>#VALUE!</v>
      </c>
      <c r="BC219" t="e">
        <f>AND(Bills!W937,"AAAAAHx3tzY=")</f>
        <v>#VALUE!</v>
      </c>
      <c r="BD219" t="e">
        <f>AND(Bills!#REF!,"AAAAAHx3tzc=")</f>
        <v>#REF!</v>
      </c>
      <c r="BE219" t="e">
        <f>AND(Bills!#REF!,"AAAAAHx3tzg=")</f>
        <v>#REF!</v>
      </c>
      <c r="BF219" t="e">
        <f>AND(Bills!Y937,"AAAAAHx3tzk=")</f>
        <v>#VALUE!</v>
      </c>
      <c r="BG219" t="e">
        <f>AND(Bills!Z937,"AAAAAHx3tzo=")</f>
        <v>#VALUE!</v>
      </c>
      <c r="BH219" t="e">
        <f>AND(Bills!#REF!,"AAAAAHx3tzs=")</f>
        <v>#REF!</v>
      </c>
      <c r="BI219" t="e">
        <f>AND(Bills!#REF!,"AAAAAHx3tzw=")</f>
        <v>#REF!</v>
      </c>
      <c r="BJ219" t="e">
        <f>AND(Bills!#REF!,"AAAAAHx3tz0=")</f>
        <v>#REF!</v>
      </c>
      <c r="BK219" t="e">
        <f>AND(Bills!#REF!,"AAAAAHx3tz4=")</f>
        <v>#REF!</v>
      </c>
      <c r="BL219" t="e">
        <f>AND(Bills!#REF!,"AAAAAHx3tz8=")</f>
        <v>#REF!</v>
      </c>
      <c r="BM219" t="e">
        <f>AND(Bills!#REF!,"AAAAAHx3t0A=")</f>
        <v>#REF!</v>
      </c>
      <c r="BN219" t="e">
        <f>AND(Bills!#REF!,"AAAAAHx3t0E=")</f>
        <v>#REF!</v>
      </c>
      <c r="BO219" t="e">
        <f>AND(Bills!#REF!,"AAAAAHx3t0I=")</f>
        <v>#REF!</v>
      </c>
      <c r="BP219" t="e">
        <f>AND(Bills!#REF!,"AAAAAHx3t0M=")</f>
        <v>#REF!</v>
      </c>
      <c r="BQ219" t="e">
        <f>AND(Bills!AA937,"AAAAAHx3t0Q=")</f>
        <v>#VALUE!</v>
      </c>
      <c r="BR219" t="e">
        <f>AND(Bills!AB937,"AAAAAHx3t0U=")</f>
        <v>#VALUE!</v>
      </c>
      <c r="BS219" t="e">
        <f>AND(Bills!#REF!,"AAAAAHx3t0Y=")</f>
        <v>#REF!</v>
      </c>
      <c r="BT219" t="e">
        <f>AND(Bills!#REF!,"AAAAAHx3t0c=")</f>
        <v>#REF!</v>
      </c>
      <c r="BU219" t="e">
        <f>AND(Bills!#REF!,"AAAAAHx3t0g=")</f>
        <v>#REF!</v>
      </c>
      <c r="BV219" t="e">
        <f>AND(Bills!AC937,"AAAAAHx3t0k=")</f>
        <v>#VALUE!</v>
      </c>
      <c r="BW219" t="e">
        <f>AND(Bills!AD937,"AAAAAHx3t0o=")</f>
        <v>#VALUE!</v>
      </c>
      <c r="BX219" t="e">
        <f>AND(Bills!AE937,"AAAAAHx3t0s=")</f>
        <v>#VALUE!</v>
      </c>
      <c r="BY219">
        <f>IF(Bills!938:938,"AAAAAHx3t0w=",0)</f>
        <v>0</v>
      </c>
      <c r="BZ219" t="e">
        <f>AND(Bills!B938,"AAAAAHx3t00=")</f>
        <v>#VALUE!</v>
      </c>
      <c r="CA219" t="e">
        <f>AND(Bills!#REF!,"AAAAAHx3t04=")</f>
        <v>#REF!</v>
      </c>
      <c r="CB219" t="e">
        <f>AND(Bills!C938,"AAAAAHx3t08=")</f>
        <v>#VALUE!</v>
      </c>
      <c r="CC219" t="e">
        <f>AND(Bills!D938,"AAAAAHx3t1A=")</f>
        <v>#VALUE!</v>
      </c>
      <c r="CD219" t="e">
        <f>AND(Bills!E938,"AAAAAHx3t1E=")</f>
        <v>#VALUE!</v>
      </c>
      <c r="CE219" t="e">
        <f>AND(Bills!#REF!,"AAAAAHx3t1I=")</f>
        <v>#REF!</v>
      </c>
      <c r="CF219" t="e">
        <f>AND(Bills!#REF!,"AAAAAHx3t1M=")</f>
        <v>#REF!</v>
      </c>
      <c r="CG219" t="e">
        <f>AND(Bills!#REF!,"AAAAAHx3t1Q=")</f>
        <v>#REF!</v>
      </c>
      <c r="CH219" t="e">
        <f>AND(Bills!F938,"AAAAAHx3t1U=")</f>
        <v>#VALUE!</v>
      </c>
      <c r="CI219" t="e">
        <f>AND(Bills!#REF!,"AAAAAHx3t1Y=")</f>
        <v>#REF!</v>
      </c>
      <c r="CJ219" t="e">
        <f>AND(Bills!G938,"AAAAAHx3t1c=")</f>
        <v>#VALUE!</v>
      </c>
      <c r="CK219" t="e">
        <f>AND(Bills!H938,"AAAAAHx3t1g=")</f>
        <v>#VALUE!</v>
      </c>
      <c r="CL219" t="e">
        <f>AND(Bills!I938,"AAAAAHx3t1k=")</f>
        <v>#VALUE!</v>
      </c>
      <c r="CM219" t="e">
        <f>AND(Bills!J938,"AAAAAHx3t1o=")</f>
        <v>#VALUE!</v>
      </c>
      <c r="CN219" t="e">
        <f>AND(Bills!K938,"AAAAAHx3t1s=")</f>
        <v>#VALUE!</v>
      </c>
      <c r="CO219" t="e">
        <f>AND(Bills!L938,"AAAAAHx3t1w=")</f>
        <v>#VALUE!</v>
      </c>
      <c r="CP219" t="e">
        <f>AND(Bills!#REF!,"AAAAAHx3t10=")</f>
        <v>#REF!</v>
      </c>
      <c r="CQ219" t="e">
        <f>AND(Bills!M938,"AAAAAHx3t14=")</f>
        <v>#VALUE!</v>
      </c>
      <c r="CR219" t="e">
        <f>AND(Bills!N938,"AAAAAHx3t18=")</f>
        <v>#VALUE!</v>
      </c>
      <c r="CS219" t="e">
        <f>AND(Bills!O938,"AAAAAHx3t2A=")</f>
        <v>#VALUE!</v>
      </c>
      <c r="CT219" t="e">
        <f>AND(Bills!P938,"AAAAAHx3t2E=")</f>
        <v>#VALUE!</v>
      </c>
      <c r="CU219" t="e">
        <f>AND(Bills!Q938,"AAAAAHx3t2I=")</f>
        <v>#VALUE!</v>
      </c>
      <c r="CV219" t="e">
        <f>AND(Bills!R938,"AAAAAHx3t2M=")</f>
        <v>#VALUE!</v>
      </c>
      <c r="CW219" t="e">
        <f>AND(Bills!S938,"AAAAAHx3t2Q=")</f>
        <v>#VALUE!</v>
      </c>
      <c r="CX219" t="e">
        <f>AND(Bills!T938,"AAAAAHx3t2U=")</f>
        <v>#VALUE!</v>
      </c>
      <c r="CY219" t="e">
        <f>AND(Bills!#REF!,"AAAAAHx3t2Y=")</f>
        <v>#REF!</v>
      </c>
      <c r="CZ219" t="e">
        <f>AND(Bills!U938,"AAAAAHx3t2c=")</f>
        <v>#VALUE!</v>
      </c>
      <c r="DA219" t="e">
        <f>AND(Bills!V938,"AAAAAHx3t2g=")</f>
        <v>#VALUE!</v>
      </c>
      <c r="DB219" t="e">
        <f>AND(Bills!W938,"AAAAAHx3t2k=")</f>
        <v>#VALUE!</v>
      </c>
      <c r="DC219" t="e">
        <f>AND(Bills!#REF!,"AAAAAHx3t2o=")</f>
        <v>#REF!</v>
      </c>
      <c r="DD219" t="e">
        <f>AND(Bills!#REF!,"AAAAAHx3t2s=")</f>
        <v>#REF!</v>
      </c>
      <c r="DE219" t="e">
        <f>AND(Bills!Y938,"AAAAAHx3t2w=")</f>
        <v>#VALUE!</v>
      </c>
      <c r="DF219" t="e">
        <f>AND(Bills!Z938,"AAAAAHx3t20=")</f>
        <v>#VALUE!</v>
      </c>
      <c r="DG219" t="e">
        <f>AND(Bills!#REF!,"AAAAAHx3t24=")</f>
        <v>#REF!</v>
      </c>
      <c r="DH219" t="e">
        <f>AND(Bills!#REF!,"AAAAAHx3t28=")</f>
        <v>#REF!</v>
      </c>
      <c r="DI219" t="e">
        <f>AND(Bills!#REF!,"AAAAAHx3t3A=")</f>
        <v>#REF!</v>
      </c>
      <c r="DJ219" t="e">
        <f>AND(Bills!#REF!,"AAAAAHx3t3E=")</f>
        <v>#REF!</v>
      </c>
      <c r="DK219" t="e">
        <f>AND(Bills!#REF!,"AAAAAHx3t3I=")</f>
        <v>#REF!</v>
      </c>
      <c r="DL219" t="e">
        <f>AND(Bills!#REF!,"AAAAAHx3t3M=")</f>
        <v>#REF!</v>
      </c>
      <c r="DM219" t="e">
        <f>AND(Bills!#REF!,"AAAAAHx3t3Q=")</f>
        <v>#REF!</v>
      </c>
      <c r="DN219" t="e">
        <f>AND(Bills!#REF!,"AAAAAHx3t3U=")</f>
        <v>#REF!</v>
      </c>
      <c r="DO219" t="e">
        <f>AND(Bills!#REF!,"AAAAAHx3t3Y=")</f>
        <v>#REF!</v>
      </c>
      <c r="DP219" t="e">
        <f>AND(Bills!AA938,"AAAAAHx3t3c=")</f>
        <v>#VALUE!</v>
      </c>
      <c r="DQ219" t="e">
        <f>AND(Bills!AB938,"AAAAAHx3t3g=")</f>
        <v>#VALUE!</v>
      </c>
      <c r="DR219" t="e">
        <f>AND(Bills!#REF!,"AAAAAHx3t3k=")</f>
        <v>#REF!</v>
      </c>
      <c r="DS219" t="e">
        <f>AND(Bills!#REF!,"AAAAAHx3t3o=")</f>
        <v>#REF!</v>
      </c>
      <c r="DT219" t="e">
        <f>AND(Bills!#REF!,"AAAAAHx3t3s=")</f>
        <v>#REF!</v>
      </c>
      <c r="DU219" t="e">
        <f>AND(Bills!AC938,"AAAAAHx3t3w=")</f>
        <v>#VALUE!</v>
      </c>
      <c r="DV219" t="e">
        <f>AND(Bills!AD938,"AAAAAHx3t30=")</f>
        <v>#VALUE!</v>
      </c>
      <c r="DW219" t="e">
        <f>AND(Bills!AE938,"AAAAAHx3t34=")</f>
        <v>#VALUE!</v>
      </c>
      <c r="DX219">
        <f>IF(Bills!939:939,"AAAAAHx3t38=",0)</f>
        <v>0</v>
      </c>
      <c r="DY219" t="e">
        <f>AND(Bills!B939,"AAAAAHx3t4A=")</f>
        <v>#VALUE!</v>
      </c>
      <c r="DZ219" t="e">
        <f>AND(Bills!#REF!,"AAAAAHx3t4E=")</f>
        <v>#REF!</v>
      </c>
      <c r="EA219" t="e">
        <f>AND(Bills!C939,"AAAAAHx3t4I=")</f>
        <v>#VALUE!</v>
      </c>
      <c r="EB219" t="e">
        <f>AND(Bills!D939,"AAAAAHx3t4M=")</f>
        <v>#VALUE!</v>
      </c>
      <c r="EC219" t="e">
        <f>AND(Bills!E939,"AAAAAHx3t4Q=")</f>
        <v>#VALUE!</v>
      </c>
      <c r="ED219" t="e">
        <f>AND(Bills!#REF!,"AAAAAHx3t4U=")</f>
        <v>#REF!</v>
      </c>
      <c r="EE219" t="e">
        <f>AND(Bills!#REF!,"AAAAAHx3t4Y=")</f>
        <v>#REF!</v>
      </c>
      <c r="EF219" t="e">
        <f>AND(Bills!#REF!,"AAAAAHx3t4c=")</f>
        <v>#REF!</v>
      </c>
      <c r="EG219" t="e">
        <f>AND(Bills!F939,"AAAAAHx3t4g=")</f>
        <v>#VALUE!</v>
      </c>
      <c r="EH219" t="e">
        <f>AND(Bills!#REF!,"AAAAAHx3t4k=")</f>
        <v>#REF!</v>
      </c>
      <c r="EI219" t="e">
        <f>AND(Bills!G939,"AAAAAHx3t4o=")</f>
        <v>#VALUE!</v>
      </c>
      <c r="EJ219" t="e">
        <f>AND(Bills!H939,"AAAAAHx3t4s=")</f>
        <v>#VALUE!</v>
      </c>
      <c r="EK219" t="e">
        <f>AND(Bills!I939,"AAAAAHx3t4w=")</f>
        <v>#VALUE!</v>
      </c>
      <c r="EL219" t="e">
        <f>AND(Bills!J939,"AAAAAHx3t40=")</f>
        <v>#VALUE!</v>
      </c>
      <c r="EM219" t="e">
        <f>AND(Bills!K939,"AAAAAHx3t44=")</f>
        <v>#VALUE!</v>
      </c>
      <c r="EN219" t="e">
        <f>AND(Bills!L939,"AAAAAHx3t48=")</f>
        <v>#VALUE!</v>
      </c>
      <c r="EO219" t="e">
        <f>AND(Bills!#REF!,"AAAAAHx3t5A=")</f>
        <v>#REF!</v>
      </c>
      <c r="EP219" t="e">
        <f>AND(Bills!M939,"AAAAAHx3t5E=")</f>
        <v>#VALUE!</v>
      </c>
      <c r="EQ219" t="e">
        <f>AND(Bills!N939,"AAAAAHx3t5I=")</f>
        <v>#VALUE!</v>
      </c>
      <c r="ER219" t="e">
        <f>AND(Bills!O939,"AAAAAHx3t5M=")</f>
        <v>#VALUE!</v>
      </c>
      <c r="ES219" t="e">
        <f>AND(Bills!P939,"AAAAAHx3t5Q=")</f>
        <v>#VALUE!</v>
      </c>
      <c r="ET219" t="e">
        <f>AND(Bills!Q939,"AAAAAHx3t5U=")</f>
        <v>#VALUE!</v>
      </c>
      <c r="EU219" t="e">
        <f>AND(Bills!R939,"AAAAAHx3t5Y=")</f>
        <v>#VALUE!</v>
      </c>
      <c r="EV219" t="e">
        <f>AND(Bills!S939,"AAAAAHx3t5c=")</f>
        <v>#VALUE!</v>
      </c>
      <c r="EW219" t="e">
        <f>AND(Bills!T939,"AAAAAHx3t5g=")</f>
        <v>#VALUE!</v>
      </c>
      <c r="EX219" t="e">
        <f>AND(Bills!#REF!,"AAAAAHx3t5k=")</f>
        <v>#REF!</v>
      </c>
      <c r="EY219" t="e">
        <f>AND(Bills!U939,"AAAAAHx3t5o=")</f>
        <v>#VALUE!</v>
      </c>
      <c r="EZ219" t="e">
        <f>AND(Bills!V939,"AAAAAHx3t5s=")</f>
        <v>#VALUE!</v>
      </c>
      <c r="FA219" t="e">
        <f>AND(Bills!W939,"AAAAAHx3t5w=")</f>
        <v>#VALUE!</v>
      </c>
      <c r="FB219" t="e">
        <f>AND(Bills!#REF!,"AAAAAHx3t50=")</f>
        <v>#REF!</v>
      </c>
      <c r="FC219" t="e">
        <f>AND(Bills!#REF!,"AAAAAHx3t54=")</f>
        <v>#REF!</v>
      </c>
      <c r="FD219" t="e">
        <f>AND(Bills!Y939,"AAAAAHx3t58=")</f>
        <v>#VALUE!</v>
      </c>
      <c r="FE219" t="e">
        <f>AND(Bills!Z939,"AAAAAHx3t6A=")</f>
        <v>#VALUE!</v>
      </c>
      <c r="FF219" t="e">
        <f>AND(Bills!#REF!,"AAAAAHx3t6E=")</f>
        <v>#REF!</v>
      </c>
      <c r="FG219" t="e">
        <f>AND(Bills!#REF!,"AAAAAHx3t6I=")</f>
        <v>#REF!</v>
      </c>
      <c r="FH219" t="e">
        <f>AND(Bills!#REF!,"AAAAAHx3t6M=")</f>
        <v>#REF!</v>
      </c>
      <c r="FI219" t="e">
        <f>AND(Bills!#REF!,"AAAAAHx3t6Q=")</f>
        <v>#REF!</v>
      </c>
      <c r="FJ219" t="e">
        <f>AND(Bills!#REF!,"AAAAAHx3t6U=")</f>
        <v>#REF!</v>
      </c>
      <c r="FK219" t="e">
        <f>AND(Bills!#REF!,"AAAAAHx3t6Y=")</f>
        <v>#REF!</v>
      </c>
      <c r="FL219" t="e">
        <f>AND(Bills!#REF!,"AAAAAHx3t6c=")</f>
        <v>#REF!</v>
      </c>
      <c r="FM219" t="e">
        <f>AND(Bills!#REF!,"AAAAAHx3t6g=")</f>
        <v>#REF!</v>
      </c>
      <c r="FN219" t="e">
        <f>AND(Bills!#REF!,"AAAAAHx3t6k=")</f>
        <v>#REF!</v>
      </c>
      <c r="FO219" t="e">
        <f>AND(Bills!AA939,"AAAAAHx3t6o=")</f>
        <v>#VALUE!</v>
      </c>
      <c r="FP219" t="e">
        <f>AND(Bills!AB939,"AAAAAHx3t6s=")</f>
        <v>#VALUE!</v>
      </c>
      <c r="FQ219" t="e">
        <f>AND(Bills!#REF!,"AAAAAHx3t6w=")</f>
        <v>#REF!</v>
      </c>
      <c r="FR219" t="e">
        <f>AND(Bills!#REF!,"AAAAAHx3t60=")</f>
        <v>#REF!</v>
      </c>
      <c r="FS219" t="e">
        <f>AND(Bills!#REF!,"AAAAAHx3t64=")</f>
        <v>#REF!</v>
      </c>
      <c r="FT219" t="e">
        <f>AND(Bills!AC939,"AAAAAHx3t68=")</f>
        <v>#VALUE!</v>
      </c>
      <c r="FU219" t="e">
        <f>AND(Bills!AD939,"AAAAAHx3t7A=")</f>
        <v>#VALUE!</v>
      </c>
      <c r="FV219" t="e">
        <f>AND(Bills!AE939,"AAAAAHx3t7E=")</f>
        <v>#VALUE!</v>
      </c>
      <c r="FW219">
        <f>IF(Bills!940:940,"AAAAAHx3t7I=",0)</f>
        <v>0</v>
      </c>
      <c r="FX219" t="e">
        <f>AND(Bills!B940,"AAAAAHx3t7M=")</f>
        <v>#VALUE!</v>
      </c>
      <c r="FY219" t="e">
        <f>AND(Bills!#REF!,"AAAAAHx3t7Q=")</f>
        <v>#REF!</v>
      </c>
      <c r="FZ219" t="e">
        <f>AND(Bills!C940,"AAAAAHx3t7U=")</f>
        <v>#VALUE!</v>
      </c>
      <c r="GA219" t="e">
        <f>AND(Bills!D940,"AAAAAHx3t7Y=")</f>
        <v>#VALUE!</v>
      </c>
      <c r="GB219" t="e">
        <f>AND(Bills!E940,"AAAAAHx3t7c=")</f>
        <v>#VALUE!</v>
      </c>
      <c r="GC219" t="e">
        <f>AND(Bills!#REF!,"AAAAAHx3t7g=")</f>
        <v>#REF!</v>
      </c>
      <c r="GD219" t="e">
        <f>AND(Bills!#REF!,"AAAAAHx3t7k=")</f>
        <v>#REF!</v>
      </c>
      <c r="GE219" t="e">
        <f>AND(Bills!#REF!,"AAAAAHx3t7o=")</f>
        <v>#REF!</v>
      </c>
      <c r="GF219" t="e">
        <f>AND(Bills!F940,"AAAAAHx3t7s=")</f>
        <v>#VALUE!</v>
      </c>
      <c r="GG219" t="e">
        <f>AND(Bills!#REF!,"AAAAAHx3t7w=")</f>
        <v>#REF!</v>
      </c>
      <c r="GH219" t="e">
        <f>AND(Bills!G940,"AAAAAHx3t70=")</f>
        <v>#VALUE!</v>
      </c>
      <c r="GI219" t="e">
        <f>AND(Bills!H940,"AAAAAHx3t74=")</f>
        <v>#VALUE!</v>
      </c>
      <c r="GJ219" t="e">
        <f>AND(Bills!I940,"AAAAAHx3t78=")</f>
        <v>#VALUE!</v>
      </c>
      <c r="GK219" t="e">
        <f>AND(Bills!J940,"AAAAAHx3t8A=")</f>
        <v>#VALUE!</v>
      </c>
      <c r="GL219" t="e">
        <f>AND(Bills!K940,"AAAAAHx3t8E=")</f>
        <v>#VALUE!</v>
      </c>
      <c r="GM219" t="e">
        <f>AND(Bills!L940,"AAAAAHx3t8I=")</f>
        <v>#VALUE!</v>
      </c>
      <c r="GN219" t="e">
        <f>AND(Bills!#REF!,"AAAAAHx3t8M=")</f>
        <v>#REF!</v>
      </c>
      <c r="GO219" t="e">
        <f>AND(Bills!M940,"AAAAAHx3t8Q=")</f>
        <v>#VALUE!</v>
      </c>
      <c r="GP219" t="e">
        <f>AND(Bills!N940,"AAAAAHx3t8U=")</f>
        <v>#VALUE!</v>
      </c>
      <c r="GQ219" t="e">
        <f>AND(Bills!O940,"AAAAAHx3t8Y=")</f>
        <v>#VALUE!</v>
      </c>
      <c r="GR219" t="e">
        <f>AND(Bills!P940,"AAAAAHx3t8c=")</f>
        <v>#VALUE!</v>
      </c>
      <c r="GS219" t="e">
        <f>AND(Bills!Q940,"AAAAAHx3t8g=")</f>
        <v>#VALUE!</v>
      </c>
      <c r="GT219" t="e">
        <f>AND(Bills!R940,"AAAAAHx3t8k=")</f>
        <v>#VALUE!</v>
      </c>
      <c r="GU219" t="e">
        <f>AND(Bills!S940,"AAAAAHx3t8o=")</f>
        <v>#VALUE!</v>
      </c>
      <c r="GV219" t="e">
        <f>AND(Bills!T940,"AAAAAHx3t8s=")</f>
        <v>#VALUE!</v>
      </c>
      <c r="GW219" t="e">
        <f>AND(Bills!#REF!,"AAAAAHx3t8w=")</f>
        <v>#REF!</v>
      </c>
      <c r="GX219" t="e">
        <f>AND(Bills!U940,"AAAAAHx3t80=")</f>
        <v>#VALUE!</v>
      </c>
      <c r="GY219" t="e">
        <f>AND(Bills!V940,"AAAAAHx3t84=")</f>
        <v>#VALUE!</v>
      </c>
      <c r="GZ219" t="e">
        <f>AND(Bills!W940,"AAAAAHx3t88=")</f>
        <v>#VALUE!</v>
      </c>
      <c r="HA219" t="e">
        <f>AND(Bills!#REF!,"AAAAAHx3t9A=")</f>
        <v>#REF!</v>
      </c>
      <c r="HB219" t="e">
        <f>AND(Bills!#REF!,"AAAAAHx3t9E=")</f>
        <v>#REF!</v>
      </c>
      <c r="HC219" t="e">
        <f>AND(Bills!Y940,"AAAAAHx3t9I=")</f>
        <v>#VALUE!</v>
      </c>
      <c r="HD219" t="e">
        <f>AND(Bills!Z940,"AAAAAHx3t9M=")</f>
        <v>#VALUE!</v>
      </c>
      <c r="HE219" t="e">
        <f>AND(Bills!#REF!,"AAAAAHx3t9Q=")</f>
        <v>#REF!</v>
      </c>
      <c r="HF219" t="e">
        <f>AND(Bills!#REF!,"AAAAAHx3t9U=")</f>
        <v>#REF!</v>
      </c>
      <c r="HG219" t="e">
        <f>AND(Bills!#REF!,"AAAAAHx3t9Y=")</f>
        <v>#REF!</v>
      </c>
      <c r="HH219" t="e">
        <f>AND(Bills!#REF!,"AAAAAHx3t9c=")</f>
        <v>#REF!</v>
      </c>
      <c r="HI219" t="e">
        <f>AND(Bills!#REF!,"AAAAAHx3t9g=")</f>
        <v>#REF!</v>
      </c>
      <c r="HJ219" t="e">
        <f>AND(Bills!#REF!,"AAAAAHx3t9k=")</f>
        <v>#REF!</v>
      </c>
      <c r="HK219" t="e">
        <f>AND(Bills!#REF!,"AAAAAHx3t9o=")</f>
        <v>#REF!</v>
      </c>
      <c r="HL219" t="e">
        <f>AND(Bills!#REF!,"AAAAAHx3t9s=")</f>
        <v>#REF!</v>
      </c>
      <c r="HM219" t="e">
        <f>AND(Bills!#REF!,"AAAAAHx3t9w=")</f>
        <v>#REF!</v>
      </c>
      <c r="HN219" t="e">
        <f>AND(Bills!AA940,"AAAAAHx3t90=")</f>
        <v>#VALUE!</v>
      </c>
      <c r="HO219" t="e">
        <f>AND(Bills!AB940,"AAAAAHx3t94=")</f>
        <v>#VALUE!</v>
      </c>
      <c r="HP219" t="e">
        <f>AND(Bills!#REF!,"AAAAAHx3t98=")</f>
        <v>#REF!</v>
      </c>
      <c r="HQ219" t="e">
        <f>AND(Bills!#REF!,"AAAAAHx3t+A=")</f>
        <v>#REF!</v>
      </c>
      <c r="HR219" t="e">
        <f>AND(Bills!#REF!,"AAAAAHx3t+E=")</f>
        <v>#REF!</v>
      </c>
      <c r="HS219" t="e">
        <f>AND(Bills!AC940,"AAAAAHx3t+I=")</f>
        <v>#VALUE!</v>
      </c>
      <c r="HT219" t="e">
        <f>AND(Bills!AD940,"AAAAAHx3t+M=")</f>
        <v>#VALUE!</v>
      </c>
      <c r="HU219" t="e">
        <f>AND(Bills!AE940,"AAAAAHx3t+Q=")</f>
        <v>#VALUE!</v>
      </c>
      <c r="HV219">
        <f>IF(Bills!941:941,"AAAAAHx3t+U=",0)</f>
        <v>0</v>
      </c>
      <c r="HW219" t="e">
        <f>AND(Bills!B941,"AAAAAHx3t+Y=")</f>
        <v>#VALUE!</v>
      </c>
      <c r="HX219" t="e">
        <f>AND(Bills!#REF!,"AAAAAHx3t+c=")</f>
        <v>#REF!</v>
      </c>
      <c r="HY219" t="e">
        <f>AND(Bills!C941,"AAAAAHx3t+g=")</f>
        <v>#VALUE!</v>
      </c>
      <c r="HZ219" t="e">
        <f>AND(Bills!D941,"AAAAAHx3t+k=")</f>
        <v>#VALUE!</v>
      </c>
      <c r="IA219" t="e">
        <f>AND(Bills!E941,"AAAAAHx3t+o=")</f>
        <v>#VALUE!</v>
      </c>
      <c r="IB219" t="e">
        <f>AND(Bills!#REF!,"AAAAAHx3t+s=")</f>
        <v>#REF!</v>
      </c>
      <c r="IC219" t="e">
        <f>AND(Bills!#REF!,"AAAAAHx3t+w=")</f>
        <v>#REF!</v>
      </c>
      <c r="ID219" t="e">
        <f>AND(Bills!#REF!,"AAAAAHx3t+0=")</f>
        <v>#REF!</v>
      </c>
      <c r="IE219" t="e">
        <f>AND(Bills!F941,"AAAAAHx3t+4=")</f>
        <v>#VALUE!</v>
      </c>
      <c r="IF219" t="e">
        <f>AND(Bills!#REF!,"AAAAAHx3t+8=")</f>
        <v>#REF!</v>
      </c>
      <c r="IG219" t="e">
        <f>AND(Bills!G941,"AAAAAHx3t/A=")</f>
        <v>#VALUE!</v>
      </c>
      <c r="IH219" t="e">
        <f>AND(Bills!H941,"AAAAAHx3t/E=")</f>
        <v>#VALUE!</v>
      </c>
      <c r="II219" t="e">
        <f>AND(Bills!I941,"AAAAAHx3t/I=")</f>
        <v>#VALUE!</v>
      </c>
      <c r="IJ219" t="e">
        <f>AND(Bills!J941,"AAAAAHx3t/M=")</f>
        <v>#VALUE!</v>
      </c>
      <c r="IK219" t="e">
        <f>AND(Bills!K941,"AAAAAHx3t/Q=")</f>
        <v>#VALUE!</v>
      </c>
      <c r="IL219" t="e">
        <f>AND(Bills!L941,"AAAAAHx3t/U=")</f>
        <v>#VALUE!</v>
      </c>
      <c r="IM219" t="e">
        <f>AND(Bills!#REF!,"AAAAAHx3t/Y=")</f>
        <v>#REF!</v>
      </c>
      <c r="IN219" t="e">
        <f>AND(Bills!M941,"AAAAAHx3t/c=")</f>
        <v>#VALUE!</v>
      </c>
      <c r="IO219" t="e">
        <f>AND(Bills!N941,"AAAAAHx3t/g=")</f>
        <v>#VALUE!</v>
      </c>
      <c r="IP219" t="e">
        <f>AND(Bills!O941,"AAAAAHx3t/k=")</f>
        <v>#VALUE!</v>
      </c>
      <c r="IQ219" t="e">
        <f>AND(Bills!P941,"AAAAAHx3t/o=")</f>
        <v>#VALUE!</v>
      </c>
      <c r="IR219" t="e">
        <f>AND(Bills!Q941,"AAAAAHx3t/s=")</f>
        <v>#VALUE!</v>
      </c>
      <c r="IS219" t="e">
        <f>AND(Bills!R941,"AAAAAHx3t/w=")</f>
        <v>#VALUE!</v>
      </c>
      <c r="IT219" t="e">
        <f>AND(Bills!S941,"AAAAAHx3t/0=")</f>
        <v>#VALUE!</v>
      </c>
      <c r="IU219" t="e">
        <f>AND(Bills!T941,"AAAAAHx3t/4=")</f>
        <v>#VALUE!</v>
      </c>
      <c r="IV219" t="e">
        <f>AND(Bills!#REF!,"AAAAAHx3t/8=")</f>
        <v>#REF!</v>
      </c>
    </row>
    <row r="220" spans="1:256" x14ac:dyDescent="0.25">
      <c r="A220" t="e">
        <f>AND(Bills!U941,"AAAAAH//ZwA=")</f>
        <v>#VALUE!</v>
      </c>
      <c r="B220" t="e">
        <f>AND(Bills!V941,"AAAAAH//ZwE=")</f>
        <v>#VALUE!</v>
      </c>
      <c r="C220" t="e">
        <f>AND(Bills!W941,"AAAAAH//ZwI=")</f>
        <v>#VALUE!</v>
      </c>
      <c r="D220" t="e">
        <f>AND(Bills!#REF!,"AAAAAH//ZwM=")</f>
        <v>#REF!</v>
      </c>
      <c r="E220" t="e">
        <f>AND(Bills!#REF!,"AAAAAH//ZwQ=")</f>
        <v>#REF!</v>
      </c>
      <c r="F220" t="e">
        <f>AND(Bills!Y941,"AAAAAH//ZwU=")</f>
        <v>#VALUE!</v>
      </c>
      <c r="G220" t="e">
        <f>AND(Bills!Z941,"AAAAAH//ZwY=")</f>
        <v>#VALUE!</v>
      </c>
      <c r="H220" t="e">
        <f>AND(Bills!#REF!,"AAAAAH//Zwc=")</f>
        <v>#REF!</v>
      </c>
      <c r="I220" t="e">
        <f>AND(Bills!#REF!,"AAAAAH//Zwg=")</f>
        <v>#REF!</v>
      </c>
      <c r="J220" t="e">
        <f>AND(Bills!#REF!,"AAAAAH//Zwk=")</f>
        <v>#REF!</v>
      </c>
      <c r="K220" t="e">
        <f>AND(Bills!#REF!,"AAAAAH//Zwo=")</f>
        <v>#REF!</v>
      </c>
      <c r="L220" t="e">
        <f>AND(Bills!#REF!,"AAAAAH//Zws=")</f>
        <v>#REF!</v>
      </c>
      <c r="M220" t="e">
        <f>AND(Bills!#REF!,"AAAAAH//Zww=")</f>
        <v>#REF!</v>
      </c>
      <c r="N220" t="e">
        <f>AND(Bills!#REF!,"AAAAAH//Zw0=")</f>
        <v>#REF!</v>
      </c>
      <c r="O220" t="e">
        <f>AND(Bills!#REF!,"AAAAAH//Zw4=")</f>
        <v>#REF!</v>
      </c>
      <c r="P220" t="e">
        <f>AND(Bills!#REF!,"AAAAAH//Zw8=")</f>
        <v>#REF!</v>
      </c>
      <c r="Q220" t="e">
        <f>AND(Bills!AA941,"AAAAAH//ZxA=")</f>
        <v>#VALUE!</v>
      </c>
      <c r="R220" t="e">
        <f>AND(Bills!AB941,"AAAAAH//ZxE=")</f>
        <v>#VALUE!</v>
      </c>
      <c r="S220" t="e">
        <f>AND(Bills!#REF!,"AAAAAH//ZxI=")</f>
        <v>#REF!</v>
      </c>
      <c r="T220" t="e">
        <f>AND(Bills!#REF!,"AAAAAH//ZxM=")</f>
        <v>#REF!</v>
      </c>
      <c r="U220" t="e">
        <f>AND(Bills!#REF!,"AAAAAH//ZxQ=")</f>
        <v>#REF!</v>
      </c>
      <c r="V220" t="e">
        <f>AND(Bills!AC941,"AAAAAH//ZxU=")</f>
        <v>#VALUE!</v>
      </c>
      <c r="W220" t="e">
        <f>AND(Bills!AD941,"AAAAAH//ZxY=")</f>
        <v>#VALUE!</v>
      </c>
      <c r="X220" t="e">
        <f>AND(Bills!AE941,"AAAAAH//Zxc=")</f>
        <v>#VALUE!</v>
      </c>
      <c r="Y220">
        <f>IF(Bills!942:942,"AAAAAH//Zxg=",0)</f>
        <v>0</v>
      </c>
      <c r="Z220" t="e">
        <f>AND(Bills!B942,"AAAAAH//Zxk=")</f>
        <v>#VALUE!</v>
      </c>
      <c r="AA220" t="e">
        <f>AND(Bills!#REF!,"AAAAAH//Zxo=")</f>
        <v>#REF!</v>
      </c>
      <c r="AB220" t="e">
        <f>AND(Bills!C942,"AAAAAH//Zxs=")</f>
        <v>#VALUE!</v>
      </c>
      <c r="AC220" t="e">
        <f>AND(Bills!D942,"AAAAAH//Zxw=")</f>
        <v>#VALUE!</v>
      </c>
      <c r="AD220" t="e">
        <f>AND(Bills!E942,"AAAAAH//Zx0=")</f>
        <v>#VALUE!</v>
      </c>
      <c r="AE220" t="e">
        <f>AND(Bills!#REF!,"AAAAAH//Zx4=")</f>
        <v>#REF!</v>
      </c>
      <c r="AF220" t="e">
        <f>AND(Bills!#REF!,"AAAAAH//Zx8=")</f>
        <v>#REF!</v>
      </c>
      <c r="AG220" t="e">
        <f>AND(Bills!#REF!,"AAAAAH//ZyA=")</f>
        <v>#REF!</v>
      </c>
      <c r="AH220" t="e">
        <f>AND(Bills!F942,"AAAAAH//ZyE=")</f>
        <v>#VALUE!</v>
      </c>
      <c r="AI220" t="e">
        <f>AND(Bills!#REF!,"AAAAAH//ZyI=")</f>
        <v>#REF!</v>
      </c>
      <c r="AJ220" t="e">
        <f>AND(Bills!G942,"AAAAAH//ZyM=")</f>
        <v>#VALUE!</v>
      </c>
      <c r="AK220" t="e">
        <f>AND(Bills!H942,"AAAAAH//ZyQ=")</f>
        <v>#VALUE!</v>
      </c>
      <c r="AL220" t="e">
        <f>AND(Bills!I942,"AAAAAH//ZyU=")</f>
        <v>#VALUE!</v>
      </c>
      <c r="AM220" t="e">
        <f>AND(Bills!J942,"AAAAAH//ZyY=")</f>
        <v>#VALUE!</v>
      </c>
      <c r="AN220" t="e">
        <f>AND(Bills!K942,"AAAAAH//Zyc=")</f>
        <v>#VALUE!</v>
      </c>
      <c r="AO220" t="e">
        <f>AND(Bills!L942,"AAAAAH//Zyg=")</f>
        <v>#VALUE!</v>
      </c>
      <c r="AP220" t="e">
        <f>AND(Bills!#REF!,"AAAAAH//Zyk=")</f>
        <v>#REF!</v>
      </c>
      <c r="AQ220" t="e">
        <f>AND(Bills!M942,"AAAAAH//Zyo=")</f>
        <v>#VALUE!</v>
      </c>
      <c r="AR220" t="e">
        <f>AND(Bills!N942,"AAAAAH//Zys=")</f>
        <v>#VALUE!</v>
      </c>
      <c r="AS220" t="e">
        <f>AND(Bills!O942,"AAAAAH//Zyw=")</f>
        <v>#VALUE!</v>
      </c>
      <c r="AT220" t="e">
        <f>AND(Bills!P942,"AAAAAH//Zy0=")</f>
        <v>#VALUE!</v>
      </c>
      <c r="AU220" t="e">
        <f>AND(Bills!Q942,"AAAAAH//Zy4=")</f>
        <v>#VALUE!</v>
      </c>
      <c r="AV220" t="e">
        <f>AND(Bills!R942,"AAAAAH//Zy8=")</f>
        <v>#VALUE!</v>
      </c>
      <c r="AW220" t="e">
        <f>AND(Bills!S942,"AAAAAH//ZzA=")</f>
        <v>#VALUE!</v>
      </c>
      <c r="AX220" t="e">
        <f>AND(Bills!T942,"AAAAAH//ZzE=")</f>
        <v>#VALUE!</v>
      </c>
      <c r="AY220" t="e">
        <f>AND(Bills!#REF!,"AAAAAH//ZzI=")</f>
        <v>#REF!</v>
      </c>
      <c r="AZ220" t="e">
        <f>AND(Bills!U942,"AAAAAH//ZzM=")</f>
        <v>#VALUE!</v>
      </c>
      <c r="BA220" t="e">
        <f>AND(Bills!V942,"AAAAAH//ZzQ=")</f>
        <v>#VALUE!</v>
      </c>
      <c r="BB220" t="e">
        <f>AND(Bills!W942,"AAAAAH//ZzU=")</f>
        <v>#VALUE!</v>
      </c>
      <c r="BC220" t="e">
        <f>AND(Bills!#REF!,"AAAAAH//ZzY=")</f>
        <v>#REF!</v>
      </c>
      <c r="BD220" t="e">
        <f>AND(Bills!#REF!,"AAAAAH//Zzc=")</f>
        <v>#REF!</v>
      </c>
      <c r="BE220" t="e">
        <f>AND(Bills!Y942,"AAAAAH//Zzg=")</f>
        <v>#VALUE!</v>
      </c>
      <c r="BF220" t="e">
        <f>AND(Bills!Z942,"AAAAAH//Zzk=")</f>
        <v>#VALUE!</v>
      </c>
      <c r="BG220" t="e">
        <f>AND(Bills!#REF!,"AAAAAH//Zzo=")</f>
        <v>#REF!</v>
      </c>
      <c r="BH220" t="e">
        <f>AND(Bills!#REF!,"AAAAAH//Zzs=")</f>
        <v>#REF!</v>
      </c>
      <c r="BI220" t="e">
        <f>AND(Bills!#REF!,"AAAAAH//Zzw=")</f>
        <v>#REF!</v>
      </c>
      <c r="BJ220" t="e">
        <f>AND(Bills!#REF!,"AAAAAH//Zz0=")</f>
        <v>#REF!</v>
      </c>
      <c r="BK220" t="e">
        <f>AND(Bills!#REF!,"AAAAAH//Zz4=")</f>
        <v>#REF!</v>
      </c>
      <c r="BL220" t="e">
        <f>AND(Bills!#REF!,"AAAAAH//Zz8=")</f>
        <v>#REF!</v>
      </c>
      <c r="BM220" t="e">
        <f>AND(Bills!#REF!,"AAAAAH//Z0A=")</f>
        <v>#REF!</v>
      </c>
      <c r="BN220" t="e">
        <f>AND(Bills!#REF!,"AAAAAH//Z0E=")</f>
        <v>#REF!</v>
      </c>
      <c r="BO220" t="e">
        <f>AND(Bills!#REF!,"AAAAAH//Z0I=")</f>
        <v>#REF!</v>
      </c>
      <c r="BP220" t="e">
        <f>AND(Bills!AA942,"AAAAAH//Z0M=")</f>
        <v>#VALUE!</v>
      </c>
      <c r="BQ220" t="e">
        <f>AND(Bills!AB942,"AAAAAH//Z0Q=")</f>
        <v>#VALUE!</v>
      </c>
      <c r="BR220" t="e">
        <f>AND(Bills!#REF!,"AAAAAH//Z0U=")</f>
        <v>#REF!</v>
      </c>
      <c r="BS220" t="e">
        <f>AND(Bills!#REF!,"AAAAAH//Z0Y=")</f>
        <v>#REF!</v>
      </c>
      <c r="BT220" t="e">
        <f>AND(Bills!#REF!,"AAAAAH//Z0c=")</f>
        <v>#REF!</v>
      </c>
      <c r="BU220" t="e">
        <f>AND(Bills!AC942,"AAAAAH//Z0g=")</f>
        <v>#VALUE!</v>
      </c>
      <c r="BV220" t="e">
        <f>AND(Bills!AD942,"AAAAAH//Z0k=")</f>
        <v>#VALUE!</v>
      </c>
      <c r="BW220" t="e">
        <f>AND(Bills!AE942,"AAAAAH//Z0o=")</f>
        <v>#VALUE!</v>
      </c>
      <c r="BX220">
        <f>IF(Bills!943:943,"AAAAAH//Z0s=",0)</f>
        <v>0</v>
      </c>
      <c r="BY220" t="e">
        <f>AND(Bills!B943,"AAAAAH//Z0w=")</f>
        <v>#VALUE!</v>
      </c>
      <c r="BZ220" t="e">
        <f>AND(Bills!#REF!,"AAAAAH//Z00=")</f>
        <v>#REF!</v>
      </c>
      <c r="CA220" t="e">
        <f>AND(Bills!C943,"AAAAAH//Z04=")</f>
        <v>#VALUE!</v>
      </c>
      <c r="CB220" t="e">
        <f>AND(Bills!D943,"AAAAAH//Z08=")</f>
        <v>#VALUE!</v>
      </c>
      <c r="CC220" t="e">
        <f>AND(Bills!E943,"AAAAAH//Z1A=")</f>
        <v>#VALUE!</v>
      </c>
      <c r="CD220" t="e">
        <f>AND(Bills!#REF!,"AAAAAH//Z1E=")</f>
        <v>#REF!</v>
      </c>
      <c r="CE220" t="e">
        <f>AND(Bills!#REF!,"AAAAAH//Z1I=")</f>
        <v>#REF!</v>
      </c>
      <c r="CF220" t="e">
        <f>AND(Bills!#REF!,"AAAAAH//Z1M=")</f>
        <v>#REF!</v>
      </c>
      <c r="CG220" t="e">
        <f>AND(Bills!F943,"AAAAAH//Z1Q=")</f>
        <v>#VALUE!</v>
      </c>
      <c r="CH220" t="e">
        <f>AND(Bills!#REF!,"AAAAAH//Z1U=")</f>
        <v>#REF!</v>
      </c>
      <c r="CI220" t="e">
        <f>AND(Bills!G943,"AAAAAH//Z1Y=")</f>
        <v>#VALUE!</v>
      </c>
      <c r="CJ220" t="e">
        <f>AND(Bills!H943,"AAAAAH//Z1c=")</f>
        <v>#VALUE!</v>
      </c>
      <c r="CK220" t="e">
        <f>AND(Bills!I943,"AAAAAH//Z1g=")</f>
        <v>#VALUE!</v>
      </c>
      <c r="CL220" t="e">
        <f>AND(Bills!J943,"AAAAAH//Z1k=")</f>
        <v>#VALUE!</v>
      </c>
      <c r="CM220" t="e">
        <f>AND(Bills!K943,"AAAAAH//Z1o=")</f>
        <v>#VALUE!</v>
      </c>
      <c r="CN220" t="e">
        <f>AND(Bills!L943,"AAAAAH//Z1s=")</f>
        <v>#VALUE!</v>
      </c>
      <c r="CO220" t="e">
        <f>AND(Bills!#REF!,"AAAAAH//Z1w=")</f>
        <v>#REF!</v>
      </c>
      <c r="CP220" t="e">
        <f>AND(Bills!M943,"AAAAAH//Z10=")</f>
        <v>#VALUE!</v>
      </c>
      <c r="CQ220" t="e">
        <f>AND(Bills!N943,"AAAAAH//Z14=")</f>
        <v>#VALUE!</v>
      </c>
      <c r="CR220" t="e">
        <f>AND(Bills!O943,"AAAAAH//Z18=")</f>
        <v>#VALUE!</v>
      </c>
      <c r="CS220" t="e">
        <f>AND(Bills!P943,"AAAAAH//Z2A=")</f>
        <v>#VALUE!</v>
      </c>
      <c r="CT220" t="e">
        <f>AND(Bills!Q943,"AAAAAH//Z2E=")</f>
        <v>#VALUE!</v>
      </c>
      <c r="CU220" t="e">
        <f>AND(Bills!R943,"AAAAAH//Z2I=")</f>
        <v>#VALUE!</v>
      </c>
      <c r="CV220" t="e">
        <f>AND(Bills!S943,"AAAAAH//Z2M=")</f>
        <v>#VALUE!</v>
      </c>
      <c r="CW220" t="e">
        <f>AND(Bills!T943,"AAAAAH//Z2Q=")</f>
        <v>#VALUE!</v>
      </c>
      <c r="CX220" t="e">
        <f>AND(Bills!#REF!,"AAAAAH//Z2U=")</f>
        <v>#REF!</v>
      </c>
      <c r="CY220" t="e">
        <f>AND(Bills!U943,"AAAAAH//Z2Y=")</f>
        <v>#VALUE!</v>
      </c>
      <c r="CZ220" t="e">
        <f>AND(Bills!V943,"AAAAAH//Z2c=")</f>
        <v>#VALUE!</v>
      </c>
      <c r="DA220" t="e">
        <f>AND(Bills!W943,"AAAAAH//Z2g=")</f>
        <v>#VALUE!</v>
      </c>
      <c r="DB220" t="e">
        <f>AND(Bills!#REF!,"AAAAAH//Z2k=")</f>
        <v>#REF!</v>
      </c>
      <c r="DC220" t="e">
        <f>AND(Bills!#REF!,"AAAAAH//Z2o=")</f>
        <v>#REF!</v>
      </c>
      <c r="DD220" t="e">
        <f>AND(Bills!Y943,"AAAAAH//Z2s=")</f>
        <v>#VALUE!</v>
      </c>
      <c r="DE220" t="e">
        <f>AND(Bills!Z943,"AAAAAH//Z2w=")</f>
        <v>#VALUE!</v>
      </c>
      <c r="DF220" t="e">
        <f>AND(Bills!#REF!,"AAAAAH//Z20=")</f>
        <v>#REF!</v>
      </c>
      <c r="DG220" t="e">
        <f>AND(Bills!#REF!,"AAAAAH//Z24=")</f>
        <v>#REF!</v>
      </c>
      <c r="DH220" t="e">
        <f>AND(Bills!#REF!,"AAAAAH//Z28=")</f>
        <v>#REF!</v>
      </c>
      <c r="DI220" t="e">
        <f>AND(Bills!#REF!,"AAAAAH//Z3A=")</f>
        <v>#REF!</v>
      </c>
      <c r="DJ220" t="e">
        <f>AND(Bills!#REF!,"AAAAAH//Z3E=")</f>
        <v>#REF!</v>
      </c>
      <c r="DK220" t="e">
        <f>AND(Bills!#REF!,"AAAAAH//Z3I=")</f>
        <v>#REF!</v>
      </c>
      <c r="DL220" t="e">
        <f>AND(Bills!#REF!,"AAAAAH//Z3M=")</f>
        <v>#REF!</v>
      </c>
      <c r="DM220" t="e">
        <f>AND(Bills!#REF!,"AAAAAH//Z3Q=")</f>
        <v>#REF!</v>
      </c>
      <c r="DN220" t="e">
        <f>AND(Bills!#REF!,"AAAAAH//Z3U=")</f>
        <v>#REF!</v>
      </c>
      <c r="DO220" t="e">
        <f>AND(Bills!AA943,"AAAAAH//Z3Y=")</f>
        <v>#VALUE!</v>
      </c>
      <c r="DP220" t="e">
        <f>AND(Bills!AB943,"AAAAAH//Z3c=")</f>
        <v>#VALUE!</v>
      </c>
      <c r="DQ220" t="e">
        <f>AND(Bills!#REF!,"AAAAAH//Z3g=")</f>
        <v>#REF!</v>
      </c>
      <c r="DR220" t="e">
        <f>AND(Bills!#REF!,"AAAAAH//Z3k=")</f>
        <v>#REF!</v>
      </c>
      <c r="DS220" t="e">
        <f>AND(Bills!#REF!,"AAAAAH//Z3o=")</f>
        <v>#REF!</v>
      </c>
      <c r="DT220" t="e">
        <f>AND(Bills!AC943,"AAAAAH//Z3s=")</f>
        <v>#VALUE!</v>
      </c>
      <c r="DU220" t="e">
        <f>AND(Bills!AD943,"AAAAAH//Z3w=")</f>
        <v>#VALUE!</v>
      </c>
      <c r="DV220" t="e">
        <f>AND(Bills!AE943,"AAAAAH//Z30=")</f>
        <v>#VALUE!</v>
      </c>
      <c r="DW220">
        <f>IF(Bills!944:944,"AAAAAH//Z34=",0)</f>
        <v>0</v>
      </c>
      <c r="DX220" t="e">
        <f>AND(Bills!B944,"AAAAAH//Z38=")</f>
        <v>#VALUE!</v>
      </c>
      <c r="DY220" t="e">
        <f>AND(Bills!#REF!,"AAAAAH//Z4A=")</f>
        <v>#REF!</v>
      </c>
      <c r="DZ220" t="e">
        <f>AND(Bills!C944,"AAAAAH//Z4E=")</f>
        <v>#VALUE!</v>
      </c>
      <c r="EA220" t="e">
        <f>AND(Bills!D944,"AAAAAH//Z4I=")</f>
        <v>#VALUE!</v>
      </c>
      <c r="EB220" t="e">
        <f>AND(Bills!E944,"AAAAAH//Z4M=")</f>
        <v>#VALUE!</v>
      </c>
      <c r="EC220" t="e">
        <f>AND(Bills!#REF!,"AAAAAH//Z4Q=")</f>
        <v>#REF!</v>
      </c>
      <c r="ED220" t="e">
        <f>AND(Bills!#REF!,"AAAAAH//Z4U=")</f>
        <v>#REF!</v>
      </c>
      <c r="EE220" t="e">
        <f>AND(Bills!#REF!,"AAAAAH//Z4Y=")</f>
        <v>#REF!</v>
      </c>
      <c r="EF220" t="e">
        <f>AND(Bills!F944,"AAAAAH//Z4c=")</f>
        <v>#VALUE!</v>
      </c>
      <c r="EG220" t="e">
        <f>AND(Bills!#REF!,"AAAAAH//Z4g=")</f>
        <v>#REF!</v>
      </c>
      <c r="EH220" t="e">
        <f>AND(Bills!G944,"AAAAAH//Z4k=")</f>
        <v>#VALUE!</v>
      </c>
      <c r="EI220" t="e">
        <f>AND(Bills!H944,"AAAAAH//Z4o=")</f>
        <v>#VALUE!</v>
      </c>
      <c r="EJ220" t="e">
        <f>AND(Bills!I944,"AAAAAH//Z4s=")</f>
        <v>#VALUE!</v>
      </c>
      <c r="EK220" t="e">
        <f>AND(Bills!J944,"AAAAAH//Z4w=")</f>
        <v>#VALUE!</v>
      </c>
      <c r="EL220" t="e">
        <f>AND(Bills!K944,"AAAAAH//Z40=")</f>
        <v>#VALUE!</v>
      </c>
      <c r="EM220" t="e">
        <f>AND(Bills!L944,"AAAAAH//Z44=")</f>
        <v>#VALUE!</v>
      </c>
      <c r="EN220" t="e">
        <f>AND(Bills!#REF!,"AAAAAH//Z48=")</f>
        <v>#REF!</v>
      </c>
      <c r="EO220" t="e">
        <f>AND(Bills!M944,"AAAAAH//Z5A=")</f>
        <v>#VALUE!</v>
      </c>
      <c r="EP220" t="e">
        <f>AND(Bills!N944,"AAAAAH//Z5E=")</f>
        <v>#VALUE!</v>
      </c>
      <c r="EQ220" t="e">
        <f>AND(Bills!O944,"AAAAAH//Z5I=")</f>
        <v>#VALUE!</v>
      </c>
      <c r="ER220" t="e">
        <f>AND(Bills!P944,"AAAAAH//Z5M=")</f>
        <v>#VALUE!</v>
      </c>
      <c r="ES220" t="e">
        <f>AND(Bills!Q944,"AAAAAH//Z5Q=")</f>
        <v>#VALUE!</v>
      </c>
      <c r="ET220" t="e">
        <f>AND(Bills!R944,"AAAAAH//Z5U=")</f>
        <v>#VALUE!</v>
      </c>
      <c r="EU220" t="e">
        <f>AND(Bills!S944,"AAAAAH//Z5Y=")</f>
        <v>#VALUE!</v>
      </c>
      <c r="EV220" t="e">
        <f>AND(Bills!T944,"AAAAAH//Z5c=")</f>
        <v>#VALUE!</v>
      </c>
      <c r="EW220" t="e">
        <f>AND(Bills!#REF!,"AAAAAH//Z5g=")</f>
        <v>#REF!</v>
      </c>
      <c r="EX220" t="e">
        <f>AND(Bills!U944,"AAAAAH//Z5k=")</f>
        <v>#VALUE!</v>
      </c>
      <c r="EY220" t="e">
        <f>AND(Bills!V944,"AAAAAH//Z5o=")</f>
        <v>#VALUE!</v>
      </c>
      <c r="EZ220" t="e">
        <f>AND(Bills!W944,"AAAAAH//Z5s=")</f>
        <v>#VALUE!</v>
      </c>
      <c r="FA220" t="e">
        <f>AND(Bills!#REF!,"AAAAAH//Z5w=")</f>
        <v>#REF!</v>
      </c>
      <c r="FB220" t="e">
        <f>AND(Bills!#REF!,"AAAAAH//Z50=")</f>
        <v>#REF!</v>
      </c>
      <c r="FC220" t="e">
        <f>AND(Bills!Y944,"AAAAAH//Z54=")</f>
        <v>#VALUE!</v>
      </c>
      <c r="FD220" t="e">
        <f>AND(Bills!Z944,"AAAAAH//Z58=")</f>
        <v>#VALUE!</v>
      </c>
      <c r="FE220" t="e">
        <f>AND(Bills!#REF!,"AAAAAH//Z6A=")</f>
        <v>#REF!</v>
      </c>
      <c r="FF220" t="e">
        <f>AND(Bills!#REF!,"AAAAAH//Z6E=")</f>
        <v>#REF!</v>
      </c>
      <c r="FG220" t="e">
        <f>AND(Bills!#REF!,"AAAAAH//Z6I=")</f>
        <v>#REF!</v>
      </c>
      <c r="FH220" t="e">
        <f>AND(Bills!#REF!,"AAAAAH//Z6M=")</f>
        <v>#REF!</v>
      </c>
      <c r="FI220" t="e">
        <f>AND(Bills!#REF!,"AAAAAH//Z6Q=")</f>
        <v>#REF!</v>
      </c>
      <c r="FJ220" t="e">
        <f>AND(Bills!#REF!,"AAAAAH//Z6U=")</f>
        <v>#REF!</v>
      </c>
      <c r="FK220" t="e">
        <f>AND(Bills!#REF!,"AAAAAH//Z6Y=")</f>
        <v>#REF!</v>
      </c>
      <c r="FL220" t="e">
        <f>AND(Bills!#REF!,"AAAAAH//Z6c=")</f>
        <v>#REF!</v>
      </c>
      <c r="FM220" t="e">
        <f>AND(Bills!#REF!,"AAAAAH//Z6g=")</f>
        <v>#REF!</v>
      </c>
      <c r="FN220" t="e">
        <f>AND(Bills!AA944,"AAAAAH//Z6k=")</f>
        <v>#VALUE!</v>
      </c>
      <c r="FO220" t="e">
        <f>AND(Bills!AB944,"AAAAAH//Z6o=")</f>
        <v>#VALUE!</v>
      </c>
      <c r="FP220" t="e">
        <f>AND(Bills!#REF!,"AAAAAH//Z6s=")</f>
        <v>#REF!</v>
      </c>
      <c r="FQ220" t="e">
        <f>AND(Bills!#REF!,"AAAAAH//Z6w=")</f>
        <v>#REF!</v>
      </c>
      <c r="FR220" t="e">
        <f>AND(Bills!#REF!,"AAAAAH//Z60=")</f>
        <v>#REF!</v>
      </c>
      <c r="FS220" t="e">
        <f>AND(Bills!AC944,"AAAAAH//Z64=")</f>
        <v>#VALUE!</v>
      </c>
      <c r="FT220" t="e">
        <f>AND(Bills!AD944,"AAAAAH//Z68=")</f>
        <v>#VALUE!</v>
      </c>
      <c r="FU220" t="e">
        <f>AND(Bills!AE944,"AAAAAH//Z7A=")</f>
        <v>#VALUE!</v>
      </c>
      <c r="FV220">
        <f>IF(Bills!945:945,"AAAAAH//Z7E=",0)</f>
        <v>0</v>
      </c>
      <c r="FW220" t="e">
        <f>AND(Bills!B945,"AAAAAH//Z7I=")</f>
        <v>#VALUE!</v>
      </c>
      <c r="FX220" t="e">
        <f>AND(Bills!#REF!,"AAAAAH//Z7M=")</f>
        <v>#REF!</v>
      </c>
      <c r="FY220" t="e">
        <f>AND(Bills!C945,"AAAAAH//Z7Q=")</f>
        <v>#VALUE!</v>
      </c>
      <c r="FZ220" t="e">
        <f>AND(Bills!D945,"AAAAAH//Z7U=")</f>
        <v>#VALUE!</v>
      </c>
      <c r="GA220" t="e">
        <f>AND(Bills!E945,"AAAAAH//Z7Y=")</f>
        <v>#VALUE!</v>
      </c>
      <c r="GB220" t="e">
        <f>AND(Bills!#REF!,"AAAAAH//Z7c=")</f>
        <v>#REF!</v>
      </c>
      <c r="GC220" t="e">
        <f>AND(Bills!#REF!,"AAAAAH//Z7g=")</f>
        <v>#REF!</v>
      </c>
      <c r="GD220" t="e">
        <f>AND(Bills!#REF!,"AAAAAH//Z7k=")</f>
        <v>#REF!</v>
      </c>
      <c r="GE220" t="e">
        <f>AND(Bills!F945,"AAAAAH//Z7o=")</f>
        <v>#VALUE!</v>
      </c>
      <c r="GF220" t="e">
        <f>AND(Bills!#REF!,"AAAAAH//Z7s=")</f>
        <v>#REF!</v>
      </c>
      <c r="GG220" t="e">
        <f>AND(Bills!G945,"AAAAAH//Z7w=")</f>
        <v>#VALUE!</v>
      </c>
      <c r="GH220" t="e">
        <f>AND(Bills!H945,"AAAAAH//Z70=")</f>
        <v>#VALUE!</v>
      </c>
      <c r="GI220" t="e">
        <f>AND(Bills!I945,"AAAAAH//Z74=")</f>
        <v>#VALUE!</v>
      </c>
      <c r="GJ220" t="e">
        <f>AND(Bills!J945,"AAAAAH//Z78=")</f>
        <v>#VALUE!</v>
      </c>
      <c r="GK220" t="e">
        <f>AND(Bills!K945,"AAAAAH//Z8A=")</f>
        <v>#VALUE!</v>
      </c>
      <c r="GL220" t="e">
        <f>AND(Bills!L945,"AAAAAH//Z8E=")</f>
        <v>#VALUE!</v>
      </c>
      <c r="GM220" t="e">
        <f>AND(Bills!#REF!,"AAAAAH//Z8I=")</f>
        <v>#REF!</v>
      </c>
      <c r="GN220" t="e">
        <f>AND(Bills!M945,"AAAAAH//Z8M=")</f>
        <v>#VALUE!</v>
      </c>
      <c r="GO220" t="e">
        <f>AND(Bills!N945,"AAAAAH//Z8Q=")</f>
        <v>#VALUE!</v>
      </c>
      <c r="GP220" t="e">
        <f>AND(Bills!O945,"AAAAAH//Z8U=")</f>
        <v>#VALUE!</v>
      </c>
      <c r="GQ220" t="e">
        <f>AND(Bills!P945,"AAAAAH//Z8Y=")</f>
        <v>#VALUE!</v>
      </c>
      <c r="GR220" t="e">
        <f>AND(Bills!Q945,"AAAAAH//Z8c=")</f>
        <v>#VALUE!</v>
      </c>
      <c r="GS220" t="e">
        <f>AND(Bills!R945,"AAAAAH//Z8g=")</f>
        <v>#VALUE!</v>
      </c>
      <c r="GT220" t="e">
        <f>AND(Bills!S945,"AAAAAH//Z8k=")</f>
        <v>#VALUE!</v>
      </c>
      <c r="GU220" t="e">
        <f>AND(Bills!T945,"AAAAAH//Z8o=")</f>
        <v>#VALUE!</v>
      </c>
      <c r="GV220" t="e">
        <f>AND(Bills!#REF!,"AAAAAH//Z8s=")</f>
        <v>#REF!</v>
      </c>
      <c r="GW220" t="e">
        <f>AND(Bills!U945,"AAAAAH//Z8w=")</f>
        <v>#VALUE!</v>
      </c>
      <c r="GX220" t="e">
        <f>AND(Bills!V945,"AAAAAH//Z80=")</f>
        <v>#VALUE!</v>
      </c>
      <c r="GY220" t="e">
        <f>AND(Bills!W945,"AAAAAH//Z84=")</f>
        <v>#VALUE!</v>
      </c>
      <c r="GZ220" t="e">
        <f>AND(Bills!#REF!,"AAAAAH//Z88=")</f>
        <v>#REF!</v>
      </c>
      <c r="HA220" t="e">
        <f>AND(Bills!#REF!,"AAAAAH//Z9A=")</f>
        <v>#REF!</v>
      </c>
      <c r="HB220" t="e">
        <f>AND(Bills!Y945,"AAAAAH//Z9E=")</f>
        <v>#VALUE!</v>
      </c>
      <c r="HC220" t="e">
        <f>AND(Bills!Z945,"AAAAAH//Z9I=")</f>
        <v>#VALUE!</v>
      </c>
      <c r="HD220" t="e">
        <f>AND(Bills!#REF!,"AAAAAH//Z9M=")</f>
        <v>#REF!</v>
      </c>
      <c r="HE220" t="e">
        <f>AND(Bills!#REF!,"AAAAAH//Z9Q=")</f>
        <v>#REF!</v>
      </c>
      <c r="HF220" t="e">
        <f>AND(Bills!#REF!,"AAAAAH//Z9U=")</f>
        <v>#REF!</v>
      </c>
      <c r="HG220" t="e">
        <f>AND(Bills!#REF!,"AAAAAH//Z9Y=")</f>
        <v>#REF!</v>
      </c>
      <c r="HH220" t="e">
        <f>AND(Bills!#REF!,"AAAAAH//Z9c=")</f>
        <v>#REF!</v>
      </c>
      <c r="HI220" t="e">
        <f>AND(Bills!#REF!,"AAAAAH//Z9g=")</f>
        <v>#REF!</v>
      </c>
      <c r="HJ220" t="e">
        <f>AND(Bills!#REF!,"AAAAAH//Z9k=")</f>
        <v>#REF!</v>
      </c>
      <c r="HK220" t="e">
        <f>AND(Bills!#REF!,"AAAAAH//Z9o=")</f>
        <v>#REF!</v>
      </c>
      <c r="HL220" t="e">
        <f>AND(Bills!#REF!,"AAAAAH//Z9s=")</f>
        <v>#REF!</v>
      </c>
      <c r="HM220" t="e">
        <f>AND(Bills!AA945,"AAAAAH//Z9w=")</f>
        <v>#VALUE!</v>
      </c>
      <c r="HN220" t="e">
        <f>AND(Bills!AB945,"AAAAAH//Z90=")</f>
        <v>#VALUE!</v>
      </c>
      <c r="HO220" t="e">
        <f>AND(Bills!#REF!,"AAAAAH//Z94=")</f>
        <v>#REF!</v>
      </c>
      <c r="HP220" t="e">
        <f>AND(Bills!#REF!,"AAAAAH//Z98=")</f>
        <v>#REF!</v>
      </c>
      <c r="HQ220" t="e">
        <f>AND(Bills!#REF!,"AAAAAH//Z+A=")</f>
        <v>#REF!</v>
      </c>
      <c r="HR220" t="e">
        <f>AND(Bills!AC945,"AAAAAH//Z+E=")</f>
        <v>#VALUE!</v>
      </c>
      <c r="HS220" t="e">
        <f>AND(Bills!AD945,"AAAAAH//Z+I=")</f>
        <v>#VALUE!</v>
      </c>
      <c r="HT220" t="e">
        <f>AND(Bills!AE945,"AAAAAH//Z+M=")</f>
        <v>#VALUE!</v>
      </c>
      <c r="HU220">
        <f>IF(Bills!946:946,"AAAAAH//Z+Q=",0)</f>
        <v>0</v>
      </c>
      <c r="HV220" t="e">
        <f>AND(Bills!B946,"AAAAAH//Z+U=")</f>
        <v>#VALUE!</v>
      </c>
      <c r="HW220" t="e">
        <f>AND(Bills!#REF!,"AAAAAH//Z+Y=")</f>
        <v>#REF!</v>
      </c>
      <c r="HX220" t="e">
        <f>AND(Bills!C946,"AAAAAH//Z+c=")</f>
        <v>#VALUE!</v>
      </c>
      <c r="HY220" t="e">
        <f>AND(Bills!D946,"AAAAAH//Z+g=")</f>
        <v>#VALUE!</v>
      </c>
      <c r="HZ220" t="e">
        <f>AND(Bills!E946,"AAAAAH//Z+k=")</f>
        <v>#VALUE!</v>
      </c>
      <c r="IA220" t="e">
        <f>AND(Bills!#REF!,"AAAAAH//Z+o=")</f>
        <v>#REF!</v>
      </c>
      <c r="IB220" t="e">
        <f>AND(Bills!#REF!,"AAAAAH//Z+s=")</f>
        <v>#REF!</v>
      </c>
      <c r="IC220" t="e">
        <f>AND(Bills!#REF!,"AAAAAH//Z+w=")</f>
        <v>#REF!</v>
      </c>
      <c r="ID220" t="e">
        <f>AND(Bills!F946,"AAAAAH//Z+0=")</f>
        <v>#VALUE!</v>
      </c>
      <c r="IE220" t="e">
        <f>AND(Bills!#REF!,"AAAAAH//Z+4=")</f>
        <v>#REF!</v>
      </c>
      <c r="IF220" t="e">
        <f>AND(Bills!G946,"AAAAAH//Z+8=")</f>
        <v>#VALUE!</v>
      </c>
      <c r="IG220" t="e">
        <f>AND(Bills!H946,"AAAAAH//Z/A=")</f>
        <v>#VALUE!</v>
      </c>
      <c r="IH220" t="e">
        <f>AND(Bills!I946,"AAAAAH//Z/E=")</f>
        <v>#VALUE!</v>
      </c>
      <c r="II220" t="e">
        <f>AND(Bills!J946,"AAAAAH//Z/I=")</f>
        <v>#VALUE!</v>
      </c>
      <c r="IJ220" t="e">
        <f>AND(Bills!K946,"AAAAAH//Z/M=")</f>
        <v>#VALUE!</v>
      </c>
      <c r="IK220" t="e">
        <f>AND(Bills!L946,"AAAAAH//Z/Q=")</f>
        <v>#VALUE!</v>
      </c>
      <c r="IL220" t="e">
        <f>AND(Bills!#REF!,"AAAAAH//Z/U=")</f>
        <v>#REF!</v>
      </c>
      <c r="IM220" t="e">
        <f>AND(Bills!M946,"AAAAAH//Z/Y=")</f>
        <v>#VALUE!</v>
      </c>
      <c r="IN220" t="e">
        <f>AND(Bills!N946,"AAAAAH//Z/c=")</f>
        <v>#VALUE!</v>
      </c>
      <c r="IO220" t="e">
        <f>AND(Bills!O946,"AAAAAH//Z/g=")</f>
        <v>#VALUE!</v>
      </c>
      <c r="IP220" t="e">
        <f>AND(Bills!P946,"AAAAAH//Z/k=")</f>
        <v>#VALUE!</v>
      </c>
      <c r="IQ220" t="e">
        <f>AND(Bills!Q946,"AAAAAH//Z/o=")</f>
        <v>#VALUE!</v>
      </c>
      <c r="IR220" t="e">
        <f>AND(Bills!R946,"AAAAAH//Z/s=")</f>
        <v>#VALUE!</v>
      </c>
      <c r="IS220" t="e">
        <f>AND(Bills!S946,"AAAAAH//Z/w=")</f>
        <v>#VALUE!</v>
      </c>
      <c r="IT220" t="e">
        <f>AND(Bills!T946,"AAAAAH//Z/0=")</f>
        <v>#VALUE!</v>
      </c>
      <c r="IU220" t="e">
        <f>AND(Bills!#REF!,"AAAAAH//Z/4=")</f>
        <v>#REF!</v>
      </c>
      <c r="IV220" t="e">
        <f>AND(Bills!U946,"AAAAAH//Z/8=")</f>
        <v>#VALUE!</v>
      </c>
    </row>
    <row r="221" spans="1:256" x14ac:dyDescent="0.25">
      <c r="A221" t="e">
        <f>AND(Bills!V946,"AAAAAF79uQA=")</f>
        <v>#VALUE!</v>
      </c>
      <c r="B221" t="e">
        <f>AND(Bills!W946,"AAAAAF79uQE=")</f>
        <v>#VALUE!</v>
      </c>
      <c r="C221" t="e">
        <f>AND(Bills!#REF!,"AAAAAF79uQI=")</f>
        <v>#REF!</v>
      </c>
      <c r="D221" t="e">
        <f>AND(Bills!#REF!,"AAAAAF79uQM=")</f>
        <v>#REF!</v>
      </c>
      <c r="E221" t="e">
        <f>AND(Bills!Y946,"AAAAAF79uQQ=")</f>
        <v>#VALUE!</v>
      </c>
      <c r="F221" t="e">
        <f>AND(Bills!Z946,"AAAAAF79uQU=")</f>
        <v>#VALUE!</v>
      </c>
      <c r="G221" t="e">
        <f>AND(Bills!#REF!,"AAAAAF79uQY=")</f>
        <v>#REF!</v>
      </c>
      <c r="H221" t="e">
        <f>AND(Bills!#REF!,"AAAAAF79uQc=")</f>
        <v>#REF!</v>
      </c>
      <c r="I221" t="e">
        <f>AND(Bills!#REF!,"AAAAAF79uQg=")</f>
        <v>#REF!</v>
      </c>
      <c r="J221" t="e">
        <f>AND(Bills!#REF!,"AAAAAF79uQk=")</f>
        <v>#REF!</v>
      </c>
      <c r="K221" t="e">
        <f>AND(Bills!#REF!,"AAAAAF79uQo=")</f>
        <v>#REF!</v>
      </c>
      <c r="L221" t="e">
        <f>AND(Bills!#REF!,"AAAAAF79uQs=")</f>
        <v>#REF!</v>
      </c>
      <c r="M221" t="e">
        <f>AND(Bills!#REF!,"AAAAAF79uQw=")</f>
        <v>#REF!</v>
      </c>
      <c r="N221" t="e">
        <f>AND(Bills!#REF!,"AAAAAF79uQ0=")</f>
        <v>#REF!</v>
      </c>
      <c r="O221" t="e">
        <f>AND(Bills!#REF!,"AAAAAF79uQ4=")</f>
        <v>#REF!</v>
      </c>
      <c r="P221" t="e">
        <f>AND(Bills!AA946,"AAAAAF79uQ8=")</f>
        <v>#VALUE!</v>
      </c>
      <c r="Q221" t="e">
        <f>AND(Bills!AB946,"AAAAAF79uRA=")</f>
        <v>#VALUE!</v>
      </c>
      <c r="R221" t="e">
        <f>AND(Bills!#REF!,"AAAAAF79uRE=")</f>
        <v>#REF!</v>
      </c>
      <c r="S221" t="e">
        <f>AND(Bills!#REF!,"AAAAAF79uRI=")</f>
        <v>#REF!</v>
      </c>
      <c r="T221" t="e">
        <f>AND(Bills!#REF!,"AAAAAF79uRM=")</f>
        <v>#REF!</v>
      </c>
      <c r="U221" t="e">
        <f>AND(Bills!AC946,"AAAAAF79uRQ=")</f>
        <v>#VALUE!</v>
      </c>
      <c r="V221" t="e">
        <f>AND(Bills!AD946,"AAAAAF79uRU=")</f>
        <v>#VALUE!</v>
      </c>
      <c r="W221" t="e">
        <f>AND(Bills!AE946,"AAAAAF79uRY=")</f>
        <v>#VALUE!</v>
      </c>
      <c r="X221">
        <f>IF(Bills!947:947,"AAAAAF79uRc=",0)</f>
        <v>0</v>
      </c>
      <c r="Y221" t="e">
        <f>AND(Bills!B947,"AAAAAF79uRg=")</f>
        <v>#VALUE!</v>
      </c>
      <c r="Z221" t="e">
        <f>AND(Bills!#REF!,"AAAAAF79uRk=")</f>
        <v>#REF!</v>
      </c>
      <c r="AA221" t="e">
        <f>AND(Bills!C947,"AAAAAF79uRo=")</f>
        <v>#VALUE!</v>
      </c>
      <c r="AB221" t="e">
        <f>AND(Bills!D947,"AAAAAF79uRs=")</f>
        <v>#VALUE!</v>
      </c>
      <c r="AC221" t="e">
        <f>AND(Bills!E947,"AAAAAF79uRw=")</f>
        <v>#VALUE!</v>
      </c>
      <c r="AD221" t="e">
        <f>AND(Bills!#REF!,"AAAAAF79uR0=")</f>
        <v>#REF!</v>
      </c>
      <c r="AE221" t="e">
        <f>AND(Bills!#REF!,"AAAAAF79uR4=")</f>
        <v>#REF!</v>
      </c>
      <c r="AF221" t="e">
        <f>AND(Bills!#REF!,"AAAAAF79uR8=")</f>
        <v>#REF!</v>
      </c>
      <c r="AG221" t="e">
        <f>AND(Bills!F947,"AAAAAF79uSA=")</f>
        <v>#VALUE!</v>
      </c>
      <c r="AH221" t="e">
        <f>AND(Bills!#REF!,"AAAAAF79uSE=")</f>
        <v>#REF!</v>
      </c>
      <c r="AI221" t="e">
        <f>AND(Bills!G947,"AAAAAF79uSI=")</f>
        <v>#VALUE!</v>
      </c>
      <c r="AJ221" t="e">
        <f>AND(Bills!H947,"AAAAAF79uSM=")</f>
        <v>#VALUE!</v>
      </c>
      <c r="AK221" t="e">
        <f>AND(Bills!I947,"AAAAAF79uSQ=")</f>
        <v>#VALUE!</v>
      </c>
      <c r="AL221" t="e">
        <f>AND(Bills!J947,"AAAAAF79uSU=")</f>
        <v>#VALUE!</v>
      </c>
      <c r="AM221" t="e">
        <f>AND(Bills!K947,"AAAAAF79uSY=")</f>
        <v>#VALUE!</v>
      </c>
      <c r="AN221" t="e">
        <f>AND(Bills!L947,"AAAAAF79uSc=")</f>
        <v>#VALUE!</v>
      </c>
      <c r="AO221" t="e">
        <f>AND(Bills!#REF!,"AAAAAF79uSg=")</f>
        <v>#REF!</v>
      </c>
      <c r="AP221" t="e">
        <f>AND(Bills!M947,"AAAAAF79uSk=")</f>
        <v>#VALUE!</v>
      </c>
      <c r="AQ221" t="e">
        <f>AND(Bills!N947,"AAAAAF79uSo=")</f>
        <v>#VALUE!</v>
      </c>
      <c r="AR221" t="e">
        <f>AND(Bills!O947,"AAAAAF79uSs=")</f>
        <v>#VALUE!</v>
      </c>
      <c r="AS221" t="e">
        <f>AND(Bills!P947,"AAAAAF79uSw=")</f>
        <v>#VALUE!</v>
      </c>
      <c r="AT221" t="e">
        <f>AND(Bills!Q947,"AAAAAF79uS0=")</f>
        <v>#VALUE!</v>
      </c>
      <c r="AU221" t="e">
        <f>AND(Bills!R947,"AAAAAF79uS4=")</f>
        <v>#VALUE!</v>
      </c>
      <c r="AV221" t="e">
        <f>AND(Bills!S947,"AAAAAF79uS8=")</f>
        <v>#VALUE!</v>
      </c>
      <c r="AW221" t="e">
        <f>AND(Bills!T947,"AAAAAF79uTA=")</f>
        <v>#VALUE!</v>
      </c>
      <c r="AX221" t="e">
        <f>AND(Bills!#REF!,"AAAAAF79uTE=")</f>
        <v>#REF!</v>
      </c>
      <c r="AY221" t="e">
        <f>AND(Bills!U947,"AAAAAF79uTI=")</f>
        <v>#VALUE!</v>
      </c>
      <c r="AZ221" t="e">
        <f>AND(Bills!V947,"AAAAAF79uTM=")</f>
        <v>#VALUE!</v>
      </c>
      <c r="BA221" t="e">
        <f>AND(Bills!W947,"AAAAAF79uTQ=")</f>
        <v>#VALUE!</v>
      </c>
      <c r="BB221" t="e">
        <f>AND(Bills!#REF!,"AAAAAF79uTU=")</f>
        <v>#REF!</v>
      </c>
      <c r="BC221" t="e">
        <f>AND(Bills!#REF!,"AAAAAF79uTY=")</f>
        <v>#REF!</v>
      </c>
      <c r="BD221" t="e">
        <f>AND(Bills!Y947,"AAAAAF79uTc=")</f>
        <v>#VALUE!</v>
      </c>
      <c r="BE221" t="e">
        <f>AND(Bills!Z947,"AAAAAF79uTg=")</f>
        <v>#VALUE!</v>
      </c>
      <c r="BF221" t="e">
        <f>AND(Bills!#REF!,"AAAAAF79uTk=")</f>
        <v>#REF!</v>
      </c>
      <c r="BG221" t="e">
        <f>AND(Bills!#REF!,"AAAAAF79uTo=")</f>
        <v>#REF!</v>
      </c>
      <c r="BH221" t="e">
        <f>AND(Bills!#REF!,"AAAAAF79uTs=")</f>
        <v>#REF!</v>
      </c>
      <c r="BI221" t="e">
        <f>AND(Bills!#REF!,"AAAAAF79uTw=")</f>
        <v>#REF!</v>
      </c>
      <c r="BJ221" t="e">
        <f>AND(Bills!#REF!,"AAAAAF79uT0=")</f>
        <v>#REF!</v>
      </c>
      <c r="BK221" t="e">
        <f>AND(Bills!#REF!,"AAAAAF79uT4=")</f>
        <v>#REF!</v>
      </c>
      <c r="BL221" t="e">
        <f>AND(Bills!#REF!,"AAAAAF79uT8=")</f>
        <v>#REF!</v>
      </c>
      <c r="BM221" t="e">
        <f>AND(Bills!#REF!,"AAAAAF79uUA=")</f>
        <v>#REF!</v>
      </c>
      <c r="BN221" t="e">
        <f>AND(Bills!#REF!,"AAAAAF79uUE=")</f>
        <v>#REF!</v>
      </c>
      <c r="BO221" t="e">
        <f>AND(Bills!AA947,"AAAAAF79uUI=")</f>
        <v>#VALUE!</v>
      </c>
      <c r="BP221" t="e">
        <f>AND(Bills!AB947,"AAAAAF79uUM=")</f>
        <v>#VALUE!</v>
      </c>
      <c r="BQ221" t="e">
        <f>AND(Bills!#REF!,"AAAAAF79uUQ=")</f>
        <v>#REF!</v>
      </c>
      <c r="BR221" t="e">
        <f>AND(Bills!#REF!,"AAAAAF79uUU=")</f>
        <v>#REF!</v>
      </c>
      <c r="BS221" t="e">
        <f>AND(Bills!#REF!,"AAAAAF79uUY=")</f>
        <v>#REF!</v>
      </c>
      <c r="BT221" t="e">
        <f>AND(Bills!AC947,"AAAAAF79uUc=")</f>
        <v>#VALUE!</v>
      </c>
      <c r="BU221" t="e">
        <f>AND(Bills!AD947,"AAAAAF79uUg=")</f>
        <v>#VALUE!</v>
      </c>
      <c r="BV221" t="e">
        <f>AND(Bills!AE947,"AAAAAF79uUk=")</f>
        <v>#VALUE!</v>
      </c>
      <c r="BW221">
        <f>IF(Bills!948:948,"AAAAAF79uUo=",0)</f>
        <v>0</v>
      </c>
      <c r="BX221" t="e">
        <f>AND(Bills!B948,"AAAAAF79uUs=")</f>
        <v>#VALUE!</v>
      </c>
      <c r="BY221" t="e">
        <f>AND(Bills!#REF!,"AAAAAF79uUw=")</f>
        <v>#REF!</v>
      </c>
      <c r="BZ221" t="e">
        <f>AND(Bills!C948,"AAAAAF79uU0=")</f>
        <v>#VALUE!</v>
      </c>
      <c r="CA221" t="e">
        <f>AND(Bills!D948,"AAAAAF79uU4=")</f>
        <v>#VALUE!</v>
      </c>
      <c r="CB221" t="e">
        <f>AND(Bills!E948,"AAAAAF79uU8=")</f>
        <v>#VALUE!</v>
      </c>
      <c r="CC221" t="e">
        <f>AND(Bills!#REF!,"AAAAAF79uVA=")</f>
        <v>#REF!</v>
      </c>
      <c r="CD221" t="e">
        <f>AND(Bills!#REF!,"AAAAAF79uVE=")</f>
        <v>#REF!</v>
      </c>
      <c r="CE221" t="e">
        <f>AND(Bills!#REF!,"AAAAAF79uVI=")</f>
        <v>#REF!</v>
      </c>
      <c r="CF221" t="e">
        <f>AND(Bills!F948,"AAAAAF79uVM=")</f>
        <v>#VALUE!</v>
      </c>
      <c r="CG221" t="e">
        <f>AND(Bills!#REF!,"AAAAAF79uVQ=")</f>
        <v>#REF!</v>
      </c>
      <c r="CH221" t="e">
        <f>AND(Bills!G948,"AAAAAF79uVU=")</f>
        <v>#VALUE!</v>
      </c>
      <c r="CI221" t="e">
        <f>AND(Bills!H948,"AAAAAF79uVY=")</f>
        <v>#VALUE!</v>
      </c>
      <c r="CJ221" t="e">
        <f>AND(Bills!I948,"AAAAAF79uVc=")</f>
        <v>#VALUE!</v>
      </c>
      <c r="CK221" t="e">
        <f>AND(Bills!J948,"AAAAAF79uVg=")</f>
        <v>#VALUE!</v>
      </c>
      <c r="CL221" t="e">
        <f>AND(Bills!K948,"AAAAAF79uVk=")</f>
        <v>#VALUE!</v>
      </c>
      <c r="CM221" t="e">
        <f>AND(Bills!L948,"AAAAAF79uVo=")</f>
        <v>#VALUE!</v>
      </c>
      <c r="CN221" t="e">
        <f>AND(Bills!#REF!,"AAAAAF79uVs=")</f>
        <v>#REF!</v>
      </c>
      <c r="CO221" t="e">
        <f>AND(Bills!M948,"AAAAAF79uVw=")</f>
        <v>#VALUE!</v>
      </c>
      <c r="CP221" t="e">
        <f>AND(Bills!N948,"AAAAAF79uV0=")</f>
        <v>#VALUE!</v>
      </c>
      <c r="CQ221" t="e">
        <f>AND(Bills!O948,"AAAAAF79uV4=")</f>
        <v>#VALUE!</v>
      </c>
      <c r="CR221" t="e">
        <f>AND(Bills!P948,"AAAAAF79uV8=")</f>
        <v>#VALUE!</v>
      </c>
      <c r="CS221" t="e">
        <f>AND(Bills!Q948,"AAAAAF79uWA=")</f>
        <v>#VALUE!</v>
      </c>
      <c r="CT221" t="e">
        <f>AND(Bills!R948,"AAAAAF79uWE=")</f>
        <v>#VALUE!</v>
      </c>
      <c r="CU221" t="e">
        <f>AND(Bills!S948,"AAAAAF79uWI=")</f>
        <v>#VALUE!</v>
      </c>
      <c r="CV221" t="e">
        <f>AND(Bills!T948,"AAAAAF79uWM=")</f>
        <v>#VALUE!</v>
      </c>
      <c r="CW221" t="e">
        <f>AND(Bills!#REF!,"AAAAAF79uWQ=")</f>
        <v>#REF!</v>
      </c>
      <c r="CX221" t="e">
        <f>AND(Bills!U948,"AAAAAF79uWU=")</f>
        <v>#VALUE!</v>
      </c>
      <c r="CY221" t="e">
        <f>AND(Bills!V948,"AAAAAF79uWY=")</f>
        <v>#VALUE!</v>
      </c>
      <c r="CZ221" t="e">
        <f>AND(Bills!W948,"AAAAAF79uWc=")</f>
        <v>#VALUE!</v>
      </c>
      <c r="DA221" t="e">
        <f>AND(Bills!#REF!,"AAAAAF79uWg=")</f>
        <v>#REF!</v>
      </c>
      <c r="DB221" t="e">
        <f>AND(Bills!#REF!,"AAAAAF79uWk=")</f>
        <v>#REF!</v>
      </c>
      <c r="DC221" t="e">
        <f>AND(Bills!Y948,"AAAAAF79uWo=")</f>
        <v>#VALUE!</v>
      </c>
      <c r="DD221" t="e">
        <f>AND(Bills!Z948,"AAAAAF79uWs=")</f>
        <v>#VALUE!</v>
      </c>
      <c r="DE221" t="e">
        <f>AND(Bills!#REF!,"AAAAAF79uWw=")</f>
        <v>#REF!</v>
      </c>
      <c r="DF221" t="e">
        <f>AND(Bills!#REF!,"AAAAAF79uW0=")</f>
        <v>#REF!</v>
      </c>
      <c r="DG221" t="e">
        <f>AND(Bills!#REF!,"AAAAAF79uW4=")</f>
        <v>#REF!</v>
      </c>
      <c r="DH221" t="e">
        <f>AND(Bills!#REF!,"AAAAAF79uW8=")</f>
        <v>#REF!</v>
      </c>
      <c r="DI221" t="e">
        <f>AND(Bills!#REF!,"AAAAAF79uXA=")</f>
        <v>#REF!</v>
      </c>
      <c r="DJ221" t="e">
        <f>AND(Bills!#REF!,"AAAAAF79uXE=")</f>
        <v>#REF!</v>
      </c>
      <c r="DK221" t="e">
        <f>AND(Bills!#REF!,"AAAAAF79uXI=")</f>
        <v>#REF!</v>
      </c>
      <c r="DL221" t="e">
        <f>AND(Bills!#REF!,"AAAAAF79uXM=")</f>
        <v>#REF!</v>
      </c>
      <c r="DM221" t="e">
        <f>AND(Bills!#REF!,"AAAAAF79uXQ=")</f>
        <v>#REF!</v>
      </c>
      <c r="DN221" t="e">
        <f>AND(Bills!AA948,"AAAAAF79uXU=")</f>
        <v>#VALUE!</v>
      </c>
      <c r="DO221" t="e">
        <f>AND(Bills!AB948,"AAAAAF79uXY=")</f>
        <v>#VALUE!</v>
      </c>
      <c r="DP221" t="e">
        <f>AND(Bills!#REF!,"AAAAAF79uXc=")</f>
        <v>#REF!</v>
      </c>
      <c r="DQ221" t="e">
        <f>AND(Bills!#REF!,"AAAAAF79uXg=")</f>
        <v>#REF!</v>
      </c>
      <c r="DR221" t="e">
        <f>AND(Bills!#REF!,"AAAAAF79uXk=")</f>
        <v>#REF!</v>
      </c>
      <c r="DS221" t="e">
        <f>AND(Bills!AC948,"AAAAAF79uXo=")</f>
        <v>#VALUE!</v>
      </c>
      <c r="DT221" t="e">
        <f>AND(Bills!AD948,"AAAAAF79uXs=")</f>
        <v>#VALUE!</v>
      </c>
      <c r="DU221" t="e">
        <f>AND(Bills!AE948,"AAAAAF79uXw=")</f>
        <v>#VALUE!</v>
      </c>
      <c r="DV221">
        <f>IF(Bills!949:949,"AAAAAF79uX0=",0)</f>
        <v>0</v>
      </c>
      <c r="DW221" t="e">
        <f>AND(Bills!B949,"AAAAAF79uX4=")</f>
        <v>#VALUE!</v>
      </c>
      <c r="DX221" t="e">
        <f>AND(Bills!#REF!,"AAAAAF79uX8=")</f>
        <v>#REF!</v>
      </c>
      <c r="DY221" t="e">
        <f>AND(Bills!C949,"AAAAAF79uYA=")</f>
        <v>#VALUE!</v>
      </c>
      <c r="DZ221" t="e">
        <f>AND(Bills!D949,"AAAAAF79uYE=")</f>
        <v>#VALUE!</v>
      </c>
      <c r="EA221" t="e">
        <f>AND(Bills!E949,"AAAAAF79uYI=")</f>
        <v>#VALUE!</v>
      </c>
      <c r="EB221" t="e">
        <f>AND(Bills!#REF!,"AAAAAF79uYM=")</f>
        <v>#REF!</v>
      </c>
      <c r="EC221" t="e">
        <f>AND(Bills!#REF!,"AAAAAF79uYQ=")</f>
        <v>#REF!</v>
      </c>
      <c r="ED221" t="e">
        <f>AND(Bills!#REF!,"AAAAAF79uYU=")</f>
        <v>#REF!</v>
      </c>
      <c r="EE221" t="e">
        <f>AND(Bills!F949,"AAAAAF79uYY=")</f>
        <v>#VALUE!</v>
      </c>
      <c r="EF221" t="e">
        <f>AND(Bills!#REF!,"AAAAAF79uYc=")</f>
        <v>#REF!</v>
      </c>
      <c r="EG221" t="e">
        <f>AND(Bills!G949,"AAAAAF79uYg=")</f>
        <v>#VALUE!</v>
      </c>
      <c r="EH221" t="e">
        <f>AND(Bills!H949,"AAAAAF79uYk=")</f>
        <v>#VALUE!</v>
      </c>
      <c r="EI221" t="e">
        <f>AND(Bills!I949,"AAAAAF79uYo=")</f>
        <v>#VALUE!</v>
      </c>
      <c r="EJ221" t="e">
        <f>AND(Bills!J949,"AAAAAF79uYs=")</f>
        <v>#VALUE!</v>
      </c>
      <c r="EK221" t="e">
        <f>AND(Bills!K949,"AAAAAF79uYw=")</f>
        <v>#VALUE!</v>
      </c>
      <c r="EL221" t="e">
        <f>AND(Bills!L949,"AAAAAF79uY0=")</f>
        <v>#VALUE!</v>
      </c>
      <c r="EM221" t="e">
        <f>AND(Bills!#REF!,"AAAAAF79uY4=")</f>
        <v>#REF!</v>
      </c>
      <c r="EN221" t="e">
        <f>AND(Bills!M949,"AAAAAF79uY8=")</f>
        <v>#VALUE!</v>
      </c>
      <c r="EO221" t="e">
        <f>AND(Bills!N949,"AAAAAF79uZA=")</f>
        <v>#VALUE!</v>
      </c>
      <c r="EP221" t="e">
        <f>AND(Bills!O949,"AAAAAF79uZE=")</f>
        <v>#VALUE!</v>
      </c>
      <c r="EQ221" t="e">
        <f>AND(Bills!P949,"AAAAAF79uZI=")</f>
        <v>#VALUE!</v>
      </c>
      <c r="ER221" t="e">
        <f>AND(Bills!Q949,"AAAAAF79uZM=")</f>
        <v>#VALUE!</v>
      </c>
      <c r="ES221" t="e">
        <f>AND(Bills!R949,"AAAAAF79uZQ=")</f>
        <v>#VALUE!</v>
      </c>
      <c r="ET221" t="e">
        <f>AND(Bills!S949,"AAAAAF79uZU=")</f>
        <v>#VALUE!</v>
      </c>
      <c r="EU221" t="e">
        <f>AND(Bills!T949,"AAAAAF79uZY=")</f>
        <v>#VALUE!</v>
      </c>
      <c r="EV221" t="e">
        <f>AND(Bills!#REF!,"AAAAAF79uZc=")</f>
        <v>#REF!</v>
      </c>
      <c r="EW221" t="e">
        <f>AND(Bills!U949,"AAAAAF79uZg=")</f>
        <v>#VALUE!</v>
      </c>
      <c r="EX221" t="e">
        <f>AND(Bills!V949,"AAAAAF79uZk=")</f>
        <v>#VALUE!</v>
      </c>
      <c r="EY221" t="e">
        <f>AND(Bills!W949,"AAAAAF79uZo=")</f>
        <v>#VALUE!</v>
      </c>
      <c r="EZ221" t="e">
        <f>AND(Bills!#REF!,"AAAAAF79uZs=")</f>
        <v>#REF!</v>
      </c>
      <c r="FA221" t="e">
        <f>AND(Bills!#REF!,"AAAAAF79uZw=")</f>
        <v>#REF!</v>
      </c>
      <c r="FB221" t="e">
        <f>AND(Bills!Y949,"AAAAAF79uZ0=")</f>
        <v>#VALUE!</v>
      </c>
      <c r="FC221" t="e">
        <f>AND(Bills!Z949,"AAAAAF79uZ4=")</f>
        <v>#VALUE!</v>
      </c>
      <c r="FD221" t="e">
        <f>AND(Bills!#REF!,"AAAAAF79uZ8=")</f>
        <v>#REF!</v>
      </c>
      <c r="FE221" t="e">
        <f>AND(Bills!#REF!,"AAAAAF79uaA=")</f>
        <v>#REF!</v>
      </c>
      <c r="FF221" t="e">
        <f>AND(Bills!#REF!,"AAAAAF79uaE=")</f>
        <v>#REF!</v>
      </c>
      <c r="FG221" t="e">
        <f>AND(Bills!#REF!,"AAAAAF79uaI=")</f>
        <v>#REF!</v>
      </c>
      <c r="FH221" t="e">
        <f>AND(Bills!#REF!,"AAAAAF79uaM=")</f>
        <v>#REF!</v>
      </c>
      <c r="FI221" t="e">
        <f>AND(Bills!#REF!,"AAAAAF79uaQ=")</f>
        <v>#REF!</v>
      </c>
      <c r="FJ221" t="e">
        <f>AND(Bills!#REF!,"AAAAAF79uaU=")</f>
        <v>#REF!</v>
      </c>
      <c r="FK221" t="e">
        <f>AND(Bills!#REF!,"AAAAAF79uaY=")</f>
        <v>#REF!</v>
      </c>
      <c r="FL221" t="e">
        <f>AND(Bills!#REF!,"AAAAAF79uac=")</f>
        <v>#REF!</v>
      </c>
      <c r="FM221" t="e">
        <f>AND(Bills!AA949,"AAAAAF79uag=")</f>
        <v>#VALUE!</v>
      </c>
      <c r="FN221" t="e">
        <f>AND(Bills!AB949,"AAAAAF79uak=")</f>
        <v>#VALUE!</v>
      </c>
      <c r="FO221" t="e">
        <f>AND(Bills!#REF!,"AAAAAF79uao=")</f>
        <v>#REF!</v>
      </c>
      <c r="FP221" t="e">
        <f>AND(Bills!#REF!,"AAAAAF79uas=")</f>
        <v>#REF!</v>
      </c>
      <c r="FQ221" t="e">
        <f>AND(Bills!#REF!,"AAAAAF79uaw=")</f>
        <v>#REF!</v>
      </c>
      <c r="FR221" t="e">
        <f>AND(Bills!AC949,"AAAAAF79ua0=")</f>
        <v>#VALUE!</v>
      </c>
      <c r="FS221" t="e">
        <f>AND(Bills!AD949,"AAAAAF79ua4=")</f>
        <v>#VALUE!</v>
      </c>
      <c r="FT221" t="e">
        <f>AND(Bills!AE949,"AAAAAF79ua8=")</f>
        <v>#VALUE!</v>
      </c>
      <c r="FU221">
        <f>IF(Bills!950:950,"AAAAAF79ubA=",0)</f>
        <v>0</v>
      </c>
      <c r="FV221" t="e">
        <f>AND(Bills!B950,"AAAAAF79ubE=")</f>
        <v>#VALUE!</v>
      </c>
      <c r="FW221" t="e">
        <f>AND(Bills!#REF!,"AAAAAF79ubI=")</f>
        <v>#REF!</v>
      </c>
      <c r="FX221" t="e">
        <f>AND(Bills!C950,"AAAAAF79ubM=")</f>
        <v>#VALUE!</v>
      </c>
      <c r="FY221" t="e">
        <f>AND(Bills!D950,"AAAAAF79ubQ=")</f>
        <v>#VALUE!</v>
      </c>
      <c r="FZ221" t="e">
        <f>AND(Bills!E950,"AAAAAF79ubU=")</f>
        <v>#VALUE!</v>
      </c>
      <c r="GA221" t="e">
        <f>AND(Bills!#REF!,"AAAAAF79ubY=")</f>
        <v>#REF!</v>
      </c>
      <c r="GB221" t="e">
        <f>AND(Bills!#REF!,"AAAAAF79ubc=")</f>
        <v>#REF!</v>
      </c>
      <c r="GC221" t="e">
        <f>AND(Bills!#REF!,"AAAAAF79ubg=")</f>
        <v>#REF!</v>
      </c>
      <c r="GD221" t="e">
        <f>AND(Bills!F950,"AAAAAF79ubk=")</f>
        <v>#VALUE!</v>
      </c>
      <c r="GE221" t="e">
        <f>AND(Bills!#REF!,"AAAAAF79ubo=")</f>
        <v>#REF!</v>
      </c>
      <c r="GF221" t="e">
        <f>AND(Bills!G950,"AAAAAF79ubs=")</f>
        <v>#VALUE!</v>
      </c>
      <c r="GG221" t="e">
        <f>AND(Bills!H950,"AAAAAF79ubw=")</f>
        <v>#VALUE!</v>
      </c>
      <c r="GH221" t="e">
        <f>AND(Bills!I950,"AAAAAF79ub0=")</f>
        <v>#VALUE!</v>
      </c>
      <c r="GI221" t="e">
        <f>AND(Bills!J950,"AAAAAF79ub4=")</f>
        <v>#VALUE!</v>
      </c>
      <c r="GJ221" t="e">
        <f>AND(Bills!K950,"AAAAAF79ub8=")</f>
        <v>#VALUE!</v>
      </c>
      <c r="GK221" t="e">
        <f>AND(Bills!L950,"AAAAAF79ucA=")</f>
        <v>#VALUE!</v>
      </c>
      <c r="GL221" t="e">
        <f>AND(Bills!#REF!,"AAAAAF79ucE=")</f>
        <v>#REF!</v>
      </c>
      <c r="GM221" t="e">
        <f>AND(Bills!M950,"AAAAAF79ucI=")</f>
        <v>#VALUE!</v>
      </c>
      <c r="GN221" t="e">
        <f>AND(Bills!N950,"AAAAAF79ucM=")</f>
        <v>#VALUE!</v>
      </c>
      <c r="GO221" t="e">
        <f>AND(Bills!O950,"AAAAAF79ucQ=")</f>
        <v>#VALUE!</v>
      </c>
      <c r="GP221" t="e">
        <f>AND(Bills!P950,"AAAAAF79ucU=")</f>
        <v>#VALUE!</v>
      </c>
      <c r="GQ221" t="e">
        <f>AND(Bills!Q950,"AAAAAF79ucY=")</f>
        <v>#VALUE!</v>
      </c>
      <c r="GR221" t="e">
        <f>AND(Bills!R950,"AAAAAF79ucc=")</f>
        <v>#VALUE!</v>
      </c>
      <c r="GS221" t="e">
        <f>AND(Bills!S950,"AAAAAF79ucg=")</f>
        <v>#VALUE!</v>
      </c>
      <c r="GT221" t="e">
        <f>AND(Bills!T950,"AAAAAF79uck=")</f>
        <v>#VALUE!</v>
      </c>
      <c r="GU221" t="e">
        <f>AND(Bills!#REF!,"AAAAAF79uco=")</f>
        <v>#REF!</v>
      </c>
      <c r="GV221" t="e">
        <f>AND(Bills!U950,"AAAAAF79ucs=")</f>
        <v>#VALUE!</v>
      </c>
      <c r="GW221" t="e">
        <f>AND(Bills!V950,"AAAAAF79ucw=")</f>
        <v>#VALUE!</v>
      </c>
      <c r="GX221" t="e">
        <f>AND(Bills!W950,"AAAAAF79uc0=")</f>
        <v>#VALUE!</v>
      </c>
      <c r="GY221" t="e">
        <f>AND(Bills!#REF!,"AAAAAF79uc4=")</f>
        <v>#REF!</v>
      </c>
      <c r="GZ221" t="e">
        <f>AND(Bills!#REF!,"AAAAAF79uc8=")</f>
        <v>#REF!</v>
      </c>
      <c r="HA221" t="e">
        <f>AND(Bills!Y950,"AAAAAF79udA=")</f>
        <v>#VALUE!</v>
      </c>
      <c r="HB221" t="e">
        <f>AND(Bills!Z950,"AAAAAF79udE=")</f>
        <v>#VALUE!</v>
      </c>
      <c r="HC221" t="e">
        <f>AND(Bills!#REF!,"AAAAAF79udI=")</f>
        <v>#REF!</v>
      </c>
      <c r="HD221" t="e">
        <f>AND(Bills!#REF!,"AAAAAF79udM=")</f>
        <v>#REF!</v>
      </c>
      <c r="HE221" t="e">
        <f>AND(Bills!#REF!,"AAAAAF79udQ=")</f>
        <v>#REF!</v>
      </c>
      <c r="HF221" t="e">
        <f>AND(Bills!#REF!,"AAAAAF79udU=")</f>
        <v>#REF!</v>
      </c>
      <c r="HG221" t="e">
        <f>AND(Bills!#REF!,"AAAAAF79udY=")</f>
        <v>#REF!</v>
      </c>
      <c r="HH221" t="e">
        <f>AND(Bills!#REF!,"AAAAAF79udc=")</f>
        <v>#REF!</v>
      </c>
      <c r="HI221" t="e">
        <f>AND(Bills!#REF!,"AAAAAF79udg=")</f>
        <v>#REF!</v>
      </c>
      <c r="HJ221" t="e">
        <f>AND(Bills!#REF!,"AAAAAF79udk=")</f>
        <v>#REF!</v>
      </c>
      <c r="HK221" t="e">
        <f>AND(Bills!#REF!,"AAAAAF79udo=")</f>
        <v>#REF!</v>
      </c>
      <c r="HL221" t="e">
        <f>AND(Bills!AA950,"AAAAAF79uds=")</f>
        <v>#VALUE!</v>
      </c>
      <c r="HM221" t="e">
        <f>AND(Bills!AB950,"AAAAAF79udw=")</f>
        <v>#VALUE!</v>
      </c>
      <c r="HN221" t="e">
        <f>AND(Bills!#REF!,"AAAAAF79ud0=")</f>
        <v>#REF!</v>
      </c>
      <c r="HO221" t="e">
        <f>AND(Bills!#REF!,"AAAAAF79ud4=")</f>
        <v>#REF!</v>
      </c>
      <c r="HP221" t="e">
        <f>AND(Bills!#REF!,"AAAAAF79ud8=")</f>
        <v>#REF!</v>
      </c>
      <c r="HQ221" t="e">
        <f>AND(Bills!AC950,"AAAAAF79ueA=")</f>
        <v>#VALUE!</v>
      </c>
      <c r="HR221" t="e">
        <f>AND(Bills!AD950,"AAAAAF79ueE=")</f>
        <v>#VALUE!</v>
      </c>
      <c r="HS221" t="e">
        <f>AND(Bills!AE950,"AAAAAF79ueI=")</f>
        <v>#VALUE!</v>
      </c>
      <c r="HT221">
        <f>IF(Bills!951:951,"AAAAAF79ueM=",0)</f>
        <v>0</v>
      </c>
      <c r="HU221" t="e">
        <f>AND(Bills!B951,"AAAAAF79ueQ=")</f>
        <v>#VALUE!</v>
      </c>
      <c r="HV221" t="e">
        <f>AND(Bills!#REF!,"AAAAAF79ueU=")</f>
        <v>#REF!</v>
      </c>
      <c r="HW221" t="e">
        <f>AND(Bills!C951,"AAAAAF79ueY=")</f>
        <v>#VALUE!</v>
      </c>
      <c r="HX221" t="e">
        <f>AND(Bills!D951,"AAAAAF79uec=")</f>
        <v>#VALUE!</v>
      </c>
      <c r="HY221" t="e">
        <f>AND(Bills!E951,"AAAAAF79ueg=")</f>
        <v>#VALUE!</v>
      </c>
      <c r="HZ221" t="e">
        <f>AND(Bills!#REF!,"AAAAAF79uek=")</f>
        <v>#REF!</v>
      </c>
      <c r="IA221" t="e">
        <f>AND(Bills!#REF!,"AAAAAF79ueo=")</f>
        <v>#REF!</v>
      </c>
      <c r="IB221" t="e">
        <f>AND(Bills!#REF!,"AAAAAF79ues=")</f>
        <v>#REF!</v>
      </c>
      <c r="IC221" t="e">
        <f>AND(Bills!F951,"AAAAAF79uew=")</f>
        <v>#VALUE!</v>
      </c>
      <c r="ID221" t="e">
        <f>AND(Bills!#REF!,"AAAAAF79ue0=")</f>
        <v>#REF!</v>
      </c>
      <c r="IE221" t="e">
        <f>AND(Bills!G951,"AAAAAF79ue4=")</f>
        <v>#VALUE!</v>
      </c>
      <c r="IF221" t="e">
        <f>AND(Bills!H951,"AAAAAF79ue8=")</f>
        <v>#VALUE!</v>
      </c>
      <c r="IG221" t="e">
        <f>AND(Bills!I951,"AAAAAF79ufA=")</f>
        <v>#VALUE!</v>
      </c>
      <c r="IH221" t="e">
        <f>AND(Bills!J951,"AAAAAF79ufE=")</f>
        <v>#VALUE!</v>
      </c>
      <c r="II221" t="e">
        <f>AND(Bills!K951,"AAAAAF79ufI=")</f>
        <v>#VALUE!</v>
      </c>
      <c r="IJ221" t="e">
        <f>AND(Bills!L951,"AAAAAF79ufM=")</f>
        <v>#VALUE!</v>
      </c>
      <c r="IK221" t="e">
        <f>AND(Bills!#REF!,"AAAAAF79ufQ=")</f>
        <v>#REF!</v>
      </c>
      <c r="IL221" t="e">
        <f>AND(Bills!M951,"AAAAAF79ufU=")</f>
        <v>#VALUE!</v>
      </c>
      <c r="IM221" t="e">
        <f>AND(Bills!N951,"AAAAAF79ufY=")</f>
        <v>#VALUE!</v>
      </c>
      <c r="IN221" t="e">
        <f>AND(Bills!O951,"AAAAAF79ufc=")</f>
        <v>#VALUE!</v>
      </c>
      <c r="IO221" t="e">
        <f>AND(Bills!P951,"AAAAAF79ufg=")</f>
        <v>#VALUE!</v>
      </c>
      <c r="IP221" t="e">
        <f>AND(Bills!Q951,"AAAAAF79ufk=")</f>
        <v>#VALUE!</v>
      </c>
      <c r="IQ221" t="e">
        <f>AND(Bills!R951,"AAAAAF79ufo=")</f>
        <v>#VALUE!</v>
      </c>
      <c r="IR221" t="e">
        <f>AND(Bills!S951,"AAAAAF79ufs=")</f>
        <v>#VALUE!</v>
      </c>
      <c r="IS221" t="e">
        <f>AND(Bills!T951,"AAAAAF79ufw=")</f>
        <v>#VALUE!</v>
      </c>
      <c r="IT221" t="e">
        <f>AND(Bills!#REF!,"AAAAAF79uf0=")</f>
        <v>#REF!</v>
      </c>
      <c r="IU221" t="e">
        <f>AND(Bills!U951,"AAAAAF79uf4=")</f>
        <v>#VALUE!</v>
      </c>
      <c r="IV221" t="e">
        <f>AND(Bills!V951,"AAAAAF79uf8=")</f>
        <v>#VALUE!</v>
      </c>
    </row>
    <row r="222" spans="1:256" x14ac:dyDescent="0.25">
      <c r="A222" t="e">
        <f>AND(Bills!W951,"AAAAACON+wA=")</f>
        <v>#VALUE!</v>
      </c>
      <c r="B222" t="e">
        <f>AND(Bills!#REF!,"AAAAACON+wE=")</f>
        <v>#REF!</v>
      </c>
      <c r="C222" t="e">
        <f>AND(Bills!#REF!,"AAAAACON+wI=")</f>
        <v>#REF!</v>
      </c>
      <c r="D222" t="e">
        <f>AND(Bills!Y951,"AAAAACON+wM=")</f>
        <v>#VALUE!</v>
      </c>
      <c r="E222" t="e">
        <f>AND(Bills!Z951,"AAAAACON+wQ=")</f>
        <v>#VALUE!</v>
      </c>
      <c r="F222" t="e">
        <f>AND(Bills!#REF!,"AAAAACON+wU=")</f>
        <v>#REF!</v>
      </c>
      <c r="G222" t="e">
        <f>AND(Bills!#REF!,"AAAAACON+wY=")</f>
        <v>#REF!</v>
      </c>
      <c r="H222" t="e">
        <f>AND(Bills!#REF!,"AAAAACON+wc=")</f>
        <v>#REF!</v>
      </c>
      <c r="I222" t="e">
        <f>AND(Bills!#REF!,"AAAAACON+wg=")</f>
        <v>#REF!</v>
      </c>
      <c r="J222" t="e">
        <f>AND(Bills!#REF!,"AAAAACON+wk=")</f>
        <v>#REF!</v>
      </c>
      <c r="K222" t="e">
        <f>AND(Bills!#REF!,"AAAAACON+wo=")</f>
        <v>#REF!</v>
      </c>
      <c r="L222" t="e">
        <f>AND(Bills!#REF!,"AAAAACON+ws=")</f>
        <v>#REF!</v>
      </c>
      <c r="M222" t="e">
        <f>AND(Bills!#REF!,"AAAAACON+ww=")</f>
        <v>#REF!</v>
      </c>
      <c r="N222" t="e">
        <f>AND(Bills!#REF!,"AAAAACON+w0=")</f>
        <v>#REF!</v>
      </c>
      <c r="O222" t="e">
        <f>AND(Bills!AA951,"AAAAACON+w4=")</f>
        <v>#VALUE!</v>
      </c>
      <c r="P222" t="e">
        <f>AND(Bills!AB951,"AAAAACON+w8=")</f>
        <v>#VALUE!</v>
      </c>
      <c r="Q222" t="e">
        <f>AND(Bills!#REF!,"AAAAACON+xA=")</f>
        <v>#REF!</v>
      </c>
      <c r="R222" t="e">
        <f>AND(Bills!#REF!,"AAAAACON+xE=")</f>
        <v>#REF!</v>
      </c>
      <c r="S222" t="e">
        <f>AND(Bills!#REF!,"AAAAACON+xI=")</f>
        <v>#REF!</v>
      </c>
      <c r="T222" t="e">
        <f>AND(Bills!AC951,"AAAAACON+xM=")</f>
        <v>#VALUE!</v>
      </c>
      <c r="U222" t="e">
        <f>AND(Bills!AD951,"AAAAACON+xQ=")</f>
        <v>#VALUE!</v>
      </c>
      <c r="V222" t="e">
        <f>AND(Bills!AE951,"AAAAACON+xU=")</f>
        <v>#VALUE!</v>
      </c>
      <c r="W222">
        <f>IF(Bills!952:952,"AAAAACON+xY=",0)</f>
        <v>0</v>
      </c>
      <c r="X222" t="e">
        <f>AND(Bills!B952,"AAAAACON+xc=")</f>
        <v>#VALUE!</v>
      </c>
      <c r="Y222" t="e">
        <f>AND(Bills!#REF!,"AAAAACON+xg=")</f>
        <v>#REF!</v>
      </c>
      <c r="Z222" t="e">
        <f>AND(Bills!C952,"AAAAACON+xk=")</f>
        <v>#VALUE!</v>
      </c>
      <c r="AA222" t="e">
        <f>AND(Bills!D952,"AAAAACON+xo=")</f>
        <v>#VALUE!</v>
      </c>
      <c r="AB222" t="e">
        <f>AND(Bills!E952,"AAAAACON+xs=")</f>
        <v>#VALUE!</v>
      </c>
      <c r="AC222" t="e">
        <f>AND(Bills!#REF!,"AAAAACON+xw=")</f>
        <v>#REF!</v>
      </c>
      <c r="AD222" t="e">
        <f>AND(Bills!#REF!,"AAAAACON+x0=")</f>
        <v>#REF!</v>
      </c>
      <c r="AE222" t="e">
        <f>AND(Bills!#REF!,"AAAAACON+x4=")</f>
        <v>#REF!</v>
      </c>
      <c r="AF222" t="e">
        <f>AND(Bills!F952,"AAAAACON+x8=")</f>
        <v>#VALUE!</v>
      </c>
      <c r="AG222" t="e">
        <f>AND(Bills!#REF!,"AAAAACON+yA=")</f>
        <v>#REF!</v>
      </c>
      <c r="AH222" t="e">
        <f>AND(Bills!G952,"AAAAACON+yE=")</f>
        <v>#VALUE!</v>
      </c>
      <c r="AI222" t="e">
        <f>AND(Bills!H952,"AAAAACON+yI=")</f>
        <v>#VALUE!</v>
      </c>
      <c r="AJ222" t="e">
        <f>AND(Bills!I952,"AAAAACON+yM=")</f>
        <v>#VALUE!</v>
      </c>
      <c r="AK222" t="e">
        <f>AND(Bills!J952,"AAAAACON+yQ=")</f>
        <v>#VALUE!</v>
      </c>
      <c r="AL222" t="e">
        <f>AND(Bills!K952,"AAAAACON+yU=")</f>
        <v>#VALUE!</v>
      </c>
      <c r="AM222" t="e">
        <f>AND(Bills!L952,"AAAAACON+yY=")</f>
        <v>#VALUE!</v>
      </c>
      <c r="AN222" t="e">
        <f>AND(Bills!#REF!,"AAAAACON+yc=")</f>
        <v>#REF!</v>
      </c>
      <c r="AO222" t="e">
        <f>AND(Bills!M952,"AAAAACON+yg=")</f>
        <v>#VALUE!</v>
      </c>
      <c r="AP222" t="e">
        <f>AND(Bills!N952,"AAAAACON+yk=")</f>
        <v>#VALUE!</v>
      </c>
      <c r="AQ222" t="e">
        <f>AND(Bills!O952,"AAAAACON+yo=")</f>
        <v>#VALUE!</v>
      </c>
      <c r="AR222" t="e">
        <f>AND(Bills!P952,"AAAAACON+ys=")</f>
        <v>#VALUE!</v>
      </c>
      <c r="AS222" t="e">
        <f>AND(Bills!Q952,"AAAAACON+yw=")</f>
        <v>#VALUE!</v>
      </c>
      <c r="AT222" t="e">
        <f>AND(Bills!R952,"AAAAACON+y0=")</f>
        <v>#VALUE!</v>
      </c>
      <c r="AU222" t="e">
        <f>AND(Bills!S952,"AAAAACON+y4=")</f>
        <v>#VALUE!</v>
      </c>
      <c r="AV222" t="e">
        <f>AND(Bills!T952,"AAAAACON+y8=")</f>
        <v>#VALUE!</v>
      </c>
      <c r="AW222" t="e">
        <f>AND(Bills!#REF!,"AAAAACON+zA=")</f>
        <v>#REF!</v>
      </c>
      <c r="AX222" t="e">
        <f>AND(Bills!U952,"AAAAACON+zE=")</f>
        <v>#VALUE!</v>
      </c>
      <c r="AY222" t="e">
        <f>AND(Bills!V952,"AAAAACON+zI=")</f>
        <v>#VALUE!</v>
      </c>
      <c r="AZ222" t="e">
        <f>AND(Bills!W952,"AAAAACON+zM=")</f>
        <v>#VALUE!</v>
      </c>
      <c r="BA222" t="e">
        <f>AND(Bills!#REF!,"AAAAACON+zQ=")</f>
        <v>#REF!</v>
      </c>
      <c r="BB222" t="e">
        <f>AND(Bills!#REF!,"AAAAACON+zU=")</f>
        <v>#REF!</v>
      </c>
      <c r="BC222" t="e">
        <f>AND(Bills!Y952,"AAAAACON+zY=")</f>
        <v>#VALUE!</v>
      </c>
      <c r="BD222" t="e">
        <f>AND(Bills!Z952,"AAAAACON+zc=")</f>
        <v>#VALUE!</v>
      </c>
      <c r="BE222" t="e">
        <f>AND(Bills!#REF!,"AAAAACON+zg=")</f>
        <v>#REF!</v>
      </c>
      <c r="BF222" t="e">
        <f>AND(Bills!#REF!,"AAAAACON+zk=")</f>
        <v>#REF!</v>
      </c>
      <c r="BG222" t="e">
        <f>AND(Bills!#REF!,"AAAAACON+zo=")</f>
        <v>#REF!</v>
      </c>
      <c r="BH222" t="e">
        <f>AND(Bills!#REF!,"AAAAACON+zs=")</f>
        <v>#REF!</v>
      </c>
      <c r="BI222" t="e">
        <f>AND(Bills!#REF!,"AAAAACON+zw=")</f>
        <v>#REF!</v>
      </c>
      <c r="BJ222" t="e">
        <f>AND(Bills!#REF!,"AAAAACON+z0=")</f>
        <v>#REF!</v>
      </c>
      <c r="BK222" t="e">
        <f>AND(Bills!#REF!,"AAAAACON+z4=")</f>
        <v>#REF!</v>
      </c>
      <c r="BL222" t="e">
        <f>AND(Bills!#REF!,"AAAAACON+z8=")</f>
        <v>#REF!</v>
      </c>
      <c r="BM222" t="e">
        <f>AND(Bills!#REF!,"AAAAACON+0A=")</f>
        <v>#REF!</v>
      </c>
      <c r="BN222" t="e">
        <f>AND(Bills!AA952,"AAAAACON+0E=")</f>
        <v>#VALUE!</v>
      </c>
      <c r="BO222" t="e">
        <f>AND(Bills!AB952,"AAAAACON+0I=")</f>
        <v>#VALUE!</v>
      </c>
      <c r="BP222" t="e">
        <f>AND(Bills!#REF!,"AAAAACON+0M=")</f>
        <v>#REF!</v>
      </c>
      <c r="BQ222" t="e">
        <f>AND(Bills!#REF!,"AAAAACON+0Q=")</f>
        <v>#REF!</v>
      </c>
      <c r="BR222" t="e">
        <f>AND(Bills!#REF!,"AAAAACON+0U=")</f>
        <v>#REF!</v>
      </c>
      <c r="BS222" t="e">
        <f>AND(Bills!AC952,"AAAAACON+0Y=")</f>
        <v>#VALUE!</v>
      </c>
      <c r="BT222" t="e">
        <f>AND(Bills!AD952,"AAAAACON+0c=")</f>
        <v>#VALUE!</v>
      </c>
      <c r="BU222" t="e">
        <f>AND(Bills!AE952,"AAAAACON+0g=")</f>
        <v>#VALUE!</v>
      </c>
      <c r="BV222">
        <f>IF(Bills!953:953,"AAAAACON+0k=",0)</f>
        <v>0</v>
      </c>
      <c r="BW222" t="e">
        <f>AND(Bills!B953,"AAAAACON+0o=")</f>
        <v>#VALUE!</v>
      </c>
      <c r="BX222" t="e">
        <f>AND(Bills!#REF!,"AAAAACON+0s=")</f>
        <v>#REF!</v>
      </c>
      <c r="BY222" t="e">
        <f>AND(Bills!C953,"AAAAACON+0w=")</f>
        <v>#VALUE!</v>
      </c>
      <c r="BZ222" t="e">
        <f>AND(Bills!D953,"AAAAACON+00=")</f>
        <v>#VALUE!</v>
      </c>
      <c r="CA222" t="e">
        <f>AND(Bills!E953,"AAAAACON+04=")</f>
        <v>#VALUE!</v>
      </c>
      <c r="CB222" t="e">
        <f>AND(Bills!#REF!,"AAAAACON+08=")</f>
        <v>#REF!</v>
      </c>
      <c r="CC222" t="e">
        <f>AND(Bills!#REF!,"AAAAACON+1A=")</f>
        <v>#REF!</v>
      </c>
      <c r="CD222" t="e">
        <f>AND(Bills!#REF!,"AAAAACON+1E=")</f>
        <v>#REF!</v>
      </c>
      <c r="CE222" t="e">
        <f>AND(Bills!F953,"AAAAACON+1I=")</f>
        <v>#VALUE!</v>
      </c>
      <c r="CF222" t="e">
        <f>AND(Bills!#REF!,"AAAAACON+1M=")</f>
        <v>#REF!</v>
      </c>
      <c r="CG222" t="e">
        <f>AND(Bills!G953,"AAAAACON+1Q=")</f>
        <v>#VALUE!</v>
      </c>
      <c r="CH222" t="e">
        <f>AND(Bills!H953,"AAAAACON+1U=")</f>
        <v>#VALUE!</v>
      </c>
      <c r="CI222" t="e">
        <f>AND(Bills!I953,"AAAAACON+1Y=")</f>
        <v>#VALUE!</v>
      </c>
      <c r="CJ222" t="e">
        <f>AND(Bills!J953,"AAAAACON+1c=")</f>
        <v>#VALUE!</v>
      </c>
      <c r="CK222" t="e">
        <f>AND(Bills!K953,"AAAAACON+1g=")</f>
        <v>#VALUE!</v>
      </c>
      <c r="CL222" t="e">
        <f>AND(Bills!L953,"AAAAACON+1k=")</f>
        <v>#VALUE!</v>
      </c>
      <c r="CM222" t="e">
        <f>AND(Bills!#REF!,"AAAAACON+1o=")</f>
        <v>#REF!</v>
      </c>
      <c r="CN222" t="e">
        <f>AND(Bills!M953,"AAAAACON+1s=")</f>
        <v>#VALUE!</v>
      </c>
      <c r="CO222" t="e">
        <f>AND(Bills!N953,"AAAAACON+1w=")</f>
        <v>#VALUE!</v>
      </c>
      <c r="CP222" t="e">
        <f>AND(Bills!O953,"AAAAACON+10=")</f>
        <v>#VALUE!</v>
      </c>
      <c r="CQ222" t="e">
        <f>AND(Bills!P953,"AAAAACON+14=")</f>
        <v>#VALUE!</v>
      </c>
      <c r="CR222" t="e">
        <f>AND(Bills!Q953,"AAAAACON+18=")</f>
        <v>#VALUE!</v>
      </c>
      <c r="CS222" t="e">
        <f>AND(Bills!R953,"AAAAACON+2A=")</f>
        <v>#VALUE!</v>
      </c>
      <c r="CT222" t="e">
        <f>AND(Bills!S953,"AAAAACON+2E=")</f>
        <v>#VALUE!</v>
      </c>
      <c r="CU222" t="e">
        <f>AND(Bills!T953,"AAAAACON+2I=")</f>
        <v>#VALUE!</v>
      </c>
      <c r="CV222" t="e">
        <f>AND(Bills!#REF!,"AAAAACON+2M=")</f>
        <v>#REF!</v>
      </c>
      <c r="CW222" t="e">
        <f>AND(Bills!U953,"AAAAACON+2Q=")</f>
        <v>#VALUE!</v>
      </c>
      <c r="CX222" t="e">
        <f>AND(Bills!V953,"AAAAACON+2U=")</f>
        <v>#VALUE!</v>
      </c>
      <c r="CY222" t="e">
        <f>AND(Bills!W953,"AAAAACON+2Y=")</f>
        <v>#VALUE!</v>
      </c>
      <c r="CZ222" t="e">
        <f>AND(Bills!#REF!,"AAAAACON+2c=")</f>
        <v>#REF!</v>
      </c>
      <c r="DA222" t="e">
        <f>AND(Bills!#REF!,"AAAAACON+2g=")</f>
        <v>#REF!</v>
      </c>
      <c r="DB222" t="e">
        <f>AND(Bills!Y953,"AAAAACON+2k=")</f>
        <v>#VALUE!</v>
      </c>
      <c r="DC222" t="e">
        <f>AND(Bills!Z953,"AAAAACON+2o=")</f>
        <v>#VALUE!</v>
      </c>
      <c r="DD222" t="e">
        <f>AND(Bills!#REF!,"AAAAACON+2s=")</f>
        <v>#REF!</v>
      </c>
      <c r="DE222" t="e">
        <f>AND(Bills!#REF!,"AAAAACON+2w=")</f>
        <v>#REF!</v>
      </c>
      <c r="DF222" t="e">
        <f>AND(Bills!#REF!,"AAAAACON+20=")</f>
        <v>#REF!</v>
      </c>
      <c r="DG222" t="e">
        <f>AND(Bills!#REF!,"AAAAACON+24=")</f>
        <v>#REF!</v>
      </c>
      <c r="DH222" t="e">
        <f>AND(Bills!#REF!,"AAAAACON+28=")</f>
        <v>#REF!</v>
      </c>
      <c r="DI222" t="e">
        <f>AND(Bills!#REF!,"AAAAACON+3A=")</f>
        <v>#REF!</v>
      </c>
      <c r="DJ222" t="e">
        <f>AND(Bills!#REF!,"AAAAACON+3E=")</f>
        <v>#REF!</v>
      </c>
      <c r="DK222" t="e">
        <f>AND(Bills!#REF!,"AAAAACON+3I=")</f>
        <v>#REF!</v>
      </c>
      <c r="DL222" t="e">
        <f>AND(Bills!#REF!,"AAAAACON+3M=")</f>
        <v>#REF!</v>
      </c>
      <c r="DM222" t="e">
        <f>AND(Bills!AA953,"AAAAACON+3Q=")</f>
        <v>#VALUE!</v>
      </c>
      <c r="DN222" t="e">
        <f>AND(Bills!AB953,"AAAAACON+3U=")</f>
        <v>#VALUE!</v>
      </c>
      <c r="DO222" t="e">
        <f>AND(Bills!#REF!,"AAAAACON+3Y=")</f>
        <v>#REF!</v>
      </c>
      <c r="DP222" t="e">
        <f>AND(Bills!#REF!,"AAAAACON+3c=")</f>
        <v>#REF!</v>
      </c>
      <c r="DQ222" t="e">
        <f>AND(Bills!#REF!,"AAAAACON+3g=")</f>
        <v>#REF!</v>
      </c>
      <c r="DR222" t="e">
        <f>AND(Bills!AC953,"AAAAACON+3k=")</f>
        <v>#VALUE!</v>
      </c>
      <c r="DS222" t="e">
        <f>AND(Bills!AD953,"AAAAACON+3o=")</f>
        <v>#VALUE!</v>
      </c>
      <c r="DT222" t="e">
        <f>AND(Bills!AE953,"AAAAACON+3s=")</f>
        <v>#VALUE!</v>
      </c>
      <c r="DU222">
        <f>IF(Bills!954:954,"AAAAACON+3w=",0)</f>
        <v>0</v>
      </c>
      <c r="DV222" t="e">
        <f>AND(Bills!B954,"AAAAACON+30=")</f>
        <v>#VALUE!</v>
      </c>
      <c r="DW222" t="e">
        <f>AND(Bills!#REF!,"AAAAACON+34=")</f>
        <v>#REF!</v>
      </c>
      <c r="DX222" t="e">
        <f>AND(Bills!C954,"AAAAACON+38=")</f>
        <v>#VALUE!</v>
      </c>
      <c r="DY222" t="e">
        <f>AND(Bills!D954,"AAAAACON+4A=")</f>
        <v>#VALUE!</v>
      </c>
      <c r="DZ222" t="e">
        <f>AND(Bills!E954,"AAAAACON+4E=")</f>
        <v>#VALUE!</v>
      </c>
      <c r="EA222" t="e">
        <f>AND(Bills!#REF!,"AAAAACON+4I=")</f>
        <v>#REF!</v>
      </c>
      <c r="EB222" t="e">
        <f>AND(Bills!#REF!,"AAAAACON+4M=")</f>
        <v>#REF!</v>
      </c>
      <c r="EC222" t="e">
        <f>AND(Bills!#REF!,"AAAAACON+4Q=")</f>
        <v>#REF!</v>
      </c>
      <c r="ED222" t="e">
        <f>AND(Bills!F954,"AAAAACON+4U=")</f>
        <v>#VALUE!</v>
      </c>
      <c r="EE222" t="e">
        <f>AND(Bills!#REF!,"AAAAACON+4Y=")</f>
        <v>#REF!</v>
      </c>
      <c r="EF222" t="e">
        <f>AND(Bills!G954,"AAAAACON+4c=")</f>
        <v>#VALUE!</v>
      </c>
      <c r="EG222" t="e">
        <f>AND(Bills!H954,"AAAAACON+4g=")</f>
        <v>#VALUE!</v>
      </c>
      <c r="EH222" t="e">
        <f>AND(Bills!I954,"AAAAACON+4k=")</f>
        <v>#VALUE!</v>
      </c>
      <c r="EI222" t="e">
        <f>AND(Bills!J954,"AAAAACON+4o=")</f>
        <v>#VALUE!</v>
      </c>
      <c r="EJ222" t="e">
        <f>AND(Bills!K954,"AAAAACON+4s=")</f>
        <v>#VALUE!</v>
      </c>
      <c r="EK222" t="e">
        <f>AND(Bills!L954,"AAAAACON+4w=")</f>
        <v>#VALUE!</v>
      </c>
      <c r="EL222" t="e">
        <f>AND(Bills!#REF!,"AAAAACON+40=")</f>
        <v>#REF!</v>
      </c>
      <c r="EM222" t="e">
        <f>AND(Bills!M954,"AAAAACON+44=")</f>
        <v>#VALUE!</v>
      </c>
      <c r="EN222" t="e">
        <f>AND(Bills!N954,"AAAAACON+48=")</f>
        <v>#VALUE!</v>
      </c>
      <c r="EO222" t="e">
        <f>AND(Bills!O954,"AAAAACON+5A=")</f>
        <v>#VALUE!</v>
      </c>
      <c r="EP222" t="e">
        <f>AND(Bills!P954,"AAAAACON+5E=")</f>
        <v>#VALUE!</v>
      </c>
      <c r="EQ222" t="e">
        <f>AND(Bills!Q954,"AAAAACON+5I=")</f>
        <v>#VALUE!</v>
      </c>
      <c r="ER222" t="e">
        <f>AND(Bills!R954,"AAAAACON+5M=")</f>
        <v>#VALUE!</v>
      </c>
      <c r="ES222" t="e">
        <f>AND(Bills!S954,"AAAAACON+5Q=")</f>
        <v>#VALUE!</v>
      </c>
      <c r="ET222" t="e">
        <f>AND(Bills!T954,"AAAAACON+5U=")</f>
        <v>#VALUE!</v>
      </c>
      <c r="EU222" t="e">
        <f>AND(Bills!#REF!,"AAAAACON+5Y=")</f>
        <v>#REF!</v>
      </c>
      <c r="EV222" t="e">
        <f>AND(Bills!U954,"AAAAACON+5c=")</f>
        <v>#VALUE!</v>
      </c>
      <c r="EW222" t="e">
        <f>AND(Bills!V954,"AAAAACON+5g=")</f>
        <v>#VALUE!</v>
      </c>
      <c r="EX222" t="e">
        <f>AND(Bills!W954,"AAAAACON+5k=")</f>
        <v>#VALUE!</v>
      </c>
      <c r="EY222" t="e">
        <f>AND(Bills!#REF!,"AAAAACON+5o=")</f>
        <v>#REF!</v>
      </c>
      <c r="EZ222" t="e">
        <f>AND(Bills!#REF!,"AAAAACON+5s=")</f>
        <v>#REF!</v>
      </c>
      <c r="FA222" t="e">
        <f>AND(Bills!Y954,"AAAAACON+5w=")</f>
        <v>#VALUE!</v>
      </c>
      <c r="FB222" t="e">
        <f>AND(Bills!Z954,"AAAAACON+50=")</f>
        <v>#VALUE!</v>
      </c>
      <c r="FC222" t="e">
        <f>AND(Bills!#REF!,"AAAAACON+54=")</f>
        <v>#REF!</v>
      </c>
      <c r="FD222" t="e">
        <f>AND(Bills!#REF!,"AAAAACON+58=")</f>
        <v>#REF!</v>
      </c>
      <c r="FE222" t="e">
        <f>AND(Bills!#REF!,"AAAAACON+6A=")</f>
        <v>#REF!</v>
      </c>
      <c r="FF222" t="e">
        <f>AND(Bills!#REF!,"AAAAACON+6E=")</f>
        <v>#REF!</v>
      </c>
      <c r="FG222" t="e">
        <f>AND(Bills!#REF!,"AAAAACON+6I=")</f>
        <v>#REF!</v>
      </c>
      <c r="FH222" t="e">
        <f>AND(Bills!#REF!,"AAAAACON+6M=")</f>
        <v>#REF!</v>
      </c>
      <c r="FI222" t="e">
        <f>AND(Bills!#REF!,"AAAAACON+6Q=")</f>
        <v>#REF!</v>
      </c>
      <c r="FJ222" t="e">
        <f>AND(Bills!#REF!,"AAAAACON+6U=")</f>
        <v>#REF!</v>
      </c>
      <c r="FK222" t="e">
        <f>AND(Bills!#REF!,"AAAAACON+6Y=")</f>
        <v>#REF!</v>
      </c>
      <c r="FL222" t="e">
        <f>AND(Bills!AA954,"AAAAACON+6c=")</f>
        <v>#VALUE!</v>
      </c>
      <c r="FM222" t="e">
        <f>AND(Bills!AB954,"AAAAACON+6g=")</f>
        <v>#VALUE!</v>
      </c>
      <c r="FN222" t="e">
        <f>AND(Bills!#REF!,"AAAAACON+6k=")</f>
        <v>#REF!</v>
      </c>
      <c r="FO222" t="e">
        <f>AND(Bills!#REF!,"AAAAACON+6o=")</f>
        <v>#REF!</v>
      </c>
      <c r="FP222" t="e">
        <f>AND(Bills!#REF!,"AAAAACON+6s=")</f>
        <v>#REF!</v>
      </c>
      <c r="FQ222" t="e">
        <f>AND(Bills!AC954,"AAAAACON+6w=")</f>
        <v>#VALUE!</v>
      </c>
      <c r="FR222" t="e">
        <f>AND(Bills!AD954,"AAAAACON+60=")</f>
        <v>#VALUE!</v>
      </c>
      <c r="FS222" t="e">
        <f>AND(Bills!AE954,"AAAAACON+64=")</f>
        <v>#VALUE!</v>
      </c>
      <c r="FT222">
        <f>IF(Bills!955:955,"AAAAACON+68=",0)</f>
        <v>0</v>
      </c>
      <c r="FU222" t="e">
        <f>AND(Bills!B955,"AAAAACON+7A=")</f>
        <v>#VALUE!</v>
      </c>
      <c r="FV222" t="e">
        <f>AND(Bills!#REF!,"AAAAACON+7E=")</f>
        <v>#REF!</v>
      </c>
      <c r="FW222" t="e">
        <f>AND(Bills!C955,"AAAAACON+7I=")</f>
        <v>#VALUE!</v>
      </c>
      <c r="FX222" t="e">
        <f>AND(Bills!D955,"AAAAACON+7M=")</f>
        <v>#VALUE!</v>
      </c>
      <c r="FY222" t="e">
        <f>AND(Bills!E955,"AAAAACON+7Q=")</f>
        <v>#VALUE!</v>
      </c>
      <c r="FZ222" t="e">
        <f>AND(Bills!#REF!,"AAAAACON+7U=")</f>
        <v>#REF!</v>
      </c>
      <c r="GA222" t="e">
        <f>AND(Bills!#REF!,"AAAAACON+7Y=")</f>
        <v>#REF!</v>
      </c>
      <c r="GB222" t="e">
        <f>AND(Bills!#REF!,"AAAAACON+7c=")</f>
        <v>#REF!</v>
      </c>
      <c r="GC222" t="e">
        <f>AND(Bills!F955,"AAAAACON+7g=")</f>
        <v>#VALUE!</v>
      </c>
      <c r="GD222" t="e">
        <f>AND(Bills!#REF!,"AAAAACON+7k=")</f>
        <v>#REF!</v>
      </c>
      <c r="GE222" t="e">
        <f>AND(Bills!G955,"AAAAACON+7o=")</f>
        <v>#VALUE!</v>
      </c>
      <c r="GF222" t="e">
        <f>AND(Bills!H955,"AAAAACON+7s=")</f>
        <v>#VALUE!</v>
      </c>
      <c r="GG222" t="e">
        <f>AND(Bills!I955,"AAAAACON+7w=")</f>
        <v>#VALUE!</v>
      </c>
      <c r="GH222" t="e">
        <f>AND(Bills!J955,"AAAAACON+70=")</f>
        <v>#VALUE!</v>
      </c>
      <c r="GI222" t="e">
        <f>AND(Bills!K955,"AAAAACON+74=")</f>
        <v>#VALUE!</v>
      </c>
      <c r="GJ222" t="e">
        <f>AND(Bills!L955,"AAAAACON+78=")</f>
        <v>#VALUE!</v>
      </c>
      <c r="GK222" t="e">
        <f>AND(Bills!#REF!,"AAAAACON+8A=")</f>
        <v>#REF!</v>
      </c>
      <c r="GL222" t="e">
        <f>AND(Bills!M955,"AAAAACON+8E=")</f>
        <v>#VALUE!</v>
      </c>
      <c r="GM222" t="e">
        <f>AND(Bills!N955,"AAAAACON+8I=")</f>
        <v>#VALUE!</v>
      </c>
      <c r="GN222" t="e">
        <f>AND(Bills!O955,"AAAAACON+8M=")</f>
        <v>#VALUE!</v>
      </c>
      <c r="GO222" t="e">
        <f>AND(Bills!P955,"AAAAACON+8Q=")</f>
        <v>#VALUE!</v>
      </c>
      <c r="GP222" t="e">
        <f>AND(Bills!Q955,"AAAAACON+8U=")</f>
        <v>#VALUE!</v>
      </c>
      <c r="GQ222" t="e">
        <f>AND(Bills!R955,"AAAAACON+8Y=")</f>
        <v>#VALUE!</v>
      </c>
      <c r="GR222" t="e">
        <f>AND(Bills!S955,"AAAAACON+8c=")</f>
        <v>#VALUE!</v>
      </c>
      <c r="GS222" t="e">
        <f>AND(Bills!T955,"AAAAACON+8g=")</f>
        <v>#VALUE!</v>
      </c>
      <c r="GT222" t="e">
        <f>AND(Bills!#REF!,"AAAAACON+8k=")</f>
        <v>#REF!</v>
      </c>
      <c r="GU222" t="e">
        <f>AND(Bills!U955,"AAAAACON+8o=")</f>
        <v>#VALUE!</v>
      </c>
      <c r="GV222" t="e">
        <f>AND(Bills!V955,"AAAAACON+8s=")</f>
        <v>#VALUE!</v>
      </c>
      <c r="GW222" t="e">
        <f>AND(Bills!W955,"AAAAACON+8w=")</f>
        <v>#VALUE!</v>
      </c>
      <c r="GX222" t="e">
        <f>AND(Bills!#REF!,"AAAAACON+80=")</f>
        <v>#REF!</v>
      </c>
      <c r="GY222" t="e">
        <f>AND(Bills!#REF!,"AAAAACON+84=")</f>
        <v>#REF!</v>
      </c>
      <c r="GZ222" t="e">
        <f>AND(Bills!Y955,"AAAAACON+88=")</f>
        <v>#VALUE!</v>
      </c>
      <c r="HA222" t="e">
        <f>AND(Bills!Z955,"AAAAACON+9A=")</f>
        <v>#VALUE!</v>
      </c>
      <c r="HB222" t="e">
        <f>AND(Bills!#REF!,"AAAAACON+9E=")</f>
        <v>#REF!</v>
      </c>
      <c r="HC222" t="e">
        <f>AND(Bills!#REF!,"AAAAACON+9I=")</f>
        <v>#REF!</v>
      </c>
      <c r="HD222" t="e">
        <f>AND(Bills!#REF!,"AAAAACON+9M=")</f>
        <v>#REF!</v>
      </c>
      <c r="HE222" t="e">
        <f>AND(Bills!#REF!,"AAAAACON+9Q=")</f>
        <v>#REF!</v>
      </c>
      <c r="HF222" t="e">
        <f>AND(Bills!#REF!,"AAAAACON+9U=")</f>
        <v>#REF!</v>
      </c>
      <c r="HG222" t="e">
        <f>AND(Bills!#REF!,"AAAAACON+9Y=")</f>
        <v>#REF!</v>
      </c>
      <c r="HH222" t="e">
        <f>AND(Bills!#REF!,"AAAAACON+9c=")</f>
        <v>#REF!</v>
      </c>
      <c r="HI222" t="e">
        <f>AND(Bills!#REF!,"AAAAACON+9g=")</f>
        <v>#REF!</v>
      </c>
      <c r="HJ222" t="e">
        <f>AND(Bills!#REF!,"AAAAACON+9k=")</f>
        <v>#REF!</v>
      </c>
      <c r="HK222" t="e">
        <f>AND(Bills!AA955,"AAAAACON+9o=")</f>
        <v>#VALUE!</v>
      </c>
      <c r="HL222" t="e">
        <f>AND(Bills!AB955,"AAAAACON+9s=")</f>
        <v>#VALUE!</v>
      </c>
      <c r="HM222" t="e">
        <f>AND(Bills!#REF!,"AAAAACON+9w=")</f>
        <v>#REF!</v>
      </c>
      <c r="HN222" t="e">
        <f>AND(Bills!#REF!,"AAAAACON+90=")</f>
        <v>#REF!</v>
      </c>
      <c r="HO222" t="e">
        <f>AND(Bills!#REF!,"AAAAACON+94=")</f>
        <v>#REF!</v>
      </c>
      <c r="HP222" t="e">
        <f>AND(Bills!AC955,"AAAAACON+98=")</f>
        <v>#VALUE!</v>
      </c>
      <c r="HQ222" t="e">
        <f>AND(Bills!AD955,"AAAAACON++A=")</f>
        <v>#VALUE!</v>
      </c>
      <c r="HR222" t="e">
        <f>AND(Bills!AE955,"AAAAACON++E=")</f>
        <v>#VALUE!</v>
      </c>
      <c r="HS222">
        <f>IF(Bills!956:956,"AAAAACON++I=",0)</f>
        <v>0</v>
      </c>
      <c r="HT222" t="e">
        <f>AND(Bills!B956,"AAAAACON++M=")</f>
        <v>#VALUE!</v>
      </c>
      <c r="HU222" t="e">
        <f>AND(Bills!#REF!,"AAAAACON++Q=")</f>
        <v>#REF!</v>
      </c>
      <c r="HV222" t="e">
        <f>AND(Bills!C956,"AAAAACON++U=")</f>
        <v>#VALUE!</v>
      </c>
      <c r="HW222" t="e">
        <f>AND(Bills!D956,"AAAAACON++Y=")</f>
        <v>#VALUE!</v>
      </c>
      <c r="HX222" t="e">
        <f>AND(Bills!E956,"AAAAACON++c=")</f>
        <v>#VALUE!</v>
      </c>
      <c r="HY222" t="e">
        <f>AND(Bills!#REF!,"AAAAACON++g=")</f>
        <v>#REF!</v>
      </c>
      <c r="HZ222" t="e">
        <f>AND(Bills!#REF!,"AAAAACON++k=")</f>
        <v>#REF!</v>
      </c>
      <c r="IA222" t="e">
        <f>AND(Bills!#REF!,"AAAAACON++o=")</f>
        <v>#REF!</v>
      </c>
      <c r="IB222" t="e">
        <f>AND(Bills!F956,"AAAAACON++s=")</f>
        <v>#VALUE!</v>
      </c>
      <c r="IC222" t="e">
        <f>AND(Bills!#REF!,"AAAAACON++w=")</f>
        <v>#REF!</v>
      </c>
      <c r="ID222" t="e">
        <f>AND(Bills!G956,"AAAAACON++0=")</f>
        <v>#VALUE!</v>
      </c>
      <c r="IE222" t="e">
        <f>AND(Bills!H956,"AAAAACON++4=")</f>
        <v>#VALUE!</v>
      </c>
      <c r="IF222" t="e">
        <f>AND(Bills!I956,"AAAAACON++8=")</f>
        <v>#VALUE!</v>
      </c>
      <c r="IG222" t="e">
        <f>AND(Bills!J956,"AAAAACON+/A=")</f>
        <v>#VALUE!</v>
      </c>
      <c r="IH222" t="e">
        <f>AND(Bills!K956,"AAAAACON+/E=")</f>
        <v>#VALUE!</v>
      </c>
      <c r="II222" t="e">
        <f>AND(Bills!L956,"AAAAACON+/I=")</f>
        <v>#VALUE!</v>
      </c>
      <c r="IJ222" t="e">
        <f>AND(Bills!#REF!,"AAAAACON+/M=")</f>
        <v>#REF!</v>
      </c>
      <c r="IK222" t="e">
        <f>AND(Bills!M956,"AAAAACON+/Q=")</f>
        <v>#VALUE!</v>
      </c>
      <c r="IL222" t="e">
        <f>AND(Bills!N956,"AAAAACON+/U=")</f>
        <v>#VALUE!</v>
      </c>
      <c r="IM222" t="e">
        <f>AND(Bills!O956,"AAAAACON+/Y=")</f>
        <v>#VALUE!</v>
      </c>
      <c r="IN222" t="e">
        <f>AND(Bills!P956,"AAAAACON+/c=")</f>
        <v>#VALUE!</v>
      </c>
      <c r="IO222" t="e">
        <f>AND(Bills!Q956,"AAAAACON+/g=")</f>
        <v>#VALUE!</v>
      </c>
      <c r="IP222" t="e">
        <f>AND(Bills!R956,"AAAAACON+/k=")</f>
        <v>#VALUE!</v>
      </c>
      <c r="IQ222" t="e">
        <f>AND(Bills!S956,"AAAAACON+/o=")</f>
        <v>#VALUE!</v>
      </c>
      <c r="IR222" t="e">
        <f>AND(Bills!T956,"AAAAACON+/s=")</f>
        <v>#VALUE!</v>
      </c>
      <c r="IS222" t="e">
        <f>AND(Bills!#REF!,"AAAAACON+/w=")</f>
        <v>#REF!</v>
      </c>
      <c r="IT222" t="e">
        <f>AND(Bills!U956,"AAAAACON+/0=")</f>
        <v>#VALUE!</v>
      </c>
      <c r="IU222" t="e">
        <f>AND(Bills!V956,"AAAAACON+/4=")</f>
        <v>#VALUE!</v>
      </c>
      <c r="IV222" t="e">
        <f>AND(Bills!W956,"AAAAACON+/8=")</f>
        <v>#VALUE!</v>
      </c>
    </row>
    <row r="223" spans="1:256" x14ac:dyDescent="0.25">
      <c r="A223" t="e">
        <f>AND(Bills!#REF!,"AAAAAEf57wA=")</f>
        <v>#REF!</v>
      </c>
      <c r="B223" t="e">
        <f>AND(Bills!#REF!,"AAAAAEf57wE=")</f>
        <v>#REF!</v>
      </c>
      <c r="C223" t="e">
        <f>AND(Bills!Y956,"AAAAAEf57wI=")</f>
        <v>#VALUE!</v>
      </c>
      <c r="D223" t="e">
        <f>AND(Bills!Z956,"AAAAAEf57wM=")</f>
        <v>#VALUE!</v>
      </c>
      <c r="E223" t="e">
        <f>AND(Bills!#REF!,"AAAAAEf57wQ=")</f>
        <v>#REF!</v>
      </c>
      <c r="F223" t="e">
        <f>AND(Bills!#REF!,"AAAAAEf57wU=")</f>
        <v>#REF!</v>
      </c>
      <c r="G223" t="e">
        <f>AND(Bills!#REF!,"AAAAAEf57wY=")</f>
        <v>#REF!</v>
      </c>
      <c r="H223" t="e">
        <f>AND(Bills!#REF!,"AAAAAEf57wc=")</f>
        <v>#REF!</v>
      </c>
      <c r="I223" t="e">
        <f>AND(Bills!#REF!,"AAAAAEf57wg=")</f>
        <v>#REF!</v>
      </c>
      <c r="J223" t="e">
        <f>AND(Bills!#REF!,"AAAAAEf57wk=")</f>
        <v>#REF!</v>
      </c>
      <c r="K223" t="e">
        <f>AND(Bills!#REF!,"AAAAAEf57wo=")</f>
        <v>#REF!</v>
      </c>
      <c r="L223" t="e">
        <f>AND(Bills!#REF!,"AAAAAEf57ws=")</f>
        <v>#REF!</v>
      </c>
      <c r="M223" t="e">
        <f>AND(Bills!#REF!,"AAAAAEf57ww=")</f>
        <v>#REF!</v>
      </c>
      <c r="N223" t="e">
        <f>AND(Bills!AA956,"AAAAAEf57w0=")</f>
        <v>#VALUE!</v>
      </c>
      <c r="O223" t="e">
        <f>AND(Bills!AB956,"AAAAAEf57w4=")</f>
        <v>#VALUE!</v>
      </c>
      <c r="P223" t="e">
        <f>AND(Bills!#REF!,"AAAAAEf57w8=")</f>
        <v>#REF!</v>
      </c>
      <c r="Q223" t="e">
        <f>AND(Bills!#REF!,"AAAAAEf57xA=")</f>
        <v>#REF!</v>
      </c>
      <c r="R223" t="e">
        <f>AND(Bills!#REF!,"AAAAAEf57xE=")</f>
        <v>#REF!</v>
      </c>
      <c r="S223" t="e">
        <f>AND(Bills!AC956,"AAAAAEf57xI=")</f>
        <v>#VALUE!</v>
      </c>
      <c r="T223" t="e">
        <f>AND(Bills!AD956,"AAAAAEf57xM=")</f>
        <v>#VALUE!</v>
      </c>
      <c r="U223" t="e">
        <f>AND(Bills!AE956,"AAAAAEf57xQ=")</f>
        <v>#VALUE!</v>
      </c>
      <c r="V223">
        <f>IF(Bills!957:957,"AAAAAEf57xU=",0)</f>
        <v>0</v>
      </c>
      <c r="W223" t="e">
        <f>AND(Bills!B957,"AAAAAEf57xY=")</f>
        <v>#VALUE!</v>
      </c>
      <c r="X223" t="e">
        <f>AND(Bills!#REF!,"AAAAAEf57xc=")</f>
        <v>#REF!</v>
      </c>
      <c r="Y223" t="e">
        <f>AND(Bills!C957,"AAAAAEf57xg=")</f>
        <v>#VALUE!</v>
      </c>
      <c r="Z223" t="e">
        <f>AND(Bills!D957,"AAAAAEf57xk=")</f>
        <v>#VALUE!</v>
      </c>
      <c r="AA223" t="e">
        <f>AND(Bills!E957,"AAAAAEf57xo=")</f>
        <v>#VALUE!</v>
      </c>
      <c r="AB223" t="e">
        <f>AND(Bills!#REF!,"AAAAAEf57xs=")</f>
        <v>#REF!</v>
      </c>
      <c r="AC223" t="e">
        <f>AND(Bills!#REF!,"AAAAAEf57xw=")</f>
        <v>#REF!</v>
      </c>
      <c r="AD223" t="e">
        <f>AND(Bills!#REF!,"AAAAAEf57x0=")</f>
        <v>#REF!</v>
      </c>
      <c r="AE223" t="e">
        <f>AND(Bills!F957,"AAAAAEf57x4=")</f>
        <v>#VALUE!</v>
      </c>
      <c r="AF223" t="e">
        <f>AND(Bills!#REF!,"AAAAAEf57x8=")</f>
        <v>#REF!</v>
      </c>
      <c r="AG223" t="e">
        <f>AND(Bills!G957,"AAAAAEf57yA=")</f>
        <v>#VALUE!</v>
      </c>
      <c r="AH223" t="e">
        <f>AND(Bills!H957,"AAAAAEf57yE=")</f>
        <v>#VALUE!</v>
      </c>
      <c r="AI223" t="e">
        <f>AND(Bills!I957,"AAAAAEf57yI=")</f>
        <v>#VALUE!</v>
      </c>
      <c r="AJ223" t="e">
        <f>AND(Bills!J957,"AAAAAEf57yM=")</f>
        <v>#VALUE!</v>
      </c>
      <c r="AK223" t="e">
        <f>AND(Bills!K957,"AAAAAEf57yQ=")</f>
        <v>#VALUE!</v>
      </c>
      <c r="AL223" t="e">
        <f>AND(Bills!L957,"AAAAAEf57yU=")</f>
        <v>#VALUE!</v>
      </c>
      <c r="AM223" t="e">
        <f>AND(Bills!#REF!,"AAAAAEf57yY=")</f>
        <v>#REF!</v>
      </c>
      <c r="AN223" t="e">
        <f>AND(Bills!M957,"AAAAAEf57yc=")</f>
        <v>#VALUE!</v>
      </c>
      <c r="AO223" t="e">
        <f>AND(Bills!N957,"AAAAAEf57yg=")</f>
        <v>#VALUE!</v>
      </c>
      <c r="AP223" t="e">
        <f>AND(Bills!O957,"AAAAAEf57yk=")</f>
        <v>#VALUE!</v>
      </c>
      <c r="AQ223" t="e">
        <f>AND(Bills!P957,"AAAAAEf57yo=")</f>
        <v>#VALUE!</v>
      </c>
      <c r="AR223" t="e">
        <f>AND(Bills!Q957,"AAAAAEf57ys=")</f>
        <v>#VALUE!</v>
      </c>
      <c r="AS223" t="e">
        <f>AND(Bills!R957,"AAAAAEf57yw=")</f>
        <v>#VALUE!</v>
      </c>
      <c r="AT223" t="e">
        <f>AND(Bills!S957,"AAAAAEf57y0=")</f>
        <v>#VALUE!</v>
      </c>
      <c r="AU223" t="e">
        <f>AND(Bills!T957,"AAAAAEf57y4=")</f>
        <v>#VALUE!</v>
      </c>
      <c r="AV223" t="e">
        <f>AND(Bills!#REF!,"AAAAAEf57y8=")</f>
        <v>#REF!</v>
      </c>
      <c r="AW223" t="e">
        <f>AND(Bills!U957,"AAAAAEf57zA=")</f>
        <v>#VALUE!</v>
      </c>
      <c r="AX223" t="e">
        <f>AND(Bills!V957,"AAAAAEf57zE=")</f>
        <v>#VALUE!</v>
      </c>
      <c r="AY223" t="e">
        <f>AND(Bills!W957,"AAAAAEf57zI=")</f>
        <v>#VALUE!</v>
      </c>
      <c r="AZ223" t="e">
        <f>AND(Bills!#REF!,"AAAAAEf57zM=")</f>
        <v>#REF!</v>
      </c>
      <c r="BA223" t="e">
        <f>AND(Bills!#REF!,"AAAAAEf57zQ=")</f>
        <v>#REF!</v>
      </c>
      <c r="BB223" t="e">
        <f>AND(Bills!Y957,"AAAAAEf57zU=")</f>
        <v>#VALUE!</v>
      </c>
      <c r="BC223" t="e">
        <f>AND(Bills!Z957,"AAAAAEf57zY=")</f>
        <v>#VALUE!</v>
      </c>
      <c r="BD223" t="e">
        <f>AND(Bills!#REF!,"AAAAAEf57zc=")</f>
        <v>#REF!</v>
      </c>
      <c r="BE223" t="e">
        <f>AND(Bills!#REF!,"AAAAAEf57zg=")</f>
        <v>#REF!</v>
      </c>
      <c r="BF223" t="e">
        <f>AND(Bills!#REF!,"AAAAAEf57zk=")</f>
        <v>#REF!</v>
      </c>
      <c r="BG223" t="e">
        <f>AND(Bills!#REF!,"AAAAAEf57zo=")</f>
        <v>#REF!</v>
      </c>
      <c r="BH223" t="e">
        <f>AND(Bills!#REF!,"AAAAAEf57zs=")</f>
        <v>#REF!</v>
      </c>
      <c r="BI223" t="e">
        <f>AND(Bills!#REF!,"AAAAAEf57zw=")</f>
        <v>#REF!</v>
      </c>
      <c r="BJ223" t="e">
        <f>AND(Bills!#REF!,"AAAAAEf57z0=")</f>
        <v>#REF!</v>
      </c>
      <c r="BK223" t="e">
        <f>AND(Bills!#REF!,"AAAAAEf57z4=")</f>
        <v>#REF!</v>
      </c>
      <c r="BL223" t="e">
        <f>AND(Bills!#REF!,"AAAAAEf57z8=")</f>
        <v>#REF!</v>
      </c>
      <c r="BM223" t="e">
        <f>AND(Bills!AA957,"AAAAAEf570A=")</f>
        <v>#VALUE!</v>
      </c>
      <c r="BN223" t="e">
        <f>AND(Bills!AB957,"AAAAAEf570E=")</f>
        <v>#VALUE!</v>
      </c>
      <c r="BO223" t="e">
        <f>AND(Bills!#REF!,"AAAAAEf570I=")</f>
        <v>#REF!</v>
      </c>
      <c r="BP223" t="e">
        <f>AND(Bills!#REF!,"AAAAAEf570M=")</f>
        <v>#REF!</v>
      </c>
      <c r="BQ223" t="e">
        <f>AND(Bills!#REF!,"AAAAAEf570Q=")</f>
        <v>#REF!</v>
      </c>
      <c r="BR223" t="e">
        <f>AND(Bills!AC957,"AAAAAEf570U=")</f>
        <v>#VALUE!</v>
      </c>
      <c r="BS223" t="e">
        <f>AND(Bills!AD957,"AAAAAEf570Y=")</f>
        <v>#VALUE!</v>
      </c>
      <c r="BT223" t="e">
        <f>AND(Bills!AE957,"AAAAAEf570c=")</f>
        <v>#VALUE!</v>
      </c>
      <c r="BU223">
        <f>IF(Bills!958:958,"AAAAAEf570g=",0)</f>
        <v>0</v>
      </c>
      <c r="BV223" t="e">
        <f>AND(Bills!B958,"AAAAAEf570k=")</f>
        <v>#VALUE!</v>
      </c>
      <c r="BW223" t="e">
        <f>AND(Bills!#REF!,"AAAAAEf570o=")</f>
        <v>#REF!</v>
      </c>
      <c r="BX223" t="e">
        <f>AND(Bills!C958,"AAAAAEf570s=")</f>
        <v>#VALUE!</v>
      </c>
      <c r="BY223" t="e">
        <f>AND(Bills!D958,"AAAAAEf570w=")</f>
        <v>#VALUE!</v>
      </c>
      <c r="BZ223" t="e">
        <f>AND(Bills!E958,"AAAAAEf5700=")</f>
        <v>#VALUE!</v>
      </c>
      <c r="CA223" t="e">
        <f>AND(Bills!#REF!,"AAAAAEf5704=")</f>
        <v>#REF!</v>
      </c>
      <c r="CB223" t="e">
        <f>AND(Bills!#REF!,"AAAAAEf5708=")</f>
        <v>#REF!</v>
      </c>
      <c r="CC223" t="e">
        <f>AND(Bills!#REF!,"AAAAAEf571A=")</f>
        <v>#REF!</v>
      </c>
      <c r="CD223" t="e">
        <f>AND(Bills!F958,"AAAAAEf571E=")</f>
        <v>#VALUE!</v>
      </c>
      <c r="CE223" t="e">
        <f>AND(Bills!#REF!,"AAAAAEf571I=")</f>
        <v>#REF!</v>
      </c>
      <c r="CF223" t="e">
        <f>AND(Bills!G958,"AAAAAEf571M=")</f>
        <v>#VALUE!</v>
      </c>
      <c r="CG223" t="e">
        <f>AND(Bills!H958,"AAAAAEf571Q=")</f>
        <v>#VALUE!</v>
      </c>
      <c r="CH223" t="e">
        <f>AND(Bills!I958,"AAAAAEf571U=")</f>
        <v>#VALUE!</v>
      </c>
      <c r="CI223" t="e">
        <f>AND(Bills!J958,"AAAAAEf571Y=")</f>
        <v>#VALUE!</v>
      </c>
      <c r="CJ223" t="e">
        <f>AND(Bills!K958,"AAAAAEf571c=")</f>
        <v>#VALUE!</v>
      </c>
      <c r="CK223" t="e">
        <f>AND(Bills!L958,"AAAAAEf571g=")</f>
        <v>#VALUE!</v>
      </c>
      <c r="CL223" t="e">
        <f>AND(Bills!#REF!,"AAAAAEf571k=")</f>
        <v>#REF!</v>
      </c>
      <c r="CM223" t="e">
        <f>AND(Bills!M958,"AAAAAEf571o=")</f>
        <v>#VALUE!</v>
      </c>
      <c r="CN223" t="e">
        <f>AND(Bills!N958,"AAAAAEf571s=")</f>
        <v>#VALUE!</v>
      </c>
      <c r="CO223" t="e">
        <f>AND(Bills!O958,"AAAAAEf571w=")</f>
        <v>#VALUE!</v>
      </c>
      <c r="CP223" t="e">
        <f>AND(Bills!P958,"AAAAAEf5710=")</f>
        <v>#VALUE!</v>
      </c>
      <c r="CQ223" t="e">
        <f>AND(Bills!Q958,"AAAAAEf5714=")</f>
        <v>#VALUE!</v>
      </c>
      <c r="CR223" t="e">
        <f>AND(Bills!R958,"AAAAAEf5718=")</f>
        <v>#VALUE!</v>
      </c>
      <c r="CS223" t="e">
        <f>AND(Bills!S958,"AAAAAEf572A=")</f>
        <v>#VALUE!</v>
      </c>
      <c r="CT223" t="e">
        <f>AND(Bills!T958,"AAAAAEf572E=")</f>
        <v>#VALUE!</v>
      </c>
      <c r="CU223" t="e">
        <f>AND(Bills!#REF!,"AAAAAEf572I=")</f>
        <v>#REF!</v>
      </c>
      <c r="CV223" t="e">
        <f>AND(Bills!U958,"AAAAAEf572M=")</f>
        <v>#VALUE!</v>
      </c>
      <c r="CW223" t="e">
        <f>AND(Bills!V958,"AAAAAEf572Q=")</f>
        <v>#VALUE!</v>
      </c>
      <c r="CX223" t="e">
        <f>AND(Bills!W958,"AAAAAEf572U=")</f>
        <v>#VALUE!</v>
      </c>
      <c r="CY223" t="e">
        <f>AND(Bills!#REF!,"AAAAAEf572Y=")</f>
        <v>#REF!</v>
      </c>
      <c r="CZ223" t="e">
        <f>AND(Bills!#REF!,"AAAAAEf572c=")</f>
        <v>#REF!</v>
      </c>
      <c r="DA223" t="e">
        <f>AND(Bills!Y958,"AAAAAEf572g=")</f>
        <v>#VALUE!</v>
      </c>
      <c r="DB223" t="e">
        <f>AND(Bills!Z958,"AAAAAEf572k=")</f>
        <v>#VALUE!</v>
      </c>
      <c r="DC223" t="e">
        <f>AND(Bills!#REF!,"AAAAAEf572o=")</f>
        <v>#REF!</v>
      </c>
      <c r="DD223" t="e">
        <f>AND(Bills!#REF!,"AAAAAEf572s=")</f>
        <v>#REF!</v>
      </c>
      <c r="DE223" t="e">
        <f>AND(Bills!#REF!,"AAAAAEf572w=")</f>
        <v>#REF!</v>
      </c>
      <c r="DF223" t="e">
        <f>AND(Bills!#REF!,"AAAAAEf5720=")</f>
        <v>#REF!</v>
      </c>
      <c r="DG223" t="e">
        <f>AND(Bills!#REF!,"AAAAAEf5724=")</f>
        <v>#REF!</v>
      </c>
      <c r="DH223" t="e">
        <f>AND(Bills!#REF!,"AAAAAEf5728=")</f>
        <v>#REF!</v>
      </c>
      <c r="DI223" t="e">
        <f>AND(Bills!#REF!,"AAAAAEf573A=")</f>
        <v>#REF!</v>
      </c>
      <c r="DJ223" t="e">
        <f>AND(Bills!#REF!,"AAAAAEf573E=")</f>
        <v>#REF!</v>
      </c>
      <c r="DK223" t="e">
        <f>AND(Bills!#REF!,"AAAAAEf573I=")</f>
        <v>#REF!</v>
      </c>
      <c r="DL223" t="e">
        <f>AND(Bills!AA958,"AAAAAEf573M=")</f>
        <v>#VALUE!</v>
      </c>
      <c r="DM223" t="e">
        <f>AND(Bills!AB958,"AAAAAEf573Q=")</f>
        <v>#VALUE!</v>
      </c>
      <c r="DN223" t="e">
        <f>AND(Bills!#REF!,"AAAAAEf573U=")</f>
        <v>#REF!</v>
      </c>
      <c r="DO223" t="e">
        <f>AND(Bills!#REF!,"AAAAAEf573Y=")</f>
        <v>#REF!</v>
      </c>
      <c r="DP223" t="e">
        <f>AND(Bills!#REF!,"AAAAAEf573c=")</f>
        <v>#REF!</v>
      </c>
      <c r="DQ223" t="e">
        <f>AND(Bills!AC958,"AAAAAEf573g=")</f>
        <v>#VALUE!</v>
      </c>
      <c r="DR223" t="e">
        <f>AND(Bills!AD958,"AAAAAEf573k=")</f>
        <v>#VALUE!</v>
      </c>
      <c r="DS223" t="e">
        <f>AND(Bills!AE958,"AAAAAEf573o=")</f>
        <v>#VALUE!</v>
      </c>
      <c r="DT223">
        <f>IF(Bills!959:959,"AAAAAEf573s=",0)</f>
        <v>0</v>
      </c>
      <c r="DU223" t="e">
        <f>AND(Bills!B959,"AAAAAEf573w=")</f>
        <v>#VALUE!</v>
      </c>
      <c r="DV223" t="e">
        <f>AND(Bills!#REF!,"AAAAAEf5730=")</f>
        <v>#REF!</v>
      </c>
      <c r="DW223" t="e">
        <f>AND(Bills!C959,"AAAAAEf5734=")</f>
        <v>#VALUE!</v>
      </c>
      <c r="DX223" t="e">
        <f>AND(Bills!D959,"AAAAAEf5738=")</f>
        <v>#VALUE!</v>
      </c>
      <c r="DY223" t="e">
        <f>AND(Bills!E959,"AAAAAEf574A=")</f>
        <v>#VALUE!</v>
      </c>
      <c r="DZ223" t="e">
        <f>AND(Bills!#REF!,"AAAAAEf574E=")</f>
        <v>#REF!</v>
      </c>
      <c r="EA223" t="e">
        <f>AND(Bills!#REF!,"AAAAAEf574I=")</f>
        <v>#REF!</v>
      </c>
      <c r="EB223" t="e">
        <f>AND(Bills!#REF!,"AAAAAEf574M=")</f>
        <v>#REF!</v>
      </c>
      <c r="EC223" t="e">
        <f>AND(Bills!F959,"AAAAAEf574Q=")</f>
        <v>#VALUE!</v>
      </c>
      <c r="ED223" t="e">
        <f>AND(Bills!#REF!,"AAAAAEf574U=")</f>
        <v>#REF!</v>
      </c>
      <c r="EE223" t="e">
        <f>AND(Bills!G959,"AAAAAEf574Y=")</f>
        <v>#VALUE!</v>
      </c>
      <c r="EF223" t="e">
        <f>AND(Bills!H959,"AAAAAEf574c=")</f>
        <v>#VALUE!</v>
      </c>
      <c r="EG223" t="e">
        <f>AND(Bills!I959,"AAAAAEf574g=")</f>
        <v>#VALUE!</v>
      </c>
      <c r="EH223" t="e">
        <f>AND(Bills!J959,"AAAAAEf574k=")</f>
        <v>#VALUE!</v>
      </c>
      <c r="EI223" t="e">
        <f>AND(Bills!K959,"AAAAAEf574o=")</f>
        <v>#VALUE!</v>
      </c>
      <c r="EJ223" t="e">
        <f>AND(Bills!L959,"AAAAAEf574s=")</f>
        <v>#VALUE!</v>
      </c>
      <c r="EK223" t="e">
        <f>AND(Bills!#REF!,"AAAAAEf574w=")</f>
        <v>#REF!</v>
      </c>
      <c r="EL223" t="e">
        <f>AND(Bills!M959,"AAAAAEf5740=")</f>
        <v>#VALUE!</v>
      </c>
      <c r="EM223" t="e">
        <f>AND(Bills!N959,"AAAAAEf5744=")</f>
        <v>#VALUE!</v>
      </c>
      <c r="EN223" t="e">
        <f>AND(Bills!O959,"AAAAAEf5748=")</f>
        <v>#VALUE!</v>
      </c>
      <c r="EO223" t="e">
        <f>AND(Bills!P959,"AAAAAEf575A=")</f>
        <v>#VALUE!</v>
      </c>
      <c r="EP223" t="e">
        <f>AND(Bills!Q959,"AAAAAEf575E=")</f>
        <v>#VALUE!</v>
      </c>
      <c r="EQ223" t="e">
        <f>AND(Bills!R959,"AAAAAEf575I=")</f>
        <v>#VALUE!</v>
      </c>
      <c r="ER223" t="e">
        <f>AND(Bills!S959,"AAAAAEf575M=")</f>
        <v>#VALUE!</v>
      </c>
      <c r="ES223" t="e">
        <f>AND(Bills!T959,"AAAAAEf575Q=")</f>
        <v>#VALUE!</v>
      </c>
      <c r="ET223" t="e">
        <f>AND(Bills!#REF!,"AAAAAEf575U=")</f>
        <v>#REF!</v>
      </c>
      <c r="EU223" t="e">
        <f>AND(Bills!U959,"AAAAAEf575Y=")</f>
        <v>#VALUE!</v>
      </c>
      <c r="EV223" t="e">
        <f>AND(Bills!V959,"AAAAAEf575c=")</f>
        <v>#VALUE!</v>
      </c>
      <c r="EW223" t="e">
        <f>AND(Bills!W959,"AAAAAEf575g=")</f>
        <v>#VALUE!</v>
      </c>
      <c r="EX223" t="e">
        <f>AND(Bills!#REF!,"AAAAAEf575k=")</f>
        <v>#REF!</v>
      </c>
      <c r="EY223" t="e">
        <f>AND(Bills!#REF!,"AAAAAEf575o=")</f>
        <v>#REF!</v>
      </c>
      <c r="EZ223" t="e">
        <f>AND(Bills!Y959,"AAAAAEf575s=")</f>
        <v>#VALUE!</v>
      </c>
      <c r="FA223" t="e">
        <f>AND(Bills!Z959,"AAAAAEf575w=")</f>
        <v>#VALUE!</v>
      </c>
      <c r="FB223" t="e">
        <f>AND(Bills!#REF!,"AAAAAEf5750=")</f>
        <v>#REF!</v>
      </c>
      <c r="FC223" t="e">
        <f>AND(Bills!#REF!,"AAAAAEf5754=")</f>
        <v>#REF!</v>
      </c>
      <c r="FD223" t="e">
        <f>AND(Bills!#REF!,"AAAAAEf5758=")</f>
        <v>#REF!</v>
      </c>
      <c r="FE223" t="e">
        <f>AND(Bills!#REF!,"AAAAAEf576A=")</f>
        <v>#REF!</v>
      </c>
      <c r="FF223" t="e">
        <f>AND(Bills!#REF!,"AAAAAEf576E=")</f>
        <v>#REF!</v>
      </c>
      <c r="FG223" t="e">
        <f>AND(Bills!#REF!,"AAAAAEf576I=")</f>
        <v>#REF!</v>
      </c>
      <c r="FH223" t="e">
        <f>AND(Bills!#REF!,"AAAAAEf576M=")</f>
        <v>#REF!</v>
      </c>
      <c r="FI223" t="e">
        <f>AND(Bills!#REF!,"AAAAAEf576Q=")</f>
        <v>#REF!</v>
      </c>
      <c r="FJ223" t="e">
        <f>AND(Bills!#REF!,"AAAAAEf576U=")</f>
        <v>#REF!</v>
      </c>
      <c r="FK223" t="e">
        <f>AND(Bills!AA959,"AAAAAEf576Y=")</f>
        <v>#VALUE!</v>
      </c>
      <c r="FL223" t="e">
        <f>AND(Bills!AB959,"AAAAAEf576c=")</f>
        <v>#VALUE!</v>
      </c>
      <c r="FM223" t="e">
        <f>AND(Bills!#REF!,"AAAAAEf576g=")</f>
        <v>#REF!</v>
      </c>
      <c r="FN223" t="e">
        <f>AND(Bills!#REF!,"AAAAAEf576k=")</f>
        <v>#REF!</v>
      </c>
      <c r="FO223" t="e">
        <f>AND(Bills!#REF!,"AAAAAEf576o=")</f>
        <v>#REF!</v>
      </c>
      <c r="FP223" t="e">
        <f>AND(Bills!AC959,"AAAAAEf576s=")</f>
        <v>#VALUE!</v>
      </c>
      <c r="FQ223" t="e">
        <f>AND(Bills!AD959,"AAAAAEf576w=")</f>
        <v>#VALUE!</v>
      </c>
      <c r="FR223" t="e">
        <f>AND(Bills!AE959,"AAAAAEf5760=")</f>
        <v>#VALUE!</v>
      </c>
      <c r="FS223">
        <f>IF(Bills!960:960,"AAAAAEf5764=",0)</f>
        <v>0</v>
      </c>
      <c r="FT223" t="e">
        <f>AND(Bills!B960,"AAAAAEf5768=")</f>
        <v>#VALUE!</v>
      </c>
      <c r="FU223" t="e">
        <f>AND(Bills!#REF!,"AAAAAEf577A=")</f>
        <v>#REF!</v>
      </c>
      <c r="FV223" t="e">
        <f>AND(Bills!C960,"AAAAAEf577E=")</f>
        <v>#VALUE!</v>
      </c>
      <c r="FW223" t="e">
        <f>AND(Bills!D960,"AAAAAEf577I=")</f>
        <v>#VALUE!</v>
      </c>
      <c r="FX223" t="e">
        <f>AND(Bills!E960,"AAAAAEf577M=")</f>
        <v>#VALUE!</v>
      </c>
      <c r="FY223" t="e">
        <f>AND(Bills!#REF!,"AAAAAEf577Q=")</f>
        <v>#REF!</v>
      </c>
      <c r="FZ223" t="e">
        <f>AND(Bills!#REF!,"AAAAAEf577U=")</f>
        <v>#REF!</v>
      </c>
      <c r="GA223" t="e">
        <f>AND(Bills!#REF!,"AAAAAEf577Y=")</f>
        <v>#REF!</v>
      </c>
      <c r="GB223" t="e">
        <f>AND(Bills!F960,"AAAAAEf577c=")</f>
        <v>#VALUE!</v>
      </c>
      <c r="GC223" t="e">
        <f>AND(Bills!#REF!,"AAAAAEf577g=")</f>
        <v>#REF!</v>
      </c>
      <c r="GD223" t="e">
        <f>AND(Bills!G960,"AAAAAEf577k=")</f>
        <v>#VALUE!</v>
      </c>
      <c r="GE223" t="e">
        <f>AND(Bills!H960,"AAAAAEf577o=")</f>
        <v>#VALUE!</v>
      </c>
      <c r="GF223" t="e">
        <f>AND(Bills!I960,"AAAAAEf577s=")</f>
        <v>#VALUE!</v>
      </c>
      <c r="GG223" t="e">
        <f>AND(Bills!J960,"AAAAAEf577w=")</f>
        <v>#VALUE!</v>
      </c>
      <c r="GH223" t="e">
        <f>AND(Bills!K960,"AAAAAEf5770=")</f>
        <v>#VALUE!</v>
      </c>
      <c r="GI223" t="e">
        <f>AND(Bills!L960,"AAAAAEf5774=")</f>
        <v>#VALUE!</v>
      </c>
      <c r="GJ223" t="e">
        <f>AND(Bills!#REF!,"AAAAAEf5778=")</f>
        <v>#REF!</v>
      </c>
      <c r="GK223" t="e">
        <f>AND(Bills!M960,"AAAAAEf578A=")</f>
        <v>#VALUE!</v>
      </c>
      <c r="GL223" t="e">
        <f>AND(Bills!N960,"AAAAAEf578E=")</f>
        <v>#VALUE!</v>
      </c>
      <c r="GM223" t="e">
        <f>AND(Bills!O960,"AAAAAEf578I=")</f>
        <v>#VALUE!</v>
      </c>
      <c r="GN223" t="e">
        <f>AND(Bills!P960,"AAAAAEf578M=")</f>
        <v>#VALUE!</v>
      </c>
      <c r="GO223" t="e">
        <f>AND(Bills!Q960,"AAAAAEf578Q=")</f>
        <v>#VALUE!</v>
      </c>
      <c r="GP223" t="e">
        <f>AND(Bills!R960,"AAAAAEf578U=")</f>
        <v>#VALUE!</v>
      </c>
      <c r="GQ223" t="e">
        <f>AND(Bills!S960,"AAAAAEf578Y=")</f>
        <v>#VALUE!</v>
      </c>
      <c r="GR223" t="e">
        <f>AND(Bills!T960,"AAAAAEf578c=")</f>
        <v>#VALUE!</v>
      </c>
      <c r="GS223" t="e">
        <f>AND(Bills!#REF!,"AAAAAEf578g=")</f>
        <v>#REF!</v>
      </c>
      <c r="GT223" t="e">
        <f>AND(Bills!U960,"AAAAAEf578k=")</f>
        <v>#VALUE!</v>
      </c>
      <c r="GU223" t="e">
        <f>AND(Bills!V960,"AAAAAEf578o=")</f>
        <v>#VALUE!</v>
      </c>
      <c r="GV223" t="e">
        <f>AND(Bills!W960,"AAAAAEf578s=")</f>
        <v>#VALUE!</v>
      </c>
      <c r="GW223" t="e">
        <f>AND(Bills!#REF!,"AAAAAEf578w=")</f>
        <v>#REF!</v>
      </c>
      <c r="GX223" t="e">
        <f>AND(Bills!#REF!,"AAAAAEf5780=")</f>
        <v>#REF!</v>
      </c>
      <c r="GY223" t="e">
        <f>AND(Bills!Y960,"AAAAAEf5784=")</f>
        <v>#VALUE!</v>
      </c>
      <c r="GZ223" t="e">
        <f>AND(Bills!Z960,"AAAAAEf5788=")</f>
        <v>#VALUE!</v>
      </c>
      <c r="HA223" t="e">
        <f>AND(Bills!#REF!,"AAAAAEf579A=")</f>
        <v>#REF!</v>
      </c>
      <c r="HB223" t="e">
        <f>AND(Bills!#REF!,"AAAAAEf579E=")</f>
        <v>#REF!</v>
      </c>
      <c r="HC223" t="e">
        <f>AND(Bills!#REF!,"AAAAAEf579I=")</f>
        <v>#REF!</v>
      </c>
      <c r="HD223" t="e">
        <f>AND(Bills!#REF!,"AAAAAEf579M=")</f>
        <v>#REF!</v>
      </c>
      <c r="HE223" t="e">
        <f>AND(Bills!#REF!,"AAAAAEf579Q=")</f>
        <v>#REF!</v>
      </c>
      <c r="HF223" t="e">
        <f>AND(Bills!#REF!,"AAAAAEf579U=")</f>
        <v>#REF!</v>
      </c>
      <c r="HG223" t="e">
        <f>AND(Bills!#REF!,"AAAAAEf579Y=")</f>
        <v>#REF!</v>
      </c>
      <c r="HH223" t="e">
        <f>AND(Bills!#REF!,"AAAAAEf579c=")</f>
        <v>#REF!</v>
      </c>
      <c r="HI223" t="e">
        <f>AND(Bills!#REF!,"AAAAAEf579g=")</f>
        <v>#REF!</v>
      </c>
      <c r="HJ223" t="e">
        <f>AND(Bills!AA960,"AAAAAEf579k=")</f>
        <v>#VALUE!</v>
      </c>
      <c r="HK223" t="e">
        <f>AND(Bills!AB960,"AAAAAEf579o=")</f>
        <v>#VALUE!</v>
      </c>
      <c r="HL223" t="e">
        <f>AND(Bills!#REF!,"AAAAAEf579s=")</f>
        <v>#REF!</v>
      </c>
      <c r="HM223" t="e">
        <f>AND(Bills!#REF!,"AAAAAEf579w=")</f>
        <v>#REF!</v>
      </c>
      <c r="HN223" t="e">
        <f>AND(Bills!#REF!,"AAAAAEf5790=")</f>
        <v>#REF!</v>
      </c>
      <c r="HO223" t="e">
        <f>AND(Bills!AC960,"AAAAAEf5794=")</f>
        <v>#VALUE!</v>
      </c>
      <c r="HP223" t="e">
        <f>AND(Bills!AD960,"AAAAAEf5798=")</f>
        <v>#VALUE!</v>
      </c>
      <c r="HQ223" t="e">
        <f>AND(Bills!AE960,"AAAAAEf57+A=")</f>
        <v>#VALUE!</v>
      </c>
      <c r="HR223">
        <f>IF(Bills!961:961,"AAAAAEf57+E=",0)</f>
        <v>0</v>
      </c>
      <c r="HS223" t="e">
        <f>AND(Bills!B961,"AAAAAEf57+I=")</f>
        <v>#VALUE!</v>
      </c>
      <c r="HT223" t="e">
        <f>AND(Bills!#REF!,"AAAAAEf57+M=")</f>
        <v>#REF!</v>
      </c>
      <c r="HU223" t="e">
        <f>AND(Bills!C961,"AAAAAEf57+Q=")</f>
        <v>#VALUE!</v>
      </c>
      <c r="HV223" t="e">
        <f>AND(Bills!D961,"AAAAAEf57+U=")</f>
        <v>#VALUE!</v>
      </c>
      <c r="HW223" t="e">
        <f>AND(Bills!E961,"AAAAAEf57+Y=")</f>
        <v>#VALUE!</v>
      </c>
      <c r="HX223" t="e">
        <f>AND(Bills!#REF!,"AAAAAEf57+c=")</f>
        <v>#REF!</v>
      </c>
      <c r="HY223" t="e">
        <f>AND(Bills!#REF!,"AAAAAEf57+g=")</f>
        <v>#REF!</v>
      </c>
      <c r="HZ223" t="e">
        <f>AND(Bills!#REF!,"AAAAAEf57+k=")</f>
        <v>#REF!</v>
      </c>
      <c r="IA223" t="e">
        <f>AND(Bills!F961,"AAAAAEf57+o=")</f>
        <v>#VALUE!</v>
      </c>
      <c r="IB223" t="e">
        <f>AND(Bills!#REF!,"AAAAAEf57+s=")</f>
        <v>#REF!</v>
      </c>
      <c r="IC223" t="e">
        <f>AND(Bills!G961,"AAAAAEf57+w=")</f>
        <v>#VALUE!</v>
      </c>
      <c r="ID223" t="e">
        <f>AND(Bills!H961,"AAAAAEf57+0=")</f>
        <v>#VALUE!</v>
      </c>
      <c r="IE223" t="e">
        <f>AND(Bills!I961,"AAAAAEf57+4=")</f>
        <v>#VALUE!</v>
      </c>
      <c r="IF223" t="e">
        <f>AND(Bills!J961,"AAAAAEf57+8=")</f>
        <v>#VALUE!</v>
      </c>
      <c r="IG223" t="e">
        <f>AND(Bills!K961,"AAAAAEf57/A=")</f>
        <v>#VALUE!</v>
      </c>
      <c r="IH223" t="e">
        <f>AND(Bills!L961,"AAAAAEf57/E=")</f>
        <v>#VALUE!</v>
      </c>
      <c r="II223" t="e">
        <f>AND(Bills!#REF!,"AAAAAEf57/I=")</f>
        <v>#REF!</v>
      </c>
      <c r="IJ223" t="e">
        <f>AND(Bills!M961,"AAAAAEf57/M=")</f>
        <v>#VALUE!</v>
      </c>
      <c r="IK223" t="e">
        <f>AND(Bills!N961,"AAAAAEf57/Q=")</f>
        <v>#VALUE!</v>
      </c>
      <c r="IL223" t="e">
        <f>AND(Bills!O961,"AAAAAEf57/U=")</f>
        <v>#VALUE!</v>
      </c>
      <c r="IM223" t="e">
        <f>AND(Bills!P961,"AAAAAEf57/Y=")</f>
        <v>#VALUE!</v>
      </c>
      <c r="IN223" t="e">
        <f>AND(Bills!Q961,"AAAAAEf57/c=")</f>
        <v>#VALUE!</v>
      </c>
      <c r="IO223" t="e">
        <f>AND(Bills!R961,"AAAAAEf57/g=")</f>
        <v>#VALUE!</v>
      </c>
      <c r="IP223" t="e">
        <f>AND(Bills!S961,"AAAAAEf57/k=")</f>
        <v>#VALUE!</v>
      </c>
      <c r="IQ223" t="e">
        <f>AND(Bills!T961,"AAAAAEf57/o=")</f>
        <v>#VALUE!</v>
      </c>
      <c r="IR223" t="e">
        <f>AND(Bills!#REF!,"AAAAAEf57/s=")</f>
        <v>#REF!</v>
      </c>
      <c r="IS223" t="e">
        <f>AND(Bills!U961,"AAAAAEf57/w=")</f>
        <v>#VALUE!</v>
      </c>
      <c r="IT223" t="e">
        <f>AND(Bills!V961,"AAAAAEf57/0=")</f>
        <v>#VALUE!</v>
      </c>
      <c r="IU223" t="e">
        <f>AND(Bills!W961,"AAAAAEf57/4=")</f>
        <v>#VALUE!</v>
      </c>
      <c r="IV223" t="e">
        <f>AND(Bills!#REF!,"AAAAAEf57/8=")</f>
        <v>#REF!</v>
      </c>
    </row>
    <row r="224" spans="1:256" x14ac:dyDescent="0.25">
      <c r="A224" t="e">
        <f>AND(Bills!#REF!,"AAAAAHu0TwA=")</f>
        <v>#REF!</v>
      </c>
      <c r="B224" t="e">
        <f>AND(Bills!Y961,"AAAAAHu0TwE=")</f>
        <v>#VALUE!</v>
      </c>
      <c r="C224" t="e">
        <f>AND(Bills!Z961,"AAAAAHu0TwI=")</f>
        <v>#VALUE!</v>
      </c>
      <c r="D224" t="e">
        <f>AND(Bills!#REF!,"AAAAAHu0TwM=")</f>
        <v>#REF!</v>
      </c>
      <c r="E224" t="e">
        <f>AND(Bills!#REF!,"AAAAAHu0TwQ=")</f>
        <v>#REF!</v>
      </c>
      <c r="F224" t="e">
        <f>AND(Bills!#REF!,"AAAAAHu0TwU=")</f>
        <v>#REF!</v>
      </c>
      <c r="G224" t="e">
        <f>AND(Bills!#REF!,"AAAAAHu0TwY=")</f>
        <v>#REF!</v>
      </c>
      <c r="H224" t="e">
        <f>AND(Bills!#REF!,"AAAAAHu0Twc=")</f>
        <v>#REF!</v>
      </c>
      <c r="I224" t="e">
        <f>AND(Bills!#REF!,"AAAAAHu0Twg=")</f>
        <v>#REF!</v>
      </c>
      <c r="J224" t="e">
        <f>AND(Bills!#REF!,"AAAAAHu0Twk=")</f>
        <v>#REF!</v>
      </c>
      <c r="K224" t="e">
        <f>AND(Bills!#REF!,"AAAAAHu0Two=")</f>
        <v>#REF!</v>
      </c>
      <c r="L224" t="e">
        <f>AND(Bills!#REF!,"AAAAAHu0Tws=")</f>
        <v>#REF!</v>
      </c>
      <c r="M224" t="e">
        <f>AND(Bills!AA961,"AAAAAHu0Tww=")</f>
        <v>#VALUE!</v>
      </c>
      <c r="N224" t="e">
        <f>AND(Bills!AB961,"AAAAAHu0Tw0=")</f>
        <v>#VALUE!</v>
      </c>
      <c r="O224" t="e">
        <f>AND(Bills!#REF!,"AAAAAHu0Tw4=")</f>
        <v>#REF!</v>
      </c>
      <c r="P224" t="e">
        <f>AND(Bills!#REF!,"AAAAAHu0Tw8=")</f>
        <v>#REF!</v>
      </c>
      <c r="Q224" t="e">
        <f>AND(Bills!#REF!,"AAAAAHu0TxA=")</f>
        <v>#REF!</v>
      </c>
      <c r="R224" t="e">
        <f>AND(Bills!AC961,"AAAAAHu0TxE=")</f>
        <v>#VALUE!</v>
      </c>
      <c r="S224" t="e">
        <f>AND(Bills!AD961,"AAAAAHu0TxI=")</f>
        <v>#VALUE!</v>
      </c>
      <c r="T224" t="e">
        <f>AND(Bills!AE961,"AAAAAHu0TxM=")</f>
        <v>#VALUE!</v>
      </c>
      <c r="U224">
        <f>IF(Bills!962:962,"AAAAAHu0TxQ=",0)</f>
        <v>0</v>
      </c>
      <c r="V224" t="e">
        <f>AND(Bills!B962,"AAAAAHu0TxU=")</f>
        <v>#VALUE!</v>
      </c>
      <c r="W224" t="e">
        <f>AND(Bills!#REF!,"AAAAAHu0TxY=")</f>
        <v>#REF!</v>
      </c>
      <c r="X224" t="e">
        <f>AND(Bills!C962,"AAAAAHu0Txc=")</f>
        <v>#VALUE!</v>
      </c>
      <c r="Y224" t="e">
        <f>AND(Bills!D962,"AAAAAHu0Txg=")</f>
        <v>#VALUE!</v>
      </c>
      <c r="Z224" t="e">
        <f>AND(Bills!E962,"AAAAAHu0Txk=")</f>
        <v>#VALUE!</v>
      </c>
      <c r="AA224" t="e">
        <f>AND(Bills!#REF!,"AAAAAHu0Txo=")</f>
        <v>#REF!</v>
      </c>
      <c r="AB224" t="e">
        <f>AND(Bills!#REF!,"AAAAAHu0Txs=")</f>
        <v>#REF!</v>
      </c>
      <c r="AC224" t="e">
        <f>AND(Bills!#REF!,"AAAAAHu0Txw=")</f>
        <v>#REF!</v>
      </c>
      <c r="AD224" t="e">
        <f>AND(Bills!F962,"AAAAAHu0Tx0=")</f>
        <v>#VALUE!</v>
      </c>
      <c r="AE224" t="e">
        <f>AND(Bills!#REF!,"AAAAAHu0Tx4=")</f>
        <v>#REF!</v>
      </c>
      <c r="AF224" t="e">
        <f>AND(Bills!G962,"AAAAAHu0Tx8=")</f>
        <v>#VALUE!</v>
      </c>
      <c r="AG224" t="e">
        <f>AND(Bills!H962,"AAAAAHu0TyA=")</f>
        <v>#VALUE!</v>
      </c>
      <c r="AH224" t="e">
        <f>AND(Bills!I962,"AAAAAHu0TyE=")</f>
        <v>#VALUE!</v>
      </c>
      <c r="AI224" t="e">
        <f>AND(Bills!J962,"AAAAAHu0TyI=")</f>
        <v>#VALUE!</v>
      </c>
      <c r="AJ224" t="e">
        <f>AND(Bills!K962,"AAAAAHu0TyM=")</f>
        <v>#VALUE!</v>
      </c>
      <c r="AK224" t="e">
        <f>AND(Bills!L962,"AAAAAHu0TyQ=")</f>
        <v>#VALUE!</v>
      </c>
      <c r="AL224" t="e">
        <f>AND(Bills!#REF!,"AAAAAHu0TyU=")</f>
        <v>#REF!</v>
      </c>
      <c r="AM224" t="e">
        <f>AND(Bills!M962,"AAAAAHu0TyY=")</f>
        <v>#VALUE!</v>
      </c>
      <c r="AN224" t="e">
        <f>AND(Bills!N962,"AAAAAHu0Tyc=")</f>
        <v>#VALUE!</v>
      </c>
      <c r="AO224" t="e">
        <f>AND(Bills!O962,"AAAAAHu0Tyg=")</f>
        <v>#VALUE!</v>
      </c>
      <c r="AP224" t="e">
        <f>AND(Bills!P962,"AAAAAHu0Tyk=")</f>
        <v>#VALUE!</v>
      </c>
      <c r="AQ224" t="e">
        <f>AND(Bills!Q962,"AAAAAHu0Tyo=")</f>
        <v>#VALUE!</v>
      </c>
      <c r="AR224" t="e">
        <f>AND(Bills!R962,"AAAAAHu0Tys=")</f>
        <v>#VALUE!</v>
      </c>
      <c r="AS224" t="e">
        <f>AND(Bills!S962,"AAAAAHu0Tyw=")</f>
        <v>#VALUE!</v>
      </c>
      <c r="AT224" t="e">
        <f>AND(Bills!T962,"AAAAAHu0Ty0=")</f>
        <v>#VALUE!</v>
      </c>
      <c r="AU224" t="e">
        <f>AND(Bills!#REF!,"AAAAAHu0Ty4=")</f>
        <v>#REF!</v>
      </c>
      <c r="AV224" t="e">
        <f>AND(Bills!U962,"AAAAAHu0Ty8=")</f>
        <v>#VALUE!</v>
      </c>
      <c r="AW224" t="e">
        <f>AND(Bills!V962,"AAAAAHu0TzA=")</f>
        <v>#VALUE!</v>
      </c>
      <c r="AX224" t="e">
        <f>AND(Bills!W962,"AAAAAHu0TzE=")</f>
        <v>#VALUE!</v>
      </c>
      <c r="AY224" t="e">
        <f>AND(Bills!#REF!,"AAAAAHu0TzI=")</f>
        <v>#REF!</v>
      </c>
      <c r="AZ224" t="e">
        <f>AND(Bills!#REF!,"AAAAAHu0TzM=")</f>
        <v>#REF!</v>
      </c>
      <c r="BA224" t="e">
        <f>AND(Bills!Y962,"AAAAAHu0TzQ=")</f>
        <v>#VALUE!</v>
      </c>
      <c r="BB224" t="e">
        <f>AND(Bills!Z962,"AAAAAHu0TzU=")</f>
        <v>#VALUE!</v>
      </c>
      <c r="BC224" t="e">
        <f>AND(Bills!#REF!,"AAAAAHu0TzY=")</f>
        <v>#REF!</v>
      </c>
      <c r="BD224" t="e">
        <f>AND(Bills!#REF!,"AAAAAHu0Tzc=")</f>
        <v>#REF!</v>
      </c>
      <c r="BE224" t="e">
        <f>AND(Bills!#REF!,"AAAAAHu0Tzg=")</f>
        <v>#REF!</v>
      </c>
      <c r="BF224" t="e">
        <f>AND(Bills!#REF!,"AAAAAHu0Tzk=")</f>
        <v>#REF!</v>
      </c>
      <c r="BG224" t="e">
        <f>AND(Bills!#REF!,"AAAAAHu0Tzo=")</f>
        <v>#REF!</v>
      </c>
      <c r="BH224" t="e">
        <f>AND(Bills!#REF!,"AAAAAHu0Tzs=")</f>
        <v>#REF!</v>
      </c>
      <c r="BI224" t="e">
        <f>AND(Bills!#REF!,"AAAAAHu0Tzw=")</f>
        <v>#REF!</v>
      </c>
      <c r="BJ224" t="e">
        <f>AND(Bills!#REF!,"AAAAAHu0Tz0=")</f>
        <v>#REF!</v>
      </c>
      <c r="BK224" t="e">
        <f>AND(Bills!#REF!,"AAAAAHu0Tz4=")</f>
        <v>#REF!</v>
      </c>
      <c r="BL224" t="e">
        <f>AND(Bills!AA962,"AAAAAHu0Tz8=")</f>
        <v>#VALUE!</v>
      </c>
      <c r="BM224" t="e">
        <f>AND(Bills!AB962,"AAAAAHu0T0A=")</f>
        <v>#VALUE!</v>
      </c>
      <c r="BN224" t="e">
        <f>AND(Bills!#REF!,"AAAAAHu0T0E=")</f>
        <v>#REF!</v>
      </c>
      <c r="BO224" t="e">
        <f>AND(Bills!#REF!,"AAAAAHu0T0I=")</f>
        <v>#REF!</v>
      </c>
      <c r="BP224" t="e">
        <f>AND(Bills!#REF!,"AAAAAHu0T0M=")</f>
        <v>#REF!</v>
      </c>
      <c r="BQ224" t="e">
        <f>AND(Bills!AC962,"AAAAAHu0T0Q=")</f>
        <v>#VALUE!</v>
      </c>
      <c r="BR224" t="e">
        <f>AND(Bills!AD962,"AAAAAHu0T0U=")</f>
        <v>#VALUE!</v>
      </c>
      <c r="BS224" t="e">
        <f>AND(Bills!AE962,"AAAAAHu0T0Y=")</f>
        <v>#VALUE!</v>
      </c>
      <c r="BT224">
        <f>IF(Bills!963:963,"AAAAAHu0T0c=",0)</f>
        <v>0</v>
      </c>
      <c r="BU224" t="e">
        <f>AND(Bills!B963,"AAAAAHu0T0g=")</f>
        <v>#VALUE!</v>
      </c>
      <c r="BV224" t="e">
        <f>AND(Bills!#REF!,"AAAAAHu0T0k=")</f>
        <v>#REF!</v>
      </c>
      <c r="BW224" t="e">
        <f>AND(Bills!C963,"AAAAAHu0T0o=")</f>
        <v>#VALUE!</v>
      </c>
      <c r="BX224" t="e">
        <f>AND(Bills!D963,"AAAAAHu0T0s=")</f>
        <v>#VALUE!</v>
      </c>
      <c r="BY224" t="e">
        <f>AND(Bills!E963,"AAAAAHu0T0w=")</f>
        <v>#VALUE!</v>
      </c>
      <c r="BZ224" t="e">
        <f>AND(Bills!#REF!,"AAAAAHu0T00=")</f>
        <v>#REF!</v>
      </c>
      <c r="CA224" t="e">
        <f>AND(Bills!#REF!,"AAAAAHu0T04=")</f>
        <v>#REF!</v>
      </c>
      <c r="CB224" t="e">
        <f>AND(Bills!#REF!,"AAAAAHu0T08=")</f>
        <v>#REF!</v>
      </c>
      <c r="CC224" t="e">
        <f>AND(Bills!F963,"AAAAAHu0T1A=")</f>
        <v>#VALUE!</v>
      </c>
      <c r="CD224" t="e">
        <f>AND(Bills!#REF!,"AAAAAHu0T1E=")</f>
        <v>#REF!</v>
      </c>
      <c r="CE224" t="e">
        <f>AND(Bills!G963,"AAAAAHu0T1I=")</f>
        <v>#VALUE!</v>
      </c>
      <c r="CF224" t="e">
        <f>AND(Bills!H963,"AAAAAHu0T1M=")</f>
        <v>#VALUE!</v>
      </c>
      <c r="CG224" t="e">
        <f>AND(Bills!I963,"AAAAAHu0T1Q=")</f>
        <v>#VALUE!</v>
      </c>
      <c r="CH224" t="e">
        <f>AND(Bills!J963,"AAAAAHu0T1U=")</f>
        <v>#VALUE!</v>
      </c>
      <c r="CI224" t="e">
        <f>AND(Bills!K963,"AAAAAHu0T1Y=")</f>
        <v>#VALUE!</v>
      </c>
      <c r="CJ224" t="e">
        <f>AND(Bills!L963,"AAAAAHu0T1c=")</f>
        <v>#VALUE!</v>
      </c>
      <c r="CK224" t="e">
        <f>AND(Bills!#REF!,"AAAAAHu0T1g=")</f>
        <v>#REF!</v>
      </c>
      <c r="CL224" t="e">
        <f>AND(Bills!M963,"AAAAAHu0T1k=")</f>
        <v>#VALUE!</v>
      </c>
      <c r="CM224" t="e">
        <f>AND(Bills!N963,"AAAAAHu0T1o=")</f>
        <v>#VALUE!</v>
      </c>
      <c r="CN224" t="e">
        <f>AND(Bills!O963,"AAAAAHu0T1s=")</f>
        <v>#VALUE!</v>
      </c>
      <c r="CO224" t="e">
        <f>AND(Bills!P963,"AAAAAHu0T1w=")</f>
        <v>#VALUE!</v>
      </c>
      <c r="CP224" t="e">
        <f>AND(Bills!Q963,"AAAAAHu0T10=")</f>
        <v>#VALUE!</v>
      </c>
      <c r="CQ224" t="e">
        <f>AND(Bills!R963,"AAAAAHu0T14=")</f>
        <v>#VALUE!</v>
      </c>
      <c r="CR224" t="e">
        <f>AND(Bills!S963,"AAAAAHu0T18=")</f>
        <v>#VALUE!</v>
      </c>
      <c r="CS224" t="e">
        <f>AND(Bills!T963,"AAAAAHu0T2A=")</f>
        <v>#VALUE!</v>
      </c>
      <c r="CT224" t="e">
        <f>AND(Bills!#REF!,"AAAAAHu0T2E=")</f>
        <v>#REF!</v>
      </c>
      <c r="CU224" t="e">
        <f>AND(Bills!U963,"AAAAAHu0T2I=")</f>
        <v>#VALUE!</v>
      </c>
      <c r="CV224" t="e">
        <f>AND(Bills!V963,"AAAAAHu0T2M=")</f>
        <v>#VALUE!</v>
      </c>
      <c r="CW224" t="e">
        <f>AND(Bills!W963,"AAAAAHu0T2Q=")</f>
        <v>#VALUE!</v>
      </c>
      <c r="CX224" t="e">
        <f>AND(Bills!#REF!,"AAAAAHu0T2U=")</f>
        <v>#REF!</v>
      </c>
      <c r="CY224" t="e">
        <f>AND(Bills!#REF!,"AAAAAHu0T2Y=")</f>
        <v>#REF!</v>
      </c>
      <c r="CZ224" t="e">
        <f>AND(Bills!Y963,"AAAAAHu0T2c=")</f>
        <v>#VALUE!</v>
      </c>
      <c r="DA224" t="e">
        <f>AND(Bills!Z963,"AAAAAHu0T2g=")</f>
        <v>#VALUE!</v>
      </c>
      <c r="DB224" t="e">
        <f>AND(Bills!#REF!,"AAAAAHu0T2k=")</f>
        <v>#REF!</v>
      </c>
      <c r="DC224" t="e">
        <f>AND(Bills!#REF!,"AAAAAHu0T2o=")</f>
        <v>#REF!</v>
      </c>
      <c r="DD224" t="e">
        <f>AND(Bills!#REF!,"AAAAAHu0T2s=")</f>
        <v>#REF!</v>
      </c>
      <c r="DE224" t="e">
        <f>AND(Bills!#REF!,"AAAAAHu0T2w=")</f>
        <v>#REF!</v>
      </c>
      <c r="DF224" t="e">
        <f>AND(Bills!#REF!,"AAAAAHu0T20=")</f>
        <v>#REF!</v>
      </c>
      <c r="DG224" t="e">
        <f>AND(Bills!#REF!,"AAAAAHu0T24=")</f>
        <v>#REF!</v>
      </c>
      <c r="DH224" t="e">
        <f>AND(Bills!#REF!,"AAAAAHu0T28=")</f>
        <v>#REF!</v>
      </c>
      <c r="DI224" t="e">
        <f>AND(Bills!#REF!,"AAAAAHu0T3A=")</f>
        <v>#REF!</v>
      </c>
      <c r="DJ224" t="e">
        <f>AND(Bills!#REF!,"AAAAAHu0T3E=")</f>
        <v>#REF!</v>
      </c>
      <c r="DK224" t="e">
        <f>AND(Bills!AA963,"AAAAAHu0T3I=")</f>
        <v>#VALUE!</v>
      </c>
      <c r="DL224" t="e">
        <f>AND(Bills!AB963,"AAAAAHu0T3M=")</f>
        <v>#VALUE!</v>
      </c>
      <c r="DM224" t="e">
        <f>AND(Bills!#REF!,"AAAAAHu0T3Q=")</f>
        <v>#REF!</v>
      </c>
      <c r="DN224" t="e">
        <f>AND(Bills!#REF!,"AAAAAHu0T3U=")</f>
        <v>#REF!</v>
      </c>
      <c r="DO224" t="e">
        <f>AND(Bills!#REF!,"AAAAAHu0T3Y=")</f>
        <v>#REF!</v>
      </c>
      <c r="DP224" t="e">
        <f>AND(Bills!AC963,"AAAAAHu0T3c=")</f>
        <v>#VALUE!</v>
      </c>
      <c r="DQ224" t="e">
        <f>AND(Bills!AD963,"AAAAAHu0T3g=")</f>
        <v>#VALUE!</v>
      </c>
      <c r="DR224" t="e">
        <f>AND(Bills!AE963,"AAAAAHu0T3k=")</f>
        <v>#VALUE!</v>
      </c>
      <c r="DS224">
        <f>IF(Bills!964:964,"AAAAAHu0T3o=",0)</f>
        <v>0</v>
      </c>
      <c r="DT224" t="e">
        <f>AND(Bills!B964,"AAAAAHu0T3s=")</f>
        <v>#VALUE!</v>
      </c>
      <c r="DU224" t="e">
        <f>AND(Bills!#REF!,"AAAAAHu0T3w=")</f>
        <v>#REF!</v>
      </c>
      <c r="DV224" t="e">
        <f>AND(Bills!C964,"AAAAAHu0T30=")</f>
        <v>#VALUE!</v>
      </c>
      <c r="DW224" t="e">
        <f>AND(Bills!D964,"AAAAAHu0T34=")</f>
        <v>#VALUE!</v>
      </c>
      <c r="DX224" t="e">
        <f>AND(Bills!E964,"AAAAAHu0T38=")</f>
        <v>#VALUE!</v>
      </c>
      <c r="DY224" t="e">
        <f>AND(Bills!#REF!,"AAAAAHu0T4A=")</f>
        <v>#REF!</v>
      </c>
      <c r="DZ224" t="e">
        <f>AND(Bills!#REF!,"AAAAAHu0T4E=")</f>
        <v>#REF!</v>
      </c>
      <c r="EA224" t="e">
        <f>AND(Bills!#REF!,"AAAAAHu0T4I=")</f>
        <v>#REF!</v>
      </c>
      <c r="EB224" t="e">
        <f>AND(Bills!F964,"AAAAAHu0T4M=")</f>
        <v>#VALUE!</v>
      </c>
      <c r="EC224" t="e">
        <f>AND(Bills!#REF!,"AAAAAHu0T4Q=")</f>
        <v>#REF!</v>
      </c>
      <c r="ED224" t="e">
        <f>AND(Bills!G964,"AAAAAHu0T4U=")</f>
        <v>#VALUE!</v>
      </c>
      <c r="EE224" t="e">
        <f>AND(Bills!H964,"AAAAAHu0T4Y=")</f>
        <v>#VALUE!</v>
      </c>
      <c r="EF224" t="e">
        <f>AND(Bills!I964,"AAAAAHu0T4c=")</f>
        <v>#VALUE!</v>
      </c>
      <c r="EG224" t="e">
        <f>AND(Bills!J964,"AAAAAHu0T4g=")</f>
        <v>#VALUE!</v>
      </c>
      <c r="EH224" t="e">
        <f>AND(Bills!K964,"AAAAAHu0T4k=")</f>
        <v>#VALUE!</v>
      </c>
      <c r="EI224" t="e">
        <f>AND(Bills!L964,"AAAAAHu0T4o=")</f>
        <v>#VALUE!</v>
      </c>
      <c r="EJ224" t="e">
        <f>AND(Bills!#REF!,"AAAAAHu0T4s=")</f>
        <v>#REF!</v>
      </c>
      <c r="EK224" t="e">
        <f>AND(Bills!M964,"AAAAAHu0T4w=")</f>
        <v>#VALUE!</v>
      </c>
      <c r="EL224" t="e">
        <f>AND(Bills!N964,"AAAAAHu0T40=")</f>
        <v>#VALUE!</v>
      </c>
      <c r="EM224" t="e">
        <f>AND(Bills!O964,"AAAAAHu0T44=")</f>
        <v>#VALUE!</v>
      </c>
      <c r="EN224" t="e">
        <f>AND(Bills!P964,"AAAAAHu0T48=")</f>
        <v>#VALUE!</v>
      </c>
      <c r="EO224" t="e">
        <f>AND(Bills!Q964,"AAAAAHu0T5A=")</f>
        <v>#VALUE!</v>
      </c>
      <c r="EP224" t="e">
        <f>AND(Bills!R964,"AAAAAHu0T5E=")</f>
        <v>#VALUE!</v>
      </c>
      <c r="EQ224" t="e">
        <f>AND(Bills!S964,"AAAAAHu0T5I=")</f>
        <v>#VALUE!</v>
      </c>
      <c r="ER224" t="e">
        <f>AND(Bills!T964,"AAAAAHu0T5M=")</f>
        <v>#VALUE!</v>
      </c>
      <c r="ES224" t="e">
        <f>AND(Bills!#REF!,"AAAAAHu0T5Q=")</f>
        <v>#REF!</v>
      </c>
      <c r="ET224" t="e">
        <f>AND(Bills!U964,"AAAAAHu0T5U=")</f>
        <v>#VALUE!</v>
      </c>
      <c r="EU224" t="e">
        <f>AND(Bills!V964,"AAAAAHu0T5Y=")</f>
        <v>#VALUE!</v>
      </c>
      <c r="EV224" t="e">
        <f>AND(Bills!W964,"AAAAAHu0T5c=")</f>
        <v>#VALUE!</v>
      </c>
      <c r="EW224" t="e">
        <f>AND(Bills!#REF!,"AAAAAHu0T5g=")</f>
        <v>#REF!</v>
      </c>
      <c r="EX224" t="e">
        <f>AND(Bills!#REF!,"AAAAAHu0T5k=")</f>
        <v>#REF!</v>
      </c>
      <c r="EY224" t="e">
        <f>AND(Bills!Y964,"AAAAAHu0T5o=")</f>
        <v>#VALUE!</v>
      </c>
      <c r="EZ224" t="e">
        <f>AND(Bills!Z964,"AAAAAHu0T5s=")</f>
        <v>#VALUE!</v>
      </c>
      <c r="FA224" t="e">
        <f>AND(Bills!#REF!,"AAAAAHu0T5w=")</f>
        <v>#REF!</v>
      </c>
      <c r="FB224" t="e">
        <f>AND(Bills!#REF!,"AAAAAHu0T50=")</f>
        <v>#REF!</v>
      </c>
      <c r="FC224" t="e">
        <f>AND(Bills!#REF!,"AAAAAHu0T54=")</f>
        <v>#REF!</v>
      </c>
      <c r="FD224" t="e">
        <f>AND(Bills!#REF!,"AAAAAHu0T58=")</f>
        <v>#REF!</v>
      </c>
      <c r="FE224" t="e">
        <f>AND(Bills!#REF!,"AAAAAHu0T6A=")</f>
        <v>#REF!</v>
      </c>
      <c r="FF224" t="e">
        <f>AND(Bills!#REF!,"AAAAAHu0T6E=")</f>
        <v>#REF!</v>
      </c>
      <c r="FG224" t="e">
        <f>AND(Bills!#REF!,"AAAAAHu0T6I=")</f>
        <v>#REF!</v>
      </c>
      <c r="FH224" t="e">
        <f>AND(Bills!#REF!,"AAAAAHu0T6M=")</f>
        <v>#REF!</v>
      </c>
      <c r="FI224" t="e">
        <f>AND(Bills!#REF!,"AAAAAHu0T6Q=")</f>
        <v>#REF!</v>
      </c>
      <c r="FJ224" t="e">
        <f>AND(Bills!AA964,"AAAAAHu0T6U=")</f>
        <v>#VALUE!</v>
      </c>
      <c r="FK224" t="e">
        <f>AND(Bills!AB964,"AAAAAHu0T6Y=")</f>
        <v>#VALUE!</v>
      </c>
      <c r="FL224" t="e">
        <f>AND(Bills!#REF!,"AAAAAHu0T6c=")</f>
        <v>#REF!</v>
      </c>
      <c r="FM224" t="e">
        <f>AND(Bills!#REF!,"AAAAAHu0T6g=")</f>
        <v>#REF!</v>
      </c>
      <c r="FN224" t="e">
        <f>AND(Bills!#REF!,"AAAAAHu0T6k=")</f>
        <v>#REF!</v>
      </c>
      <c r="FO224" t="e">
        <f>AND(Bills!AC964,"AAAAAHu0T6o=")</f>
        <v>#VALUE!</v>
      </c>
      <c r="FP224" t="e">
        <f>AND(Bills!AD964,"AAAAAHu0T6s=")</f>
        <v>#VALUE!</v>
      </c>
      <c r="FQ224" t="e">
        <f>AND(Bills!AE964,"AAAAAHu0T6w=")</f>
        <v>#VALUE!</v>
      </c>
      <c r="FR224">
        <f>IF(Bills!965:965,"AAAAAHu0T60=",0)</f>
        <v>0</v>
      </c>
      <c r="FS224" t="e">
        <f>AND(Bills!B965,"AAAAAHu0T64=")</f>
        <v>#VALUE!</v>
      </c>
      <c r="FT224" t="e">
        <f>AND(Bills!#REF!,"AAAAAHu0T68=")</f>
        <v>#REF!</v>
      </c>
      <c r="FU224" t="e">
        <f>AND(Bills!C965,"AAAAAHu0T7A=")</f>
        <v>#VALUE!</v>
      </c>
      <c r="FV224" t="e">
        <f>AND(Bills!D965,"AAAAAHu0T7E=")</f>
        <v>#VALUE!</v>
      </c>
      <c r="FW224" t="e">
        <f>AND(Bills!E965,"AAAAAHu0T7I=")</f>
        <v>#VALUE!</v>
      </c>
      <c r="FX224" t="e">
        <f>AND(Bills!#REF!,"AAAAAHu0T7M=")</f>
        <v>#REF!</v>
      </c>
      <c r="FY224" t="e">
        <f>AND(Bills!#REF!,"AAAAAHu0T7Q=")</f>
        <v>#REF!</v>
      </c>
      <c r="FZ224" t="e">
        <f>AND(Bills!#REF!,"AAAAAHu0T7U=")</f>
        <v>#REF!</v>
      </c>
      <c r="GA224" t="e">
        <f>AND(Bills!F965,"AAAAAHu0T7Y=")</f>
        <v>#VALUE!</v>
      </c>
      <c r="GB224" t="e">
        <f>AND(Bills!#REF!,"AAAAAHu0T7c=")</f>
        <v>#REF!</v>
      </c>
      <c r="GC224" t="e">
        <f>AND(Bills!G965,"AAAAAHu0T7g=")</f>
        <v>#VALUE!</v>
      </c>
      <c r="GD224" t="e">
        <f>AND(Bills!H965,"AAAAAHu0T7k=")</f>
        <v>#VALUE!</v>
      </c>
      <c r="GE224" t="e">
        <f>AND(Bills!I965,"AAAAAHu0T7o=")</f>
        <v>#VALUE!</v>
      </c>
      <c r="GF224" t="e">
        <f>AND(Bills!J965,"AAAAAHu0T7s=")</f>
        <v>#VALUE!</v>
      </c>
      <c r="GG224" t="e">
        <f>AND(Bills!K965,"AAAAAHu0T7w=")</f>
        <v>#VALUE!</v>
      </c>
      <c r="GH224" t="e">
        <f>AND(Bills!L965,"AAAAAHu0T70=")</f>
        <v>#VALUE!</v>
      </c>
      <c r="GI224" t="e">
        <f>AND(Bills!#REF!,"AAAAAHu0T74=")</f>
        <v>#REF!</v>
      </c>
      <c r="GJ224" t="e">
        <f>AND(Bills!M965,"AAAAAHu0T78=")</f>
        <v>#VALUE!</v>
      </c>
      <c r="GK224" t="e">
        <f>AND(Bills!N965,"AAAAAHu0T8A=")</f>
        <v>#VALUE!</v>
      </c>
      <c r="GL224" t="e">
        <f>AND(Bills!O965,"AAAAAHu0T8E=")</f>
        <v>#VALUE!</v>
      </c>
      <c r="GM224" t="e">
        <f>AND(Bills!P965,"AAAAAHu0T8I=")</f>
        <v>#VALUE!</v>
      </c>
      <c r="GN224" t="e">
        <f>AND(Bills!Q965,"AAAAAHu0T8M=")</f>
        <v>#VALUE!</v>
      </c>
      <c r="GO224" t="e">
        <f>AND(Bills!R965,"AAAAAHu0T8Q=")</f>
        <v>#VALUE!</v>
      </c>
      <c r="GP224" t="e">
        <f>AND(Bills!S965,"AAAAAHu0T8U=")</f>
        <v>#VALUE!</v>
      </c>
      <c r="GQ224" t="e">
        <f>AND(Bills!T965,"AAAAAHu0T8Y=")</f>
        <v>#VALUE!</v>
      </c>
      <c r="GR224" t="e">
        <f>AND(Bills!#REF!,"AAAAAHu0T8c=")</f>
        <v>#REF!</v>
      </c>
      <c r="GS224" t="e">
        <f>AND(Bills!U965,"AAAAAHu0T8g=")</f>
        <v>#VALUE!</v>
      </c>
      <c r="GT224" t="e">
        <f>AND(Bills!V965,"AAAAAHu0T8k=")</f>
        <v>#VALUE!</v>
      </c>
      <c r="GU224" t="e">
        <f>AND(Bills!W965,"AAAAAHu0T8o=")</f>
        <v>#VALUE!</v>
      </c>
      <c r="GV224" t="e">
        <f>AND(Bills!#REF!,"AAAAAHu0T8s=")</f>
        <v>#REF!</v>
      </c>
      <c r="GW224" t="e">
        <f>AND(Bills!#REF!,"AAAAAHu0T8w=")</f>
        <v>#REF!</v>
      </c>
      <c r="GX224" t="e">
        <f>AND(Bills!Y965,"AAAAAHu0T80=")</f>
        <v>#VALUE!</v>
      </c>
      <c r="GY224" t="e">
        <f>AND(Bills!Z965,"AAAAAHu0T84=")</f>
        <v>#VALUE!</v>
      </c>
      <c r="GZ224" t="e">
        <f>AND(Bills!#REF!,"AAAAAHu0T88=")</f>
        <v>#REF!</v>
      </c>
      <c r="HA224" t="e">
        <f>AND(Bills!#REF!,"AAAAAHu0T9A=")</f>
        <v>#REF!</v>
      </c>
      <c r="HB224" t="e">
        <f>AND(Bills!#REF!,"AAAAAHu0T9E=")</f>
        <v>#REF!</v>
      </c>
      <c r="HC224" t="e">
        <f>AND(Bills!#REF!,"AAAAAHu0T9I=")</f>
        <v>#REF!</v>
      </c>
      <c r="HD224" t="e">
        <f>AND(Bills!#REF!,"AAAAAHu0T9M=")</f>
        <v>#REF!</v>
      </c>
      <c r="HE224" t="e">
        <f>AND(Bills!#REF!,"AAAAAHu0T9Q=")</f>
        <v>#REF!</v>
      </c>
      <c r="HF224" t="e">
        <f>AND(Bills!#REF!,"AAAAAHu0T9U=")</f>
        <v>#REF!</v>
      </c>
      <c r="HG224" t="e">
        <f>AND(Bills!#REF!,"AAAAAHu0T9Y=")</f>
        <v>#REF!</v>
      </c>
      <c r="HH224" t="e">
        <f>AND(Bills!#REF!,"AAAAAHu0T9c=")</f>
        <v>#REF!</v>
      </c>
      <c r="HI224" t="e">
        <f>AND(Bills!AA965,"AAAAAHu0T9g=")</f>
        <v>#VALUE!</v>
      </c>
      <c r="HJ224" t="e">
        <f>AND(Bills!AB965,"AAAAAHu0T9k=")</f>
        <v>#VALUE!</v>
      </c>
      <c r="HK224" t="e">
        <f>AND(Bills!#REF!,"AAAAAHu0T9o=")</f>
        <v>#REF!</v>
      </c>
      <c r="HL224" t="e">
        <f>AND(Bills!#REF!,"AAAAAHu0T9s=")</f>
        <v>#REF!</v>
      </c>
      <c r="HM224" t="e">
        <f>AND(Bills!#REF!,"AAAAAHu0T9w=")</f>
        <v>#REF!</v>
      </c>
      <c r="HN224" t="e">
        <f>AND(Bills!AC965,"AAAAAHu0T90=")</f>
        <v>#VALUE!</v>
      </c>
      <c r="HO224" t="e">
        <f>AND(Bills!AD965,"AAAAAHu0T94=")</f>
        <v>#VALUE!</v>
      </c>
      <c r="HP224" t="e">
        <f>AND(Bills!AE965,"AAAAAHu0T98=")</f>
        <v>#VALUE!</v>
      </c>
      <c r="HQ224">
        <f>IF(Bills!966:966,"AAAAAHu0T+A=",0)</f>
        <v>0</v>
      </c>
      <c r="HR224" t="e">
        <f>AND(Bills!B966,"AAAAAHu0T+E=")</f>
        <v>#VALUE!</v>
      </c>
      <c r="HS224" t="e">
        <f>AND(Bills!#REF!,"AAAAAHu0T+I=")</f>
        <v>#REF!</v>
      </c>
      <c r="HT224" t="e">
        <f>AND(Bills!C966,"AAAAAHu0T+M=")</f>
        <v>#VALUE!</v>
      </c>
      <c r="HU224" t="e">
        <f>AND(Bills!D966,"AAAAAHu0T+Q=")</f>
        <v>#VALUE!</v>
      </c>
      <c r="HV224" t="e">
        <f>AND(Bills!E966,"AAAAAHu0T+U=")</f>
        <v>#VALUE!</v>
      </c>
      <c r="HW224" t="e">
        <f>AND(Bills!#REF!,"AAAAAHu0T+Y=")</f>
        <v>#REF!</v>
      </c>
      <c r="HX224" t="e">
        <f>AND(Bills!#REF!,"AAAAAHu0T+c=")</f>
        <v>#REF!</v>
      </c>
      <c r="HY224" t="e">
        <f>AND(Bills!#REF!,"AAAAAHu0T+g=")</f>
        <v>#REF!</v>
      </c>
      <c r="HZ224" t="e">
        <f>AND(Bills!F966,"AAAAAHu0T+k=")</f>
        <v>#VALUE!</v>
      </c>
      <c r="IA224" t="e">
        <f>AND(Bills!#REF!,"AAAAAHu0T+o=")</f>
        <v>#REF!</v>
      </c>
      <c r="IB224" t="e">
        <f>AND(Bills!G966,"AAAAAHu0T+s=")</f>
        <v>#VALUE!</v>
      </c>
      <c r="IC224" t="e">
        <f>AND(Bills!H966,"AAAAAHu0T+w=")</f>
        <v>#VALUE!</v>
      </c>
      <c r="ID224" t="e">
        <f>AND(Bills!I966,"AAAAAHu0T+0=")</f>
        <v>#VALUE!</v>
      </c>
      <c r="IE224" t="e">
        <f>AND(Bills!J966,"AAAAAHu0T+4=")</f>
        <v>#VALUE!</v>
      </c>
      <c r="IF224" t="e">
        <f>AND(Bills!K966,"AAAAAHu0T+8=")</f>
        <v>#VALUE!</v>
      </c>
      <c r="IG224" t="e">
        <f>AND(Bills!L966,"AAAAAHu0T/A=")</f>
        <v>#VALUE!</v>
      </c>
      <c r="IH224" t="e">
        <f>AND(Bills!#REF!,"AAAAAHu0T/E=")</f>
        <v>#REF!</v>
      </c>
      <c r="II224" t="e">
        <f>AND(Bills!M966,"AAAAAHu0T/I=")</f>
        <v>#VALUE!</v>
      </c>
      <c r="IJ224" t="e">
        <f>AND(Bills!N966,"AAAAAHu0T/M=")</f>
        <v>#VALUE!</v>
      </c>
      <c r="IK224" t="e">
        <f>AND(Bills!O966,"AAAAAHu0T/Q=")</f>
        <v>#VALUE!</v>
      </c>
      <c r="IL224" t="e">
        <f>AND(Bills!P966,"AAAAAHu0T/U=")</f>
        <v>#VALUE!</v>
      </c>
      <c r="IM224" t="e">
        <f>AND(Bills!Q966,"AAAAAHu0T/Y=")</f>
        <v>#VALUE!</v>
      </c>
      <c r="IN224" t="e">
        <f>AND(Bills!R966,"AAAAAHu0T/c=")</f>
        <v>#VALUE!</v>
      </c>
      <c r="IO224" t="e">
        <f>AND(Bills!S966,"AAAAAHu0T/g=")</f>
        <v>#VALUE!</v>
      </c>
      <c r="IP224" t="e">
        <f>AND(Bills!T966,"AAAAAHu0T/k=")</f>
        <v>#VALUE!</v>
      </c>
      <c r="IQ224" t="e">
        <f>AND(Bills!#REF!,"AAAAAHu0T/o=")</f>
        <v>#REF!</v>
      </c>
      <c r="IR224" t="e">
        <f>AND(Bills!U966,"AAAAAHu0T/s=")</f>
        <v>#VALUE!</v>
      </c>
      <c r="IS224" t="e">
        <f>AND(Bills!V966,"AAAAAHu0T/w=")</f>
        <v>#VALUE!</v>
      </c>
      <c r="IT224" t="e">
        <f>AND(Bills!W966,"AAAAAHu0T/0=")</f>
        <v>#VALUE!</v>
      </c>
      <c r="IU224" t="e">
        <f>AND(Bills!#REF!,"AAAAAHu0T/4=")</f>
        <v>#REF!</v>
      </c>
      <c r="IV224" t="e">
        <f>AND(Bills!#REF!,"AAAAAHu0T/8=")</f>
        <v>#REF!</v>
      </c>
    </row>
    <row r="225" spans="1:256" x14ac:dyDescent="0.25">
      <c r="A225" t="e">
        <f>AND(Bills!Y966,"AAAAAG2+7gA=")</f>
        <v>#VALUE!</v>
      </c>
      <c r="B225" t="e">
        <f>AND(Bills!Z966,"AAAAAG2+7gE=")</f>
        <v>#VALUE!</v>
      </c>
      <c r="C225" t="e">
        <f>AND(Bills!#REF!,"AAAAAG2+7gI=")</f>
        <v>#REF!</v>
      </c>
      <c r="D225" t="e">
        <f>AND(Bills!#REF!,"AAAAAG2+7gM=")</f>
        <v>#REF!</v>
      </c>
      <c r="E225" t="e">
        <f>AND(Bills!#REF!,"AAAAAG2+7gQ=")</f>
        <v>#REF!</v>
      </c>
      <c r="F225" t="e">
        <f>AND(Bills!#REF!,"AAAAAG2+7gU=")</f>
        <v>#REF!</v>
      </c>
      <c r="G225" t="e">
        <f>AND(Bills!#REF!,"AAAAAG2+7gY=")</f>
        <v>#REF!</v>
      </c>
      <c r="H225" t="e">
        <f>AND(Bills!#REF!,"AAAAAG2+7gc=")</f>
        <v>#REF!</v>
      </c>
      <c r="I225" t="e">
        <f>AND(Bills!#REF!,"AAAAAG2+7gg=")</f>
        <v>#REF!</v>
      </c>
      <c r="J225" t="e">
        <f>AND(Bills!#REF!,"AAAAAG2+7gk=")</f>
        <v>#REF!</v>
      </c>
      <c r="K225" t="e">
        <f>AND(Bills!#REF!,"AAAAAG2+7go=")</f>
        <v>#REF!</v>
      </c>
      <c r="L225" t="e">
        <f>AND(Bills!AA966,"AAAAAG2+7gs=")</f>
        <v>#VALUE!</v>
      </c>
      <c r="M225" t="e">
        <f>AND(Bills!AB966,"AAAAAG2+7gw=")</f>
        <v>#VALUE!</v>
      </c>
      <c r="N225" t="e">
        <f>AND(Bills!#REF!,"AAAAAG2+7g0=")</f>
        <v>#REF!</v>
      </c>
      <c r="O225" t="e">
        <f>AND(Bills!#REF!,"AAAAAG2+7g4=")</f>
        <v>#REF!</v>
      </c>
      <c r="P225" t="e">
        <f>AND(Bills!#REF!,"AAAAAG2+7g8=")</f>
        <v>#REF!</v>
      </c>
      <c r="Q225" t="e">
        <f>AND(Bills!AC966,"AAAAAG2+7hA=")</f>
        <v>#VALUE!</v>
      </c>
      <c r="R225" t="e">
        <f>AND(Bills!AD966,"AAAAAG2+7hE=")</f>
        <v>#VALUE!</v>
      </c>
      <c r="S225" t="e">
        <f>AND(Bills!AE966,"AAAAAG2+7hI=")</f>
        <v>#VALUE!</v>
      </c>
      <c r="T225">
        <f>IF(Bills!967:967,"AAAAAG2+7hM=",0)</f>
        <v>0</v>
      </c>
      <c r="U225" t="e">
        <f>AND(Bills!B967,"AAAAAG2+7hQ=")</f>
        <v>#VALUE!</v>
      </c>
      <c r="V225" t="e">
        <f>AND(Bills!#REF!,"AAAAAG2+7hU=")</f>
        <v>#REF!</v>
      </c>
      <c r="W225" t="e">
        <f>AND(Bills!C967,"AAAAAG2+7hY=")</f>
        <v>#VALUE!</v>
      </c>
      <c r="X225" t="e">
        <f>AND(Bills!D967,"AAAAAG2+7hc=")</f>
        <v>#VALUE!</v>
      </c>
      <c r="Y225" t="e">
        <f>AND(Bills!E967,"AAAAAG2+7hg=")</f>
        <v>#VALUE!</v>
      </c>
      <c r="Z225" t="e">
        <f>AND(Bills!#REF!,"AAAAAG2+7hk=")</f>
        <v>#REF!</v>
      </c>
      <c r="AA225" t="e">
        <f>AND(Bills!#REF!,"AAAAAG2+7ho=")</f>
        <v>#REF!</v>
      </c>
      <c r="AB225" t="e">
        <f>AND(Bills!#REF!,"AAAAAG2+7hs=")</f>
        <v>#REF!</v>
      </c>
      <c r="AC225" t="e">
        <f>AND(Bills!F967,"AAAAAG2+7hw=")</f>
        <v>#VALUE!</v>
      </c>
      <c r="AD225" t="e">
        <f>AND(Bills!#REF!,"AAAAAG2+7h0=")</f>
        <v>#REF!</v>
      </c>
      <c r="AE225" t="e">
        <f>AND(Bills!G967,"AAAAAG2+7h4=")</f>
        <v>#VALUE!</v>
      </c>
      <c r="AF225" t="e">
        <f>AND(Bills!H967,"AAAAAG2+7h8=")</f>
        <v>#VALUE!</v>
      </c>
      <c r="AG225" t="e">
        <f>AND(Bills!I967,"AAAAAG2+7iA=")</f>
        <v>#VALUE!</v>
      </c>
      <c r="AH225" t="e">
        <f>AND(Bills!J967,"AAAAAG2+7iE=")</f>
        <v>#VALUE!</v>
      </c>
      <c r="AI225" t="e">
        <f>AND(Bills!K967,"AAAAAG2+7iI=")</f>
        <v>#VALUE!</v>
      </c>
      <c r="AJ225" t="e">
        <f>AND(Bills!L967,"AAAAAG2+7iM=")</f>
        <v>#VALUE!</v>
      </c>
      <c r="AK225" t="e">
        <f>AND(Bills!#REF!,"AAAAAG2+7iQ=")</f>
        <v>#REF!</v>
      </c>
      <c r="AL225" t="e">
        <f>AND(Bills!M967,"AAAAAG2+7iU=")</f>
        <v>#VALUE!</v>
      </c>
      <c r="AM225" t="e">
        <f>AND(Bills!N967,"AAAAAG2+7iY=")</f>
        <v>#VALUE!</v>
      </c>
      <c r="AN225" t="e">
        <f>AND(Bills!O967,"AAAAAG2+7ic=")</f>
        <v>#VALUE!</v>
      </c>
      <c r="AO225" t="e">
        <f>AND(Bills!P967,"AAAAAG2+7ig=")</f>
        <v>#VALUE!</v>
      </c>
      <c r="AP225" t="e">
        <f>AND(Bills!Q967,"AAAAAG2+7ik=")</f>
        <v>#VALUE!</v>
      </c>
      <c r="AQ225" t="e">
        <f>AND(Bills!R967,"AAAAAG2+7io=")</f>
        <v>#VALUE!</v>
      </c>
      <c r="AR225" t="e">
        <f>AND(Bills!S967,"AAAAAG2+7is=")</f>
        <v>#VALUE!</v>
      </c>
      <c r="AS225" t="e">
        <f>AND(Bills!T967,"AAAAAG2+7iw=")</f>
        <v>#VALUE!</v>
      </c>
      <c r="AT225" t="e">
        <f>AND(Bills!#REF!,"AAAAAG2+7i0=")</f>
        <v>#REF!</v>
      </c>
      <c r="AU225" t="e">
        <f>AND(Bills!U967,"AAAAAG2+7i4=")</f>
        <v>#VALUE!</v>
      </c>
      <c r="AV225" t="e">
        <f>AND(Bills!V967,"AAAAAG2+7i8=")</f>
        <v>#VALUE!</v>
      </c>
      <c r="AW225" t="e">
        <f>AND(Bills!W967,"AAAAAG2+7jA=")</f>
        <v>#VALUE!</v>
      </c>
      <c r="AX225" t="e">
        <f>AND(Bills!#REF!,"AAAAAG2+7jE=")</f>
        <v>#REF!</v>
      </c>
      <c r="AY225" t="e">
        <f>AND(Bills!#REF!,"AAAAAG2+7jI=")</f>
        <v>#REF!</v>
      </c>
      <c r="AZ225" t="e">
        <f>AND(Bills!Y967,"AAAAAG2+7jM=")</f>
        <v>#VALUE!</v>
      </c>
      <c r="BA225" t="e">
        <f>AND(Bills!Z967,"AAAAAG2+7jQ=")</f>
        <v>#VALUE!</v>
      </c>
      <c r="BB225" t="e">
        <f>AND(Bills!#REF!,"AAAAAG2+7jU=")</f>
        <v>#REF!</v>
      </c>
      <c r="BC225" t="e">
        <f>AND(Bills!#REF!,"AAAAAG2+7jY=")</f>
        <v>#REF!</v>
      </c>
      <c r="BD225" t="e">
        <f>AND(Bills!#REF!,"AAAAAG2+7jc=")</f>
        <v>#REF!</v>
      </c>
      <c r="BE225" t="e">
        <f>AND(Bills!#REF!,"AAAAAG2+7jg=")</f>
        <v>#REF!</v>
      </c>
      <c r="BF225" t="e">
        <f>AND(Bills!#REF!,"AAAAAG2+7jk=")</f>
        <v>#REF!</v>
      </c>
      <c r="BG225" t="e">
        <f>AND(Bills!#REF!,"AAAAAG2+7jo=")</f>
        <v>#REF!</v>
      </c>
      <c r="BH225" t="e">
        <f>AND(Bills!#REF!,"AAAAAG2+7js=")</f>
        <v>#REF!</v>
      </c>
      <c r="BI225" t="e">
        <f>AND(Bills!#REF!,"AAAAAG2+7jw=")</f>
        <v>#REF!</v>
      </c>
      <c r="BJ225" t="e">
        <f>AND(Bills!#REF!,"AAAAAG2+7j0=")</f>
        <v>#REF!</v>
      </c>
      <c r="BK225" t="e">
        <f>AND(Bills!AA967,"AAAAAG2+7j4=")</f>
        <v>#VALUE!</v>
      </c>
      <c r="BL225" t="e">
        <f>AND(Bills!AB967,"AAAAAG2+7j8=")</f>
        <v>#VALUE!</v>
      </c>
      <c r="BM225" t="e">
        <f>AND(Bills!#REF!,"AAAAAG2+7kA=")</f>
        <v>#REF!</v>
      </c>
      <c r="BN225" t="e">
        <f>AND(Bills!#REF!,"AAAAAG2+7kE=")</f>
        <v>#REF!</v>
      </c>
      <c r="BO225" t="e">
        <f>AND(Bills!#REF!,"AAAAAG2+7kI=")</f>
        <v>#REF!</v>
      </c>
      <c r="BP225" t="e">
        <f>AND(Bills!AC967,"AAAAAG2+7kM=")</f>
        <v>#VALUE!</v>
      </c>
      <c r="BQ225" t="e">
        <f>AND(Bills!AD967,"AAAAAG2+7kQ=")</f>
        <v>#VALUE!</v>
      </c>
      <c r="BR225" t="e">
        <f>AND(Bills!AE967,"AAAAAG2+7kU=")</f>
        <v>#VALUE!</v>
      </c>
      <c r="BS225">
        <f>IF(Bills!968:968,"AAAAAG2+7kY=",0)</f>
        <v>0</v>
      </c>
      <c r="BT225" t="e">
        <f>AND(Bills!B968,"AAAAAG2+7kc=")</f>
        <v>#VALUE!</v>
      </c>
      <c r="BU225" t="e">
        <f>AND(Bills!#REF!,"AAAAAG2+7kg=")</f>
        <v>#REF!</v>
      </c>
      <c r="BV225" t="e">
        <f>AND(Bills!C968,"AAAAAG2+7kk=")</f>
        <v>#VALUE!</v>
      </c>
      <c r="BW225" t="e">
        <f>AND(Bills!D968,"AAAAAG2+7ko=")</f>
        <v>#VALUE!</v>
      </c>
      <c r="BX225" t="e">
        <f>AND(Bills!E968,"AAAAAG2+7ks=")</f>
        <v>#VALUE!</v>
      </c>
      <c r="BY225" t="e">
        <f>AND(Bills!#REF!,"AAAAAG2+7kw=")</f>
        <v>#REF!</v>
      </c>
      <c r="BZ225" t="e">
        <f>AND(Bills!#REF!,"AAAAAG2+7k0=")</f>
        <v>#REF!</v>
      </c>
      <c r="CA225" t="e">
        <f>AND(Bills!#REF!,"AAAAAG2+7k4=")</f>
        <v>#REF!</v>
      </c>
      <c r="CB225" t="e">
        <f>AND(Bills!F968,"AAAAAG2+7k8=")</f>
        <v>#VALUE!</v>
      </c>
      <c r="CC225" t="e">
        <f>AND(Bills!#REF!,"AAAAAG2+7lA=")</f>
        <v>#REF!</v>
      </c>
      <c r="CD225" t="e">
        <f>AND(Bills!G968,"AAAAAG2+7lE=")</f>
        <v>#VALUE!</v>
      </c>
      <c r="CE225" t="e">
        <f>AND(Bills!H968,"AAAAAG2+7lI=")</f>
        <v>#VALUE!</v>
      </c>
      <c r="CF225" t="e">
        <f>AND(Bills!I968,"AAAAAG2+7lM=")</f>
        <v>#VALUE!</v>
      </c>
      <c r="CG225" t="e">
        <f>AND(Bills!J968,"AAAAAG2+7lQ=")</f>
        <v>#VALUE!</v>
      </c>
      <c r="CH225" t="e">
        <f>AND(Bills!K968,"AAAAAG2+7lU=")</f>
        <v>#VALUE!</v>
      </c>
      <c r="CI225" t="e">
        <f>AND(Bills!L968,"AAAAAG2+7lY=")</f>
        <v>#VALUE!</v>
      </c>
      <c r="CJ225" t="e">
        <f>AND(Bills!#REF!,"AAAAAG2+7lc=")</f>
        <v>#REF!</v>
      </c>
      <c r="CK225" t="e">
        <f>AND(Bills!M968,"AAAAAG2+7lg=")</f>
        <v>#VALUE!</v>
      </c>
      <c r="CL225" t="e">
        <f>AND(Bills!N968,"AAAAAG2+7lk=")</f>
        <v>#VALUE!</v>
      </c>
      <c r="CM225" t="e">
        <f>AND(Bills!O968,"AAAAAG2+7lo=")</f>
        <v>#VALUE!</v>
      </c>
      <c r="CN225" t="e">
        <f>AND(Bills!P968,"AAAAAG2+7ls=")</f>
        <v>#VALUE!</v>
      </c>
      <c r="CO225" t="e">
        <f>AND(Bills!Q968,"AAAAAG2+7lw=")</f>
        <v>#VALUE!</v>
      </c>
      <c r="CP225" t="e">
        <f>AND(Bills!R968,"AAAAAG2+7l0=")</f>
        <v>#VALUE!</v>
      </c>
      <c r="CQ225" t="e">
        <f>AND(Bills!S968,"AAAAAG2+7l4=")</f>
        <v>#VALUE!</v>
      </c>
      <c r="CR225" t="e">
        <f>AND(Bills!T968,"AAAAAG2+7l8=")</f>
        <v>#VALUE!</v>
      </c>
      <c r="CS225" t="e">
        <f>AND(Bills!#REF!,"AAAAAG2+7mA=")</f>
        <v>#REF!</v>
      </c>
      <c r="CT225" t="e">
        <f>AND(Bills!U968,"AAAAAG2+7mE=")</f>
        <v>#VALUE!</v>
      </c>
      <c r="CU225" t="e">
        <f>AND(Bills!V968,"AAAAAG2+7mI=")</f>
        <v>#VALUE!</v>
      </c>
      <c r="CV225" t="e">
        <f>AND(Bills!W968,"AAAAAG2+7mM=")</f>
        <v>#VALUE!</v>
      </c>
      <c r="CW225" t="e">
        <f>AND(Bills!#REF!,"AAAAAG2+7mQ=")</f>
        <v>#REF!</v>
      </c>
      <c r="CX225" t="e">
        <f>AND(Bills!#REF!,"AAAAAG2+7mU=")</f>
        <v>#REF!</v>
      </c>
      <c r="CY225" t="e">
        <f>AND(Bills!Y968,"AAAAAG2+7mY=")</f>
        <v>#VALUE!</v>
      </c>
      <c r="CZ225" t="e">
        <f>AND(Bills!Z968,"AAAAAG2+7mc=")</f>
        <v>#VALUE!</v>
      </c>
      <c r="DA225" t="e">
        <f>AND(Bills!#REF!,"AAAAAG2+7mg=")</f>
        <v>#REF!</v>
      </c>
      <c r="DB225" t="e">
        <f>AND(Bills!#REF!,"AAAAAG2+7mk=")</f>
        <v>#REF!</v>
      </c>
      <c r="DC225" t="e">
        <f>AND(Bills!#REF!,"AAAAAG2+7mo=")</f>
        <v>#REF!</v>
      </c>
      <c r="DD225" t="e">
        <f>AND(Bills!#REF!,"AAAAAG2+7ms=")</f>
        <v>#REF!</v>
      </c>
      <c r="DE225" t="e">
        <f>AND(Bills!#REF!,"AAAAAG2+7mw=")</f>
        <v>#REF!</v>
      </c>
      <c r="DF225" t="e">
        <f>AND(Bills!#REF!,"AAAAAG2+7m0=")</f>
        <v>#REF!</v>
      </c>
      <c r="DG225" t="e">
        <f>AND(Bills!#REF!,"AAAAAG2+7m4=")</f>
        <v>#REF!</v>
      </c>
      <c r="DH225" t="e">
        <f>AND(Bills!#REF!,"AAAAAG2+7m8=")</f>
        <v>#REF!</v>
      </c>
      <c r="DI225" t="e">
        <f>AND(Bills!#REF!,"AAAAAG2+7nA=")</f>
        <v>#REF!</v>
      </c>
      <c r="DJ225" t="e">
        <f>AND(Bills!AA968,"AAAAAG2+7nE=")</f>
        <v>#VALUE!</v>
      </c>
      <c r="DK225" t="e">
        <f>AND(Bills!AB968,"AAAAAG2+7nI=")</f>
        <v>#VALUE!</v>
      </c>
      <c r="DL225" t="e">
        <f>AND(Bills!#REF!,"AAAAAG2+7nM=")</f>
        <v>#REF!</v>
      </c>
      <c r="DM225" t="e">
        <f>AND(Bills!#REF!,"AAAAAG2+7nQ=")</f>
        <v>#REF!</v>
      </c>
      <c r="DN225" t="e">
        <f>AND(Bills!#REF!,"AAAAAG2+7nU=")</f>
        <v>#REF!</v>
      </c>
      <c r="DO225" t="e">
        <f>AND(Bills!AC968,"AAAAAG2+7nY=")</f>
        <v>#VALUE!</v>
      </c>
      <c r="DP225" t="e">
        <f>AND(Bills!AD968,"AAAAAG2+7nc=")</f>
        <v>#VALUE!</v>
      </c>
      <c r="DQ225" t="e">
        <f>AND(Bills!AE968,"AAAAAG2+7ng=")</f>
        <v>#VALUE!</v>
      </c>
      <c r="DR225">
        <f>IF(Bills!969:969,"AAAAAG2+7nk=",0)</f>
        <v>0</v>
      </c>
      <c r="DS225" t="e">
        <f>AND(Bills!B969,"AAAAAG2+7no=")</f>
        <v>#VALUE!</v>
      </c>
      <c r="DT225" t="e">
        <f>AND(Bills!#REF!,"AAAAAG2+7ns=")</f>
        <v>#REF!</v>
      </c>
      <c r="DU225" t="e">
        <f>AND(Bills!C969,"AAAAAG2+7nw=")</f>
        <v>#VALUE!</v>
      </c>
      <c r="DV225" t="e">
        <f>AND(Bills!D969,"AAAAAG2+7n0=")</f>
        <v>#VALUE!</v>
      </c>
      <c r="DW225" t="e">
        <f>AND(Bills!E969,"AAAAAG2+7n4=")</f>
        <v>#VALUE!</v>
      </c>
      <c r="DX225" t="e">
        <f>AND(Bills!#REF!,"AAAAAG2+7n8=")</f>
        <v>#REF!</v>
      </c>
      <c r="DY225" t="e">
        <f>AND(Bills!#REF!,"AAAAAG2+7oA=")</f>
        <v>#REF!</v>
      </c>
      <c r="DZ225" t="e">
        <f>AND(Bills!#REF!,"AAAAAG2+7oE=")</f>
        <v>#REF!</v>
      </c>
      <c r="EA225" t="e">
        <f>AND(Bills!F969,"AAAAAG2+7oI=")</f>
        <v>#VALUE!</v>
      </c>
      <c r="EB225" t="e">
        <f>AND(Bills!#REF!,"AAAAAG2+7oM=")</f>
        <v>#REF!</v>
      </c>
      <c r="EC225" t="e">
        <f>AND(Bills!G969,"AAAAAG2+7oQ=")</f>
        <v>#VALUE!</v>
      </c>
      <c r="ED225" t="e">
        <f>AND(Bills!H969,"AAAAAG2+7oU=")</f>
        <v>#VALUE!</v>
      </c>
      <c r="EE225" t="e">
        <f>AND(Bills!I969,"AAAAAG2+7oY=")</f>
        <v>#VALUE!</v>
      </c>
      <c r="EF225" t="e">
        <f>AND(Bills!J969,"AAAAAG2+7oc=")</f>
        <v>#VALUE!</v>
      </c>
      <c r="EG225" t="e">
        <f>AND(Bills!K969,"AAAAAG2+7og=")</f>
        <v>#VALUE!</v>
      </c>
      <c r="EH225" t="e">
        <f>AND(Bills!L969,"AAAAAG2+7ok=")</f>
        <v>#VALUE!</v>
      </c>
      <c r="EI225" t="e">
        <f>AND(Bills!#REF!,"AAAAAG2+7oo=")</f>
        <v>#REF!</v>
      </c>
      <c r="EJ225" t="e">
        <f>AND(Bills!M969,"AAAAAG2+7os=")</f>
        <v>#VALUE!</v>
      </c>
      <c r="EK225" t="e">
        <f>AND(Bills!N969,"AAAAAG2+7ow=")</f>
        <v>#VALUE!</v>
      </c>
      <c r="EL225" t="e">
        <f>AND(Bills!O969,"AAAAAG2+7o0=")</f>
        <v>#VALUE!</v>
      </c>
      <c r="EM225" t="e">
        <f>AND(Bills!P969,"AAAAAG2+7o4=")</f>
        <v>#VALUE!</v>
      </c>
      <c r="EN225" t="e">
        <f>AND(Bills!Q969,"AAAAAG2+7o8=")</f>
        <v>#VALUE!</v>
      </c>
      <c r="EO225" t="e">
        <f>AND(Bills!R969,"AAAAAG2+7pA=")</f>
        <v>#VALUE!</v>
      </c>
      <c r="EP225" t="e">
        <f>AND(Bills!S969,"AAAAAG2+7pE=")</f>
        <v>#VALUE!</v>
      </c>
      <c r="EQ225" t="e">
        <f>AND(Bills!T969,"AAAAAG2+7pI=")</f>
        <v>#VALUE!</v>
      </c>
      <c r="ER225" t="e">
        <f>AND(Bills!#REF!,"AAAAAG2+7pM=")</f>
        <v>#REF!</v>
      </c>
      <c r="ES225" t="e">
        <f>AND(Bills!U969,"AAAAAG2+7pQ=")</f>
        <v>#VALUE!</v>
      </c>
      <c r="ET225" t="e">
        <f>AND(Bills!V969,"AAAAAG2+7pU=")</f>
        <v>#VALUE!</v>
      </c>
      <c r="EU225" t="e">
        <f>AND(Bills!W969,"AAAAAG2+7pY=")</f>
        <v>#VALUE!</v>
      </c>
      <c r="EV225" t="e">
        <f>AND(Bills!#REF!,"AAAAAG2+7pc=")</f>
        <v>#REF!</v>
      </c>
      <c r="EW225" t="e">
        <f>AND(Bills!#REF!,"AAAAAG2+7pg=")</f>
        <v>#REF!</v>
      </c>
      <c r="EX225" t="e">
        <f>AND(Bills!Y969,"AAAAAG2+7pk=")</f>
        <v>#VALUE!</v>
      </c>
      <c r="EY225" t="e">
        <f>AND(Bills!Z969,"AAAAAG2+7po=")</f>
        <v>#VALUE!</v>
      </c>
      <c r="EZ225" t="e">
        <f>AND(Bills!#REF!,"AAAAAG2+7ps=")</f>
        <v>#REF!</v>
      </c>
      <c r="FA225" t="e">
        <f>AND(Bills!#REF!,"AAAAAG2+7pw=")</f>
        <v>#REF!</v>
      </c>
      <c r="FB225" t="e">
        <f>AND(Bills!#REF!,"AAAAAG2+7p0=")</f>
        <v>#REF!</v>
      </c>
      <c r="FC225" t="e">
        <f>AND(Bills!#REF!,"AAAAAG2+7p4=")</f>
        <v>#REF!</v>
      </c>
      <c r="FD225" t="e">
        <f>AND(Bills!#REF!,"AAAAAG2+7p8=")</f>
        <v>#REF!</v>
      </c>
      <c r="FE225" t="e">
        <f>AND(Bills!#REF!,"AAAAAG2+7qA=")</f>
        <v>#REF!</v>
      </c>
      <c r="FF225" t="e">
        <f>AND(Bills!#REF!,"AAAAAG2+7qE=")</f>
        <v>#REF!</v>
      </c>
      <c r="FG225" t="e">
        <f>AND(Bills!#REF!,"AAAAAG2+7qI=")</f>
        <v>#REF!</v>
      </c>
      <c r="FH225" t="e">
        <f>AND(Bills!#REF!,"AAAAAG2+7qM=")</f>
        <v>#REF!</v>
      </c>
      <c r="FI225" t="e">
        <f>AND(Bills!AA969,"AAAAAG2+7qQ=")</f>
        <v>#VALUE!</v>
      </c>
      <c r="FJ225" t="e">
        <f>AND(Bills!AB969,"AAAAAG2+7qU=")</f>
        <v>#VALUE!</v>
      </c>
      <c r="FK225" t="e">
        <f>AND(Bills!#REF!,"AAAAAG2+7qY=")</f>
        <v>#REF!</v>
      </c>
      <c r="FL225" t="e">
        <f>AND(Bills!#REF!,"AAAAAG2+7qc=")</f>
        <v>#REF!</v>
      </c>
      <c r="FM225" t="e">
        <f>AND(Bills!#REF!,"AAAAAG2+7qg=")</f>
        <v>#REF!</v>
      </c>
      <c r="FN225" t="e">
        <f>AND(Bills!AC969,"AAAAAG2+7qk=")</f>
        <v>#VALUE!</v>
      </c>
      <c r="FO225" t="e">
        <f>AND(Bills!AD969,"AAAAAG2+7qo=")</f>
        <v>#VALUE!</v>
      </c>
      <c r="FP225" t="e">
        <f>AND(Bills!AE969,"AAAAAG2+7qs=")</f>
        <v>#VALUE!</v>
      </c>
      <c r="FQ225">
        <f>IF(Bills!970:970,"AAAAAG2+7qw=",0)</f>
        <v>0</v>
      </c>
      <c r="FR225" t="e">
        <f>AND(Bills!B970,"AAAAAG2+7q0=")</f>
        <v>#VALUE!</v>
      </c>
      <c r="FS225" t="e">
        <f>AND(Bills!#REF!,"AAAAAG2+7q4=")</f>
        <v>#REF!</v>
      </c>
      <c r="FT225" t="e">
        <f>AND(Bills!C970,"AAAAAG2+7q8=")</f>
        <v>#VALUE!</v>
      </c>
      <c r="FU225" t="e">
        <f>AND(Bills!D970,"AAAAAG2+7rA=")</f>
        <v>#VALUE!</v>
      </c>
      <c r="FV225" t="e">
        <f>AND(Bills!E970,"AAAAAG2+7rE=")</f>
        <v>#VALUE!</v>
      </c>
      <c r="FW225" t="e">
        <f>AND(Bills!#REF!,"AAAAAG2+7rI=")</f>
        <v>#REF!</v>
      </c>
      <c r="FX225" t="e">
        <f>AND(Bills!#REF!,"AAAAAG2+7rM=")</f>
        <v>#REF!</v>
      </c>
      <c r="FY225" t="e">
        <f>AND(Bills!#REF!,"AAAAAG2+7rQ=")</f>
        <v>#REF!</v>
      </c>
      <c r="FZ225" t="e">
        <f>AND(Bills!F970,"AAAAAG2+7rU=")</f>
        <v>#VALUE!</v>
      </c>
      <c r="GA225" t="e">
        <f>AND(Bills!#REF!,"AAAAAG2+7rY=")</f>
        <v>#REF!</v>
      </c>
      <c r="GB225" t="e">
        <f>AND(Bills!G970,"AAAAAG2+7rc=")</f>
        <v>#VALUE!</v>
      </c>
      <c r="GC225" t="e">
        <f>AND(Bills!H970,"AAAAAG2+7rg=")</f>
        <v>#VALUE!</v>
      </c>
      <c r="GD225" t="e">
        <f>AND(Bills!I970,"AAAAAG2+7rk=")</f>
        <v>#VALUE!</v>
      </c>
      <c r="GE225" t="e">
        <f>AND(Bills!J970,"AAAAAG2+7ro=")</f>
        <v>#VALUE!</v>
      </c>
      <c r="GF225" t="e">
        <f>AND(Bills!K970,"AAAAAG2+7rs=")</f>
        <v>#VALUE!</v>
      </c>
      <c r="GG225" t="e">
        <f>AND(Bills!L970,"AAAAAG2+7rw=")</f>
        <v>#VALUE!</v>
      </c>
      <c r="GH225" t="e">
        <f>AND(Bills!#REF!,"AAAAAG2+7r0=")</f>
        <v>#REF!</v>
      </c>
      <c r="GI225" t="e">
        <f>AND(Bills!M970,"AAAAAG2+7r4=")</f>
        <v>#VALUE!</v>
      </c>
      <c r="GJ225" t="e">
        <f>AND(Bills!N970,"AAAAAG2+7r8=")</f>
        <v>#VALUE!</v>
      </c>
      <c r="GK225" t="e">
        <f>AND(Bills!O970,"AAAAAG2+7sA=")</f>
        <v>#VALUE!</v>
      </c>
      <c r="GL225" t="e">
        <f>AND(Bills!P970,"AAAAAG2+7sE=")</f>
        <v>#VALUE!</v>
      </c>
      <c r="GM225" t="e">
        <f>AND(Bills!Q970,"AAAAAG2+7sI=")</f>
        <v>#VALUE!</v>
      </c>
      <c r="GN225" t="e">
        <f>AND(Bills!R970,"AAAAAG2+7sM=")</f>
        <v>#VALUE!</v>
      </c>
      <c r="GO225" t="e">
        <f>AND(Bills!S970,"AAAAAG2+7sQ=")</f>
        <v>#VALUE!</v>
      </c>
      <c r="GP225" t="e">
        <f>AND(Bills!T970,"AAAAAG2+7sU=")</f>
        <v>#VALUE!</v>
      </c>
      <c r="GQ225" t="e">
        <f>AND(Bills!#REF!,"AAAAAG2+7sY=")</f>
        <v>#REF!</v>
      </c>
      <c r="GR225" t="e">
        <f>AND(Bills!U970,"AAAAAG2+7sc=")</f>
        <v>#VALUE!</v>
      </c>
      <c r="GS225" t="e">
        <f>AND(Bills!V970,"AAAAAG2+7sg=")</f>
        <v>#VALUE!</v>
      </c>
      <c r="GT225" t="e">
        <f>AND(Bills!W970,"AAAAAG2+7sk=")</f>
        <v>#VALUE!</v>
      </c>
      <c r="GU225" t="e">
        <f>AND(Bills!#REF!,"AAAAAG2+7so=")</f>
        <v>#REF!</v>
      </c>
      <c r="GV225" t="e">
        <f>AND(Bills!#REF!,"AAAAAG2+7ss=")</f>
        <v>#REF!</v>
      </c>
      <c r="GW225" t="e">
        <f>AND(Bills!Y970,"AAAAAG2+7sw=")</f>
        <v>#VALUE!</v>
      </c>
      <c r="GX225" t="e">
        <f>AND(Bills!Z970,"AAAAAG2+7s0=")</f>
        <v>#VALUE!</v>
      </c>
      <c r="GY225" t="e">
        <f>AND(Bills!#REF!,"AAAAAG2+7s4=")</f>
        <v>#REF!</v>
      </c>
      <c r="GZ225" t="e">
        <f>AND(Bills!#REF!,"AAAAAG2+7s8=")</f>
        <v>#REF!</v>
      </c>
      <c r="HA225" t="e">
        <f>AND(Bills!#REF!,"AAAAAG2+7tA=")</f>
        <v>#REF!</v>
      </c>
      <c r="HB225" t="e">
        <f>AND(Bills!#REF!,"AAAAAG2+7tE=")</f>
        <v>#REF!</v>
      </c>
      <c r="HC225" t="e">
        <f>AND(Bills!#REF!,"AAAAAG2+7tI=")</f>
        <v>#REF!</v>
      </c>
      <c r="HD225" t="e">
        <f>AND(Bills!#REF!,"AAAAAG2+7tM=")</f>
        <v>#REF!</v>
      </c>
      <c r="HE225" t="e">
        <f>AND(Bills!#REF!,"AAAAAG2+7tQ=")</f>
        <v>#REF!</v>
      </c>
      <c r="HF225" t="e">
        <f>AND(Bills!#REF!,"AAAAAG2+7tU=")</f>
        <v>#REF!</v>
      </c>
      <c r="HG225" t="e">
        <f>AND(Bills!#REF!,"AAAAAG2+7tY=")</f>
        <v>#REF!</v>
      </c>
      <c r="HH225" t="e">
        <f>AND(Bills!AA970,"AAAAAG2+7tc=")</f>
        <v>#VALUE!</v>
      </c>
      <c r="HI225" t="e">
        <f>AND(Bills!AB970,"AAAAAG2+7tg=")</f>
        <v>#VALUE!</v>
      </c>
      <c r="HJ225" t="e">
        <f>AND(Bills!#REF!,"AAAAAG2+7tk=")</f>
        <v>#REF!</v>
      </c>
      <c r="HK225" t="e">
        <f>AND(Bills!#REF!,"AAAAAG2+7to=")</f>
        <v>#REF!</v>
      </c>
      <c r="HL225" t="e">
        <f>AND(Bills!#REF!,"AAAAAG2+7ts=")</f>
        <v>#REF!</v>
      </c>
      <c r="HM225" t="e">
        <f>AND(Bills!AC970,"AAAAAG2+7tw=")</f>
        <v>#VALUE!</v>
      </c>
      <c r="HN225" t="e">
        <f>AND(Bills!AD970,"AAAAAG2+7t0=")</f>
        <v>#VALUE!</v>
      </c>
      <c r="HO225" t="e">
        <f>AND(Bills!AE970,"AAAAAG2+7t4=")</f>
        <v>#VALUE!</v>
      </c>
      <c r="HP225">
        <f>IF(Bills!971:971,"AAAAAG2+7t8=",0)</f>
        <v>0</v>
      </c>
      <c r="HQ225" t="e">
        <f>AND(Bills!B971,"AAAAAG2+7uA=")</f>
        <v>#VALUE!</v>
      </c>
      <c r="HR225" t="e">
        <f>AND(Bills!#REF!,"AAAAAG2+7uE=")</f>
        <v>#REF!</v>
      </c>
      <c r="HS225" t="e">
        <f>AND(Bills!C971,"AAAAAG2+7uI=")</f>
        <v>#VALUE!</v>
      </c>
      <c r="HT225" t="e">
        <f>AND(Bills!D971,"AAAAAG2+7uM=")</f>
        <v>#VALUE!</v>
      </c>
      <c r="HU225" t="e">
        <f>AND(Bills!E971,"AAAAAG2+7uQ=")</f>
        <v>#VALUE!</v>
      </c>
      <c r="HV225" t="e">
        <f>AND(Bills!#REF!,"AAAAAG2+7uU=")</f>
        <v>#REF!</v>
      </c>
      <c r="HW225" t="e">
        <f>AND(Bills!#REF!,"AAAAAG2+7uY=")</f>
        <v>#REF!</v>
      </c>
      <c r="HX225" t="e">
        <f>AND(Bills!#REF!,"AAAAAG2+7uc=")</f>
        <v>#REF!</v>
      </c>
      <c r="HY225" t="e">
        <f>AND(Bills!F971,"AAAAAG2+7ug=")</f>
        <v>#VALUE!</v>
      </c>
      <c r="HZ225" t="e">
        <f>AND(Bills!#REF!,"AAAAAG2+7uk=")</f>
        <v>#REF!</v>
      </c>
      <c r="IA225" t="e">
        <f>AND(Bills!G971,"AAAAAG2+7uo=")</f>
        <v>#VALUE!</v>
      </c>
      <c r="IB225" t="e">
        <f>AND(Bills!H971,"AAAAAG2+7us=")</f>
        <v>#VALUE!</v>
      </c>
      <c r="IC225" t="e">
        <f>AND(Bills!I971,"AAAAAG2+7uw=")</f>
        <v>#VALUE!</v>
      </c>
      <c r="ID225" t="e">
        <f>AND(Bills!J971,"AAAAAG2+7u0=")</f>
        <v>#VALUE!</v>
      </c>
      <c r="IE225" t="e">
        <f>AND(Bills!K971,"AAAAAG2+7u4=")</f>
        <v>#VALUE!</v>
      </c>
      <c r="IF225" t="e">
        <f>AND(Bills!L971,"AAAAAG2+7u8=")</f>
        <v>#VALUE!</v>
      </c>
      <c r="IG225" t="e">
        <f>AND(Bills!#REF!,"AAAAAG2+7vA=")</f>
        <v>#REF!</v>
      </c>
      <c r="IH225" t="e">
        <f>AND(Bills!M971,"AAAAAG2+7vE=")</f>
        <v>#VALUE!</v>
      </c>
      <c r="II225" t="e">
        <f>AND(Bills!N971,"AAAAAG2+7vI=")</f>
        <v>#VALUE!</v>
      </c>
      <c r="IJ225" t="e">
        <f>AND(Bills!O971,"AAAAAG2+7vM=")</f>
        <v>#VALUE!</v>
      </c>
      <c r="IK225" t="e">
        <f>AND(Bills!P971,"AAAAAG2+7vQ=")</f>
        <v>#VALUE!</v>
      </c>
      <c r="IL225" t="e">
        <f>AND(Bills!Q971,"AAAAAG2+7vU=")</f>
        <v>#VALUE!</v>
      </c>
      <c r="IM225" t="e">
        <f>AND(Bills!R971,"AAAAAG2+7vY=")</f>
        <v>#VALUE!</v>
      </c>
      <c r="IN225" t="e">
        <f>AND(Bills!S971,"AAAAAG2+7vc=")</f>
        <v>#VALUE!</v>
      </c>
      <c r="IO225" t="e">
        <f>AND(Bills!T971,"AAAAAG2+7vg=")</f>
        <v>#VALUE!</v>
      </c>
      <c r="IP225" t="e">
        <f>AND(Bills!#REF!,"AAAAAG2+7vk=")</f>
        <v>#REF!</v>
      </c>
      <c r="IQ225" t="e">
        <f>AND(Bills!U971,"AAAAAG2+7vo=")</f>
        <v>#VALUE!</v>
      </c>
      <c r="IR225" t="e">
        <f>AND(Bills!V971,"AAAAAG2+7vs=")</f>
        <v>#VALUE!</v>
      </c>
      <c r="IS225" t="e">
        <f>AND(Bills!W971,"AAAAAG2+7vw=")</f>
        <v>#VALUE!</v>
      </c>
      <c r="IT225" t="e">
        <f>AND(Bills!#REF!,"AAAAAG2+7v0=")</f>
        <v>#REF!</v>
      </c>
      <c r="IU225" t="e">
        <f>AND(Bills!#REF!,"AAAAAG2+7v4=")</f>
        <v>#REF!</v>
      </c>
      <c r="IV225" t="e">
        <f>AND(Bills!Y971,"AAAAAG2+7v8=")</f>
        <v>#VALUE!</v>
      </c>
    </row>
    <row r="226" spans="1:256" x14ac:dyDescent="0.25">
      <c r="A226" t="e">
        <f>AND(Bills!Z971,"AAAAAGtd8wA=")</f>
        <v>#VALUE!</v>
      </c>
      <c r="B226" t="e">
        <f>AND(Bills!#REF!,"AAAAAGtd8wE=")</f>
        <v>#REF!</v>
      </c>
      <c r="C226" t="e">
        <f>AND(Bills!#REF!,"AAAAAGtd8wI=")</f>
        <v>#REF!</v>
      </c>
      <c r="D226" t="e">
        <f>AND(Bills!#REF!,"AAAAAGtd8wM=")</f>
        <v>#REF!</v>
      </c>
      <c r="E226" t="e">
        <f>AND(Bills!#REF!,"AAAAAGtd8wQ=")</f>
        <v>#REF!</v>
      </c>
      <c r="F226" t="e">
        <f>AND(Bills!#REF!,"AAAAAGtd8wU=")</f>
        <v>#REF!</v>
      </c>
      <c r="G226" t="e">
        <f>AND(Bills!#REF!,"AAAAAGtd8wY=")</f>
        <v>#REF!</v>
      </c>
      <c r="H226" t="e">
        <f>AND(Bills!#REF!,"AAAAAGtd8wc=")</f>
        <v>#REF!</v>
      </c>
      <c r="I226" t="e">
        <f>AND(Bills!#REF!,"AAAAAGtd8wg=")</f>
        <v>#REF!</v>
      </c>
      <c r="J226" t="e">
        <f>AND(Bills!#REF!,"AAAAAGtd8wk=")</f>
        <v>#REF!</v>
      </c>
      <c r="K226" t="e">
        <f>AND(Bills!AA971,"AAAAAGtd8wo=")</f>
        <v>#VALUE!</v>
      </c>
      <c r="L226" t="e">
        <f>AND(Bills!AB971,"AAAAAGtd8ws=")</f>
        <v>#VALUE!</v>
      </c>
      <c r="M226" t="e">
        <f>AND(Bills!#REF!,"AAAAAGtd8ww=")</f>
        <v>#REF!</v>
      </c>
      <c r="N226" t="e">
        <f>AND(Bills!#REF!,"AAAAAGtd8w0=")</f>
        <v>#REF!</v>
      </c>
      <c r="O226" t="e">
        <f>AND(Bills!#REF!,"AAAAAGtd8w4=")</f>
        <v>#REF!</v>
      </c>
      <c r="P226" t="e">
        <f>AND(Bills!AC971,"AAAAAGtd8w8=")</f>
        <v>#VALUE!</v>
      </c>
      <c r="Q226" t="e">
        <f>AND(Bills!AD971,"AAAAAGtd8xA=")</f>
        <v>#VALUE!</v>
      </c>
      <c r="R226" t="e">
        <f>AND(Bills!AE971,"AAAAAGtd8xE=")</f>
        <v>#VALUE!</v>
      </c>
      <c r="S226">
        <f>IF(Bills!972:972,"AAAAAGtd8xI=",0)</f>
        <v>0</v>
      </c>
      <c r="T226" t="e">
        <f>AND(Bills!B972,"AAAAAGtd8xM=")</f>
        <v>#VALUE!</v>
      </c>
      <c r="U226" t="e">
        <f>AND(Bills!#REF!,"AAAAAGtd8xQ=")</f>
        <v>#REF!</v>
      </c>
      <c r="V226" t="e">
        <f>AND(Bills!C972,"AAAAAGtd8xU=")</f>
        <v>#VALUE!</v>
      </c>
      <c r="W226" t="e">
        <f>AND(Bills!D972,"AAAAAGtd8xY=")</f>
        <v>#VALUE!</v>
      </c>
      <c r="X226" t="e">
        <f>AND(Bills!E972,"AAAAAGtd8xc=")</f>
        <v>#VALUE!</v>
      </c>
      <c r="Y226" t="e">
        <f>AND(Bills!#REF!,"AAAAAGtd8xg=")</f>
        <v>#REF!</v>
      </c>
      <c r="Z226" t="e">
        <f>AND(Bills!#REF!,"AAAAAGtd8xk=")</f>
        <v>#REF!</v>
      </c>
      <c r="AA226" t="e">
        <f>AND(Bills!#REF!,"AAAAAGtd8xo=")</f>
        <v>#REF!</v>
      </c>
      <c r="AB226" t="e">
        <f>AND(Bills!F972,"AAAAAGtd8xs=")</f>
        <v>#VALUE!</v>
      </c>
      <c r="AC226" t="e">
        <f>AND(Bills!#REF!,"AAAAAGtd8xw=")</f>
        <v>#REF!</v>
      </c>
      <c r="AD226" t="e">
        <f>AND(Bills!G972,"AAAAAGtd8x0=")</f>
        <v>#VALUE!</v>
      </c>
      <c r="AE226" t="e">
        <f>AND(Bills!H972,"AAAAAGtd8x4=")</f>
        <v>#VALUE!</v>
      </c>
      <c r="AF226" t="e">
        <f>AND(Bills!I972,"AAAAAGtd8x8=")</f>
        <v>#VALUE!</v>
      </c>
      <c r="AG226" t="e">
        <f>AND(Bills!J972,"AAAAAGtd8yA=")</f>
        <v>#VALUE!</v>
      </c>
      <c r="AH226" t="e">
        <f>AND(Bills!K972,"AAAAAGtd8yE=")</f>
        <v>#VALUE!</v>
      </c>
      <c r="AI226" t="e">
        <f>AND(Bills!L972,"AAAAAGtd8yI=")</f>
        <v>#VALUE!</v>
      </c>
      <c r="AJ226" t="e">
        <f>AND(Bills!#REF!,"AAAAAGtd8yM=")</f>
        <v>#REF!</v>
      </c>
      <c r="AK226" t="e">
        <f>AND(Bills!M972,"AAAAAGtd8yQ=")</f>
        <v>#VALUE!</v>
      </c>
      <c r="AL226" t="e">
        <f>AND(Bills!N972,"AAAAAGtd8yU=")</f>
        <v>#VALUE!</v>
      </c>
      <c r="AM226" t="e">
        <f>AND(Bills!O972,"AAAAAGtd8yY=")</f>
        <v>#VALUE!</v>
      </c>
      <c r="AN226" t="e">
        <f>AND(Bills!P972,"AAAAAGtd8yc=")</f>
        <v>#VALUE!</v>
      </c>
      <c r="AO226" t="e">
        <f>AND(Bills!Q972,"AAAAAGtd8yg=")</f>
        <v>#VALUE!</v>
      </c>
      <c r="AP226" t="e">
        <f>AND(Bills!R972,"AAAAAGtd8yk=")</f>
        <v>#VALUE!</v>
      </c>
      <c r="AQ226" t="e">
        <f>AND(Bills!S972,"AAAAAGtd8yo=")</f>
        <v>#VALUE!</v>
      </c>
      <c r="AR226" t="e">
        <f>AND(Bills!T972,"AAAAAGtd8ys=")</f>
        <v>#VALUE!</v>
      </c>
      <c r="AS226" t="e">
        <f>AND(Bills!#REF!,"AAAAAGtd8yw=")</f>
        <v>#REF!</v>
      </c>
      <c r="AT226" t="e">
        <f>AND(Bills!U972,"AAAAAGtd8y0=")</f>
        <v>#VALUE!</v>
      </c>
      <c r="AU226" t="e">
        <f>AND(Bills!V972,"AAAAAGtd8y4=")</f>
        <v>#VALUE!</v>
      </c>
      <c r="AV226" t="e">
        <f>AND(Bills!W972,"AAAAAGtd8y8=")</f>
        <v>#VALUE!</v>
      </c>
      <c r="AW226" t="e">
        <f>AND(Bills!#REF!,"AAAAAGtd8zA=")</f>
        <v>#REF!</v>
      </c>
      <c r="AX226" t="e">
        <f>AND(Bills!#REF!,"AAAAAGtd8zE=")</f>
        <v>#REF!</v>
      </c>
      <c r="AY226" t="e">
        <f>AND(Bills!Y972,"AAAAAGtd8zI=")</f>
        <v>#VALUE!</v>
      </c>
      <c r="AZ226" t="e">
        <f>AND(Bills!Z972,"AAAAAGtd8zM=")</f>
        <v>#VALUE!</v>
      </c>
      <c r="BA226" t="e">
        <f>AND(Bills!#REF!,"AAAAAGtd8zQ=")</f>
        <v>#REF!</v>
      </c>
      <c r="BB226" t="e">
        <f>AND(Bills!#REF!,"AAAAAGtd8zU=")</f>
        <v>#REF!</v>
      </c>
      <c r="BC226" t="e">
        <f>AND(Bills!#REF!,"AAAAAGtd8zY=")</f>
        <v>#REF!</v>
      </c>
      <c r="BD226" t="e">
        <f>AND(Bills!#REF!,"AAAAAGtd8zc=")</f>
        <v>#REF!</v>
      </c>
      <c r="BE226" t="e">
        <f>AND(Bills!#REF!,"AAAAAGtd8zg=")</f>
        <v>#REF!</v>
      </c>
      <c r="BF226" t="e">
        <f>AND(Bills!#REF!,"AAAAAGtd8zk=")</f>
        <v>#REF!</v>
      </c>
      <c r="BG226" t="e">
        <f>AND(Bills!#REF!,"AAAAAGtd8zo=")</f>
        <v>#REF!</v>
      </c>
      <c r="BH226" t="e">
        <f>AND(Bills!#REF!,"AAAAAGtd8zs=")</f>
        <v>#REF!</v>
      </c>
      <c r="BI226" t="e">
        <f>AND(Bills!#REF!,"AAAAAGtd8zw=")</f>
        <v>#REF!</v>
      </c>
      <c r="BJ226" t="e">
        <f>AND(Bills!AA972,"AAAAAGtd8z0=")</f>
        <v>#VALUE!</v>
      </c>
      <c r="BK226" t="e">
        <f>AND(Bills!AB972,"AAAAAGtd8z4=")</f>
        <v>#VALUE!</v>
      </c>
      <c r="BL226" t="e">
        <f>AND(Bills!#REF!,"AAAAAGtd8z8=")</f>
        <v>#REF!</v>
      </c>
      <c r="BM226" t="e">
        <f>AND(Bills!#REF!,"AAAAAGtd80A=")</f>
        <v>#REF!</v>
      </c>
      <c r="BN226" t="e">
        <f>AND(Bills!#REF!,"AAAAAGtd80E=")</f>
        <v>#REF!</v>
      </c>
      <c r="BO226" t="e">
        <f>AND(Bills!AC972,"AAAAAGtd80I=")</f>
        <v>#VALUE!</v>
      </c>
      <c r="BP226" t="e">
        <f>AND(Bills!AD972,"AAAAAGtd80M=")</f>
        <v>#VALUE!</v>
      </c>
      <c r="BQ226" t="e">
        <f>AND(Bills!AE972,"AAAAAGtd80Q=")</f>
        <v>#VALUE!</v>
      </c>
      <c r="BR226">
        <f>IF(Bills!973:973,"AAAAAGtd80U=",0)</f>
        <v>0</v>
      </c>
      <c r="BS226" t="e">
        <f>AND(Bills!B973,"AAAAAGtd80Y=")</f>
        <v>#VALUE!</v>
      </c>
      <c r="BT226" t="e">
        <f>AND(Bills!#REF!,"AAAAAGtd80c=")</f>
        <v>#REF!</v>
      </c>
      <c r="BU226" t="e">
        <f>AND(Bills!C973,"AAAAAGtd80g=")</f>
        <v>#VALUE!</v>
      </c>
      <c r="BV226" t="e">
        <f>AND(Bills!D973,"AAAAAGtd80k=")</f>
        <v>#VALUE!</v>
      </c>
      <c r="BW226" t="e">
        <f>AND(Bills!E973,"AAAAAGtd80o=")</f>
        <v>#VALUE!</v>
      </c>
      <c r="BX226" t="e">
        <f>AND(Bills!#REF!,"AAAAAGtd80s=")</f>
        <v>#REF!</v>
      </c>
      <c r="BY226" t="e">
        <f>AND(Bills!#REF!,"AAAAAGtd80w=")</f>
        <v>#REF!</v>
      </c>
      <c r="BZ226" t="e">
        <f>AND(Bills!#REF!,"AAAAAGtd800=")</f>
        <v>#REF!</v>
      </c>
      <c r="CA226" t="e">
        <f>AND(Bills!F973,"AAAAAGtd804=")</f>
        <v>#VALUE!</v>
      </c>
      <c r="CB226" t="e">
        <f>AND(Bills!#REF!,"AAAAAGtd808=")</f>
        <v>#REF!</v>
      </c>
      <c r="CC226" t="e">
        <f>AND(Bills!G973,"AAAAAGtd81A=")</f>
        <v>#VALUE!</v>
      </c>
      <c r="CD226" t="e">
        <f>AND(Bills!H973,"AAAAAGtd81E=")</f>
        <v>#VALUE!</v>
      </c>
      <c r="CE226" t="e">
        <f>AND(Bills!I973,"AAAAAGtd81I=")</f>
        <v>#VALUE!</v>
      </c>
      <c r="CF226" t="e">
        <f>AND(Bills!J973,"AAAAAGtd81M=")</f>
        <v>#VALUE!</v>
      </c>
      <c r="CG226" t="e">
        <f>AND(Bills!K973,"AAAAAGtd81Q=")</f>
        <v>#VALUE!</v>
      </c>
      <c r="CH226" t="e">
        <f>AND(Bills!L973,"AAAAAGtd81U=")</f>
        <v>#VALUE!</v>
      </c>
      <c r="CI226" t="e">
        <f>AND(Bills!#REF!,"AAAAAGtd81Y=")</f>
        <v>#REF!</v>
      </c>
      <c r="CJ226" t="e">
        <f>AND(Bills!M973,"AAAAAGtd81c=")</f>
        <v>#VALUE!</v>
      </c>
      <c r="CK226" t="e">
        <f>AND(Bills!N973,"AAAAAGtd81g=")</f>
        <v>#VALUE!</v>
      </c>
      <c r="CL226" t="e">
        <f>AND(Bills!O973,"AAAAAGtd81k=")</f>
        <v>#VALUE!</v>
      </c>
      <c r="CM226" t="e">
        <f>AND(Bills!P973,"AAAAAGtd81o=")</f>
        <v>#VALUE!</v>
      </c>
      <c r="CN226" t="e">
        <f>AND(Bills!Q973,"AAAAAGtd81s=")</f>
        <v>#VALUE!</v>
      </c>
      <c r="CO226" t="e">
        <f>AND(Bills!R973,"AAAAAGtd81w=")</f>
        <v>#VALUE!</v>
      </c>
      <c r="CP226" t="e">
        <f>AND(Bills!S973,"AAAAAGtd810=")</f>
        <v>#VALUE!</v>
      </c>
      <c r="CQ226" t="e">
        <f>AND(Bills!T973,"AAAAAGtd814=")</f>
        <v>#VALUE!</v>
      </c>
      <c r="CR226" t="e">
        <f>AND(Bills!#REF!,"AAAAAGtd818=")</f>
        <v>#REF!</v>
      </c>
      <c r="CS226" t="e">
        <f>AND(Bills!U973,"AAAAAGtd82A=")</f>
        <v>#VALUE!</v>
      </c>
      <c r="CT226" t="e">
        <f>AND(Bills!V973,"AAAAAGtd82E=")</f>
        <v>#VALUE!</v>
      </c>
      <c r="CU226" t="e">
        <f>AND(Bills!W973,"AAAAAGtd82I=")</f>
        <v>#VALUE!</v>
      </c>
      <c r="CV226" t="e">
        <f>AND(Bills!#REF!,"AAAAAGtd82M=")</f>
        <v>#REF!</v>
      </c>
      <c r="CW226" t="e">
        <f>AND(Bills!#REF!,"AAAAAGtd82Q=")</f>
        <v>#REF!</v>
      </c>
      <c r="CX226" t="e">
        <f>AND(Bills!Y973,"AAAAAGtd82U=")</f>
        <v>#VALUE!</v>
      </c>
      <c r="CY226" t="e">
        <f>AND(Bills!Z973,"AAAAAGtd82Y=")</f>
        <v>#VALUE!</v>
      </c>
      <c r="CZ226" t="e">
        <f>AND(Bills!#REF!,"AAAAAGtd82c=")</f>
        <v>#REF!</v>
      </c>
      <c r="DA226" t="e">
        <f>AND(Bills!#REF!,"AAAAAGtd82g=")</f>
        <v>#REF!</v>
      </c>
      <c r="DB226" t="e">
        <f>AND(Bills!#REF!,"AAAAAGtd82k=")</f>
        <v>#REF!</v>
      </c>
      <c r="DC226" t="e">
        <f>AND(Bills!#REF!,"AAAAAGtd82o=")</f>
        <v>#REF!</v>
      </c>
      <c r="DD226" t="e">
        <f>AND(Bills!#REF!,"AAAAAGtd82s=")</f>
        <v>#REF!</v>
      </c>
      <c r="DE226" t="e">
        <f>AND(Bills!#REF!,"AAAAAGtd82w=")</f>
        <v>#REF!</v>
      </c>
      <c r="DF226" t="e">
        <f>AND(Bills!#REF!,"AAAAAGtd820=")</f>
        <v>#REF!</v>
      </c>
      <c r="DG226" t="e">
        <f>AND(Bills!#REF!,"AAAAAGtd824=")</f>
        <v>#REF!</v>
      </c>
      <c r="DH226" t="e">
        <f>AND(Bills!#REF!,"AAAAAGtd828=")</f>
        <v>#REF!</v>
      </c>
      <c r="DI226" t="e">
        <f>AND(Bills!AA973,"AAAAAGtd83A=")</f>
        <v>#VALUE!</v>
      </c>
      <c r="DJ226" t="e">
        <f>AND(Bills!AB973,"AAAAAGtd83E=")</f>
        <v>#VALUE!</v>
      </c>
      <c r="DK226" t="e">
        <f>AND(Bills!#REF!,"AAAAAGtd83I=")</f>
        <v>#REF!</v>
      </c>
      <c r="DL226" t="e">
        <f>AND(Bills!#REF!,"AAAAAGtd83M=")</f>
        <v>#REF!</v>
      </c>
      <c r="DM226" t="e">
        <f>AND(Bills!#REF!,"AAAAAGtd83Q=")</f>
        <v>#REF!</v>
      </c>
      <c r="DN226" t="e">
        <f>AND(Bills!AC973,"AAAAAGtd83U=")</f>
        <v>#VALUE!</v>
      </c>
      <c r="DO226" t="e">
        <f>AND(Bills!AD973,"AAAAAGtd83Y=")</f>
        <v>#VALUE!</v>
      </c>
      <c r="DP226" t="e">
        <f>AND(Bills!AE973,"AAAAAGtd83c=")</f>
        <v>#VALUE!</v>
      </c>
      <c r="DQ226">
        <f>IF(Bills!974:974,"AAAAAGtd83g=",0)</f>
        <v>0</v>
      </c>
      <c r="DR226" t="e">
        <f>AND(Bills!B974,"AAAAAGtd83k=")</f>
        <v>#VALUE!</v>
      </c>
      <c r="DS226" t="e">
        <f>AND(Bills!#REF!,"AAAAAGtd83o=")</f>
        <v>#REF!</v>
      </c>
      <c r="DT226" t="e">
        <f>AND(Bills!C974,"AAAAAGtd83s=")</f>
        <v>#VALUE!</v>
      </c>
      <c r="DU226" t="e">
        <f>AND(Bills!D974,"AAAAAGtd83w=")</f>
        <v>#VALUE!</v>
      </c>
      <c r="DV226" t="e">
        <f>AND(Bills!E974,"AAAAAGtd830=")</f>
        <v>#VALUE!</v>
      </c>
      <c r="DW226" t="e">
        <f>AND(Bills!#REF!,"AAAAAGtd834=")</f>
        <v>#REF!</v>
      </c>
      <c r="DX226" t="e">
        <f>AND(Bills!#REF!,"AAAAAGtd838=")</f>
        <v>#REF!</v>
      </c>
      <c r="DY226" t="e">
        <f>AND(Bills!#REF!,"AAAAAGtd84A=")</f>
        <v>#REF!</v>
      </c>
      <c r="DZ226" t="e">
        <f>AND(Bills!F974,"AAAAAGtd84E=")</f>
        <v>#VALUE!</v>
      </c>
      <c r="EA226" t="e">
        <f>AND(Bills!#REF!,"AAAAAGtd84I=")</f>
        <v>#REF!</v>
      </c>
      <c r="EB226" t="e">
        <f>AND(Bills!G974,"AAAAAGtd84M=")</f>
        <v>#VALUE!</v>
      </c>
      <c r="EC226" t="e">
        <f>AND(Bills!H974,"AAAAAGtd84Q=")</f>
        <v>#VALUE!</v>
      </c>
      <c r="ED226" t="e">
        <f>AND(Bills!I974,"AAAAAGtd84U=")</f>
        <v>#VALUE!</v>
      </c>
      <c r="EE226" t="e">
        <f>AND(Bills!J974,"AAAAAGtd84Y=")</f>
        <v>#VALUE!</v>
      </c>
      <c r="EF226" t="e">
        <f>AND(Bills!K974,"AAAAAGtd84c=")</f>
        <v>#VALUE!</v>
      </c>
      <c r="EG226" t="e">
        <f>AND(Bills!L974,"AAAAAGtd84g=")</f>
        <v>#VALUE!</v>
      </c>
      <c r="EH226" t="e">
        <f>AND(Bills!#REF!,"AAAAAGtd84k=")</f>
        <v>#REF!</v>
      </c>
      <c r="EI226" t="e">
        <f>AND(Bills!M974,"AAAAAGtd84o=")</f>
        <v>#VALUE!</v>
      </c>
      <c r="EJ226" t="e">
        <f>AND(Bills!N974,"AAAAAGtd84s=")</f>
        <v>#VALUE!</v>
      </c>
      <c r="EK226" t="e">
        <f>AND(Bills!O974,"AAAAAGtd84w=")</f>
        <v>#VALUE!</v>
      </c>
      <c r="EL226" t="e">
        <f>AND(Bills!P974,"AAAAAGtd840=")</f>
        <v>#VALUE!</v>
      </c>
      <c r="EM226" t="e">
        <f>AND(Bills!Q974,"AAAAAGtd844=")</f>
        <v>#VALUE!</v>
      </c>
      <c r="EN226" t="e">
        <f>AND(Bills!R974,"AAAAAGtd848=")</f>
        <v>#VALUE!</v>
      </c>
      <c r="EO226" t="e">
        <f>AND(Bills!S974,"AAAAAGtd85A=")</f>
        <v>#VALUE!</v>
      </c>
      <c r="EP226" t="e">
        <f>AND(Bills!T974,"AAAAAGtd85E=")</f>
        <v>#VALUE!</v>
      </c>
      <c r="EQ226" t="e">
        <f>AND(Bills!#REF!,"AAAAAGtd85I=")</f>
        <v>#REF!</v>
      </c>
      <c r="ER226" t="e">
        <f>AND(Bills!U974,"AAAAAGtd85M=")</f>
        <v>#VALUE!</v>
      </c>
      <c r="ES226" t="e">
        <f>AND(Bills!V974,"AAAAAGtd85Q=")</f>
        <v>#VALUE!</v>
      </c>
      <c r="ET226" t="e">
        <f>AND(Bills!W974,"AAAAAGtd85U=")</f>
        <v>#VALUE!</v>
      </c>
      <c r="EU226" t="e">
        <f>AND(Bills!#REF!,"AAAAAGtd85Y=")</f>
        <v>#REF!</v>
      </c>
      <c r="EV226" t="e">
        <f>AND(Bills!#REF!,"AAAAAGtd85c=")</f>
        <v>#REF!</v>
      </c>
      <c r="EW226" t="e">
        <f>AND(Bills!Y974,"AAAAAGtd85g=")</f>
        <v>#VALUE!</v>
      </c>
      <c r="EX226" t="e">
        <f>AND(Bills!Z974,"AAAAAGtd85k=")</f>
        <v>#VALUE!</v>
      </c>
      <c r="EY226" t="e">
        <f>AND(Bills!#REF!,"AAAAAGtd85o=")</f>
        <v>#REF!</v>
      </c>
      <c r="EZ226" t="e">
        <f>AND(Bills!#REF!,"AAAAAGtd85s=")</f>
        <v>#REF!</v>
      </c>
      <c r="FA226" t="e">
        <f>AND(Bills!#REF!,"AAAAAGtd85w=")</f>
        <v>#REF!</v>
      </c>
      <c r="FB226" t="e">
        <f>AND(Bills!#REF!,"AAAAAGtd850=")</f>
        <v>#REF!</v>
      </c>
      <c r="FC226" t="e">
        <f>AND(Bills!#REF!,"AAAAAGtd854=")</f>
        <v>#REF!</v>
      </c>
      <c r="FD226" t="e">
        <f>AND(Bills!#REF!,"AAAAAGtd858=")</f>
        <v>#REF!</v>
      </c>
      <c r="FE226" t="e">
        <f>AND(Bills!#REF!,"AAAAAGtd86A=")</f>
        <v>#REF!</v>
      </c>
      <c r="FF226" t="e">
        <f>AND(Bills!#REF!,"AAAAAGtd86E=")</f>
        <v>#REF!</v>
      </c>
      <c r="FG226" t="e">
        <f>AND(Bills!#REF!,"AAAAAGtd86I=")</f>
        <v>#REF!</v>
      </c>
      <c r="FH226" t="e">
        <f>AND(Bills!AA974,"AAAAAGtd86M=")</f>
        <v>#VALUE!</v>
      </c>
      <c r="FI226" t="e">
        <f>AND(Bills!AB974,"AAAAAGtd86Q=")</f>
        <v>#VALUE!</v>
      </c>
      <c r="FJ226" t="e">
        <f>AND(Bills!#REF!,"AAAAAGtd86U=")</f>
        <v>#REF!</v>
      </c>
      <c r="FK226" t="e">
        <f>AND(Bills!#REF!,"AAAAAGtd86Y=")</f>
        <v>#REF!</v>
      </c>
      <c r="FL226" t="e">
        <f>AND(Bills!#REF!,"AAAAAGtd86c=")</f>
        <v>#REF!</v>
      </c>
      <c r="FM226" t="e">
        <f>AND(Bills!AC974,"AAAAAGtd86g=")</f>
        <v>#VALUE!</v>
      </c>
      <c r="FN226" t="e">
        <f>AND(Bills!AD974,"AAAAAGtd86k=")</f>
        <v>#VALUE!</v>
      </c>
      <c r="FO226" t="e">
        <f>AND(Bills!AE974,"AAAAAGtd86o=")</f>
        <v>#VALUE!</v>
      </c>
      <c r="FP226">
        <f>IF(Bills!975:975,"AAAAAGtd86s=",0)</f>
        <v>0</v>
      </c>
      <c r="FQ226" t="e">
        <f>AND(Bills!B975,"AAAAAGtd86w=")</f>
        <v>#VALUE!</v>
      </c>
      <c r="FR226" t="e">
        <f>AND(Bills!#REF!,"AAAAAGtd860=")</f>
        <v>#REF!</v>
      </c>
      <c r="FS226" t="e">
        <f>AND(Bills!C975,"AAAAAGtd864=")</f>
        <v>#VALUE!</v>
      </c>
      <c r="FT226" t="e">
        <f>AND(Bills!D975,"AAAAAGtd868=")</f>
        <v>#VALUE!</v>
      </c>
      <c r="FU226" t="e">
        <f>AND(Bills!E975,"AAAAAGtd87A=")</f>
        <v>#VALUE!</v>
      </c>
      <c r="FV226" t="e">
        <f>AND(Bills!#REF!,"AAAAAGtd87E=")</f>
        <v>#REF!</v>
      </c>
      <c r="FW226" t="e">
        <f>AND(Bills!#REF!,"AAAAAGtd87I=")</f>
        <v>#REF!</v>
      </c>
      <c r="FX226" t="e">
        <f>AND(Bills!#REF!,"AAAAAGtd87M=")</f>
        <v>#REF!</v>
      </c>
      <c r="FY226" t="e">
        <f>AND(Bills!F975,"AAAAAGtd87Q=")</f>
        <v>#VALUE!</v>
      </c>
      <c r="FZ226" t="e">
        <f>AND(Bills!#REF!,"AAAAAGtd87U=")</f>
        <v>#REF!</v>
      </c>
      <c r="GA226" t="e">
        <f>AND(Bills!G975,"AAAAAGtd87Y=")</f>
        <v>#VALUE!</v>
      </c>
      <c r="GB226" t="e">
        <f>AND(Bills!H975,"AAAAAGtd87c=")</f>
        <v>#VALUE!</v>
      </c>
      <c r="GC226" t="e">
        <f>AND(Bills!I975,"AAAAAGtd87g=")</f>
        <v>#VALUE!</v>
      </c>
      <c r="GD226" t="e">
        <f>AND(Bills!J975,"AAAAAGtd87k=")</f>
        <v>#VALUE!</v>
      </c>
      <c r="GE226" t="e">
        <f>AND(Bills!K975,"AAAAAGtd87o=")</f>
        <v>#VALUE!</v>
      </c>
      <c r="GF226" t="e">
        <f>AND(Bills!L975,"AAAAAGtd87s=")</f>
        <v>#VALUE!</v>
      </c>
      <c r="GG226" t="e">
        <f>AND(Bills!#REF!,"AAAAAGtd87w=")</f>
        <v>#REF!</v>
      </c>
      <c r="GH226" t="e">
        <f>AND(Bills!M975,"AAAAAGtd870=")</f>
        <v>#VALUE!</v>
      </c>
      <c r="GI226" t="e">
        <f>AND(Bills!N975,"AAAAAGtd874=")</f>
        <v>#VALUE!</v>
      </c>
      <c r="GJ226" t="e">
        <f>AND(Bills!O975,"AAAAAGtd878=")</f>
        <v>#VALUE!</v>
      </c>
      <c r="GK226" t="e">
        <f>AND(Bills!P975,"AAAAAGtd88A=")</f>
        <v>#VALUE!</v>
      </c>
      <c r="GL226" t="e">
        <f>AND(Bills!Q975,"AAAAAGtd88E=")</f>
        <v>#VALUE!</v>
      </c>
      <c r="GM226" t="e">
        <f>AND(Bills!R975,"AAAAAGtd88I=")</f>
        <v>#VALUE!</v>
      </c>
      <c r="GN226" t="e">
        <f>AND(Bills!S975,"AAAAAGtd88M=")</f>
        <v>#VALUE!</v>
      </c>
      <c r="GO226" t="e">
        <f>AND(Bills!T975,"AAAAAGtd88Q=")</f>
        <v>#VALUE!</v>
      </c>
      <c r="GP226" t="e">
        <f>AND(Bills!#REF!,"AAAAAGtd88U=")</f>
        <v>#REF!</v>
      </c>
      <c r="GQ226" t="e">
        <f>AND(Bills!U975,"AAAAAGtd88Y=")</f>
        <v>#VALUE!</v>
      </c>
      <c r="GR226" t="e">
        <f>AND(Bills!V975,"AAAAAGtd88c=")</f>
        <v>#VALUE!</v>
      </c>
      <c r="GS226" t="e">
        <f>AND(Bills!W975,"AAAAAGtd88g=")</f>
        <v>#VALUE!</v>
      </c>
      <c r="GT226" t="e">
        <f>AND(Bills!#REF!,"AAAAAGtd88k=")</f>
        <v>#REF!</v>
      </c>
      <c r="GU226" t="e">
        <f>AND(Bills!#REF!,"AAAAAGtd88o=")</f>
        <v>#REF!</v>
      </c>
      <c r="GV226" t="e">
        <f>AND(Bills!Y975,"AAAAAGtd88s=")</f>
        <v>#VALUE!</v>
      </c>
      <c r="GW226" t="e">
        <f>AND(Bills!Z975,"AAAAAGtd88w=")</f>
        <v>#VALUE!</v>
      </c>
      <c r="GX226" t="e">
        <f>AND(Bills!#REF!,"AAAAAGtd880=")</f>
        <v>#REF!</v>
      </c>
      <c r="GY226" t="e">
        <f>AND(Bills!#REF!,"AAAAAGtd884=")</f>
        <v>#REF!</v>
      </c>
      <c r="GZ226" t="e">
        <f>AND(Bills!#REF!,"AAAAAGtd888=")</f>
        <v>#REF!</v>
      </c>
      <c r="HA226" t="e">
        <f>AND(Bills!#REF!,"AAAAAGtd89A=")</f>
        <v>#REF!</v>
      </c>
      <c r="HB226" t="e">
        <f>AND(Bills!#REF!,"AAAAAGtd89E=")</f>
        <v>#REF!</v>
      </c>
      <c r="HC226" t="e">
        <f>AND(Bills!#REF!,"AAAAAGtd89I=")</f>
        <v>#REF!</v>
      </c>
      <c r="HD226" t="e">
        <f>AND(Bills!#REF!,"AAAAAGtd89M=")</f>
        <v>#REF!</v>
      </c>
      <c r="HE226" t="e">
        <f>AND(Bills!#REF!,"AAAAAGtd89Q=")</f>
        <v>#REF!</v>
      </c>
      <c r="HF226" t="e">
        <f>AND(Bills!#REF!,"AAAAAGtd89U=")</f>
        <v>#REF!</v>
      </c>
      <c r="HG226" t="e">
        <f>AND(Bills!AA975,"AAAAAGtd89Y=")</f>
        <v>#VALUE!</v>
      </c>
      <c r="HH226" t="e">
        <f>AND(Bills!AB975,"AAAAAGtd89c=")</f>
        <v>#VALUE!</v>
      </c>
      <c r="HI226" t="e">
        <f>AND(Bills!#REF!,"AAAAAGtd89g=")</f>
        <v>#REF!</v>
      </c>
      <c r="HJ226" t="e">
        <f>AND(Bills!#REF!,"AAAAAGtd89k=")</f>
        <v>#REF!</v>
      </c>
      <c r="HK226" t="e">
        <f>AND(Bills!#REF!,"AAAAAGtd89o=")</f>
        <v>#REF!</v>
      </c>
      <c r="HL226" t="e">
        <f>AND(Bills!AC975,"AAAAAGtd89s=")</f>
        <v>#VALUE!</v>
      </c>
      <c r="HM226" t="e">
        <f>AND(Bills!AD975,"AAAAAGtd89w=")</f>
        <v>#VALUE!</v>
      </c>
      <c r="HN226" t="e">
        <f>AND(Bills!AE975,"AAAAAGtd890=")</f>
        <v>#VALUE!</v>
      </c>
      <c r="HO226">
        <f>IF(Bills!976:976,"AAAAAGtd894=",0)</f>
        <v>0</v>
      </c>
      <c r="HP226" t="e">
        <f>AND(Bills!B976,"AAAAAGtd898=")</f>
        <v>#VALUE!</v>
      </c>
      <c r="HQ226" t="e">
        <f>AND(Bills!#REF!,"AAAAAGtd8+A=")</f>
        <v>#REF!</v>
      </c>
      <c r="HR226" t="e">
        <f>AND(Bills!C976,"AAAAAGtd8+E=")</f>
        <v>#VALUE!</v>
      </c>
      <c r="HS226" t="e">
        <f>AND(Bills!D976,"AAAAAGtd8+I=")</f>
        <v>#VALUE!</v>
      </c>
      <c r="HT226" t="e">
        <f>AND(Bills!E976,"AAAAAGtd8+M=")</f>
        <v>#VALUE!</v>
      </c>
      <c r="HU226" t="e">
        <f>AND(Bills!#REF!,"AAAAAGtd8+Q=")</f>
        <v>#REF!</v>
      </c>
      <c r="HV226" t="e">
        <f>AND(Bills!#REF!,"AAAAAGtd8+U=")</f>
        <v>#REF!</v>
      </c>
      <c r="HW226" t="e">
        <f>AND(Bills!#REF!,"AAAAAGtd8+Y=")</f>
        <v>#REF!</v>
      </c>
      <c r="HX226" t="e">
        <f>AND(Bills!F976,"AAAAAGtd8+c=")</f>
        <v>#VALUE!</v>
      </c>
      <c r="HY226" t="e">
        <f>AND(Bills!#REF!,"AAAAAGtd8+g=")</f>
        <v>#REF!</v>
      </c>
      <c r="HZ226" t="e">
        <f>AND(Bills!G976,"AAAAAGtd8+k=")</f>
        <v>#VALUE!</v>
      </c>
      <c r="IA226" t="e">
        <f>AND(Bills!H976,"AAAAAGtd8+o=")</f>
        <v>#VALUE!</v>
      </c>
      <c r="IB226" t="e">
        <f>AND(Bills!I976,"AAAAAGtd8+s=")</f>
        <v>#VALUE!</v>
      </c>
      <c r="IC226" t="e">
        <f>AND(Bills!J976,"AAAAAGtd8+w=")</f>
        <v>#VALUE!</v>
      </c>
      <c r="ID226" t="e">
        <f>AND(Bills!K976,"AAAAAGtd8+0=")</f>
        <v>#VALUE!</v>
      </c>
      <c r="IE226" t="e">
        <f>AND(Bills!L976,"AAAAAGtd8+4=")</f>
        <v>#VALUE!</v>
      </c>
      <c r="IF226" t="e">
        <f>AND(Bills!#REF!,"AAAAAGtd8+8=")</f>
        <v>#REF!</v>
      </c>
      <c r="IG226" t="e">
        <f>AND(Bills!M976,"AAAAAGtd8/A=")</f>
        <v>#VALUE!</v>
      </c>
      <c r="IH226" t="e">
        <f>AND(Bills!N976,"AAAAAGtd8/E=")</f>
        <v>#VALUE!</v>
      </c>
      <c r="II226" t="e">
        <f>AND(Bills!O976,"AAAAAGtd8/I=")</f>
        <v>#VALUE!</v>
      </c>
      <c r="IJ226" t="e">
        <f>AND(Bills!P976,"AAAAAGtd8/M=")</f>
        <v>#VALUE!</v>
      </c>
      <c r="IK226" t="e">
        <f>AND(Bills!Q976,"AAAAAGtd8/Q=")</f>
        <v>#VALUE!</v>
      </c>
      <c r="IL226" t="e">
        <f>AND(Bills!R976,"AAAAAGtd8/U=")</f>
        <v>#VALUE!</v>
      </c>
      <c r="IM226" t="e">
        <f>AND(Bills!S976,"AAAAAGtd8/Y=")</f>
        <v>#VALUE!</v>
      </c>
      <c r="IN226" t="e">
        <f>AND(Bills!T976,"AAAAAGtd8/c=")</f>
        <v>#VALUE!</v>
      </c>
      <c r="IO226" t="e">
        <f>AND(Bills!#REF!,"AAAAAGtd8/g=")</f>
        <v>#REF!</v>
      </c>
      <c r="IP226" t="e">
        <f>AND(Bills!U976,"AAAAAGtd8/k=")</f>
        <v>#VALUE!</v>
      </c>
      <c r="IQ226" t="e">
        <f>AND(Bills!V976,"AAAAAGtd8/o=")</f>
        <v>#VALUE!</v>
      </c>
      <c r="IR226" t="e">
        <f>AND(Bills!W976,"AAAAAGtd8/s=")</f>
        <v>#VALUE!</v>
      </c>
      <c r="IS226" t="e">
        <f>AND(Bills!#REF!,"AAAAAGtd8/w=")</f>
        <v>#REF!</v>
      </c>
      <c r="IT226" t="e">
        <f>AND(Bills!#REF!,"AAAAAGtd8/0=")</f>
        <v>#REF!</v>
      </c>
      <c r="IU226" t="e">
        <f>AND(Bills!Y976,"AAAAAGtd8/4=")</f>
        <v>#VALUE!</v>
      </c>
      <c r="IV226" t="e">
        <f>AND(Bills!Z976,"AAAAAGtd8/8=")</f>
        <v>#VALUE!</v>
      </c>
    </row>
    <row r="227" spans="1:256" x14ac:dyDescent="0.25">
      <c r="A227" t="e">
        <f>AND(Bills!#REF!,"AAAAAFZq3wA=")</f>
        <v>#REF!</v>
      </c>
      <c r="B227" t="e">
        <f>AND(Bills!#REF!,"AAAAAFZq3wE=")</f>
        <v>#REF!</v>
      </c>
      <c r="C227" t="e">
        <f>AND(Bills!#REF!,"AAAAAFZq3wI=")</f>
        <v>#REF!</v>
      </c>
      <c r="D227" t="e">
        <f>AND(Bills!#REF!,"AAAAAFZq3wM=")</f>
        <v>#REF!</v>
      </c>
      <c r="E227" t="e">
        <f>AND(Bills!#REF!,"AAAAAFZq3wQ=")</f>
        <v>#REF!</v>
      </c>
      <c r="F227" t="e">
        <f>AND(Bills!#REF!,"AAAAAFZq3wU=")</f>
        <v>#REF!</v>
      </c>
      <c r="G227" t="e">
        <f>AND(Bills!#REF!,"AAAAAFZq3wY=")</f>
        <v>#REF!</v>
      </c>
      <c r="H227" t="e">
        <f>AND(Bills!#REF!,"AAAAAFZq3wc=")</f>
        <v>#REF!</v>
      </c>
      <c r="I227" t="e">
        <f>AND(Bills!#REF!,"AAAAAFZq3wg=")</f>
        <v>#REF!</v>
      </c>
      <c r="J227" t="e">
        <f>AND(Bills!AA976,"AAAAAFZq3wk=")</f>
        <v>#VALUE!</v>
      </c>
      <c r="K227" t="e">
        <f>AND(Bills!AB976,"AAAAAFZq3wo=")</f>
        <v>#VALUE!</v>
      </c>
      <c r="L227" t="e">
        <f>AND(Bills!#REF!,"AAAAAFZq3ws=")</f>
        <v>#REF!</v>
      </c>
      <c r="M227" t="e">
        <f>AND(Bills!#REF!,"AAAAAFZq3ww=")</f>
        <v>#REF!</v>
      </c>
      <c r="N227" t="e">
        <f>AND(Bills!#REF!,"AAAAAFZq3w0=")</f>
        <v>#REF!</v>
      </c>
      <c r="O227" t="e">
        <f>AND(Bills!AC976,"AAAAAFZq3w4=")</f>
        <v>#VALUE!</v>
      </c>
      <c r="P227" t="e">
        <f>AND(Bills!AD976,"AAAAAFZq3w8=")</f>
        <v>#VALUE!</v>
      </c>
      <c r="Q227" t="e">
        <f>AND(Bills!AE976,"AAAAAFZq3xA=")</f>
        <v>#VALUE!</v>
      </c>
      <c r="R227">
        <f>IF(Bills!977:977,"AAAAAFZq3xE=",0)</f>
        <v>0</v>
      </c>
      <c r="S227" t="e">
        <f>AND(Bills!B977,"AAAAAFZq3xI=")</f>
        <v>#VALUE!</v>
      </c>
      <c r="T227" t="e">
        <f>AND(Bills!#REF!,"AAAAAFZq3xM=")</f>
        <v>#REF!</v>
      </c>
      <c r="U227" t="e">
        <f>AND(Bills!C977,"AAAAAFZq3xQ=")</f>
        <v>#VALUE!</v>
      </c>
      <c r="V227" t="e">
        <f>AND(Bills!D977,"AAAAAFZq3xU=")</f>
        <v>#VALUE!</v>
      </c>
      <c r="W227" t="e">
        <f>AND(Bills!E977,"AAAAAFZq3xY=")</f>
        <v>#VALUE!</v>
      </c>
      <c r="X227" t="e">
        <f>AND(Bills!#REF!,"AAAAAFZq3xc=")</f>
        <v>#REF!</v>
      </c>
      <c r="Y227" t="e">
        <f>AND(Bills!#REF!,"AAAAAFZq3xg=")</f>
        <v>#REF!</v>
      </c>
      <c r="Z227" t="e">
        <f>AND(Bills!#REF!,"AAAAAFZq3xk=")</f>
        <v>#REF!</v>
      </c>
      <c r="AA227" t="e">
        <f>AND(Bills!F977,"AAAAAFZq3xo=")</f>
        <v>#VALUE!</v>
      </c>
      <c r="AB227" t="e">
        <f>AND(Bills!#REF!,"AAAAAFZq3xs=")</f>
        <v>#REF!</v>
      </c>
      <c r="AC227" t="e">
        <f>AND(Bills!G977,"AAAAAFZq3xw=")</f>
        <v>#VALUE!</v>
      </c>
      <c r="AD227" t="e">
        <f>AND(Bills!H977,"AAAAAFZq3x0=")</f>
        <v>#VALUE!</v>
      </c>
      <c r="AE227" t="e">
        <f>AND(Bills!I977,"AAAAAFZq3x4=")</f>
        <v>#VALUE!</v>
      </c>
      <c r="AF227" t="e">
        <f>AND(Bills!J977,"AAAAAFZq3x8=")</f>
        <v>#VALUE!</v>
      </c>
      <c r="AG227" t="e">
        <f>AND(Bills!K977,"AAAAAFZq3yA=")</f>
        <v>#VALUE!</v>
      </c>
      <c r="AH227" t="e">
        <f>AND(Bills!L977,"AAAAAFZq3yE=")</f>
        <v>#VALUE!</v>
      </c>
      <c r="AI227" t="e">
        <f>AND(Bills!#REF!,"AAAAAFZq3yI=")</f>
        <v>#REF!</v>
      </c>
      <c r="AJ227" t="e">
        <f>AND(Bills!M977,"AAAAAFZq3yM=")</f>
        <v>#VALUE!</v>
      </c>
      <c r="AK227" t="e">
        <f>AND(Bills!N977,"AAAAAFZq3yQ=")</f>
        <v>#VALUE!</v>
      </c>
      <c r="AL227" t="e">
        <f>AND(Bills!O977,"AAAAAFZq3yU=")</f>
        <v>#VALUE!</v>
      </c>
      <c r="AM227" t="e">
        <f>AND(Bills!P977,"AAAAAFZq3yY=")</f>
        <v>#VALUE!</v>
      </c>
      <c r="AN227" t="e">
        <f>AND(Bills!Q977,"AAAAAFZq3yc=")</f>
        <v>#VALUE!</v>
      </c>
      <c r="AO227" t="e">
        <f>AND(Bills!R977,"AAAAAFZq3yg=")</f>
        <v>#VALUE!</v>
      </c>
      <c r="AP227" t="e">
        <f>AND(Bills!S977,"AAAAAFZq3yk=")</f>
        <v>#VALUE!</v>
      </c>
      <c r="AQ227" t="e">
        <f>AND(Bills!T977,"AAAAAFZq3yo=")</f>
        <v>#VALUE!</v>
      </c>
      <c r="AR227" t="e">
        <f>AND(Bills!#REF!,"AAAAAFZq3ys=")</f>
        <v>#REF!</v>
      </c>
      <c r="AS227" t="e">
        <f>AND(Bills!U977,"AAAAAFZq3yw=")</f>
        <v>#VALUE!</v>
      </c>
      <c r="AT227" t="e">
        <f>AND(Bills!V977,"AAAAAFZq3y0=")</f>
        <v>#VALUE!</v>
      </c>
      <c r="AU227" t="e">
        <f>AND(Bills!W977,"AAAAAFZq3y4=")</f>
        <v>#VALUE!</v>
      </c>
      <c r="AV227" t="e">
        <f>AND(Bills!#REF!,"AAAAAFZq3y8=")</f>
        <v>#REF!</v>
      </c>
      <c r="AW227" t="e">
        <f>AND(Bills!#REF!,"AAAAAFZq3zA=")</f>
        <v>#REF!</v>
      </c>
      <c r="AX227" t="e">
        <f>AND(Bills!Y977,"AAAAAFZq3zE=")</f>
        <v>#VALUE!</v>
      </c>
      <c r="AY227" t="e">
        <f>AND(Bills!Z977,"AAAAAFZq3zI=")</f>
        <v>#VALUE!</v>
      </c>
      <c r="AZ227" t="e">
        <f>AND(Bills!#REF!,"AAAAAFZq3zM=")</f>
        <v>#REF!</v>
      </c>
      <c r="BA227" t="e">
        <f>AND(Bills!#REF!,"AAAAAFZq3zQ=")</f>
        <v>#REF!</v>
      </c>
      <c r="BB227" t="e">
        <f>AND(Bills!#REF!,"AAAAAFZq3zU=")</f>
        <v>#REF!</v>
      </c>
      <c r="BC227" t="e">
        <f>AND(Bills!#REF!,"AAAAAFZq3zY=")</f>
        <v>#REF!</v>
      </c>
      <c r="BD227" t="e">
        <f>AND(Bills!#REF!,"AAAAAFZq3zc=")</f>
        <v>#REF!</v>
      </c>
      <c r="BE227" t="e">
        <f>AND(Bills!#REF!,"AAAAAFZq3zg=")</f>
        <v>#REF!</v>
      </c>
      <c r="BF227" t="e">
        <f>AND(Bills!#REF!,"AAAAAFZq3zk=")</f>
        <v>#REF!</v>
      </c>
      <c r="BG227" t="e">
        <f>AND(Bills!#REF!,"AAAAAFZq3zo=")</f>
        <v>#REF!</v>
      </c>
      <c r="BH227" t="e">
        <f>AND(Bills!#REF!,"AAAAAFZq3zs=")</f>
        <v>#REF!</v>
      </c>
      <c r="BI227" t="e">
        <f>AND(Bills!AA977,"AAAAAFZq3zw=")</f>
        <v>#VALUE!</v>
      </c>
      <c r="BJ227" t="e">
        <f>AND(Bills!AB977,"AAAAAFZq3z0=")</f>
        <v>#VALUE!</v>
      </c>
      <c r="BK227" t="e">
        <f>AND(Bills!#REF!,"AAAAAFZq3z4=")</f>
        <v>#REF!</v>
      </c>
      <c r="BL227" t="e">
        <f>AND(Bills!#REF!,"AAAAAFZq3z8=")</f>
        <v>#REF!</v>
      </c>
      <c r="BM227" t="e">
        <f>AND(Bills!#REF!,"AAAAAFZq30A=")</f>
        <v>#REF!</v>
      </c>
      <c r="BN227" t="e">
        <f>AND(Bills!AC977,"AAAAAFZq30E=")</f>
        <v>#VALUE!</v>
      </c>
      <c r="BO227" t="e">
        <f>AND(Bills!AD977,"AAAAAFZq30I=")</f>
        <v>#VALUE!</v>
      </c>
      <c r="BP227" t="e">
        <f>AND(Bills!AE977,"AAAAAFZq30M=")</f>
        <v>#VALUE!</v>
      </c>
      <c r="BQ227">
        <f>IF(Bills!978:978,"AAAAAFZq30Q=",0)</f>
        <v>0</v>
      </c>
      <c r="BR227" t="e">
        <f>AND(Bills!B978,"AAAAAFZq30U=")</f>
        <v>#VALUE!</v>
      </c>
      <c r="BS227" t="e">
        <f>AND(Bills!#REF!,"AAAAAFZq30Y=")</f>
        <v>#REF!</v>
      </c>
      <c r="BT227" t="e">
        <f>AND(Bills!C978,"AAAAAFZq30c=")</f>
        <v>#VALUE!</v>
      </c>
      <c r="BU227" t="e">
        <f>AND(Bills!D978,"AAAAAFZq30g=")</f>
        <v>#VALUE!</v>
      </c>
      <c r="BV227" t="e">
        <f>AND(Bills!E978,"AAAAAFZq30k=")</f>
        <v>#VALUE!</v>
      </c>
      <c r="BW227" t="e">
        <f>AND(Bills!#REF!,"AAAAAFZq30o=")</f>
        <v>#REF!</v>
      </c>
      <c r="BX227" t="e">
        <f>AND(Bills!#REF!,"AAAAAFZq30s=")</f>
        <v>#REF!</v>
      </c>
      <c r="BY227" t="e">
        <f>AND(Bills!#REF!,"AAAAAFZq30w=")</f>
        <v>#REF!</v>
      </c>
      <c r="BZ227" t="e">
        <f>AND(Bills!F978,"AAAAAFZq300=")</f>
        <v>#VALUE!</v>
      </c>
      <c r="CA227" t="e">
        <f>AND(Bills!#REF!,"AAAAAFZq304=")</f>
        <v>#REF!</v>
      </c>
      <c r="CB227" t="e">
        <f>AND(Bills!G978,"AAAAAFZq308=")</f>
        <v>#VALUE!</v>
      </c>
      <c r="CC227" t="e">
        <f>AND(Bills!H978,"AAAAAFZq31A=")</f>
        <v>#VALUE!</v>
      </c>
      <c r="CD227" t="e">
        <f>AND(Bills!I978,"AAAAAFZq31E=")</f>
        <v>#VALUE!</v>
      </c>
      <c r="CE227" t="e">
        <f>AND(Bills!J978,"AAAAAFZq31I=")</f>
        <v>#VALUE!</v>
      </c>
      <c r="CF227" t="e">
        <f>AND(Bills!K978,"AAAAAFZq31M=")</f>
        <v>#VALUE!</v>
      </c>
      <c r="CG227" t="e">
        <f>AND(Bills!L978,"AAAAAFZq31Q=")</f>
        <v>#VALUE!</v>
      </c>
      <c r="CH227" t="e">
        <f>AND(Bills!#REF!,"AAAAAFZq31U=")</f>
        <v>#REF!</v>
      </c>
      <c r="CI227" t="e">
        <f>AND(Bills!M978,"AAAAAFZq31Y=")</f>
        <v>#VALUE!</v>
      </c>
      <c r="CJ227" t="e">
        <f>AND(Bills!N978,"AAAAAFZq31c=")</f>
        <v>#VALUE!</v>
      </c>
      <c r="CK227" t="e">
        <f>AND(Bills!O978,"AAAAAFZq31g=")</f>
        <v>#VALUE!</v>
      </c>
      <c r="CL227" t="e">
        <f>AND(Bills!P978,"AAAAAFZq31k=")</f>
        <v>#VALUE!</v>
      </c>
      <c r="CM227" t="e">
        <f>AND(Bills!Q978,"AAAAAFZq31o=")</f>
        <v>#VALUE!</v>
      </c>
      <c r="CN227" t="e">
        <f>AND(Bills!R978,"AAAAAFZq31s=")</f>
        <v>#VALUE!</v>
      </c>
      <c r="CO227" t="e">
        <f>AND(Bills!S978,"AAAAAFZq31w=")</f>
        <v>#VALUE!</v>
      </c>
      <c r="CP227" t="e">
        <f>AND(Bills!T978,"AAAAAFZq310=")</f>
        <v>#VALUE!</v>
      </c>
      <c r="CQ227" t="e">
        <f>AND(Bills!#REF!,"AAAAAFZq314=")</f>
        <v>#REF!</v>
      </c>
      <c r="CR227" t="e">
        <f>AND(Bills!U978,"AAAAAFZq318=")</f>
        <v>#VALUE!</v>
      </c>
      <c r="CS227" t="e">
        <f>AND(Bills!V978,"AAAAAFZq32A=")</f>
        <v>#VALUE!</v>
      </c>
      <c r="CT227" t="e">
        <f>AND(Bills!W978,"AAAAAFZq32E=")</f>
        <v>#VALUE!</v>
      </c>
      <c r="CU227" t="e">
        <f>AND(Bills!#REF!,"AAAAAFZq32I=")</f>
        <v>#REF!</v>
      </c>
      <c r="CV227" t="e">
        <f>AND(Bills!#REF!,"AAAAAFZq32M=")</f>
        <v>#REF!</v>
      </c>
      <c r="CW227" t="e">
        <f>AND(Bills!Y978,"AAAAAFZq32Q=")</f>
        <v>#VALUE!</v>
      </c>
      <c r="CX227" t="e">
        <f>AND(Bills!Z978,"AAAAAFZq32U=")</f>
        <v>#VALUE!</v>
      </c>
      <c r="CY227" t="e">
        <f>AND(Bills!#REF!,"AAAAAFZq32Y=")</f>
        <v>#REF!</v>
      </c>
      <c r="CZ227" t="e">
        <f>AND(Bills!#REF!,"AAAAAFZq32c=")</f>
        <v>#REF!</v>
      </c>
      <c r="DA227" t="e">
        <f>AND(Bills!#REF!,"AAAAAFZq32g=")</f>
        <v>#REF!</v>
      </c>
      <c r="DB227" t="e">
        <f>AND(Bills!#REF!,"AAAAAFZq32k=")</f>
        <v>#REF!</v>
      </c>
      <c r="DC227" t="e">
        <f>AND(Bills!#REF!,"AAAAAFZq32o=")</f>
        <v>#REF!</v>
      </c>
      <c r="DD227" t="e">
        <f>AND(Bills!#REF!,"AAAAAFZq32s=")</f>
        <v>#REF!</v>
      </c>
      <c r="DE227" t="e">
        <f>AND(Bills!#REF!,"AAAAAFZq32w=")</f>
        <v>#REF!</v>
      </c>
      <c r="DF227" t="e">
        <f>AND(Bills!#REF!,"AAAAAFZq320=")</f>
        <v>#REF!</v>
      </c>
      <c r="DG227" t="e">
        <f>AND(Bills!#REF!,"AAAAAFZq324=")</f>
        <v>#REF!</v>
      </c>
      <c r="DH227" t="e">
        <f>AND(Bills!AA978,"AAAAAFZq328=")</f>
        <v>#VALUE!</v>
      </c>
      <c r="DI227" t="e">
        <f>AND(Bills!AB978,"AAAAAFZq33A=")</f>
        <v>#VALUE!</v>
      </c>
      <c r="DJ227" t="e">
        <f>AND(Bills!#REF!,"AAAAAFZq33E=")</f>
        <v>#REF!</v>
      </c>
      <c r="DK227" t="e">
        <f>AND(Bills!#REF!,"AAAAAFZq33I=")</f>
        <v>#REF!</v>
      </c>
      <c r="DL227" t="e">
        <f>AND(Bills!#REF!,"AAAAAFZq33M=")</f>
        <v>#REF!</v>
      </c>
      <c r="DM227" t="e">
        <f>AND(Bills!AC978,"AAAAAFZq33Q=")</f>
        <v>#VALUE!</v>
      </c>
      <c r="DN227" t="e">
        <f>AND(Bills!AD978,"AAAAAFZq33U=")</f>
        <v>#VALUE!</v>
      </c>
      <c r="DO227" t="e">
        <f>AND(Bills!AE978,"AAAAAFZq33Y=")</f>
        <v>#VALUE!</v>
      </c>
      <c r="DP227">
        <f>IF(Bills!979:979,"AAAAAFZq33c=",0)</f>
        <v>0</v>
      </c>
      <c r="DQ227" t="e">
        <f>AND(Bills!B979,"AAAAAFZq33g=")</f>
        <v>#VALUE!</v>
      </c>
      <c r="DR227" t="e">
        <f>AND(Bills!#REF!,"AAAAAFZq33k=")</f>
        <v>#REF!</v>
      </c>
      <c r="DS227" t="e">
        <f>AND(Bills!C979,"AAAAAFZq33o=")</f>
        <v>#VALUE!</v>
      </c>
      <c r="DT227" t="e">
        <f>AND(Bills!D979,"AAAAAFZq33s=")</f>
        <v>#VALUE!</v>
      </c>
      <c r="DU227" t="e">
        <f>AND(Bills!E979,"AAAAAFZq33w=")</f>
        <v>#VALUE!</v>
      </c>
      <c r="DV227" t="e">
        <f>AND(Bills!#REF!,"AAAAAFZq330=")</f>
        <v>#REF!</v>
      </c>
      <c r="DW227" t="e">
        <f>AND(Bills!#REF!,"AAAAAFZq334=")</f>
        <v>#REF!</v>
      </c>
      <c r="DX227" t="e">
        <f>AND(Bills!#REF!,"AAAAAFZq338=")</f>
        <v>#REF!</v>
      </c>
      <c r="DY227" t="e">
        <f>AND(Bills!F979,"AAAAAFZq34A=")</f>
        <v>#VALUE!</v>
      </c>
      <c r="DZ227" t="e">
        <f>AND(Bills!#REF!,"AAAAAFZq34E=")</f>
        <v>#REF!</v>
      </c>
      <c r="EA227" t="e">
        <f>AND(Bills!G979,"AAAAAFZq34I=")</f>
        <v>#VALUE!</v>
      </c>
      <c r="EB227" t="e">
        <f>AND(Bills!H979,"AAAAAFZq34M=")</f>
        <v>#VALUE!</v>
      </c>
      <c r="EC227" t="e">
        <f>AND(Bills!I979,"AAAAAFZq34Q=")</f>
        <v>#VALUE!</v>
      </c>
      <c r="ED227" t="e">
        <f>AND(Bills!J979,"AAAAAFZq34U=")</f>
        <v>#VALUE!</v>
      </c>
      <c r="EE227" t="e">
        <f>AND(Bills!K979,"AAAAAFZq34Y=")</f>
        <v>#VALUE!</v>
      </c>
      <c r="EF227" t="e">
        <f>AND(Bills!L979,"AAAAAFZq34c=")</f>
        <v>#VALUE!</v>
      </c>
      <c r="EG227" t="e">
        <f>AND(Bills!#REF!,"AAAAAFZq34g=")</f>
        <v>#REF!</v>
      </c>
      <c r="EH227" t="e">
        <f>AND(Bills!M979,"AAAAAFZq34k=")</f>
        <v>#VALUE!</v>
      </c>
      <c r="EI227" t="e">
        <f>AND(Bills!N979,"AAAAAFZq34o=")</f>
        <v>#VALUE!</v>
      </c>
      <c r="EJ227" t="e">
        <f>AND(Bills!O979,"AAAAAFZq34s=")</f>
        <v>#VALUE!</v>
      </c>
      <c r="EK227" t="e">
        <f>AND(Bills!P979,"AAAAAFZq34w=")</f>
        <v>#VALUE!</v>
      </c>
      <c r="EL227" t="e">
        <f>AND(Bills!Q979,"AAAAAFZq340=")</f>
        <v>#VALUE!</v>
      </c>
      <c r="EM227" t="e">
        <f>AND(Bills!R979,"AAAAAFZq344=")</f>
        <v>#VALUE!</v>
      </c>
      <c r="EN227" t="e">
        <f>AND(Bills!S979,"AAAAAFZq348=")</f>
        <v>#VALUE!</v>
      </c>
      <c r="EO227" t="e">
        <f>AND(Bills!T979,"AAAAAFZq35A=")</f>
        <v>#VALUE!</v>
      </c>
      <c r="EP227" t="e">
        <f>AND(Bills!#REF!,"AAAAAFZq35E=")</f>
        <v>#REF!</v>
      </c>
      <c r="EQ227" t="e">
        <f>AND(Bills!U979,"AAAAAFZq35I=")</f>
        <v>#VALUE!</v>
      </c>
      <c r="ER227" t="e">
        <f>AND(Bills!V979,"AAAAAFZq35M=")</f>
        <v>#VALUE!</v>
      </c>
      <c r="ES227" t="e">
        <f>AND(Bills!W979,"AAAAAFZq35Q=")</f>
        <v>#VALUE!</v>
      </c>
      <c r="ET227" t="e">
        <f>AND(Bills!#REF!,"AAAAAFZq35U=")</f>
        <v>#REF!</v>
      </c>
      <c r="EU227" t="e">
        <f>AND(Bills!#REF!,"AAAAAFZq35Y=")</f>
        <v>#REF!</v>
      </c>
      <c r="EV227" t="e">
        <f>AND(Bills!Y979,"AAAAAFZq35c=")</f>
        <v>#VALUE!</v>
      </c>
      <c r="EW227" t="e">
        <f>AND(Bills!Z979,"AAAAAFZq35g=")</f>
        <v>#VALUE!</v>
      </c>
      <c r="EX227" t="e">
        <f>AND(Bills!#REF!,"AAAAAFZq35k=")</f>
        <v>#REF!</v>
      </c>
      <c r="EY227" t="e">
        <f>AND(Bills!#REF!,"AAAAAFZq35o=")</f>
        <v>#REF!</v>
      </c>
      <c r="EZ227" t="e">
        <f>AND(Bills!#REF!,"AAAAAFZq35s=")</f>
        <v>#REF!</v>
      </c>
      <c r="FA227" t="e">
        <f>AND(Bills!#REF!,"AAAAAFZq35w=")</f>
        <v>#REF!</v>
      </c>
      <c r="FB227" t="e">
        <f>AND(Bills!#REF!,"AAAAAFZq350=")</f>
        <v>#REF!</v>
      </c>
      <c r="FC227" t="e">
        <f>AND(Bills!#REF!,"AAAAAFZq354=")</f>
        <v>#REF!</v>
      </c>
      <c r="FD227" t="e">
        <f>AND(Bills!#REF!,"AAAAAFZq358=")</f>
        <v>#REF!</v>
      </c>
      <c r="FE227" t="e">
        <f>AND(Bills!#REF!,"AAAAAFZq36A=")</f>
        <v>#REF!</v>
      </c>
      <c r="FF227" t="e">
        <f>AND(Bills!#REF!,"AAAAAFZq36E=")</f>
        <v>#REF!</v>
      </c>
      <c r="FG227" t="e">
        <f>AND(Bills!AA979,"AAAAAFZq36I=")</f>
        <v>#VALUE!</v>
      </c>
      <c r="FH227" t="e">
        <f>AND(Bills!AB979,"AAAAAFZq36M=")</f>
        <v>#VALUE!</v>
      </c>
      <c r="FI227" t="e">
        <f>AND(Bills!#REF!,"AAAAAFZq36Q=")</f>
        <v>#REF!</v>
      </c>
      <c r="FJ227" t="e">
        <f>AND(Bills!#REF!,"AAAAAFZq36U=")</f>
        <v>#REF!</v>
      </c>
      <c r="FK227" t="e">
        <f>AND(Bills!#REF!,"AAAAAFZq36Y=")</f>
        <v>#REF!</v>
      </c>
      <c r="FL227" t="e">
        <f>AND(Bills!AC979,"AAAAAFZq36c=")</f>
        <v>#VALUE!</v>
      </c>
      <c r="FM227" t="e">
        <f>AND(Bills!AD979,"AAAAAFZq36g=")</f>
        <v>#VALUE!</v>
      </c>
      <c r="FN227" t="e">
        <f>AND(Bills!AE979,"AAAAAFZq36k=")</f>
        <v>#VALUE!</v>
      </c>
      <c r="FO227">
        <f>IF(Bills!980:980,"AAAAAFZq36o=",0)</f>
        <v>0</v>
      </c>
      <c r="FP227" t="e">
        <f>AND(Bills!B980,"AAAAAFZq36s=")</f>
        <v>#VALUE!</v>
      </c>
      <c r="FQ227" t="e">
        <f>AND(Bills!#REF!,"AAAAAFZq36w=")</f>
        <v>#REF!</v>
      </c>
      <c r="FR227" t="e">
        <f>AND(Bills!C980,"AAAAAFZq360=")</f>
        <v>#VALUE!</v>
      </c>
      <c r="FS227" t="e">
        <f>AND(Bills!D980,"AAAAAFZq364=")</f>
        <v>#VALUE!</v>
      </c>
      <c r="FT227" t="e">
        <f>AND(Bills!E980,"AAAAAFZq368=")</f>
        <v>#VALUE!</v>
      </c>
      <c r="FU227" t="e">
        <f>AND(Bills!#REF!,"AAAAAFZq37A=")</f>
        <v>#REF!</v>
      </c>
      <c r="FV227" t="e">
        <f>AND(Bills!#REF!,"AAAAAFZq37E=")</f>
        <v>#REF!</v>
      </c>
      <c r="FW227" t="e">
        <f>AND(Bills!#REF!,"AAAAAFZq37I=")</f>
        <v>#REF!</v>
      </c>
      <c r="FX227" t="e">
        <f>AND(Bills!F980,"AAAAAFZq37M=")</f>
        <v>#VALUE!</v>
      </c>
      <c r="FY227" t="e">
        <f>AND(Bills!#REF!,"AAAAAFZq37Q=")</f>
        <v>#REF!</v>
      </c>
      <c r="FZ227" t="e">
        <f>AND(Bills!G980,"AAAAAFZq37U=")</f>
        <v>#VALUE!</v>
      </c>
      <c r="GA227" t="e">
        <f>AND(Bills!H980,"AAAAAFZq37Y=")</f>
        <v>#VALUE!</v>
      </c>
      <c r="GB227" t="e">
        <f>AND(Bills!I980,"AAAAAFZq37c=")</f>
        <v>#VALUE!</v>
      </c>
      <c r="GC227" t="e">
        <f>AND(Bills!J980,"AAAAAFZq37g=")</f>
        <v>#VALUE!</v>
      </c>
      <c r="GD227" t="e">
        <f>AND(Bills!K980,"AAAAAFZq37k=")</f>
        <v>#VALUE!</v>
      </c>
      <c r="GE227" t="e">
        <f>AND(Bills!L980,"AAAAAFZq37o=")</f>
        <v>#VALUE!</v>
      </c>
      <c r="GF227" t="e">
        <f>AND(Bills!#REF!,"AAAAAFZq37s=")</f>
        <v>#REF!</v>
      </c>
      <c r="GG227" t="e">
        <f>AND(Bills!M980,"AAAAAFZq37w=")</f>
        <v>#VALUE!</v>
      </c>
      <c r="GH227" t="e">
        <f>AND(Bills!N980,"AAAAAFZq370=")</f>
        <v>#VALUE!</v>
      </c>
      <c r="GI227" t="e">
        <f>AND(Bills!O980,"AAAAAFZq374=")</f>
        <v>#VALUE!</v>
      </c>
      <c r="GJ227" t="e">
        <f>AND(Bills!P980,"AAAAAFZq378=")</f>
        <v>#VALUE!</v>
      </c>
      <c r="GK227" t="e">
        <f>AND(Bills!Q980,"AAAAAFZq38A=")</f>
        <v>#VALUE!</v>
      </c>
      <c r="GL227" t="e">
        <f>AND(Bills!R980,"AAAAAFZq38E=")</f>
        <v>#VALUE!</v>
      </c>
      <c r="GM227" t="e">
        <f>AND(Bills!S980,"AAAAAFZq38I=")</f>
        <v>#VALUE!</v>
      </c>
      <c r="GN227" t="e">
        <f>AND(Bills!T980,"AAAAAFZq38M=")</f>
        <v>#VALUE!</v>
      </c>
      <c r="GO227" t="e">
        <f>AND(Bills!#REF!,"AAAAAFZq38Q=")</f>
        <v>#REF!</v>
      </c>
      <c r="GP227" t="e">
        <f>AND(Bills!U980,"AAAAAFZq38U=")</f>
        <v>#VALUE!</v>
      </c>
      <c r="GQ227" t="e">
        <f>AND(Bills!V980,"AAAAAFZq38Y=")</f>
        <v>#VALUE!</v>
      </c>
      <c r="GR227" t="e">
        <f>AND(Bills!W980,"AAAAAFZq38c=")</f>
        <v>#VALUE!</v>
      </c>
      <c r="GS227" t="e">
        <f>AND(Bills!#REF!,"AAAAAFZq38g=")</f>
        <v>#REF!</v>
      </c>
      <c r="GT227" t="e">
        <f>AND(Bills!#REF!,"AAAAAFZq38k=")</f>
        <v>#REF!</v>
      </c>
      <c r="GU227" t="e">
        <f>AND(Bills!Y980,"AAAAAFZq38o=")</f>
        <v>#VALUE!</v>
      </c>
      <c r="GV227" t="e">
        <f>AND(Bills!Z980,"AAAAAFZq38s=")</f>
        <v>#VALUE!</v>
      </c>
      <c r="GW227" t="e">
        <f>AND(Bills!#REF!,"AAAAAFZq38w=")</f>
        <v>#REF!</v>
      </c>
      <c r="GX227" t="e">
        <f>AND(Bills!#REF!,"AAAAAFZq380=")</f>
        <v>#REF!</v>
      </c>
      <c r="GY227" t="e">
        <f>AND(Bills!#REF!,"AAAAAFZq384=")</f>
        <v>#REF!</v>
      </c>
      <c r="GZ227" t="e">
        <f>AND(Bills!#REF!,"AAAAAFZq388=")</f>
        <v>#REF!</v>
      </c>
      <c r="HA227" t="e">
        <f>AND(Bills!#REF!,"AAAAAFZq39A=")</f>
        <v>#REF!</v>
      </c>
      <c r="HB227" t="e">
        <f>AND(Bills!#REF!,"AAAAAFZq39E=")</f>
        <v>#REF!</v>
      </c>
      <c r="HC227" t="e">
        <f>AND(Bills!#REF!,"AAAAAFZq39I=")</f>
        <v>#REF!</v>
      </c>
      <c r="HD227" t="e">
        <f>AND(Bills!#REF!,"AAAAAFZq39M=")</f>
        <v>#REF!</v>
      </c>
      <c r="HE227" t="e">
        <f>AND(Bills!#REF!,"AAAAAFZq39Q=")</f>
        <v>#REF!</v>
      </c>
      <c r="HF227" t="e">
        <f>AND(Bills!AA980,"AAAAAFZq39U=")</f>
        <v>#VALUE!</v>
      </c>
      <c r="HG227" t="e">
        <f>AND(Bills!AB980,"AAAAAFZq39Y=")</f>
        <v>#VALUE!</v>
      </c>
      <c r="HH227" t="e">
        <f>AND(Bills!#REF!,"AAAAAFZq39c=")</f>
        <v>#REF!</v>
      </c>
      <c r="HI227" t="e">
        <f>AND(Bills!#REF!,"AAAAAFZq39g=")</f>
        <v>#REF!</v>
      </c>
      <c r="HJ227" t="e">
        <f>AND(Bills!#REF!,"AAAAAFZq39k=")</f>
        <v>#REF!</v>
      </c>
      <c r="HK227" t="e">
        <f>AND(Bills!AC980,"AAAAAFZq39o=")</f>
        <v>#VALUE!</v>
      </c>
      <c r="HL227" t="e">
        <f>AND(Bills!AD980,"AAAAAFZq39s=")</f>
        <v>#VALUE!</v>
      </c>
      <c r="HM227" t="e">
        <f>AND(Bills!AE980,"AAAAAFZq39w=")</f>
        <v>#VALUE!</v>
      </c>
      <c r="HN227">
        <f>IF(Bills!981:981,"AAAAAFZq390=",0)</f>
        <v>0</v>
      </c>
      <c r="HO227" t="e">
        <f>AND(Bills!B981,"AAAAAFZq394=")</f>
        <v>#VALUE!</v>
      </c>
      <c r="HP227" t="e">
        <f>AND(Bills!#REF!,"AAAAAFZq398=")</f>
        <v>#REF!</v>
      </c>
      <c r="HQ227" t="e">
        <f>AND(Bills!C981,"AAAAAFZq3+A=")</f>
        <v>#VALUE!</v>
      </c>
      <c r="HR227" t="e">
        <f>AND(Bills!D981,"AAAAAFZq3+E=")</f>
        <v>#VALUE!</v>
      </c>
      <c r="HS227" t="e">
        <f>AND(Bills!E981,"AAAAAFZq3+I=")</f>
        <v>#VALUE!</v>
      </c>
      <c r="HT227" t="e">
        <f>AND(Bills!#REF!,"AAAAAFZq3+M=")</f>
        <v>#REF!</v>
      </c>
      <c r="HU227" t="e">
        <f>AND(Bills!#REF!,"AAAAAFZq3+Q=")</f>
        <v>#REF!</v>
      </c>
      <c r="HV227" t="e">
        <f>AND(Bills!#REF!,"AAAAAFZq3+U=")</f>
        <v>#REF!</v>
      </c>
      <c r="HW227" t="e">
        <f>AND(Bills!F981,"AAAAAFZq3+Y=")</f>
        <v>#VALUE!</v>
      </c>
      <c r="HX227" t="e">
        <f>AND(Bills!#REF!,"AAAAAFZq3+c=")</f>
        <v>#REF!</v>
      </c>
      <c r="HY227" t="e">
        <f>AND(Bills!G981,"AAAAAFZq3+g=")</f>
        <v>#VALUE!</v>
      </c>
      <c r="HZ227" t="e">
        <f>AND(Bills!H981,"AAAAAFZq3+k=")</f>
        <v>#VALUE!</v>
      </c>
      <c r="IA227" t="e">
        <f>AND(Bills!I981,"AAAAAFZq3+o=")</f>
        <v>#VALUE!</v>
      </c>
      <c r="IB227" t="e">
        <f>AND(Bills!J981,"AAAAAFZq3+s=")</f>
        <v>#VALUE!</v>
      </c>
      <c r="IC227" t="e">
        <f>AND(Bills!K981,"AAAAAFZq3+w=")</f>
        <v>#VALUE!</v>
      </c>
      <c r="ID227" t="e">
        <f>AND(Bills!L981,"AAAAAFZq3+0=")</f>
        <v>#VALUE!</v>
      </c>
      <c r="IE227" t="e">
        <f>AND(Bills!#REF!,"AAAAAFZq3+4=")</f>
        <v>#REF!</v>
      </c>
      <c r="IF227" t="e">
        <f>AND(Bills!M981,"AAAAAFZq3+8=")</f>
        <v>#VALUE!</v>
      </c>
      <c r="IG227" t="e">
        <f>AND(Bills!N981,"AAAAAFZq3/A=")</f>
        <v>#VALUE!</v>
      </c>
      <c r="IH227" t="e">
        <f>AND(Bills!O981,"AAAAAFZq3/E=")</f>
        <v>#VALUE!</v>
      </c>
      <c r="II227" t="e">
        <f>AND(Bills!P981,"AAAAAFZq3/I=")</f>
        <v>#VALUE!</v>
      </c>
      <c r="IJ227" t="e">
        <f>AND(Bills!Q981,"AAAAAFZq3/M=")</f>
        <v>#VALUE!</v>
      </c>
      <c r="IK227" t="e">
        <f>AND(Bills!R981,"AAAAAFZq3/Q=")</f>
        <v>#VALUE!</v>
      </c>
      <c r="IL227" t="e">
        <f>AND(Bills!S981,"AAAAAFZq3/U=")</f>
        <v>#VALUE!</v>
      </c>
      <c r="IM227" t="e">
        <f>AND(Bills!T981,"AAAAAFZq3/Y=")</f>
        <v>#VALUE!</v>
      </c>
      <c r="IN227" t="e">
        <f>AND(Bills!#REF!,"AAAAAFZq3/c=")</f>
        <v>#REF!</v>
      </c>
      <c r="IO227" t="e">
        <f>AND(Bills!U981,"AAAAAFZq3/g=")</f>
        <v>#VALUE!</v>
      </c>
      <c r="IP227" t="e">
        <f>AND(Bills!V981,"AAAAAFZq3/k=")</f>
        <v>#VALUE!</v>
      </c>
      <c r="IQ227" t="e">
        <f>AND(Bills!W981,"AAAAAFZq3/o=")</f>
        <v>#VALUE!</v>
      </c>
      <c r="IR227" t="e">
        <f>AND(Bills!#REF!,"AAAAAFZq3/s=")</f>
        <v>#REF!</v>
      </c>
      <c r="IS227" t="e">
        <f>AND(Bills!#REF!,"AAAAAFZq3/w=")</f>
        <v>#REF!</v>
      </c>
      <c r="IT227" t="e">
        <f>AND(Bills!Y981,"AAAAAFZq3/0=")</f>
        <v>#VALUE!</v>
      </c>
      <c r="IU227" t="e">
        <f>AND(Bills!Z981,"AAAAAFZq3/4=")</f>
        <v>#VALUE!</v>
      </c>
      <c r="IV227" t="e">
        <f>AND(Bills!#REF!,"AAAAAFZq3/8=")</f>
        <v>#REF!</v>
      </c>
    </row>
    <row r="228" spans="1:256" x14ac:dyDescent="0.25">
      <c r="A228" t="e">
        <f>AND(Bills!#REF!,"AAAAAH9b9wA=")</f>
        <v>#REF!</v>
      </c>
      <c r="B228" t="e">
        <f>AND(Bills!#REF!,"AAAAAH9b9wE=")</f>
        <v>#REF!</v>
      </c>
      <c r="C228" t="e">
        <f>AND(Bills!#REF!,"AAAAAH9b9wI=")</f>
        <v>#REF!</v>
      </c>
      <c r="D228" t="e">
        <f>AND(Bills!#REF!,"AAAAAH9b9wM=")</f>
        <v>#REF!</v>
      </c>
      <c r="E228" t="e">
        <f>AND(Bills!#REF!,"AAAAAH9b9wQ=")</f>
        <v>#REF!</v>
      </c>
      <c r="F228" t="e">
        <f>AND(Bills!#REF!,"AAAAAH9b9wU=")</f>
        <v>#REF!</v>
      </c>
      <c r="G228" t="e">
        <f>AND(Bills!#REF!,"AAAAAH9b9wY=")</f>
        <v>#REF!</v>
      </c>
      <c r="H228" t="e">
        <f>AND(Bills!#REF!,"AAAAAH9b9wc=")</f>
        <v>#REF!</v>
      </c>
      <c r="I228" t="e">
        <f>AND(Bills!AA981,"AAAAAH9b9wg=")</f>
        <v>#VALUE!</v>
      </c>
      <c r="J228" t="e">
        <f>AND(Bills!AB981,"AAAAAH9b9wk=")</f>
        <v>#VALUE!</v>
      </c>
      <c r="K228" t="e">
        <f>AND(Bills!#REF!,"AAAAAH9b9wo=")</f>
        <v>#REF!</v>
      </c>
      <c r="L228" t="e">
        <f>AND(Bills!#REF!,"AAAAAH9b9ws=")</f>
        <v>#REF!</v>
      </c>
      <c r="M228" t="e">
        <f>AND(Bills!#REF!,"AAAAAH9b9ww=")</f>
        <v>#REF!</v>
      </c>
      <c r="N228" t="e">
        <f>AND(Bills!AC981,"AAAAAH9b9w0=")</f>
        <v>#VALUE!</v>
      </c>
      <c r="O228" t="e">
        <f>AND(Bills!AD981,"AAAAAH9b9w4=")</f>
        <v>#VALUE!</v>
      </c>
      <c r="P228" t="e">
        <f>AND(Bills!AE981,"AAAAAH9b9w8=")</f>
        <v>#VALUE!</v>
      </c>
      <c r="Q228">
        <f>IF(Bills!982:982,"AAAAAH9b9xA=",0)</f>
        <v>0</v>
      </c>
      <c r="R228" t="e">
        <f>AND(Bills!B982,"AAAAAH9b9xE=")</f>
        <v>#VALUE!</v>
      </c>
      <c r="S228" t="e">
        <f>AND(Bills!#REF!,"AAAAAH9b9xI=")</f>
        <v>#REF!</v>
      </c>
      <c r="T228" t="e">
        <f>AND(Bills!C982,"AAAAAH9b9xM=")</f>
        <v>#VALUE!</v>
      </c>
      <c r="U228" t="e">
        <f>AND(Bills!D982,"AAAAAH9b9xQ=")</f>
        <v>#VALUE!</v>
      </c>
      <c r="V228" t="e">
        <f>AND(Bills!E982,"AAAAAH9b9xU=")</f>
        <v>#VALUE!</v>
      </c>
      <c r="W228" t="e">
        <f>AND(Bills!#REF!,"AAAAAH9b9xY=")</f>
        <v>#REF!</v>
      </c>
      <c r="X228" t="e">
        <f>AND(Bills!#REF!,"AAAAAH9b9xc=")</f>
        <v>#REF!</v>
      </c>
      <c r="Y228" t="e">
        <f>AND(Bills!#REF!,"AAAAAH9b9xg=")</f>
        <v>#REF!</v>
      </c>
      <c r="Z228" t="e">
        <f>AND(Bills!F982,"AAAAAH9b9xk=")</f>
        <v>#VALUE!</v>
      </c>
      <c r="AA228" t="e">
        <f>AND(Bills!#REF!,"AAAAAH9b9xo=")</f>
        <v>#REF!</v>
      </c>
      <c r="AB228" t="e">
        <f>AND(Bills!G982,"AAAAAH9b9xs=")</f>
        <v>#VALUE!</v>
      </c>
      <c r="AC228" t="e">
        <f>AND(Bills!H982,"AAAAAH9b9xw=")</f>
        <v>#VALUE!</v>
      </c>
      <c r="AD228" t="e">
        <f>AND(Bills!I982,"AAAAAH9b9x0=")</f>
        <v>#VALUE!</v>
      </c>
      <c r="AE228" t="e">
        <f>AND(Bills!J982,"AAAAAH9b9x4=")</f>
        <v>#VALUE!</v>
      </c>
      <c r="AF228" t="e">
        <f>AND(Bills!K982,"AAAAAH9b9x8=")</f>
        <v>#VALUE!</v>
      </c>
      <c r="AG228" t="e">
        <f>AND(Bills!L982,"AAAAAH9b9yA=")</f>
        <v>#VALUE!</v>
      </c>
      <c r="AH228" t="e">
        <f>AND(Bills!#REF!,"AAAAAH9b9yE=")</f>
        <v>#REF!</v>
      </c>
      <c r="AI228" t="e">
        <f>AND(Bills!M982,"AAAAAH9b9yI=")</f>
        <v>#VALUE!</v>
      </c>
      <c r="AJ228" t="e">
        <f>AND(Bills!N982,"AAAAAH9b9yM=")</f>
        <v>#VALUE!</v>
      </c>
      <c r="AK228" t="e">
        <f>AND(Bills!O982,"AAAAAH9b9yQ=")</f>
        <v>#VALUE!</v>
      </c>
      <c r="AL228" t="e">
        <f>AND(Bills!P982,"AAAAAH9b9yU=")</f>
        <v>#VALUE!</v>
      </c>
      <c r="AM228" t="e">
        <f>AND(Bills!Q982,"AAAAAH9b9yY=")</f>
        <v>#VALUE!</v>
      </c>
      <c r="AN228" t="e">
        <f>AND(Bills!R982,"AAAAAH9b9yc=")</f>
        <v>#VALUE!</v>
      </c>
      <c r="AO228" t="e">
        <f>AND(Bills!S982,"AAAAAH9b9yg=")</f>
        <v>#VALUE!</v>
      </c>
      <c r="AP228" t="e">
        <f>AND(Bills!T982,"AAAAAH9b9yk=")</f>
        <v>#VALUE!</v>
      </c>
      <c r="AQ228" t="e">
        <f>AND(Bills!#REF!,"AAAAAH9b9yo=")</f>
        <v>#REF!</v>
      </c>
      <c r="AR228" t="e">
        <f>AND(Bills!U982,"AAAAAH9b9ys=")</f>
        <v>#VALUE!</v>
      </c>
      <c r="AS228" t="e">
        <f>AND(Bills!V982,"AAAAAH9b9yw=")</f>
        <v>#VALUE!</v>
      </c>
      <c r="AT228" t="e">
        <f>AND(Bills!W982,"AAAAAH9b9y0=")</f>
        <v>#VALUE!</v>
      </c>
      <c r="AU228" t="e">
        <f>AND(Bills!#REF!,"AAAAAH9b9y4=")</f>
        <v>#REF!</v>
      </c>
      <c r="AV228" t="e">
        <f>AND(Bills!#REF!,"AAAAAH9b9y8=")</f>
        <v>#REF!</v>
      </c>
      <c r="AW228" t="e">
        <f>AND(Bills!Y982,"AAAAAH9b9zA=")</f>
        <v>#VALUE!</v>
      </c>
      <c r="AX228" t="e">
        <f>AND(Bills!Z982,"AAAAAH9b9zE=")</f>
        <v>#VALUE!</v>
      </c>
      <c r="AY228" t="e">
        <f>AND(Bills!#REF!,"AAAAAH9b9zI=")</f>
        <v>#REF!</v>
      </c>
      <c r="AZ228" t="e">
        <f>AND(Bills!#REF!,"AAAAAH9b9zM=")</f>
        <v>#REF!</v>
      </c>
      <c r="BA228" t="e">
        <f>AND(Bills!#REF!,"AAAAAH9b9zQ=")</f>
        <v>#REF!</v>
      </c>
      <c r="BB228" t="e">
        <f>AND(Bills!#REF!,"AAAAAH9b9zU=")</f>
        <v>#REF!</v>
      </c>
      <c r="BC228" t="e">
        <f>AND(Bills!#REF!,"AAAAAH9b9zY=")</f>
        <v>#REF!</v>
      </c>
      <c r="BD228" t="e">
        <f>AND(Bills!#REF!,"AAAAAH9b9zc=")</f>
        <v>#REF!</v>
      </c>
      <c r="BE228" t="e">
        <f>AND(Bills!#REF!,"AAAAAH9b9zg=")</f>
        <v>#REF!</v>
      </c>
      <c r="BF228" t="e">
        <f>AND(Bills!#REF!,"AAAAAH9b9zk=")</f>
        <v>#REF!</v>
      </c>
      <c r="BG228" t="e">
        <f>AND(Bills!#REF!,"AAAAAH9b9zo=")</f>
        <v>#REF!</v>
      </c>
      <c r="BH228" t="e">
        <f>AND(Bills!AA982,"AAAAAH9b9zs=")</f>
        <v>#VALUE!</v>
      </c>
      <c r="BI228" t="e">
        <f>AND(Bills!AB982,"AAAAAH9b9zw=")</f>
        <v>#VALUE!</v>
      </c>
      <c r="BJ228" t="e">
        <f>AND(Bills!#REF!,"AAAAAH9b9z0=")</f>
        <v>#REF!</v>
      </c>
      <c r="BK228" t="e">
        <f>AND(Bills!#REF!,"AAAAAH9b9z4=")</f>
        <v>#REF!</v>
      </c>
      <c r="BL228" t="e">
        <f>AND(Bills!#REF!,"AAAAAH9b9z8=")</f>
        <v>#REF!</v>
      </c>
      <c r="BM228" t="e">
        <f>AND(Bills!AC982,"AAAAAH9b90A=")</f>
        <v>#VALUE!</v>
      </c>
      <c r="BN228" t="e">
        <f>AND(Bills!AD982,"AAAAAH9b90E=")</f>
        <v>#VALUE!</v>
      </c>
      <c r="BO228" t="e">
        <f>AND(Bills!AE982,"AAAAAH9b90I=")</f>
        <v>#VALUE!</v>
      </c>
      <c r="BP228">
        <f>IF(Bills!983:983,"AAAAAH9b90M=",0)</f>
        <v>0</v>
      </c>
      <c r="BQ228" t="e">
        <f>AND(Bills!B983,"AAAAAH9b90Q=")</f>
        <v>#VALUE!</v>
      </c>
      <c r="BR228" t="e">
        <f>AND(Bills!#REF!,"AAAAAH9b90U=")</f>
        <v>#REF!</v>
      </c>
      <c r="BS228" t="e">
        <f>AND(Bills!C983,"AAAAAH9b90Y=")</f>
        <v>#VALUE!</v>
      </c>
      <c r="BT228" t="e">
        <f>AND(Bills!D983,"AAAAAH9b90c=")</f>
        <v>#VALUE!</v>
      </c>
      <c r="BU228" t="e">
        <f>AND(Bills!E983,"AAAAAH9b90g=")</f>
        <v>#VALUE!</v>
      </c>
      <c r="BV228" t="e">
        <f>AND(Bills!#REF!,"AAAAAH9b90k=")</f>
        <v>#REF!</v>
      </c>
      <c r="BW228" t="e">
        <f>AND(Bills!#REF!,"AAAAAH9b90o=")</f>
        <v>#REF!</v>
      </c>
      <c r="BX228" t="e">
        <f>AND(Bills!#REF!,"AAAAAH9b90s=")</f>
        <v>#REF!</v>
      </c>
      <c r="BY228" t="e">
        <f>AND(Bills!F983,"AAAAAH9b90w=")</f>
        <v>#VALUE!</v>
      </c>
      <c r="BZ228" t="e">
        <f>AND(Bills!#REF!,"AAAAAH9b900=")</f>
        <v>#REF!</v>
      </c>
      <c r="CA228" t="e">
        <f>AND(Bills!G983,"AAAAAH9b904=")</f>
        <v>#VALUE!</v>
      </c>
      <c r="CB228" t="e">
        <f>AND(Bills!H983,"AAAAAH9b908=")</f>
        <v>#VALUE!</v>
      </c>
      <c r="CC228" t="e">
        <f>AND(Bills!I983,"AAAAAH9b91A=")</f>
        <v>#VALUE!</v>
      </c>
      <c r="CD228" t="e">
        <f>AND(Bills!J983,"AAAAAH9b91E=")</f>
        <v>#VALUE!</v>
      </c>
      <c r="CE228" t="e">
        <f>AND(Bills!K983,"AAAAAH9b91I=")</f>
        <v>#VALUE!</v>
      </c>
      <c r="CF228" t="e">
        <f>AND(Bills!L983,"AAAAAH9b91M=")</f>
        <v>#VALUE!</v>
      </c>
      <c r="CG228" t="e">
        <f>AND(Bills!#REF!,"AAAAAH9b91Q=")</f>
        <v>#REF!</v>
      </c>
      <c r="CH228" t="e">
        <f>AND(Bills!M983,"AAAAAH9b91U=")</f>
        <v>#VALUE!</v>
      </c>
      <c r="CI228" t="e">
        <f>AND(Bills!N983,"AAAAAH9b91Y=")</f>
        <v>#VALUE!</v>
      </c>
      <c r="CJ228" t="e">
        <f>AND(Bills!O983,"AAAAAH9b91c=")</f>
        <v>#VALUE!</v>
      </c>
      <c r="CK228" t="e">
        <f>AND(Bills!P983,"AAAAAH9b91g=")</f>
        <v>#VALUE!</v>
      </c>
      <c r="CL228" t="e">
        <f>AND(Bills!Q983,"AAAAAH9b91k=")</f>
        <v>#VALUE!</v>
      </c>
      <c r="CM228" t="e">
        <f>AND(Bills!R983,"AAAAAH9b91o=")</f>
        <v>#VALUE!</v>
      </c>
      <c r="CN228" t="e">
        <f>AND(Bills!S983,"AAAAAH9b91s=")</f>
        <v>#VALUE!</v>
      </c>
      <c r="CO228" t="e">
        <f>AND(Bills!T983,"AAAAAH9b91w=")</f>
        <v>#VALUE!</v>
      </c>
      <c r="CP228" t="e">
        <f>AND(Bills!#REF!,"AAAAAH9b910=")</f>
        <v>#REF!</v>
      </c>
      <c r="CQ228" t="e">
        <f>AND(Bills!U983,"AAAAAH9b914=")</f>
        <v>#VALUE!</v>
      </c>
      <c r="CR228" t="e">
        <f>AND(Bills!V983,"AAAAAH9b918=")</f>
        <v>#VALUE!</v>
      </c>
      <c r="CS228" t="e">
        <f>AND(Bills!W983,"AAAAAH9b92A=")</f>
        <v>#VALUE!</v>
      </c>
      <c r="CT228" t="e">
        <f>AND(Bills!#REF!,"AAAAAH9b92E=")</f>
        <v>#REF!</v>
      </c>
      <c r="CU228" t="e">
        <f>AND(Bills!#REF!,"AAAAAH9b92I=")</f>
        <v>#REF!</v>
      </c>
      <c r="CV228" t="e">
        <f>AND(Bills!Y983,"AAAAAH9b92M=")</f>
        <v>#VALUE!</v>
      </c>
      <c r="CW228" t="e">
        <f>AND(Bills!Z983,"AAAAAH9b92Q=")</f>
        <v>#VALUE!</v>
      </c>
      <c r="CX228" t="e">
        <f>AND(Bills!#REF!,"AAAAAH9b92U=")</f>
        <v>#REF!</v>
      </c>
      <c r="CY228" t="e">
        <f>AND(Bills!#REF!,"AAAAAH9b92Y=")</f>
        <v>#REF!</v>
      </c>
      <c r="CZ228" t="e">
        <f>AND(Bills!#REF!,"AAAAAH9b92c=")</f>
        <v>#REF!</v>
      </c>
      <c r="DA228" t="e">
        <f>AND(Bills!#REF!,"AAAAAH9b92g=")</f>
        <v>#REF!</v>
      </c>
      <c r="DB228" t="e">
        <f>AND(Bills!#REF!,"AAAAAH9b92k=")</f>
        <v>#REF!</v>
      </c>
      <c r="DC228" t="e">
        <f>AND(Bills!#REF!,"AAAAAH9b92o=")</f>
        <v>#REF!</v>
      </c>
      <c r="DD228" t="e">
        <f>AND(Bills!#REF!,"AAAAAH9b92s=")</f>
        <v>#REF!</v>
      </c>
      <c r="DE228" t="e">
        <f>AND(Bills!#REF!,"AAAAAH9b92w=")</f>
        <v>#REF!</v>
      </c>
      <c r="DF228" t="e">
        <f>AND(Bills!#REF!,"AAAAAH9b920=")</f>
        <v>#REF!</v>
      </c>
      <c r="DG228" t="e">
        <f>AND(Bills!AA983,"AAAAAH9b924=")</f>
        <v>#VALUE!</v>
      </c>
      <c r="DH228" t="e">
        <f>AND(Bills!AB983,"AAAAAH9b928=")</f>
        <v>#VALUE!</v>
      </c>
      <c r="DI228" t="e">
        <f>AND(Bills!#REF!,"AAAAAH9b93A=")</f>
        <v>#REF!</v>
      </c>
      <c r="DJ228" t="e">
        <f>AND(Bills!#REF!,"AAAAAH9b93E=")</f>
        <v>#REF!</v>
      </c>
      <c r="DK228" t="e">
        <f>AND(Bills!#REF!,"AAAAAH9b93I=")</f>
        <v>#REF!</v>
      </c>
      <c r="DL228" t="e">
        <f>AND(Bills!AC983,"AAAAAH9b93M=")</f>
        <v>#VALUE!</v>
      </c>
      <c r="DM228" t="e">
        <f>AND(Bills!AD983,"AAAAAH9b93Q=")</f>
        <v>#VALUE!</v>
      </c>
      <c r="DN228" t="e">
        <f>AND(Bills!AE983,"AAAAAH9b93U=")</f>
        <v>#VALUE!</v>
      </c>
      <c r="DO228">
        <f>IF(Bills!984:984,"AAAAAH9b93Y=",0)</f>
        <v>0</v>
      </c>
      <c r="DP228" t="e">
        <f>AND(Bills!B984,"AAAAAH9b93c=")</f>
        <v>#VALUE!</v>
      </c>
      <c r="DQ228" t="e">
        <f>AND(Bills!#REF!,"AAAAAH9b93g=")</f>
        <v>#REF!</v>
      </c>
      <c r="DR228" t="e">
        <f>AND(Bills!C984,"AAAAAH9b93k=")</f>
        <v>#VALUE!</v>
      </c>
      <c r="DS228" t="e">
        <f>AND(Bills!D984,"AAAAAH9b93o=")</f>
        <v>#VALUE!</v>
      </c>
      <c r="DT228" t="e">
        <f>AND(Bills!E984,"AAAAAH9b93s=")</f>
        <v>#VALUE!</v>
      </c>
      <c r="DU228" t="e">
        <f>AND(Bills!#REF!,"AAAAAH9b93w=")</f>
        <v>#REF!</v>
      </c>
      <c r="DV228" t="e">
        <f>AND(Bills!#REF!,"AAAAAH9b930=")</f>
        <v>#REF!</v>
      </c>
      <c r="DW228" t="e">
        <f>AND(Bills!#REF!,"AAAAAH9b934=")</f>
        <v>#REF!</v>
      </c>
      <c r="DX228" t="e">
        <f>AND(Bills!F984,"AAAAAH9b938=")</f>
        <v>#VALUE!</v>
      </c>
      <c r="DY228" t="e">
        <f>AND(Bills!#REF!,"AAAAAH9b94A=")</f>
        <v>#REF!</v>
      </c>
      <c r="DZ228" t="e">
        <f>AND(Bills!G984,"AAAAAH9b94E=")</f>
        <v>#VALUE!</v>
      </c>
      <c r="EA228" t="e">
        <f>AND(Bills!H984,"AAAAAH9b94I=")</f>
        <v>#VALUE!</v>
      </c>
      <c r="EB228" t="e">
        <f>AND(Bills!I984,"AAAAAH9b94M=")</f>
        <v>#VALUE!</v>
      </c>
      <c r="EC228" t="e">
        <f>AND(Bills!J984,"AAAAAH9b94Q=")</f>
        <v>#VALUE!</v>
      </c>
      <c r="ED228" t="e">
        <f>AND(Bills!K984,"AAAAAH9b94U=")</f>
        <v>#VALUE!</v>
      </c>
      <c r="EE228" t="e">
        <f>AND(Bills!L984,"AAAAAH9b94Y=")</f>
        <v>#VALUE!</v>
      </c>
      <c r="EF228" t="e">
        <f>AND(Bills!#REF!,"AAAAAH9b94c=")</f>
        <v>#REF!</v>
      </c>
      <c r="EG228" t="e">
        <f>AND(Bills!M984,"AAAAAH9b94g=")</f>
        <v>#VALUE!</v>
      </c>
      <c r="EH228" t="e">
        <f>AND(Bills!N984,"AAAAAH9b94k=")</f>
        <v>#VALUE!</v>
      </c>
      <c r="EI228" t="e">
        <f>AND(Bills!O984,"AAAAAH9b94o=")</f>
        <v>#VALUE!</v>
      </c>
      <c r="EJ228" t="e">
        <f>AND(Bills!P984,"AAAAAH9b94s=")</f>
        <v>#VALUE!</v>
      </c>
      <c r="EK228" t="e">
        <f>AND(Bills!Q984,"AAAAAH9b94w=")</f>
        <v>#VALUE!</v>
      </c>
      <c r="EL228" t="e">
        <f>AND(Bills!R984,"AAAAAH9b940=")</f>
        <v>#VALUE!</v>
      </c>
      <c r="EM228" t="e">
        <f>AND(Bills!S984,"AAAAAH9b944=")</f>
        <v>#VALUE!</v>
      </c>
      <c r="EN228" t="e">
        <f>AND(Bills!T984,"AAAAAH9b948=")</f>
        <v>#VALUE!</v>
      </c>
      <c r="EO228" t="e">
        <f>AND(Bills!#REF!,"AAAAAH9b95A=")</f>
        <v>#REF!</v>
      </c>
      <c r="EP228" t="e">
        <f>AND(Bills!U984,"AAAAAH9b95E=")</f>
        <v>#VALUE!</v>
      </c>
      <c r="EQ228" t="e">
        <f>AND(Bills!V984,"AAAAAH9b95I=")</f>
        <v>#VALUE!</v>
      </c>
      <c r="ER228" t="e">
        <f>AND(Bills!W984,"AAAAAH9b95M=")</f>
        <v>#VALUE!</v>
      </c>
      <c r="ES228" t="e">
        <f>AND(Bills!#REF!,"AAAAAH9b95Q=")</f>
        <v>#REF!</v>
      </c>
      <c r="ET228" t="e">
        <f>AND(Bills!#REF!,"AAAAAH9b95U=")</f>
        <v>#REF!</v>
      </c>
      <c r="EU228" t="e">
        <f>AND(Bills!Y984,"AAAAAH9b95Y=")</f>
        <v>#VALUE!</v>
      </c>
      <c r="EV228" t="e">
        <f>AND(Bills!Z984,"AAAAAH9b95c=")</f>
        <v>#VALUE!</v>
      </c>
      <c r="EW228" t="e">
        <f>AND(Bills!#REF!,"AAAAAH9b95g=")</f>
        <v>#REF!</v>
      </c>
      <c r="EX228" t="e">
        <f>AND(Bills!#REF!,"AAAAAH9b95k=")</f>
        <v>#REF!</v>
      </c>
      <c r="EY228" t="e">
        <f>AND(Bills!#REF!,"AAAAAH9b95o=")</f>
        <v>#REF!</v>
      </c>
      <c r="EZ228" t="e">
        <f>AND(Bills!#REF!,"AAAAAH9b95s=")</f>
        <v>#REF!</v>
      </c>
      <c r="FA228" t="e">
        <f>AND(Bills!#REF!,"AAAAAH9b95w=")</f>
        <v>#REF!</v>
      </c>
      <c r="FB228" t="e">
        <f>AND(Bills!#REF!,"AAAAAH9b950=")</f>
        <v>#REF!</v>
      </c>
      <c r="FC228" t="e">
        <f>AND(Bills!#REF!,"AAAAAH9b954=")</f>
        <v>#REF!</v>
      </c>
      <c r="FD228" t="e">
        <f>AND(Bills!#REF!,"AAAAAH9b958=")</f>
        <v>#REF!</v>
      </c>
      <c r="FE228" t="e">
        <f>AND(Bills!#REF!,"AAAAAH9b96A=")</f>
        <v>#REF!</v>
      </c>
      <c r="FF228" t="e">
        <f>AND(Bills!AA984,"AAAAAH9b96E=")</f>
        <v>#VALUE!</v>
      </c>
      <c r="FG228" t="e">
        <f>AND(Bills!AB984,"AAAAAH9b96I=")</f>
        <v>#VALUE!</v>
      </c>
      <c r="FH228" t="e">
        <f>AND(Bills!#REF!,"AAAAAH9b96M=")</f>
        <v>#REF!</v>
      </c>
      <c r="FI228" t="e">
        <f>AND(Bills!#REF!,"AAAAAH9b96Q=")</f>
        <v>#REF!</v>
      </c>
      <c r="FJ228" t="e">
        <f>AND(Bills!#REF!,"AAAAAH9b96U=")</f>
        <v>#REF!</v>
      </c>
      <c r="FK228" t="e">
        <f>AND(Bills!AC984,"AAAAAH9b96Y=")</f>
        <v>#VALUE!</v>
      </c>
      <c r="FL228" t="e">
        <f>AND(Bills!AD984,"AAAAAH9b96c=")</f>
        <v>#VALUE!</v>
      </c>
      <c r="FM228" t="e">
        <f>AND(Bills!AE984,"AAAAAH9b96g=")</f>
        <v>#VALUE!</v>
      </c>
      <c r="FN228">
        <f>IF(Bills!985:985,"AAAAAH9b96k=",0)</f>
        <v>0</v>
      </c>
      <c r="FO228" t="e">
        <f>AND(Bills!B985,"AAAAAH9b96o=")</f>
        <v>#VALUE!</v>
      </c>
      <c r="FP228" t="e">
        <f>AND(Bills!#REF!,"AAAAAH9b96s=")</f>
        <v>#REF!</v>
      </c>
      <c r="FQ228" t="e">
        <f>AND(Bills!C985,"AAAAAH9b96w=")</f>
        <v>#VALUE!</v>
      </c>
      <c r="FR228" t="e">
        <f>AND(Bills!D985,"AAAAAH9b960=")</f>
        <v>#VALUE!</v>
      </c>
      <c r="FS228" t="e">
        <f>AND(Bills!E985,"AAAAAH9b964=")</f>
        <v>#VALUE!</v>
      </c>
      <c r="FT228" t="e">
        <f>AND(Bills!#REF!,"AAAAAH9b968=")</f>
        <v>#REF!</v>
      </c>
      <c r="FU228" t="e">
        <f>AND(Bills!#REF!,"AAAAAH9b97A=")</f>
        <v>#REF!</v>
      </c>
      <c r="FV228" t="e">
        <f>AND(Bills!#REF!,"AAAAAH9b97E=")</f>
        <v>#REF!</v>
      </c>
      <c r="FW228" t="e">
        <f>AND(Bills!F985,"AAAAAH9b97I=")</f>
        <v>#VALUE!</v>
      </c>
      <c r="FX228" t="e">
        <f>AND(Bills!#REF!,"AAAAAH9b97M=")</f>
        <v>#REF!</v>
      </c>
      <c r="FY228" t="e">
        <f>AND(Bills!G985,"AAAAAH9b97Q=")</f>
        <v>#VALUE!</v>
      </c>
      <c r="FZ228" t="e">
        <f>AND(Bills!H985,"AAAAAH9b97U=")</f>
        <v>#VALUE!</v>
      </c>
      <c r="GA228" t="e">
        <f>AND(Bills!I985,"AAAAAH9b97Y=")</f>
        <v>#VALUE!</v>
      </c>
      <c r="GB228" t="e">
        <f>AND(Bills!J985,"AAAAAH9b97c=")</f>
        <v>#VALUE!</v>
      </c>
      <c r="GC228" t="e">
        <f>AND(Bills!K985,"AAAAAH9b97g=")</f>
        <v>#VALUE!</v>
      </c>
      <c r="GD228" t="e">
        <f>AND(Bills!L985,"AAAAAH9b97k=")</f>
        <v>#VALUE!</v>
      </c>
      <c r="GE228" t="e">
        <f>AND(Bills!#REF!,"AAAAAH9b97o=")</f>
        <v>#REF!</v>
      </c>
      <c r="GF228" t="e">
        <f>AND(Bills!M985,"AAAAAH9b97s=")</f>
        <v>#VALUE!</v>
      </c>
      <c r="GG228" t="e">
        <f>AND(Bills!N985,"AAAAAH9b97w=")</f>
        <v>#VALUE!</v>
      </c>
      <c r="GH228" t="e">
        <f>AND(Bills!O985,"AAAAAH9b970=")</f>
        <v>#VALUE!</v>
      </c>
      <c r="GI228" t="e">
        <f>AND(Bills!P985,"AAAAAH9b974=")</f>
        <v>#VALUE!</v>
      </c>
      <c r="GJ228" t="e">
        <f>AND(Bills!Q985,"AAAAAH9b978=")</f>
        <v>#VALUE!</v>
      </c>
      <c r="GK228" t="e">
        <f>AND(Bills!R985,"AAAAAH9b98A=")</f>
        <v>#VALUE!</v>
      </c>
      <c r="GL228" t="e">
        <f>AND(Bills!S985,"AAAAAH9b98E=")</f>
        <v>#VALUE!</v>
      </c>
      <c r="GM228" t="e">
        <f>AND(Bills!T985,"AAAAAH9b98I=")</f>
        <v>#VALUE!</v>
      </c>
      <c r="GN228" t="e">
        <f>AND(Bills!#REF!,"AAAAAH9b98M=")</f>
        <v>#REF!</v>
      </c>
      <c r="GO228" t="e">
        <f>AND(Bills!U985,"AAAAAH9b98Q=")</f>
        <v>#VALUE!</v>
      </c>
      <c r="GP228" t="e">
        <f>AND(Bills!V985,"AAAAAH9b98U=")</f>
        <v>#VALUE!</v>
      </c>
      <c r="GQ228" t="e">
        <f>AND(Bills!W985,"AAAAAH9b98Y=")</f>
        <v>#VALUE!</v>
      </c>
      <c r="GR228" t="e">
        <f>AND(Bills!#REF!,"AAAAAH9b98c=")</f>
        <v>#REF!</v>
      </c>
      <c r="GS228" t="e">
        <f>AND(Bills!#REF!,"AAAAAH9b98g=")</f>
        <v>#REF!</v>
      </c>
      <c r="GT228" t="e">
        <f>AND(Bills!Y985,"AAAAAH9b98k=")</f>
        <v>#VALUE!</v>
      </c>
      <c r="GU228" t="e">
        <f>AND(Bills!Z985,"AAAAAH9b98o=")</f>
        <v>#VALUE!</v>
      </c>
      <c r="GV228" t="e">
        <f>AND(Bills!#REF!,"AAAAAH9b98s=")</f>
        <v>#REF!</v>
      </c>
      <c r="GW228" t="e">
        <f>AND(Bills!#REF!,"AAAAAH9b98w=")</f>
        <v>#REF!</v>
      </c>
      <c r="GX228" t="e">
        <f>AND(Bills!#REF!,"AAAAAH9b980=")</f>
        <v>#REF!</v>
      </c>
      <c r="GY228" t="e">
        <f>AND(Bills!#REF!,"AAAAAH9b984=")</f>
        <v>#REF!</v>
      </c>
      <c r="GZ228" t="e">
        <f>AND(Bills!#REF!,"AAAAAH9b988=")</f>
        <v>#REF!</v>
      </c>
      <c r="HA228" t="e">
        <f>AND(Bills!#REF!,"AAAAAH9b99A=")</f>
        <v>#REF!</v>
      </c>
      <c r="HB228" t="e">
        <f>AND(Bills!#REF!,"AAAAAH9b99E=")</f>
        <v>#REF!</v>
      </c>
      <c r="HC228" t="e">
        <f>AND(Bills!#REF!,"AAAAAH9b99I=")</f>
        <v>#REF!</v>
      </c>
      <c r="HD228" t="e">
        <f>AND(Bills!#REF!,"AAAAAH9b99M=")</f>
        <v>#REF!</v>
      </c>
      <c r="HE228" t="e">
        <f>AND(Bills!AA985,"AAAAAH9b99Q=")</f>
        <v>#VALUE!</v>
      </c>
      <c r="HF228" t="e">
        <f>AND(Bills!AB985,"AAAAAH9b99U=")</f>
        <v>#VALUE!</v>
      </c>
      <c r="HG228" t="e">
        <f>AND(Bills!#REF!,"AAAAAH9b99Y=")</f>
        <v>#REF!</v>
      </c>
      <c r="HH228" t="e">
        <f>AND(Bills!#REF!,"AAAAAH9b99c=")</f>
        <v>#REF!</v>
      </c>
      <c r="HI228" t="e">
        <f>AND(Bills!#REF!,"AAAAAH9b99g=")</f>
        <v>#REF!</v>
      </c>
      <c r="HJ228" t="e">
        <f>AND(Bills!AC985,"AAAAAH9b99k=")</f>
        <v>#VALUE!</v>
      </c>
      <c r="HK228" t="e">
        <f>AND(Bills!AD985,"AAAAAH9b99o=")</f>
        <v>#VALUE!</v>
      </c>
      <c r="HL228" t="e">
        <f>AND(Bills!AE985,"AAAAAH9b99s=")</f>
        <v>#VALUE!</v>
      </c>
      <c r="HM228">
        <f>IF(Bills!986:986,"AAAAAH9b99w=",0)</f>
        <v>0</v>
      </c>
      <c r="HN228" t="e">
        <f>AND(Bills!B986,"AAAAAH9b990=")</f>
        <v>#VALUE!</v>
      </c>
      <c r="HO228" t="e">
        <f>AND(Bills!#REF!,"AAAAAH9b994=")</f>
        <v>#REF!</v>
      </c>
      <c r="HP228" t="e">
        <f>AND(Bills!C986,"AAAAAH9b998=")</f>
        <v>#VALUE!</v>
      </c>
      <c r="HQ228" t="e">
        <f>AND(Bills!D986,"AAAAAH9b9+A=")</f>
        <v>#VALUE!</v>
      </c>
      <c r="HR228" t="e">
        <f>AND(Bills!E986,"AAAAAH9b9+E=")</f>
        <v>#VALUE!</v>
      </c>
      <c r="HS228" t="e">
        <f>AND(Bills!#REF!,"AAAAAH9b9+I=")</f>
        <v>#REF!</v>
      </c>
      <c r="HT228" t="e">
        <f>AND(Bills!#REF!,"AAAAAH9b9+M=")</f>
        <v>#REF!</v>
      </c>
      <c r="HU228" t="e">
        <f>AND(Bills!#REF!,"AAAAAH9b9+Q=")</f>
        <v>#REF!</v>
      </c>
      <c r="HV228" t="e">
        <f>AND(Bills!F986,"AAAAAH9b9+U=")</f>
        <v>#VALUE!</v>
      </c>
      <c r="HW228" t="e">
        <f>AND(Bills!#REF!,"AAAAAH9b9+Y=")</f>
        <v>#REF!</v>
      </c>
      <c r="HX228" t="e">
        <f>AND(Bills!G986,"AAAAAH9b9+c=")</f>
        <v>#VALUE!</v>
      </c>
      <c r="HY228" t="e">
        <f>AND(Bills!H986,"AAAAAH9b9+g=")</f>
        <v>#VALUE!</v>
      </c>
      <c r="HZ228" t="e">
        <f>AND(Bills!I986,"AAAAAH9b9+k=")</f>
        <v>#VALUE!</v>
      </c>
      <c r="IA228" t="e">
        <f>AND(Bills!J986,"AAAAAH9b9+o=")</f>
        <v>#VALUE!</v>
      </c>
      <c r="IB228" t="e">
        <f>AND(Bills!K986,"AAAAAH9b9+s=")</f>
        <v>#VALUE!</v>
      </c>
      <c r="IC228" t="e">
        <f>AND(Bills!L986,"AAAAAH9b9+w=")</f>
        <v>#VALUE!</v>
      </c>
      <c r="ID228" t="e">
        <f>AND(Bills!#REF!,"AAAAAH9b9+0=")</f>
        <v>#REF!</v>
      </c>
      <c r="IE228" t="e">
        <f>AND(Bills!M986,"AAAAAH9b9+4=")</f>
        <v>#VALUE!</v>
      </c>
      <c r="IF228" t="e">
        <f>AND(Bills!N986,"AAAAAH9b9+8=")</f>
        <v>#VALUE!</v>
      </c>
      <c r="IG228" t="e">
        <f>AND(Bills!O986,"AAAAAH9b9/A=")</f>
        <v>#VALUE!</v>
      </c>
      <c r="IH228" t="e">
        <f>AND(Bills!P986,"AAAAAH9b9/E=")</f>
        <v>#VALUE!</v>
      </c>
      <c r="II228" t="e">
        <f>AND(Bills!Q986,"AAAAAH9b9/I=")</f>
        <v>#VALUE!</v>
      </c>
      <c r="IJ228" t="e">
        <f>AND(Bills!R986,"AAAAAH9b9/M=")</f>
        <v>#VALUE!</v>
      </c>
      <c r="IK228" t="e">
        <f>AND(Bills!S986,"AAAAAH9b9/Q=")</f>
        <v>#VALUE!</v>
      </c>
      <c r="IL228" t="e">
        <f>AND(Bills!T986,"AAAAAH9b9/U=")</f>
        <v>#VALUE!</v>
      </c>
      <c r="IM228" t="e">
        <f>AND(Bills!#REF!,"AAAAAH9b9/Y=")</f>
        <v>#REF!</v>
      </c>
      <c r="IN228" t="e">
        <f>AND(Bills!U986,"AAAAAH9b9/c=")</f>
        <v>#VALUE!</v>
      </c>
      <c r="IO228" t="e">
        <f>AND(Bills!V986,"AAAAAH9b9/g=")</f>
        <v>#VALUE!</v>
      </c>
      <c r="IP228" t="e">
        <f>AND(Bills!W986,"AAAAAH9b9/k=")</f>
        <v>#VALUE!</v>
      </c>
      <c r="IQ228" t="e">
        <f>AND(Bills!#REF!,"AAAAAH9b9/o=")</f>
        <v>#REF!</v>
      </c>
      <c r="IR228" t="e">
        <f>AND(Bills!#REF!,"AAAAAH9b9/s=")</f>
        <v>#REF!</v>
      </c>
      <c r="IS228" t="e">
        <f>AND(Bills!Y986,"AAAAAH9b9/w=")</f>
        <v>#VALUE!</v>
      </c>
      <c r="IT228" t="e">
        <f>AND(Bills!Z986,"AAAAAH9b9/0=")</f>
        <v>#VALUE!</v>
      </c>
      <c r="IU228" t="e">
        <f>AND(Bills!#REF!,"AAAAAH9b9/4=")</f>
        <v>#REF!</v>
      </c>
      <c r="IV228" t="e">
        <f>AND(Bills!#REF!,"AAAAAH9b9/8=")</f>
        <v>#REF!</v>
      </c>
    </row>
    <row r="229" spans="1:256" x14ac:dyDescent="0.25">
      <c r="A229" t="e">
        <f>AND(Bills!#REF!,"AAAAABv/8QA=")</f>
        <v>#REF!</v>
      </c>
      <c r="B229" t="e">
        <f>AND(Bills!#REF!,"AAAAABv/8QE=")</f>
        <v>#REF!</v>
      </c>
      <c r="C229" t="e">
        <f>AND(Bills!#REF!,"AAAAABv/8QI=")</f>
        <v>#REF!</v>
      </c>
      <c r="D229" t="e">
        <f>AND(Bills!#REF!,"AAAAABv/8QM=")</f>
        <v>#REF!</v>
      </c>
      <c r="E229" t="e">
        <f>AND(Bills!#REF!,"AAAAABv/8QQ=")</f>
        <v>#REF!</v>
      </c>
      <c r="F229" t="e">
        <f>AND(Bills!#REF!,"AAAAABv/8QU=")</f>
        <v>#REF!</v>
      </c>
      <c r="G229" t="e">
        <f>AND(Bills!#REF!,"AAAAABv/8QY=")</f>
        <v>#REF!</v>
      </c>
      <c r="H229" t="e">
        <f>AND(Bills!AA986,"AAAAABv/8Qc=")</f>
        <v>#VALUE!</v>
      </c>
      <c r="I229" t="e">
        <f>AND(Bills!AB986,"AAAAABv/8Qg=")</f>
        <v>#VALUE!</v>
      </c>
      <c r="J229" t="e">
        <f>AND(Bills!#REF!,"AAAAABv/8Qk=")</f>
        <v>#REF!</v>
      </c>
      <c r="K229" t="e">
        <f>AND(Bills!#REF!,"AAAAABv/8Qo=")</f>
        <v>#REF!</v>
      </c>
      <c r="L229" t="e">
        <f>AND(Bills!#REF!,"AAAAABv/8Qs=")</f>
        <v>#REF!</v>
      </c>
      <c r="M229" t="e">
        <f>AND(Bills!AC986,"AAAAABv/8Qw=")</f>
        <v>#VALUE!</v>
      </c>
      <c r="N229" t="e">
        <f>AND(Bills!AD986,"AAAAABv/8Q0=")</f>
        <v>#VALUE!</v>
      </c>
      <c r="O229" t="e">
        <f>AND(Bills!AE986,"AAAAABv/8Q4=")</f>
        <v>#VALUE!</v>
      </c>
      <c r="P229">
        <f>IF(Bills!987:987,"AAAAABv/8Q8=",0)</f>
        <v>0</v>
      </c>
      <c r="Q229" t="e">
        <f>AND(Bills!B987,"AAAAABv/8RA=")</f>
        <v>#VALUE!</v>
      </c>
      <c r="R229" t="e">
        <f>AND(Bills!#REF!,"AAAAABv/8RE=")</f>
        <v>#REF!</v>
      </c>
      <c r="S229" t="e">
        <f>AND(Bills!C987,"AAAAABv/8RI=")</f>
        <v>#VALUE!</v>
      </c>
      <c r="T229" t="e">
        <f>AND(Bills!D987,"AAAAABv/8RM=")</f>
        <v>#VALUE!</v>
      </c>
      <c r="U229" t="e">
        <f>AND(Bills!E987,"AAAAABv/8RQ=")</f>
        <v>#VALUE!</v>
      </c>
      <c r="V229" t="e">
        <f>AND(Bills!#REF!,"AAAAABv/8RU=")</f>
        <v>#REF!</v>
      </c>
      <c r="W229" t="e">
        <f>AND(Bills!#REF!,"AAAAABv/8RY=")</f>
        <v>#REF!</v>
      </c>
      <c r="X229" t="e">
        <f>AND(Bills!#REF!,"AAAAABv/8Rc=")</f>
        <v>#REF!</v>
      </c>
      <c r="Y229" t="e">
        <f>AND(Bills!F987,"AAAAABv/8Rg=")</f>
        <v>#VALUE!</v>
      </c>
      <c r="Z229" t="e">
        <f>AND(Bills!#REF!,"AAAAABv/8Rk=")</f>
        <v>#REF!</v>
      </c>
      <c r="AA229" t="e">
        <f>AND(Bills!G987,"AAAAABv/8Ro=")</f>
        <v>#VALUE!</v>
      </c>
      <c r="AB229" t="e">
        <f>AND(Bills!H987,"AAAAABv/8Rs=")</f>
        <v>#VALUE!</v>
      </c>
      <c r="AC229" t="e">
        <f>AND(Bills!I987,"AAAAABv/8Rw=")</f>
        <v>#VALUE!</v>
      </c>
      <c r="AD229" t="e">
        <f>AND(Bills!J987,"AAAAABv/8R0=")</f>
        <v>#VALUE!</v>
      </c>
      <c r="AE229" t="e">
        <f>AND(Bills!K987,"AAAAABv/8R4=")</f>
        <v>#VALUE!</v>
      </c>
      <c r="AF229" t="e">
        <f>AND(Bills!L987,"AAAAABv/8R8=")</f>
        <v>#VALUE!</v>
      </c>
      <c r="AG229" t="e">
        <f>AND(Bills!#REF!,"AAAAABv/8SA=")</f>
        <v>#REF!</v>
      </c>
      <c r="AH229" t="e">
        <f>AND(Bills!M987,"AAAAABv/8SE=")</f>
        <v>#VALUE!</v>
      </c>
      <c r="AI229" t="e">
        <f>AND(Bills!N987,"AAAAABv/8SI=")</f>
        <v>#VALUE!</v>
      </c>
      <c r="AJ229" t="e">
        <f>AND(Bills!O987,"AAAAABv/8SM=")</f>
        <v>#VALUE!</v>
      </c>
      <c r="AK229" t="e">
        <f>AND(Bills!P987,"AAAAABv/8SQ=")</f>
        <v>#VALUE!</v>
      </c>
      <c r="AL229" t="e">
        <f>AND(Bills!Q987,"AAAAABv/8SU=")</f>
        <v>#VALUE!</v>
      </c>
      <c r="AM229" t="e">
        <f>AND(Bills!R987,"AAAAABv/8SY=")</f>
        <v>#VALUE!</v>
      </c>
      <c r="AN229" t="e">
        <f>AND(Bills!S987,"AAAAABv/8Sc=")</f>
        <v>#VALUE!</v>
      </c>
      <c r="AO229" t="e">
        <f>AND(Bills!T987,"AAAAABv/8Sg=")</f>
        <v>#VALUE!</v>
      </c>
      <c r="AP229" t="e">
        <f>AND(Bills!#REF!,"AAAAABv/8Sk=")</f>
        <v>#REF!</v>
      </c>
      <c r="AQ229" t="e">
        <f>AND(Bills!U987,"AAAAABv/8So=")</f>
        <v>#VALUE!</v>
      </c>
      <c r="AR229" t="e">
        <f>AND(Bills!V987,"AAAAABv/8Ss=")</f>
        <v>#VALUE!</v>
      </c>
      <c r="AS229" t="e">
        <f>AND(Bills!W987,"AAAAABv/8Sw=")</f>
        <v>#VALUE!</v>
      </c>
      <c r="AT229" t="e">
        <f>AND(Bills!#REF!,"AAAAABv/8S0=")</f>
        <v>#REF!</v>
      </c>
      <c r="AU229" t="e">
        <f>AND(Bills!#REF!,"AAAAABv/8S4=")</f>
        <v>#REF!</v>
      </c>
      <c r="AV229" t="e">
        <f>AND(Bills!Y987,"AAAAABv/8S8=")</f>
        <v>#VALUE!</v>
      </c>
      <c r="AW229" t="e">
        <f>AND(Bills!Z987,"AAAAABv/8TA=")</f>
        <v>#VALUE!</v>
      </c>
      <c r="AX229" t="e">
        <f>AND(Bills!#REF!,"AAAAABv/8TE=")</f>
        <v>#REF!</v>
      </c>
      <c r="AY229" t="e">
        <f>AND(Bills!#REF!,"AAAAABv/8TI=")</f>
        <v>#REF!</v>
      </c>
      <c r="AZ229" t="e">
        <f>AND(Bills!#REF!,"AAAAABv/8TM=")</f>
        <v>#REF!</v>
      </c>
      <c r="BA229" t="e">
        <f>AND(Bills!#REF!,"AAAAABv/8TQ=")</f>
        <v>#REF!</v>
      </c>
      <c r="BB229" t="e">
        <f>AND(Bills!#REF!,"AAAAABv/8TU=")</f>
        <v>#REF!</v>
      </c>
      <c r="BC229" t="e">
        <f>AND(Bills!#REF!,"AAAAABv/8TY=")</f>
        <v>#REF!</v>
      </c>
      <c r="BD229" t="e">
        <f>AND(Bills!#REF!,"AAAAABv/8Tc=")</f>
        <v>#REF!</v>
      </c>
      <c r="BE229" t="e">
        <f>AND(Bills!#REF!,"AAAAABv/8Tg=")</f>
        <v>#REF!</v>
      </c>
      <c r="BF229" t="e">
        <f>AND(Bills!#REF!,"AAAAABv/8Tk=")</f>
        <v>#REF!</v>
      </c>
      <c r="BG229" t="e">
        <f>AND(Bills!AA987,"AAAAABv/8To=")</f>
        <v>#VALUE!</v>
      </c>
      <c r="BH229" t="e">
        <f>AND(Bills!AB987,"AAAAABv/8Ts=")</f>
        <v>#VALUE!</v>
      </c>
      <c r="BI229" t="e">
        <f>AND(Bills!#REF!,"AAAAABv/8Tw=")</f>
        <v>#REF!</v>
      </c>
      <c r="BJ229" t="e">
        <f>AND(Bills!#REF!,"AAAAABv/8T0=")</f>
        <v>#REF!</v>
      </c>
      <c r="BK229" t="e">
        <f>AND(Bills!#REF!,"AAAAABv/8T4=")</f>
        <v>#REF!</v>
      </c>
      <c r="BL229" t="e">
        <f>AND(Bills!AC987,"AAAAABv/8T8=")</f>
        <v>#VALUE!</v>
      </c>
      <c r="BM229" t="e">
        <f>AND(Bills!AD987,"AAAAABv/8UA=")</f>
        <v>#VALUE!</v>
      </c>
      <c r="BN229" t="e">
        <f>AND(Bills!AE987,"AAAAABv/8UE=")</f>
        <v>#VALUE!</v>
      </c>
      <c r="BO229">
        <f>IF(Bills!988:988,"AAAAABv/8UI=",0)</f>
        <v>0</v>
      </c>
      <c r="BP229" t="e">
        <f>AND(Bills!B988,"AAAAABv/8UM=")</f>
        <v>#VALUE!</v>
      </c>
      <c r="BQ229" t="e">
        <f>AND(Bills!#REF!,"AAAAABv/8UQ=")</f>
        <v>#REF!</v>
      </c>
      <c r="BR229" t="e">
        <f>AND(Bills!C988,"AAAAABv/8UU=")</f>
        <v>#VALUE!</v>
      </c>
      <c r="BS229" t="e">
        <f>AND(Bills!D988,"AAAAABv/8UY=")</f>
        <v>#VALUE!</v>
      </c>
      <c r="BT229" t="e">
        <f>AND(Bills!E988,"AAAAABv/8Uc=")</f>
        <v>#VALUE!</v>
      </c>
      <c r="BU229" t="e">
        <f>AND(Bills!#REF!,"AAAAABv/8Ug=")</f>
        <v>#REF!</v>
      </c>
      <c r="BV229" t="e">
        <f>AND(Bills!#REF!,"AAAAABv/8Uk=")</f>
        <v>#REF!</v>
      </c>
      <c r="BW229" t="e">
        <f>AND(Bills!#REF!,"AAAAABv/8Uo=")</f>
        <v>#REF!</v>
      </c>
      <c r="BX229" t="e">
        <f>AND(Bills!F988,"AAAAABv/8Us=")</f>
        <v>#VALUE!</v>
      </c>
      <c r="BY229" t="e">
        <f>AND(Bills!#REF!,"AAAAABv/8Uw=")</f>
        <v>#REF!</v>
      </c>
      <c r="BZ229" t="e">
        <f>AND(Bills!G988,"AAAAABv/8U0=")</f>
        <v>#VALUE!</v>
      </c>
      <c r="CA229" t="e">
        <f>AND(Bills!H988,"AAAAABv/8U4=")</f>
        <v>#VALUE!</v>
      </c>
      <c r="CB229" t="e">
        <f>AND(Bills!I988,"AAAAABv/8U8=")</f>
        <v>#VALUE!</v>
      </c>
      <c r="CC229" t="e">
        <f>AND(Bills!J988,"AAAAABv/8VA=")</f>
        <v>#VALUE!</v>
      </c>
      <c r="CD229" t="e">
        <f>AND(Bills!K988,"AAAAABv/8VE=")</f>
        <v>#VALUE!</v>
      </c>
      <c r="CE229" t="e">
        <f>AND(Bills!L988,"AAAAABv/8VI=")</f>
        <v>#VALUE!</v>
      </c>
      <c r="CF229" t="e">
        <f>AND(Bills!#REF!,"AAAAABv/8VM=")</f>
        <v>#REF!</v>
      </c>
      <c r="CG229" t="e">
        <f>AND(Bills!M988,"AAAAABv/8VQ=")</f>
        <v>#VALUE!</v>
      </c>
      <c r="CH229" t="e">
        <f>AND(Bills!N988,"AAAAABv/8VU=")</f>
        <v>#VALUE!</v>
      </c>
      <c r="CI229" t="e">
        <f>AND(Bills!O988,"AAAAABv/8VY=")</f>
        <v>#VALUE!</v>
      </c>
      <c r="CJ229" t="e">
        <f>AND(Bills!P988,"AAAAABv/8Vc=")</f>
        <v>#VALUE!</v>
      </c>
      <c r="CK229" t="e">
        <f>AND(Bills!Q988,"AAAAABv/8Vg=")</f>
        <v>#VALUE!</v>
      </c>
      <c r="CL229" t="e">
        <f>AND(Bills!R988,"AAAAABv/8Vk=")</f>
        <v>#VALUE!</v>
      </c>
      <c r="CM229" t="e">
        <f>AND(Bills!S988,"AAAAABv/8Vo=")</f>
        <v>#VALUE!</v>
      </c>
      <c r="CN229" t="e">
        <f>AND(Bills!T988,"AAAAABv/8Vs=")</f>
        <v>#VALUE!</v>
      </c>
      <c r="CO229" t="e">
        <f>AND(Bills!#REF!,"AAAAABv/8Vw=")</f>
        <v>#REF!</v>
      </c>
      <c r="CP229" t="e">
        <f>AND(Bills!U988,"AAAAABv/8V0=")</f>
        <v>#VALUE!</v>
      </c>
      <c r="CQ229" t="e">
        <f>AND(Bills!V988,"AAAAABv/8V4=")</f>
        <v>#VALUE!</v>
      </c>
      <c r="CR229" t="e">
        <f>AND(Bills!W988,"AAAAABv/8V8=")</f>
        <v>#VALUE!</v>
      </c>
      <c r="CS229" t="e">
        <f>AND(Bills!#REF!,"AAAAABv/8WA=")</f>
        <v>#REF!</v>
      </c>
      <c r="CT229" t="e">
        <f>AND(Bills!#REF!,"AAAAABv/8WE=")</f>
        <v>#REF!</v>
      </c>
      <c r="CU229" t="e">
        <f>AND(Bills!Y988,"AAAAABv/8WI=")</f>
        <v>#VALUE!</v>
      </c>
      <c r="CV229" t="e">
        <f>AND(Bills!Z988,"AAAAABv/8WM=")</f>
        <v>#VALUE!</v>
      </c>
      <c r="CW229" t="e">
        <f>AND(Bills!#REF!,"AAAAABv/8WQ=")</f>
        <v>#REF!</v>
      </c>
      <c r="CX229" t="e">
        <f>AND(Bills!#REF!,"AAAAABv/8WU=")</f>
        <v>#REF!</v>
      </c>
      <c r="CY229" t="e">
        <f>AND(Bills!#REF!,"AAAAABv/8WY=")</f>
        <v>#REF!</v>
      </c>
      <c r="CZ229" t="e">
        <f>AND(Bills!#REF!,"AAAAABv/8Wc=")</f>
        <v>#REF!</v>
      </c>
      <c r="DA229" t="e">
        <f>AND(Bills!#REF!,"AAAAABv/8Wg=")</f>
        <v>#REF!</v>
      </c>
      <c r="DB229" t="e">
        <f>AND(Bills!#REF!,"AAAAABv/8Wk=")</f>
        <v>#REF!</v>
      </c>
      <c r="DC229" t="e">
        <f>AND(Bills!#REF!,"AAAAABv/8Wo=")</f>
        <v>#REF!</v>
      </c>
      <c r="DD229" t="e">
        <f>AND(Bills!#REF!,"AAAAABv/8Ws=")</f>
        <v>#REF!</v>
      </c>
      <c r="DE229" t="e">
        <f>AND(Bills!#REF!,"AAAAABv/8Ww=")</f>
        <v>#REF!</v>
      </c>
      <c r="DF229" t="e">
        <f>AND(Bills!AA988,"AAAAABv/8W0=")</f>
        <v>#VALUE!</v>
      </c>
      <c r="DG229" t="e">
        <f>AND(Bills!AB988,"AAAAABv/8W4=")</f>
        <v>#VALUE!</v>
      </c>
      <c r="DH229" t="e">
        <f>AND(Bills!#REF!,"AAAAABv/8W8=")</f>
        <v>#REF!</v>
      </c>
      <c r="DI229" t="e">
        <f>AND(Bills!#REF!,"AAAAABv/8XA=")</f>
        <v>#REF!</v>
      </c>
      <c r="DJ229" t="e">
        <f>AND(Bills!#REF!,"AAAAABv/8XE=")</f>
        <v>#REF!</v>
      </c>
      <c r="DK229" t="e">
        <f>AND(Bills!AC988,"AAAAABv/8XI=")</f>
        <v>#VALUE!</v>
      </c>
      <c r="DL229" t="e">
        <f>AND(Bills!AD988,"AAAAABv/8XM=")</f>
        <v>#VALUE!</v>
      </c>
      <c r="DM229" t="e">
        <f>AND(Bills!AE988,"AAAAABv/8XQ=")</f>
        <v>#VALUE!</v>
      </c>
      <c r="DN229">
        <f>IF(Bills!989:989,"AAAAABv/8XU=",0)</f>
        <v>0</v>
      </c>
      <c r="DO229" t="e">
        <f>AND(Bills!B989,"AAAAABv/8XY=")</f>
        <v>#VALUE!</v>
      </c>
      <c r="DP229" t="e">
        <f>AND(Bills!#REF!,"AAAAABv/8Xc=")</f>
        <v>#REF!</v>
      </c>
      <c r="DQ229" t="e">
        <f>AND(Bills!C989,"AAAAABv/8Xg=")</f>
        <v>#VALUE!</v>
      </c>
      <c r="DR229" t="e">
        <f>AND(Bills!D989,"AAAAABv/8Xk=")</f>
        <v>#VALUE!</v>
      </c>
      <c r="DS229" t="e">
        <f>AND(Bills!E989,"AAAAABv/8Xo=")</f>
        <v>#VALUE!</v>
      </c>
      <c r="DT229" t="e">
        <f>AND(Bills!#REF!,"AAAAABv/8Xs=")</f>
        <v>#REF!</v>
      </c>
      <c r="DU229" t="e">
        <f>AND(Bills!#REF!,"AAAAABv/8Xw=")</f>
        <v>#REF!</v>
      </c>
      <c r="DV229" t="e">
        <f>AND(Bills!#REF!,"AAAAABv/8X0=")</f>
        <v>#REF!</v>
      </c>
      <c r="DW229" t="e">
        <f>AND(Bills!F989,"AAAAABv/8X4=")</f>
        <v>#VALUE!</v>
      </c>
      <c r="DX229" t="e">
        <f>AND(Bills!#REF!,"AAAAABv/8X8=")</f>
        <v>#REF!</v>
      </c>
      <c r="DY229" t="e">
        <f>AND(Bills!G989,"AAAAABv/8YA=")</f>
        <v>#VALUE!</v>
      </c>
      <c r="DZ229" t="e">
        <f>AND(Bills!H989,"AAAAABv/8YE=")</f>
        <v>#VALUE!</v>
      </c>
      <c r="EA229" t="e">
        <f>AND(Bills!I989,"AAAAABv/8YI=")</f>
        <v>#VALUE!</v>
      </c>
      <c r="EB229" t="e">
        <f>AND(Bills!J989,"AAAAABv/8YM=")</f>
        <v>#VALUE!</v>
      </c>
      <c r="EC229" t="e">
        <f>AND(Bills!K989,"AAAAABv/8YQ=")</f>
        <v>#VALUE!</v>
      </c>
      <c r="ED229" t="e">
        <f>AND(Bills!L989,"AAAAABv/8YU=")</f>
        <v>#VALUE!</v>
      </c>
      <c r="EE229" t="e">
        <f>AND(Bills!#REF!,"AAAAABv/8YY=")</f>
        <v>#REF!</v>
      </c>
      <c r="EF229" t="e">
        <f>AND(Bills!M989,"AAAAABv/8Yc=")</f>
        <v>#VALUE!</v>
      </c>
      <c r="EG229" t="e">
        <f>AND(Bills!N989,"AAAAABv/8Yg=")</f>
        <v>#VALUE!</v>
      </c>
      <c r="EH229" t="e">
        <f>AND(Bills!O989,"AAAAABv/8Yk=")</f>
        <v>#VALUE!</v>
      </c>
      <c r="EI229" t="e">
        <f>AND(Bills!P989,"AAAAABv/8Yo=")</f>
        <v>#VALUE!</v>
      </c>
      <c r="EJ229" t="e">
        <f>AND(Bills!Q989,"AAAAABv/8Ys=")</f>
        <v>#VALUE!</v>
      </c>
      <c r="EK229" t="e">
        <f>AND(Bills!R989,"AAAAABv/8Yw=")</f>
        <v>#VALUE!</v>
      </c>
      <c r="EL229" t="e">
        <f>AND(Bills!S989,"AAAAABv/8Y0=")</f>
        <v>#VALUE!</v>
      </c>
      <c r="EM229" t="e">
        <f>AND(Bills!T989,"AAAAABv/8Y4=")</f>
        <v>#VALUE!</v>
      </c>
      <c r="EN229" t="e">
        <f>AND(Bills!#REF!,"AAAAABv/8Y8=")</f>
        <v>#REF!</v>
      </c>
      <c r="EO229" t="e">
        <f>AND(Bills!U989,"AAAAABv/8ZA=")</f>
        <v>#VALUE!</v>
      </c>
      <c r="EP229" t="e">
        <f>AND(Bills!V989,"AAAAABv/8ZE=")</f>
        <v>#VALUE!</v>
      </c>
      <c r="EQ229" t="e">
        <f>AND(Bills!W989,"AAAAABv/8ZI=")</f>
        <v>#VALUE!</v>
      </c>
      <c r="ER229" t="e">
        <f>AND(Bills!#REF!,"AAAAABv/8ZM=")</f>
        <v>#REF!</v>
      </c>
      <c r="ES229" t="e">
        <f>AND(Bills!#REF!,"AAAAABv/8ZQ=")</f>
        <v>#REF!</v>
      </c>
      <c r="ET229" t="e">
        <f>AND(Bills!Y989,"AAAAABv/8ZU=")</f>
        <v>#VALUE!</v>
      </c>
      <c r="EU229" t="e">
        <f>AND(Bills!Z989,"AAAAABv/8ZY=")</f>
        <v>#VALUE!</v>
      </c>
      <c r="EV229" t="e">
        <f>AND(Bills!#REF!,"AAAAABv/8Zc=")</f>
        <v>#REF!</v>
      </c>
      <c r="EW229" t="e">
        <f>AND(Bills!#REF!,"AAAAABv/8Zg=")</f>
        <v>#REF!</v>
      </c>
      <c r="EX229" t="e">
        <f>AND(Bills!#REF!,"AAAAABv/8Zk=")</f>
        <v>#REF!</v>
      </c>
      <c r="EY229" t="e">
        <f>AND(Bills!#REF!,"AAAAABv/8Zo=")</f>
        <v>#REF!</v>
      </c>
      <c r="EZ229" t="e">
        <f>AND(Bills!#REF!,"AAAAABv/8Zs=")</f>
        <v>#REF!</v>
      </c>
      <c r="FA229" t="e">
        <f>AND(Bills!#REF!,"AAAAABv/8Zw=")</f>
        <v>#REF!</v>
      </c>
      <c r="FB229" t="e">
        <f>AND(Bills!#REF!,"AAAAABv/8Z0=")</f>
        <v>#REF!</v>
      </c>
      <c r="FC229" t="e">
        <f>AND(Bills!#REF!,"AAAAABv/8Z4=")</f>
        <v>#REF!</v>
      </c>
      <c r="FD229" t="e">
        <f>AND(Bills!#REF!,"AAAAABv/8Z8=")</f>
        <v>#REF!</v>
      </c>
      <c r="FE229" t="e">
        <f>AND(Bills!AA989,"AAAAABv/8aA=")</f>
        <v>#VALUE!</v>
      </c>
      <c r="FF229" t="e">
        <f>AND(Bills!AB989,"AAAAABv/8aE=")</f>
        <v>#VALUE!</v>
      </c>
      <c r="FG229" t="e">
        <f>AND(Bills!#REF!,"AAAAABv/8aI=")</f>
        <v>#REF!</v>
      </c>
      <c r="FH229" t="e">
        <f>AND(Bills!#REF!,"AAAAABv/8aM=")</f>
        <v>#REF!</v>
      </c>
      <c r="FI229" t="e">
        <f>AND(Bills!#REF!,"AAAAABv/8aQ=")</f>
        <v>#REF!</v>
      </c>
      <c r="FJ229" t="e">
        <f>AND(Bills!AC989,"AAAAABv/8aU=")</f>
        <v>#VALUE!</v>
      </c>
      <c r="FK229" t="e">
        <f>AND(Bills!AD989,"AAAAABv/8aY=")</f>
        <v>#VALUE!</v>
      </c>
      <c r="FL229" t="e">
        <f>AND(Bills!AE989,"AAAAABv/8ac=")</f>
        <v>#VALUE!</v>
      </c>
      <c r="FM229">
        <f>IF(Bills!990:990,"AAAAABv/8ag=",0)</f>
        <v>0</v>
      </c>
      <c r="FN229" t="e">
        <f>AND(Bills!B990,"AAAAABv/8ak=")</f>
        <v>#VALUE!</v>
      </c>
      <c r="FO229" t="e">
        <f>AND(Bills!#REF!,"AAAAABv/8ao=")</f>
        <v>#REF!</v>
      </c>
      <c r="FP229" t="e">
        <f>AND(Bills!C990,"AAAAABv/8as=")</f>
        <v>#VALUE!</v>
      </c>
      <c r="FQ229" t="e">
        <f>AND(Bills!D990,"AAAAABv/8aw=")</f>
        <v>#VALUE!</v>
      </c>
      <c r="FR229" t="e">
        <f>AND(Bills!E990,"AAAAABv/8a0=")</f>
        <v>#VALUE!</v>
      </c>
      <c r="FS229" t="e">
        <f>AND(Bills!#REF!,"AAAAABv/8a4=")</f>
        <v>#REF!</v>
      </c>
      <c r="FT229" t="e">
        <f>AND(Bills!#REF!,"AAAAABv/8a8=")</f>
        <v>#REF!</v>
      </c>
      <c r="FU229" t="e">
        <f>AND(Bills!#REF!,"AAAAABv/8bA=")</f>
        <v>#REF!</v>
      </c>
      <c r="FV229" t="e">
        <f>AND(Bills!F990,"AAAAABv/8bE=")</f>
        <v>#VALUE!</v>
      </c>
      <c r="FW229" t="e">
        <f>AND(Bills!#REF!,"AAAAABv/8bI=")</f>
        <v>#REF!</v>
      </c>
      <c r="FX229" t="e">
        <f>AND(Bills!G990,"AAAAABv/8bM=")</f>
        <v>#VALUE!</v>
      </c>
      <c r="FY229" t="e">
        <f>AND(Bills!H990,"AAAAABv/8bQ=")</f>
        <v>#VALUE!</v>
      </c>
      <c r="FZ229" t="e">
        <f>AND(Bills!I990,"AAAAABv/8bU=")</f>
        <v>#VALUE!</v>
      </c>
      <c r="GA229" t="e">
        <f>AND(Bills!J990,"AAAAABv/8bY=")</f>
        <v>#VALUE!</v>
      </c>
      <c r="GB229" t="e">
        <f>AND(Bills!K990,"AAAAABv/8bc=")</f>
        <v>#VALUE!</v>
      </c>
      <c r="GC229" t="e">
        <f>AND(Bills!L990,"AAAAABv/8bg=")</f>
        <v>#VALUE!</v>
      </c>
      <c r="GD229" t="e">
        <f>AND(Bills!#REF!,"AAAAABv/8bk=")</f>
        <v>#REF!</v>
      </c>
      <c r="GE229" t="e">
        <f>AND(Bills!M990,"AAAAABv/8bo=")</f>
        <v>#VALUE!</v>
      </c>
      <c r="GF229" t="e">
        <f>AND(Bills!N990,"AAAAABv/8bs=")</f>
        <v>#VALUE!</v>
      </c>
      <c r="GG229" t="e">
        <f>AND(Bills!O990,"AAAAABv/8bw=")</f>
        <v>#VALUE!</v>
      </c>
      <c r="GH229" t="e">
        <f>AND(Bills!P990,"AAAAABv/8b0=")</f>
        <v>#VALUE!</v>
      </c>
      <c r="GI229" t="e">
        <f>AND(Bills!Q990,"AAAAABv/8b4=")</f>
        <v>#VALUE!</v>
      </c>
      <c r="GJ229" t="e">
        <f>AND(Bills!R990,"AAAAABv/8b8=")</f>
        <v>#VALUE!</v>
      </c>
      <c r="GK229" t="e">
        <f>AND(Bills!S990,"AAAAABv/8cA=")</f>
        <v>#VALUE!</v>
      </c>
      <c r="GL229" t="e">
        <f>AND(Bills!T990,"AAAAABv/8cE=")</f>
        <v>#VALUE!</v>
      </c>
      <c r="GM229" t="e">
        <f>AND(Bills!#REF!,"AAAAABv/8cI=")</f>
        <v>#REF!</v>
      </c>
      <c r="GN229" t="e">
        <f>AND(Bills!U990,"AAAAABv/8cM=")</f>
        <v>#VALUE!</v>
      </c>
      <c r="GO229" t="e">
        <f>AND(Bills!V990,"AAAAABv/8cQ=")</f>
        <v>#VALUE!</v>
      </c>
      <c r="GP229" t="e">
        <f>AND(Bills!W990,"AAAAABv/8cU=")</f>
        <v>#VALUE!</v>
      </c>
      <c r="GQ229" t="e">
        <f>AND(Bills!#REF!,"AAAAABv/8cY=")</f>
        <v>#REF!</v>
      </c>
      <c r="GR229" t="e">
        <f>AND(Bills!#REF!,"AAAAABv/8cc=")</f>
        <v>#REF!</v>
      </c>
      <c r="GS229" t="e">
        <f>AND(Bills!Y990,"AAAAABv/8cg=")</f>
        <v>#VALUE!</v>
      </c>
      <c r="GT229" t="e">
        <f>AND(Bills!Z990,"AAAAABv/8ck=")</f>
        <v>#VALUE!</v>
      </c>
      <c r="GU229" t="e">
        <f>AND(Bills!#REF!,"AAAAABv/8co=")</f>
        <v>#REF!</v>
      </c>
      <c r="GV229" t="e">
        <f>AND(Bills!#REF!,"AAAAABv/8cs=")</f>
        <v>#REF!</v>
      </c>
      <c r="GW229" t="e">
        <f>AND(Bills!#REF!,"AAAAABv/8cw=")</f>
        <v>#REF!</v>
      </c>
      <c r="GX229" t="e">
        <f>AND(Bills!#REF!,"AAAAABv/8c0=")</f>
        <v>#REF!</v>
      </c>
      <c r="GY229" t="e">
        <f>AND(Bills!#REF!,"AAAAABv/8c4=")</f>
        <v>#REF!</v>
      </c>
      <c r="GZ229" t="e">
        <f>AND(Bills!#REF!,"AAAAABv/8c8=")</f>
        <v>#REF!</v>
      </c>
      <c r="HA229" t="e">
        <f>AND(Bills!#REF!,"AAAAABv/8dA=")</f>
        <v>#REF!</v>
      </c>
      <c r="HB229" t="e">
        <f>AND(Bills!#REF!,"AAAAABv/8dE=")</f>
        <v>#REF!</v>
      </c>
      <c r="HC229" t="e">
        <f>AND(Bills!#REF!,"AAAAABv/8dI=")</f>
        <v>#REF!</v>
      </c>
      <c r="HD229" t="e">
        <f>AND(Bills!AA990,"AAAAABv/8dM=")</f>
        <v>#VALUE!</v>
      </c>
      <c r="HE229" t="e">
        <f>AND(Bills!AB990,"AAAAABv/8dQ=")</f>
        <v>#VALUE!</v>
      </c>
      <c r="HF229" t="e">
        <f>AND(Bills!#REF!,"AAAAABv/8dU=")</f>
        <v>#REF!</v>
      </c>
      <c r="HG229" t="e">
        <f>AND(Bills!#REF!,"AAAAABv/8dY=")</f>
        <v>#REF!</v>
      </c>
      <c r="HH229" t="e">
        <f>AND(Bills!#REF!,"AAAAABv/8dc=")</f>
        <v>#REF!</v>
      </c>
      <c r="HI229" t="e">
        <f>AND(Bills!AC990,"AAAAABv/8dg=")</f>
        <v>#VALUE!</v>
      </c>
      <c r="HJ229" t="e">
        <f>AND(Bills!AD990,"AAAAABv/8dk=")</f>
        <v>#VALUE!</v>
      </c>
      <c r="HK229" t="e">
        <f>AND(Bills!AE990,"AAAAABv/8do=")</f>
        <v>#VALUE!</v>
      </c>
      <c r="HL229">
        <f>IF(Bills!991:991,"AAAAABv/8ds=",0)</f>
        <v>0</v>
      </c>
      <c r="HM229" t="e">
        <f>AND(Bills!B991,"AAAAABv/8dw=")</f>
        <v>#VALUE!</v>
      </c>
      <c r="HN229" t="e">
        <f>AND(Bills!#REF!,"AAAAABv/8d0=")</f>
        <v>#REF!</v>
      </c>
      <c r="HO229" t="e">
        <f>AND(Bills!C991,"AAAAABv/8d4=")</f>
        <v>#VALUE!</v>
      </c>
      <c r="HP229" t="e">
        <f>AND(Bills!D991,"AAAAABv/8d8=")</f>
        <v>#VALUE!</v>
      </c>
      <c r="HQ229" t="e">
        <f>AND(Bills!E991,"AAAAABv/8eA=")</f>
        <v>#VALUE!</v>
      </c>
      <c r="HR229" t="e">
        <f>AND(Bills!#REF!,"AAAAABv/8eE=")</f>
        <v>#REF!</v>
      </c>
      <c r="HS229" t="e">
        <f>AND(Bills!#REF!,"AAAAABv/8eI=")</f>
        <v>#REF!</v>
      </c>
      <c r="HT229" t="e">
        <f>AND(Bills!#REF!,"AAAAABv/8eM=")</f>
        <v>#REF!</v>
      </c>
      <c r="HU229" t="e">
        <f>AND(Bills!F991,"AAAAABv/8eQ=")</f>
        <v>#VALUE!</v>
      </c>
      <c r="HV229" t="e">
        <f>AND(Bills!#REF!,"AAAAABv/8eU=")</f>
        <v>#REF!</v>
      </c>
      <c r="HW229" t="e">
        <f>AND(Bills!G991,"AAAAABv/8eY=")</f>
        <v>#VALUE!</v>
      </c>
      <c r="HX229" t="e">
        <f>AND(Bills!H991,"AAAAABv/8ec=")</f>
        <v>#VALUE!</v>
      </c>
      <c r="HY229" t="e">
        <f>AND(Bills!I991,"AAAAABv/8eg=")</f>
        <v>#VALUE!</v>
      </c>
      <c r="HZ229" t="e">
        <f>AND(Bills!J991,"AAAAABv/8ek=")</f>
        <v>#VALUE!</v>
      </c>
      <c r="IA229" t="e">
        <f>AND(Bills!K991,"AAAAABv/8eo=")</f>
        <v>#VALUE!</v>
      </c>
      <c r="IB229" t="e">
        <f>AND(Bills!L991,"AAAAABv/8es=")</f>
        <v>#VALUE!</v>
      </c>
      <c r="IC229" t="e">
        <f>AND(Bills!#REF!,"AAAAABv/8ew=")</f>
        <v>#REF!</v>
      </c>
      <c r="ID229" t="e">
        <f>AND(Bills!M991,"AAAAABv/8e0=")</f>
        <v>#VALUE!</v>
      </c>
      <c r="IE229" t="e">
        <f>AND(Bills!N991,"AAAAABv/8e4=")</f>
        <v>#VALUE!</v>
      </c>
      <c r="IF229" t="e">
        <f>AND(Bills!O991,"AAAAABv/8e8=")</f>
        <v>#VALUE!</v>
      </c>
      <c r="IG229" t="e">
        <f>AND(Bills!P991,"AAAAABv/8fA=")</f>
        <v>#VALUE!</v>
      </c>
      <c r="IH229" t="e">
        <f>AND(Bills!Q991,"AAAAABv/8fE=")</f>
        <v>#VALUE!</v>
      </c>
      <c r="II229" t="e">
        <f>AND(Bills!R991,"AAAAABv/8fI=")</f>
        <v>#VALUE!</v>
      </c>
      <c r="IJ229" t="e">
        <f>AND(Bills!S991,"AAAAABv/8fM=")</f>
        <v>#VALUE!</v>
      </c>
      <c r="IK229" t="e">
        <f>AND(Bills!T991,"AAAAABv/8fQ=")</f>
        <v>#VALUE!</v>
      </c>
      <c r="IL229" t="e">
        <f>AND(Bills!#REF!,"AAAAABv/8fU=")</f>
        <v>#REF!</v>
      </c>
      <c r="IM229" t="e">
        <f>AND(Bills!U991,"AAAAABv/8fY=")</f>
        <v>#VALUE!</v>
      </c>
      <c r="IN229" t="e">
        <f>AND(Bills!V991,"AAAAABv/8fc=")</f>
        <v>#VALUE!</v>
      </c>
      <c r="IO229" t="e">
        <f>AND(Bills!W991,"AAAAABv/8fg=")</f>
        <v>#VALUE!</v>
      </c>
      <c r="IP229" t="e">
        <f>AND(Bills!#REF!,"AAAAABv/8fk=")</f>
        <v>#REF!</v>
      </c>
      <c r="IQ229" t="e">
        <f>AND(Bills!#REF!,"AAAAABv/8fo=")</f>
        <v>#REF!</v>
      </c>
      <c r="IR229" t="e">
        <f>AND(Bills!Y991,"AAAAABv/8fs=")</f>
        <v>#VALUE!</v>
      </c>
      <c r="IS229" t="e">
        <f>AND(Bills!Z991,"AAAAABv/8fw=")</f>
        <v>#VALUE!</v>
      </c>
      <c r="IT229" t="e">
        <f>AND(Bills!#REF!,"AAAAABv/8f0=")</f>
        <v>#REF!</v>
      </c>
      <c r="IU229" t="e">
        <f>AND(Bills!#REF!,"AAAAABv/8f4=")</f>
        <v>#REF!</v>
      </c>
      <c r="IV229" t="e">
        <f>AND(Bills!#REF!,"AAAAABv/8f8=")</f>
        <v>#REF!</v>
      </c>
    </row>
    <row r="230" spans="1:256" x14ac:dyDescent="0.25">
      <c r="A230" t="e">
        <f>AND(Bills!#REF!,"AAAAAH+//gA=")</f>
        <v>#REF!</v>
      </c>
      <c r="B230" t="e">
        <f>AND(Bills!#REF!,"AAAAAH+//gE=")</f>
        <v>#REF!</v>
      </c>
      <c r="C230" t="e">
        <f>AND(Bills!#REF!,"AAAAAH+//gI=")</f>
        <v>#REF!</v>
      </c>
      <c r="D230" t="e">
        <f>AND(Bills!#REF!,"AAAAAH+//gM=")</f>
        <v>#REF!</v>
      </c>
      <c r="E230" t="e">
        <f>AND(Bills!#REF!,"AAAAAH+//gQ=")</f>
        <v>#REF!</v>
      </c>
      <c r="F230" t="e">
        <f>AND(Bills!#REF!,"AAAAAH+//gU=")</f>
        <v>#REF!</v>
      </c>
      <c r="G230" t="e">
        <f>AND(Bills!AA991,"AAAAAH+//gY=")</f>
        <v>#VALUE!</v>
      </c>
      <c r="H230" t="e">
        <f>AND(Bills!AB991,"AAAAAH+//gc=")</f>
        <v>#VALUE!</v>
      </c>
      <c r="I230" t="e">
        <f>AND(Bills!#REF!,"AAAAAH+//gg=")</f>
        <v>#REF!</v>
      </c>
      <c r="J230" t="e">
        <f>AND(Bills!#REF!,"AAAAAH+//gk=")</f>
        <v>#REF!</v>
      </c>
      <c r="K230" t="e">
        <f>AND(Bills!#REF!,"AAAAAH+//go=")</f>
        <v>#REF!</v>
      </c>
      <c r="L230" t="e">
        <f>AND(Bills!AC991,"AAAAAH+//gs=")</f>
        <v>#VALUE!</v>
      </c>
      <c r="M230" t="e">
        <f>AND(Bills!AD991,"AAAAAH+//gw=")</f>
        <v>#VALUE!</v>
      </c>
      <c r="N230" t="e">
        <f>AND(Bills!AE991,"AAAAAH+//g0=")</f>
        <v>#VALUE!</v>
      </c>
      <c r="O230">
        <f>IF(Bills!992:992,"AAAAAH+//g4=",0)</f>
        <v>0</v>
      </c>
      <c r="P230" t="e">
        <f>AND(Bills!B992,"AAAAAH+//g8=")</f>
        <v>#VALUE!</v>
      </c>
      <c r="Q230" t="e">
        <f>AND(Bills!#REF!,"AAAAAH+//hA=")</f>
        <v>#REF!</v>
      </c>
      <c r="R230" t="e">
        <f>AND(Bills!C992,"AAAAAH+//hE=")</f>
        <v>#VALUE!</v>
      </c>
      <c r="S230" t="e">
        <f>AND(Bills!D992,"AAAAAH+//hI=")</f>
        <v>#VALUE!</v>
      </c>
      <c r="T230" t="e">
        <f>AND(Bills!E992,"AAAAAH+//hM=")</f>
        <v>#VALUE!</v>
      </c>
      <c r="U230" t="e">
        <f>AND(Bills!#REF!,"AAAAAH+//hQ=")</f>
        <v>#REF!</v>
      </c>
      <c r="V230" t="e">
        <f>AND(Bills!#REF!,"AAAAAH+//hU=")</f>
        <v>#REF!</v>
      </c>
      <c r="W230" t="e">
        <f>AND(Bills!#REF!,"AAAAAH+//hY=")</f>
        <v>#REF!</v>
      </c>
      <c r="X230" t="e">
        <f>AND(Bills!F992,"AAAAAH+//hc=")</f>
        <v>#VALUE!</v>
      </c>
      <c r="Y230" t="e">
        <f>AND(Bills!#REF!,"AAAAAH+//hg=")</f>
        <v>#REF!</v>
      </c>
      <c r="Z230" t="e">
        <f>AND(Bills!G992,"AAAAAH+//hk=")</f>
        <v>#VALUE!</v>
      </c>
      <c r="AA230" t="e">
        <f>AND(Bills!H992,"AAAAAH+//ho=")</f>
        <v>#VALUE!</v>
      </c>
      <c r="AB230" t="e">
        <f>AND(Bills!I992,"AAAAAH+//hs=")</f>
        <v>#VALUE!</v>
      </c>
      <c r="AC230" t="e">
        <f>AND(Bills!J992,"AAAAAH+//hw=")</f>
        <v>#VALUE!</v>
      </c>
      <c r="AD230" t="e">
        <f>AND(Bills!K992,"AAAAAH+//h0=")</f>
        <v>#VALUE!</v>
      </c>
      <c r="AE230" t="e">
        <f>AND(Bills!L992,"AAAAAH+//h4=")</f>
        <v>#VALUE!</v>
      </c>
      <c r="AF230" t="e">
        <f>AND(Bills!#REF!,"AAAAAH+//h8=")</f>
        <v>#REF!</v>
      </c>
      <c r="AG230" t="e">
        <f>AND(Bills!M992,"AAAAAH+//iA=")</f>
        <v>#VALUE!</v>
      </c>
      <c r="AH230" t="e">
        <f>AND(Bills!N992,"AAAAAH+//iE=")</f>
        <v>#VALUE!</v>
      </c>
      <c r="AI230" t="e">
        <f>AND(Bills!O992,"AAAAAH+//iI=")</f>
        <v>#VALUE!</v>
      </c>
      <c r="AJ230" t="e">
        <f>AND(Bills!P992,"AAAAAH+//iM=")</f>
        <v>#VALUE!</v>
      </c>
      <c r="AK230" t="e">
        <f>AND(Bills!Q992,"AAAAAH+//iQ=")</f>
        <v>#VALUE!</v>
      </c>
      <c r="AL230" t="e">
        <f>AND(Bills!R992,"AAAAAH+//iU=")</f>
        <v>#VALUE!</v>
      </c>
      <c r="AM230" t="e">
        <f>AND(Bills!S992,"AAAAAH+//iY=")</f>
        <v>#VALUE!</v>
      </c>
      <c r="AN230" t="e">
        <f>AND(Bills!T992,"AAAAAH+//ic=")</f>
        <v>#VALUE!</v>
      </c>
      <c r="AO230" t="e">
        <f>AND(Bills!#REF!,"AAAAAH+//ig=")</f>
        <v>#REF!</v>
      </c>
      <c r="AP230" t="e">
        <f>AND(Bills!U992,"AAAAAH+//ik=")</f>
        <v>#VALUE!</v>
      </c>
      <c r="AQ230" t="e">
        <f>AND(Bills!V992,"AAAAAH+//io=")</f>
        <v>#VALUE!</v>
      </c>
      <c r="AR230" t="e">
        <f>AND(Bills!W992,"AAAAAH+//is=")</f>
        <v>#VALUE!</v>
      </c>
      <c r="AS230" t="e">
        <f>AND(Bills!#REF!,"AAAAAH+//iw=")</f>
        <v>#REF!</v>
      </c>
      <c r="AT230" t="e">
        <f>AND(Bills!#REF!,"AAAAAH+//i0=")</f>
        <v>#REF!</v>
      </c>
      <c r="AU230" t="e">
        <f>AND(Bills!Y992,"AAAAAH+//i4=")</f>
        <v>#VALUE!</v>
      </c>
      <c r="AV230" t="e">
        <f>AND(Bills!Z992,"AAAAAH+//i8=")</f>
        <v>#VALUE!</v>
      </c>
      <c r="AW230" t="e">
        <f>AND(Bills!#REF!,"AAAAAH+//jA=")</f>
        <v>#REF!</v>
      </c>
      <c r="AX230" t="e">
        <f>AND(Bills!#REF!,"AAAAAH+//jE=")</f>
        <v>#REF!</v>
      </c>
      <c r="AY230" t="e">
        <f>AND(Bills!#REF!,"AAAAAH+//jI=")</f>
        <v>#REF!</v>
      </c>
      <c r="AZ230" t="e">
        <f>AND(Bills!#REF!,"AAAAAH+//jM=")</f>
        <v>#REF!</v>
      </c>
      <c r="BA230" t="e">
        <f>AND(Bills!#REF!,"AAAAAH+//jQ=")</f>
        <v>#REF!</v>
      </c>
      <c r="BB230" t="e">
        <f>AND(Bills!#REF!,"AAAAAH+//jU=")</f>
        <v>#REF!</v>
      </c>
      <c r="BC230" t="e">
        <f>AND(Bills!#REF!,"AAAAAH+//jY=")</f>
        <v>#REF!</v>
      </c>
      <c r="BD230" t="e">
        <f>AND(Bills!#REF!,"AAAAAH+//jc=")</f>
        <v>#REF!</v>
      </c>
      <c r="BE230" t="e">
        <f>AND(Bills!#REF!,"AAAAAH+//jg=")</f>
        <v>#REF!</v>
      </c>
      <c r="BF230" t="e">
        <f>AND(Bills!AA992,"AAAAAH+//jk=")</f>
        <v>#VALUE!</v>
      </c>
      <c r="BG230" t="e">
        <f>AND(Bills!AB992,"AAAAAH+//jo=")</f>
        <v>#VALUE!</v>
      </c>
      <c r="BH230" t="e">
        <f>AND(Bills!#REF!,"AAAAAH+//js=")</f>
        <v>#REF!</v>
      </c>
      <c r="BI230" t="e">
        <f>AND(Bills!#REF!,"AAAAAH+//jw=")</f>
        <v>#REF!</v>
      </c>
      <c r="BJ230" t="e">
        <f>AND(Bills!#REF!,"AAAAAH+//j0=")</f>
        <v>#REF!</v>
      </c>
      <c r="BK230" t="e">
        <f>AND(Bills!AC992,"AAAAAH+//j4=")</f>
        <v>#VALUE!</v>
      </c>
      <c r="BL230" t="e">
        <f>AND(Bills!AD992,"AAAAAH+//j8=")</f>
        <v>#VALUE!</v>
      </c>
      <c r="BM230" t="e">
        <f>AND(Bills!AE992,"AAAAAH+//kA=")</f>
        <v>#VALUE!</v>
      </c>
      <c r="BN230">
        <f>IF(Bills!993:993,"AAAAAH+//kE=",0)</f>
        <v>0</v>
      </c>
      <c r="BO230" t="e">
        <f>AND(Bills!B993,"AAAAAH+//kI=")</f>
        <v>#VALUE!</v>
      </c>
      <c r="BP230" t="e">
        <f>AND(Bills!#REF!,"AAAAAH+//kM=")</f>
        <v>#REF!</v>
      </c>
      <c r="BQ230" t="e">
        <f>AND(Bills!C993,"AAAAAH+//kQ=")</f>
        <v>#VALUE!</v>
      </c>
      <c r="BR230" t="e">
        <f>AND(Bills!D993,"AAAAAH+//kU=")</f>
        <v>#VALUE!</v>
      </c>
      <c r="BS230" t="e">
        <f>AND(Bills!E993,"AAAAAH+//kY=")</f>
        <v>#VALUE!</v>
      </c>
      <c r="BT230" t="e">
        <f>AND(Bills!#REF!,"AAAAAH+//kc=")</f>
        <v>#REF!</v>
      </c>
      <c r="BU230" t="e">
        <f>AND(Bills!#REF!,"AAAAAH+//kg=")</f>
        <v>#REF!</v>
      </c>
      <c r="BV230" t="e">
        <f>AND(Bills!#REF!,"AAAAAH+//kk=")</f>
        <v>#REF!</v>
      </c>
      <c r="BW230" t="e">
        <f>AND(Bills!F993,"AAAAAH+//ko=")</f>
        <v>#VALUE!</v>
      </c>
      <c r="BX230" t="e">
        <f>AND(Bills!#REF!,"AAAAAH+//ks=")</f>
        <v>#REF!</v>
      </c>
      <c r="BY230" t="e">
        <f>AND(Bills!G993,"AAAAAH+//kw=")</f>
        <v>#VALUE!</v>
      </c>
      <c r="BZ230" t="e">
        <f>AND(Bills!H993,"AAAAAH+//k0=")</f>
        <v>#VALUE!</v>
      </c>
      <c r="CA230" t="e">
        <f>AND(Bills!I993,"AAAAAH+//k4=")</f>
        <v>#VALUE!</v>
      </c>
      <c r="CB230" t="e">
        <f>AND(Bills!J993,"AAAAAH+//k8=")</f>
        <v>#VALUE!</v>
      </c>
      <c r="CC230" t="e">
        <f>AND(Bills!K993,"AAAAAH+//lA=")</f>
        <v>#VALUE!</v>
      </c>
      <c r="CD230" t="e">
        <f>AND(Bills!L993,"AAAAAH+//lE=")</f>
        <v>#VALUE!</v>
      </c>
      <c r="CE230" t="e">
        <f>AND(Bills!#REF!,"AAAAAH+//lI=")</f>
        <v>#REF!</v>
      </c>
      <c r="CF230" t="e">
        <f>AND(Bills!M993,"AAAAAH+//lM=")</f>
        <v>#VALUE!</v>
      </c>
      <c r="CG230" t="e">
        <f>AND(Bills!N993,"AAAAAH+//lQ=")</f>
        <v>#VALUE!</v>
      </c>
      <c r="CH230" t="e">
        <f>AND(Bills!O993,"AAAAAH+//lU=")</f>
        <v>#VALUE!</v>
      </c>
      <c r="CI230" t="e">
        <f>AND(Bills!P993,"AAAAAH+//lY=")</f>
        <v>#VALUE!</v>
      </c>
      <c r="CJ230" t="e">
        <f>AND(Bills!Q993,"AAAAAH+//lc=")</f>
        <v>#VALUE!</v>
      </c>
      <c r="CK230" t="e">
        <f>AND(Bills!R993,"AAAAAH+//lg=")</f>
        <v>#VALUE!</v>
      </c>
      <c r="CL230" t="e">
        <f>AND(Bills!S993,"AAAAAH+//lk=")</f>
        <v>#VALUE!</v>
      </c>
      <c r="CM230" t="e">
        <f>AND(Bills!T993,"AAAAAH+//lo=")</f>
        <v>#VALUE!</v>
      </c>
      <c r="CN230" t="e">
        <f>AND(Bills!#REF!,"AAAAAH+//ls=")</f>
        <v>#REF!</v>
      </c>
      <c r="CO230" t="e">
        <f>AND(Bills!U993,"AAAAAH+//lw=")</f>
        <v>#VALUE!</v>
      </c>
      <c r="CP230" t="e">
        <f>AND(Bills!V993,"AAAAAH+//l0=")</f>
        <v>#VALUE!</v>
      </c>
      <c r="CQ230" t="e">
        <f>AND(Bills!W993,"AAAAAH+//l4=")</f>
        <v>#VALUE!</v>
      </c>
      <c r="CR230" t="e">
        <f>AND(Bills!#REF!,"AAAAAH+//l8=")</f>
        <v>#REF!</v>
      </c>
      <c r="CS230" t="e">
        <f>AND(Bills!#REF!,"AAAAAH+//mA=")</f>
        <v>#REF!</v>
      </c>
      <c r="CT230" t="e">
        <f>AND(Bills!Y993,"AAAAAH+//mE=")</f>
        <v>#VALUE!</v>
      </c>
      <c r="CU230" t="e">
        <f>AND(Bills!Z993,"AAAAAH+//mI=")</f>
        <v>#VALUE!</v>
      </c>
      <c r="CV230" t="e">
        <f>AND(Bills!#REF!,"AAAAAH+//mM=")</f>
        <v>#REF!</v>
      </c>
      <c r="CW230" t="e">
        <f>AND(Bills!#REF!,"AAAAAH+//mQ=")</f>
        <v>#REF!</v>
      </c>
      <c r="CX230" t="e">
        <f>AND(Bills!#REF!,"AAAAAH+//mU=")</f>
        <v>#REF!</v>
      </c>
      <c r="CY230" t="e">
        <f>AND(Bills!#REF!,"AAAAAH+//mY=")</f>
        <v>#REF!</v>
      </c>
      <c r="CZ230" t="e">
        <f>AND(Bills!#REF!,"AAAAAH+//mc=")</f>
        <v>#REF!</v>
      </c>
      <c r="DA230" t="e">
        <f>AND(Bills!#REF!,"AAAAAH+//mg=")</f>
        <v>#REF!</v>
      </c>
      <c r="DB230" t="e">
        <f>AND(Bills!#REF!,"AAAAAH+//mk=")</f>
        <v>#REF!</v>
      </c>
      <c r="DC230" t="e">
        <f>AND(Bills!#REF!,"AAAAAH+//mo=")</f>
        <v>#REF!</v>
      </c>
      <c r="DD230" t="e">
        <f>AND(Bills!#REF!,"AAAAAH+//ms=")</f>
        <v>#REF!</v>
      </c>
      <c r="DE230" t="e">
        <f>AND(Bills!AA993,"AAAAAH+//mw=")</f>
        <v>#VALUE!</v>
      </c>
      <c r="DF230" t="e">
        <f>AND(Bills!AB993,"AAAAAH+//m0=")</f>
        <v>#VALUE!</v>
      </c>
      <c r="DG230" t="e">
        <f>AND(Bills!#REF!,"AAAAAH+//m4=")</f>
        <v>#REF!</v>
      </c>
      <c r="DH230" t="e">
        <f>AND(Bills!#REF!,"AAAAAH+//m8=")</f>
        <v>#REF!</v>
      </c>
      <c r="DI230" t="e">
        <f>AND(Bills!#REF!,"AAAAAH+//nA=")</f>
        <v>#REF!</v>
      </c>
      <c r="DJ230" t="e">
        <f>AND(Bills!AC993,"AAAAAH+//nE=")</f>
        <v>#VALUE!</v>
      </c>
      <c r="DK230" t="e">
        <f>AND(Bills!AD993,"AAAAAH+//nI=")</f>
        <v>#VALUE!</v>
      </c>
      <c r="DL230" t="e">
        <f>AND(Bills!AE993,"AAAAAH+//nM=")</f>
        <v>#VALUE!</v>
      </c>
      <c r="DM230">
        <f>IF(Bills!994:994,"AAAAAH+//nQ=",0)</f>
        <v>0</v>
      </c>
      <c r="DN230" t="e">
        <f>AND(Bills!B994,"AAAAAH+//nU=")</f>
        <v>#VALUE!</v>
      </c>
      <c r="DO230" t="e">
        <f>AND(Bills!#REF!,"AAAAAH+//nY=")</f>
        <v>#REF!</v>
      </c>
      <c r="DP230" t="e">
        <f>AND(Bills!C994,"AAAAAH+//nc=")</f>
        <v>#VALUE!</v>
      </c>
      <c r="DQ230" t="e">
        <f>AND(Bills!D994,"AAAAAH+//ng=")</f>
        <v>#VALUE!</v>
      </c>
      <c r="DR230" t="e">
        <f>AND(Bills!E994,"AAAAAH+//nk=")</f>
        <v>#VALUE!</v>
      </c>
      <c r="DS230" t="e">
        <f>AND(Bills!#REF!,"AAAAAH+//no=")</f>
        <v>#REF!</v>
      </c>
      <c r="DT230" t="e">
        <f>AND(Bills!#REF!,"AAAAAH+//ns=")</f>
        <v>#REF!</v>
      </c>
      <c r="DU230" t="e">
        <f>AND(Bills!#REF!,"AAAAAH+//nw=")</f>
        <v>#REF!</v>
      </c>
      <c r="DV230" t="e">
        <f>AND(Bills!F994,"AAAAAH+//n0=")</f>
        <v>#VALUE!</v>
      </c>
      <c r="DW230" t="e">
        <f>AND(Bills!#REF!,"AAAAAH+//n4=")</f>
        <v>#REF!</v>
      </c>
      <c r="DX230" t="e">
        <f>AND(Bills!G994,"AAAAAH+//n8=")</f>
        <v>#VALUE!</v>
      </c>
      <c r="DY230" t="e">
        <f>AND(Bills!H994,"AAAAAH+//oA=")</f>
        <v>#VALUE!</v>
      </c>
      <c r="DZ230" t="e">
        <f>AND(Bills!I994,"AAAAAH+//oE=")</f>
        <v>#VALUE!</v>
      </c>
      <c r="EA230" t="e">
        <f>AND(Bills!J994,"AAAAAH+//oI=")</f>
        <v>#VALUE!</v>
      </c>
      <c r="EB230" t="e">
        <f>AND(Bills!K994,"AAAAAH+//oM=")</f>
        <v>#VALUE!</v>
      </c>
      <c r="EC230" t="e">
        <f>AND(Bills!L994,"AAAAAH+//oQ=")</f>
        <v>#VALUE!</v>
      </c>
      <c r="ED230" t="e">
        <f>AND(Bills!#REF!,"AAAAAH+//oU=")</f>
        <v>#REF!</v>
      </c>
      <c r="EE230" t="e">
        <f>AND(Bills!M994,"AAAAAH+//oY=")</f>
        <v>#VALUE!</v>
      </c>
      <c r="EF230" t="e">
        <f>AND(Bills!N994,"AAAAAH+//oc=")</f>
        <v>#VALUE!</v>
      </c>
      <c r="EG230" t="e">
        <f>AND(Bills!O994,"AAAAAH+//og=")</f>
        <v>#VALUE!</v>
      </c>
      <c r="EH230" t="e">
        <f>AND(Bills!P994,"AAAAAH+//ok=")</f>
        <v>#VALUE!</v>
      </c>
      <c r="EI230" t="e">
        <f>AND(Bills!Q994,"AAAAAH+//oo=")</f>
        <v>#VALUE!</v>
      </c>
      <c r="EJ230" t="e">
        <f>AND(Bills!R994,"AAAAAH+//os=")</f>
        <v>#VALUE!</v>
      </c>
      <c r="EK230" t="e">
        <f>AND(Bills!S994,"AAAAAH+//ow=")</f>
        <v>#VALUE!</v>
      </c>
      <c r="EL230" t="e">
        <f>AND(Bills!T994,"AAAAAH+//o0=")</f>
        <v>#VALUE!</v>
      </c>
      <c r="EM230" t="e">
        <f>AND(Bills!#REF!,"AAAAAH+//o4=")</f>
        <v>#REF!</v>
      </c>
      <c r="EN230" t="e">
        <f>AND(Bills!U994,"AAAAAH+//o8=")</f>
        <v>#VALUE!</v>
      </c>
      <c r="EO230" t="e">
        <f>AND(Bills!V994,"AAAAAH+//pA=")</f>
        <v>#VALUE!</v>
      </c>
      <c r="EP230" t="e">
        <f>AND(Bills!W994,"AAAAAH+//pE=")</f>
        <v>#VALUE!</v>
      </c>
      <c r="EQ230" t="e">
        <f>AND(Bills!#REF!,"AAAAAH+//pI=")</f>
        <v>#REF!</v>
      </c>
      <c r="ER230" t="e">
        <f>AND(Bills!#REF!,"AAAAAH+//pM=")</f>
        <v>#REF!</v>
      </c>
      <c r="ES230" t="e">
        <f>AND(Bills!Y994,"AAAAAH+//pQ=")</f>
        <v>#VALUE!</v>
      </c>
      <c r="ET230" t="e">
        <f>AND(Bills!Z994,"AAAAAH+//pU=")</f>
        <v>#VALUE!</v>
      </c>
      <c r="EU230" t="e">
        <f>AND(Bills!#REF!,"AAAAAH+//pY=")</f>
        <v>#REF!</v>
      </c>
      <c r="EV230" t="e">
        <f>AND(Bills!#REF!,"AAAAAH+//pc=")</f>
        <v>#REF!</v>
      </c>
      <c r="EW230" t="e">
        <f>AND(Bills!#REF!,"AAAAAH+//pg=")</f>
        <v>#REF!</v>
      </c>
      <c r="EX230" t="e">
        <f>AND(Bills!#REF!,"AAAAAH+//pk=")</f>
        <v>#REF!</v>
      </c>
      <c r="EY230" t="e">
        <f>AND(Bills!#REF!,"AAAAAH+//po=")</f>
        <v>#REF!</v>
      </c>
      <c r="EZ230" t="e">
        <f>AND(Bills!#REF!,"AAAAAH+//ps=")</f>
        <v>#REF!</v>
      </c>
      <c r="FA230" t="e">
        <f>AND(Bills!#REF!,"AAAAAH+//pw=")</f>
        <v>#REF!</v>
      </c>
      <c r="FB230" t="e">
        <f>AND(Bills!#REF!,"AAAAAH+//p0=")</f>
        <v>#REF!</v>
      </c>
      <c r="FC230" t="e">
        <f>AND(Bills!#REF!,"AAAAAH+//p4=")</f>
        <v>#REF!</v>
      </c>
      <c r="FD230" t="e">
        <f>AND(Bills!AA994,"AAAAAH+//p8=")</f>
        <v>#VALUE!</v>
      </c>
      <c r="FE230" t="e">
        <f>AND(Bills!AB994,"AAAAAH+//qA=")</f>
        <v>#VALUE!</v>
      </c>
      <c r="FF230" t="e">
        <f>AND(Bills!#REF!,"AAAAAH+//qE=")</f>
        <v>#REF!</v>
      </c>
      <c r="FG230" t="e">
        <f>AND(Bills!#REF!,"AAAAAH+//qI=")</f>
        <v>#REF!</v>
      </c>
      <c r="FH230" t="e">
        <f>AND(Bills!#REF!,"AAAAAH+//qM=")</f>
        <v>#REF!</v>
      </c>
      <c r="FI230" t="e">
        <f>AND(Bills!AC994,"AAAAAH+//qQ=")</f>
        <v>#VALUE!</v>
      </c>
      <c r="FJ230" t="e">
        <f>AND(Bills!AD994,"AAAAAH+//qU=")</f>
        <v>#VALUE!</v>
      </c>
      <c r="FK230" t="e">
        <f>AND(Bills!AE994,"AAAAAH+//qY=")</f>
        <v>#VALUE!</v>
      </c>
      <c r="FL230">
        <f>IF(Bills!995:995,"AAAAAH+//qc=",0)</f>
        <v>0</v>
      </c>
      <c r="FM230" t="e">
        <f>AND(Bills!B995,"AAAAAH+//qg=")</f>
        <v>#VALUE!</v>
      </c>
      <c r="FN230" t="e">
        <f>AND(Bills!#REF!,"AAAAAH+//qk=")</f>
        <v>#REF!</v>
      </c>
      <c r="FO230" t="e">
        <f>AND(Bills!C995,"AAAAAH+//qo=")</f>
        <v>#VALUE!</v>
      </c>
      <c r="FP230" t="e">
        <f>AND(Bills!D995,"AAAAAH+//qs=")</f>
        <v>#VALUE!</v>
      </c>
      <c r="FQ230" t="e">
        <f>AND(Bills!E995,"AAAAAH+//qw=")</f>
        <v>#VALUE!</v>
      </c>
      <c r="FR230" t="e">
        <f>AND(Bills!#REF!,"AAAAAH+//q0=")</f>
        <v>#REF!</v>
      </c>
      <c r="FS230" t="e">
        <f>AND(Bills!#REF!,"AAAAAH+//q4=")</f>
        <v>#REF!</v>
      </c>
      <c r="FT230" t="e">
        <f>AND(Bills!#REF!,"AAAAAH+//q8=")</f>
        <v>#REF!</v>
      </c>
      <c r="FU230" t="e">
        <f>AND(Bills!F995,"AAAAAH+//rA=")</f>
        <v>#VALUE!</v>
      </c>
      <c r="FV230" t="e">
        <f>AND(Bills!#REF!,"AAAAAH+//rE=")</f>
        <v>#REF!</v>
      </c>
      <c r="FW230" t="e">
        <f>AND(Bills!G995,"AAAAAH+//rI=")</f>
        <v>#VALUE!</v>
      </c>
      <c r="FX230" t="e">
        <f>AND(Bills!H995,"AAAAAH+//rM=")</f>
        <v>#VALUE!</v>
      </c>
      <c r="FY230" t="e">
        <f>AND(Bills!I995,"AAAAAH+//rQ=")</f>
        <v>#VALUE!</v>
      </c>
      <c r="FZ230" t="e">
        <f>AND(Bills!J995,"AAAAAH+//rU=")</f>
        <v>#VALUE!</v>
      </c>
      <c r="GA230" t="e">
        <f>AND(Bills!K995,"AAAAAH+//rY=")</f>
        <v>#VALUE!</v>
      </c>
      <c r="GB230" t="e">
        <f>AND(Bills!L995,"AAAAAH+//rc=")</f>
        <v>#VALUE!</v>
      </c>
      <c r="GC230" t="e">
        <f>AND(Bills!#REF!,"AAAAAH+//rg=")</f>
        <v>#REF!</v>
      </c>
      <c r="GD230" t="e">
        <f>AND(Bills!M995,"AAAAAH+//rk=")</f>
        <v>#VALUE!</v>
      </c>
      <c r="GE230" t="e">
        <f>AND(Bills!N995,"AAAAAH+//ro=")</f>
        <v>#VALUE!</v>
      </c>
      <c r="GF230" t="e">
        <f>AND(Bills!O995,"AAAAAH+//rs=")</f>
        <v>#VALUE!</v>
      </c>
      <c r="GG230" t="e">
        <f>AND(Bills!P995,"AAAAAH+//rw=")</f>
        <v>#VALUE!</v>
      </c>
      <c r="GH230" t="e">
        <f>AND(Bills!Q995,"AAAAAH+//r0=")</f>
        <v>#VALUE!</v>
      </c>
      <c r="GI230" t="e">
        <f>AND(Bills!R995,"AAAAAH+//r4=")</f>
        <v>#VALUE!</v>
      </c>
      <c r="GJ230" t="e">
        <f>AND(Bills!S995,"AAAAAH+//r8=")</f>
        <v>#VALUE!</v>
      </c>
      <c r="GK230" t="e">
        <f>AND(Bills!T995,"AAAAAH+//sA=")</f>
        <v>#VALUE!</v>
      </c>
      <c r="GL230" t="e">
        <f>AND(Bills!#REF!,"AAAAAH+//sE=")</f>
        <v>#REF!</v>
      </c>
      <c r="GM230" t="e">
        <f>AND(Bills!U995,"AAAAAH+//sI=")</f>
        <v>#VALUE!</v>
      </c>
      <c r="GN230" t="e">
        <f>AND(Bills!V995,"AAAAAH+//sM=")</f>
        <v>#VALUE!</v>
      </c>
      <c r="GO230" t="e">
        <f>AND(Bills!W995,"AAAAAH+//sQ=")</f>
        <v>#VALUE!</v>
      </c>
      <c r="GP230" t="e">
        <f>AND(Bills!#REF!,"AAAAAH+//sU=")</f>
        <v>#REF!</v>
      </c>
      <c r="GQ230" t="e">
        <f>AND(Bills!#REF!,"AAAAAH+//sY=")</f>
        <v>#REF!</v>
      </c>
      <c r="GR230" t="e">
        <f>AND(Bills!Y995,"AAAAAH+//sc=")</f>
        <v>#VALUE!</v>
      </c>
      <c r="GS230" t="e">
        <f>AND(Bills!Z995,"AAAAAH+//sg=")</f>
        <v>#VALUE!</v>
      </c>
      <c r="GT230" t="e">
        <f>AND(Bills!#REF!,"AAAAAH+//sk=")</f>
        <v>#REF!</v>
      </c>
      <c r="GU230" t="e">
        <f>AND(Bills!#REF!,"AAAAAH+//so=")</f>
        <v>#REF!</v>
      </c>
      <c r="GV230" t="e">
        <f>AND(Bills!#REF!,"AAAAAH+//ss=")</f>
        <v>#REF!</v>
      </c>
      <c r="GW230" t="e">
        <f>AND(Bills!#REF!,"AAAAAH+//sw=")</f>
        <v>#REF!</v>
      </c>
      <c r="GX230" t="e">
        <f>AND(Bills!#REF!,"AAAAAH+//s0=")</f>
        <v>#REF!</v>
      </c>
      <c r="GY230" t="e">
        <f>AND(Bills!#REF!,"AAAAAH+//s4=")</f>
        <v>#REF!</v>
      </c>
      <c r="GZ230" t="e">
        <f>AND(Bills!#REF!,"AAAAAH+//s8=")</f>
        <v>#REF!</v>
      </c>
      <c r="HA230" t="e">
        <f>AND(Bills!#REF!,"AAAAAH+//tA=")</f>
        <v>#REF!</v>
      </c>
      <c r="HB230" t="e">
        <f>AND(Bills!#REF!,"AAAAAH+//tE=")</f>
        <v>#REF!</v>
      </c>
      <c r="HC230" t="e">
        <f>AND(Bills!AA995,"AAAAAH+//tI=")</f>
        <v>#VALUE!</v>
      </c>
      <c r="HD230" t="e">
        <f>AND(Bills!AB995,"AAAAAH+//tM=")</f>
        <v>#VALUE!</v>
      </c>
      <c r="HE230" t="e">
        <f>AND(Bills!#REF!,"AAAAAH+//tQ=")</f>
        <v>#REF!</v>
      </c>
      <c r="HF230" t="e">
        <f>AND(Bills!#REF!,"AAAAAH+//tU=")</f>
        <v>#REF!</v>
      </c>
      <c r="HG230" t="e">
        <f>AND(Bills!#REF!,"AAAAAH+//tY=")</f>
        <v>#REF!</v>
      </c>
      <c r="HH230" t="e">
        <f>AND(Bills!AC995,"AAAAAH+//tc=")</f>
        <v>#VALUE!</v>
      </c>
      <c r="HI230" t="e">
        <f>AND(Bills!AD995,"AAAAAH+//tg=")</f>
        <v>#VALUE!</v>
      </c>
      <c r="HJ230" t="e">
        <f>AND(Bills!AE995,"AAAAAH+//tk=")</f>
        <v>#VALUE!</v>
      </c>
      <c r="HK230">
        <f>IF(Bills!996:996,"AAAAAH+//to=",0)</f>
        <v>0</v>
      </c>
      <c r="HL230" t="e">
        <f>AND(Bills!B996,"AAAAAH+//ts=")</f>
        <v>#VALUE!</v>
      </c>
      <c r="HM230" t="e">
        <f>AND(Bills!#REF!,"AAAAAH+//tw=")</f>
        <v>#REF!</v>
      </c>
      <c r="HN230" t="e">
        <f>AND(Bills!C996,"AAAAAH+//t0=")</f>
        <v>#VALUE!</v>
      </c>
      <c r="HO230" t="e">
        <f>AND(Bills!D996,"AAAAAH+//t4=")</f>
        <v>#VALUE!</v>
      </c>
      <c r="HP230" t="e">
        <f>AND(Bills!E996,"AAAAAH+//t8=")</f>
        <v>#VALUE!</v>
      </c>
      <c r="HQ230" t="e">
        <f>AND(Bills!#REF!,"AAAAAH+//uA=")</f>
        <v>#REF!</v>
      </c>
      <c r="HR230" t="e">
        <f>AND(Bills!#REF!,"AAAAAH+//uE=")</f>
        <v>#REF!</v>
      </c>
      <c r="HS230" t="e">
        <f>AND(Bills!#REF!,"AAAAAH+//uI=")</f>
        <v>#REF!</v>
      </c>
      <c r="HT230" t="e">
        <f>AND(Bills!F996,"AAAAAH+//uM=")</f>
        <v>#VALUE!</v>
      </c>
      <c r="HU230" t="e">
        <f>AND(Bills!#REF!,"AAAAAH+//uQ=")</f>
        <v>#REF!</v>
      </c>
      <c r="HV230" t="e">
        <f>AND(Bills!G996,"AAAAAH+//uU=")</f>
        <v>#VALUE!</v>
      </c>
      <c r="HW230" t="e">
        <f>AND(Bills!H996,"AAAAAH+//uY=")</f>
        <v>#VALUE!</v>
      </c>
      <c r="HX230" t="e">
        <f>AND(Bills!I996,"AAAAAH+//uc=")</f>
        <v>#VALUE!</v>
      </c>
      <c r="HY230" t="e">
        <f>AND(Bills!J996,"AAAAAH+//ug=")</f>
        <v>#VALUE!</v>
      </c>
      <c r="HZ230" t="e">
        <f>AND(Bills!K996,"AAAAAH+//uk=")</f>
        <v>#VALUE!</v>
      </c>
      <c r="IA230" t="e">
        <f>AND(Bills!L996,"AAAAAH+//uo=")</f>
        <v>#VALUE!</v>
      </c>
      <c r="IB230" t="e">
        <f>AND(Bills!#REF!,"AAAAAH+//us=")</f>
        <v>#REF!</v>
      </c>
      <c r="IC230" t="e">
        <f>AND(Bills!M996,"AAAAAH+//uw=")</f>
        <v>#VALUE!</v>
      </c>
      <c r="ID230" t="e">
        <f>AND(Bills!N996,"AAAAAH+//u0=")</f>
        <v>#VALUE!</v>
      </c>
      <c r="IE230" t="e">
        <f>AND(Bills!O996,"AAAAAH+//u4=")</f>
        <v>#VALUE!</v>
      </c>
      <c r="IF230" t="e">
        <f>AND(Bills!P996,"AAAAAH+//u8=")</f>
        <v>#VALUE!</v>
      </c>
      <c r="IG230" t="e">
        <f>AND(Bills!Q996,"AAAAAH+//vA=")</f>
        <v>#VALUE!</v>
      </c>
      <c r="IH230" t="e">
        <f>AND(Bills!R996,"AAAAAH+//vE=")</f>
        <v>#VALUE!</v>
      </c>
      <c r="II230" t="e">
        <f>AND(Bills!S996,"AAAAAH+//vI=")</f>
        <v>#VALUE!</v>
      </c>
      <c r="IJ230" t="e">
        <f>AND(Bills!T996,"AAAAAH+//vM=")</f>
        <v>#VALUE!</v>
      </c>
      <c r="IK230" t="e">
        <f>AND(Bills!#REF!,"AAAAAH+//vQ=")</f>
        <v>#REF!</v>
      </c>
      <c r="IL230" t="e">
        <f>AND(Bills!U996,"AAAAAH+//vU=")</f>
        <v>#VALUE!</v>
      </c>
      <c r="IM230" t="e">
        <f>AND(Bills!V996,"AAAAAH+//vY=")</f>
        <v>#VALUE!</v>
      </c>
      <c r="IN230" t="e">
        <f>AND(Bills!W996,"AAAAAH+//vc=")</f>
        <v>#VALUE!</v>
      </c>
      <c r="IO230" t="e">
        <f>AND(Bills!#REF!,"AAAAAH+//vg=")</f>
        <v>#REF!</v>
      </c>
      <c r="IP230" t="e">
        <f>AND(Bills!#REF!,"AAAAAH+//vk=")</f>
        <v>#REF!</v>
      </c>
      <c r="IQ230" t="e">
        <f>AND(Bills!Y996,"AAAAAH+//vo=")</f>
        <v>#VALUE!</v>
      </c>
      <c r="IR230" t="e">
        <f>AND(Bills!Z996,"AAAAAH+//vs=")</f>
        <v>#VALUE!</v>
      </c>
      <c r="IS230" t="e">
        <f>AND(Bills!#REF!,"AAAAAH+//vw=")</f>
        <v>#REF!</v>
      </c>
      <c r="IT230" t="e">
        <f>AND(Bills!#REF!,"AAAAAH+//v0=")</f>
        <v>#REF!</v>
      </c>
      <c r="IU230" t="e">
        <f>AND(Bills!#REF!,"AAAAAH+//v4=")</f>
        <v>#REF!</v>
      </c>
      <c r="IV230" t="e">
        <f>AND(Bills!#REF!,"AAAAAH+//v8=")</f>
        <v>#REF!</v>
      </c>
    </row>
    <row r="231" spans="1:256" x14ac:dyDescent="0.25">
      <c r="A231" t="e">
        <f>AND(Bills!#REF!,"AAAAAHV/9wA=")</f>
        <v>#REF!</v>
      </c>
      <c r="B231" t="e">
        <f>AND(Bills!#REF!,"AAAAAHV/9wE=")</f>
        <v>#REF!</v>
      </c>
      <c r="C231" t="e">
        <f>AND(Bills!#REF!,"AAAAAHV/9wI=")</f>
        <v>#REF!</v>
      </c>
      <c r="D231" t="e">
        <f>AND(Bills!#REF!,"AAAAAHV/9wM=")</f>
        <v>#REF!</v>
      </c>
      <c r="E231" t="e">
        <f>AND(Bills!#REF!,"AAAAAHV/9wQ=")</f>
        <v>#REF!</v>
      </c>
      <c r="F231" t="e">
        <f>AND(Bills!AA996,"AAAAAHV/9wU=")</f>
        <v>#VALUE!</v>
      </c>
      <c r="G231" t="e">
        <f>AND(Bills!AB996,"AAAAAHV/9wY=")</f>
        <v>#VALUE!</v>
      </c>
      <c r="H231" t="e">
        <f>AND(Bills!#REF!,"AAAAAHV/9wc=")</f>
        <v>#REF!</v>
      </c>
      <c r="I231" t="e">
        <f>AND(Bills!#REF!,"AAAAAHV/9wg=")</f>
        <v>#REF!</v>
      </c>
      <c r="J231" t="e">
        <f>AND(Bills!#REF!,"AAAAAHV/9wk=")</f>
        <v>#REF!</v>
      </c>
      <c r="K231" t="e">
        <f>AND(Bills!AC996,"AAAAAHV/9wo=")</f>
        <v>#VALUE!</v>
      </c>
      <c r="L231" t="e">
        <f>AND(Bills!AD996,"AAAAAHV/9ws=")</f>
        <v>#VALUE!</v>
      </c>
      <c r="M231" t="e">
        <f>AND(Bills!AE996,"AAAAAHV/9ww=")</f>
        <v>#VALUE!</v>
      </c>
      <c r="N231">
        <f>IF(Bills!997:997,"AAAAAHV/9w0=",0)</f>
        <v>0</v>
      </c>
      <c r="O231" t="e">
        <f>AND(Bills!B997,"AAAAAHV/9w4=")</f>
        <v>#VALUE!</v>
      </c>
      <c r="P231" t="e">
        <f>AND(Bills!#REF!,"AAAAAHV/9w8=")</f>
        <v>#REF!</v>
      </c>
      <c r="Q231" t="e">
        <f>AND(Bills!C997,"AAAAAHV/9xA=")</f>
        <v>#VALUE!</v>
      </c>
      <c r="R231" t="e">
        <f>AND(Bills!D997,"AAAAAHV/9xE=")</f>
        <v>#VALUE!</v>
      </c>
      <c r="S231" t="e">
        <f>AND(Bills!E997,"AAAAAHV/9xI=")</f>
        <v>#VALUE!</v>
      </c>
      <c r="T231" t="e">
        <f>AND(Bills!#REF!,"AAAAAHV/9xM=")</f>
        <v>#REF!</v>
      </c>
      <c r="U231" t="e">
        <f>AND(Bills!#REF!,"AAAAAHV/9xQ=")</f>
        <v>#REF!</v>
      </c>
      <c r="V231" t="e">
        <f>AND(Bills!#REF!,"AAAAAHV/9xU=")</f>
        <v>#REF!</v>
      </c>
      <c r="W231" t="e">
        <f>AND(Bills!F997,"AAAAAHV/9xY=")</f>
        <v>#VALUE!</v>
      </c>
      <c r="X231" t="e">
        <f>AND(Bills!#REF!,"AAAAAHV/9xc=")</f>
        <v>#REF!</v>
      </c>
      <c r="Y231" t="e">
        <f>AND(Bills!G997,"AAAAAHV/9xg=")</f>
        <v>#VALUE!</v>
      </c>
      <c r="Z231" t="e">
        <f>AND(Bills!H997,"AAAAAHV/9xk=")</f>
        <v>#VALUE!</v>
      </c>
      <c r="AA231" t="e">
        <f>AND(Bills!I997,"AAAAAHV/9xo=")</f>
        <v>#VALUE!</v>
      </c>
      <c r="AB231" t="e">
        <f>AND(Bills!J997,"AAAAAHV/9xs=")</f>
        <v>#VALUE!</v>
      </c>
      <c r="AC231" t="e">
        <f>AND(Bills!K997,"AAAAAHV/9xw=")</f>
        <v>#VALUE!</v>
      </c>
      <c r="AD231" t="e">
        <f>AND(Bills!L997,"AAAAAHV/9x0=")</f>
        <v>#VALUE!</v>
      </c>
      <c r="AE231" t="e">
        <f>AND(Bills!#REF!,"AAAAAHV/9x4=")</f>
        <v>#REF!</v>
      </c>
      <c r="AF231" t="e">
        <f>AND(Bills!M997,"AAAAAHV/9x8=")</f>
        <v>#VALUE!</v>
      </c>
      <c r="AG231" t="e">
        <f>AND(Bills!N997,"AAAAAHV/9yA=")</f>
        <v>#VALUE!</v>
      </c>
      <c r="AH231" t="e">
        <f>AND(Bills!O997,"AAAAAHV/9yE=")</f>
        <v>#VALUE!</v>
      </c>
      <c r="AI231" t="e">
        <f>AND(Bills!P997,"AAAAAHV/9yI=")</f>
        <v>#VALUE!</v>
      </c>
      <c r="AJ231" t="e">
        <f>AND(Bills!Q997,"AAAAAHV/9yM=")</f>
        <v>#VALUE!</v>
      </c>
      <c r="AK231" t="e">
        <f>AND(Bills!R997,"AAAAAHV/9yQ=")</f>
        <v>#VALUE!</v>
      </c>
      <c r="AL231" t="e">
        <f>AND(Bills!S997,"AAAAAHV/9yU=")</f>
        <v>#VALUE!</v>
      </c>
      <c r="AM231" t="e">
        <f>AND(Bills!T997,"AAAAAHV/9yY=")</f>
        <v>#VALUE!</v>
      </c>
      <c r="AN231" t="e">
        <f>AND(Bills!#REF!,"AAAAAHV/9yc=")</f>
        <v>#REF!</v>
      </c>
      <c r="AO231" t="e">
        <f>AND(Bills!U997,"AAAAAHV/9yg=")</f>
        <v>#VALUE!</v>
      </c>
      <c r="AP231" t="e">
        <f>AND(Bills!V997,"AAAAAHV/9yk=")</f>
        <v>#VALUE!</v>
      </c>
      <c r="AQ231" t="e">
        <f>AND(Bills!W997,"AAAAAHV/9yo=")</f>
        <v>#VALUE!</v>
      </c>
      <c r="AR231" t="e">
        <f>AND(Bills!#REF!,"AAAAAHV/9ys=")</f>
        <v>#REF!</v>
      </c>
      <c r="AS231" t="e">
        <f>AND(Bills!#REF!,"AAAAAHV/9yw=")</f>
        <v>#REF!</v>
      </c>
      <c r="AT231" t="e">
        <f>AND(Bills!Y997,"AAAAAHV/9y0=")</f>
        <v>#VALUE!</v>
      </c>
      <c r="AU231" t="e">
        <f>AND(Bills!Z997,"AAAAAHV/9y4=")</f>
        <v>#VALUE!</v>
      </c>
      <c r="AV231" t="e">
        <f>AND(Bills!#REF!,"AAAAAHV/9y8=")</f>
        <v>#REF!</v>
      </c>
      <c r="AW231" t="e">
        <f>AND(Bills!#REF!,"AAAAAHV/9zA=")</f>
        <v>#REF!</v>
      </c>
      <c r="AX231" t="e">
        <f>AND(Bills!#REF!,"AAAAAHV/9zE=")</f>
        <v>#REF!</v>
      </c>
      <c r="AY231" t="e">
        <f>AND(Bills!#REF!,"AAAAAHV/9zI=")</f>
        <v>#REF!</v>
      </c>
      <c r="AZ231" t="e">
        <f>AND(Bills!#REF!,"AAAAAHV/9zM=")</f>
        <v>#REF!</v>
      </c>
      <c r="BA231" t="e">
        <f>AND(Bills!#REF!,"AAAAAHV/9zQ=")</f>
        <v>#REF!</v>
      </c>
      <c r="BB231" t="e">
        <f>AND(Bills!#REF!,"AAAAAHV/9zU=")</f>
        <v>#REF!</v>
      </c>
      <c r="BC231" t="e">
        <f>AND(Bills!#REF!,"AAAAAHV/9zY=")</f>
        <v>#REF!</v>
      </c>
      <c r="BD231" t="e">
        <f>AND(Bills!#REF!,"AAAAAHV/9zc=")</f>
        <v>#REF!</v>
      </c>
      <c r="BE231" t="e">
        <f>AND(Bills!AA997,"AAAAAHV/9zg=")</f>
        <v>#VALUE!</v>
      </c>
      <c r="BF231" t="e">
        <f>AND(Bills!AB997,"AAAAAHV/9zk=")</f>
        <v>#VALUE!</v>
      </c>
      <c r="BG231" t="e">
        <f>AND(Bills!#REF!,"AAAAAHV/9zo=")</f>
        <v>#REF!</v>
      </c>
      <c r="BH231" t="e">
        <f>AND(Bills!#REF!,"AAAAAHV/9zs=")</f>
        <v>#REF!</v>
      </c>
      <c r="BI231" t="e">
        <f>AND(Bills!#REF!,"AAAAAHV/9zw=")</f>
        <v>#REF!</v>
      </c>
      <c r="BJ231" t="e">
        <f>AND(Bills!AC997,"AAAAAHV/9z0=")</f>
        <v>#VALUE!</v>
      </c>
      <c r="BK231" t="e">
        <f>AND(Bills!AD997,"AAAAAHV/9z4=")</f>
        <v>#VALUE!</v>
      </c>
      <c r="BL231" t="e">
        <f>AND(Bills!AE997,"AAAAAHV/9z8=")</f>
        <v>#VALUE!</v>
      </c>
      <c r="BM231">
        <f>IF(Bills!998:998,"AAAAAHV/90A=",0)</f>
        <v>0</v>
      </c>
      <c r="BN231" t="e">
        <f>AND(Bills!B998,"AAAAAHV/90E=")</f>
        <v>#VALUE!</v>
      </c>
      <c r="BO231" t="e">
        <f>AND(Bills!#REF!,"AAAAAHV/90I=")</f>
        <v>#REF!</v>
      </c>
      <c r="BP231" t="e">
        <f>AND(Bills!C998,"AAAAAHV/90M=")</f>
        <v>#VALUE!</v>
      </c>
      <c r="BQ231" t="e">
        <f>AND(Bills!D998,"AAAAAHV/90Q=")</f>
        <v>#VALUE!</v>
      </c>
      <c r="BR231" t="e">
        <f>AND(Bills!E998,"AAAAAHV/90U=")</f>
        <v>#VALUE!</v>
      </c>
      <c r="BS231" t="e">
        <f>AND(Bills!#REF!,"AAAAAHV/90Y=")</f>
        <v>#REF!</v>
      </c>
      <c r="BT231" t="e">
        <f>AND(Bills!#REF!,"AAAAAHV/90c=")</f>
        <v>#REF!</v>
      </c>
      <c r="BU231" t="e">
        <f>AND(Bills!#REF!,"AAAAAHV/90g=")</f>
        <v>#REF!</v>
      </c>
      <c r="BV231" t="e">
        <f>AND(Bills!F998,"AAAAAHV/90k=")</f>
        <v>#VALUE!</v>
      </c>
      <c r="BW231" t="e">
        <f>AND(Bills!#REF!,"AAAAAHV/90o=")</f>
        <v>#REF!</v>
      </c>
      <c r="BX231" t="e">
        <f>AND(Bills!G998,"AAAAAHV/90s=")</f>
        <v>#VALUE!</v>
      </c>
      <c r="BY231" t="e">
        <f>AND(Bills!H998,"AAAAAHV/90w=")</f>
        <v>#VALUE!</v>
      </c>
      <c r="BZ231" t="e">
        <f>AND(Bills!I998,"AAAAAHV/900=")</f>
        <v>#VALUE!</v>
      </c>
      <c r="CA231" t="e">
        <f>AND(Bills!J998,"AAAAAHV/904=")</f>
        <v>#VALUE!</v>
      </c>
      <c r="CB231" t="e">
        <f>AND(Bills!K998,"AAAAAHV/908=")</f>
        <v>#VALUE!</v>
      </c>
      <c r="CC231" t="e">
        <f>AND(Bills!L998,"AAAAAHV/91A=")</f>
        <v>#VALUE!</v>
      </c>
      <c r="CD231" t="e">
        <f>AND(Bills!#REF!,"AAAAAHV/91E=")</f>
        <v>#REF!</v>
      </c>
      <c r="CE231" t="e">
        <f>AND(Bills!M998,"AAAAAHV/91I=")</f>
        <v>#VALUE!</v>
      </c>
      <c r="CF231" t="e">
        <f>AND(Bills!N998,"AAAAAHV/91M=")</f>
        <v>#VALUE!</v>
      </c>
      <c r="CG231" t="e">
        <f>AND(Bills!O998,"AAAAAHV/91Q=")</f>
        <v>#VALUE!</v>
      </c>
      <c r="CH231" t="e">
        <f>AND(Bills!P998,"AAAAAHV/91U=")</f>
        <v>#VALUE!</v>
      </c>
      <c r="CI231" t="e">
        <f>AND(Bills!Q998,"AAAAAHV/91Y=")</f>
        <v>#VALUE!</v>
      </c>
      <c r="CJ231" t="e">
        <f>AND(Bills!R998,"AAAAAHV/91c=")</f>
        <v>#VALUE!</v>
      </c>
      <c r="CK231" t="e">
        <f>AND(Bills!S998,"AAAAAHV/91g=")</f>
        <v>#VALUE!</v>
      </c>
      <c r="CL231" t="e">
        <f>AND(Bills!T998,"AAAAAHV/91k=")</f>
        <v>#VALUE!</v>
      </c>
      <c r="CM231" t="e">
        <f>AND(Bills!#REF!,"AAAAAHV/91o=")</f>
        <v>#REF!</v>
      </c>
      <c r="CN231" t="e">
        <f>AND(Bills!U998,"AAAAAHV/91s=")</f>
        <v>#VALUE!</v>
      </c>
      <c r="CO231" t="e">
        <f>AND(Bills!V998,"AAAAAHV/91w=")</f>
        <v>#VALUE!</v>
      </c>
      <c r="CP231" t="e">
        <f>AND(Bills!W998,"AAAAAHV/910=")</f>
        <v>#VALUE!</v>
      </c>
      <c r="CQ231" t="e">
        <f>AND(Bills!#REF!,"AAAAAHV/914=")</f>
        <v>#REF!</v>
      </c>
      <c r="CR231" t="e">
        <f>AND(Bills!#REF!,"AAAAAHV/918=")</f>
        <v>#REF!</v>
      </c>
      <c r="CS231" t="e">
        <f>AND(Bills!Y998,"AAAAAHV/92A=")</f>
        <v>#VALUE!</v>
      </c>
      <c r="CT231" t="e">
        <f>AND(Bills!Z998,"AAAAAHV/92E=")</f>
        <v>#VALUE!</v>
      </c>
      <c r="CU231" t="e">
        <f>AND(Bills!#REF!,"AAAAAHV/92I=")</f>
        <v>#REF!</v>
      </c>
      <c r="CV231" t="e">
        <f>AND(Bills!#REF!,"AAAAAHV/92M=")</f>
        <v>#REF!</v>
      </c>
      <c r="CW231" t="e">
        <f>AND(Bills!#REF!,"AAAAAHV/92Q=")</f>
        <v>#REF!</v>
      </c>
      <c r="CX231" t="e">
        <f>AND(Bills!#REF!,"AAAAAHV/92U=")</f>
        <v>#REF!</v>
      </c>
      <c r="CY231" t="e">
        <f>AND(Bills!#REF!,"AAAAAHV/92Y=")</f>
        <v>#REF!</v>
      </c>
      <c r="CZ231" t="e">
        <f>AND(Bills!#REF!,"AAAAAHV/92c=")</f>
        <v>#REF!</v>
      </c>
      <c r="DA231" t="e">
        <f>AND(Bills!#REF!,"AAAAAHV/92g=")</f>
        <v>#REF!</v>
      </c>
      <c r="DB231" t="e">
        <f>AND(Bills!#REF!,"AAAAAHV/92k=")</f>
        <v>#REF!</v>
      </c>
      <c r="DC231" t="e">
        <f>AND(Bills!#REF!,"AAAAAHV/92o=")</f>
        <v>#REF!</v>
      </c>
      <c r="DD231" t="e">
        <f>AND(Bills!AA998,"AAAAAHV/92s=")</f>
        <v>#VALUE!</v>
      </c>
      <c r="DE231" t="e">
        <f>AND(Bills!AB998,"AAAAAHV/92w=")</f>
        <v>#VALUE!</v>
      </c>
      <c r="DF231" t="e">
        <f>AND(Bills!#REF!,"AAAAAHV/920=")</f>
        <v>#REF!</v>
      </c>
      <c r="DG231" t="e">
        <f>AND(Bills!#REF!,"AAAAAHV/924=")</f>
        <v>#REF!</v>
      </c>
      <c r="DH231" t="e">
        <f>AND(Bills!#REF!,"AAAAAHV/928=")</f>
        <v>#REF!</v>
      </c>
      <c r="DI231" t="e">
        <f>AND(Bills!AC998,"AAAAAHV/93A=")</f>
        <v>#VALUE!</v>
      </c>
      <c r="DJ231" t="e">
        <f>AND(Bills!AD998,"AAAAAHV/93E=")</f>
        <v>#VALUE!</v>
      </c>
      <c r="DK231" t="e">
        <f>AND(Bills!AE998,"AAAAAHV/93I=")</f>
        <v>#VALUE!</v>
      </c>
      <c r="DL231">
        <f>IF(Bills!999:999,"AAAAAHV/93M=",0)</f>
        <v>0</v>
      </c>
      <c r="DM231" t="e">
        <f>AND(Bills!B999,"AAAAAHV/93Q=")</f>
        <v>#VALUE!</v>
      </c>
      <c r="DN231" t="e">
        <f>AND(Bills!#REF!,"AAAAAHV/93U=")</f>
        <v>#REF!</v>
      </c>
      <c r="DO231" t="e">
        <f>AND(Bills!C999,"AAAAAHV/93Y=")</f>
        <v>#VALUE!</v>
      </c>
      <c r="DP231" t="e">
        <f>AND(Bills!D999,"AAAAAHV/93c=")</f>
        <v>#VALUE!</v>
      </c>
      <c r="DQ231" t="e">
        <f>AND(Bills!E999,"AAAAAHV/93g=")</f>
        <v>#VALUE!</v>
      </c>
      <c r="DR231" t="e">
        <f>AND(Bills!#REF!,"AAAAAHV/93k=")</f>
        <v>#REF!</v>
      </c>
      <c r="DS231" t="e">
        <f>AND(Bills!#REF!,"AAAAAHV/93o=")</f>
        <v>#REF!</v>
      </c>
      <c r="DT231" t="e">
        <f>AND(Bills!#REF!,"AAAAAHV/93s=")</f>
        <v>#REF!</v>
      </c>
      <c r="DU231" t="e">
        <f>AND(Bills!F999,"AAAAAHV/93w=")</f>
        <v>#VALUE!</v>
      </c>
      <c r="DV231" t="e">
        <f>AND(Bills!#REF!,"AAAAAHV/930=")</f>
        <v>#REF!</v>
      </c>
      <c r="DW231" t="e">
        <f>AND(Bills!G999,"AAAAAHV/934=")</f>
        <v>#VALUE!</v>
      </c>
      <c r="DX231" t="e">
        <f>AND(Bills!H999,"AAAAAHV/938=")</f>
        <v>#VALUE!</v>
      </c>
      <c r="DY231" t="e">
        <f>AND(Bills!I999,"AAAAAHV/94A=")</f>
        <v>#VALUE!</v>
      </c>
      <c r="DZ231" t="e">
        <f>AND(Bills!J999,"AAAAAHV/94E=")</f>
        <v>#VALUE!</v>
      </c>
      <c r="EA231" t="e">
        <f>AND(Bills!K999,"AAAAAHV/94I=")</f>
        <v>#VALUE!</v>
      </c>
      <c r="EB231" t="e">
        <f>AND(Bills!L999,"AAAAAHV/94M=")</f>
        <v>#VALUE!</v>
      </c>
      <c r="EC231" t="e">
        <f>AND(Bills!#REF!,"AAAAAHV/94Q=")</f>
        <v>#REF!</v>
      </c>
      <c r="ED231" t="e">
        <f>AND(Bills!M999,"AAAAAHV/94U=")</f>
        <v>#VALUE!</v>
      </c>
      <c r="EE231" t="e">
        <f>AND(Bills!N999,"AAAAAHV/94Y=")</f>
        <v>#VALUE!</v>
      </c>
      <c r="EF231" t="e">
        <f>AND(Bills!O999,"AAAAAHV/94c=")</f>
        <v>#VALUE!</v>
      </c>
      <c r="EG231" t="e">
        <f>AND(Bills!P999,"AAAAAHV/94g=")</f>
        <v>#VALUE!</v>
      </c>
      <c r="EH231" t="e">
        <f>AND(Bills!Q999,"AAAAAHV/94k=")</f>
        <v>#VALUE!</v>
      </c>
      <c r="EI231" t="e">
        <f>AND(Bills!R999,"AAAAAHV/94o=")</f>
        <v>#VALUE!</v>
      </c>
      <c r="EJ231" t="e">
        <f>AND(Bills!S999,"AAAAAHV/94s=")</f>
        <v>#VALUE!</v>
      </c>
      <c r="EK231" t="e">
        <f>AND(Bills!T999,"AAAAAHV/94w=")</f>
        <v>#VALUE!</v>
      </c>
      <c r="EL231" t="e">
        <f>AND(Bills!#REF!,"AAAAAHV/940=")</f>
        <v>#REF!</v>
      </c>
      <c r="EM231" t="e">
        <f>AND(Bills!U999,"AAAAAHV/944=")</f>
        <v>#VALUE!</v>
      </c>
      <c r="EN231" t="e">
        <f>AND(Bills!V999,"AAAAAHV/948=")</f>
        <v>#VALUE!</v>
      </c>
      <c r="EO231" t="e">
        <f>AND(Bills!W999,"AAAAAHV/95A=")</f>
        <v>#VALUE!</v>
      </c>
      <c r="EP231" t="e">
        <f>AND(Bills!#REF!,"AAAAAHV/95E=")</f>
        <v>#REF!</v>
      </c>
      <c r="EQ231" t="e">
        <f>AND(Bills!#REF!,"AAAAAHV/95I=")</f>
        <v>#REF!</v>
      </c>
      <c r="ER231" t="e">
        <f>AND(Bills!Y999,"AAAAAHV/95M=")</f>
        <v>#VALUE!</v>
      </c>
      <c r="ES231" t="e">
        <f>AND(Bills!Z999,"AAAAAHV/95Q=")</f>
        <v>#VALUE!</v>
      </c>
      <c r="ET231" t="e">
        <f>AND(Bills!#REF!,"AAAAAHV/95U=")</f>
        <v>#REF!</v>
      </c>
      <c r="EU231" t="e">
        <f>AND(Bills!#REF!,"AAAAAHV/95Y=")</f>
        <v>#REF!</v>
      </c>
      <c r="EV231" t="e">
        <f>AND(Bills!#REF!,"AAAAAHV/95c=")</f>
        <v>#REF!</v>
      </c>
      <c r="EW231" t="e">
        <f>AND(Bills!#REF!,"AAAAAHV/95g=")</f>
        <v>#REF!</v>
      </c>
      <c r="EX231" t="e">
        <f>AND(Bills!#REF!,"AAAAAHV/95k=")</f>
        <v>#REF!</v>
      </c>
      <c r="EY231" t="e">
        <f>AND(Bills!#REF!,"AAAAAHV/95o=")</f>
        <v>#REF!</v>
      </c>
      <c r="EZ231" t="e">
        <f>AND(Bills!#REF!,"AAAAAHV/95s=")</f>
        <v>#REF!</v>
      </c>
      <c r="FA231" t="e">
        <f>AND(Bills!#REF!,"AAAAAHV/95w=")</f>
        <v>#REF!</v>
      </c>
      <c r="FB231" t="e">
        <f>AND(Bills!#REF!,"AAAAAHV/950=")</f>
        <v>#REF!</v>
      </c>
      <c r="FC231" t="e">
        <f>AND(Bills!AA999,"AAAAAHV/954=")</f>
        <v>#VALUE!</v>
      </c>
      <c r="FD231" t="e">
        <f>AND(Bills!AB999,"AAAAAHV/958=")</f>
        <v>#VALUE!</v>
      </c>
      <c r="FE231" t="e">
        <f>AND(Bills!#REF!,"AAAAAHV/96A=")</f>
        <v>#REF!</v>
      </c>
      <c r="FF231" t="e">
        <f>AND(Bills!#REF!,"AAAAAHV/96E=")</f>
        <v>#REF!</v>
      </c>
      <c r="FG231" t="e">
        <f>AND(Bills!#REF!,"AAAAAHV/96I=")</f>
        <v>#REF!</v>
      </c>
      <c r="FH231" t="e">
        <f>AND(Bills!AC999,"AAAAAHV/96M=")</f>
        <v>#VALUE!</v>
      </c>
      <c r="FI231" t="e">
        <f>AND(Bills!AD999,"AAAAAHV/96Q=")</f>
        <v>#VALUE!</v>
      </c>
      <c r="FJ231" t="e">
        <f>AND(Bills!AE999,"AAAAAHV/96U=")</f>
        <v>#VALUE!</v>
      </c>
      <c r="FK231">
        <f>IF(Bills!1000:1000,"AAAAAHV/96Y=",0)</f>
        <v>0</v>
      </c>
      <c r="FL231" t="e">
        <f>AND(Bills!B1000,"AAAAAHV/96c=")</f>
        <v>#VALUE!</v>
      </c>
      <c r="FM231" t="e">
        <f>AND(Bills!#REF!,"AAAAAHV/96g=")</f>
        <v>#REF!</v>
      </c>
      <c r="FN231" t="e">
        <f>AND(Bills!C1000,"AAAAAHV/96k=")</f>
        <v>#VALUE!</v>
      </c>
      <c r="FO231" t="e">
        <f>AND(Bills!D1000,"AAAAAHV/96o=")</f>
        <v>#VALUE!</v>
      </c>
      <c r="FP231" t="e">
        <f>AND(Bills!E1000,"AAAAAHV/96s=")</f>
        <v>#VALUE!</v>
      </c>
      <c r="FQ231" t="e">
        <f>AND(Bills!#REF!,"AAAAAHV/96w=")</f>
        <v>#REF!</v>
      </c>
      <c r="FR231" t="e">
        <f>AND(Bills!#REF!,"AAAAAHV/960=")</f>
        <v>#REF!</v>
      </c>
      <c r="FS231" t="e">
        <f>AND(Bills!#REF!,"AAAAAHV/964=")</f>
        <v>#REF!</v>
      </c>
      <c r="FT231" t="e">
        <f>AND(Bills!F1000,"AAAAAHV/968=")</f>
        <v>#VALUE!</v>
      </c>
      <c r="FU231" t="e">
        <f>AND(Bills!#REF!,"AAAAAHV/97A=")</f>
        <v>#REF!</v>
      </c>
      <c r="FV231" t="e">
        <f>AND(Bills!G1000,"AAAAAHV/97E=")</f>
        <v>#VALUE!</v>
      </c>
      <c r="FW231" t="e">
        <f>AND(Bills!H1000,"AAAAAHV/97I=")</f>
        <v>#VALUE!</v>
      </c>
      <c r="FX231" t="e">
        <f>AND(Bills!I1000,"AAAAAHV/97M=")</f>
        <v>#VALUE!</v>
      </c>
      <c r="FY231" t="e">
        <f>AND(Bills!J1000,"AAAAAHV/97Q=")</f>
        <v>#VALUE!</v>
      </c>
      <c r="FZ231" t="e">
        <f>AND(Bills!K1000,"AAAAAHV/97U=")</f>
        <v>#VALUE!</v>
      </c>
      <c r="GA231" t="e">
        <f>AND(Bills!L1000,"AAAAAHV/97Y=")</f>
        <v>#VALUE!</v>
      </c>
      <c r="GB231" t="e">
        <f>AND(Bills!#REF!,"AAAAAHV/97c=")</f>
        <v>#REF!</v>
      </c>
      <c r="GC231" t="e">
        <f>AND(Bills!M1000,"AAAAAHV/97g=")</f>
        <v>#VALUE!</v>
      </c>
      <c r="GD231" t="e">
        <f>AND(Bills!N1000,"AAAAAHV/97k=")</f>
        <v>#VALUE!</v>
      </c>
      <c r="GE231" t="e">
        <f>AND(Bills!O1000,"AAAAAHV/97o=")</f>
        <v>#VALUE!</v>
      </c>
      <c r="GF231" t="e">
        <f>AND(Bills!P1000,"AAAAAHV/97s=")</f>
        <v>#VALUE!</v>
      </c>
      <c r="GG231" t="e">
        <f>AND(Bills!Q1000,"AAAAAHV/97w=")</f>
        <v>#VALUE!</v>
      </c>
      <c r="GH231" t="e">
        <f>AND(Bills!R1000,"AAAAAHV/970=")</f>
        <v>#VALUE!</v>
      </c>
      <c r="GI231" t="e">
        <f>AND(Bills!S1000,"AAAAAHV/974=")</f>
        <v>#VALUE!</v>
      </c>
      <c r="GJ231" t="e">
        <f>AND(Bills!T1000,"AAAAAHV/978=")</f>
        <v>#VALUE!</v>
      </c>
      <c r="GK231" t="e">
        <f>AND(Bills!#REF!,"AAAAAHV/98A=")</f>
        <v>#REF!</v>
      </c>
      <c r="GL231" t="e">
        <f>AND(Bills!U1000,"AAAAAHV/98E=")</f>
        <v>#VALUE!</v>
      </c>
      <c r="GM231" t="e">
        <f>AND(Bills!V1000,"AAAAAHV/98I=")</f>
        <v>#VALUE!</v>
      </c>
      <c r="GN231" t="e">
        <f>AND(Bills!W1000,"AAAAAHV/98M=")</f>
        <v>#VALUE!</v>
      </c>
      <c r="GO231" t="e">
        <f>AND(Bills!#REF!,"AAAAAHV/98Q=")</f>
        <v>#REF!</v>
      </c>
      <c r="GP231" t="e">
        <f>AND(Bills!#REF!,"AAAAAHV/98U=")</f>
        <v>#REF!</v>
      </c>
      <c r="GQ231" t="e">
        <f>AND(Bills!Y1000,"AAAAAHV/98Y=")</f>
        <v>#VALUE!</v>
      </c>
      <c r="GR231" t="e">
        <f>AND(Bills!Z1000,"AAAAAHV/98c=")</f>
        <v>#VALUE!</v>
      </c>
      <c r="GS231" t="e">
        <f>AND(Bills!#REF!,"AAAAAHV/98g=")</f>
        <v>#REF!</v>
      </c>
      <c r="GT231" t="e">
        <f>AND(Bills!#REF!,"AAAAAHV/98k=")</f>
        <v>#REF!</v>
      </c>
      <c r="GU231" t="e">
        <f>AND(Bills!#REF!,"AAAAAHV/98o=")</f>
        <v>#REF!</v>
      </c>
      <c r="GV231" t="e">
        <f>AND(Bills!#REF!,"AAAAAHV/98s=")</f>
        <v>#REF!</v>
      </c>
      <c r="GW231" t="e">
        <f>AND(Bills!#REF!,"AAAAAHV/98w=")</f>
        <v>#REF!</v>
      </c>
      <c r="GX231" t="e">
        <f>AND(Bills!#REF!,"AAAAAHV/980=")</f>
        <v>#REF!</v>
      </c>
      <c r="GY231" t="e">
        <f>AND(Bills!#REF!,"AAAAAHV/984=")</f>
        <v>#REF!</v>
      </c>
      <c r="GZ231" t="e">
        <f>AND(Bills!#REF!,"AAAAAHV/988=")</f>
        <v>#REF!</v>
      </c>
      <c r="HA231" t="e">
        <f>AND(Bills!#REF!,"AAAAAHV/99A=")</f>
        <v>#REF!</v>
      </c>
      <c r="HB231" t="e">
        <f>AND(Bills!AA1000,"AAAAAHV/99E=")</f>
        <v>#VALUE!</v>
      </c>
      <c r="HC231" t="e">
        <f>AND(Bills!AB1000,"AAAAAHV/99I=")</f>
        <v>#VALUE!</v>
      </c>
      <c r="HD231" t="e">
        <f>AND(Bills!#REF!,"AAAAAHV/99M=")</f>
        <v>#REF!</v>
      </c>
      <c r="HE231" t="e">
        <f>AND(Bills!#REF!,"AAAAAHV/99Q=")</f>
        <v>#REF!</v>
      </c>
      <c r="HF231" t="e">
        <f>AND(Bills!#REF!,"AAAAAHV/99U=")</f>
        <v>#REF!</v>
      </c>
      <c r="HG231" t="e">
        <f>AND(Bills!AC1000,"AAAAAHV/99Y=")</f>
        <v>#VALUE!</v>
      </c>
      <c r="HH231" t="e">
        <f>AND(Bills!AD1000,"AAAAAHV/99c=")</f>
        <v>#VALUE!</v>
      </c>
      <c r="HI231" t="e">
        <f>AND(Bills!AE1000,"AAAAAHV/99g=")</f>
        <v>#VALUE!</v>
      </c>
      <c r="HJ231">
        <f>IF(Bills!1001:1001,"AAAAAHV/99k=",0)</f>
        <v>0</v>
      </c>
      <c r="HK231" t="e">
        <f>AND(Bills!B1001,"AAAAAHV/99o=")</f>
        <v>#VALUE!</v>
      </c>
      <c r="HL231" t="e">
        <f>AND(Bills!#REF!,"AAAAAHV/99s=")</f>
        <v>#REF!</v>
      </c>
      <c r="HM231" t="e">
        <f>AND(Bills!C1001,"AAAAAHV/99w=")</f>
        <v>#VALUE!</v>
      </c>
      <c r="HN231" t="e">
        <f>AND(Bills!D1001,"AAAAAHV/990=")</f>
        <v>#VALUE!</v>
      </c>
      <c r="HO231" t="e">
        <f>AND(Bills!E1001,"AAAAAHV/994=")</f>
        <v>#VALUE!</v>
      </c>
      <c r="HP231" t="e">
        <f>AND(Bills!#REF!,"AAAAAHV/998=")</f>
        <v>#REF!</v>
      </c>
      <c r="HQ231" t="e">
        <f>AND(Bills!#REF!,"AAAAAHV/9+A=")</f>
        <v>#REF!</v>
      </c>
      <c r="HR231" t="e">
        <f>AND(Bills!#REF!,"AAAAAHV/9+E=")</f>
        <v>#REF!</v>
      </c>
      <c r="HS231" t="e">
        <f>AND(Bills!F1001,"AAAAAHV/9+I=")</f>
        <v>#VALUE!</v>
      </c>
      <c r="HT231" t="e">
        <f>AND(Bills!#REF!,"AAAAAHV/9+M=")</f>
        <v>#REF!</v>
      </c>
      <c r="HU231" t="e">
        <f>AND(Bills!G1001,"AAAAAHV/9+Q=")</f>
        <v>#VALUE!</v>
      </c>
      <c r="HV231" t="e">
        <f>AND(Bills!H1001,"AAAAAHV/9+U=")</f>
        <v>#VALUE!</v>
      </c>
      <c r="HW231" t="e">
        <f>AND(Bills!I1001,"AAAAAHV/9+Y=")</f>
        <v>#VALUE!</v>
      </c>
      <c r="HX231" t="e">
        <f>AND(Bills!J1001,"AAAAAHV/9+c=")</f>
        <v>#VALUE!</v>
      </c>
      <c r="HY231" t="e">
        <f>AND(Bills!K1001,"AAAAAHV/9+g=")</f>
        <v>#VALUE!</v>
      </c>
      <c r="HZ231" t="e">
        <f>AND(Bills!L1001,"AAAAAHV/9+k=")</f>
        <v>#VALUE!</v>
      </c>
      <c r="IA231" t="e">
        <f>AND(Bills!#REF!,"AAAAAHV/9+o=")</f>
        <v>#REF!</v>
      </c>
      <c r="IB231" t="e">
        <f>AND(Bills!M1001,"AAAAAHV/9+s=")</f>
        <v>#VALUE!</v>
      </c>
      <c r="IC231" t="e">
        <f>AND(Bills!N1001,"AAAAAHV/9+w=")</f>
        <v>#VALUE!</v>
      </c>
      <c r="ID231" t="e">
        <f>AND(Bills!O1001,"AAAAAHV/9+0=")</f>
        <v>#VALUE!</v>
      </c>
      <c r="IE231" t="e">
        <f>AND(Bills!P1001,"AAAAAHV/9+4=")</f>
        <v>#VALUE!</v>
      </c>
      <c r="IF231" t="e">
        <f>AND(Bills!Q1001,"AAAAAHV/9+8=")</f>
        <v>#VALUE!</v>
      </c>
      <c r="IG231" t="e">
        <f>AND(Bills!R1001,"AAAAAHV/9/A=")</f>
        <v>#VALUE!</v>
      </c>
      <c r="IH231" t="e">
        <f>AND(Bills!S1001,"AAAAAHV/9/E=")</f>
        <v>#VALUE!</v>
      </c>
      <c r="II231" t="e">
        <f>AND(Bills!T1001,"AAAAAHV/9/I=")</f>
        <v>#VALUE!</v>
      </c>
      <c r="IJ231" t="e">
        <f>AND(Bills!#REF!,"AAAAAHV/9/M=")</f>
        <v>#REF!</v>
      </c>
      <c r="IK231" t="e">
        <f>AND(Bills!U1001,"AAAAAHV/9/Q=")</f>
        <v>#VALUE!</v>
      </c>
      <c r="IL231" t="e">
        <f>AND(Bills!V1001,"AAAAAHV/9/U=")</f>
        <v>#VALUE!</v>
      </c>
      <c r="IM231" t="e">
        <f>AND(Bills!W1001,"AAAAAHV/9/Y=")</f>
        <v>#VALUE!</v>
      </c>
      <c r="IN231" t="e">
        <f>AND(Bills!#REF!,"AAAAAHV/9/c=")</f>
        <v>#REF!</v>
      </c>
      <c r="IO231" t="e">
        <f>AND(Bills!#REF!,"AAAAAHV/9/g=")</f>
        <v>#REF!</v>
      </c>
      <c r="IP231" t="e">
        <f>AND(Bills!Y1001,"AAAAAHV/9/k=")</f>
        <v>#VALUE!</v>
      </c>
      <c r="IQ231" t="e">
        <f>AND(Bills!Z1001,"AAAAAHV/9/o=")</f>
        <v>#VALUE!</v>
      </c>
      <c r="IR231" t="e">
        <f>AND(Bills!#REF!,"AAAAAHV/9/s=")</f>
        <v>#REF!</v>
      </c>
      <c r="IS231" t="e">
        <f>AND(Bills!#REF!,"AAAAAHV/9/w=")</f>
        <v>#REF!</v>
      </c>
      <c r="IT231" t="e">
        <f>AND(Bills!#REF!,"AAAAAHV/9/0=")</f>
        <v>#REF!</v>
      </c>
      <c r="IU231" t="e">
        <f>AND(Bills!#REF!,"AAAAAHV/9/4=")</f>
        <v>#REF!</v>
      </c>
      <c r="IV231" t="e">
        <f>AND(Bills!#REF!,"AAAAAHV/9/8=")</f>
        <v>#REF!</v>
      </c>
    </row>
    <row r="232" spans="1:256" x14ac:dyDescent="0.25">
      <c r="A232" t="e">
        <f>AND(Bills!#REF!,"AAAAAH0X/AA=")</f>
        <v>#REF!</v>
      </c>
      <c r="B232" t="e">
        <f>AND(Bills!#REF!,"AAAAAH0X/AE=")</f>
        <v>#REF!</v>
      </c>
      <c r="C232" t="e">
        <f>AND(Bills!#REF!,"AAAAAH0X/AI=")</f>
        <v>#REF!</v>
      </c>
      <c r="D232" t="e">
        <f>AND(Bills!#REF!,"AAAAAH0X/AM=")</f>
        <v>#REF!</v>
      </c>
      <c r="E232" t="e">
        <f>AND(Bills!AA1001,"AAAAAH0X/AQ=")</f>
        <v>#VALUE!</v>
      </c>
      <c r="F232" t="e">
        <f>AND(Bills!AB1001,"AAAAAH0X/AU=")</f>
        <v>#VALUE!</v>
      </c>
      <c r="G232" t="e">
        <f>AND(Bills!#REF!,"AAAAAH0X/AY=")</f>
        <v>#REF!</v>
      </c>
      <c r="H232" t="e">
        <f>AND(Bills!#REF!,"AAAAAH0X/Ac=")</f>
        <v>#REF!</v>
      </c>
      <c r="I232" t="e">
        <f>AND(Bills!#REF!,"AAAAAH0X/Ag=")</f>
        <v>#REF!</v>
      </c>
      <c r="J232" t="e">
        <f>AND(Bills!AC1001,"AAAAAH0X/Ak=")</f>
        <v>#VALUE!</v>
      </c>
      <c r="K232" t="e">
        <f>AND(Bills!AD1001,"AAAAAH0X/Ao=")</f>
        <v>#VALUE!</v>
      </c>
      <c r="L232" t="e">
        <f>AND(Bills!AE1001,"AAAAAH0X/As=")</f>
        <v>#VALUE!</v>
      </c>
      <c r="M232">
        <f>IF(Bills!1002:1002,"AAAAAH0X/Aw=",0)</f>
        <v>0</v>
      </c>
      <c r="N232" t="e">
        <f>AND(Bills!B1002,"AAAAAH0X/A0=")</f>
        <v>#VALUE!</v>
      </c>
      <c r="O232" t="e">
        <f>AND(Bills!#REF!,"AAAAAH0X/A4=")</f>
        <v>#REF!</v>
      </c>
      <c r="P232" t="e">
        <f>AND(Bills!C1002,"AAAAAH0X/A8=")</f>
        <v>#VALUE!</v>
      </c>
      <c r="Q232" t="e">
        <f>AND(Bills!D1002,"AAAAAH0X/BA=")</f>
        <v>#VALUE!</v>
      </c>
      <c r="R232" t="e">
        <f>AND(Bills!E1002,"AAAAAH0X/BE=")</f>
        <v>#VALUE!</v>
      </c>
      <c r="S232" t="e">
        <f>AND(Bills!#REF!,"AAAAAH0X/BI=")</f>
        <v>#REF!</v>
      </c>
      <c r="T232" t="e">
        <f>AND(Bills!#REF!,"AAAAAH0X/BM=")</f>
        <v>#REF!</v>
      </c>
      <c r="U232" t="e">
        <f>AND(Bills!#REF!,"AAAAAH0X/BQ=")</f>
        <v>#REF!</v>
      </c>
      <c r="V232" t="e">
        <f>AND(Bills!F1002,"AAAAAH0X/BU=")</f>
        <v>#VALUE!</v>
      </c>
      <c r="W232" t="e">
        <f>AND(Bills!#REF!,"AAAAAH0X/BY=")</f>
        <v>#REF!</v>
      </c>
      <c r="X232" t="e">
        <f>AND(Bills!G1002,"AAAAAH0X/Bc=")</f>
        <v>#VALUE!</v>
      </c>
      <c r="Y232" t="e">
        <f>AND(Bills!H1002,"AAAAAH0X/Bg=")</f>
        <v>#VALUE!</v>
      </c>
      <c r="Z232" t="e">
        <f>AND(Bills!I1002,"AAAAAH0X/Bk=")</f>
        <v>#VALUE!</v>
      </c>
      <c r="AA232" t="e">
        <f>AND(Bills!J1002,"AAAAAH0X/Bo=")</f>
        <v>#VALUE!</v>
      </c>
      <c r="AB232" t="e">
        <f>AND(Bills!K1002,"AAAAAH0X/Bs=")</f>
        <v>#VALUE!</v>
      </c>
      <c r="AC232" t="e">
        <f>AND(Bills!L1002,"AAAAAH0X/Bw=")</f>
        <v>#VALUE!</v>
      </c>
      <c r="AD232" t="e">
        <f>AND(Bills!#REF!,"AAAAAH0X/B0=")</f>
        <v>#REF!</v>
      </c>
      <c r="AE232" t="e">
        <f>AND(Bills!M1002,"AAAAAH0X/B4=")</f>
        <v>#VALUE!</v>
      </c>
      <c r="AF232" t="e">
        <f>AND(Bills!N1002,"AAAAAH0X/B8=")</f>
        <v>#VALUE!</v>
      </c>
      <c r="AG232" t="e">
        <f>AND(Bills!O1002,"AAAAAH0X/CA=")</f>
        <v>#VALUE!</v>
      </c>
      <c r="AH232" t="e">
        <f>AND(Bills!P1002,"AAAAAH0X/CE=")</f>
        <v>#VALUE!</v>
      </c>
      <c r="AI232" t="e">
        <f>AND(Bills!Q1002,"AAAAAH0X/CI=")</f>
        <v>#VALUE!</v>
      </c>
      <c r="AJ232" t="e">
        <f>AND(Bills!R1002,"AAAAAH0X/CM=")</f>
        <v>#VALUE!</v>
      </c>
      <c r="AK232" t="e">
        <f>AND(Bills!S1002,"AAAAAH0X/CQ=")</f>
        <v>#VALUE!</v>
      </c>
      <c r="AL232" t="e">
        <f>AND(Bills!T1002,"AAAAAH0X/CU=")</f>
        <v>#VALUE!</v>
      </c>
      <c r="AM232" t="e">
        <f>AND(Bills!#REF!,"AAAAAH0X/CY=")</f>
        <v>#REF!</v>
      </c>
      <c r="AN232" t="e">
        <f>AND(Bills!U1002,"AAAAAH0X/Cc=")</f>
        <v>#VALUE!</v>
      </c>
      <c r="AO232" t="e">
        <f>AND(Bills!V1002,"AAAAAH0X/Cg=")</f>
        <v>#VALUE!</v>
      </c>
      <c r="AP232" t="e">
        <f>AND(Bills!W1002,"AAAAAH0X/Ck=")</f>
        <v>#VALUE!</v>
      </c>
      <c r="AQ232" t="e">
        <f>AND(Bills!#REF!,"AAAAAH0X/Co=")</f>
        <v>#REF!</v>
      </c>
      <c r="AR232" t="e">
        <f>AND(Bills!#REF!,"AAAAAH0X/Cs=")</f>
        <v>#REF!</v>
      </c>
      <c r="AS232" t="e">
        <f>AND(Bills!Y1002,"AAAAAH0X/Cw=")</f>
        <v>#VALUE!</v>
      </c>
      <c r="AT232" t="e">
        <f>AND(Bills!Z1002,"AAAAAH0X/C0=")</f>
        <v>#VALUE!</v>
      </c>
      <c r="AU232" t="e">
        <f>AND(Bills!#REF!,"AAAAAH0X/C4=")</f>
        <v>#REF!</v>
      </c>
      <c r="AV232" t="e">
        <f>AND(Bills!#REF!,"AAAAAH0X/C8=")</f>
        <v>#REF!</v>
      </c>
      <c r="AW232" t="e">
        <f>AND(Bills!#REF!,"AAAAAH0X/DA=")</f>
        <v>#REF!</v>
      </c>
      <c r="AX232" t="e">
        <f>AND(Bills!#REF!,"AAAAAH0X/DE=")</f>
        <v>#REF!</v>
      </c>
      <c r="AY232" t="e">
        <f>AND(Bills!#REF!,"AAAAAH0X/DI=")</f>
        <v>#REF!</v>
      </c>
      <c r="AZ232" t="e">
        <f>AND(Bills!#REF!,"AAAAAH0X/DM=")</f>
        <v>#REF!</v>
      </c>
      <c r="BA232" t="e">
        <f>AND(Bills!#REF!,"AAAAAH0X/DQ=")</f>
        <v>#REF!</v>
      </c>
      <c r="BB232" t="e">
        <f>AND(Bills!#REF!,"AAAAAH0X/DU=")</f>
        <v>#REF!</v>
      </c>
      <c r="BC232" t="e">
        <f>AND(Bills!#REF!,"AAAAAH0X/DY=")</f>
        <v>#REF!</v>
      </c>
      <c r="BD232" t="e">
        <f>AND(Bills!AA1002,"AAAAAH0X/Dc=")</f>
        <v>#VALUE!</v>
      </c>
      <c r="BE232" t="e">
        <f>AND(Bills!AB1002,"AAAAAH0X/Dg=")</f>
        <v>#VALUE!</v>
      </c>
      <c r="BF232" t="e">
        <f>AND(Bills!#REF!,"AAAAAH0X/Dk=")</f>
        <v>#REF!</v>
      </c>
      <c r="BG232" t="e">
        <f>AND(Bills!#REF!,"AAAAAH0X/Do=")</f>
        <v>#REF!</v>
      </c>
      <c r="BH232" t="e">
        <f>AND(Bills!#REF!,"AAAAAH0X/Ds=")</f>
        <v>#REF!</v>
      </c>
      <c r="BI232" t="e">
        <f>AND(Bills!AC1002,"AAAAAH0X/Dw=")</f>
        <v>#VALUE!</v>
      </c>
      <c r="BJ232" t="e">
        <f>AND(Bills!AD1002,"AAAAAH0X/D0=")</f>
        <v>#VALUE!</v>
      </c>
      <c r="BK232" t="e">
        <f>AND(Bills!AE1002,"AAAAAH0X/D4=")</f>
        <v>#VALUE!</v>
      </c>
      <c r="BL232">
        <f>IF(Bills!1003:1003,"AAAAAH0X/D8=",0)</f>
        <v>0</v>
      </c>
      <c r="BM232" t="e">
        <f>AND(Bills!B1003,"AAAAAH0X/EA=")</f>
        <v>#VALUE!</v>
      </c>
      <c r="BN232" t="e">
        <f>AND(Bills!#REF!,"AAAAAH0X/EE=")</f>
        <v>#REF!</v>
      </c>
      <c r="BO232" t="e">
        <f>AND(Bills!C1003,"AAAAAH0X/EI=")</f>
        <v>#VALUE!</v>
      </c>
      <c r="BP232" t="e">
        <f>AND(Bills!D1003,"AAAAAH0X/EM=")</f>
        <v>#VALUE!</v>
      </c>
      <c r="BQ232" t="e">
        <f>AND(Bills!E1003,"AAAAAH0X/EQ=")</f>
        <v>#VALUE!</v>
      </c>
      <c r="BR232" t="e">
        <f>AND(Bills!#REF!,"AAAAAH0X/EU=")</f>
        <v>#REF!</v>
      </c>
      <c r="BS232" t="e">
        <f>AND(Bills!#REF!,"AAAAAH0X/EY=")</f>
        <v>#REF!</v>
      </c>
      <c r="BT232" t="e">
        <f>AND(Bills!#REF!,"AAAAAH0X/Ec=")</f>
        <v>#REF!</v>
      </c>
      <c r="BU232" t="e">
        <f>AND(Bills!F1003,"AAAAAH0X/Eg=")</f>
        <v>#VALUE!</v>
      </c>
      <c r="BV232" t="e">
        <f>AND(Bills!#REF!,"AAAAAH0X/Ek=")</f>
        <v>#REF!</v>
      </c>
      <c r="BW232" t="e">
        <f>AND(Bills!G1003,"AAAAAH0X/Eo=")</f>
        <v>#VALUE!</v>
      </c>
      <c r="BX232" t="e">
        <f>AND(Bills!H1003,"AAAAAH0X/Es=")</f>
        <v>#VALUE!</v>
      </c>
      <c r="BY232" t="e">
        <f>AND(Bills!I1003,"AAAAAH0X/Ew=")</f>
        <v>#VALUE!</v>
      </c>
      <c r="BZ232" t="e">
        <f>AND(Bills!J1003,"AAAAAH0X/E0=")</f>
        <v>#VALUE!</v>
      </c>
      <c r="CA232" t="e">
        <f>AND(Bills!K1003,"AAAAAH0X/E4=")</f>
        <v>#VALUE!</v>
      </c>
      <c r="CB232" t="e">
        <f>AND(Bills!L1003,"AAAAAH0X/E8=")</f>
        <v>#VALUE!</v>
      </c>
      <c r="CC232" t="e">
        <f>AND(Bills!#REF!,"AAAAAH0X/FA=")</f>
        <v>#REF!</v>
      </c>
      <c r="CD232" t="e">
        <f>AND(Bills!M1003,"AAAAAH0X/FE=")</f>
        <v>#VALUE!</v>
      </c>
      <c r="CE232" t="e">
        <f>AND(Bills!N1003,"AAAAAH0X/FI=")</f>
        <v>#VALUE!</v>
      </c>
      <c r="CF232" t="e">
        <f>AND(Bills!O1003,"AAAAAH0X/FM=")</f>
        <v>#VALUE!</v>
      </c>
      <c r="CG232" t="e">
        <f>AND(Bills!P1003,"AAAAAH0X/FQ=")</f>
        <v>#VALUE!</v>
      </c>
      <c r="CH232" t="e">
        <f>AND(Bills!Q1003,"AAAAAH0X/FU=")</f>
        <v>#VALUE!</v>
      </c>
      <c r="CI232" t="e">
        <f>AND(Bills!R1003,"AAAAAH0X/FY=")</f>
        <v>#VALUE!</v>
      </c>
      <c r="CJ232" t="e">
        <f>AND(Bills!S1003,"AAAAAH0X/Fc=")</f>
        <v>#VALUE!</v>
      </c>
      <c r="CK232" t="e">
        <f>AND(Bills!T1003,"AAAAAH0X/Fg=")</f>
        <v>#VALUE!</v>
      </c>
      <c r="CL232" t="e">
        <f>AND(Bills!#REF!,"AAAAAH0X/Fk=")</f>
        <v>#REF!</v>
      </c>
      <c r="CM232" t="e">
        <f>AND(Bills!U1003,"AAAAAH0X/Fo=")</f>
        <v>#VALUE!</v>
      </c>
      <c r="CN232" t="e">
        <f>AND(Bills!V1003,"AAAAAH0X/Fs=")</f>
        <v>#VALUE!</v>
      </c>
      <c r="CO232" t="e">
        <f>AND(Bills!W1003,"AAAAAH0X/Fw=")</f>
        <v>#VALUE!</v>
      </c>
      <c r="CP232" t="e">
        <f>AND(Bills!#REF!,"AAAAAH0X/F0=")</f>
        <v>#REF!</v>
      </c>
      <c r="CQ232" t="e">
        <f>AND(Bills!#REF!,"AAAAAH0X/F4=")</f>
        <v>#REF!</v>
      </c>
      <c r="CR232" t="e">
        <f>AND(Bills!Y1003,"AAAAAH0X/F8=")</f>
        <v>#VALUE!</v>
      </c>
      <c r="CS232" t="e">
        <f>AND(Bills!Z1003,"AAAAAH0X/GA=")</f>
        <v>#VALUE!</v>
      </c>
      <c r="CT232" t="e">
        <f>AND(Bills!#REF!,"AAAAAH0X/GE=")</f>
        <v>#REF!</v>
      </c>
      <c r="CU232" t="e">
        <f>AND(Bills!#REF!,"AAAAAH0X/GI=")</f>
        <v>#REF!</v>
      </c>
      <c r="CV232" t="e">
        <f>AND(Bills!#REF!,"AAAAAH0X/GM=")</f>
        <v>#REF!</v>
      </c>
      <c r="CW232" t="e">
        <f>AND(Bills!#REF!,"AAAAAH0X/GQ=")</f>
        <v>#REF!</v>
      </c>
      <c r="CX232" t="e">
        <f>AND(Bills!#REF!,"AAAAAH0X/GU=")</f>
        <v>#REF!</v>
      </c>
      <c r="CY232" t="e">
        <f>AND(Bills!#REF!,"AAAAAH0X/GY=")</f>
        <v>#REF!</v>
      </c>
      <c r="CZ232" t="e">
        <f>AND(Bills!#REF!,"AAAAAH0X/Gc=")</f>
        <v>#REF!</v>
      </c>
      <c r="DA232" t="e">
        <f>AND(Bills!#REF!,"AAAAAH0X/Gg=")</f>
        <v>#REF!</v>
      </c>
      <c r="DB232" t="e">
        <f>AND(Bills!#REF!,"AAAAAH0X/Gk=")</f>
        <v>#REF!</v>
      </c>
      <c r="DC232" t="e">
        <f>AND(Bills!AA1003,"AAAAAH0X/Go=")</f>
        <v>#VALUE!</v>
      </c>
      <c r="DD232" t="e">
        <f>AND(Bills!AB1003,"AAAAAH0X/Gs=")</f>
        <v>#VALUE!</v>
      </c>
      <c r="DE232" t="e">
        <f>AND(Bills!#REF!,"AAAAAH0X/Gw=")</f>
        <v>#REF!</v>
      </c>
      <c r="DF232" t="e">
        <f>AND(Bills!#REF!,"AAAAAH0X/G0=")</f>
        <v>#REF!</v>
      </c>
      <c r="DG232" t="e">
        <f>AND(Bills!#REF!,"AAAAAH0X/G4=")</f>
        <v>#REF!</v>
      </c>
      <c r="DH232" t="e">
        <f>AND(Bills!AC1003,"AAAAAH0X/G8=")</f>
        <v>#VALUE!</v>
      </c>
      <c r="DI232" t="e">
        <f>AND(Bills!AD1003,"AAAAAH0X/HA=")</f>
        <v>#VALUE!</v>
      </c>
      <c r="DJ232" t="e">
        <f>AND(Bills!AE1003,"AAAAAH0X/HE=")</f>
        <v>#VALUE!</v>
      </c>
      <c r="DK232">
        <f>IF(Bills!1004:1004,"AAAAAH0X/HI=",0)</f>
        <v>0</v>
      </c>
      <c r="DL232" t="e">
        <f>AND(Bills!B1004,"AAAAAH0X/HM=")</f>
        <v>#VALUE!</v>
      </c>
      <c r="DM232" t="e">
        <f>AND(Bills!#REF!,"AAAAAH0X/HQ=")</f>
        <v>#REF!</v>
      </c>
      <c r="DN232" t="e">
        <f>AND(Bills!C1004,"AAAAAH0X/HU=")</f>
        <v>#VALUE!</v>
      </c>
      <c r="DO232" t="e">
        <f>AND(Bills!D1004,"AAAAAH0X/HY=")</f>
        <v>#VALUE!</v>
      </c>
      <c r="DP232" t="e">
        <f>AND(Bills!E1004,"AAAAAH0X/Hc=")</f>
        <v>#VALUE!</v>
      </c>
      <c r="DQ232" t="e">
        <f>AND(Bills!#REF!,"AAAAAH0X/Hg=")</f>
        <v>#REF!</v>
      </c>
      <c r="DR232" t="e">
        <f>AND(Bills!#REF!,"AAAAAH0X/Hk=")</f>
        <v>#REF!</v>
      </c>
      <c r="DS232" t="e">
        <f>AND(Bills!#REF!,"AAAAAH0X/Ho=")</f>
        <v>#REF!</v>
      </c>
      <c r="DT232" t="e">
        <f>AND(Bills!F1004,"AAAAAH0X/Hs=")</f>
        <v>#VALUE!</v>
      </c>
      <c r="DU232" t="e">
        <f>AND(Bills!#REF!,"AAAAAH0X/Hw=")</f>
        <v>#REF!</v>
      </c>
      <c r="DV232" t="e">
        <f>AND(Bills!G1004,"AAAAAH0X/H0=")</f>
        <v>#VALUE!</v>
      </c>
      <c r="DW232" t="e">
        <f>AND(Bills!H1004,"AAAAAH0X/H4=")</f>
        <v>#VALUE!</v>
      </c>
      <c r="DX232" t="e">
        <f>AND(Bills!I1004,"AAAAAH0X/H8=")</f>
        <v>#VALUE!</v>
      </c>
      <c r="DY232" t="e">
        <f>AND(Bills!J1004,"AAAAAH0X/IA=")</f>
        <v>#VALUE!</v>
      </c>
      <c r="DZ232" t="e">
        <f>AND(Bills!K1004,"AAAAAH0X/IE=")</f>
        <v>#VALUE!</v>
      </c>
      <c r="EA232" t="e">
        <f>AND(Bills!L1004,"AAAAAH0X/II=")</f>
        <v>#VALUE!</v>
      </c>
      <c r="EB232" t="e">
        <f>AND(Bills!#REF!,"AAAAAH0X/IM=")</f>
        <v>#REF!</v>
      </c>
      <c r="EC232" t="e">
        <f>AND(Bills!M1004,"AAAAAH0X/IQ=")</f>
        <v>#VALUE!</v>
      </c>
      <c r="ED232" t="e">
        <f>AND(Bills!N1004,"AAAAAH0X/IU=")</f>
        <v>#VALUE!</v>
      </c>
      <c r="EE232" t="e">
        <f>AND(Bills!O1004,"AAAAAH0X/IY=")</f>
        <v>#VALUE!</v>
      </c>
      <c r="EF232" t="e">
        <f>AND(Bills!P1004,"AAAAAH0X/Ic=")</f>
        <v>#VALUE!</v>
      </c>
      <c r="EG232" t="e">
        <f>AND(Bills!Q1004,"AAAAAH0X/Ig=")</f>
        <v>#VALUE!</v>
      </c>
      <c r="EH232" t="e">
        <f>AND(Bills!R1004,"AAAAAH0X/Ik=")</f>
        <v>#VALUE!</v>
      </c>
      <c r="EI232" t="e">
        <f>AND(Bills!S1004,"AAAAAH0X/Io=")</f>
        <v>#VALUE!</v>
      </c>
      <c r="EJ232" t="e">
        <f>AND(Bills!T1004,"AAAAAH0X/Is=")</f>
        <v>#VALUE!</v>
      </c>
      <c r="EK232" t="e">
        <f>AND(Bills!#REF!,"AAAAAH0X/Iw=")</f>
        <v>#REF!</v>
      </c>
      <c r="EL232" t="e">
        <f>AND(Bills!U1004,"AAAAAH0X/I0=")</f>
        <v>#VALUE!</v>
      </c>
      <c r="EM232" t="e">
        <f>AND(Bills!V1004,"AAAAAH0X/I4=")</f>
        <v>#VALUE!</v>
      </c>
      <c r="EN232" t="e">
        <f>AND(Bills!W1004,"AAAAAH0X/I8=")</f>
        <v>#VALUE!</v>
      </c>
      <c r="EO232" t="e">
        <f>AND(Bills!#REF!,"AAAAAH0X/JA=")</f>
        <v>#REF!</v>
      </c>
      <c r="EP232" t="e">
        <f>AND(Bills!#REF!,"AAAAAH0X/JE=")</f>
        <v>#REF!</v>
      </c>
      <c r="EQ232" t="e">
        <f>AND(Bills!Y1004,"AAAAAH0X/JI=")</f>
        <v>#VALUE!</v>
      </c>
      <c r="ER232" t="e">
        <f>AND(Bills!Z1004,"AAAAAH0X/JM=")</f>
        <v>#VALUE!</v>
      </c>
      <c r="ES232" t="e">
        <f>AND(Bills!#REF!,"AAAAAH0X/JQ=")</f>
        <v>#REF!</v>
      </c>
      <c r="ET232" t="e">
        <f>AND(Bills!#REF!,"AAAAAH0X/JU=")</f>
        <v>#REF!</v>
      </c>
      <c r="EU232" t="e">
        <f>AND(Bills!#REF!,"AAAAAH0X/JY=")</f>
        <v>#REF!</v>
      </c>
      <c r="EV232" t="e">
        <f>AND(Bills!#REF!,"AAAAAH0X/Jc=")</f>
        <v>#REF!</v>
      </c>
      <c r="EW232" t="e">
        <f>AND(Bills!#REF!,"AAAAAH0X/Jg=")</f>
        <v>#REF!</v>
      </c>
      <c r="EX232" t="e">
        <f>AND(Bills!#REF!,"AAAAAH0X/Jk=")</f>
        <v>#REF!</v>
      </c>
      <c r="EY232" t="e">
        <f>AND(Bills!#REF!,"AAAAAH0X/Jo=")</f>
        <v>#REF!</v>
      </c>
      <c r="EZ232" t="e">
        <f>AND(Bills!#REF!,"AAAAAH0X/Js=")</f>
        <v>#REF!</v>
      </c>
      <c r="FA232" t="e">
        <f>AND(Bills!#REF!,"AAAAAH0X/Jw=")</f>
        <v>#REF!</v>
      </c>
      <c r="FB232" t="e">
        <f>AND(Bills!AA1004,"AAAAAH0X/J0=")</f>
        <v>#VALUE!</v>
      </c>
      <c r="FC232" t="e">
        <f>AND(Bills!AB1004,"AAAAAH0X/J4=")</f>
        <v>#VALUE!</v>
      </c>
      <c r="FD232" t="e">
        <f>AND(Bills!#REF!,"AAAAAH0X/J8=")</f>
        <v>#REF!</v>
      </c>
      <c r="FE232" t="e">
        <f>AND(Bills!#REF!,"AAAAAH0X/KA=")</f>
        <v>#REF!</v>
      </c>
      <c r="FF232" t="e">
        <f>AND(Bills!#REF!,"AAAAAH0X/KE=")</f>
        <v>#REF!</v>
      </c>
      <c r="FG232" t="e">
        <f>AND(Bills!AC1004,"AAAAAH0X/KI=")</f>
        <v>#VALUE!</v>
      </c>
      <c r="FH232" t="e">
        <f>AND(Bills!AD1004,"AAAAAH0X/KM=")</f>
        <v>#VALUE!</v>
      </c>
      <c r="FI232" t="e">
        <f>AND(Bills!AE1004,"AAAAAH0X/KQ=")</f>
        <v>#VALUE!</v>
      </c>
      <c r="FJ232">
        <f>IF(Bills!1005:1005,"AAAAAH0X/KU=",0)</f>
        <v>0</v>
      </c>
      <c r="FK232" t="e">
        <f>AND(Bills!B1005,"AAAAAH0X/KY=")</f>
        <v>#VALUE!</v>
      </c>
      <c r="FL232" t="e">
        <f>AND(Bills!#REF!,"AAAAAH0X/Kc=")</f>
        <v>#REF!</v>
      </c>
      <c r="FM232" t="e">
        <f>AND(Bills!C1005,"AAAAAH0X/Kg=")</f>
        <v>#VALUE!</v>
      </c>
      <c r="FN232" t="e">
        <f>AND(Bills!D1005,"AAAAAH0X/Kk=")</f>
        <v>#VALUE!</v>
      </c>
      <c r="FO232" t="e">
        <f>AND(Bills!E1005,"AAAAAH0X/Ko=")</f>
        <v>#VALUE!</v>
      </c>
      <c r="FP232" t="e">
        <f>AND(Bills!#REF!,"AAAAAH0X/Ks=")</f>
        <v>#REF!</v>
      </c>
      <c r="FQ232" t="e">
        <f>AND(Bills!#REF!,"AAAAAH0X/Kw=")</f>
        <v>#REF!</v>
      </c>
      <c r="FR232" t="e">
        <f>AND(Bills!#REF!,"AAAAAH0X/K0=")</f>
        <v>#REF!</v>
      </c>
      <c r="FS232" t="e">
        <f>AND(Bills!F1005,"AAAAAH0X/K4=")</f>
        <v>#VALUE!</v>
      </c>
      <c r="FT232" t="e">
        <f>AND(Bills!#REF!,"AAAAAH0X/K8=")</f>
        <v>#REF!</v>
      </c>
      <c r="FU232" t="e">
        <f>AND(Bills!G1005,"AAAAAH0X/LA=")</f>
        <v>#VALUE!</v>
      </c>
      <c r="FV232" t="e">
        <f>AND(Bills!H1005,"AAAAAH0X/LE=")</f>
        <v>#VALUE!</v>
      </c>
      <c r="FW232" t="e">
        <f>AND(Bills!I1005,"AAAAAH0X/LI=")</f>
        <v>#VALUE!</v>
      </c>
      <c r="FX232" t="e">
        <f>AND(Bills!J1005,"AAAAAH0X/LM=")</f>
        <v>#VALUE!</v>
      </c>
      <c r="FY232" t="e">
        <f>AND(Bills!K1005,"AAAAAH0X/LQ=")</f>
        <v>#VALUE!</v>
      </c>
      <c r="FZ232" t="e">
        <f>AND(Bills!L1005,"AAAAAH0X/LU=")</f>
        <v>#VALUE!</v>
      </c>
      <c r="GA232" t="e">
        <f>AND(Bills!#REF!,"AAAAAH0X/LY=")</f>
        <v>#REF!</v>
      </c>
      <c r="GB232" t="e">
        <f>AND(Bills!M1005,"AAAAAH0X/Lc=")</f>
        <v>#VALUE!</v>
      </c>
      <c r="GC232" t="e">
        <f>AND(Bills!N1005,"AAAAAH0X/Lg=")</f>
        <v>#VALUE!</v>
      </c>
      <c r="GD232" t="e">
        <f>AND(Bills!O1005,"AAAAAH0X/Lk=")</f>
        <v>#VALUE!</v>
      </c>
      <c r="GE232" t="e">
        <f>AND(Bills!P1005,"AAAAAH0X/Lo=")</f>
        <v>#VALUE!</v>
      </c>
      <c r="GF232" t="e">
        <f>AND(Bills!Q1005,"AAAAAH0X/Ls=")</f>
        <v>#VALUE!</v>
      </c>
      <c r="GG232" t="e">
        <f>AND(Bills!R1005,"AAAAAH0X/Lw=")</f>
        <v>#VALUE!</v>
      </c>
      <c r="GH232" t="e">
        <f>AND(Bills!S1005,"AAAAAH0X/L0=")</f>
        <v>#VALUE!</v>
      </c>
      <c r="GI232" t="e">
        <f>AND(Bills!T1005,"AAAAAH0X/L4=")</f>
        <v>#VALUE!</v>
      </c>
      <c r="GJ232" t="e">
        <f>AND(Bills!#REF!,"AAAAAH0X/L8=")</f>
        <v>#REF!</v>
      </c>
      <c r="GK232" t="e">
        <f>AND(Bills!U1005,"AAAAAH0X/MA=")</f>
        <v>#VALUE!</v>
      </c>
      <c r="GL232" t="e">
        <f>AND(Bills!V1005,"AAAAAH0X/ME=")</f>
        <v>#VALUE!</v>
      </c>
      <c r="GM232" t="e">
        <f>AND(Bills!W1005,"AAAAAH0X/MI=")</f>
        <v>#VALUE!</v>
      </c>
      <c r="GN232" t="e">
        <f>AND(Bills!#REF!,"AAAAAH0X/MM=")</f>
        <v>#REF!</v>
      </c>
      <c r="GO232" t="e">
        <f>AND(Bills!#REF!,"AAAAAH0X/MQ=")</f>
        <v>#REF!</v>
      </c>
      <c r="GP232" t="e">
        <f>AND(Bills!Y1005,"AAAAAH0X/MU=")</f>
        <v>#VALUE!</v>
      </c>
      <c r="GQ232" t="e">
        <f>AND(Bills!Z1005,"AAAAAH0X/MY=")</f>
        <v>#VALUE!</v>
      </c>
      <c r="GR232" t="e">
        <f>AND(Bills!#REF!,"AAAAAH0X/Mc=")</f>
        <v>#REF!</v>
      </c>
      <c r="GS232" t="e">
        <f>AND(Bills!#REF!,"AAAAAH0X/Mg=")</f>
        <v>#REF!</v>
      </c>
      <c r="GT232" t="e">
        <f>AND(Bills!#REF!,"AAAAAH0X/Mk=")</f>
        <v>#REF!</v>
      </c>
      <c r="GU232" t="e">
        <f>AND(Bills!#REF!,"AAAAAH0X/Mo=")</f>
        <v>#REF!</v>
      </c>
      <c r="GV232" t="e">
        <f>AND(Bills!#REF!,"AAAAAH0X/Ms=")</f>
        <v>#REF!</v>
      </c>
      <c r="GW232" t="e">
        <f>AND(Bills!#REF!,"AAAAAH0X/Mw=")</f>
        <v>#REF!</v>
      </c>
      <c r="GX232" t="e">
        <f>AND(Bills!#REF!,"AAAAAH0X/M0=")</f>
        <v>#REF!</v>
      </c>
      <c r="GY232" t="e">
        <f>AND(Bills!#REF!,"AAAAAH0X/M4=")</f>
        <v>#REF!</v>
      </c>
      <c r="GZ232" t="e">
        <f>AND(Bills!#REF!,"AAAAAH0X/M8=")</f>
        <v>#REF!</v>
      </c>
      <c r="HA232" t="e">
        <f>AND(Bills!AA1005,"AAAAAH0X/NA=")</f>
        <v>#VALUE!</v>
      </c>
      <c r="HB232" t="e">
        <f>AND(Bills!AB1005,"AAAAAH0X/NE=")</f>
        <v>#VALUE!</v>
      </c>
      <c r="HC232" t="e">
        <f>AND(Bills!#REF!,"AAAAAH0X/NI=")</f>
        <v>#REF!</v>
      </c>
      <c r="HD232" t="e">
        <f>AND(Bills!#REF!,"AAAAAH0X/NM=")</f>
        <v>#REF!</v>
      </c>
      <c r="HE232" t="e">
        <f>AND(Bills!#REF!,"AAAAAH0X/NQ=")</f>
        <v>#REF!</v>
      </c>
      <c r="HF232" t="e">
        <f>AND(Bills!AC1005,"AAAAAH0X/NU=")</f>
        <v>#VALUE!</v>
      </c>
      <c r="HG232" t="e">
        <f>AND(Bills!AD1005,"AAAAAH0X/NY=")</f>
        <v>#VALUE!</v>
      </c>
      <c r="HH232" t="e">
        <f>AND(Bills!AE1005,"AAAAAH0X/Nc=")</f>
        <v>#VALUE!</v>
      </c>
      <c r="HI232">
        <f>IF(Bills!1006:1006,"AAAAAH0X/Ng=",0)</f>
        <v>0</v>
      </c>
      <c r="HJ232" t="e">
        <f>AND(Bills!B1006,"AAAAAH0X/Nk=")</f>
        <v>#VALUE!</v>
      </c>
      <c r="HK232" t="e">
        <f>AND(Bills!#REF!,"AAAAAH0X/No=")</f>
        <v>#REF!</v>
      </c>
      <c r="HL232" t="e">
        <f>AND(Bills!C1006,"AAAAAH0X/Ns=")</f>
        <v>#VALUE!</v>
      </c>
      <c r="HM232" t="e">
        <f>AND(Bills!D1006,"AAAAAH0X/Nw=")</f>
        <v>#VALUE!</v>
      </c>
      <c r="HN232" t="e">
        <f>AND(Bills!E1006,"AAAAAH0X/N0=")</f>
        <v>#VALUE!</v>
      </c>
      <c r="HO232" t="e">
        <f>AND(Bills!#REF!,"AAAAAH0X/N4=")</f>
        <v>#REF!</v>
      </c>
      <c r="HP232" t="e">
        <f>AND(Bills!#REF!,"AAAAAH0X/N8=")</f>
        <v>#REF!</v>
      </c>
      <c r="HQ232" t="e">
        <f>AND(Bills!#REF!,"AAAAAH0X/OA=")</f>
        <v>#REF!</v>
      </c>
      <c r="HR232" t="e">
        <f>AND(Bills!F1006,"AAAAAH0X/OE=")</f>
        <v>#VALUE!</v>
      </c>
      <c r="HS232" t="e">
        <f>AND(Bills!#REF!,"AAAAAH0X/OI=")</f>
        <v>#REF!</v>
      </c>
      <c r="HT232" t="e">
        <f>AND(Bills!G1006,"AAAAAH0X/OM=")</f>
        <v>#VALUE!</v>
      </c>
      <c r="HU232" t="e">
        <f>AND(Bills!H1006,"AAAAAH0X/OQ=")</f>
        <v>#VALUE!</v>
      </c>
      <c r="HV232" t="e">
        <f>AND(Bills!I1006,"AAAAAH0X/OU=")</f>
        <v>#VALUE!</v>
      </c>
      <c r="HW232" t="e">
        <f>AND(Bills!J1006,"AAAAAH0X/OY=")</f>
        <v>#VALUE!</v>
      </c>
      <c r="HX232" t="e">
        <f>AND(Bills!K1006,"AAAAAH0X/Oc=")</f>
        <v>#VALUE!</v>
      </c>
      <c r="HY232" t="e">
        <f>AND(Bills!L1006,"AAAAAH0X/Og=")</f>
        <v>#VALUE!</v>
      </c>
      <c r="HZ232" t="e">
        <f>AND(Bills!#REF!,"AAAAAH0X/Ok=")</f>
        <v>#REF!</v>
      </c>
      <c r="IA232" t="e">
        <f>AND(Bills!M1006,"AAAAAH0X/Oo=")</f>
        <v>#VALUE!</v>
      </c>
      <c r="IB232" t="e">
        <f>AND(Bills!N1006,"AAAAAH0X/Os=")</f>
        <v>#VALUE!</v>
      </c>
      <c r="IC232" t="e">
        <f>AND(Bills!O1006,"AAAAAH0X/Ow=")</f>
        <v>#VALUE!</v>
      </c>
      <c r="ID232" t="e">
        <f>AND(Bills!P1006,"AAAAAH0X/O0=")</f>
        <v>#VALUE!</v>
      </c>
      <c r="IE232" t="e">
        <f>AND(Bills!Q1006,"AAAAAH0X/O4=")</f>
        <v>#VALUE!</v>
      </c>
      <c r="IF232" t="e">
        <f>AND(Bills!R1006,"AAAAAH0X/O8=")</f>
        <v>#VALUE!</v>
      </c>
      <c r="IG232" t="e">
        <f>AND(Bills!S1006,"AAAAAH0X/PA=")</f>
        <v>#VALUE!</v>
      </c>
      <c r="IH232" t="e">
        <f>AND(Bills!T1006,"AAAAAH0X/PE=")</f>
        <v>#VALUE!</v>
      </c>
      <c r="II232" t="e">
        <f>AND(Bills!#REF!,"AAAAAH0X/PI=")</f>
        <v>#REF!</v>
      </c>
      <c r="IJ232" t="e">
        <f>AND(Bills!U1006,"AAAAAH0X/PM=")</f>
        <v>#VALUE!</v>
      </c>
      <c r="IK232" t="e">
        <f>AND(Bills!V1006,"AAAAAH0X/PQ=")</f>
        <v>#VALUE!</v>
      </c>
      <c r="IL232" t="e">
        <f>AND(Bills!W1006,"AAAAAH0X/PU=")</f>
        <v>#VALUE!</v>
      </c>
      <c r="IM232" t="e">
        <f>AND(Bills!#REF!,"AAAAAH0X/PY=")</f>
        <v>#REF!</v>
      </c>
      <c r="IN232" t="e">
        <f>AND(Bills!#REF!,"AAAAAH0X/Pc=")</f>
        <v>#REF!</v>
      </c>
      <c r="IO232" t="e">
        <f>AND(Bills!Y1006,"AAAAAH0X/Pg=")</f>
        <v>#VALUE!</v>
      </c>
      <c r="IP232" t="e">
        <f>AND(Bills!Z1006,"AAAAAH0X/Pk=")</f>
        <v>#VALUE!</v>
      </c>
      <c r="IQ232" t="e">
        <f>AND(Bills!#REF!,"AAAAAH0X/Po=")</f>
        <v>#REF!</v>
      </c>
      <c r="IR232" t="e">
        <f>AND(Bills!#REF!,"AAAAAH0X/Ps=")</f>
        <v>#REF!</v>
      </c>
      <c r="IS232" t="e">
        <f>AND(Bills!#REF!,"AAAAAH0X/Pw=")</f>
        <v>#REF!</v>
      </c>
      <c r="IT232" t="e">
        <f>AND(Bills!#REF!,"AAAAAH0X/P0=")</f>
        <v>#REF!</v>
      </c>
      <c r="IU232" t="e">
        <f>AND(Bills!#REF!,"AAAAAH0X/P4=")</f>
        <v>#REF!</v>
      </c>
      <c r="IV232" t="e">
        <f>AND(Bills!#REF!,"AAAAAH0X/P8=")</f>
        <v>#REF!</v>
      </c>
    </row>
    <row r="233" spans="1:256" x14ac:dyDescent="0.25">
      <c r="A233" t="e">
        <f>AND(Bills!#REF!,"AAAAAGf+fwA=")</f>
        <v>#REF!</v>
      </c>
      <c r="B233" t="e">
        <f>AND(Bills!#REF!,"AAAAAGf+fwE=")</f>
        <v>#REF!</v>
      </c>
      <c r="C233" t="e">
        <f>AND(Bills!#REF!,"AAAAAGf+fwI=")</f>
        <v>#REF!</v>
      </c>
      <c r="D233" t="e">
        <f>AND(Bills!AA1006,"AAAAAGf+fwM=")</f>
        <v>#VALUE!</v>
      </c>
      <c r="E233" t="e">
        <f>AND(Bills!AB1006,"AAAAAGf+fwQ=")</f>
        <v>#VALUE!</v>
      </c>
      <c r="F233" t="e">
        <f>AND(Bills!#REF!,"AAAAAGf+fwU=")</f>
        <v>#REF!</v>
      </c>
      <c r="G233" t="e">
        <f>AND(Bills!#REF!,"AAAAAGf+fwY=")</f>
        <v>#REF!</v>
      </c>
      <c r="H233" t="e">
        <f>AND(Bills!#REF!,"AAAAAGf+fwc=")</f>
        <v>#REF!</v>
      </c>
      <c r="I233" t="e">
        <f>AND(Bills!AC1006,"AAAAAGf+fwg=")</f>
        <v>#VALUE!</v>
      </c>
      <c r="J233" t="e">
        <f>AND(Bills!AD1006,"AAAAAGf+fwk=")</f>
        <v>#VALUE!</v>
      </c>
      <c r="K233" t="e">
        <f>AND(Bills!AE1006,"AAAAAGf+fwo=")</f>
        <v>#VALUE!</v>
      </c>
      <c r="L233">
        <f>IF(Bills!1007:1007,"AAAAAGf+fws=",0)</f>
        <v>0</v>
      </c>
      <c r="M233" t="e">
        <f>AND(Bills!B1007,"AAAAAGf+fww=")</f>
        <v>#VALUE!</v>
      </c>
      <c r="N233" t="e">
        <f>AND(Bills!#REF!,"AAAAAGf+fw0=")</f>
        <v>#REF!</v>
      </c>
      <c r="O233" t="e">
        <f>AND(Bills!C1007,"AAAAAGf+fw4=")</f>
        <v>#VALUE!</v>
      </c>
      <c r="P233" t="e">
        <f>AND(Bills!D1007,"AAAAAGf+fw8=")</f>
        <v>#VALUE!</v>
      </c>
      <c r="Q233" t="e">
        <f>AND(Bills!E1007,"AAAAAGf+fxA=")</f>
        <v>#VALUE!</v>
      </c>
      <c r="R233" t="e">
        <f>AND(Bills!#REF!,"AAAAAGf+fxE=")</f>
        <v>#REF!</v>
      </c>
      <c r="S233" t="e">
        <f>AND(Bills!#REF!,"AAAAAGf+fxI=")</f>
        <v>#REF!</v>
      </c>
      <c r="T233" t="e">
        <f>AND(Bills!#REF!,"AAAAAGf+fxM=")</f>
        <v>#REF!</v>
      </c>
      <c r="U233" t="e">
        <f>AND(Bills!F1007,"AAAAAGf+fxQ=")</f>
        <v>#VALUE!</v>
      </c>
      <c r="V233" t="e">
        <f>AND(Bills!#REF!,"AAAAAGf+fxU=")</f>
        <v>#REF!</v>
      </c>
      <c r="W233" t="e">
        <f>AND(Bills!G1007,"AAAAAGf+fxY=")</f>
        <v>#VALUE!</v>
      </c>
      <c r="X233" t="e">
        <f>AND(Bills!H1007,"AAAAAGf+fxc=")</f>
        <v>#VALUE!</v>
      </c>
      <c r="Y233" t="e">
        <f>AND(Bills!I1007,"AAAAAGf+fxg=")</f>
        <v>#VALUE!</v>
      </c>
      <c r="Z233" t="e">
        <f>AND(Bills!J1007,"AAAAAGf+fxk=")</f>
        <v>#VALUE!</v>
      </c>
      <c r="AA233" t="e">
        <f>AND(Bills!K1007,"AAAAAGf+fxo=")</f>
        <v>#VALUE!</v>
      </c>
      <c r="AB233" t="e">
        <f>AND(Bills!L1007,"AAAAAGf+fxs=")</f>
        <v>#VALUE!</v>
      </c>
      <c r="AC233" t="e">
        <f>AND(Bills!#REF!,"AAAAAGf+fxw=")</f>
        <v>#REF!</v>
      </c>
      <c r="AD233" t="e">
        <f>AND(Bills!M1007,"AAAAAGf+fx0=")</f>
        <v>#VALUE!</v>
      </c>
      <c r="AE233" t="e">
        <f>AND(Bills!N1007,"AAAAAGf+fx4=")</f>
        <v>#VALUE!</v>
      </c>
      <c r="AF233" t="e">
        <f>AND(Bills!O1007,"AAAAAGf+fx8=")</f>
        <v>#VALUE!</v>
      </c>
      <c r="AG233" t="e">
        <f>AND(Bills!P1007,"AAAAAGf+fyA=")</f>
        <v>#VALUE!</v>
      </c>
      <c r="AH233" t="e">
        <f>AND(Bills!Q1007,"AAAAAGf+fyE=")</f>
        <v>#VALUE!</v>
      </c>
      <c r="AI233" t="e">
        <f>AND(Bills!R1007,"AAAAAGf+fyI=")</f>
        <v>#VALUE!</v>
      </c>
      <c r="AJ233" t="e">
        <f>AND(Bills!S1007,"AAAAAGf+fyM=")</f>
        <v>#VALUE!</v>
      </c>
      <c r="AK233" t="e">
        <f>AND(Bills!T1007,"AAAAAGf+fyQ=")</f>
        <v>#VALUE!</v>
      </c>
      <c r="AL233" t="e">
        <f>AND(Bills!#REF!,"AAAAAGf+fyU=")</f>
        <v>#REF!</v>
      </c>
      <c r="AM233" t="e">
        <f>AND(Bills!U1007,"AAAAAGf+fyY=")</f>
        <v>#VALUE!</v>
      </c>
      <c r="AN233" t="e">
        <f>AND(Bills!V1007,"AAAAAGf+fyc=")</f>
        <v>#VALUE!</v>
      </c>
      <c r="AO233" t="e">
        <f>AND(Bills!W1007,"AAAAAGf+fyg=")</f>
        <v>#VALUE!</v>
      </c>
      <c r="AP233" t="e">
        <f>AND(Bills!#REF!,"AAAAAGf+fyk=")</f>
        <v>#REF!</v>
      </c>
      <c r="AQ233" t="e">
        <f>AND(Bills!#REF!,"AAAAAGf+fyo=")</f>
        <v>#REF!</v>
      </c>
      <c r="AR233" t="e">
        <f>AND(Bills!Y1007,"AAAAAGf+fys=")</f>
        <v>#VALUE!</v>
      </c>
      <c r="AS233" t="e">
        <f>AND(Bills!Z1007,"AAAAAGf+fyw=")</f>
        <v>#VALUE!</v>
      </c>
      <c r="AT233" t="e">
        <f>AND(Bills!#REF!,"AAAAAGf+fy0=")</f>
        <v>#REF!</v>
      </c>
      <c r="AU233" t="e">
        <f>AND(Bills!#REF!,"AAAAAGf+fy4=")</f>
        <v>#REF!</v>
      </c>
      <c r="AV233" t="e">
        <f>AND(Bills!#REF!,"AAAAAGf+fy8=")</f>
        <v>#REF!</v>
      </c>
      <c r="AW233" t="e">
        <f>AND(Bills!#REF!,"AAAAAGf+fzA=")</f>
        <v>#REF!</v>
      </c>
      <c r="AX233" t="e">
        <f>AND(Bills!#REF!,"AAAAAGf+fzE=")</f>
        <v>#REF!</v>
      </c>
      <c r="AY233" t="e">
        <f>AND(Bills!#REF!,"AAAAAGf+fzI=")</f>
        <v>#REF!</v>
      </c>
      <c r="AZ233" t="e">
        <f>AND(Bills!#REF!,"AAAAAGf+fzM=")</f>
        <v>#REF!</v>
      </c>
      <c r="BA233" t="e">
        <f>AND(Bills!#REF!,"AAAAAGf+fzQ=")</f>
        <v>#REF!</v>
      </c>
      <c r="BB233" t="e">
        <f>AND(Bills!#REF!,"AAAAAGf+fzU=")</f>
        <v>#REF!</v>
      </c>
      <c r="BC233" t="e">
        <f>AND(Bills!AA1007,"AAAAAGf+fzY=")</f>
        <v>#VALUE!</v>
      </c>
      <c r="BD233" t="e">
        <f>AND(Bills!AB1007,"AAAAAGf+fzc=")</f>
        <v>#VALUE!</v>
      </c>
      <c r="BE233" t="e">
        <f>AND(Bills!#REF!,"AAAAAGf+fzg=")</f>
        <v>#REF!</v>
      </c>
      <c r="BF233" t="e">
        <f>AND(Bills!#REF!,"AAAAAGf+fzk=")</f>
        <v>#REF!</v>
      </c>
      <c r="BG233" t="e">
        <f>AND(Bills!#REF!,"AAAAAGf+fzo=")</f>
        <v>#REF!</v>
      </c>
      <c r="BH233" t="e">
        <f>AND(Bills!AC1007,"AAAAAGf+fzs=")</f>
        <v>#VALUE!</v>
      </c>
      <c r="BI233" t="e">
        <f>AND(Bills!AD1007,"AAAAAGf+fzw=")</f>
        <v>#VALUE!</v>
      </c>
      <c r="BJ233" t="e">
        <f>AND(Bills!AE1007,"AAAAAGf+fz0=")</f>
        <v>#VALUE!</v>
      </c>
      <c r="BK233">
        <f>IF(Bills!1008:1008,"AAAAAGf+fz4=",0)</f>
        <v>0</v>
      </c>
      <c r="BL233" t="e">
        <f>AND(Bills!B1008,"AAAAAGf+fz8=")</f>
        <v>#VALUE!</v>
      </c>
      <c r="BM233" t="e">
        <f>AND(Bills!#REF!,"AAAAAGf+f0A=")</f>
        <v>#REF!</v>
      </c>
      <c r="BN233" t="e">
        <f>AND(Bills!C1008,"AAAAAGf+f0E=")</f>
        <v>#VALUE!</v>
      </c>
      <c r="BO233" t="e">
        <f>AND(Bills!D1008,"AAAAAGf+f0I=")</f>
        <v>#VALUE!</v>
      </c>
      <c r="BP233" t="e">
        <f>AND(Bills!E1008,"AAAAAGf+f0M=")</f>
        <v>#VALUE!</v>
      </c>
      <c r="BQ233" t="e">
        <f>AND(Bills!#REF!,"AAAAAGf+f0Q=")</f>
        <v>#REF!</v>
      </c>
      <c r="BR233" t="e">
        <f>AND(Bills!#REF!,"AAAAAGf+f0U=")</f>
        <v>#REF!</v>
      </c>
      <c r="BS233" t="e">
        <f>AND(Bills!#REF!,"AAAAAGf+f0Y=")</f>
        <v>#REF!</v>
      </c>
      <c r="BT233" t="e">
        <f>AND(Bills!F1008,"AAAAAGf+f0c=")</f>
        <v>#VALUE!</v>
      </c>
      <c r="BU233" t="e">
        <f>AND(Bills!#REF!,"AAAAAGf+f0g=")</f>
        <v>#REF!</v>
      </c>
      <c r="BV233" t="e">
        <f>AND(Bills!G1008,"AAAAAGf+f0k=")</f>
        <v>#VALUE!</v>
      </c>
      <c r="BW233" t="e">
        <f>AND(Bills!H1008,"AAAAAGf+f0o=")</f>
        <v>#VALUE!</v>
      </c>
      <c r="BX233" t="e">
        <f>AND(Bills!I1008,"AAAAAGf+f0s=")</f>
        <v>#VALUE!</v>
      </c>
      <c r="BY233" t="e">
        <f>AND(Bills!J1008,"AAAAAGf+f0w=")</f>
        <v>#VALUE!</v>
      </c>
      <c r="BZ233" t="e">
        <f>AND(Bills!K1008,"AAAAAGf+f00=")</f>
        <v>#VALUE!</v>
      </c>
      <c r="CA233" t="e">
        <f>AND(Bills!L1008,"AAAAAGf+f04=")</f>
        <v>#VALUE!</v>
      </c>
      <c r="CB233" t="e">
        <f>AND(Bills!#REF!,"AAAAAGf+f08=")</f>
        <v>#REF!</v>
      </c>
      <c r="CC233" t="e">
        <f>AND(Bills!M1008,"AAAAAGf+f1A=")</f>
        <v>#VALUE!</v>
      </c>
      <c r="CD233" t="e">
        <f>AND(Bills!N1008,"AAAAAGf+f1E=")</f>
        <v>#VALUE!</v>
      </c>
      <c r="CE233" t="e">
        <f>AND(Bills!O1008,"AAAAAGf+f1I=")</f>
        <v>#VALUE!</v>
      </c>
      <c r="CF233" t="e">
        <f>AND(Bills!P1008,"AAAAAGf+f1M=")</f>
        <v>#VALUE!</v>
      </c>
      <c r="CG233" t="e">
        <f>AND(Bills!Q1008,"AAAAAGf+f1Q=")</f>
        <v>#VALUE!</v>
      </c>
      <c r="CH233" t="e">
        <f>AND(Bills!R1008,"AAAAAGf+f1U=")</f>
        <v>#VALUE!</v>
      </c>
      <c r="CI233" t="e">
        <f>AND(Bills!S1008,"AAAAAGf+f1Y=")</f>
        <v>#VALUE!</v>
      </c>
      <c r="CJ233" t="e">
        <f>AND(Bills!T1008,"AAAAAGf+f1c=")</f>
        <v>#VALUE!</v>
      </c>
      <c r="CK233" t="e">
        <f>AND(Bills!#REF!,"AAAAAGf+f1g=")</f>
        <v>#REF!</v>
      </c>
      <c r="CL233" t="e">
        <f>AND(Bills!U1008,"AAAAAGf+f1k=")</f>
        <v>#VALUE!</v>
      </c>
      <c r="CM233" t="e">
        <f>AND(Bills!V1008,"AAAAAGf+f1o=")</f>
        <v>#VALUE!</v>
      </c>
      <c r="CN233" t="e">
        <f>AND(Bills!W1008,"AAAAAGf+f1s=")</f>
        <v>#VALUE!</v>
      </c>
      <c r="CO233" t="e">
        <f>AND(Bills!#REF!,"AAAAAGf+f1w=")</f>
        <v>#REF!</v>
      </c>
      <c r="CP233" t="e">
        <f>AND(Bills!#REF!,"AAAAAGf+f10=")</f>
        <v>#REF!</v>
      </c>
      <c r="CQ233" t="e">
        <f>AND(Bills!Y1008,"AAAAAGf+f14=")</f>
        <v>#VALUE!</v>
      </c>
      <c r="CR233" t="e">
        <f>AND(Bills!Z1008,"AAAAAGf+f18=")</f>
        <v>#VALUE!</v>
      </c>
      <c r="CS233" t="e">
        <f>AND(Bills!#REF!,"AAAAAGf+f2A=")</f>
        <v>#REF!</v>
      </c>
      <c r="CT233" t="e">
        <f>AND(Bills!#REF!,"AAAAAGf+f2E=")</f>
        <v>#REF!</v>
      </c>
      <c r="CU233" t="e">
        <f>AND(Bills!#REF!,"AAAAAGf+f2I=")</f>
        <v>#REF!</v>
      </c>
      <c r="CV233" t="e">
        <f>AND(Bills!#REF!,"AAAAAGf+f2M=")</f>
        <v>#REF!</v>
      </c>
      <c r="CW233" t="e">
        <f>AND(Bills!#REF!,"AAAAAGf+f2Q=")</f>
        <v>#REF!</v>
      </c>
      <c r="CX233" t="e">
        <f>AND(Bills!#REF!,"AAAAAGf+f2U=")</f>
        <v>#REF!</v>
      </c>
      <c r="CY233" t="e">
        <f>AND(Bills!#REF!,"AAAAAGf+f2Y=")</f>
        <v>#REF!</v>
      </c>
      <c r="CZ233" t="e">
        <f>AND(Bills!#REF!,"AAAAAGf+f2c=")</f>
        <v>#REF!</v>
      </c>
      <c r="DA233" t="e">
        <f>AND(Bills!#REF!,"AAAAAGf+f2g=")</f>
        <v>#REF!</v>
      </c>
      <c r="DB233" t="e">
        <f>AND(Bills!AA1008,"AAAAAGf+f2k=")</f>
        <v>#VALUE!</v>
      </c>
      <c r="DC233" t="e">
        <f>AND(Bills!AB1008,"AAAAAGf+f2o=")</f>
        <v>#VALUE!</v>
      </c>
      <c r="DD233" t="e">
        <f>AND(Bills!#REF!,"AAAAAGf+f2s=")</f>
        <v>#REF!</v>
      </c>
      <c r="DE233" t="e">
        <f>AND(Bills!#REF!,"AAAAAGf+f2w=")</f>
        <v>#REF!</v>
      </c>
      <c r="DF233" t="e">
        <f>AND(Bills!#REF!,"AAAAAGf+f20=")</f>
        <v>#REF!</v>
      </c>
      <c r="DG233" t="e">
        <f>AND(Bills!AC1008,"AAAAAGf+f24=")</f>
        <v>#VALUE!</v>
      </c>
      <c r="DH233" t="e">
        <f>AND(Bills!AD1008,"AAAAAGf+f28=")</f>
        <v>#VALUE!</v>
      </c>
      <c r="DI233" t="e">
        <f>AND(Bills!AE1008,"AAAAAGf+f3A=")</f>
        <v>#VALUE!</v>
      </c>
      <c r="DJ233">
        <f>IF(Bills!1009:1009,"AAAAAGf+f3E=",0)</f>
        <v>0</v>
      </c>
      <c r="DK233" t="e">
        <f>AND(Bills!B1009,"AAAAAGf+f3I=")</f>
        <v>#VALUE!</v>
      </c>
      <c r="DL233" t="e">
        <f>AND(Bills!#REF!,"AAAAAGf+f3M=")</f>
        <v>#REF!</v>
      </c>
      <c r="DM233" t="e">
        <f>AND(Bills!C1009,"AAAAAGf+f3Q=")</f>
        <v>#VALUE!</v>
      </c>
      <c r="DN233" t="e">
        <f>AND(Bills!D1009,"AAAAAGf+f3U=")</f>
        <v>#VALUE!</v>
      </c>
      <c r="DO233" t="e">
        <f>AND(Bills!E1009,"AAAAAGf+f3Y=")</f>
        <v>#VALUE!</v>
      </c>
      <c r="DP233" t="e">
        <f>AND(Bills!#REF!,"AAAAAGf+f3c=")</f>
        <v>#REF!</v>
      </c>
      <c r="DQ233" t="e">
        <f>AND(Bills!#REF!,"AAAAAGf+f3g=")</f>
        <v>#REF!</v>
      </c>
      <c r="DR233" t="e">
        <f>AND(Bills!#REF!,"AAAAAGf+f3k=")</f>
        <v>#REF!</v>
      </c>
      <c r="DS233" t="e">
        <f>AND(Bills!F1009,"AAAAAGf+f3o=")</f>
        <v>#VALUE!</v>
      </c>
      <c r="DT233" t="e">
        <f>AND(Bills!#REF!,"AAAAAGf+f3s=")</f>
        <v>#REF!</v>
      </c>
      <c r="DU233" t="e">
        <f>AND(Bills!G1009,"AAAAAGf+f3w=")</f>
        <v>#VALUE!</v>
      </c>
      <c r="DV233" t="e">
        <f>AND(Bills!H1009,"AAAAAGf+f30=")</f>
        <v>#VALUE!</v>
      </c>
      <c r="DW233" t="e">
        <f>AND(Bills!I1009,"AAAAAGf+f34=")</f>
        <v>#VALUE!</v>
      </c>
      <c r="DX233" t="e">
        <f>AND(Bills!J1009,"AAAAAGf+f38=")</f>
        <v>#VALUE!</v>
      </c>
      <c r="DY233" t="e">
        <f>AND(Bills!K1009,"AAAAAGf+f4A=")</f>
        <v>#VALUE!</v>
      </c>
      <c r="DZ233" t="e">
        <f>AND(Bills!L1009,"AAAAAGf+f4E=")</f>
        <v>#VALUE!</v>
      </c>
      <c r="EA233" t="e">
        <f>AND(Bills!#REF!,"AAAAAGf+f4I=")</f>
        <v>#REF!</v>
      </c>
      <c r="EB233" t="e">
        <f>AND(Bills!M1009,"AAAAAGf+f4M=")</f>
        <v>#VALUE!</v>
      </c>
      <c r="EC233" t="e">
        <f>AND(Bills!N1009,"AAAAAGf+f4Q=")</f>
        <v>#VALUE!</v>
      </c>
      <c r="ED233" t="e">
        <f>AND(Bills!O1009,"AAAAAGf+f4U=")</f>
        <v>#VALUE!</v>
      </c>
      <c r="EE233" t="e">
        <f>AND(Bills!P1009,"AAAAAGf+f4Y=")</f>
        <v>#VALUE!</v>
      </c>
      <c r="EF233" t="e">
        <f>AND(Bills!Q1009,"AAAAAGf+f4c=")</f>
        <v>#VALUE!</v>
      </c>
      <c r="EG233" t="e">
        <f>AND(Bills!R1009,"AAAAAGf+f4g=")</f>
        <v>#VALUE!</v>
      </c>
      <c r="EH233" t="e">
        <f>AND(Bills!S1009,"AAAAAGf+f4k=")</f>
        <v>#VALUE!</v>
      </c>
      <c r="EI233" t="e">
        <f>AND(Bills!T1009,"AAAAAGf+f4o=")</f>
        <v>#VALUE!</v>
      </c>
      <c r="EJ233" t="e">
        <f>AND(Bills!#REF!,"AAAAAGf+f4s=")</f>
        <v>#REF!</v>
      </c>
      <c r="EK233" t="e">
        <f>AND(Bills!U1009,"AAAAAGf+f4w=")</f>
        <v>#VALUE!</v>
      </c>
      <c r="EL233" t="e">
        <f>AND(Bills!V1009,"AAAAAGf+f40=")</f>
        <v>#VALUE!</v>
      </c>
      <c r="EM233" t="e">
        <f>AND(Bills!W1009,"AAAAAGf+f44=")</f>
        <v>#VALUE!</v>
      </c>
      <c r="EN233" t="e">
        <f>AND(Bills!#REF!,"AAAAAGf+f48=")</f>
        <v>#REF!</v>
      </c>
      <c r="EO233" t="e">
        <f>AND(Bills!#REF!,"AAAAAGf+f5A=")</f>
        <v>#REF!</v>
      </c>
      <c r="EP233" t="e">
        <f>AND(Bills!Y1009,"AAAAAGf+f5E=")</f>
        <v>#VALUE!</v>
      </c>
      <c r="EQ233" t="e">
        <f>AND(Bills!Z1009,"AAAAAGf+f5I=")</f>
        <v>#VALUE!</v>
      </c>
      <c r="ER233" t="e">
        <f>AND(Bills!#REF!,"AAAAAGf+f5M=")</f>
        <v>#REF!</v>
      </c>
      <c r="ES233" t="e">
        <f>AND(Bills!#REF!,"AAAAAGf+f5Q=")</f>
        <v>#REF!</v>
      </c>
      <c r="ET233" t="e">
        <f>AND(Bills!#REF!,"AAAAAGf+f5U=")</f>
        <v>#REF!</v>
      </c>
      <c r="EU233" t="e">
        <f>AND(Bills!#REF!,"AAAAAGf+f5Y=")</f>
        <v>#REF!</v>
      </c>
      <c r="EV233" t="e">
        <f>AND(Bills!#REF!,"AAAAAGf+f5c=")</f>
        <v>#REF!</v>
      </c>
      <c r="EW233" t="e">
        <f>AND(Bills!#REF!,"AAAAAGf+f5g=")</f>
        <v>#REF!</v>
      </c>
      <c r="EX233" t="e">
        <f>AND(Bills!#REF!,"AAAAAGf+f5k=")</f>
        <v>#REF!</v>
      </c>
      <c r="EY233" t="e">
        <f>AND(Bills!#REF!,"AAAAAGf+f5o=")</f>
        <v>#REF!</v>
      </c>
      <c r="EZ233" t="e">
        <f>AND(Bills!#REF!,"AAAAAGf+f5s=")</f>
        <v>#REF!</v>
      </c>
      <c r="FA233" t="e">
        <f>AND(Bills!AA1009,"AAAAAGf+f5w=")</f>
        <v>#VALUE!</v>
      </c>
      <c r="FB233" t="e">
        <f>AND(Bills!AB1009,"AAAAAGf+f50=")</f>
        <v>#VALUE!</v>
      </c>
      <c r="FC233" t="e">
        <f>AND(Bills!#REF!,"AAAAAGf+f54=")</f>
        <v>#REF!</v>
      </c>
      <c r="FD233" t="e">
        <f>AND(Bills!#REF!,"AAAAAGf+f58=")</f>
        <v>#REF!</v>
      </c>
      <c r="FE233" t="e">
        <f>AND(Bills!#REF!,"AAAAAGf+f6A=")</f>
        <v>#REF!</v>
      </c>
      <c r="FF233" t="e">
        <f>AND(Bills!AC1009,"AAAAAGf+f6E=")</f>
        <v>#VALUE!</v>
      </c>
      <c r="FG233" t="e">
        <f>AND(Bills!AD1009,"AAAAAGf+f6I=")</f>
        <v>#VALUE!</v>
      </c>
      <c r="FH233" t="e">
        <f>AND(Bills!AE1009,"AAAAAGf+f6M=")</f>
        <v>#VALUE!</v>
      </c>
      <c r="FI233">
        <f>IF(Bills!1010:1010,"AAAAAGf+f6Q=",0)</f>
        <v>0</v>
      </c>
      <c r="FJ233" t="e">
        <f>AND(Bills!B1010,"AAAAAGf+f6U=")</f>
        <v>#VALUE!</v>
      </c>
      <c r="FK233" t="e">
        <f>AND(Bills!#REF!,"AAAAAGf+f6Y=")</f>
        <v>#REF!</v>
      </c>
      <c r="FL233" t="e">
        <f>AND(Bills!C1010,"AAAAAGf+f6c=")</f>
        <v>#VALUE!</v>
      </c>
      <c r="FM233" t="e">
        <f>AND(Bills!D1010,"AAAAAGf+f6g=")</f>
        <v>#VALUE!</v>
      </c>
      <c r="FN233" t="e">
        <f>AND(Bills!E1010,"AAAAAGf+f6k=")</f>
        <v>#VALUE!</v>
      </c>
      <c r="FO233" t="e">
        <f>AND(Bills!#REF!,"AAAAAGf+f6o=")</f>
        <v>#REF!</v>
      </c>
      <c r="FP233" t="e">
        <f>AND(Bills!#REF!,"AAAAAGf+f6s=")</f>
        <v>#REF!</v>
      </c>
      <c r="FQ233" t="e">
        <f>AND(Bills!#REF!,"AAAAAGf+f6w=")</f>
        <v>#REF!</v>
      </c>
      <c r="FR233" t="e">
        <f>AND(Bills!F1010,"AAAAAGf+f60=")</f>
        <v>#VALUE!</v>
      </c>
      <c r="FS233" t="e">
        <f>AND(Bills!#REF!,"AAAAAGf+f64=")</f>
        <v>#REF!</v>
      </c>
      <c r="FT233" t="e">
        <f>AND(Bills!G1010,"AAAAAGf+f68=")</f>
        <v>#VALUE!</v>
      </c>
      <c r="FU233" t="e">
        <f>AND(Bills!H1010,"AAAAAGf+f7A=")</f>
        <v>#VALUE!</v>
      </c>
      <c r="FV233" t="e">
        <f>AND(Bills!I1010,"AAAAAGf+f7E=")</f>
        <v>#VALUE!</v>
      </c>
      <c r="FW233" t="e">
        <f>AND(Bills!J1010,"AAAAAGf+f7I=")</f>
        <v>#VALUE!</v>
      </c>
      <c r="FX233" t="e">
        <f>AND(Bills!K1010,"AAAAAGf+f7M=")</f>
        <v>#VALUE!</v>
      </c>
      <c r="FY233" t="e">
        <f>AND(Bills!L1010,"AAAAAGf+f7Q=")</f>
        <v>#VALUE!</v>
      </c>
      <c r="FZ233" t="e">
        <f>AND(Bills!#REF!,"AAAAAGf+f7U=")</f>
        <v>#REF!</v>
      </c>
      <c r="GA233" t="e">
        <f>AND(Bills!M1010,"AAAAAGf+f7Y=")</f>
        <v>#VALUE!</v>
      </c>
      <c r="GB233" t="e">
        <f>AND(Bills!N1010,"AAAAAGf+f7c=")</f>
        <v>#VALUE!</v>
      </c>
      <c r="GC233" t="e">
        <f>AND(Bills!O1010,"AAAAAGf+f7g=")</f>
        <v>#VALUE!</v>
      </c>
      <c r="GD233" t="e">
        <f>AND(Bills!P1010,"AAAAAGf+f7k=")</f>
        <v>#VALUE!</v>
      </c>
      <c r="GE233" t="e">
        <f>AND(Bills!Q1010,"AAAAAGf+f7o=")</f>
        <v>#VALUE!</v>
      </c>
      <c r="GF233" t="e">
        <f>AND(Bills!R1010,"AAAAAGf+f7s=")</f>
        <v>#VALUE!</v>
      </c>
      <c r="GG233" t="e">
        <f>AND(Bills!S1010,"AAAAAGf+f7w=")</f>
        <v>#VALUE!</v>
      </c>
      <c r="GH233" t="e">
        <f>AND(Bills!T1010,"AAAAAGf+f70=")</f>
        <v>#VALUE!</v>
      </c>
      <c r="GI233" t="e">
        <f>AND(Bills!#REF!,"AAAAAGf+f74=")</f>
        <v>#REF!</v>
      </c>
      <c r="GJ233" t="e">
        <f>AND(Bills!U1010,"AAAAAGf+f78=")</f>
        <v>#VALUE!</v>
      </c>
      <c r="GK233" t="e">
        <f>AND(Bills!V1010,"AAAAAGf+f8A=")</f>
        <v>#VALUE!</v>
      </c>
      <c r="GL233" t="e">
        <f>AND(Bills!W1010,"AAAAAGf+f8E=")</f>
        <v>#VALUE!</v>
      </c>
      <c r="GM233" t="e">
        <f>AND(Bills!#REF!,"AAAAAGf+f8I=")</f>
        <v>#REF!</v>
      </c>
      <c r="GN233" t="e">
        <f>AND(Bills!#REF!,"AAAAAGf+f8M=")</f>
        <v>#REF!</v>
      </c>
      <c r="GO233" t="e">
        <f>AND(Bills!Y1010,"AAAAAGf+f8Q=")</f>
        <v>#VALUE!</v>
      </c>
      <c r="GP233" t="e">
        <f>AND(Bills!Z1010,"AAAAAGf+f8U=")</f>
        <v>#VALUE!</v>
      </c>
      <c r="GQ233" t="e">
        <f>AND(Bills!#REF!,"AAAAAGf+f8Y=")</f>
        <v>#REF!</v>
      </c>
      <c r="GR233" t="e">
        <f>AND(Bills!#REF!,"AAAAAGf+f8c=")</f>
        <v>#REF!</v>
      </c>
      <c r="GS233" t="e">
        <f>AND(Bills!#REF!,"AAAAAGf+f8g=")</f>
        <v>#REF!</v>
      </c>
      <c r="GT233" t="e">
        <f>AND(Bills!#REF!,"AAAAAGf+f8k=")</f>
        <v>#REF!</v>
      </c>
      <c r="GU233" t="e">
        <f>AND(Bills!#REF!,"AAAAAGf+f8o=")</f>
        <v>#REF!</v>
      </c>
      <c r="GV233" t="e">
        <f>AND(Bills!#REF!,"AAAAAGf+f8s=")</f>
        <v>#REF!</v>
      </c>
      <c r="GW233" t="e">
        <f>AND(Bills!#REF!,"AAAAAGf+f8w=")</f>
        <v>#REF!</v>
      </c>
      <c r="GX233" t="e">
        <f>AND(Bills!#REF!,"AAAAAGf+f80=")</f>
        <v>#REF!</v>
      </c>
      <c r="GY233" t="e">
        <f>AND(Bills!#REF!,"AAAAAGf+f84=")</f>
        <v>#REF!</v>
      </c>
      <c r="GZ233" t="e">
        <f>AND(Bills!AA1010,"AAAAAGf+f88=")</f>
        <v>#VALUE!</v>
      </c>
      <c r="HA233" t="e">
        <f>AND(Bills!AB1010,"AAAAAGf+f9A=")</f>
        <v>#VALUE!</v>
      </c>
      <c r="HB233" t="e">
        <f>AND(Bills!#REF!,"AAAAAGf+f9E=")</f>
        <v>#REF!</v>
      </c>
      <c r="HC233" t="e">
        <f>AND(Bills!#REF!,"AAAAAGf+f9I=")</f>
        <v>#REF!</v>
      </c>
      <c r="HD233" t="e">
        <f>AND(Bills!#REF!,"AAAAAGf+f9M=")</f>
        <v>#REF!</v>
      </c>
      <c r="HE233" t="e">
        <f>AND(Bills!AC1010,"AAAAAGf+f9Q=")</f>
        <v>#VALUE!</v>
      </c>
      <c r="HF233" t="e">
        <f>AND(Bills!AD1010,"AAAAAGf+f9U=")</f>
        <v>#VALUE!</v>
      </c>
      <c r="HG233" t="e">
        <f>AND(Bills!AE1010,"AAAAAGf+f9Y=")</f>
        <v>#VALUE!</v>
      </c>
      <c r="HH233">
        <f>IF(Bills!1011:1011,"AAAAAGf+f9c=",0)</f>
        <v>0</v>
      </c>
      <c r="HI233" t="e">
        <f>AND(Bills!B1011,"AAAAAGf+f9g=")</f>
        <v>#VALUE!</v>
      </c>
      <c r="HJ233" t="e">
        <f>AND(Bills!#REF!,"AAAAAGf+f9k=")</f>
        <v>#REF!</v>
      </c>
      <c r="HK233" t="e">
        <f>AND(Bills!C1011,"AAAAAGf+f9o=")</f>
        <v>#VALUE!</v>
      </c>
      <c r="HL233" t="e">
        <f>AND(Bills!D1011,"AAAAAGf+f9s=")</f>
        <v>#VALUE!</v>
      </c>
      <c r="HM233" t="e">
        <f>AND(Bills!E1011,"AAAAAGf+f9w=")</f>
        <v>#VALUE!</v>
      </c>
      <c r="HN233" t="e">
        <f>AND(Bills!#REF!,"AAAAAGf+f90=")</f>
        <v>#REF!</v>
      </c>
      <c r="HO233" t="e">
        <f>AND(Bills!#REF!,"AAAAAGf+f94=")</f>
        <v>#REF!</v>
      </c>
      <c r="HP233" t="e">
        <f>AND(Bills!#REF!,"AAAAAGf+f98=")</f>
        <v>#REF!</v>
      </c>
      <c r="HQ233" t="e">
        <f>AND(Bills!F1011,"AAAAAGf+f+A=")</f>
        <v>#VALUE!</v>
      </c>
      <c r="HR233" t="e">
        <f>AND(Bills!#REF!,"AAAAAGf+f+E=")</f>
        <v>#REF!</v>
      </c>
      <c r="HS233" t="e">
        <f>AND(Bills!G1011,"AAAAAGf+f+I=")</f>
        <v>#VALUE!</v>
      </c>
      <c r="HT233" t="e">
        <f>AND(Bills!H1011,"AAAAAGf+f+M=")</f>
        <v>#VALUE!</v>
      </c>
      <c r="HU233" t="e">
        <f>AND(Bills!I1011,"AAAAAGf+f+Q=")</f>
        <v>#VALUE!</v>
      </c>
      <c r="HV233" t="e">
        <f>AND(Bills!J1011,"AAAAAGf+f+U=")</f>
        <v>#VALUE!</v>
      </c>
      <c r="HW233" t="e">
        <f>AND(Bills!K1011,"AAAAAGf+f+Y=")</f>
        <v>#VALUE!</v>
      </c>
      <c r="HX233" t="e">
        <f>AND(Bills!L1011,"AAAAAGf+f+c=")</f>
        <v>#VALUE!</v>
      </c>
      <c r="HY233" t="e">
        <f>AND(Bills!#REF!,"AAAAAGf+f+g=")</f>
        <v>#REF!</v>
      </c>
      <c r="HZ233" t="e">
        <f>AND(Bills!M1011,"AAAAAGf+f+k=")</f>
        <v>#VALUE!</v>
      </c>
      <c r="IA233" t="e">
        <f>AND(Bills!N1011,"AAAAAGf+f+o=")</f>
        <v>#VALUE!</v>
      </c>
      <c r="IB233" t="e">
        <f>AND(Bills!O1011,"AAAAAGf+f+s=")</f>
        <v>#VALUE!</v>
      </c>
      <c r="IC233" t="e">
        <f>AND(Bills!P1011,"AAAAAGf+f+w=")</f>
        <v>#VALUE!</v>
      </c>
      <c r="ID233" t="e">
        <f>AND(Bills!Q1011,"AAAAAGf+f+0=")</f>
        <v>#VALUE!</v>
      </c>
      <c r="IE233" t="e">
        <f>AND(Bills!R1011,"AAAAAGf+f+4=")</f>
        <v>#VALUE!</v>
      </c>
      <c r="IF233" t="e">
        <f>AND(Bills!S1011,"AAAAAGf+f+8=")</f>
        <v>#VALUE!</v>
      </c>
      <c r="IG233" t="e">
        <f>AND(Bills!T1011,"AAAAAGf+f/A=")</f>
        <v>#VALUE!</v>
      </c>
      <c r="IH233" t="e">
        <f>AND(Bills!#REF!,"AAAAAGf+f/E=")</f>
        <v>#REF!</v>
      </c>
      <c r="II233" t="e">
        <f>AND(Bills!U1011,"AAAAAGf+f/I=")</f>
        <v>#VALUE!</v>
      </c>
      <c r="IJ233" t="e">
        <f>AND(Bills!V1011,"AAAAAGf+f/M=")</f>
        <v>#VALUE!</v>
      </c>
      <c r="IK233" t="e">
        <f>AND(Bills!W1011,"AAAAAGf+f/Q=")</f>
        <v>#VALUE!</v>
      </c>
      <c r="IL233" t="e">
        <f>AND(Bills!#REF!,"AAAAAGf+f/U=")</f>
        <v>#REF!</v>
      </c>
      <c r="IM233" t="e">
        <f>AND(Bills!#REF!,"AAAAAGf+f/Y=")</f>
        <v>#REF!</v>
      </c>
      <c r="IN233" t="e">
        <f>AND(Bills!Y1011,"AAAAAGf+f/c=")</f>
        <v>#VALUE!</v>
      </c>
      <c r="IO233" t="e">
        <f>AND(Bills!Z1011,"AAAAAGf+f/g=")</f>
        <v>#VALUE!</v>
      </c>
      <c r="IP233" t="e">
        <f>AND(Bills!#REF!,"AAAAAGf+f/k=")</f>
        <v>#REF!</v>
      </c>
      <c r="IQ233" t="e">
        <f>AND(Bills!#REF!,"AAAAAGf+f/o=")</f>
        <v>#REF!</v>
      </c>
      <c r="IR233" t="e">
        <f>AND(Bills!#REF!,"AAAAAGf+f/s=")</f>
        <v>#REF!</v>
      </c>
      <c r="IS233" t="e">
        <f>AND(Bills!#REF!,"AAAAAGf+f/w=")</f>
        <v>#REF!</v>
      </c>
      <c r="IT233" t="e">
        <f>AND(Bills!#REF!,"AAAAAGf+f/0=")</f>
        <v>#REF!</v>
      </c>
      <c r="IU233" t="e">
        <f>AND(Bills!#REF!,"AAAAAGf+f/4=")</f>
        <v>#REF!</v>
      </c>
      <c r="IV233" t="e">
        <f>AND(Bills!#REF!,"AAAAAGf+f/8=")</f>
        <v>#REF!</v>
      </c>
    </row>
    <row r="234" spans="1:256" x14ac:dyDescent="0.25">
      <c r="A234" t="e">
        <f>AND(Bills!#REF!,"AAAAAG/51wA=")</f>
        <v>#REF!</v>
      </c>
      <c r="B234" t="e">
        <f>AND(Bills!#REF!,"AAAAAG/51wE=")</f>
        <v>#REF!</v>
      </c>
      <c r="C234" t="e">
        <f>AND(Bills!AA1011,"AAAAAG/51wI=")</f>
        <v>#VALUE!</v>
      </c>
      <c r="D234" t="e">
        <f>AND(Bills!AB1011,"AAAAAG/51wM=")</f>
        <v>#VALUE!</v>
      </c>
      <c r="E234" t="e">
        <f>AND(Bills!#REF!,"AAAAAG/51wQ=")</f>
        <v>#REF!</v>
      </c>
      <c r="F234" t="e">
        <f>AND(Bills!#REF!,"AAAAAG/51wU=")</f>
        <v>#REF!</v>
      </c>
      <c r="G234" t="e">
        <f>AND(Bills!#REF!,"AAAAAG/51wY=")</f>
        <v>#REF!</v>
      </c>
      <c r="H234" t="e">
        <f>AND(Bills!AC1011,"AAAAAG/51wc=")</f>
        <v>#VALUE!</v>
      </c>
      <c r="I234" t="e">
        <f>AND(Bills!AD1011,"AAAAAG/51wg=")</f>
        <v>#VALUE!</v>
      </c>
      <c r="J234" t="e">
        <f>AND(Bills!AE1011,"AAAAAG/51wk=")</f>
        <v>#VALUE!</v>
      </c>
      <c r="K234">
        <f>IF(Bills!1012:1012,"AAAAAG/51wo=",0)</f>
        <v>0</v>
      </c>
      <c r="L234" t="e">
        <f>AND(Bills!B1012,"AAAAAG/51ws=")</f>
        <v>#VALUE!</v>
      </c>
      <c r="M234" t="e">
        <f>AND(Bills!#REF!,"AAAAAG/51ww=")</f>
        <v>#REF!</v>
      </c>
      <c r="N234" t="e">
        <f>AND(Bills!C1012,"AAAAAG/51w0=")</f>
        <v>#VALUE!</v>
      </c>
      <c r="O234" t="e">
        <f>AND(Bills!D1012,"AAAAAG/51w4=")</f>
        <v>#VALUE!</v>
      </c>
      <c r="P234" t="e">
        <f>AND(Bills!E1012,"AAAAAG/51w8=")</f>
        <v>#VALUE!</v>
      </c>
      <c r="Q234" t="e">
        <f>AND(Bills!#REF!,"AAAAAG/51xA=")</f>
        <v>#REF!</v>
      </c>
      <c r="R234" t="e">
        <f>AND(Bills!#REF!,"AAAAAG/51xE=")</f>
        <v>#REF!</v>
      </c>
      <c r="S234" t="e">
        <f>AND(Bills!#REF!,"AAAAAG/51xI=")</f>
        <v>#REF!</v>
      </c>
      <c r="T234" t="e">
        <f>AND(Bills!F1012,"AAAAAG/51xM=")</f>
        <v>#VALUE!</v>
      </c>
      <c r="U234" t="e">
        <f>AND(Bills!#REF!,"AAAAAG/51xQ=")</f>
        <v>#REF!</v>
      </c>
      <c r="V234" t="e">
        <f>AND(Bills!G1012,"AAAAAG/51xU=")</f>
        <v>#VALUE!</v>
      </c>
      <c r="W234" t="e">
        <f>AND(Bills!H1012,"AAAAAG/51xY=")</f>
        <v>#VALUE!</v>
      </c>
      <c r="X234" t="e">
        <f>AND(Bills!I1012,"AAAAAG/51xc=")</f>
        <v>#VALUE!</v>
      </c>
      <c r="Y234" t="e">
        <f>AND(Bills!J1012,"AAAAAG/51xg=")</f>
        <v>#VALUE!</v>
      </c>
      <c r="Z234" t="e">
        <f>AND(Bills!K1012,"AAAAAG/51xk=")</f>
        <v>#VALUE!</v>
      </c>
      <c r="AA234" t="e">
        <f>AND(Bills!L1012,"AAAAAG/51xo=")</f>
        <v>#VALUE!</v>
      </c>
      <c r="AB234" t="e">
        <f>AND(Bills!#REF!,"AAAAAG/51xs=")</f>
        <v>#REF!</v>
      </c>
      <c r="AC234" t="e">
        <f>AND(Bills!M1012,"AAAAAG/51xw=")</f>
        <v>#VALUE!</v>
      </c>
      <c r="AD234" t="e">
        <f>AND(Bills!N1012,"AAAAAG/51x0=")</f>
        <v>#VALUE!</v>
      </c>
      <c r="AE234" t="e">
        <f>AND(Bills!O1012,"AAAAAG/51x4=")</f>
        <v>#VALUE!</v>
      </c>
      <c r="AF234" t="e">
        <f>AND(Bills!P1012,"AAAAAG/51x8=")</f>
        <v>#VALUE!</v>
      </c>
      <c r="AG234" t="e">
        <f>AND(Bills!Q1012,"AAAAAG/51yA=")</f>
        <v>#VALUE!</v>
      </c>
      <c r="AH234" t="e">
        <f>AND(Bills!R1012,"AAAAAG/51yE=")</f>
        <v>#VALUE!</v>
      </c>
      <c r="AI234" t="e">
        <f>AND(Bills!S1012,"AAAAAG/51yI=")</f>
        <v>#VALUE!</v>
      </c>
      <c r="AJ234" t="e">
        <f>AND(Bills!T1012,"AAAAAG/51yM=")</f>
        <v>#VALUE!</v>
      </c>
      <c r="AK234" t="e">
        <f>AND(Bills!#REF!,"AAAAAG/51yQ=")</f>
        <v>#REF!</v>
      </c>
      <c r="AL234" t="e">
        <f>AND(Bills!U1012,"AAAAAG/51yU=")</f>
        <v>#VALUE!</v>
      </c>
      <c r="AM234" t="e">
        <f>AND(Bills!V1012,"AAAAAG/51yY=")</f>
        <v>#VALUE!</v>
      </c>
      <c r="AN234" t="e">
        <f>AND(Bills!W1012,"AAAAAG/51yc=")</f>
        <v>#VALUE!</v>
      </c>
      <c r="AO234" t="e">
        <f>AND(Bills!#REF!,"AAAAAG/51yg=")</f>
        <v>#REF!</v>
      </c>
      <c r="AP234" t="e">
        <f>AND(Bills!#REF!,"AAAAAG/51yk=")</f>
        <v>#REF!</v>
      </c>
      <c r="AQ234" t="e">
        <f>AND(Bills!Y1012,"AAAAAG/51yo=")</f>
        <v>#VALUE!</v>
      </c>
      <c r="AR234" t="e">
        <f>AND(Bills!Z1012,"AAAAAG/51ys=")</f>
        <v>#VALUE!</v>
      </c>
      <c r="AS234" t="e">
        <f>AND(Bills!#REF!,"AAAAAG/51yw=")</f>
        <v>#REF!</v>
      </c>
      <c r="AT234" t="e">
        <f>AND(Bills!#REF!,"AAAAAG/51y0=")</f>
        <v>#REF!</v>
      </c>
      <c r="AU234" t="e">
        <f>AND(Bills!#REF!,"AAAAAG/51y4=")</f>
        <v>#REF!</v>
      </c>
      <c r="AV234" t="e">
        <f>AND(Bills!#REF!,"AAAAAG/51y8=")</f>
        <v>#REF!</v>
      </c>
      <c r="AW234" t="e">
        <f>AND(Bills!#REF!,"AAAAAG/51zA=")</f>
        <v>#REF!</v>
      </c>
      <c r="AX234" t="e">
        <f>AND(Bills!#REF!,"AAAAAG/51zE=")</f>
        <v>#REF!</v>
      </c>
      <c r="AY234" t="e">
        <f>AND(Bills!#REF!,"AAAAAG/51zI=")</f>
        <v>#REF!</v>
      </c>
      <c r="AZ234" t="e">
        <f>AND(Bills!#REF!,"AAAAAG/51zM=")</f>
        <v>#REF!</v>
      </c>
      <c r="BA234" t="e">
        <f>AND(Bills!#REF!,"AAAAAG/51zQ=")</f>
        <v>#REF!</v>
      </c>
      <c r="BB234" t="e">
        <f>AND(Bills!AA1012,"AAAAAG/51zU=")</f>
        <v>#VALUE!</v>
      </c>
      <c r="BC234" t="e">
        <f>AND(Bills!AB1012,"AAAAAG/51zY=")</f>
        <v>#VALUE!</v>
      </c>
      <c r="BD234" t="e">
        <f>AND(Bills!#REF!,"AAAAAG/51zc=")</f>
        <v>#REF!</v>
      </c>
      <c r="BE234" t="e">
        <f>AND(Bills!#REF!,"AAAAAG/51zg=")</f>
        <v>#REF!</v>
      </c>
      <c r="BF234" t="e">
        <f>AND(Bills!#REF!,"AAAAAG/51zk=")</f>
        <v>#REF!</v>
      </c>
      <c r="BG234" t="e">
        <f>AND(Bills!AC1012,"AAAAAG/51zo=")</f>
        <v>#VALUE!</v>
      </c>
      <c r="BH234" t="e">
        <f>AND(Bills!AD1012,"AAAAAG/51zs=")</f>
        <v>#VALUE!</v>
      </c>
      <c r="BI234" t="e">
        <f>AND(Bills!AE1012,"AAAAAG/51zw=")</f>
        <v>#VALUE!</v>
      </c>
      <c r="BJ234">
        <f>IF(Bills!1013:1013,"AAAAAG/51z0=",0)</f>
        <v>0</v>
      </c>
      <c r="BK234" t="e">
        <f>AND(Bills!B1013,"AAAAAG/51z4=")</f>
        <v>#VALUE!</v>
      </c>
      <c r="BL234" t="e">
        <f>AND(Bills!#REF!,"AAAAAG/51z8=")</f>
        <v>#REF!</v>
      </c>
      <c r="BM234" t="e">
        <f>AND(Bills!C1013,"AAAAAG/510A=")</f>
        <v>#VALUE!</v>
      </c>
      <c r="BN234" t="e">
        <f>AND(Bills!D1013,"AAAAAG/510E=")</f>
        <v>#VALUE!</v>
      </c>
      <c r="BO234" t="e">
        <f>AND(Bills!E1013,"AAAAAG/510I=")</f>
        <v>#VALUE!</v>
      </c>
      <c r="BP234" t="e">
        <f>AND(Bills!#REF!,"AAAAAG/510M=")</f>
        <v>#REF!</v>
      </c>
      <c r="BQ234" t="e">
        <f>AND(Bills!#REF!,"AAAAAG/510Q=")</f>
        <v>#REF!</v>
      </c>
      <c r="BR234" t="e">
        <f>AND(Bills!#REF!,"AAAAAG/510U=")</f>
        <v>#REF!</v>
      </c>
      <c r="BS234" t="e">
        <f>AND(Bills!F1013,"AAAAAG/510Y=")</f>
        <v>#VALUE!</v>
      </c>
      <c r="BT234" t="e">
        <f>AND(Bills!#REF!,"AAAAAG/510c=")</f>
        <v>#REF!</v>
      </c>
      <c r="BU234" t="e">
        <f>AND(Bills!G1013,"AAAAAG/510g=")</f>
        <v>#VALUE!</v>
      </c>
      <c r="BV234" t="e">
        <f>AND(Bills!H1013,"AAAAAG/510k=")</f>
        <v>#VALUE!</v>
      </c>
      <c r="BW234" t="e">
        <f>AND(Bills!I1013,"AAAAAG/510o=")</f>
        <v>#VALUE!</v>
      </c>
      <c r="BX234" t="e">
        <f>AND(Bills!J1013,"AAAAAG/510s=")</f>
        <v>#VALUE!</v>
      </c>
      <c r="BY234" t="e">
        <f>AND(Bills!K1013,"AAAAAG/510w=")</f>
        <v>#VALUE!</v>
      </c>
      <c r="BZ234" t="e">
        <f>AND(Bills!L1013,"AAAAAG/5100=")</f>
        <v>#VALUE!</v>
      </c>
      <c r="CA234" t="e">
        <f>AND(Bills!#REF!,"AAAAAG/5104=")</f>
        <v>#REF!</v>
      </c>
      <c r="CB234" t="e">
        <f>AND(Bills!M1013,"AAAAAG/5108=")</f>
        <v>#VALUE!</v>
      </c>
      <c r="CC234" t="e">
        <f>AND(Bills!N1013,"AAAAAG/511A=")</f>
        <v>#VALUE!</v>
      </c>
      <c r="CD234" t="e">
        <f>AND(Bills!O1013,"AAAAAG/511E=")</f>
        <v>#VALUE!</v>
      </c>
      <c r="CE234" t="e">
        <f>AND(Bills!P1013,"AAAAAG/511I=")</f>
        <v>#VALUE!</v>
      </c>
      <c r="CF234" t="e">
        <f>AND(Bills!Q1013,"AAAAAG/511M=")</f>
        <v>#VALUE!</v>
      </c>
      <c r="CG234" t="e">
        <f>AND(Bills!R1013,"AAAAAG/511Q=")</f>
        <v>#VALUE!</v>
      </c>
      <c r="CH234" t="e">
        <f>AND(Bills!S1013,"AAAAAG/511U=")</f>
        <v>#VALUE!</v>
      </c>
      <c r="CI234" t="e">
        <f>AND(Bills!T1013,"AAAAAG/511Y=")</f>
        <v>#VALUE!</v>
      </c>
      <c r="CJ234" t="e">
        <f>AND(Bills!#REF!,"AAAAAG/511c=")</f>
        <v>#REF!</v>
      </c>
      <c r="CK234" t="e">
        <f>AND(Bills!U1013,"AAAAAG/511g=")</f>
        <v>#VALUE!</v>
      </c>
      <c r="CL234" t="e">
        <f>AND(Bills!V1013,"AAAAAG/511k=")</f>
        <v>#VALUE!</v>
      </c>
      <c r="CM234" t="e">
        <f>AND(Bills!W1013,"AAAAAG/511o=")</f>
        <v>#VALUE!</v>
      </c>
      <c r="CN234" t="e">
        <f>AND(Bills!#REF!,"AAAAAG/511s=")</f>
        <v>#REF!</v>
      </c>
      <c r="CO234" t="e">
        <f>AND(Bills!#REF!,"AAAAAG/511w=")</f>
        <v>#REF!</v>
      </c>
      <c r="CP234" t="e">
        <f>AND(Bills!Y1013,"AAAAAG/5110=")</f>
        <v>#VALUE!</v>
      </c>
      <c r="CQ234" t="e">
        <f>AND(Bills!Z1013,"AAAAAG/5114=")</f>
        <v>#VALUE!</v>
      </c>
      <c r="CR234" t="e">
        <f>AND(Bills!#REF!,"AAAAAG/5118=")</f>
        <v>#REF!</v>
      </c>
      <c r="CS234" t="e">
        <f>AND(Bills!#REF!,"AAAAAG/512A=")</f>
        <v>#REF!</v>
      </c>
      <c r="CT234" t="e">
        <f>AND(Bills!#REF!,"AAAAAG/512E=")</f>
        <v>#REF!</v>
      </c>
      <c r="CU234" t="e">
        <f>AND(Bills!#REF!,"AAAAAG/512I=")</f>
        <v>#REF!</v>
      </c>
      <c r="CV234" t="e">
        <f>AND(Bills!#REF!,"AAAAAG/512M=")</f>
        <v>#REF!</v>
      </c>
      <c r="CW234" t="e">
        <f>AND(Bills!#REF!,"AAAAAG/512Q=")</f>
        <v>#REF!</v>
      </c>
      <c r="CX234" t="e">
        <f>AND(Bills!#REF!,"AAAAAG/512U=")</f>
        <v>#REF!</v>
      </c>
      <c r="CY234" t="e">
        <f>AND(Bills!#REF!,"AAAAAG/512Y=")</f>
        <v>#REF!</v>
      </c>
      <c r="CZ234" t="e">
        <f>AND(Bills!#REF!,"AAAAAG/512c=")</f>
        <v>#REF!</v>
      </c>
      <c r="DA234" t="e">
        <f>AND(Bills!AA1013,"AAAAAG/512g=")</f>
        <v>#VALUE!</v>
      </c>
      <c r="DB234" t="e">
        <f>AND(Bills!AB1013,"AAAAAG/512k=")</f>
        <v>#VALUE!</v>
      </c>
      <c r="DC234" t="e">
        <f>AND(Bills!#REF!,"AAAAAG/512o=")</f>
        <v>#REF!</v>
      </c>
      <c r="DD234" t="e">
        <f>AND(Bills!#REF!,"AAAAAG/512s=")</f>
        <v>#REF!</v>
      </c>
      <c r="DE234" t="e">
        <f>AND(Bills!#REF!,"AAAAAG/512w=")</f>
        <v>#REF!</v>
      </c>
      <c r="DF234" t="e">
        <f>AND(Bills!AC1013,"AAAAAG/5120=")</f>
        <v>#VALUE!</v>
      </c>
      <c r="DG234" t="e">
        <f>AND(Bills!AD1013,"AAAAAG/5124=")</f>
        <v>#VALUE!</v>
      </c>
      <c r="DH234" t="e">
        <f>AND(Bills!AE1013,"AAAAAG/5128=")</f>
        <v>#VALUE!</v>
      </c>
      <c r="DI234">
        <f>IF(Bills!1014:1014,"AAAAAG/513A=",0)</f>
        <v>0</v>
      </c>
      <c r="DJ234" t="e">
        <f>AND(Bills!B1014,"AAAAAG/513E=")</f>
        <v>#VALUE!</v>
      </c>
      <c r="DK234" t="e">
        <f>AND(Bills!#REF!,"AAAAAG/513I=")</f>
        <v>#REF!</v>
      </c>
      <c r="DL234" t="e">
        <f>AND(Bills!C1014,"AAAAAG/513M=")</f>
        <v>#VALUE!</v>
      </c>
      <c r="DM234" t="e">
        <f>AND(Bills!D1014,"AAAAAG/513Q=")</f>
        <v>#VALUE!</v>
      </c>
      <c r="DN234" t="e">
        <f>AND(Bills!E1014,"AAAAAG/513U=")</f>
        <v>#VALUE!</v>
      </c>
      <c r="DO234" t="e">
        <f>AND(Bills!#REF!,"AAAAAG/513Y=")</f>
        <v>#REF!</v>
      </c>
      <c r="DP234" t="e">
        <f>AND(Bills!#REF!,"AAAAAG/513c=")</f>
        <v>#REF!</v>
      </c>
      <c r="DQ234" t="e">
        <f>AND(Bills!#REF!,"AAAAAG/513g=")</f>
        <v>#REF!</v>
      </c>
      <c r="DR234" t="e">
        <f>AND(Bills!F1014,"AAAAAG/513k=")</f>
        <v>#VALUE!</v>
      </c>
      <c r="DS234" t="e">
        <f>AND(Bills!#REF!,"AAAAAG/513o=")</f>
        <v>#REF!</v>
      </c>
      <c r="DT234" t="e">
        <f>AND(Bills!G1014,"AAAAAG/513s=")</f>
        <v>#VALUE!</v>
      </c>
      <c r="DU234" t="e">
        <f>AND(Bills!H1014,"AAAAAG/513w=")</f>
        <v>#VALUE!</v>
      </c>
      <c r="DV234" t="e">
        <f>AND(Bills!I1014,"AAAAAG/5130=")</f>
        <v>#VALUE!</v>
      </c>
      <c r="DW234" t="e">
        <f>AND(Bills!J1014,"AAAAAG/5134=")</f>
        <v>#VALUE!</v>
      </c>
      <c r="DX234" t="e">
        <f>AND(Bills!K1014,"AAAAAG/5138=")</f>
        <v>#VALUE!</v>
      </c>
      <c r="DY234" t="e">
        <f>AND(Bills!L1014,"AAAAAG/514A=")</f>
        <v>#VALUE!</v>
      </c>
      <c r="DZ234" t="e">
        <f>AND(Bills!#REF!,"AAAAAG/514E=")</f>
        <v>#REF!</v>
      </c>
      <c r="EA234" t="e">
        <f>AND(Bills!M1014,"AAAAAG/514I=")</f>
        <v>#VALUE!</v>
      </c>
      <c r="EB234" t="e">
        <f>AND(Bills!N1014,"AAAAAG/514M=")</f>
        <v>#VALUE!</v>
      </c>
      <c r="EC234" t="e">
        <f>AND(Bills!O1014,"AAAAAG/514Q=")</f>
        <v>#VALUE!</v>
      </c>
      <c r="ED234" t="e">
        <f>AND(Bills!P1014,"AAAAAG/514U=")</f>
        <v>#VALUE!</v>
      </c>
      <c r="EE234" t="e">
        <f>AND(Bills!Q1014,"AAAAAG/514Y=")</f>
        <v>#VALUE!</v>
      </c>
      <c r="EF234" t="e">
        <f>AND(Bills!R1014,"AAAAAG/514c=")</f>
        <v>#VALUE!</v>
      </c>
      <c r="EG234" t="e">
        <f>AND(Bills!S1014,"AAAAAG/514g=")</f>
        <v>#VALUE!</v>
      </c>
      <c r="EH234" t="e">
        <f>AND(Bills!T1014,"AAAAAG/514k=")</f>
        <v>#VALUE!</v>
      </c>
      <c r="EI234" t="e">
        <f>AND(Bills!#REF!,"AAAAAG/514o=")</f>
        <v>#REF!</v>
      </c>
      <c r="EJ234" t="e">
        <f>AND(Bills!U1014,"AAAAAG/514s=")</f>
        <v>#VALUE!</v>
      </c>
      <c r="EK234" t="e">
        <f>AND(Bills!V1014,"AAAAAG/514w=")</f>
        <v>#VALUE!</v>
      </c>
      <c r="EL234" t="e">
        <f>AND(Bills!W1014,"AAAAAG/5140=")</f>
        <v>#VALUE!</v>
      </c>
      <c r="EM234" t="e">
        <f>AND(Bills!#REF!,"AAAAAG/5144=")</f>
        <v>#REF!</v>
      </c>
      <c r="EN234" t="e">
        <f>AND(Bills!#REF!,"AAAAAG/5148=")</f>
        <v>#REF!</v>
      </c>
      <c r="EO234" t="e">
        <f>AND(Bills!Y1014,"AAAAAG/515A=")</f>
        <v>#VALUE!</v>
      </c>
      <c r="EP234" t="e">
        <f>AND(Bills!Z1014,"AAAAAG/515E=")</f>
        <v>#VALUE!</v>
      </c>
      <c r="EQ234" t="e">
        <f>AND(Bills!#REF!,"AAAAAG/515I=")</f>
        <v>#REF!</v>
      </c>
      <c r="ER234" t="e">
        <f>AND(Bills!#REF!,"AAAAAG/515M=")</f>
        <v>#REF!</v>
      </c>
      <c r="ES234" t="e">
        <f>AND(Bills!#REF!,"AAAAAG/515Q=")</f>
        <v>#REF!</v>
      </c>
      <c r="ET234" t="e">
        <f>AND(Bills!#REF!,"AAAAAG/515U=")</f>
        <v>#REF!</v>
      </c>
      <c r="EU234" t="e">
        <f>AND(Bills!#REF!,"AAAAAG/515Y=")</f>
        <v>#REF!</v>
      </c>
      <c r="EV234" t="e">
        <f>AND(Bills!#REF!,"AAAAAG/515c=")</f>
        <v>#REF!</v>
      </c>
      <c r="EW234" t="e">
        <f>AND(Bills!#REF!,"AAAAAG/515g=")</f>
        <v>#REF!</v>
      </c>
      <c r="EX234" t="e">
        <f>AND(Bills!#REF!,"AAAAAG/515k=")</f>
        <v>#REF!</v>
      </c>
      <c r="EY234" t="e">
        <f>AND(Bills!#REF!,"AAAAAG/515o=")</f>
        <v>#REF!</v>
      </c>
      <c r="EZ234" t="e">
        <f>AND(Bills!AA1014,"AAAAAG/515s=")</f>
        <v>#VALUE!</v>
      </c>
      <c r="FA234" t="e">
        <f>AND(Bills!AB1014,"AAAAAG/515w=")</f>
        <v>#VALUE!</v>
      </c>
      <c r="FB234" t="e">
        <f>AND(Bills!#REF!,"AAAAAG/5150=")</f>
        <v>#REF!</v>
      </c>
      <c r="FC234" t="e">
        <f>AND(Bills!#REF!,"AAAAAG/5154=")</f>
        <v>#REF!</v>
      </c>
      <c r="FD234" t="e">
        <f>AND(Bills!#REF!,"AAAAAG/5158=")</f>
        <v>#REF!</v>
      </c>
      <c r="FE234" t="e">
        <f>AND(Bills!AC1014,"AAAAAG/516A=")</f>
        <v>#VALUE!</v>
      </c>
      <c r="FF234" t="e">
        <f>AND(Bills!AD1014,"AAAAAG/516E=")</f>
        <v>#VALUE!</v>
      </c>
      <c r="FG234" t="e">
        <f>AND(Bills!AE1014,"AAAAAG/516I=")</f>
        <v>#VALUE!</v>
      </c>
      <c r="FH234">
        <f>IF(Bills!1015:1015,"AAAAAG/516M=",0)</f>
        <v>0</v>
      </c>
      <c r="FI234" t="e">
        <f>AND(Bills!B1015,"AAAAAG/516Q=")</f>
        <v>#VALUE!</v>
      </c>
      <c r="FJ234" t="e">
        <f>AND(Bills!#REF!,"AAAAAG/516U=")</f>
        <v>#REF!</v>
      </c>
      <c r="FK234" t="e">
        <f>AND(Bills!C1015,"AAAAAG/516Y=")</f>
        <v>#VALUE!</v>
      </c>
      <c r="FL234" t="e">
        <f>AND(Bills!D1015,"AAAAAG/516c=")</f>
        <v>#VALUE!</v>
      </c>
      <c r="FM234" t="e">
        <f>AND(Bills!E1015,"AAAAAG/516g=")</f>
        <v>#VALUE!</v>
      </c>
      <c r="FN234" t="e">
        <f>AND(Bills!#REF!,"AAAAAG/516k=")</f>
        <v>#REF!</v>
      </c>
      <c r="FO234" t="e">
        <f>AND(Bills!#REF!,"AAAAAG/516o=")</f>
        <v>#REF!</v>
      </c>
      <c r="FP234" t="e">
        <f>AND(Bills!#REF!,"AAAAAG/516s=")</f>
        <v>#REF!</v>
      </c>
      <c r="FQ234" t="e">
        <f>AND(Bills!F1015,"AAAAAG/516w=")</f>
        <v>#VALUE!</v>
      </c>
      <c r="FR234" t="e">
        <f>AND(Bills!#REF!,"AAAAAG/5160=")</f>
        <v>#REF!</v>
      </c>
      <c r="FS234" t="e">
        <f>AND(Bills!G1015,"AAAAAG/5164=")</f>
        <v>#VALUE!</v>
      </c>
      <c r="FT234" t="e">
        <f>AND(Bills!H1015,"AAAAAG/5168=")</f>
        <v>#VALUE!</v>
      </c>
      <c r="FU234" t="e">
        <f>AND(Bills!I1015,"AAAAAG/517A=")</f>
        <v>#VALUE!</v>
      </c>
      <c r="FV234" t="e">
        <f>AND(Bills!J1015,"AAAAAG/517E=")</f>
        <v>#VALUE!</v>
      </c>
      <c r="FW234" t="e">
        <f>AND(Bills!K1015,"AAAAAG/517I=")</f>
        <v>#VALUE!</v>
      </c>
      <c r="FX234" t="e">
        <f>AND(Bills!L1015,"AAAAAG/517M=")</f>
        <v>#VALUE!</v>
      </c>
      <c r="FY234" t="e">
        <f>AND(Bills!#REF!,"AAAAAG/517Q=")</f>
        <v>#REF!</v>
      </c>
      <c r="FZ234" t="e">
        <f>AND(Bills!M1015,"AAAAAG/517U=")</f>
        <v>#VALUE!</v>
      </c>
      <c r="GA234" t="e">
        <f>AND(Bills!N1015,"AAAAAG/517Y=")</f>
        <v>#VALUE!</v>
      </c>
      <c r="GB234" t="e">
        <f>AND(Bills!O1015,"AAAAAG/517c=")</f>
        <v>#VALUE!</v>
      </c>
      <c r="GC234" t="e">
        <f>AND(Bills!P1015,"AAAAAG/517g=")</f>
        <v>#VALUE!</v>
      </c>
      <c r="GD234" t="e">
        <f>AND(Bills!Q1015,"AAAAAG/517k=")</f>
        <v>#VALUE!</v>
      </c>
      <c r="GE234" t="e">
        <f>AND(Bills!R1015,"AAAAAG/517o=")</f>
        <v>#VALUE!</v>
      </c>
      <c r="GF234" t="e">
        <f>AND(Bills!S1015,"AAAAAG/517s=")</f>
        <v>#VALUE!</v>
      </c>
      <c r="GG234" t="e">
        <f>AND(Bills!T1015,"AAAAAG/517w=")</f>
        <v>#VALUE!</v>
      </c>
      <c r="GH234" t="e">
        <f>AND(Bills!#REF!,"AAAAAG/5170=")</f>
        <v>#REF!</v>
      </c>
      <c r="GI234" t="e">
        <f>AND(Bills!U1015,"AAAAAG/5174=")</f>
        <v>#VALUE!</v>
      </c>
      <c r="GJ234" t="e">
        <f>AND(Bills!V1015,"AAAAAG/5178=")</f>
        <v>#VALUE!</v>
      </c>
      <c r="GK234" t="e">
        <f>AND(Bills!W1015,"AAAAAG/518A=")</f>
        <v>#VALUE!</v>
      </c>
      <c r="GL234" t="e">
        <f>AND(Bills!#REF!,"AAAAAG/518E=")</f>
        <v>#REF!</v>
      </c>
      <c r="GM234" t="e">
        <f>AND(Bills!#REF!,"AAAAAG/518I=")</f>
        <v>#REF!</v>
      </c>
      <c r="GN234" t="e">
        <f>AND(Bills!Y1015,"AAAAAG/518M=")</f>
        <v>#VALUE!</v>
      </c>
      <c r="GO234" t="e">
        <f>AND(Bills!Z1015,"AAAAAG/518Q=")</f>
        <v>#VALUE!</v>
      </c>
      <c r="GP234" t="e">
        <f>AND(Bills!#REF!,"AAAAAG/518U=")</f>
        <v>#REF!</v>
      </c>
      <c r="GQ234" t="e">
        <f>AND(Bills!#REF!,"AAAAAG/518Y=")</f>
        <v>#REF!</v>
      </c>
      <c r="GR234" t="e">
        <f>AND(Bills!#REF!,"AAAAAG/518c=")</f>
        <v>#REF!</v>
      </c>
      <c r="GS234" t="e">
        <f>AND(Bills!#REF!,"AAAAAG/518g=")</f>
        <v>#REF!</v>
      </c>
      <c r="GT234" t="e">
        <f>AND(Bills!#REF!,"AAAAAG/518k=")</f>
        <v>#REF!</v>
      </c>
      <c r="GU234" t="e">
        <f>AND(Bills!#REF!,"AAAAAG/518o=")</f>
        <v>#REF!</v>
      </c>
      <c r="GV234" t="e">
        <f>AND(Bills!#REF!,"AAAAAG/518s=")</f>
        <v>#REF!</v>
      </c>
      <c r="GW234" t="e">
        <f>AND(Bills!#REF!,"AAAAAG/518w=")</f>
        <v>#REF!</v>
      </c>
      <c r="GX234" t="e">
        <f>AND(Bills!#REF!,"AAAAAG/5180=")</f>
        <v>#REF!</v>
      </c>
      <c r="GY234" t="e">
        <f>AND(Bills!AA1015,"AAAAAG/5184=")</f>
        <v>#VALUE!</v>
      </c>
      <c r="GZ234" t="e">
        <f>AND(Bills!AB1015,"AAAAAG/5188=")</f>
        <v>#VALUE!</v>
      </c>
      <c r="HA234" t="e">
        <f>AND(Bills!#REF!,"AAAAAG/519A=")</f>
        <v>#REF!</v>
      </c>
      <c r="HB234" t="e">
        <f>AND(Bills!#REF!,"AAAAAG/519E=")</f>
        <v>#REF!</v>
      </c>
      <c r="HC234" t="e">
        <f>AND(Bills!#REF!,"AAAAAG/519I=")</f>
        <v>#REF!</v>
      </c>
      <c r="HD234" t="e">
        <f>AND(Bills!AC1015,"AAAAAG/519M=")</f>
        <v>#VALUE!</v>
      </c>
      <c r="HE234" t="e">
        <f>AND(Bills!AD1015,"AAAAAG/519Q=")</f>
        <v>#VALUE!</v>
      </c>
      <c r="HF234" t="e">
        <f>AND(Bills!AE1015,"AAAAAG/519U=")</f>
        <v>#VALUE!</v>
      </c>
      <c r="HG234">
        <f>IF(Bills!1016:1016,"AAAAAG/519Y=",0)</f>
        <v>0</v>
      </c>
      <c r="HH234" t="e">
        <f>AND(Bills!B1016,"AAAAAG/519c=")</f>
        <v>#VALUE!</v>
      </c>
      <c r="HI234" t="e">
        <f>AND(Bills!#REF!,"AAAAAG/519g=")</f>
        <v>#REF!</v>
      </c>
      <c r="HJ234" t="e">
        <f>AND(Bills!C1016,"AAAAAG/519k=")</f>
        <v>#VALUE!</v>
      </c>
      <c r="HK234" t="e">
        <f>AND(Bills!D1016,"AAAAAG/519o=")</f>
        <v>#VALUE!</v>
      </c>
      <c r="HL234" t="e">
        <f>AND(Bills!E1016,"AAAAAG/519s=")</f>
        <v>#VALUE!</v>
      </c>
      <c r="HM234" t="e">
        <f>AND(Bills!#REF!,"AAAAAG/519w=")</f>
        <v>#REF!</v>
      </c>
      <c r="HN234" t="e">
        <f>AND(Bills!#REF!,"AAAAAG/5190=")</f>
        <v>#REF!</v>
      </c>
      <c r="HO234" t="e">
        <f>AND(Bills!#REF!,"AAAAAG/5194=")</f>
        <v>#REF!</v>
      </c>
      <c r="HP234" t="e">
        <f>AND(Bills!F1016,"AAAAAG/5198=")</f>
        <v>#VALUE!</v>
      </c>
      <c r="HQ234" t="e">
        <f>AND(Bills!#REF!,"AAAAAG/51+A=")</f>
        <v>#REF!</v>
      </c>
      <c r="HR234" t="e">
        <f>AND(Bills!G1016,"AAAAAG/51+E=")</f>
        <v>#VALUE!</v>
      </c>
      <c r="HS234" t="e">
        <f>AND(Bills!H1016,"AAAAAG/51+I=")</f>
        <v>#VALUE!</v>
      </c>
      <c r="HT234" t="e">
        <f>AND(Bills!I1016,"AAAAAG/51+M=")</f>
        <v>#VALUE!</v>
      </c>
      <c r="HU234" t="e">
        <f>AND(Bills!J1016,"AAAAAG/51+Q=")</f>
        <v>#VALUE!</v>
      </c>
      <c r="HV234" t="e">
        <f>AND(Bills!K1016,"AAAAAG/51+U=")</f>
        <v>#VALUE!</v>
      </c>
      <c r="HW234" t="e">
        <f>AND(Bills!L1016,"AAAAAG/51+Y=")</f>
        <v>#VALUE!</v>
      </c>
      <c r="HX234" t="e">
        <f>AND(Bills!#REF!,"AAAAAG/51+c=")</f>
        <v>#REF!</v>
      </c>
      <c r="HY234" t="e">
        <f>AND(Bills!M1016,"AAAAAG/51+g=")</f>
        <v>#VALUE!</v>
      </c>
      <c r="HZ234" t="e">
        <f>AND(Bills!N1016,"AAAAAG/51+k=")</f>
        <v>#VALUE!</v>
      </c>
      <c r="IA234" t="e">
        <f>AND(Bills!O1016,"AAAAAG/51+o=")</f>
        <v>#VALUE!</v>
      </c>
      <c r="IB234" t="e">
        <f>AND(Bills!P1016,"AAAAAG/51+s=")</f>
        <v>#VALUE!</v>
      </c>
      <c r="IC234" t="e">
        <f>AND(Bills!Q1016,"AAAAAG/51+w=")</f>
        <v>#VALUE!</v>
      </c>
      <c r="ID234" t="e">
        <f>AND(Bills!R1016,"AAAAAG/51+0=")</f>
        <v>#VALUE!</v>
      </c>
      <c r="IE234" t="e">
        <f>AND(Bills!S1016,"AAAAAG/51+4=")</f>
        <v>#VALUE!</v>
      </c>
      <c r="IF234" t="e">
        <f>AND(Bills!T1016,"AAAAAG/51+8=")</f>
        <v>#VALUE!</v>
      </c>
      <c r="IG234" t="e">
        <f>AND(Bills!#REF!,"AAAAAG/51/A=")</f>
        <v>#REF!</v>
      </c>
      <c r="IH234" t="e">
        <f>AND(Bills!U1016,"AAAAAG/51/E=")</f>
        <v>#VALUE!</v>
      </c>
      <c r="II234" t="e">
        <f>AND(Bills!V1016,"AAAAAG/51/I=")</f>
        <v>#VALUE!</v>
      </c>
      <c r="IJ234" t="e">
        <f>AND(Bills!W1016,"AAAAAG/51/M=")</f>
        <v>#VALUE!</v>
      </c>
      <c r="IK234" t="e">
        <f>AND(Bills!#REF!,"AAAAAG/51/Q=")</f>
        <v>#REF!</v>
      </c>
      <c r="IL234" t="e">
        <f>AND(Bills!#REF!,"AAAAAG/51/U=")</f>
        <v>#REF!</v>
      </c>
      <c r="IM234" t="e">
        <f>AND(Bills!Y1016,"AAAAAG/51/Y=")</f>
        <v>#VALUE!</v>
      </c>
      <c r="IN234" t="e">
        <f>AND(Bills!Z1016,"AAAAAG/51/c=")</f>
        <v>#VALUE!</v>
      </c>
      <c r="IO234" t="e">
        <f>AND(Bills!#REF!,"AAAAAG/51/g=")</f>
        <v>#REF!</v>
      </c>
      <c r="IP234" t="e">
        <f>AND(Bills!#REF!,"AAAAAG/51/k=")</f>
        <v>#REF!</v>
      </c>
      <c r="IQ234" t="e">
        <f>AND(Bills!#REF!,"AAAAAG/51/o=")</f>
        <v>#REF!</v>
      </c>
      <c r="IR234" t="e">
        <f>AND(Bills!#REF!,"AAAAAG/51/s=")</f>
        <v>#REF!</v>
      </c>
      <c r="IS234" t="e">
        <f>AND(Bills!#REF!,"AAAAAG/51/w=")</f>
        <v>#REF!</v>
      </c>
      <c r="IT234" t="e">
        <f>AND(Bills!#REF!,"AAAAAG/51/0=")</f>
        <v>#REF!</v>
      </c>
      <c r="IU234" t="e">
        <f>AND(Bills!#REF!,"AAAAAG/51/4=")</f>
        <v>#REF!</v>
      </c>
      <c r="IV234" t="e">
        <f>AND(Bills!#REF!,"AAAAAG/51/8=")</f>
        <v>#REF!</v>
      </c>
    </row>
    <row r="235" spans="1:256" x14ac:dyDescent="0.25">
      <c r="A235" t="e">
        <f>AND(Bills!#REF!,"AAAAAH1cDgA=")</f>
        <v>#REF!</v>
      </c>
      <c r="B235" t="e">
        <f>AND(Bills!AA1016,"AAAAAH1cDgE=")</f>
        <v>#VALUE!</v>
      </c>
      <c r="C235" t="e">
        <f>AND(Bills!AB1016,"AAAAAH1cDgI=")</f>
        <v>#VALUE!</v>
      </c>
      <c r="D235" t="e">
        <f>AND(Bills!#REF!,"AAAAAH1cDgM=")</f>
        <v>#REF!</v>
      </c>
      <c r="E235" t="e">
        <f>AND(Bills!#REF!,"AAAAAH1cDgQ=")</f>
        <v>#REF!</v>
      </c>
      <c r="F235" t="e">
        <f>AND(Bills!#REF!,"AAAAAH1cDgU=")</f>
        <v>#REF!</v>
      </c>
      <c r="G235" t="e">
        <f>AND(Bills!AC1016,"AAAAAH1cDgY=")</f>
        <v>#VALUE!</v>
      </c>
      <c r="H235" t="e">
        <f>AND(Bills!AD1016,"AAAAAH1cDgc=")</f>
        <v>#VALUE!</v>
      </c>
      <c r="I235" t="e">
        <f>AND(Bills!AE1016,"AAAAAH1cDgg=")</f>
        <v>#VALUE!</v>
      </c>
      <c r="J235">
        <f>IF(Bills!1017:1017,"AAAAAH1cDgk=",0)</f>
        <v>0</v>
      </c>
      <c r="K235" t="e">
        <f>AND(Bills!B1017,"AAAAAH1cDgo=")</f>
        <v>#VALUE!</v>
      </c>
      <c r="L235" t="e">
        <f>AND(Bills!#REF!,"AAAAAH1cDgs=")</f>
        <v>#REF!</v>
      </c>
      <c r="M235" t="e">
        <f>AND(Bills!C1017,"AAAAAH1cDgw=")</f>
        <v>#VALUE!</v>
      </c>
      <c r="N235" t="e">
        <f>AND(Bills!D1017,"AAAAAH1cDg0=")</f>
        <v>#VALUE!</v>
      </c>
      <c r="O235" t="e">
        <f>AND(Bills!E1017,"AAAAAH1cDg4=")</f>
        <v>#VALUE!</v>
      </c>
      <c r="P235" t="e">
        <f>AND(Bills!#REF!,"AAAAAH1cDg8=")</f>
        <v>#REF!</v>
      </c>
      <c r="Q235" t="e">
        <f>AND(Bills!#REF!,"AAAAAH1cDhA=")</f>
        <v>#REF!</v>
      </c>
      <c r="R235" t="e">
        <f>AND(Bills!#REF!,"AAAAAH1cDhE=")</f>
        <v>#REF!</v>
      </c>
      <c r="S235" t="e">
        <f>AND(Bills!F1017,"AAAAAH1cDhI=")</f>
        <v>#VALUE!</v>
      </c>
      <c r="T235" t="e">
        <f>AND(Bills!#REF!,"AAAAAH1cDhM=")</f>
        <v>#REF!</v>
      </c>
      <c r="U235" t="e">
        <f>AND(Bills!G1017,"AAAAAH1cDhQ=")</f>
        <v>#VALUE!</v>
      </c>
      <c r="V235" t="e">
        <f>AND(Bills!H1017,"AAAAAH1cDhU=")</f>
        <v>#VALUE!</v>
      </c>
      <c r="W235" t="e">
        <f>AND(Bills!I1017,"AAAAAH1cDhY=")</f>
        <v>#VALUE!</v>
      </c>
      <c r="X235" t="e">
        <f>AND(Bills!J1017,"AAAAAH1cDhc=")</f>
        <v>#VALUE!</v>
      </c>
      <c r="Y235" t="e">
        <f>AND(Bills!K1017,"AAAAAH1cDhg=")</f>
        <v>#VALUE!</v>
      </c>
      <c r="Z235" t="e">
        <f>AND(Bills!L1017,"AAAAAH1cDhk=")</f>
        <v>#VALUE!</v>
      </c>
      <c r="AA235" t="e">
        <f>AND(Bills!#REF!,"AAAAAH1cDho=")</f>
        <v>#REF!</v>
      </c>
      <c r="AB235" t="e">
        <f>AND(Bills!M1017,"AAAAAH1cDhs=")</f>
        <v>#VALUE!</v>
      </c>
      <c r="AC235" t="e">
        <f>AND(Bills!N1017,"AAAAAH1cDhw=")</f>
        <v>#VALUE!</v>
      </c>
      <c r="AD235" t="e">
        <f>AND(Bills!O1017,"AAAAAH1cDh0=")</f>
        <v>#VALUE!</v>
      </c>
      <c r="AE235" t="e">
        <f>AND(Bills!P1017,"AAAAAH1cDh4=")</f>
        <v>#VALUE!</v>
      </c>
      <c r="AF235" t="e">
        <f>AND(Bills!Q1017,"AAAAAH1cDh8=")</f>
        <v>#VALUE!</v>
      </c>
      <c r="AG235" t="e">
        <f>AND(Bills!R1017,"AAAAAH1cDiA=")</f>
        <v>#VALUE!</v>
      </c>
      <c r="AH235" t="e">
        <f>AND(Bills!S1017,"AAAAAH1cDiE=")</f>
        <v>#VALUE!</v>
      </c>
      <c r="AI235" t="e">
        <f>AND(Bills!T1017,"AAAAAH1cDiI=")</f>
        <v>#VALUE!</v>
      </c>
      <c r="AJ235" t="e">
        <f>AND(Bills!#REF!,"AAAAAH1cDiM=")</f>
        <v>#REF!</v>
      </c>
      <c r="AK235" t="e">
        <f>AND(Bills!U1017,"AAAAAH1cDiQ=")</f>
        <v>#VALUE!</v>
      </c>
      <c r="AL235" t="e">
        <f>AND(Bills!V1017,"AAAAAH1cDiU=")</f>
        <v>#VALUE!</v>
      </c>
      <c r="AM235" t="e">
        <f>AND(Bills!W1017,"AAAAAH1cDiY=")</f>
        <v>#VALUE!</v>
      </c>
      <c r="AN235" t="e">
        <f>AND(Bills!#REF!,"AAAAAH1cDic=")</f>
        <v>#REF!</v>
      </c>
      <c r="AO235" t="e">
        <f>AND(Bills!#REF!,"AAAAAH1cDig=")</f>
        <v>#REF!</v>
      </c>
      <c r="AP235" t="e">
        <f>AND(Bills!Y1017,"AAAAAH1cDik=")</f>
        <v>#VALUE!</v>
      </c>
      <c r="AQ235" t="e">
        <f>AND(Bills!Z1017,"AAAAAH1cDio=")</f>
        <v>#VALUE!</v>
      </c>
      <c r="AR235" t="e">
        <f>AND(Bills!#REF!,"AAAAAH1cDis=")</f>
        <v>#REF!</v>
      </c>
      <c r="AS235" t="e">
        <f>AND(Bills!#REF!,"AAAAAH1cDiw=")</f>
        <v>#REF!</v>
      </c>
      <c r="AT235" t="e">
        <f>AND(Bills!#REF!,"AAAAAH1cDi0=")</f>
        <v>#REF!</v>
      </c>
      <c r="AU235" t="e">
        <f>AND(Bills!#REF!,"AAAAAH1cDi4=")</f>
        <v>#REF!</v>
      </c>
      <c r="AV235" t="e">
        <f>AND(Bills!#REF!,"AAAAAH1cDi8=")</f>
        <v>#REF!</v>
      </c>
      <c r="AW235" t="e">
        <f>AND(Bills!#REF!,"AAAAAH1cDjA=")</f>
        <v>#REF!</v>
      </c>
      <c r="AX235" t="e">
        <f>AND(Bills!#REF!,"AAAAAH1cDjE=")</f>
        <v>#REF!</v>
      </c>
      <c r="AY235" t="e">
        <f>AND(Bills!#REF!,"AAAAAH1cDjI=")</f>
        <v>#REF!</v>
      </c>
      <c r="AZ235" t="e">
        <f>AND(Bills!#REF!,"AAAAAH1cDjM=")</f>
        <v>#REF!</v>
      </c>
      <c r="BA235" t="e">
        <f>AND(Bills!AA1017,"AAAAAH1cDjQ=")</f>
        <v>#VALUE!</v>
      </c>
      <c r="BB235" t="e">
        <f>AND(Bills!AB1017,"AAAAAH1cDjU=")</f>
        <v>#VALUE!</v>
      </c>
      <c r="BC235" t="e">
        <f>AND(Bills!#REF!,"AAAAAH1cDjY=")</f>
        <v>#REF!</v>
      </c>
      <c r="BD235" t="e">
        <f>AND(Bills!#REF!,"AAAAAH1cDjc=")</f>
        <v>#REF!</v>
      </c>
      <c r="BE235" t="e">
        <f>AND(Bills!#REF!,"AAAAAH1cDjg=")</f>
        <v>#REF!</v>
      </c>
      <c r="BF235" t="e">
        <f>AND(Bills!AC1017,"AAAAAH1cDjk=")</f>
        <v>#VALUE!</v>
      </c>
      <c r="BG235" t="e">
        <f>AND(Bills!AD1017,"AAAAAH1cDjo=")</f>
        <v>#VALUE!</v>
      </c>
      <c r="BH235" t="e">
        <f>AND(Bills!AE1017,"AAAAAH1cDjs=")</f>
        <v>#VALUE!</v>
      </c>
      <c r="BI235">
        <f>IF(Bills!1018:1018,"AAAAAH1cDjw=",0)</f>
        <v>0</v>
      </c>
      <c r="BJ235" t="e">
        <f>AND(Bills!B1018,"AAAAAH1cDj0=")</f>
        <v>#VALUE!</v>
      </c>
      <c r="BK235" t="e">
        <f>AND(Bills!#REF!,"AAAAAH1cDj4=")</f>
        <v>#REF!</v>
      </c>
      <c r="BL235" t="e">
        <f>AND(Bills!C1018,"AAAAAH1cDj8=")</f>
        <v>#VALUE!</v>
      </c>
      <c r="BM235" t="e">
        <f>AND(Bills!D1018,"AAAAAH1cDkA=")</f>
        <v>#VALUE!</v>
      </c>
      <c r="BN235" t="e">
        <f>AND(Bills!E1018,"AAAAAH1cDkE=")</f>
        <v>#VALUE!</v>
      </c>
      <c r="BO235" t="e">
        <f>AND(Bills!#REF!,"AAAAAH1cDkI=")</f>
        <v>#REF!</v>
      </c>
      <c r="BP235" t="e">
        <f>AND(Bills!#REF!,"AAAAAH1cDkM=")</f>
        <v>#REF!</v>
      </c>
      <c r="BQ235" t="e">
        <f>AND(Bills!#REF!,"AAAAAH1cDkQ=")</f>
        <v>#REF!</v>
      </c>
      <c r="BR235" t="e">
        <f>AND(Bills!F1018,"AAAAAH1cDkU=")</f>
        <v>#VALUE!</v>
      </c>
      <c r="BS235" t="e">
        <f>AND(Bills!#REF!,"AAAAAH1cDkY=")</f>
        <v>#REF!</v>
      </c>
      <c r="BT235" t="e">
        <f>AND(Bills!G1018,"AAAAAH1cDkc=")</f>
        <v>#VALUE!</v>
      </c>
      <c r="BU235" t="e">
        <f>AND(Bills!H1018,"AAAAAH1cDkg=")</f>
        <v>#VALUE!</v>
      </c>
      <c r="BV235" t="e">
        <f>AND(Bills!I1018,"AAAAAH1cDkk=")</f>
        <v>#VALUE!</v>
      </c>
      <c r="BW235" t="e">
        <f>AND(Bills!J1018,"AAAAAH1cDko=")</f>
        <v>#VALUE!</v>
      </c>
      <c r="BX235" t="e">
        <f>AND(Bills!K1018,"AAAAAH1cDks=")</f>
        <v>#VALUE!</v>
      </c>
      <c r="BY235" t="e">
        <f>AND(Bills!L1018,"AAAAAH1cDkw=")</f>
        <v>#VALUE!</v>
      </c>
      <c r="BZ235" t="e">
        <f>AND(Bills!#REF!,"AAAAAH1cDk0=")</f>
        <v>#REF!</v>
      </c>
      <c r="CA235" t="e">
        <f>AND(Bills!M1018,"AAAAAH1cDk4=")</f>
        <v>#VALUE!</v>
      </c>
      <c r="CB235" t="e">
        <f>AND(Bills!N1018,"AAAAAH1cDk8=")</f>
        <v>#VALUE!</v>
      </c>
      <c r="CC235" t="e">
        <f>AND(Bills!O1018,"AAAAAH1cDlA=")</f>
        <v>#VALUE!</v>
      </c>
      <c r="CD235" t="e">
        <f>AND(Bills!P1018,"AAAAAH1cDlE=")</f>
        <v>#VALUE!</v>
      </c>
      <c r="CE235" t="e">
        <f>AND(Bills!Q1018,"AAAAAH1cDlI=")</f>
        <v>#VALUE!</v>
      </c>
      <c r="CF235" t="e">
        <f>AND(Bills!R1018,"AAAAAH1cDlM=")</f>
        <v>#VALUE!</v>
      </c>
      <c r="CG235" t="e">
        <f>AND(Bills!S1018,"AAAAAH1cDlQ=")</f>
        <v>#VALUE!</v>
      </c>
      <c r="CH235" t="e">
        <f>AND(Bills!T1018,"AAAAAH1cDlU=")</f>
        <v>#VALUE!</v>
      </c>
      <c r="CI235" t="e">
        <f>AND(Bills!#REF!,"AAAAAH1cDlY=")</f>
        <v>#REF!</v>
      </c>
      <c r="CJ235" t="e">
        <f>AND(Bills!U1018,"AAAAAH1cDlc=")</f>
        <v>#VALUE!</v>
      </c>
      <c r="CK235" t="e">
        <f>AND(Bills!V1018,"AAAAAH1cDlg=")</f>
        <v>#VALUE!</v>
      </c>
      <c r="CL235" t="e">
        <f>AND(Bills!W1018,"AAAAAH1cDlk=")</f>
        <v>#VALUE!</v>
      </c>
      <c r="CM235" t="e">
        <f>AND(Bills!#REF!,"AAAAAH1cDlo=")</f>
        <v>#REF!</v>
      </c>
      <c r="CN235" t="e">
        <f>AND(Bills!#REF!,"AAAAAH1cDls=")</f>
        <v>#REF!</v>
      </c>
      <c r="CO235" t="e">
        <f>AND(Bills!Y1018,"AAAAAH1cDlw=")</f>
        <v>#VALUE!</v>
      </c>
      <c r="CP235" t="e">
        <f>AND(Bills!Z1018,"AAAAAH1cDl0=")</f>
        <v>#VALUE!</v>
      </c>
      <c r="CQ235" t="e">
        <f>AND(Bills!#REF!,"AAAAAH1cDl4=")</f>
        <v>#REF!</v>
      </c>
      <c r="CR235" t="e">
        <f>AND(Bills!#REF!,"AAAAAH1cDl8=")</f>
        <v>#REF!</v>
      </c>
      <c r="CS235" t="e">
        <f>AND(Bills!#REF!,"AAAAAH1cDmA=")</f>
        <v>#REF!</v>
      </c>
      <c r="CT235" t="e">
        <f>AND(Bills!#REF!,"AAAAAH1cDmE=")</f>
        <v>#REF!</v>
      </c>
      <c r="CU235" t="e">
        <f>AND(Bills!#REF!,"AAAAAH1cDmI=")</f>
        <v>#REF!</v>
      </c>
      <c r="CV235" t="e">
        <f>AND(Bills!#REF!,"AAAAAH1cDmM=")</f>
        <v>#REF!</v>
      </c>
      <c r="CW235" t="e">
        <f>AND(Bills!#REF!,"AAAAAH1cDmQ=")</f>
        <v>#REF!</v>
      </c>
      <c r="CX235" t="e">
        <f>AND(Bills!#REF!,"AAAAAH1cDmU=")</f>
        <v>#REF!</v>
      </c>
      <c r="CY235" t="e">
        <f>AND(Bills!#REF!,"AAAAAH1cDmY=")</f>
        <v>#REF!</v>
      </c>
      <c r="CZ235" t="e">
        <f>AND(Bills!AA1018,"AAAAAH1cDmc=")</f>
        <v>#VALUE!</v>
      </c>
      <c r="DA235" t="e">
        <f>AND(Bills!AB1018,"AAAAAH1cDmg=")</f>
        <v>#VALUE!</v>
      </c>
      <c r="DB235" t="e">
        <f>AND(Bills!#REF!,"AAAAAH1cDmk=")</f>
        <v>#REF!</v>
      </c>
      <c r="DC235" t="e">
        <f>AND(Bills!#REF!,"AAAAAH1cDmo=")</f>
        <v>#REF!</v>
      </c>
      <c r="DD235" t="e">
        <f>AND(Bills!#REF!,"AAAAAH1cDms=")</f>
        <v>#REF!</v>
      </c>
      <c r="DE235" t="e">
        <f>AND(Bills!AC1018,"AAAAAH1cDmw=")</f>
        <v>#VALUE!</v>
      </c>
      <c r="DF235" t="e">
        <f>AND(Bills!AD1018,"AAAAAH1cDm0=")</f>
        <v>#VALUE!</v>
      </c>
      <c r="DG235" t="e">
        <f>AND(Bills!AE1018,"AAAAAH1cDm4=")</f>
        <v>#VALUE!</v>
      </c>
      <c r="DH235">
        <f>IF(Bills!1019:1019,"AAAAAH1cDm8=",0)</f>
        <v>0</v>
      </c>
      <c r="DI235" t="e">
        <f>AND(Bills!B1019,"AAAAAH1cDnA=")</f>
        <v>#VALUE!</v>
      </c>
      <c r="DJ235" t="e">
        <f>AND(Bills!#REF!,"AAAAAH1cDnE=")</f>
        <v>#REF!</v>
      </c>
      <c r="DK235" t="e">
        <f>AND(Bills!C1019,"AAAAAH1cDnI=")</f>
        <v>#VALUE!</v>
      </c>
      <c r="DL235" t="e">
        <f>AND(Bills!D1019,"AAAAAH1cDnM=")</f>
        <v>#VALUE!</v>
      </c>
      <c r="DM235" t="e">
        <f>AND(Bills!E1019,"AAAAAH1cDnQ=")</f>
        <v>#VALUE!</v>
      </c>
      <c r="DN235" t="e">
        <f>AND(Bills!#REF!,"AAAAAH1cDnU=")</f>
        <v>#REF!</v>
      </c>
      <c r="DO235" t="e">
        <f>AND(Bills!#REF!,"AAAAAH1cDnY=")</f>
        <v>#REF!</v>
      </c>
      <c r="DP235" t="e">
        <f>AND(Bills!#REF!,"AAAAAH1cDnc=")</f>
        <v>#REF!</v>
      </c>
      <c r="DQ235" t="e">
        <f>AND(Bills!F1019,"AAAAAH1cDng=")</f>
        <v>#VALUE!</v>
      </c>
      <c r="DR235" t="e">
        <f>AND(Bills!#REF!,"AAAAAH1cDnk=")</f>
        <v>#REF!</v>
      </c>
      <c r="DS235" t="e">
        <f>AND(Bills!G1019,"AAAAAH1cDno=")</f>
        <v>#VALUE!</v>
      </c>
      <c r="DT235" t="e">
        <f>AND(Bills!H1019,"AAAAAH1cDns=")</f>
        <v>#VALUE!</v>
      </c>
      <c r="DU235" t="e">
        <f>AND(Bills!I1019,"AAAAAH1cDnw=")</f>
        <v>#VALUE!</v>
      </c>
      <c r="DV235" t="e">
        <f>AND(Bills!J1019,"AAAAAH1cDn0=")</f>
        <v>#VALUE!</v>
      </c>
      <c r="DW235" t="e">
        <f>AND(Bills!K1019,"AAAAAH1cDn4=")</f>
        <v>#VALUE!</v>
      </c>
      <c r="DX235" t="e">
        <f>AND(Bills!L1019,"AAAAAH1cDn8=")</f>
        <v>#VALUE!</v>
      </c>
      <c r="DY235" t="e">
        <f>AND(Bills!#REF!,"AAAAAH1cDoA=")</f>
        <v>#REF!</v>
      </c>
      <c r="DZ235" t="e">
        <f>AND(Bills!M1019,"AAAAAH1cDoE=")</f>
        <v>#VALUE!</v>
      </c>
      <c r="EA235" t="e">
        <f>AND(Bills!N1019,"AAAAAH1cDoI=")</f>
        <v>#VALUE!</v>
      </c>
      <c r="EB235" t="e">
        <f>AND(Bills!O1019,"AAAAAH1cDoM=")</f>
        <v>#VALUE!</v>
      </c>
      <c r="EC235" t="e">
        <f>AND(Bills!P1019,"AAAAAH1cDoQ=")</f>
        <v>#VALUE!</v>
      </c>
      <c r="ED235" t="e">
        <f>AND(Bills!Q1019,"AAAAAH1cDoU=")</f>
        <v>#VALUE!</v>
      </c>
      <c r="EE235" t="e">
        <f>AND(Bills!R1019,"AAAAAH1cDoY=")</f>
        <v>#VALUE!</v>
      </c>
      <c r="EF235" t="e">
        <f>AND(Bills!S1019,"AAAAAH1cDoc=")</f>
        <v>#VALUE!</v>
      </c>
      <c r="EG235" t="e">
        <f>AND(Bills!T1019,"AAAAAH1cDog=")</f>
        <v>#VALUE!</v>
      </c>
      <c r="EH235" t="e">
        <f>AND(Bills!#REF!,"AAAAAH1cDok=")</f>
        <v>#REF!</v>
      </c>
      <c r="EI235" t="e">
        <f>AND(Bills!U1019,"AAAAAH1cDoo=")</f>
        <v>#VALUE!</v>
      </c>
      <c r="EJ235" t="e">
        <f>AND(Bills!V1019,"AAAAAH1cDos=")</f>
        <v>#VALUE!</v>
      </c>
      <c r="EK235" t="e">
        <f>AND(Bills!W1019,"AAAAAH1cDow=")</f>
        <v>#VALUE!</v>
      </c>
      <c r="EL235" t="e">
        <f>AND(Bills!#REF!,"AAAAAH1cDo0=")</f>
        <v>#REF!</v>
      </c>
      <c r="EM235" t="e">
        <f>AND(Bills!#REF!,"AAAAAH1cDo4=")</f>
        <v>#REF!</v>
      </c>
      <c r="EN235" t="e">
        <f>AND(Bills!Y1019,"AAAAAH1cDo8=")</f>
        <v>#VALUE!</v>
      </c>
      <c r="EO235" t="e">
        <f>AND(Bills!Z1019,"AAAAAH1cDpA=")</f>
        <v>#VALUE!</v>
      </c>
      <c r="EP235" t="e">
        <f>AND(Bills!#REF!,"AAAAAH1cDpE=")</f>
        <v>#REF!</v>
      </c>
      <c r="EQ235" t="e">
        <f>AND(Bills!#REF!,"AAAAAH1cDpI=")</f>
        <v>#REF!</v>
      </c>
      <c r="ER235" t="e">
        <f>AND(Bills!#REF!,"AAAAAH1cDpM=")</f>
        <v>#REF!</v>
      </c>
      <c r="ES235" t="e">
        <f>AND(Bills!#REF!,"AAAAAH1cDpQ=")</f>
        <v>#REF!</v>
      </c>
      <c r="ET235" t="e">
        <f>AND(Bills!#REF!,"AAAAAH1cDpU=")</f>
        <v>#REF!</v>
      </c>
      <c r="EU235" t="e">
        <f>AND(Bills!#REF!,"AAAAAH1cDpY=")</f>
        <v>#REF!</v>
      </c>
      <c r="EV235" t="e">
        <f>AND(Bills!#REF!,"AAAAAH1cDpc=")</f>
        <v>#REF!</v>
      </c>
      <c r="EW235" t="e">
        <f>AND(Bills!#REF!,"AAAAAH1cDpg=")</f>
        <v>#REF!</v>
      </c>
      <c r="EX235" t="e">
        <f>AND(Bills!#REF!,"AAAAAH1cDpk=")</f>
        <v>#REF!</v>
      </c>
      <c r="EY235" t="e">
        <f>AND(Bills!AA1019,"AAAAAH1cDpo=")</f>
        <v>#VALUE!</v>
      </c>
      <c r="EZ235" t="e">
        <f>AND(Bills!AB1019,"AAAAAH1cDps=")</f>
        <v>#VALUE!</v>
      </c>
      <c r="FA235" t="e">
        <f>AND(Bills!#REF!,"AAAAAH1cDpw=")</f>
        <v>#REF!</v>
      </c>
      <c r="FB235" t="e">
        <f>AND(Bills!#REF!,"AAAAAH1cDp0=")</f>
        <v>#REF!</v>
      </c>
      <c r="FC235" t="e">
        <f>AND(Bills!#REF!,"AAAAAH1cDp4=")</f>
        <v>#REF!</v>
      </c>
      <c r="FD235" t="e">
        <f>AND(Bills!AC1019,"AAAAAH1cDp8=")</f>
        <v>#VALUE!</v>
      </c>
      <c r="FE235" t="e">
        <f>AND(Bills!AD1019,"AAAAAH1cDqA=")</f>
        <v>#VALUE!</v>
      </c>
      <c r="FF235" t="e">
        <f>AND(Bills!AE1019,"AAAAAH1cDqE=")</f>
        <v>#VALUE!</v>
      </c>
      <c r="FG235">
        <f>IF(Bills!1020:1020,"AAAAAH1cDqI=",0)</f>
        <v>0</v>
      </c>
      <c r="FH235" t="e">
        <f>AND(Bills!B1020,"AAAAAH1cDqM=")</f>
        <v>#VALUE!</v>
      </c>
      <c r="FI235" t="e">
        <f>AND(Bills!#REF!,"AAAAAH1cDqQ=")</f>
        <v>#REF!</v>
      </c>
      <c r="FJ235" t="e">
        <f>AND(Bills!C1020,"AAAAAH1cDqU=")</f>
        <v>#VALUE!</v>
      </c>
      <c r="FK235" t="e">
        <f>AND(Bills!D1020,"AAAAAH1cDqY=")</f>
        <v>#VALUE!</v>
      </c>
      <c r="FL235" t="e">
        <f>AND(Bills!E1020,"AAAAAH1cDqc=")</f>
        <v>#VALUE!</v>
      </c>
      <c r="FM235" t="e">
        <f>AND(Bills!#REF!,"AAAAAH1cDqg=")</f>
        <v>#REF!</v>
      </c>
      <c r="FN235" t="e">
        <f>AND(Bills!#REF!,"AAAAAH1cDqk=")</f>
        <v>#REF!</v>
      </c>
      <c r="FO235" t="e">
        <f>AND(Bills!#REF!,"AAAAAH1cDqo=")</f>
        <v>#REF!</v>
      </c>
      <c r="FP235" t="e">
        <f>AND(Bills!F1020,"AAAAAH1cDqs=")</f>
        <v>#VALUE!</v>
      </c>
      <c r="FQ235" t="e">
        <f>AND(Bills!#REF!,"AAAAAH1cDqw=")</f>
        <v>#REF!</v>
      </c>
      <c r="FR235" t="e">
        <f>AND(Bills!G1020,"AAAAAH1cDq0=")</f>
        <v>#VALUE!</v>
      </c>
      <c r="FS235" t="e">
        <f>AND(Bills!H1020,"AAAAAH1cDq4=")</f>
        <v>#VALUE!</v>
      </c>
      <c r="FT235" t="e">
        <f>AND(Bills!I1020,"AAAAAH1cDq8=")</f>
        <v>#VALUE!</v>
      </c>
      <c r="FU235" t="e">
        <f>AND(Bills!J1020,"AAAAAH1cDrA=")</f>
        <v>#VALUE!</v>
      </c>
      <c r="FV235" t="e">
        <f>AND(Bills!K1020,"AAAAAH1cDrE=")</f>
        <v>#VALUE!</v>
      </c>
      <c r="FW235" t="e">
        <f>AND(Bills!L1020,"AAAAAH1cDrI=")</f>
        <v>#VALUE!</v>
      </c>
      <c r="FX235" t="e">
        <f>AND(Bills!#REF!,"AAAAAH1cDrM=")</f>
        <v>#REF!</v>
      </c>
      <c r="FY235" t="e">
        <f>AND(Bills!M1020,"AAAAAH1cDrQ=")</f>
        <v>#VALUE!</v>
      </c>
      <c r="FZ235" t="e">
        <f>AND(Bills!N1020,"AAAAAH1cDrU=")</f>
        <v>#VALUE!</v>
      </c>
      <c r="GA235" t="e">
        <f>AND(Bills!O1020,"AAAAAH1cDrY=")</f>
        <v>#VALUE!</v>
      </c>
      <c r="GB235" t="e">
        <f>AND(Bills!P1020,"AAAAAH1cDrc=")</f>
        <v>#VALUE!</v>
      </c>
      <c r="GC235" t="e">
        <f>AND(Bills!Q1020,"AAAAAH1cDrg=")</f>
        <v>#VALUE!</v>
      </c>
      <c r="GD235" t="e">
        <f>AND(Bills!R1020,"AAAAAH1cDrk=")</f>
        <v>#VALUE!</v>
      </c>
      <c r="GE235" t="e">
        <f>AND(Bills!S1020,"AAAAAH1cDro=")</f>
        <v>#VALUE!</v>
      </c>
      <c r="GF235" t="e">
        <f>AND(Bills!T1020,"AAAAAH1cDrs=")</f>
        <v>#VALUE!</v>
      </c>
      <c r="GG235" t="e">
        <f>AND(Bills!#REF!,"AAAAAH1cDrw=")</f>
        <v>#REF!</v>
      </c>
      <c r="GH235" t="e">
        <f>AND(Bills!U1020,"AAAAAH1cDr0=")</f>
        <v>#VALUE!</v>
      </c>
      <c r="GI235" t="e">
        <f>AND(Bills!V1020,"AAAAAH1cDr4=")</f>
        <v>#VALUE!</v>
      </c>
      <c r="GJ235" t="e">
        <f>AND(Bills!W1020,"AAAAAH1cDr8=")</f>
        <v>#VALUE!</v>
      </c>
      <c r="GK235" t="e">
        <f>AND(Bills!#REF!,"AAAAAH1cDsA=")</f>
        <v>#REF!</v>
      </c>
      <c r="GL235" t="e">
        <f>AND(Bills!#REF!,"AAAAAH1cDsE=")</f>
        <v>#REF!</v>
      </c>
      <c r="GM235" t="e">
        <f>AND(Bills!Y1020,"AAAAAH1cDsI=")</f>
        <v>#VALUE!</v>
      </c>
      <c r="GN235" t="e">
        <f>AND(Bills!Z1020,"AAAAAH1cDsM=")</f>
        <v>#VALUE!</v>
      </c>
      <c r="GO235" t="e">
        <f>AND(Bills!#REF!,"AAAAAH1cDsQ=")</f>
        <v>#REF!</v>
      </c>
      <c r="GP235" t="e">
        <f>AND(Bills!#REF!,"AAAAAH1cDsU=")</f>
        <v>#REF!</v>
      </c>
      <c r="GQ235" t="e">
        <f>AND(Bills!#REF!,"AAAAAH1cDsY=")</f>
        <v>#REF!</v>
      </c>
      <c r="GR235" t="e">
        <f>AND(Bills!#REF!,"AAAAAH1cDsc=")</f>
        <v>#REF!</v>
      </c>
      <c r="GS235" t="e">
        <f>AND(Bills!#REF!,"AAAAAH1cDsg=")</f>
        <v>#REF!</v>
      </c>
      <c r="GT235" t="e">
        <f>AND(Bills!#REF!,"AAAAAH1cDsk=")</f>
        <v>#REF!</v>
      </c>
      <c r="GU235" t="e">
        <f>AND(Bills!#REF!,"AAAAAH1cDso=")</f>
        <v>#REF!</v>
      </c>
      <c r="GV235" t="e">
        <f>AND(Bills!#REF!,"AAAAAH1cDss=")</f>
        <v>#REF!</v>
      </c>
      <c r="GW235" t="e">
        <f>AND(Bills!#REF!,"AAAAAH1cDsw=")</f>
        <v>#REF!</v>
      </c>
      <c r="GX235" t="e">
        <f>AND(Bills!AA1020,"AAAAAH1cDs0=")</f>
        <v>#VALUE!</v>
      </c>
      <c r="GY235" t="e">
        <f>AND(Bills!AB1020,"AAAAAH1cDs4=")</f>
        <v>#VALUE!</v>
      </c>
      <c r="GZ235" t="e">
        <f>AND(Bills!#REF!,"AAAAAH1cDs8=")</f>
        <v>#REF!</v>
      </c>
      <c r="HA235" t="e">
        <f>AND(Bills!#REF!,"AAAAAH1cDtA=")</f>
        <v>#REF!</v>
      </c>
      <c r="HB235" t="e">
        <f>AND(Bills!#REF!,"AAAAAH1cDtE=")</f>
        <v>#REF!</v>
      </c>
      <c r="HC235" t="e">
        <f>AND(Bills!AC1020,"AAAAAH1cDtI=")</f>
        <v>#VALUE!</v>
      </c>
      <c r="HD235" t="e">
        <f>AND(Bills!AD1020,"AAAAAH1cDtM=")</f>
        <v>#VALUE!</v>
      </c>
      <c r="HE235" t="e">
        <f>AND(Bills!AE1020,"AAAAAH1cDtQ=")</f>
        <v>#VALUE!</v>
      </c>
      <c r="HF235">
        <f>IF(Bills!1021:1021,"AAAAAH1cDtU=",0)</f>
        <v>0</v>
      </c>
      <c r="HG235" t="e">
        <f>AND(Bills!B1021,"AAAAAH1cDtY=")</f>
        <v>#VALUE!</v>
      </c>
      <c r="HH235" t="e">
        <f>AND(Bills!#REF!,"AAAAAH1cDtc=")</f>
        <v>#REF!</v>
      </c>
      <c r="HI235" t="e">
        <f>AND(Bills!C1021,"AAAAAH1cDtg=")</f>
        <v>#VALUE!</v>
      </c>
      <c r="HJ235" t="e">
        <f>AND(Bills!D1021,"AAAAAH1cDtk=")</f>
        <v>#VALUE!</v>
      </c>
      <c r="HK235" t="e">
        <f>AND(Bills!E1021,"AAAAAH1cDto=")</f>
        <v>#VALUE!</v>
      </c>
      <c r="HL235" t="e">
        <f>AND(Bills!#REF!,"AAAAAH1cDts=")</f>
        <v>#REF!</v>
      </c>
      <c r="HM235" t="e">
        <f>AND(Bills!#REF!,"AAAAAH1cDtw=")</f>
        <v>#REF!</v>
      </c>
      <c r="HN235" t="e">
        <f>AND(Bills!#REF!,"AAAAAH1cDt0=")</f>
        <v>#REF!</v>
      </c>
      <c r="HO235" t="e">
        <f>AND(Bills!F1021,"AAAAAH1cDt4=")</f>
        <v>#VALUE!</v>
      </c>
      <c r="HP235" t="e">
        <f>AND(Bills!#REF!,"AAAAAH1cDt8=")</f>
        <v>#REF!</v>
      </c>
      <c r="HQ235" t="e">
        <f>AND(Bills!G1021,"AAAAAH1cDuA=")</f>
        <v>#VALUE!</v>
      </c>
      <c r="HR235" t="e">
        <f>AND(Bills!H1021,"AAAAAH1cDuE=")</f>
        <v>#VALUE!</v>
      </c>
      <c r="HS235" t="e">
        <f>AND(Bills!I1021,"AAAAAH1cDuI=")</f>
        <v>#VALUE!</v>
      </c>
      <c r="HT235" t="e">
        <f>AND(Bills!J1021,"AAAAAH1cDuM=")</f>
        <v>#VALUE!</v>
      </c>
      <c r="HU235" t="e">
        <f>AND(Bills!K1021,"AAAAAH1cDuQ=")</f>
        <v>#VALUE!</v>
      </c>
      <c r="HV235" t="e">
        <f>AND(Bills!L1021,"AAAAAH1cDuU=")</f>
        <v>#VALUE!</v>
      </c>
      <c r="HW235" t="e">
        <f>AND(Bills!#REF!,"AAAAAH1cDuY=")</f>
        <v>#REF!</v>
      </c>
      <c r="HX235" t="e">
        <f>AND(Bills!M1021,"AAAAAH1cDuc=")</f>
        <v>#VALUE!</v>
      </c>
      <c r="HY235" t="e">
        <f>AND(Bills!N1021,"AAAAAH1cDug=")</f>
        <v>#VALUE!</v>
      </c>
      <c r="HZ235" t="e">
        <f>AND(Bills!O1021,"AAAAAH1cDuk=")</f>
        <v>#VALUE!</v>
      </c>
      <c r="IA235" t="e">
        <f>AND(Bills!P1021,"AAAAAH1cDuo=")</f>
        <v>#VALUE!</v>
      </c>
      <c r="IB235" t="e">
        <f>AND(Bills!Q1021,"AAAAAH1cDus=")</f>
        <v>#VALUE!</v>
      </c>
      <c r="IC235" t="e">
        <f>AND(Bills!R1021,"AAAAAH1cDuw=")</f>
        <v>#VALUE!</v>
      </c>
      <c r="ID235" t="e">
        <f>AND(Bills!S1021,"AAAAAH1cDu0=")</f>
        <v>#VALUE!</v>
      </c>
      <c r="IE235" t="e">
        <f>AND(Bills!T1021,"AAAAAH1cDu4=")</f>
        <v>#VALUE!</v>
      </c>
      <c r="IF235" t="e">
        <f>AND(Bills!#REF!,"AAAAAH1cDu8=")</f>
        <v>#REF!</v>
      </c>
      <c r="IG235" t="e">
        <f>AND(Bills!U1021,"AAAAAH1cDvA=")</f>
        <v>#VALUE!</v>
      </c>
      <c r="IH235" t="e">
        <f>AND(Bills!V1021,"AAAAAH1cDvE=")</f>
        <v>#VALUE!</v>
      </c>
      <c r="II235" t="e">
        <f>AND(Bills!W1021,"AAAAAH1cDvI=")</f>
        <v>#VALUE!</v>
      </c>
      <c r="IJ235" t="e">
        <f>AND(Bills!#REF!,"AAAAAH1cDvM=")</f>
        <v>#REF!</v>
      </c>
      <c r="IK235" t="e">
        <f>AND(Bills!#REF!,"AAAAAH1cDvQ=")</f>
        <v>#REF!</v>
      </c>
      <c r="IL235" t="e">
        <f>AND(Bills!Y1021,"AAAAAH1cDvU=")</f>
        <v>#VALUE!</v>
      </c>
      <c r="IM235" t="e">
        <f>AND(Bills!Z1021,"AAAAAH1cDvY=")</f>
        <v>#VALUE!</v>
      </c>
      <c r="IN235" t="e">
        <f>AND(Bills!#REF!,"AAAAAH1cDvc=")</f>
        <v>#REF!</v>
      </c>
      <c r="IO235" t="e">
        <f>AND(Bills!#REF!,"AAAAAH1cDvg=")</f>
        <v>#REF!</v>
      </c>
      <c r="IP235" t="e">
        <f>AND(Bills!#REF!,"AAAAAH1cDvk=")</f>
        <v>#REF!</v>
      </c>
      <c r="IQ235" t="e">
        <f>AND(Bills!#REF!,"AAAAAH1cDvo=")</f>
        <v>#REF!</v>
      </c>
      <c r="IR235" t="e">
        <f>AND(Bills!#REF!,"AAAAAH1cDvs=")</f>
        <v>#REF!</v>
      </c>
      <c r="IS235" t="e">
        <f>AND(Bills!#REF!,"AAAAAH1cDvw=")</f>
        <v>#REF!</v>
      </c>
      <c r="IT235" t="e">
        <f>AND(Bills!#REF!,"AAAAAH1cDv0=")</f>
        <v>#REF!</v>
      </c>
      <c r="IU235" t="e">
        <f>AND(Bills!#REF!,"AAAAAH1cDv4=")</f>
        <v>#REF!</v>
      </c>
      <c r="IV235" t="e">
        <f>AND(Bills!#REF!,"AAAAAH1cDv8=")</f>
        <v>#REF!</v>
      </c>
    </row>
    <row r="236" spans="1:256" x14ac:dyDescent="0.25">
      <c r="A236" t="e">
        <f>AND(Bills!AA1021,"AAAAAD3/vgA=")</f>
        <v>#VALUE!</v>
      </c>
      <c r="B236" t="e">
        <f>AND(Bills!AB1021,"AAAAAD3/vgE=")</f>
        <v>#VALUE!</v>
      </c>
      <c r="C236" t="e">
        <f>AND(Bills!#REF!,"AAAAAD3/vgI=")</f>
        <v>#REF!</v>
      </c>
      <c r="D236" t="e">
        <f>AND(Bills!#REF!,"AAAAAD3/vgM=")</f>
        <v>#REF!</v>
      </c>
      <c r="E236" t="e">
        <f>AND(Bills!#REF!,"AAAAAD3/vgQ=")</f>
        <v>#REF!</v>
      </c>
      <c r="F236" t="e">
        <f>AND(Bills!AC1021,"AAAAAD3/vgU=")</f>
        <v>#VALUE!</v>
      </c>
      <c r="G236" t="e">
        <f>AND(Bills!AD1021,"AAAAAD3/vgY=")</f>
        <v>#VALUE!</v>
      </c>
      <c r="H236" t="e">
        <f>AND(Bills!AE1021,"AAAAAD3/vgc=")</f>
        <v>#VALUE!</v>
      </c>
      <c r="I236">
        <f>IF(Bills!1022:1022,"AAAAAD3/vgg=",0)</f>
        <v>0</v>
      </c>
      <c r="J236" t="e">
        <f>AND(Bills!B1022,"AAAAAD3/vgk=")</f>
        <v>#VALUE!</v>
      </c>
      <c r="K236" t="e">
        <f>AND(Bills!#REF!,"AAAAAD3/vgo=")</f>
        <v>#REF!</v>
      </c>
      <c r="L236" t="e">
        <f>AND(Bills!C1022,"AAAAAD3/vgs=")</f>
        <v>#VALUE!</v>
      </c>
      <c r="M236" t="e">
        <f>AND(Bills!D1022,"AAAAAD3/vgw=")</f>
        <v>#VALUE!</v>
      </c>
      <c r="N236" t="e">
        <f>AND(Bills!E1022,"AAAAAD3/vg0=")</f>
        <v>#VALUE!</v>
      </c>
      <c r="O236" t="e">
        <f>AND(Bills!#REF!,"AAAAAD3/vg4=")</f>
        <v>#REF!</v>
      </c>
      <c r="P236" t="e">
        <f>AND(Bills!#REF!,"AAAAAD3/vg8=")</f>
        <v>#REF!</v>
      </c>
      <c r="Q236" t="e">
        <f>AND(Bills!#REF!,"AAAAAD3/vhA=")</f>
        <v>#REF!</v>
      </c>
      <c r="R236" t="e">
        <f>AND(Bills!F1022,"AAAAAD3/vhE=")</f>
        <v>#VALUE!</v>
      </c>
      <c r="S236" t="e">
        <f>AND(Bills!#REF!,"AAAAAD3/vhI=")</f>
        <v>#REF!</v>
      </c>
      <c r="T236" t="e">
        <f>AND(Bills!G1022,"AAAAAD3/vhM=")</f>
        <v>#VALUE!</v>
      </c>
      <c r="U236" t="e">
        <f>AND(Bills!H1022,"AAAAAD3/vhQ=")</f>
        <v>#VALUE!</v>
      </c>
      <c r="V236" t="e">
        <f>AND(Bills!I1022,"AAAAAD3/vhU=")</f>
        <v>#VALUE!</v>
      </c>
      <c r="W236" t="e">
        <f>AND(Bills!J1022,"AAAAAD3/vhY=")</f>
        <v>#VALUE!</v>
      </c>
      <c r="X236" t="e">
        <f>AND(Bills!K1022,"AAAAAD3/vhc=")</f>
        <v>#VALUE!</v>
      </c>
      <c r="Y236" t="e">
        <f>AND(Bills!L1022,"AAAAAD3/vhg=")</f>
        <v>#VALUE!</v>
      </c>
      <c r="Z236" t="e">
        <f>AND(Bills!#REF!,"AAAAAD3/vhk=")</f>
        <v>#REF!</v>
      </c>
      <c r="AA236" t="e">
        <f>AND(Bills!M1022,"AAAAAD3/vho=")</f>
        <v>#VALUE!</v>
      </c>
      <c r="AB236" t="e">
        <f>AND(Bills!N1022,"AAAAAD3/vhs=")</f>
        <v>#VALUE!</v>
      </c>
      <c r="AC236" t="e">
        <f>AND(Bills!O1022,"AAAAAD3/vhw=")</f>
        <v>#VALUE!</v>
      </c>
      <c r="AD236" t="e">
        <f>AND(Bills!P1022,"AAAAAD3/vh0=")</f>
        <v>#VALUE!</v>
      </c>
      <c r="AE236" t="e">
        <f>AND(Bills!Q1022,"AAAAAD3/vh4=")</f>
        <v>#VALUE!</v>
      </c>
      <c r="AF236" t="e">
        <f>AND(Bills!R1022,"AAAAAD3/vh8=")</f>
        <v>#VALUE!</v>
      </c>
      <c r="AG236" t="e">
        <f>AND(Bills!S1022,"AAAAAD3/viA=")</f>
        <v>#VALUE!</v>
      </c>
      <c r="AH236" t="e">
        <f>AND(Bills!T1022,"AAAAAD3/viE=")</f>
        <v>#VALUE!</v>
      </c>
      <c r="AI236" t="e">
        <f>AND(Bills!#REF!,"AAAAAD3/viI=")</f>
        <v>#REF!</v>
      </c>
      <c r="AJ236" t="e">
        <f>AND(Bills!U1022,"AAAAAD3/viM=")</f>
        <v>#VALUE!</v>
      </c>
      <c r="AK236" t="e">
        <f>AND(Bills!V1022,"AAAAAD3/viQ=")</f>
        <v>#VALUE!</v>
      </c>
      <c r="AL236" t="e">
        <f>AND(Bills!W1022,"AAAAAD3/viU=")</f>
        <v>#VALUE!</v>
      </c>
      <c r="AM236" t="e">
        <f>AND(Bills!#REF!,"AAAAAD3/viY=")</f>
        <v>#REF!</v>
      </c>
      <c r="AN236" t="e">
        <f>AND(Bills!#REF!,"AAAAAD3/vic=")</f>
        <v>#REF!</v>
      </c>
      <c r="AO236" t="e">
        <f>AND(Bills!Y1022,"AAAAAD3/vig=")</f>
        <v>#VALUE!</v>
      </c>
      <c r="AP236" t="e">
        <f>AND(Bills!Z1022,"AAAAAD3/vik=")</f>
        <v>#VALUE!</v>
      </c>
      <c r="AQ236" t="e">
        <f>AND(Bills!#REF!,"AAAAAD3/vio=")</f>
        <v>#REF!</v>
      </c>
      <c r="AR236" t="e">
        <f>AND(Bills!#REF!,"AAAAAD3/vis=")</f>
        <v>#REF!</v>
      </c>
      <c r="AS236" t="e">
        <f>AND(Bills!#REF!,"AAAAAD3/viw=")</f>
        <v>#REF!</v>
      </c>
      <c r="AT236" t="e">
        <f>AND(Bills!#REF!,"AAAAAD3/vi0=")</f>
        <v>#REF!</v>
      </c>
      <c r="AU236" t="e">
        <f>AND(Bills!#REF!,"AAAAAD3/vi4=")</f>
        <v>#REF!</v>
      </c>
      <c r="AV236" t="e">
        <f>AND(Bills!#REF!,"AAAAAD3/vi8=")</f>
        <v>#REF!</v>
      </c>
      <c r="AW236" t="e">
        <f>AND(Bills!#REF!,"AAAAAD3/vjA=")</f>
        <v>#REF!</v>
      </c>
      <c r="AX236" t="e">
        <f>AND(Bills!#REF!,"AAAAAD3/vjE=")</f>
        <v>#REF!</v>
      </c>
      <c r="AY236" t="e">
        <f>AND(Bills!#REF!,"AAAAAD3/vjI=")</f>
        <v>#REF!</v>
      </c>
      <c r="AZ236" t="e">
        <f>AND(Bills!AA1022,"AAAAAD3/vjM=")</f>
        <v>#VALUE!</v>
      </c>
      <c r="BA236" t="e">
        <f>AND(Bills!AB1022,"AAAAAD3/vjQ=")</f>
        <v>#VALUE!</v>
      </c>
      <c r="BB236" t="e">
        <f>AND(Bills!#REF!,"AAAAAD3/vjU=")</f>
        <v>#REF!</v>
      </c>
      <c r="BC236" t="e">
        <f>AND(Bills!#REF!,"AAAAAD3/vjY=")</f>
        <v>#REF!</v>
      </c>
      <c r="BD236" t="e">
        <f>AND(Bills!#REF!,"AAAAAD3/vjc=")</f>
        <v>#REF!</v>
      </c>
      <c r="BE236" t="e">
        <f>AND(Bills!AC1022,"AAAAAD3/vjg=")</f>
        <v>#VALUE!</v>
      </c>
      <c r="BF236" t="e">
        <f>AND(Bills!AD1022,"AAAAAD3/vjk=")</f>
        <v>#VALUE!</v>
      </c>
      <c r="BG236" t="e">
        <f>AND(Bills!AE1022,"AAAAAD3/vjo=")</f>
        <v>#VALUE!</v>
      </c>
      <c r="BH236">
        <f>IF(Bills!1023:1023,"AAAAAD3/vjs=",0)</f>
        <v>0</v>
      </c>
      <c r="BI236" t="e">
        <f>AND(Bills!B1023,"AAAAAD3/vjw=")</f>
        <v>#VALUE!</v>
      </c>
      <c r="BJ236" t="e">
        <f>AND(Bills!#REF!,"AAAAAD3/vj0=")</f>
        <v>#REF!</v>
      </c>
      <c r="BK236" t="e">
        <f>AND(Bills!C1023,"AAAAAD3/vj4=")</f>
        <v>#VALUE!</v>
      </c>
      <c r="BL236" t="e">
        <f>AND(Bills!D1023,"AAAAAD3/vj8=")</f>
        <v>#VALUE!</v>
      </c>
      <c r="BM236" t="e">
        <f>AND(Bills!E1023,"AAAAAD3/vkA=")</f>
        <v>#VALUE!</v>
      </c>
      <c r="BN236" t="e">
        <f>AND(Bills!#REF!,"AAAAAD3/vkE=")</f>
        <v>#REF!</v>
      </c>
      <c r="BO236" t="e">
        <f>AND(Bills!#REF!,"AAAAAD3/vkI=")</f>
        <v>#REF!</v>
      </c>
      <c r="BP236" t="e">
        <f>AND(Bills!#REF!,"AAAAAD3/vkM=")</f>
        <v>#REF!</v>
      </c>
      <c r="BQ236" t="e">
        <f>AND(Bills!F1023,"AAAAAD3/vkQ=")</f>
        <v>#VALUE!</v>
      </c>
      <c r="BR236" t="e">
        <f>AND(Bills!#REF!,"AAAAAD3/vkU=")</f>
        <v>#REF!</v>
      </c>
      <c r="BS236" t="e">
        <f>AND(Bills!G1023,"AAAAAD3/vkY=")</f>
        <v>#VALUE!</v>
      </c>
      <c r="BT236" t="e">
        <f>AND(Bills!H1023,"AAAAAD3/vkc=")</f>
        <v>#VALUE!</v>
      </c>
      <c r="BU236" t="e">
        <f>AND(Bills!I1023,"AAAAAD3/vkg=")</f>
        <v>#VALUE!</v>
      </c>
      <c r="BV236" t="e">
        <f>AND(Bills!J1023,"AAAAAD3/vkk=")</f>
        <v>#VALUE!</v>
      </c>
      <c r="BW236" t="e">
        <f>AND(Bills!K1023,"AAAAAD3/vko=")</f>
        <v>#VALUE!</v>
      </c>
      <c r="BX236" t="e">
        <f>AND(Bills!L1023,"AAAAAD3/vks=")</f>
        <v>#VALUE!</v>
      </c>
      <c r="BY236" t="e">
        <f>AND(Bills!#REF!,"AAAAAD3/vkw=")</f>
        <v>#REF!</v>
      </c>
      <c r="BZ236" t="e">
        <f>AND(Bills!M1023,"AAAAAD3/vk0=")</f>
        <v>#VALUE!</v>
      </c>
      <c r="CA236" t="e">
        <f>AND(Bills!N1023,"AAAAAD3/vk4=")</f>
        <v>#VALUE!</v>
      </c>
      <c r="CB236" t="e">
        <f>AND(Bills!O1023,"AAAAAD3/vk8=")</f>
        <v>#VALUE!</v>
      </c>
      <c r="CC236" t="e">
        <f>AND(Bills!P1023,"AAAAAD3/vlA=")</f>
        <v>#VALUE!</v>
      </c>
      <c r="CD236" t="e">
        <f>AND(Bills!Q1023,"AAAAAD3/vlE=")</f>
        <v>#VALUE!</v>
      </c>
      <c r="CE236" t="e">
        <f>AND(Bills!R1023,"AAAAAD3/vlI=")</f>
        <v>#VALUE!</v>
      </c>
      <c r="CF236" t="e">
        <f>AND(Bills!S1023,"AAAAAD3/vlM=")</f>
        <v>#VALUE!</v>
      </c>
      <c r="CG236" t="e">
        <f>AND(Bills!T1023,"AAAAAD3/vlQ=")</f>
        <v>#VALUE!</v>
      </c>
      <c r="CH236" t="e">
        <f>AND(Bills!#REF!,"AAAAAD3/vlU=")</f>
        <v>#REF!</v>
      </c>
      <c r="CI236" t="e">
        <f>AND(Bills!U1023,"AAAAAD3/vlY=")</f>
        <v>#VALUE!</v>
      </c>
      <c r="CJ236" t="e">
        <f>AND(Bills!V1023,"AAAAAD3/vlc=")</f>
        <v>#VALUE!</v>
      </c>
      <c r="CK236" t="e">
        <f>AND(Bills!W1023,"AAAAAD3/vlg=")</f>
        <v>#VALUE!</v>
      </c>
      <c r="CL236" t="e">
        <f>AND(Bills!#REF!,"AAAAAD3/vlk=")</f>
        <v>#REF!</v>
      </c>
      <c r="CM236" t="e">
        <f>AND(Bills!#REF!,"AAAAAD3/vlo=")</f>
        <v>#REF!</v>
      </c>
      <c r="CN236" t="e">
        <f>AND(Bills!Y1023,"AAAAAD3/vls=")</f>
        <v>#VALUE!</v>
      </c>
      <c r="CO236" t="e">
        <f>AND(Bills!Z1023,"AAAAAD3/vlw=")</f>
        <v>#VALUE!</v>
      </c>
      <c r="CP236" t="e">
        <f>AND(Bills!#REF!,"AAAAAD3/vl0=")</f>
        <v>#REF!</v>
      </c>
      <c r="CQ236" t="e">
        <f>AND(Bills!#REF!,"AAAAAD3/vl4=")</f>
        <v>#REF!</v>
      </c>
      <c r="CR236" t="e">
        <f>AND(Bills!#REF!,"AAAAAD3/vl8=")</f>
        <v>#REF!</v>
      </c>
      <c r="CS236" t="e">
        <f>AND(Bills!#REF!,"AAAAAD3/vmA=")</f>
        <v>#REF!</v>
      </c>
      <c r="CT236" t="e">
        <f>AND(Bills!#REF!,"AAAAAD3/vmE=")</f>
        <v>#REF!</v>
      </c>
      <c r="CU236" t="e">
        <f>AND(Bills!#REF!,"AAAAAD3/vmI=")</f>
        <v>#REF!</v>
      </c>
      <c r="CV236" t="e">
        <f>AND(Bills!#REF!,"AAAAAD3/vmM=")</f>
        <v>#REF!</v>
      </c>
      <c r="CW236" t="e">
        <f>AND(Bills!#REF!,"AAAAAD3/vmQ=")</f>
        <v>#REF!</v>
      </c>
      <c r="CX236" t="e">
        <f>AND(Bills!#REF!,"AAAAAD3/vmU=")</f>
        <v>#REF!</v>
      </c>
      <c r="CY236" t="e">
        <f>AND(Bills!AA1023,"AAAAAD3/vmY=")</f>
        <v>#VALUE!</v>
      </c>
      <c r="CZ236" t="e">
        <f>AND(Bills!AB1023,"AAAAAD3/vmc=")</f>
        <v>#VALUE!</v>
      </c>
      <c r="DA236" t="e">
        <f>AND(Bills!#REF!,"AAAAAD3/vmg=")</f>
        <v>#REF!</v>
      </c>
      <c r="DB236" t="e">
        <f>AND(Bills!#REF!,"AAAAAD3/vmk=")</f>
        <v>#REF!</v>
      </c>
      <c r="DC236" t="e">
        <f>AND(Bills!#REF!,"AAAAAD3/vmo=")</f>
        <v>#REF!</v>
      </c>
      <c r="DD236" t="e">
        <f>AND(Bills!AC1023,"AAAAAD3/vms=")</f>
        <v>#VALUE!</v>
      </c>
      <c r="DE236" t="e">
        <f>AND(Bills!AD1023,"AAAAAD3/vmw=")</f>
        <v>#VALUE!</v>
      </c>
      <c r="DF236" t="e">
        <f>AND(Bills!AE1023,"AAAAAD3/vm0=")</f>
        <v>#VALUE!</v>
      </c>
      <c r="DG236">
        <f>IF(Bills!1024:1024,"AAAAAD3/vm4=",0)</f>
        <v>0</v>
      </c>
      <c r="DH236" t="e">
        <f>AND(Bills!B1024,"AAAAAD3/vm8=")</f>
        <v>#VALUE!</v>
      </c>
      <c r="DI236" t="e">
        <f>AND(Bills!#REF!,"AAAAAD3/vnA=")</f>
        <v>#REF!</v>
      </c>
      <c r="DJ236" t="e">
        <f>AND(Bills!C1024,"AAAAAD3/vnE=")</f>
        <v>#VALUE!</v>
      </c>
      <c r="DK236" t="e">
        <f>AND(Bills!D1024,"AAAAAD3/vnI=")</f>
        <v>#VALUE!</v>
      </c>
      <c r="DL236" t="e">
        <f>AND(Bills!E1024,"AAAAAD3/vnM=")</f>
        <v>#VALUE!</v>
      </c>
      <c r="DM236" t="e">
        <f>AND(Bills!#REF!,"AAAAAD3/vnQ=")</f>
        <v>#REF!</v>
      </c>
      <c r="DN236" t="e">
        <f>AND(Bills!#REF!,"AAAAAD3/vnU=")</f>
        <v>#REF!</v>
      </c>
      <c r="DO236" t="e">
        <f>AND(Bills!#REF!,"AAAAAD3/vnY=")</f>
        <v>#REF!</v>
      </c>
      <c r="DP236" t="e">
        <f>AND(Bills!F1024,"AAAAAD3/vnc=")</f>
        <v>#VALUE!</v>
      </c>
      <c r="DQ236" t="e">
        <f>AND(Bills!#REF!,"AAAAAD3/vng=")</f>
        <v>#REF!</v>
      </c>
      <c r="DR236" t="e">
        <f>AND(Bills!G1024,"AAAAAD3/vnk=")</f>
        <v>#VALUE!</v>
      </c>
      <c r="DS236" t="e">
        <f>AND(Bills!H1024,"AAAAAD3/vno=")</f>
        <v>#VALUE!</v>
      </c>
      <c r="DT236" t="e">
        <f>AND(Bills!I1024,"AAAAAD3/vns=")</f>
        <v>#VALUE!</v>
      </c>
      <c r="DU236" t="e">
        <f>AND(Bills!J1024,"AAAAAD3/vnw=")</f>
        <v>#VALUE!</v>
      </c>
      <c r="DV236" t="e">
        <f>AND(Bills!K1024,"AAAAAD3/vn0=")</f>
        <v>#VALUE!</v>
      </c>
      <c r="DW236" t="e">
        <f>AND(Bills!L1024,"AAAAAD3/vn4=")</f>
        <v>#VALUE!</v>
      </c>
      <c r="DX236" t="e">
        <f>AND(Bills!#REF!,"AAAAAD3/vn8=")</f>
        <v>#REF!</v>
      </c>
      <c r="DY236" t="e">
        <f>AND(Bills!M1024,"AAAAAD3/voA=")</f>
        <v>#VALUE!</v>
      </c>
      <c r="DZ236" t="e">
        <f>AND(Bills!N1024,"AAAAAD3/voE=")</f>
        <v>#VALUE!</v>
      </c>
      <c r="EA236" t="e">
        <f>AND(Bills!O1024,"AAAAAD3/voI=")</f>
        <v>#VALUE!</v>
      </c>
      <c r="EB236" t="e">
        <f>AND(Bills!P1024,"AAAAAD3/voM=")</f>
        <v>#VALUE!</v>
      </c>
      <c r="EC236" t="e">
        <f>AND(Bills!Q1024,"AAAAAD3/voQ=")</f>
        <v>#VALUE!</v>
      </c>
      <c r="ED236" t="e">
        <f>AND(Bills!R1024,"AAAAAD3/voU=")</f>
        <v>#VALUE!</v>
      </c>
      <c r="EE236" t="e">
        <f>AND(Bills!S1024,"AAAAAD3/voY=")</f>
        <v>#VALUE!</v>
      </c>
      <c r="EF236" t="e">
        <f>AND(Bills!T1024,"AAAAAD3/voc=")</f>
        <v>#VALUE!</v>
      </c>
      <c r="EG236" t="e">
        <f>AND(Bills!#REF!,"AAAAAD3/vog=")</f>
        <v>#REF!</v>
      </c>
      <c r="EH236" t="e">
        <f>AND(Bills!U1024,"AAAAAD3/vok=")</f>
        <v>#VALUE!</v>
      </c>
      <c r="EI236" t="e">
        <f>AND(Bills!V1024,"AAAAAD3/voo=")</f>
        <v>#VALUE!</v>
      </c>
      <c r="EJ236" t="e">
        <f>AND(Bills!W1024,"AAAAAD3/vos=")</f>
        <v>#VALUE!</v>
      </c>
      <c r="EK236" t="e">
        <f>AND(Bills!#REF!,"AAAAAD3/vow=")</f>
        <v>#REF!</v>
      </c>
      <c r="EL236" t="e">
        <f>AND(Bills!#REF!,"AAAAAD3/vo0=")</f>
        <v>#REF!</v>
      </c>
      <c r="EM236" t="e">
        <f>AND(Bills!Y1024,"AAAAAD3/vo4=")</f>
        <v>#VALUE!</v>
      </c>
      <c r="EN236" t="e">
        <f>AND(Bills!Z1024,"AAAAAD3/vo8=")</f>
        <v>#VALUE!</v>
      </c>
      <c r="EO236" t="e">
        <f>AND(Bills!#REF!,"AAAAAD3/vpA=")</f>
        <v>#REF!</v>
      </c>
      <c r="EP236" t="e">
        <f>AND(Bills!#REF!,"AAAAAD3/vpE=")</f>
        <v>#REF!</v>
      </c>
      <c r="EQ236" t="e">
        <f>AND(Bills!#REF!,"AAAAAD3/vpI=")</f>
        <v>#REF!</v>
      </c>
      <c r="ER236" t="e">
        <f>AND(Bills!#REF!,"AAAAAD3/vpM=")</f>
        <v>#REF!</v>
      </c>
      <c r="ES236" t="e">
        <f>AND(Bills!#REF!,"AAAAAD3/vpQ=")</f>
        <v>#REF!</v>
      </c>
      <c r="ET236" t="e">
        <f>AND(Bills!#REF!,"AAAAAD3/vpU=")</f>
        <v>#REF!</v>
      </c>
      <c r="EU236" t="e">
        <f>AND(Bills!#REF!,"AAAAAD3/vpY=")</f>
        <v>#REF!</v>
      </c>
      <c r="EV236" t="e">
        <f>AND(Bills!#REF!,"AAAAAD3/vpc=")</f>
        <v>#REF!</v>
      </c>
      <c r="EW236" t="e">
        <f>AND(Bills!#REF!,"AAAAAD3/vpg=")</f>
        <v>#REF!</v>
      </c>
      <c r="EX236" t="e">
        <f>AND(Bills!AA1024,"AAAAAD3/vpk=")</f>
        <v>#VALUE!</v>
      </c>
      <c r="EY236" t="e">
        <f>AND(Bills!AB1024,"AAAAAD3/vpo=")</f>
        <v>#VALUE!</v>
      </c>
      <c r="EZ236" t="e">
        <f>AND(Bills!#REF!,"AAAAAD3/vps=")</f>
        <v>#REF!</v>
      </c>
      <c r="FA236" t="e">
        <f>AND(Bills!#REF!,"AAAAAD3/vpw=")</f>
        <v>#REF!</v>
      </c>
      <c r="FB236" t="e">
        <f>AND(Bills!#REF!,"AAAAAD3/vp0=")</f>
        <v>#REF!</v>
      </c>
      <c r="FC236" t="e">
        <f>AND(Bills!AC1024,"AAAAAD3/vp4=")</f>
        <v>#VALUE!</v>
      </c>
      <c r="FD236" t="e">
        <f>AND(Bills!AD1024,"AAAAAD3/vp8=")</f>
        <v>#VALUE!</v>
      </c>
      <c r="FE236" t="e">
        <f>AND(Bills!AE1024,"AAAAAD3/vqA=")</f>
        <v>#VALUE!</v>
      </c>
      <c r="FF236">
        <f>IF(Bills!1025:1025,"AAAAAD3/vqE=",0)</f>
        <v>0</v>
      </c>
      <c r="FG236" t="e">
        <f>AND(Bills!B1025,"AAAAAD3/vqI=")</f>
        <v>#VALUE!</v>
      </c>
      <c r="FH236" t="e">
        <f>AND(Bills!#REF!,"AAAAAD3/vqM=")</f>
        <v>#REF!</v>
      </c>
      <c r="FI236" t="e">
        <f>AND(Bills!C1025,"AAAAAD3/vqQ=")</f>
        <v>#VALUE!</v>
      </c>
      <c r="FJ236" t="e">
        <f>AND(Bills!D1025,"AAAAAD3/vqU=")</f>
        <v>#VALUE!</v>
      </c>
      <c r="FK236" t="e">
        <f>AND(Bills!E1025,"AAAAAD3/vqY=")</f>
        <v>#VALUE!</v>
      </c>
      <c r="FL236" t="e">
        <f>AND(Bills!#REF!,"AAAAAD3/vqc=")</f>
        <v>#REF!</v>
      </c>
      <c r="FM236" t="e">
        <f>AND(Bills!#REF!,"AAAAAD3/vqg=")</f>
        <v>#REF!</v>
      </c>
      <c r="FN236" t="e">
        <f>AND(Bills!#REF!,"AAAAAD3/vqk=")</f>
        <v>#REF!</v>
      </c>
      <c r="FO236" t="e">
        <f>AND(Bills!F1025,"AAAAAD3/vqo=")</f>
        <v>#VALUE!</v>
      </c>
      <c r="FP236" t="e">
        <f>AND(Bills!#REF!,"AAAAAD3/vqs=")</f>
        <v>#REF!</v>
      </c>
      <c r="FQ236" t="e">
        <f>AND(Bills!G1025,"AAAAAD3/vqw=")</f>
        <v>#VALUE!</v>
      </c>
      <c r="FR236" t="e">
        <f>AND(Bills!H1025,"AAAAAD3/vq0=")</f>
        <v>#VALUE!</v>
      </c>
      <c r="FS236" t="e">
        <f>AND(Bills!I1025,"AAAAAD3/vq4=")</f>
        <v>#VALUE!</v>
      </c>
      <c r="FT236" t="e">
        <f>AND(Bills!J1025,"AAAAAD3/vq8=")</f>
        <v>#VALUE!</v>
      </c>
      <c r="FU236" t="e">
        <f>AND(Bills!K1025,"AAAAAD3/vrA=")</f>
        <v>#VALUE!</v>
      </c>
      <c r="FV236" t="e">
        <f>AND(Bills!L1025,"AAAAAD3/vrE=")</f>
        <v>#VALUE!</v>
      </c>
      <c r="FW236" t="e">
        <f>AND(Bills!#REF!,"AAAAAD3/vrI=")</f>
        <v>#REF!</v>
      </c>
      <c r="FX236" t="e">
        <f>AND(Bills!M1025,"AAAAAD3/vrM=")</f>
        <v>#VALUE!</v>
      </c>
      <c r="FY236" t="e">
        <f>AND(Bills!N1025,"AAAAAD3/vrQ=")</f>
        <v>#VALUE!</v>
      </c>
      <c r="FZ236" t="e">
        <f>AND(Bills!O1025,"AAAAAD3/vrU=")</f>
        <v>#VALUE!</v>
      </c>
      <c r="GA236" t="e">
        <f>AND(Bills!P1025,"AAAAAD3/vrY=")</f>
        <v>#VALUE!</v>
      </c>
      <c r="GB236" t="e">
        <f>AND(Bills!Q1025,"AAAAAD3/vrc=")</f>
        <v>#VALUE!</v>
      </c>
      <c r="GC236" t="e">
        <f>AND(Bills!R1025,"AAAAAD3/vrg=")</f>
        <v>#VALUE!</v>
      </c>
      <c r="GD236" t="e">
        <f>AND(Bills!S1025,"AAAAAD3/vrk=")</f>
        <v>#VALUE!</v>
      </c>
      <c r="GE236" t="e">
        <f>AND(Bills!T1025,"AAAAAD3/vro=")</f>
        <v>#VALUE!</v>
      </c>
      <c r="GF236" t="e">
        <f>AND(Bills!#REF!,"AAAAAD3/vrs=")</f>
        <v>#REF!</v>
      </c>
      <c r="GG236" t="e">
        <f>AND(Bills!U1025,"AAAAAD3/vrw=")</f>
        <v>#VALUE!</v>
      </c>
      <c r="GH236" t="e">
        <f>AND(Bills!V1025,"AAAAAD3/vr0=")</f>
        <v>#VALUE!</v>
      </c>
      <c r="GI236" t="e">
        <f>AND(Bills!W1025,"AAAAAD3/vr4=")</f>
        <v>#VALUE!</v>
      </c>
      <c r="GJ236" t="e">
        <f>AND(Bills!#REF!,"AAAAAD3/vr8=")</f>
        <v>#REF!</v>
      </c>
      <c r="GK236" t="e">
        <f>AND(Bills!#REF!,"AAAAAD3/vsA=")</f>
        <v>#REF!</v>
      </c>
      <c r="GL236" t="e">
        <f>AND(Bills!Y1025,"AAAAAD3/vsE=")</f>
        <v>#VALUE!</v>
      </c>
      <c r="GM236" t="e">
        <f>AND(Bills!Z1025,"AAAAAD3/vsI=")</f>
        <v>#VALUE!</v>
      </c>
      <c r="GN236" t="e">
        <f>AND(Bills!#REF!,"AAAAAD3/vsM=")</f>
        <v>#REF!</v>
      </c>
      <c r="GO236" t="e">
        <f>AND(Bills!#REF!,"AAAAAD3/vsQ=")</f>
        <v>#REF!</v>
      </c>
      <c r="GP236" t="e">
        <f>AND(Bills!#REF!,"AAAAAD3/vsU=")</f>
        <v>#REF!</v>
      </c>
      <c r="GQ236" t="e">
        <f>AND(Bills!#REF!,"AAAAAD3/vsY=")</f>
        <v>#REF!</v>
      </c>
      <c r="GR236" t="e">
        <f>AND(Bills!#REF!,"AAAAAD3/vsc=")</f>
        <v>#REF!</v>
      </c>
      <c r="GS236" t="e">
        <f>AND(Bills!#REF!,"AAAAAD3/vsg=")</f>
        <v>#REF!</v>
      </c>
      <c r="GT236" t="e">
        <f>AND(Bills!#REF!,"AAAAAD3/vsk=")</f>
        <v>#REF!</v>
      </c>
      <c r="GU236" t="e">
        <f>AND(Bills!#REF!,"AAAAAD3/vso=")</f>
        <v>#REF!</v>
      </c>
      <c r="GV236" t="e">
        <f>AND(Bills!#REF!,"AAAAAD3/vss=")</f>
        <v>#REF!</v>
      </c>
      <c r="GW236" t="e">
        <f>AND(Bills!AA1025,"AAAAAD3/vsw=")</f>
        <v>#VALUE!</v>
      </c>
      <c r="GX236" t="e">
        <f>AND(Bills!AB1025,"AAAAAD3/vs0=")</f>
        <v>#VALUE!</v>
      </c>
      <c r="GY236" t="e">
        <f>AND(Bills!#REF!,"AAAAAD3/vs4=")</f>
        <v>#REF!</v>
      </c>
      <c r="GZ236" t="e">
        <f>AND(Bills!#REF!,"AAAAAD3/vs8=")</f>
        <v>#REF!</v>
      </c>
      <c r="HA236" t="e">
        <f>AND(Bills!#REF!,"AAAAAD3/vtA=")</f>
        <v>#REF!</v>
      </c>
      <c r="HB236" t="e">
        <f>AND(Bills!AC1025,"AAAAAD3/vtE=")</f>
        <v>#VALUE!</v>
      </c>
      <c r="HC236" t="e">
        <f>AND(Bills!AD1025,"AAAAAD3/vtI=")</f>
        <v>#VALUE!</v>
      </c>
      <c r="HD236" t="e">
        <f>AND(Bills!AE1025,"AAAAAD3/vtM=")</f>
        <v>#VALUE!</v>
      </c>
      <c r="HE236">
        <f>IF(Bills!1026:1026,"AAAAAD3/vtQ=",0)</f>
        <v>0</v>
      </c>
      <c r="HF236" t="e">
        <f>AND(Bills!B1026,"AAAAAD3/vtU=")</f>
        <v>#VALUE!</v>
      </c>
      <c r="HG236" t="e">
        <f>AND(Bills!#REF!,"AAAAAD3/vtY=")</f>
        <v>#REF!</v>
      </c>
      <c r="HH236" t="e">
        <f>AND(Bills!C1026,"AAAAAD3/vtc=")</f>
        <v>#VALUE!</v>
      </c>
      <c r="HI236" t="e">
        <f>AND(Bills!D1026,"AAAAAD3/vtg=")</f>
        <v>#VALUE!</v>
      </c>
      <c r="HJ236" t="e">
        <f>AND(Bills!E1026,"AAAAAD3/vtk=")</f>
        <v>#VALUE!</v>
      </c>
      <c r="HK236" t="e">
        <f>AND(Bills!#REF!,"AAAAAD3/vto=")</f>
        <v>#REF!</v>
      </c>
      <c r="HL236" t="e">
        <f>AND(Bills!#REF!,"AAAAAD3/vts=")</f>
        <v>#REF!</v>
      </c>
      <c r="HM236" t="e">
        <f>AND(Bills!#REF!,"AAAAAD3/vtw=")</f>
        <v>#REF!</v>
      </c>
      <c r="HN236" t="e">
        <f>AND(Bills!F1026,"AAAAAD3/vt0=")</f>
        <v>#VALUE!</v>
      </c>
      <c r="HO236" t="e">
        <f>AND(Bills!#REF!,"AAAAAD3/vt4=")</f>
        <v>#REF!</v>
      </c>
      <c r="HP236" t="e">
        <f>AND(Bills!G1026,"AAAAAD3/vt8=")</f>
        <v>#VALUE!</v>
      </c>
      <c r="HQ236" t="e">
        <f>AND(Bills!H1026,"AAAAAD3/vuA=")</f>
        <v>#VALUE!</v>
      </c>
      <c r="HR236" t="e">
        <f>AND(Bills!I1026,"AAAAAD3/vuE=")</f>
        <v>#VALUE!</v>
      </c>
      <c r="HS236" t="e">
        <f>AND(Bills!J1026,"AAAAAD3/vuI=")</f>
        <v>#VALUE!</v>
      </c>
      <c r="HT236" t="e">
        <f>AND(Bills!K1026,"AAAAAD3/vuM=")</f>
        <v>#VALUE!</v>
      </c>
      <c r="HU236" t="e">
        <f>AND(Bills!L1026,"AAAAAD3/vuQ=")</f>
        <v>#VALUE!</v>
      </c>
      <c r="HV236" t="e">
        <f>AND(Bills!#REF!,"AAAAAD3/vuU=")</f>
        <v>#REF!</v>
      </c>
      <c r="HW236" t="e">
        <f>AND(Bills!M1026,"AAAAAD3/vuY=")</f>
        <v>#VALUE!</v>
      </c>
      <c r="HX236" t="e">
        <f>AND(Bills!N1026,"AAAAAD3/vuc=")</f>
        <v>#VALUE!</v>
      </c>
      <c r="HY236" t="e">
        <f>AND(Bills!O1026,"AAAAAD3/vug=")</f>
        <v>#VALUE!</v>
      </c>
      <c r="HZ236" t="e">
        <f>AND(Bills!P1026,"AAAAAD3/vuk=")</f>
        <v>#VALUE!</v>
      </c>
      <c r="IA236" t="e">
        <f>AND(Bills!Q1026,"AAAAAD3/vuo=")</f>
        <v>#VALUE!</v>
      </c>
      <c r="IB236" t="e">
        <f>AND(Bills!R1026,"AAAAAD3/vus=")</f>
        <v>#VALUE!</v>
      </c>
      <c r="IC236" t="e">
        <f>AND(Bills!S1026,"AAAAAD3/vuw=")</f>
        <v>#VALUE!</v>
      </c>
      <c r="ID236" t="e">
        <f>AND(Bills!T1026,"AAAAAD3/vu0=")</f>
        <v>#VALUE!</v>
      </c>
      <c r="IE236" t="e">
        <f>AND(Bills!#REF!,"AAAAAD3/vu4=")</f>
        <v>#REF!</v>
      </c>
      <c r="IF236" t="e">
        <f>AND(Bills!U1026,"AAAAAD3/vu8=")</f>
        <v>#VALUE!</v>
      </c>
      <c r="IG236" t="e">
        <f>AND(Bills!V1026,"AAAAAD3/vvA=")</f>
        <v>#VALUE!</v>
      </c>
      <c r="IH236" t="e">
        <f>AND(Bills!W1026,"AAAAAD3/vvE=")</f>
        <v>#VALUE!</v>
      </c>
      <c r="II236" t="e">
        <f>AND(Bills!#REF!,"AAAAAD3/vvI=")</f>
        <v>#REF!</v>
      </c>
      <c r="IJ236" t="e">
        <f>AND(Bills!#REF!,"AAAAAD3/vvM=")</f>
        <v>#REF!</v>
      </c>
      <c r="IK236" t="e">
        <f>AND(Bills!Y1026,"AAAAAD3/vvQ=")</f>
        <v>#VALUE!</v>
      </c>
      <c r="IL236" t="e">
        <f>AND(Bills!Z1026,"AAAAAD3/vvU=")</f>
        <v>#VALUE!</v>
      </c>
      <c r="IM236" t="e">
        <f>AND(Bills!#REF!,"AAAAAD3/vvY=")</f>
        <v>#REF!</v>
      </c>
      <c r="IN236" t="e">
        <f>AND(Bills!#REF!,"AAAAAD3/vvc=")</f>
        <v>#REF!</v>
      </c>
      <c r="IO236" t="e">
        <f>AND(Bills!#REF!,"AAAAAD3/vvg=")</f>
        <v>#REF!</v>
      </c>
      <c r="IP236" t="e">
        <f>AND(Bills!#REF!,"AAAAAD3/vvk=")</f>
        <v>#REF!</v>
      </c>
      <c r="IQ236" t="e">
        <f>AND(Bills!#REF!,"AAAAAD3/vvo=")</f>
        <v>#REF!</v>
      </c>
      <c r="IR236" t="e">
        <f>AND(Bills!#REF!,"AAAAAD3/vvs=")</f>
        <v>#REF!</v>
      </c>
      <c r="IS236" t="e">
        <f>AND(Bills!#REF!,"AAAAAD3/vvw=")</f>
        <v>#REF!</v>
      </c>
      <c r="IT236" t="e">
        <f>AND(Bills!#REF!,"AAAAAD3/vv0=")</f>
        <v>#REF!</v>
      </c>
      <c r="IU236" t="e">
        <f>AND(Bills!#REF!,"AAAAAD3/vv4=")</f>
        <v>#REF!</v>
      </c>
      <c r="IV236" t="e">
        <f>AND(Bills!AA1026,"AAAAAD3/vv8=")</f>
        <v>#VALUE!</v>
      </c>
    </row>
    <row r="237" spans="1:256" x14ac:dyDescent="0.25">
      <c r="A237" t="e">
        <f>AND(Bills!AB1026,"AAAAAG7P/QA=")</f>
        <v>#VALUE!</v>
      </c>
      <c r="B237" t="e">
        <f>AND(Bills!#REF!,"AAAAAG7P/QE=")</f>
        <v>#REF!</v>
      </c>
      <c r="C237" t="e">
        <f>AND(Bills!#REF!,"AAAAAG7P/QI=")</f>
        <v>#REF!</v>
      </c>
      <c r="D237" t="e">
        <f>AND(Bills!#REF!,"AAAAAG7P/QM=")</f>
        <v>#REF!</v>
      </c>
      <c r="E237" t="e">
        <f>AND(Bills!AC1026,"AAAAAG7P/QQ=")</f>
        <v>#VALUE!</v>
      </c>
      <c r="F237" t="e">
        <f>AND(Bills!AD1026,"AAAAAG7P/QU=")</f>
        <v>#VALUE!</v>
      </c>
      <c r="G237" t="e">
        <f>AND(Bills!AE1026,"AAAAAG7P/QY=")</f>
        <v>#VALUE!</v>
      </c>
      <c r="H237">
        <f>IF(Bills!1027:1027,"AAAAAG7P/Qc=",0)</f>
        <v>0</v>
      </c>
      <c r="I237" t="e">
        <f>AND(Bills!B1027,"AAAAAG7P/Qg=")</f>
        <v>#VALUE!</v>
      </c>
      <c r="J237" t="e">
        <f>AND(Bills!#REF!,"AAAAAG7P/Qk=")</f>
        <v>#REF!</v>
      </c>
      <c r="K237" t="e">
        <f>AND(Bills!C1027,"AAAAAG7P/Qo=")</f>
        <v>#VALUE!</v>
      </c>
      <c r="L237" t="e">
        <f>AND(Bills!D1027,"AAAAAG7P/Qs=")</f>
        <v>#VALUE!</v>
      </c>
      <c r="M237" t="e">
        <f>AND(Bills!E1027,"AAAAAG7P/Qw=")</f>
        <v>#VALUE!</v>
      </c>
      <c r="N237" t="e">
        <f>AND(Bills!#REF!,"AAAAAG7P/Q0=")</f>
        <v>#REF!</v>
      </c>
      <c r="O237" t="e">
        <f>AND(Bills!#REF!,"AAAAAG7P/Q4=")</f>
        <v>#REF!</v>
      </c>
      <c r="P237" t="e">
        <f>AND(Bills!#REF!,"AAAAAG7P/Q8=")</f>
        <v>#REF!</v>
      </c>
      <c r="Q237" t="e">
        <f>AND(Bills!F1027,"AAAAAG7P/RA=")</f>
        <v>#VALUE!</v>
      </c>
      <c r="R237" t="e">
        <f>AND(Bills!#REF!,"AAAAAG7P/RE=")</f>
        <v>#REF!</v>
      </c>
      <c r="S237" t="e">
        <f>AND(Bills!G1027,"AAAAAG7P/RI=")</f>
        <v>#VALUE!</v>
      </c>
      <c r="T237" t="e">
        <f>AND(Bills!H1027,"AAAAAG7P/RM=")</f>
        <v>#VALUE!</v>
      </c>
      <c r="U237" t="e">
        <f>AND(Bills!I1027,"AAAAAG7P/RQ=")</f>
        <v>#VALUE!</v>
      </c>
      <c r="V237" t="e">
        <f>AND(Bills!J1027,"AAAAAG7P/RU=")</f>
        <v>#VALUE!</v>
      </c>
      <c r="W237" t="e">
        <f>AND(Bills!K1027,"AAAAAG7P/RY=")</f>
        <v>#VALUE!</v>
      </c>
      <c r="X237" t="e">
        <f>AND(Bills!L1027,"AAAAAG7P/Rc=")</f>
        <v>#VALUE!</v>
      </c>
      <c r="Y237" t="e">
        <f>AND(Bills!#REF!,"AAAAAG7P/Rg=")</f>
        <v>#REF!</v>
      </c>
      <c r="Z237" t="e">
        <f>AND(Bills!M1027,"AAAAAG7P/Rk=")</f>
        <v>#VALUE!</v>
      </c>
      <c r="AA237" t="e">
        <f>AND(Bills!N1027,"AAAAAG7P/Ro=")</f>
        <v>#VALUE!</v>
      </c>
      <c r="AB237" t="e">
        <f>AND(Bills!O1027,"AAAAAG7P/Rs=")</f>
        <v>#VALUE!</v>
      </c>
      <c r="AC237" t="e">
        <f>AND(Bills!P1027,"AAAAAG7P/Rw=")</f>
        <v>#VALUE!</v>
      </c>
      <c r="AD237" t="e">
        <f>AND(Bills!Q1027,"AAAAAG7P/R0=")</f>
        <v>#VALUE!</v>
      </c>
      <c r="AE237" t="e">
        <f>AND(Bills!R1027,"AAAAAG7P/R4=")</f>
        <v>#VALUE!</v>
      </c>
      <c r="AF237" t="e">
        <f>AND(Bills!S1027,"AAAAAG7P/R8=")</f>
        <v>#VALUE!</v>
      </c>
      <c r="AG237" t="e">
        <f>AND(Bills!T1027,"AAAAAG7P/SA=")</f>
        <v>#VALUE!</v>
      </c>
      <c r="AH237" t="e">
        <f>AND(Bills!#REF!,"AAAAAG7P/SE=")</f>
        <v>#REF!</v>
      </c>
      <c r="AI237" t="e">
        <f>AND(Bills!U1027,"AAAAAG7P/SI=")</f>
        <v>#VALUE!</v>
      </c>
      <c r="AJ237" t="e">
        <f>AND(Bills!V1027,"AAAAAG7P/SM=")</f>
        <v>#VALUE!</v>
      </c>
      <c r="AK237" t="e">
        <f>AND(Bills!W1027,"AAAAAG7P/SQ=")</f>
        <v>#VALUE!</v>
      </c>
      <c r="AL237" t="e">
        <f>AND(Bills!#REF!,"AAAAAG7P/SU=")</f>
        <v>#REF!</v>
      </c>
      <c r="AM237" t="e">
        <f>AND(Bills!#REF!,"AAAAAG7P/SY=")</f>
        <v>#REF!</v>
      </c>
      <c r="AN237" t="e">
        <f>AND(Bills!Y1027,"AAAAAG7P/Sc=")</f>
        <v>#VALUE!</v>
      </c>
      <c r="AO237" t="e">
        <f>AND(Bills!Z1027,"AAAAAG7P/Sg=")</f>
        <v>#VALUE!</v>
      </c>
      <c r="AP237" t="e">
        <f>AND(Bills!#REF!,"AAAAAG7P/Sk=")</f>
        <v>#REF!</v>
      </c>
      <c r="AQ237" t="e">
        <f>AND(Bills!#REF!,"AAAAAG7P/So=")</f>
        <v>#REF!</v>
      </c>
      <c r="AR237" t="e">
        <f>AND(Bills!#REF!,"AAAAAG7P/Ss=")</f>
        <v>#REF!</v>
      </c>
      <c r="AS237" t="e">
        <f>AND(Bills!#REF!,"AAAAAG7P/Sw=")</f>
        <v>#REF!</v>
      </c>
      <c r="AT237" t="e">
        <f>AND(Bills!#REF!,"AAAAAG7P/S0=")</f>
        <v>#REF!</v>
      </c>
      <c r="AU237" t="e">
        <f>AND(Bills!#REF!,"AAAAAG7P/S4=")</f>
        <v>#REF!</v>
      </c>
      <c r="AV237" t="e">
        <f>AND(Bills!#REF!,"AAAAAG7P/S8=")</f>
        <v>#REF!</v>
      </c>
      <c r="AW237" t="e">
        <f>AND(Bills!#REF!,"AAAAAG7P/TA=")</f>
        <v>#REF!</v>
      </c>
      <c r="AX237" t="e">
        <f>AND(Bills!#REF!,"AAAAAG7P/TE=")</f>
        <v>#REF!</v>
      </c>
      <c r="AY237" t="e">
        <f>AND(Bills!AA1027,"AAAAAG7P/TI=")</f>
        <v>#VALUE!</v>
      </c>
      <c r="AZ237" t="e">
        <f>AND(Bills!AB1027,"AAAAAG7P/TM=")</f>
        <v>#VALUE!</v>
      </c>
      <c r="BA237" t="e">
        <f>AND(Bills!#REF!,"AAAAAG7P/TQ=")</f>
        <v>#REF!</v>
      </c>
      <c r="BB237" t="e">
        <f>AND(Bills!#REF!,"AAAAAG7P/TU=")</f>
        <v>#REF!</v>
      </c>
      <c r="BC237" t="e">
        <f>AND(Bills!#REF!,"AAAAAG7P/TY=")</f>
        <v>#REF!</v>
      </c>
      <c r="BD237" t="e">
        <f>AND(Bills!AC1027,"AAAAAG7P/Tc=")</f>
        <v>#VALUE!</v>
      </c>
      <c r="BE237" t="e">
        <f>AND(Bills!AD1027,"AAAAAG7P/Tg=")</f>
        <v>#VALUE!</v>
      </c>
      <c r="BF237" t="e">
        <f>AND(Bills!AE1027,"AAAAAG7P/Tk=")</f>
        <v>#VALUE!</v>
      </c>
      <c r="BG237">
        <f>IF(Bills!1028:1028,"AAAAAG7P/To=",0)</f>
        <v>0</v>
      </c>
      <c r="BH237" t="e">
        <f>AND(Bills!B1028,"AAAAAG7P/Ts=")</f>
        <v>#VALUE!</v>
      </c>
      <c r="BI237" t="e">
        <f>AND(Bills!#REF!,"AAAAAG7P/Tw=")</f>
        <v>#REF!</v>
      </c>
      <c r="BJ237" t="e">
        <f>AND(Bills!C1028,"AAAAAG7P/T0=")</f>
        <v>#VALUE!</v>
      </c>
      <c r="BK237" t="e">
        <f>AND(Bills!D1028,"AAAAAG7P/T4=")</f>
        <v>#VALUE!</v>
      </c>
      <c r="BL237" t="e">
        <f>AND(Bills!E1028,"AAAAAG7P/T8=")</f>
        <v>#VALUE!</v>
      </c>
      <c r="BM237" t="e">
        <f>AND(Bills!#REF!,"AAAAAG7P/UA=")</f>
        <v>#REF!</v>
      </c>
      <c r="BN237" t="e">
        <f>AND(Bills!#REF!,"AAAAAG7P/UE=")</f>
        <v>#REF!</v>
      </c>
      <c r="BO237" t="e">
        <f>AND(Bills!#REF!,"AAAAAG7P/UI=")</f>
        <v>#REF!</v>
      </c>
      <c r="BP237" t="e">
        <f>AND(Bills!F1028,"AAAAAG7P/UM=")</f>
        <v>#VALUE!</v>
      </c>
      <c r="BQ237" t="e">
        <f>AND(Bills!#REF!,"AAAAAG7P/UQ=")</f>
        <v>#REF!</v>
      </c>
      <c r="BR237" t="e">
        <f>AND(Bills!G1028,"AAAAAG7P/UU=")</f>
        <v>#VALUE!</v>
      </c>
      <c r="BS237" t="e">
        <f>AND(Bills!H1028,"AAAAAG7P/UY=")</f>
        <v>#VALUE!</v>
      </c>
      <c r="BT237" t="e">
        <f>AND(Bills!I1028,"AAAAAG7P/Uc=")</f>
        <v>#VALUE!</v>
      </c>
      <c r="BU237" t="e">
        <f>AND(Bills!J1028,"AAAAAG7P/Ug=")</f>
        <v>#VALUE!</v>
      </c>
      <c r="BV237" t="e">
        <f>AND(Bills!K1028,"AAAAAG7P/Uk=")</f>
        <v>#VALUE!</v>
      </c>
      <c r="BW237" t="e">
        <f>AND(Bills!L1028,"AAAAAG7P/Uo=")</f>
        <v>#VALUE!</v>
      </c>
      <c r="BX237" t="e">
        <f>AND(Bills!#REF!,"AAAAAG7P/Us=")</f>
        <v>#REF!</v>
      </c>
      <c r="BY237" t="e">
        <f>AND(Bills!M1028,"AAAAAG7P/Uw=")</f>
        <v>#VALUE!</v>
      </c>
      <c r="BZ237" t="e">
        <f>AND(Bills!N1028,"AAAAAG7P/U0=")</f>
        <v>#VALUE!</v>
      </c>
      <c r="CA237" t="e">
        <f>AND(Bills!O1028,"AAAAAG7P/U4=")</f>
        <v>#VALUE!</v>
      </c>
      <c r="CB237" t="e">
        <f>AND(Bills!P1028,"AAAAAG7P/U8=")</f>
        <v>#VALUE!</v>
      </c>
      <c r="CC237" t="e">
        <f>AND(Bills!Q1028,"AAAAAG7P/VA=")</f>
        <v>#VALUE!</v>
      </c>
      <c r="CD237" t="e">
        <f>AND(Bills!R1028,"AAAAAG7P/VE=")</f>
        <v>#VALUE!</v>
      </c>
      <c r="CE237" t="e">
        <f>AND(Bills!S1028,"AAAAAG7P/VI=")</f>
        <v>#VALUE!</v>
      </c>
      <c r="CF237" t="e">
        <f>AND(Bills!T1028,"AAAAAG7P/VM=")</f>
        <v>#VALUE!</v>
      </c>
      <c r="CG237" t="e">
        <f>AND(Bills!#REF!,"AAAAAG7P/VQ=")</f>
        <v>#REF!</v>
      </c>
      <c r="CH237" t="e">
        <f>AND(Bills!U1028,"AAAAAG7P/VU=")</f>
        <v>#VALUE!</v>
      </c>
      <c r="CI237" t="e">
        <f>AND(Bills!V1028,"AAAAAG7P/VY=")</f>
        <v>#VALUE!</v>
      </c>
      <c r="CJ237" t="e">
        <f>AND(Bills!W1028,"AAAAAG7P/Vc=")</f>
        <v>#VALUE!</v>
      </c>
      <c r="CK237" t="e">
        <f>AND(Bills!#REF!,"AAAAAG7P/Vg=")</f>
        <v>#REF!</v>
      </c>
      <c r="CL237" t="e">
        <f>AND(Bills!#REF!,"AAAAAG7P/Vk=")</f>
        <v>#REF!</v>
      </c>
      <c r="CM237" t="e">
        <f>AND(Bills!Y1028,"AAAAAG7P/Vo=")</f>
        <v>#VALUE!</v>
      </c>
      <c r="CN237" t="e">
        <f>AND(Bills!Z1028,"AAAAAG7P/Vs=")</f>
        <v>#VALUE!</v>
      </c>
      <c r="CO237" t="e">
        <f>AND(Bills!#REF!,"AAAAAG7P/Vw=")</f>
        <v>#REF!</v>
      </c>
      <c r="CP237" t="e">
        <f>AND(Bills!#REF!,"AAAAAG7P/V0=")</f>
        <v>#REF!</v>
      </c>
      <c r="CQ237" t="e">
        <f>AND(Bills!#REF!,"AAAAAG7P/V4=")</f>
        <v>#REF!</v>
      </c>
      <c r="CR237" t="e">
        <f>AND(Bills!#REF!,"AAAAAG7P/V8=")</f>
        <v>#REF!</v>
      </c>
      <c r="CS237" t="e">
        <f>AND(Bills!#REF!,"AAAAAG7P/WA=")</f>
        <v>#REF!</v>
      </c>
      <c r="CT237" t="e">
        <f>AND(Bills!#REF!,"AAAAAG7P/WE=")</f>
        <v>#REF!</v>
      </c>
      <c r="CU237" t="e">
        <f>AND(Bills!#REF!,"AAAAAG7P/WI=")</f>
        <v>#REF!</v>
      </c>
      <c r="CV237" t="e">
        <f>AND(Bills!#REF!,"AAAAAG7P/WM=")</f>
        <v>#REF!</v>
      </c>
      <c r="CW237" t="e">
        <f>AND(Bills!#REF!,"AAAAAG7P/WQ=")</f>
        <v>#REF!</v>
      </c>
      <c r="CX237" t="e">
        <f>AND(Bills!AA1028,"AAAAAG7P/WU=")</f>
        <v>#VALUE!</v>
      </c>
      <c r="CY237" t="e">
        <f>AND(Bills!AB1028,"AAAAAG7P/WY=")</f>
        <v>#VALUE!</v>
      </c>
      <c r="CZ237" t="e">
        <f>AND(Bills!#REF!,"AAAAAG7P/Wc=")</f>
        <v>#REF!</v>
      </c>
      <c r="DA237" t="e">
        <f>AND(Bills!#REF!,"AAAAAG7P/Wg=")</f>
        <v>#REF!</v>
      </c>
      <c r="DB237" t="e">
        <f>AND(Bills!#REF!,"AAAAAG7P/Wk=")</f>
        <v>#REF!</v>
      </c>
      <c r="DC237" t="e">
        <f>AND(Bills!AC1028,"AAAAAG7P/Wo=")</f>
        <v>#VALUE!</v>
      </c>
      <c r="DD237" t="e">
        <f>AND(Bills!AD1028,"AAAAAG7P/Ws=")</f>
        <v>#VALUE!</v>
      </c>
      <c r="DE237" t="e">
        <f>AND(Bills!AE1028,"AAAAAG7P/Ww=")</f>
        <v>#VALUE!</v>
      </c>
      <c r="DF237">
        <f>IF(Bills!1029:1029,"AAAAAG7P/W0=",0)</f>
        <v>0</v>
      </c>
      <c r="DG237" t="e">
        <f>AND(Bills!B1029,"AAAAAG7P/W4=")</f>
        <v>#VALUE!</v>
      </c>
      <c r="DH237" t="e">
        <f>AND(Bills!#REF!,"AAAAAG7P/W8=")</f>
        <v>#REF!</v>
      </c>
      <c r="DI237" t="e">
        <f>AND(Bills!C1029,"AAAAAG7P/XA=")</f>
        <v>#VALUE!</v>
      </c>
      <c r="DJ237" t="e">
        <f>AND(Bills!D1029,"AAAAAG7P/XE=")</f>
        <v>#VALUE!</v>
      </c>
      <c r="DK237" t="e">
        <f>AND(Bills!E1029,"AAAAAG7P/XI=")</f>
        <v>#VALUE!</v>
      </c>
      <c r="DL237" t="e">
        <f>AND(Bills!#REF!,"AAAAAG7P/XM=")</f>
        <v>#REF!</v>
      </c>
      <c r="DM237" t="e">
        <f>AND(Bills!#REF!,"AAAAAG7P/XQ=")</f>
        <v>#REF!</v>
      </c>
      <c r="DN237" t="e">
        <f>AND(Bills!#REF!,"AAAAAG7P/XU=")</f>
        <v>#REF!</v>
      </c>
      <c r="DO237" t="e">
        <f>AND(Bills!F1029,"AAAAAG7P/XY=")</f>
        <v>#VALUE!</v>
      </c>
      <c r="DP237" t="e">
        <f>AND(Bills!#REF!,"AAAAAG7P/Xc=")</f>
        <v>#REF!</v>
      </c>
      <c r="DQ237" t="e">
        <f>AND(Bills!G1029,"AAAAAG7P/Xg=")</f>
        <v>#VALUE!</v>
      </c>
      <c r="DR237" t="e">
        <f>AND(Bills!H1029,"AAAAAG7P/Xk=")</f>
        <v>#VALUE!</v>
      </c>
      <c r="DS237" t="e">
        <f>AND(Bills!I1029,"AAAAAG7P/Xo=")</f>
        <v>#VALUE!</v>
      </c>
      <c r="DT237" t="e">
        <f>AND(Bills!J1029,"AAAAAG7P/Xs=")</f>
        <v>#VALUE!</v>
      </c>
      <c r="DU237" t="e">
        <f>AND(Bills!K1029,"AAAAAG7P/Xw=")</f>
        <v>#VALUE!</v>
      </c>
      <c r="DV237" t="e">
        <f>AND(Bills!L1029,"AAAAAG7P/X0=")</f>
        <v>#VALUE!</v>
      </c>
      <c r="DW237" t="e">
        <f>AND(Bills!#REF!,"AAAAAG7P/X4=")</f>
        <v>#REF!</v>
      </c>
      <c r="DX237" t="e">
        <f>AND(Bills!M1029,"AAAAAG7P/X8=")</f>
        <v>#VALUE!</v>
      </c>
      <c r="DY237" t="e">
        <f>AND(Bills!N1029,"AAAAAG7P/YA=")</f>
        <v>#VALUE!</v>
      </c>
      <c r="DZ237" t="e">
        <f>AND(Bills!O1029,"AAAAAG7P/YE=")</f>
        <v>#VALUE!</v>
      </c>
      <c r="EA237" t="e">
        <f>AND(Bills!P1029,"AAAAAG7P/YI=")</f>
        <v>#VALUE!</v>
      </c>
      <c r="EB237" t="e">
        <f>AND(Bills!Q1029,"AAAAAG7P/YM=")</f>
        <v>#VALUE!</v>
      </c>
      <c r="EC237" t="e">
        <f>AND(Bills!R1029,"AAAAAG7P/YQ=")</f>
        <v>#VALUE!</v>
      </c>
      <c r="ED237" t="e">
        <f>AND(Bills!S1029,"AAAAAG7P/YU=")</f>
        <v>#VALUE!</v>
      </c>
      <c r="EE237" t="e">
        <f>AND(Bills!T1029,"AAAAAG7P/YY=")</f>
        <v>#VALUE!</v>
      </c>
      <c r="EF237" t="e">
        <f>AND(Bills!#REF!,"AAAAAG7P/Yc=")</f>
        <v>#REF!</v>
      </c>
      <c r="EG237" t="e">
        <f>AND(Bills!U1029,"AAAAAG7P/Yg=")</f>
        <v>#VALUE!</v>
      </c>
      <c r="EH237" t="e">
        <f>AND(Bills!V1029,"AAAAAG7P/Yk=")</f>
        <v>#VALUE!</v>
      </c>
      <c r="EI237" t="e">
        <f>AND(Bills!W1029,"AAAAAG7P/Yo=")</f>
        <v>#VALUE!</v>
      </c>
      <c r="EJ237" t="e">
        <f>AND(Bills!#REF!,"AAAAAG7P/Ys=")</f>
        <v>#REF!</v>
      </c>
      <c r="EK237" t="e">
        <f>AND(Bills!#REF!,"AAAAAG7P/Yw=")</f>
        <v>#REF!</v>
      </c>
      <c r="EL237" t="e">
        <f>AND(Bills!Y1029,"AAAAAG7P/Y0=")</f>
        <v>#VALUE!</v>
      </c>
      <c r="EM237" t="e">
        <f>AND(Bills!Z1029,"AAAAAG7P/Y4=")</f>
        <v>#VALUE!</v>
      </c>
      <c r="EN237" t="e">
        <f>AND(Bills!#REF!,"AAAAAG7P/Y8=")</f>
        <v>#REF!</v>
      </c>
      <c r="EO237" t="e">
        <f>AND(Bills!#REF!,"AAAAAG7P/ZA=")</f>
        <v>#REF!</v>
      </c>
      <c r="EP237" t="e">
        <f>AND(Bills!#REF!,"AAAAAG7P/ZE=")</f>
        <v>#REF!</v>
      </c>
      <c r="EQ237" t="e">
        <f>AND(Bills!#REF!,"AAAAAG7P/ZI=")</f>
        <v>#REF!</v>
      </c>
      <c r="ER237" t="e">
        <f>AND(Bills!#REF!,"AAAAAG7P/ZM=")</f>
        <v>#REF!</v>
      </c>
      <c r="ES237" t="e">
        <f>AND(Bills!#REF!,"AAAAAG7P/ZQ=")</f>
        <v>#REF!</v>
      </c>
      <c r="ET237" t="e">
        <f>AND(Bills!#REF!,"AAAAAG7P/ZU=")</f>
        <v>#REF!</v>
      </c>
      <c r="EU237" t="e">
        <f>AND(Bills!#REF!,"AAAAAG7P/ZY=")</f>
        <v>#REF!</v>
      </c>
      <c r="EV237" t="e">
        <f>AND(Bills!#REF!,"AAAAAG7P/Zc=")</f>
        <v>#REF!</v>
      </c>
      <c r="EW237" t="e">
        <f>AND(Bills!AA1029,"AAAAAG7P/Zg=")</f>
        <v>#VALUE!</v>
      </c>
      <c r="EX237" t="e">
        <f>AND(Bills!AB1029,"AAAAAG7P/Zk=")</f>
        <v>#VALUE!</v>
      </c>
      <c r="EY237" t="e">
        <f>AND(Bills!#REF!,"AAAAAG7P/Zo=")</f>
        <v>#REF!</v>
      </c>
      <c r="EZ237" t="e">
        <f>AND(Bills!#REF!,"AAAAAG7P/Zs=")</f>
        <v>#REF!</v>
      </c>
      <c r="FA237" t="e">
        <f>AND(Bills!#REF!,"AAAAAG7P/Zw=")</f>
        <v>#REF!</v>
      </c>
      <c r="FB237" t="e">
        <f>AND(Bills!AC1029,"AAAAAG7P/Z0=")</f>
        <v>#VALUE!</v>
      </c>
      <c r="FC237" t="e">
        <f>AND(Bills!AD1029,"AAAAAG7P/Z4=")</f>
        <v>#VALUE!</v>
      </c>
      <c r="FD237" t="e">
        <f>AND(Bills!AE1029,"AAAAAG7P/Z8=")</f>
        <v>#VALUE!</v>
      </c>
      <c r="FE237">
        <f>IF(Bills!1030:1030,"AAAAAG7P/aA=",0)</f>
        <v>0</v>
      </c>
      <c r="FF237" t="e">
        <f>AND(Bills!B1030,"AAAAAG7P/aE=")</f>
        <v>#VALUE!</v>
      </c>
      <c r="FG237" t="e">
        <f>AND(Bills!#REF!,"AAAAAG7P/aI=")</f>
        <v>#REF!</v>
      </c>
      <c r="FH237" t="e">
        <f>AND(Bills!C1030,"AAAAAG7P/aM=")</f>
        <v>#VALUE!</v>
      </c>
      <c r="FI237" t="e">
        <f>AND(Bills!D1030,"AAAAAG7P/aQ=")</f>
        <v>#VALUE!</v>
      </c>
      <c r="FJ237" t="e">
        <f>AND(Bills!E1030,"AAAAAG7P/aU=")</f>
        <v>#VALUE!</v>
      </c>
      <c r="FK237" t="e">
        <f>AND(Bills!#REF!,"AAAAAG7P/aY=")</f>
        <v>#REF!</v>
      </c>
      <c r="FL237" t="e">
        <f>AND(Bills!#REF!,"AAAAAG7P/ac=")</f>
        <v>#REF!</v>
      </c>
      <c r="FM237" t="e">
        <f>AND(Bills!#REF!,"AAAAAG7P/ag=")</f>
        <v>#REF!</v>
      </c>
      <c r="FN237" t="e">
        <f>AND(Bills!F1030,"AAAAAG7P/ak=")</f>
        <v>#VALUE!</v>
      </c>
      <c r="FO237" t="e">
        <f>AND(Bills!#REF!,"AAAAAG7P/ao=")</f>
        <v>#REF!</v>
      </c>
      <c r="FP237" t="e">
        <f>AND(Bills!G1030,"AAAAAG7P/as=")</f>
        <v>#VALUE!</v>
      </c>
      <c r="FQ237" t="e">
        <f>AND(Bills!H1030,"AAAAAG7P/aw=")</f>
        <v>#VALUE!</v>
      </c>
      <c r="FR237" t="e">
        <f>AND(Bills!I1030,"AAAAAG7P/a0=")</f>
        <v>#VALUE!</v>
      </c>
      <c r="FS237" t="e">
        <f>AND(Bills!J1030,"AAAAAG7P/a4=")</f>
        <v>#VALUE!</v>
      </c>
      <c r="FT237" t="e">
        <f>AND(Bills!K1030,"AAAAAG7P/a8=")</f>
        <v>#VALUE!</v>
      </c>
      <c r="FU237" t="e">
        <f>AND(Bills!L1030,"AAAAAG7P/bA=")</f>
        <v>#VALUE!</v>
      </c>
      <c r="FV237" t="e">
        <f>AND(Bills!#REF!,"AAAAAG7P/bE=")</f>
        <v>#REF!</v>
      </c>
      <c r="FW237" t="e">
        <f>AND(Bills!M1030,"AAAAAG7P/bI=")</f>
        <v>#VALUE!</v>
      </c>
      <c r="FX237" t="e">
        <f>AND(Bills!N1030,"AAAAAG7P/bM=")</f>
        <v>#VALUE!</v>
      </c>
      <c r="FY237" t="e">
        <f>AND(Bills!O1030,"AAAAAG7P/bQ=")</f>
        <v>#VALUE!</v>
      </c>
      <c r="FZ237" t="e">
        <f>AND(Bills!P1030,"AAAAAG7P/bU=")</f>
        <v>#VALUE!</v>
      </c>
      <c r="GA237" t="e">
        <f>AND(Bills!Q1030,"AAAAAG7P/bY=")</f>
        <v>#VALUE!</v>
      </c>
      <c r="GB237" t="e">
        <f>AND(Bills!R1030,"AAAAAG7P/bc=")</f>
        <v>#VALUE!</v>
      </c>
      <c r="GC237" t="e">
        <f>AND(Bills!S1030,"AAAAAG7P/bg=")</f>
        <v>#VALUE!</v>
      </c>
      <c r="GD237" t="e">
        <f>AND(Bills!T1030,"AAAAAG7P/bk=")</f>
        <v>#VALUE!</v>
      </c>
      <c r="GE237" t="e">
        <f>AND(Bills!#REF!,"AAAAAG7P/bo=")</f>
        <v>#REF!</v>
      </c>
      <c r="GF237" t="e">
        <f>AND(Bills!U1030,"AAAAAG7P/bs=")</f>
        <v>#VALUE!</v>
      </c>
      <c r="GG237" t="e">
        <f>AND(Bills!V1030,"AAAAAG7P/bw=")</f>
        <v>#VALUE!</v>
      </c>
      <c r="GH237" t="e">
        <f>AND(Bills!W1030,"AAAAAG7P/b0=")</f>
        <v>#VALUE!</v>
      </c>
      <c r="GI237" t="e">
        <f>AND(Bills!#REF!,"AAAAAG7P/b4=")</f>
        <v>#REF!</v>
      </c>
      <c r="GJ237" t="e">
        <f>AND(Bills!#REF!,"AAAAAG7P/b8=")</f>
        <v>#REF!</v>
      </c>
      <c r="GK237" t="e">
        <f>AND(Bills!Y1030,"AAAAAG7P/cA=")</f>
        <v>#VALUE!</v>
      </c>
      <c r="GL237" t="e">
        <f>AND(Bills!Z1030,"AAAAAG7P/cE=")</f>
        <v>#VALUE!</v>
      </c>
      <c r="GM237" t="e">
        <f>AND(Bills!#REF!,"AAAAAG7P/cI=")</f>
        <v>#REF!</v>
      </c>
      <c r="GN237" t="e">
        <f>AND(Bills!#REF!,"AAAAAG7P/cM=")</f>
        <v>#REF!</v>
      </c>
      <c r="GO237" t="e">
        <f>AND(Bills!#REF!,"AAAAAG7P/cQ=")</f>
        <v>#REF!</v>
      </c>
      <c r="GP237" t="e">
        <f>AND(Bills!#REF!,"AAAAAG7P/cU=")</f>
        <v>#REF!</v>
      </c>
      <c r="GQ237" t="e">
        <f>AND(Bills!#REF!,"AAAAAG7P/cY=")</f>
        <v>#REF!</v>
      </c>
      <c r="GR237" t="e">
        <f>AND(Bills!#REF!,"AAAAAG7P/cc=")</f>
        <v>#REF!</v>
      </c>
      <c r="GS237" t="e">
        <f>AND(Bills!#REF!,"AAAAAG7P/cg=")</f>
        <v>#REF!</v>
      </c>
      <c r="GT237" t="e">
        <f>AND(Bills!#REF!,"AAAAAG7P/ck=")</f>
        <v>#REF!</v>
      </c>
      <c r="GU237" t="e">
        <f>AND(Bills!#REF!,"AAAAAG7P/co=")</f>
        <v>#REF!</v>
      </c>
      <c r="GV237" t="e">
        <f>AND(Bills!AA1030,"AAAAAG7P/cs=")</f>
        <v>#VALUE!</v>
      </c>
      <c r="GW237" t="e">
        <f>AND(Bills!AB1030,"AAAAAG7P/cw=")</f>
        <v>#VALUE!</v>
      </c>
      <c r="GX237" t="e">
        <f>AND(Bills!#REF!,"AAAAAG7P/c0=")</f>
        <v>#REF!</v>
      </c>
      <c r="GY237" t="e">
        <f>AND(Bills!#REF!,"AAAAAG7P/c4=")</f>
        <v>#REF!</v>
      </c>
      <c r="GZ237" t="e">
        <f>AND(Bills!#REF!,"AAAAAG7P/c8=")</f>
        <v>#REF!</v>
      </c>
      <c r="HA237" t="e">
        <f>AND(Bills!AC1030,"AAAAAG7P/dA=")</f>
        <v>#VALUE!</v>
      </c>
      <c r="HB237" t="e">
        <f>AND(Bills!AD1030,"AAAAAG7P/dE=")</f>
        <v>#VALUE!</v>
      </c>
      <c r="HC237" t="e">
        <f>AND(Bills!AE1030,"AAAAAG7P/dI=")</f>
        <v>#VALUE!</v>
      </c>
      <c r="HD237">
        <f>IF(Bills!1031:1031,"AAAAAG7P/dM=",0)</f>
        <v>0</v>
      </c>
      <c r="HE237" t="e">
        <f>AND(Bills!B1031,"AAAAAG7P/dQ=")</f>
        <v>#VALUE!</v>
      </c>
      <c r="HF237" t="e">
        <f>AND(Bills!#REF!,"AAAAAG7P/dU=")</f>
        <v>#REF!</v>
      </c>
      <c r="HG237" t="e">
        <f>AND(Bills!C1031,"AAAAAG7P/dY=")</f>
        <v>#VALUE!</v>
      </c>
      <c r="HH237" t="e">
        <f>AND(Bills!D1031,"AAAAAG7P/dc=")</f>
        <v>#VALUE!</v>
      </c>
      <c r="HI237" t="e">
        <f>AND(Bills!E1031,"AAAAAG7P/dg=")</f>
        <v>#VALUE!</v>
      </c>
      <c r="HJ237" t="e">
        <f>AND(Bills!#REF!,"AAAAAG7P/dk=")</f>
        <v>#REF!</v>
      </c>
      <c r="HK237" t="e">
        <f>AND(Bills!#REF!,"AAAAAG7P/do=")</f>
        <v>#REF!</v>
      </c>
      <c r="HL237" t="e">
        <f>AND(Bills!#REF!,"AAAAAG7P/ds=")</f>
        <v>#REF!</v>
      </c>
      <c r="HM237" t="e">
        <f>AND(Bills!F1031,"AAAAAG7P/dw=")</f>
        <v>#VALUE!</v>
      </c>
      <c r="HN237" t="e">
        <f>AND(Bills!#REF!,"AAAAAG7P/d0=")</f>
        <v>#REF!</v>
      </c>
      <c r="HO237" t="e">
        <f>AND(Bills!G1031,"AAAAAG7P/d4=")</f>
        <v>#VALUE!</v>
      </c>
      <c r="HP237" t="e">
        <f>AND(Bills!H1031,"AAAAAG7P/d8=")</f>
        <v>#VALUE!</v>
      </c>
      <c r="HQ237" t="e">
        <f>AND(Bills!I1031,"AAAAAG7P/eA=")</f>
        <v>#VALUE!</v>
      </c>
      <c r="HR237" t="e">
        <f>AND(Bills!J1031,"AAAAAG7P/eE=")</f>
        <v>#VALUE!</v>
      </c>
      <c r="HS237" t="e">
        <f>AND(Bills!K1031,"AAAAAG7P/eI=")</f>
        <v>#VALUE!</v>
      </c>
      <c r="HT237" t="e">
        <f>AND(Bills!L1031,"AAAAAG7P/eM=")</f>
        <v>#VALUE!</v>
      </c>
      <c r="HU237" t="e">
        <f>AND(Bills!#REF!,"AAAAAG7P/eQ=")</f>
        <v>#REF!</v>
      </c>
      <c r="HV237" t="e">
        <f>AND(Bills!M1031,"AAAAAG7P/eU=")</f>
        <v>#VALUE!</v>
      </c>
      <c r="HW237" t="e">
        <f>AND(Bills!N1031,"AAAAAG7P/eY=")</f>
        <v>#VALUE!</v>
      </c>
      <c r="HX237" t="e">
        <f>AND(Bills!O1031,"AAAAAG7P/ec=")</f>
        <v>#VALUE!</v>
      </c>
      <c r="HY237" t="e">
        <f>AND(Bills!P1031,"AAAAAG7P/eg=")</f>
        <v>#VALUE!</v>
      </c>
      <c r="HZ237" t="e">
        <f>AND(Bills!Q1031,"AAAAAG7P/ek=")</f>
        <v>#VALUE!</v>
      </c>
      <c r="IA237" t="e">
        <f>AND(Bills!R1031,"AAAAAG7P/eo=")</f>
        <v>#VALUE!</v>
      </c>
      <c r="IB237" t="e">
        <f>AND(Bills!S1031,"AAAAAG7P/es=")</f>
        <v>#VALUE!</v>
      </c>
      <c r="IC237" t="e">
        <f>AND(Bills!T1031,"AAAAAG7P/ew=")</f>
        <v>#VALUE!</v>
      </c>
      <c r="ID237" t="e">
        <f>AND(Bills!#REF!,"AAAAAG7P/e0=")</f>
        <v>#REF!</v>
      </c>
      <c r="IE237" t="e">
        <f>AND(Bills!U1031,"AAAAAG7P/e4=")</f>
        <v>#VALUE!</v>
      </c>
      <c r="IF237" t="e">
        <f>AND(Bills!V1031,"AAAAAG7P/e8=")</f>
        <v>#VALUE!</v>
      </c>
      <c r="IG237" t="e">
        <f>AND(Bills!W1031,"AAAAAG7P/fA=")</f>
        <v>#VALUE!</v>
      </c>
      <c r="IH237" t="e">
        <f>AND(Bills!#REF!,"AAAAAG7P/fE=")</f>
        <v>#REF!</v>
      </c>
      <c r="II237" t="e">
        <f>AND(Bills!#REF!,"AAAAAG7P/fI=")</f>
        <v>#REF!</v>
      </c>
      <c r="IJ237" t="e">
        <f>AND(Bills!Y1031,"AAAAAG7P/fM=")</f>
        <v>#VALUE!</v>
      </c>
      <c r="IK237" t="e">
        <f>AND(Bills!Z1031,"AAAAAG7P/fQ=")</f>
        <v>#VALUE!</v>
      </c>
      <c r="IL237" t="e">
        <f>AND(Bills!#REF!,"AAAAAG7P/fU=")</f>
        <v>#REF!</v>
      </c>
      <c r="IM237" t="e">
        <f>AND(Bills!#REF!,"AAAAAG7P/fY=")</f>
        <v>#REF!</v>
      </c>
      <c r="IN237" t="e">
        <f>AND(Bills!#REF!,"AAAAAG7P/fc=")</f>
        <v>#REF!</v>
      </c>
      <c r="IO237" t="e">
        <f>AND(Bills!#REF!,"AAAAAG7P/fg=")</f>
        <v>#REF!</v>
      </c>
      <c r="IP237" t="e">
        <f>AND(Bills!#REF!,"AAAAAG7P/fk=")</f>
        <v>#REF!</v>
      </c>
      <c r="IQ237" t="e">
        <f>AND(Bills!#REF!,"AAAAAG7P/fo=")</f>
        <v>#REF!</v>
      </c>
      <c r="IR237" t="e">
        <f>AND(Bills!#REF!,"AAAAAG7P/fs=")</f>
        <v>#REF!</v>
      </c>
      <c r="IS237" t="e">
        <f>AND(Bills!#REF!,"AAAAAG7P/fw=")</f>
        <v>#REF!</v>
      </c>
      <c r="IT237" t="e">
        <f>AND(Bills!#REF!,"AAAAAG7P/f0=")</f>
        <v>#REF!</v>
      </c>
      <c r="IU237" t="e">
        <f>AND(Bills!AA1031,"AAAAAG7P/f4=")</f>
        <v>#VALUE!</v>
      </c>
      <c r="IV237" t="e">
        <f>AND(Bills!AB1031,"AAAAAG7P/f8=")</f>
        <v>#VALUE!</v>
      </c>
    </row>
    <row r="238" spans="1:256" x14ac:dyDescent="0.25">
      <c r="A238" t="e">
        <f>AND(Bills!#REF!,"AAAAABa7PgA=")</f>
        <v>#REF!</v>
      </c>
      <c r="B238" t="e">
        <f>AND(Bills!#REF!,"AAAAABa7PgE=")</f>
        <v>#REF!</v>
      </c>
      <c r="C238" t="e">
        <f>AND(Bills!#REF!,"AAAAABa7PgI=")</f>
        <v>#REF!</v>
      </c>
      <c r="D238" t="e">
        <f>AND(Bills!AC1031,"AAAAABa7PgM=")</f>
        <v>#VALUE!</v>
      </c>
      <c r="E238" t="e">
        <f>AND(Bills!AD1031,"AAAAABa7PgQ=")</f>
        <v>#VALUE!</v>
      </c>
      <c r="F238" t="e">
        <f>AND(Bills!AE1031,"AAAAABa7PgU=")</f>
        <v>#VALUE!</v>
      </c>
      <c r="G238">
        <f>IF(Bills!1032:1032,"AAAAABa7PgY=",0)</f>
        <v>0</v>
      </c>
      <c r="H238" t="e">
        <f>AND(Bills!B1032,"AAAAABa7Pgc=")</f>
        <v>#VALUE!</v>
      </c>
      <c r="I238" t="e">
        <f>AND(Bills!#REF!,"AAAAABa7Pgg=")</f>
        <v>#REF!</v>
      </c>
      <c r="J238" t="e">
        <f>AND(Bills!C1032,"AAAAABa7Pgk=")</f>
        <v>#VALUE!</v>
      </c>
      <c r="K238" t="e">
        <f>AND(Bills!D1032,"AAAAABa7Pgo=")</f>
        <v>#VALUE!</v>
      </c>
      <c r="L238" t="e">
        <f>AND(Bills!E1032,"AAAAABa7Pgs=")</f>
        <v>#VALUE!</v>
      </c>
      <c r="M238" t="e">
        <f>AND(Bills!#REF!,"AAAAABa7Pgw=")</f>
        <v>#REF!</v>
      </c>
      <c r="N238" t="e">
        <f>AND(Bills!#REF!,"AAAAABa7Pg0=")</f>
        <v>#REF!</v>
      </c>
      <c r="O238" t="e">
        <f>AND(Bills!#REF!,"AAAAABa7Pg4=")</f>
        <v>#REF!</v>
      </c>
      <c r="P238" t="e">
        <f>AND(Bills!F1032,"AAAAABa7Pg8=")</f>
        <v>#VALUE!</v>
      </c>
      <c r="Q238" t="e">
        <f>AND(Bills!#REF!,"AAAAABa7PhA=")</f>
        <v>#REF!</v>
      </c>
      <c r="R238" t="e">
        <f>AND(Bills!G1032,"AAAAABa7PhE=")</f>
        <v>#VALUE!</v>
      </c>
      <c r="S238" t="e">
        <f>AND(Bills!H1032,"AAAAABa7PhI=")</f>
        <v>#VALUE!</v>
      </c>
      <c r="T238" t="e">
        <f>AND(Bills!I1032,"AAAAABa7PhM=")</f>
        <v>#VALUE!</v>
      </c>
      <c r="U238" t="e">
        <f>AND(Bills!J1032,"AAAAABa7PhQ=")</f>
        <v>#VALUE!</v>
      </c>
      <c r="V238" t="e">
        <f>AND(Bills!K1032,"AAAAABa7PhU=")</f>
        <v>#VALUE!</v>
      </c>
      <c r="W238" t="e">
        <f>AND(Bills!L1032,"AAAAABa7PhY=")</f>
        <v>#VALUE!</v>
      </c>
      <c r="X238" t="e">
        <f>AND(Bills!#REF!,"AAAAABa7Phc=")</f>
        <v>#REF!</v>
      </c>
      <c r="Y238" t="e">
        <f>AND(Bills!M1032,"AAAAABa7Phg=")</f>
        <v>#VALUE!</v>
      </c>
      <c r="Z238" t="e">
        <f>AND(Bills!N1032,"AAAAABa7Phk=")</f>
        <v>#VALUE!</v>
      </c>
      <c r="AA238" t="e">
        <f>AND(Bills!O1032,"AAAAABa7Pho=")</f>
        <v>#VALUE!</v>
      </c>
      <c r="AB238" t="e">
        <f>AND(Bills!P1032,"AAAAABa7Phs=")</f>
        <v>#VALUE!</v>
      </c>
      <c r="AC238" t="e">
        <f>AND(Bills!Q1032,"AAAAABa7Phw=")</f>
        <v>#VALUE!</v>
      </c>
      <c r="AD238" t="e">
        <f>AND(Bills!R1032,"AAAAABa7Ph0=")</f>
        <v>#VALUE!</v>
      </c>
      <c r="AE238" t="e">
        <f>AND(Bills!S1032,"AAAAABa7Ph4=")</f>
        <v>#VALUE!</v>
      </c>
      <c r="AF238" t="e">
        <f>AND(Bills!T1032,"AAAAABa7Ph8=")</f>
        <v>#VALUE!</v>
      </c>
      <c r="AG238" t="e">
        <f>AND(Bills!#REF!,"AAAAABa7PiA=")</f>
        <v>#REF!</v>
      </c>
      <c r="AH238" t="e">
        <f>AND(Bills!U1032,"AAAAABa7PiE=")</f>
        <v>#VALUE!</v>
      </c>
      <c r="AI238" t="e">
        <f>AND(Bills!V1032,"AAAAABa7PiI=")</f>
        <v>#VALUE!</v>
      </c>
      <c r="AJ238" t="e">
        <f>AND(Bills!W1032,"AAAAABa7PiM=")</f>
        <v>#VALUE!</v>
      </c>
      <c r="AK238" t="e">
        <f>AND(Bills!#REF!,"AAAAABa7PiQ=")</f>
        <v>#REF!</v>
      </c>
      <c r="AL238" t="e">
        <f>AND(Bills!#REF!,"AAAAABa7PiU=")</f>
        <v>#REF!</v>
      </c>
      <c r="AM238" t="e">
        <f>AND(Bills!Y1032,"AAAAABa7PiY=")</f>
        <v>#VALUE!</v>
      </c>
      <c r="AN238" t="e">
        <f>AND(Bills!Z1032,"AAAAABa7Pic=")</f>
        <v>#VALUE!</v>
      </c>
      <c r="AO238" t="e">
        <f>AND(Bills!#REF!,"AAAAABa7Pig=")</f>
        <v>#REF!</v>
      </c>
      <c r="AP238" t="e">
        <f>AND(Bills!#REF!,"AAAAABa7Pik=")</f>
        <v>#REF!</v>
      </c>
      <c r="AQ238" t="e">
        <f>AND(Bills!#REF!,"AAAAABa7Pio=")</f>
        <v>#REF!</v>
      </c>
      <c r="AR238" t="e">
        <f>AND(Bills!#REF!,"AAAAABa7Pis=")</f>
        <v>#REF!</v>
      </c>
      <c r="AS238" t="e">
        <f>AND(Bills!#REF!,"AAAAABa7Piw=")</f>
        <v>#REF!</v>
      </c>
      <c r="AT238" t="e">
        <f>AND(Bills!#REF!,"AAAAABa7Pi0=")</f>
        <v>#REF!</v>
      </c>
      <c r="AU238" t="e">
        <f>AND(Bills!#REF!,"AAAAABa7Pi4=")</f>
        <v>#REF!</v>
      </c>
      <c r="AV238" t="e">
        <f>AND(Bills!#REF!,"AAAAABa7Pi8=")</f>
        <v>#REF!</v>
      </c>
      <c r="AW238" t="e">
        <f>AND(Bills!#REF!,"AAAAABa7PjA=")</f>
        <v>#REF!</v>
      </c>
      <c r="AX238" t="e">
        <f>AND(Bills!AA1032,"AAAAABa7PjE=")</f>
        <v>#VALUE!</v>
      </c>
      <c r="AY238" t="e">
        <f>AND(Bills!AB1032,"AAAAABa7PjI=")</f>
        <v>#VALUE!</v>
      </c>
      <c r="AZ238" t="e">
        <f>AND(Bills!#REF!,"AAAAABa7PjM=")</f>
        <v>#REF!</v>
      </c>
      <c r="BA238" t="e">
        <f>AND(Bills!#REF!,"AAAAABa7PjQ=")</f>
        <v>#REF!</v>
      </c>
      <c r="BB238" t="e">
        <f>AND(Bills!#REF!,"AAAAABa7PjU=")</f>
        <v>#REF!</v>
      </c>
      <c r="BC238" t="e">
        <f>AND(Bills!AC1032,"AAAAABa7PjY=")</f>
        <v>#VALUE!</v>
      </c>
      <c r="BD238" t="e">
        <f>AND(Bills!AD1032,"AAAAABa7Pjc=")</f>
        <v>#VALUE!</v>
      </c>
      <c r="BE238" t="e">
        <f>AND(Bills!AE1032,"AAAAABa7Pjg=")</f>
        <v>#VALUE!</v>
      </c>
      <c r="BF238">
        <f>IF(Bills!1033:1033,"AAAAABa7Pjk=",0)</f>
        <v>0</v>
      </c>
      <c r="BG238" t="e">
        <f>AND(Bills!B1033,"AAAAABa7Pjo=")</f>
        <v>#VALUE!</v>
      </c>
      <c r="BH238" t="e">
        <f>AND(Bills!#REF!,"AAAAABa7Pjs=")</f>
        <v>#REF!</v>
      </c>
      <c r="BI238" t="e">
        <f>AND(Bills!C1033,"AAAAABa7Pjw=")</f>
        <v>#VALUE!</v>
      </c>
      <c r="BJ238" t="e">
        <f>AND(Bills!D1033,"AAAAABa7Pj0=")</f>
        <v>#VALUE!</v>
      </c>
      <c r="BK238" t="e">
        <f>AND(Bills!E1033,"AAAAABa7Pj4=")</f>
        <v>#VALUE!</v>
      </c>
      <c r="BL238" t="e">
        <f>AND(Bills!#REF!,"AAAAABa7Pj8=")</f>
        <v>#REF!</v>
      </c>
      <c r="BM238" t="e">
        <f>AND(Bills!#REF!,"AAAAABa7PkA=")</f>
        <v>#REF!</v>
      </c>
      <c r="BN238" t="e">
        <f>AND(Bills!#REF!,"AAAAABa7PkE=")</f>
        <v>#REF!</v>
      </c>
      <c r="BO238" t="e">
        <f>AND(Bills!F1033,"AAAAABa7PkI=")</f>
        <v>#VALUE!</v>
      </c>
      <c r="BP238" t="e">
        <f>AND(Bills!#REF!,"AAAAABa7PkM=")</f>
        <v>#REF!</v>
      </c>
      <c r="BQ238" t="e">
        <f>AND(Bills!G1033,"AAAAABa7PkQ=")</f>
        <v>#VALUE!</v>
      </c>
      <c r="BR238" t="e">
        <f>AND(Bills!H1033,"AAAAABa7PkU=")</f>
        <v>#VALUE!</v>
      </c>
      <c r="BS238" t="e">
        <f>AND(Bills!I1033,"AAAAABa7PkY=")</f>
        <v>#VALUE!</v>
      </c>
      <c r="BT238" t="e">
        <f>AND(Bills!J1033,"AAAAABa7Pkc=")</f>
        <v>#VALUE!</v>
      </c>
      <c r="BU238" t="e">
        <f>AND(Bills!K1033,"AAAAABa7Pkg=")</f>
        <v>#VALUE!</v>
      </c>
      <c r="BV238" t="e">
        <f>AND(Bills!L1033,"AAAAABa7Pkk=")</f>
        <v>#VALUE!</v>
      </c>
      <c r="BW238" t="e">
        <f>AND(Bills!#REF!,"AAAAABa7Pko=")</f>
        <v>#REF!</v>
      </c>
      <c r="BX238" t="e">
        <f>AND(Bills!M1033,"AAAAABa7Pks=")</f>
        <v>#VALUE!</v>
      </c>
      <c r="BY238" t="e">
        <f>AND(Bills!N1033,"AAAAABa7Pkw=")</f>
        <v>#VALUE!</v>
      </c>
      <c r="BZ238" t="e">
        <f>AND(Bills!O1033,"AAAAABa7Pk0=")</f>
        <v>#VALUE!</v>
      </c>
      <c r="CA238" t="e">
        <f>AND(Bills!P1033,"AAAAABa7Pk4=")</f>
        <v>#VALUE!</v>
      </c>
      <c r="CB238" t="e">
        <f>AND(Bills!Q1033,"AAAAABa7Pk8=")</f>
        <v>#VALUE!</v>
      </c>
      <c r="CC238" t="e">
        <f>AND(Bills!R1033,"AAAAABa7PlA=")</f>
        <v>#VALUE!</v>
      </c>
      <c r="CD238" t="e">
        <f>AND(Bills!S1033,"AAAAABa7PlE=")</f>
        <v>#VALUE!</v>
      </c>
      <c r="CE238" t="e">
        <f>AND(Bills!T1033,"AAAAABa7PlI=")</f>
        <v>#VALUE!</v>
      </c>
      <c r="CF238" t="e">
        <f>AND(Bills!#REF!,"AAAAABa7PlM=")</f>
        <v>#REF!</v>
      </c>
      <c r="CG238" t="e">
        <f>AND(Bills!U1033,"AAAAABa7PlQ=")</f>
        <v>#VALUE!</v>
      </c>
      <c r="CH238" t="e">
        <f>AND(Bills!V1033,"AAAAABa7PlU=")</f>
        <v>#VALUE!</v>
      </c>
      <c r="CI238" t="e">
        <f>AND(Bills!W1033,"AAAAABa7PlY=")</f>
        <v>#VALUE!</v>
      </c>
      <c r="CJ238" t="e">
        <f>AND(Bills!#REF!,"AAAAABa7Plc=")</f>
        <v>#REF!</v>
      </c>
      <c r="CK238" t="e">
        <f>AND(Bills!#REF!,"AAAAABa7Plg=")</f>
        <v>#REF!</v>
      </c>
      <c r="CL238" t="e">
        <f>AND(Bills!Y1033,"AAAAABa7Plk=")</f>
        <v>#VALUE!</v>
      </c>
      <c r="CM238" t="e">
        <f>AND(Bills!Z1033,"AAAAABa7Plo=")</f>
        <v>#VALUE!</v>
      </c>
      <c r="CN238" t="e">
        <f>AND(Bills!#REF!,"AAAAABa7Pls=")</f>
        <v>#REF!</v>
      </c>
      <c r="CO238" t="e">
        <f>AND(Bills!#REF!,"AAAAABa7Plw=")</f>
        <v>#REF!</v>
      </c>
      <c r="CP238" t="e">
        <f>AND(Bills!#REF!,"AAAAABa7Pl0=")</f>
        <v>#REF!</v>
      </c>
      <c r="CQ238" t="e">
        <f>AND(Bills!#REF!,"AAAAABa7Pl4=")</f>
        <v>#REF!</v>
      </c>
      <c r="CR238" t="e">
        <f>AND(Bills!#REF!,"AAAAABa7Pl8=")</f>
        <v>#REF!</v>
      </c>
      <c r="CS238" t="e">
        <f>AND(Bills!#REF!,"AAAAABa7PmA=")</f>
        <v>#REF!</v>
      </c>
      <c r="CT238" t="e">
        <f>AND(Bills!#REF!,"AAAAABa7PmE=")</f>
        <v>#REF!</v>
      </c>
      <c r="CU238" t="e">
        <f>AND(Bills!#REF!,"AAAAABa7PmI=")</f>
        <v>#REF!</v>
      </c>
      <c r="CV238" t="e">
        <f>AND(Bills!#REF!,"AAAAABa7PmM=")</f>
        <v>#REF!</v>
      </c>
      <c r="CW238" t="e">
        <f>AND(Bills!AA1033,"AAAAABa7PmQ=")</f>
        <v>#VALUE!</v>
      </c>
      <c r="CX238" t="e">
        <f>AND(Bills!AB1033,"AAAAABa7PmU=")</f>
        <v>#VALUE!</v>
      </c>
      <c r="CY238" t="e">
        <f>AND(Bills!#REF!,"AAAAABa7PmY=")</f>
        <v>#REF!</v>
      </c>
      <c r="CZ238" t="e">
        <f>AND(Bills!#REF!,"AAAAABa7Pmc=")</f>
        <v>#REF!</v>
      </c>
      <c r="DA238" t="e">
        <f>AND(Bills!#REF!,"AAAAABa7Pmg=")</f>
        <v>#REF!</v>
      </c>
      <c r="DB238" t="e">
        <f>AND(Bills!AC1033,"AAAAABa7Pmk=")</f>
        <v>#VALUE!</v>
      </c>
      <c r="DC238" t="e">
        <f>AND(Bills!AD1033,"AAAAABa7Pmo=")</f>
        <v>#VALUE!</v>
      </c>
      <c r="DD238" t="e">
        <f>AND(Bills!AE1033,"AAAAABa7Pms=")</f>
        <v>#VALUE!</v>
      </c>
      <c r="DE238">
        <f>IF(Bills!1034:1034,"AAAAABa7Pmw=",0)</f>
        <v>0</v>
      </c>
      <c r="DF238" t="e">
        <f>AND(Bills!B1034,"AAAAABa7Pm0=")</f>
        <v>#VALUE!</v>
      </c>
      <c r="DG238" t="e">
        <f>AND(Bills!#REF!,"AAAAABa7Pm4=")</f>
        <v>#REF!</v>
      </c>
      <c r="DH238" t="e">
        <f>AND(Bills!C1034,"AAAAABa7Pm8=")</f>
        <v>#VALUE!</v>
      </c>
      <c r="DI238" t="e">
        <f>AND(Bills!D1034,"AAAAABa7PnA=")</f>
        <v>#VALUE!</v>
      </c>
      <c r="DJ238" t="e">
        <f>AND(Bills!E1034,"AAAAABa7PnE=")</f>
        <v>#VALUE!</v>
      </c>
      <c r="DK238" t="e">
        <f>AND(Bills!#REF!,"AAAAABa7PnI=")</f>
        <v>#REF!</v>
      </c>
      <c r="DL238" t="e">
        <f>AND(Bills!#REF!,"AAAAABa7PnM=")</f>
        <v>#REF!</v>
      </c>
      <c r="DM238" t="e">
        <f>AND(Bills!#REF!,"AAAAABa7PnQ=")</f>
        <v>#REF!</v>
      </c>
      <c r="DN238" t="e">
        <f>AND(Bills!F1034,"AAAAABa7PnU=")</f>
        <v>#VALUE!</v>
      </c>
      <c r="DO238" t="e">
        <f>AND(Bills!#REF!,"AAAAABa7PnY=")</f>
        <v>#REF!</v>
      </c>
      <c r="DP238" t="e">
        <f>AND(Bills!G1034,"AAAAABa7Pnc=")</f>
        <v>#VALUE!</v>
      </c>
      <c r="DQ238" t="e">
        <f>AND(Bills!H1034,"AAAAABa7Png=")</f>
        <v>#VALUE!</v>
      </c>
      <c r="DR238" t="e">
        <f>AND(Bills!I1034,"AAAAABa7Pnk=")</f>
        <v>#VALUE!</v>
      </c>
      <c r="DS238" t="e">
        <f>AND(Bills!J1034,"AAAAABa7Pno=")</f>
        <v>#VALUE!</v>
      </c>
      <c r="DT238" t="e">
        <f>AND(Bills!K1034,"AAAAABa7Pns=")</f>
        <v>#VALUE!</v>
      </c>
      <c r="DU238" t="e">
        <f>AND(Bills!L1034,"AAAAABa7Pnw=")</f>
        <v>#VALUE!</v>
      </c>
      <c r="DV238" t="e">
        <f>AND(Bills!#REF!,"AAAAABa7Pn0=")</f>
        <v>#REF!</v>
      </c>
      <c r="DW238" t="e">
        <f>AND(Bills!M1034,"AAAAABa7Pn4=")</f>
        <v>#VALUE!</v>
      </c>
      <c r="DX238" t="e">
        <f>AND(Bills!N1034,"AAAAABa7Pn8=")</f>
        <v>#VALUE!</v>
      </c>
      <c r="DY238" t="e">
        <f>AND(Bills!O1034,"AAAAABa7PoA=")</f>
        <v>#VALUE!</v>
      </c>
      <c r="DZ238" t="e">
        <f>AND(Bills!P1034,"AAAAABa7PoE=")</f>
        <v>#VALUE!</v>
      </c>
      <c r="EA238" t="e">
        <f>AND(Bills!Q1034,"AAAAABa7PoI=")</f>
        <v>#VALUE!</v>
      </c>
      <c r="EB238" t="e">
        <f>AND(Bills!R1034,"AAAAABa7PoM=")</f>
        <v>#VALUE!</v>
      </c>
      <c r="EC238" t="e">
        <f>AND(Bills!S1034,"AAAAABa7PoQ=")</f>
        <v>#VALUE!</v>
      </c>
      <c r="ED238" t="e">
        <f>AND(Bills!T1034,"AAAAABa7PoU=")</f>
        <v>#VALUE!</v>
      </c>
      <c r="EE238" t="e">
        <f>AND(Bills!#REF!,"AAAAABa7PoY=")</f>
        <v>#REF!</v>
      </c>
      <c r="EF238" t="e">
        <f>AND(Bills!U1034,"AAAAABa7Poc=")</f>
        <v>#VALUE!</v>
      </c>
      <c r="EG238" t="e">
        <f>AND(Bills!V1034,"AAAAABa7Pog=")</f>
        <v>#VALUE!</v>
      </c>
      <c r="EH238" t="e">
        <f>AND(Bills!W1034,"AAAAABa7Pok=")</f>
        <v>#VALUE!</v>
      </c>
      <c r="EI238" t="e">
        <f>AND(Bills!#REF!,"AAAAABa7Poo=")</f>
        <v>#REF!</v>
      </c>
      <c r="EJ238" t="e">
        <f>AND(Bills!#REF!,"AAAAABa7Pos=")</f>
        <v>#REF!</v>
      </c>
      <c r="EK238" t="e">
        <f>AND(Bills!Y1034,"AAAAABa7Pow=")</f>
        <v>#VALUE!</v>
      </c>
      <c r="EL238" t="e">
        <f>AND(Bills!Z1034,"AAAAABa7Po0=")</f>
        <v>#VALUE!</v>
      </c>
      <c r="EM238" t="e">
        <f>AND(Bills!#REF!,"AAAAABa7Po4=")</f>
        <v>#REF!</v>
      </c>
      <c r="EN238" t="e">
        <f>AND(Bills!#REF!,"AAAAABa7Po8=")</f>
        <v>#REF!</v>
      </c>
      <c r="EO238" t="e">
        <f>AND(Bills!#REF!,"AAAAABa7PpA=")</f>
        <v>#REF!</v>
      </c>
      <c r="EP238" t="e">
        <f>AND(Bills!#REF!,"AAAAABa7PpE=")</f>
        <v>#REF!</v>
      </c>
      <c r="EQ238" t="e">
        <f>AND(Bills!#REF!,"AAAAABa7PpI=")</f>
        <v>#REF!</v>
      </c>
      <c r="ER238" t="e">
        <f>AND(Bills!#REF!,"AAAAABa7PpM=")</f>
        <v>#REF!</v>
      </c>
      <c r="ES238" t="e">
        <f>AND(Bills!#REF!,"AAAAABa7PpQ=")</f>
        <v>#REF!</v>
      </c>
      <c r="ET238" t="e">
        <f>AND(Bills!#REF!,"AAAAABa7PpU=")</f>
        <v>#REF!</v>
      </c>
      <c r="EU238" t="e">
        <f>AND(Bills!#REF!,"AAAAABa7PpY=")</f>
        <v>#REF!</v>
      </c>
      <c r="EV238" t="e">
        <f>AND(Bills!AA1034,"AAAAABa7Ppc=")</f>
        <v>#VALUE!</v>
      </c>
      <c r="EW238" t="e">
        <f>AND(Bills!AB1034,"AAAAABa7Ppg=")</f>
        <v>#VALUE!</v>
      </c>
      <c r="EX238" t="e">
        <f>AND(Bills!#REF!,"AAAAABa7Ppk=")</f>
        <v>#REF!</v>
      </c>
      <c r="EY238" t="e">
        <f>AND(Bills!#REF!,"AAAAABa7Ppo=")</f>
        <v>#REF!</v>
      </c>
      <c r="EZ238" t="e">
        <f>AND(Bills!#REF!,"AAAAABa7Pps=")</f>
        <v>#REF!</v>
      </c>
      <c r="FA238" t="e">
        <f>AND(Bills!AC1034,"AAAAABa7Ppw=")</f>
        <v>#VALUE!</v>
      </c>
      <c r="FB238" t="e">
        <f>AND(Bills!AD1034,"AAAAABa7Pp0=")</f>
        <v>#VALUE!</v>
      </c>
      <c r="FC238" t="e">
        <f>AND(Bills!AE1034,"AAAAABa7Pp4=")</f>
        <v>#VALUE!</v>
      </c>
      <c r="FD238">
        <f>IF(Bills!1035:1035,"AAAAABa7Pp8=",0)</f>
        <v>0</v>
      </c>
      <c r="FE238" t="e">
        <f>AND(Bills!B1035,"AAAAABa7PqA=")</f>
        <v>#VALUE!</v>
      </c>
      <c r="FF238" t="e">
        <f>AND(Bills!#REF!,"AAAAABa7PqE=")</f>
        <v>#REF!</v>
      </c>
      <c r="FG238" t="e">
        <f>AND(Bills!C1035,"AAAAABa7PqI=")</f>
        <v>#VALUE!</v>
      </c>
      <c r="FH238" t="e">
        <f>AND(Bills!D1035,"AAAAABa7PqM=")</f>
        <v>#VALUE!</v>
      </c>
      <c r="FI238" t="e">
        <f>AND(Bills!E1035,"AAAAABa7PqQ=")</f>
        <v>#VALUE!</v>
      </c>
      <c r="FJ238" t="e">
        <f>AND(Bills!#REF!,"AAAAABa7PqU=")</f>
        <v>#REF!</v>
      </c>
      <c r="FK238" t="e">
        <f>AND(Bills!#REF!,"AAAAABa7PqY=")</f>
        <v>#REF!</v>
      </c>
      <c r="FL238" t="e">
        <f>AND(Bills!#REF!,"AAAAABa7Pqc=")</f>
        <v>#REF!</v>
      </c>
      <c r="FM238" t="e">
        <f>AND(Bills!F1035,"AAAAABa7Pqg=")</f>
        <v>#VALUE!</v>
      </c>
      <c r="FN238" t="e">
        <f>AND(Bills!#REF!,"AAAAABa7Pqk=")</f>
        <v>#REF!</v>
      </c>
      <c r="FO238" t="e">
        <f>AND(Bills!G1035,"AAAAABa7Pqo=")</f>
        <v>#VALUE!</v>
      </c>
      <c r="FP238" t="e">
        <f>AND(Bills!H1035,"AAAAABa7Pqs=")</f>
        <v>#VALUE!</v>
      </c>
      <c r="FQ238" t="e">
        <f>AND(Bills!I1035,"AAAAABa7Pqw=")</f>
        <v>#VALUE!</v>
      </c>
      <c r="FR238" t="e">
        <f>AND(Bills!J1035,"AAAAABa7Pq0=")</f>
        <v>#VALUE!</v>
      </c>
      <c r="FS238" t="e">
        <f>AND(Bills!K1035,"AAAAABa7Pq4=")</f>
        <v>#VALUE!</v>
      </c>
      <c r="FT238" t="e">
        <f>AND(Bills!L1035,"AAAAABa7Pq8=")</f>
        <v>#VALUE!</v>
      </c>
      <c r="FU238" t="e">
        <f>AND(Bills!#REF!,"AAAAABa7PrA=")</f>
        <v>#REF!</v>
      </c>
      <c r="FV238" t="e">
        <f>AND(Bills!M1035,"AAAAABa7PrE=")</f>
        <v>#VALUE!</v>
      </c>
      <c r="FW238" t="e">
        <f>AND(Bills!N1035,"AAAAABa7PrI=")</f>
        <v>#VALUE!</v>
      </c>
      <c r="FX238" t="e">
        <f>AND(Bills!O1035,"AAAAABa7PrM=")</f>
        <v>#VALUE!</v>
      </c>
      <c r="FY238" t="e">
        <f>AND(Bills!P1035,"AAAAABa7PrQ=")</f>
        <v>#VALUE!</v>
      </c>
      <c r="FZ238" t="e">
        <f>AND(Bills!Q1035,"AAAAABa7PrU=")</f>
        <v>#VALUE!</v>
      </c>
      <c r="GA238" t="e">
        <f>AND(Bills!R1035,"AAAAABa7PrY=")</f>
        <v>#VALUE!</v>
      </c>
      <c r="GB238" t="e">
        <f>AND(Bills!S1035,"AAAAABa7Prc=")</f>
        <v>#VALUE!</v>
      </c>
      <c r="GC238" t="e">
        <f>AND(Bills!T1035,"AAAAABa7Prg=")</f>
        <v>#VALUE!</v>
      </c>
      <c r="GD238" t="e">
        <f>AND(Bills!#REF!,"AAAAABa7Prk=")</f>
        <v>#REF!</v>
      </c>
      <c r="GE238" t="e">
        <f>AND(Bills!U1035,"AAAAABa7Pro=")</f>
        <v>#VALUE!</v>
      </c>
      <c r="GF238" t="e">
        <f>AND(Bills!V1035,"AAAAABa7Prs=")</f>
        <v>#VALUE!</v>
      </c>
      <c r="GG238" t="e">
        <f>AND(Bills!W1035,"AAAAABa7Prw=")</f>
        <v>#VALUE!</v>
      </c>
      <c r="GH238" t="e">
        <f>AND(Bills!#REF!,"AAAAABa7Pr0=")</f>
        <v>#REF!</v>
      </c>
      <c r="GI238" t="e">
        <f>AND(Bills!#REF!,"AAAAABa7Pr4=")</f>
        <v>#REF!</v>
      </c>
      <c r="GJ238" t="e">
        <f>AND(Bills!Y1035,"AAAAABa7Pr8=")</f>
        <v>#VALUE!</v>
      </c>
      <c r="GK238" t="e">
        <f>AND(Bills!Z1035,"AAAAABa7PsA=")</f>
        <v>#VALUE!</v>
      </c>
      <c r="GL238" t="e">
        <f>AND(Bills!#REF!,"AAAAABa7PsE=")</f>
        <v>#REF!</v>
      </c>
      <c r="GM238" t="e">
        <f>AND(Bills!#REF!,"AAAAABa7PsI=")</f>
        <v>#REF!</v>
      </c>
      <c r="GN238" t="e">
        <f>AND(Bills!#REF!,"AAAAABa7PsM=")</f>
        <v>#REF!</v>
      </c>
      <c r="GO238" t="e">
        <f>AND(Bills!#REF!,"AAAAABa7PsQ=")</f>
        <v>#REF!</v>
      </c>
      <c r="GP238" t="e">
        <f>AND(Bills!#REF!,"AAAAABa7PsU=")</f>
        <v>#REF!</v>
      </c>
      <c r="GQ238" t="e">
        <f>AND(Bills!#REF!,"AAAAABa7PsY=")</f>
        <v>#REF!</v>
      </c>
      <c r="GR238" t="e">
        <f>AND(Bills!#REF!,"AAAAABa7Psc=")</f>
        <v>#REF!</v>
      </c>
      <c r="GS238" t="e">
        <f>AND(Bills!#REF!,"AAAAABa7Psg=")</f>
        <v>#REF!</v>
      </c>
      <c r="GT238" t="e">
        <f>AND(Bills!#REF!,"AAAAABa7Psk=")</f>
        <v>#REF!</v>
      </c>
      <c r="GU238" t="e">
        <f>AND(Bills!AA1035,"AAAAABa7Pso=")</f>
        <v>#VALUE!</v>
      </c>
      <c r="GV238" t="e">
        <f>AND(Bills!AB1035,"AAAAABa7Pss=")</f>
        <v>#VALUE!</v>
      </c>
      <c r="GW238" t="e">
        <f>AND(Bills!#REF!,"AAAAABa7Psw=")</f>
        <v>#REF!</v>
      </c>
      <c r="GX238" t="e">
        <f>AND(Bills!#REF!,"AAAAABa7Ps0=")</f>
        <v>#REF!</v>
      </c>
      <c r="GY238" t="e">
        <f>AND(Bills!#REF!,"AAAAABa7Ps4=")</f>
        <v>#REF!</v>
      </c>
      <c r="GZ238" t="e">
        <f>AND(Bills!AC1035,"AAAAABa7Ps8=")</f>
        <v>#VALUE!</v>
      </c>
      <c r="HA238" t="e">
        <f>AND(Bills!AD1035,"AAAAABa7PtA=")</f>
        <v>#VALUE!</v>
      </c>
      <c r="HB238" t="e">
        <f>AND(Bills!AE1035,"AAAAABa7PtE=")</f>
        <v>#VALUE!</v>
      </c>
      <c r="HC238">
        <f>IF(Bills!1036:1036,"AAAAABa7PtI=",0)</f>
        <v>0</v>
      </c>
      <c r="HD238" t="e">
        <f>AND(Bills!B1036,"AAAAABa7PtM=")</f>
        <v>#VALUE!</v>
      </c>
      <c r="HE238" t="e">
        <f>AND(Bills!#REF!,"AAAAABa7PtQ=")</f>
        <v>#REF!</v>
      </c>
      <c r="HF238" t="e">
        <f>AND(Bills!C1036,"AAAAABa7PtU=")</f>
        <v>#VALUE!</v>
      </c>
      <c r="HG238" t="e">
        <f>AND(Bills!D1036,"AAAAABa7PtY=")</f>
        <v>#VALUE!</v>
      </c>
      <c r="HH238" t="e">
        <f>AND(Bills!E1036,"AAAAABa7Ptc=")</f>
        <v>#VALUE!</v>
      </c>
      <c r="HI238" t="e">
        <f>AND(Bills!#REF!,"AAAAABa7Ptg=")</f>
        <v>#REF!</v>
      </c>
      <c r="HJ238" t="e">
        <f>AND(Bills!#REF!,"AAAAABa7Ptk=")</f>
        <v>#REF!</v>
      </c>
      <c r="HK238" t="e">
        <f>AND(Bills!#REF!,"AAAAABa7Pto=")</f>
        <v>#REF!</v>
      </c>
      <c r="HL238" t="e">
        <f>AND(Bills!F1036,"AAAAABa7Pts=")</f>
        <v>#VALUE!</v>
      </c>
      <c r="HM238" t="e">
        <f>AND(Bills!#REF!,"AAAAABa7Ptw=")</f>
        <v>#REF!</v>
      </c>
      <c r="HN238" t="e">
        <f>AND(Bills!G1036,"AAAAABa7Pt0=")</f>
        <v>#VALUE!</v>
      </c>
      <c r="HO238" t="e">
        <f>AND(Bills!H1036,"AAAAABa7Pt4=")</f>
        <v>#VALUE!</v>
      </c>
      <c r="HP238" t="e">
        <f>AND(Bills!I1036,"AAAAABa7Pt8=")</f>
        <v>#VALUE!</v>
      </c>
      <c r="HQ238" t="e">
        <f>AND(Bills!J1036,"AAAAABa7PuA=")</f>
        <v>#VALUE!</v>
      </c>
      <c r="HR238" t="e">
        <f>AND(Bills!K1036,"AAAAABa7PuE=")</f>
        <v>#VALUE!</v>
      </c>
      <c r="HS238" t="e">
        <f>AND(Bills!L1036,"AAAAABa7PuI=")</f>
        <v>#VALUE!</v>
      </c>
      <c r="HT238" t="e">
        <f>AND(Bills!#REF!,"AAAAABa7PuM=")</f>
        <v>#REF!</v>
      </c>
      <c r="HU238" t="e">
        <f>AND(Bills!M1036,"AAAAABa7PuQ=")</f>
        <v>#VALUE!</v>
      </c>
      <c r="HV238" t="e">
        <f>AND(Bills!N1036,"AAAAABa7PuU=")</f>
        <v>#VALUE!</v>
      </c>
      <c r="HW238" t="e">
        <f>AND(Bills!O1036,"AAAAABa7PuY=")</f>
        <v>#VALUE!</v>
      </c>
      <c r="HX238" t="e">
        <f>AND(Bills!P1036,"AAAAABa7Puc=")</f>
        <v>#VALUE!</v>
      </c>
      <c r="HY238" t="e">
        <f>AND(Bills!Q1036,"AAAAABa7Pug=")</f>
        <v>#VALUE!</v>
      </c>
      <c r="HZ238" t="e">
        <f>AND(Bills!R1036,"AAAAABa7Puk=")</f>
        <v>#VALUE!</v>
      </c>
      <c r="IA238" t="e">
        <f>AND(Bills!S1036,"AAAAABa7Puo=")</f>
        <v>#VALUE!</v>
      </c>
      <c r="IB238" t="e">
        <f>AND(Bills!T1036,"AAAAABa7Pus=")</f>
        <v>#VALUE!</v>
      </c>
      <c r="IC238" t="e">
        <f>AND(Bills!#REF!,"AAAAABa7Puw=")</f>
        <v>#REF!</v>
      </c>
      <c r="ID238" t="e">
        <f>AND(Bills!U1036,"AAAAABa7Pu0=")</f>
        <v>#VALUE!</v>
      </c>
      <c r="IE238" t="e">
        <f>AND(Bills!V1036,"AAAAABa7Pu4=")</f>
        <v>#VALUE!</v>
      </c>
      <c r="IF238" t="e">
        <f>AND(Bills!W1036,"AAAAABa7Pu8=")</f>
        <v>#VALUE!</v>
      </c>
      <c r="IG238" t="e">
        <f>AND(Bills!#REF!,"AAAAABa7PvA=")</f>
        <v>#REF!</v>
      </c>
      <c r="IH238" t="e">
        <f>AND(Bills!#REF!,"AAAAABa7PvE=")</f>
        <v>#REF!</v>
      </c>
      <c r="II238" t="e">
        <f>AND(Bills!Y1036,"AAAAABa7PvI=")</f>
        <v>#VALUE!</v>
      </c>
      <c r="IJ238" t="e">
        <f>AND(Bills!Z1036,"AAAAABa7PvM=")</f>
        <v>#VALUE!</v>
      </c>
      <c r="IK238" t="e">
        <f>AND(Bills!#REF!,"AAAAABa7PvQ=")</f>
        <v>#REF!</v>
      </c>
      <c r="IL238" t="e">
        <f>AND(Bills!#REF!,"AAAAABa7PvU=")</f>
        <v>#REF!</v>
      </c>
      <c r="IM238" t="e">
        <f>AND(Bills!#REF!,"AAAAABa7PvY=")</f>
        <v>#REF!</v>
      </c>
      <c r="IN238" t="e">
        <f>AND(Bills!#REF!,"AAAAABa7Pvc=")</f>
        <v>#REF!</v>
      </c>
      <c r="IO238" t="e">
        <f>AND(Bills!#REF!,"AAAAABa7Pvg=")</f>
        <v>#REF!</v>
      </c>
      <c r="IP238" t="e">
        <f>AND(Bills!#REF!,"AAAAABa7Pvk=")</f>
        <v>#REF!</v>
      </c>
      <c r="IQ238" t="e">
        <f>AND(Bills!#REF!,"AAAAABa7Pvo=")</f>
        <v>#REF!</v>
      </c>
      <c r="IR238" t="e">
        <f>AND(Bills!#REF!,"AAAAABa7Pvs=")</f>
        <v>#REF!</v>
      </c>
      <c r="IS238" t="e">
        <f>AND(Bills!#REF!,"AAAAABa7Pvw=")</f>
        <v>#REF!</v>
      </c>
      <c r="IT238" t="e">
        <f>AND(Bills!AA1036,"AAAAABa7Pv0=")</f>
        <v>#VALUE!</v>
      </c>
      <c r="IU238" t="e">
        <f>AND(Bills!AB1036,"AAAAABa7Pv4=")</f>
        <v>#VALUE!</v>
      </c>
      <c r="IV238" t="e">
        <f>AND(Bills!#REF!,"AAAAABa7Pv8=")</f>
        <v>#REF!</v>
      </c>
    </row>
    <row r="239" spans="1:256" x14ac:dyDescent="0.25">
      <c r="A239" t="e">
        <f>AND(Bills!#REF!,"AAAAAHe3cQA=")</f>
        <v>#REF!</v>
      </c>
      <c r="B239" t="e">
        <f>AND(Bills!#REF!,"AAAAAHe3cQE=")</f>
        <v>#REF!</v>
      </c>
      <c r="C239" t="e">
        <f>AND(Bills!AC1036,"AAAAAHe3cQI=")</f>
        <v>#VALUE!</v>
      </c>
      <c r="D239" t="e">
        <f>AND(Bills!AD1036,"AAAAAHe3cQM=")</f>
        <v>#VALUE!</v>
      </c>
      <c r="E239" t="e">
        <f>AND(Bills!AE1036,"AAAAAHe3cQQ=")</f>
        <v>#VALUE!</v>
      </c>
      <c r="F239">
        <f>IF(Bills!1037:1037,"AAAAAHe3cQU=",0)</f>
        <v>0</v>
      </c>
      <c r="G239" t="e">
        <f>AND(Bills!B1037,"AAAAAHe3cQY=")</f>
        <v>#VALUE!</v>
      </c>
      <c r="H239" t="e">
        <f>AND(Bills!#REF!,"AAAAAHe3cQc=")</f>
        <v>#REF!</v>
      </c>
      <c r="I239" t="e">
        <f>AND(Bills!C1037,"AAAAAHe3cQg=")</f>
        <v>#VALUE!</v>
      </c>
      <c r="J239" t="e">
        <f>AND(Bills!D1037,"AAAAAHe3cQk=")</f>
        <v>#VALUE!</v>
      </c>
      <c r="K239" t="e">
        <f>AND(Bills!E1037,"AAAAAHe3cQo=")</f>
        <v>#VALUE!</v>
      </c>
      <c r="L239" t="e">
        <f>AND(Bills!#REF!,"AAAAAHe3cQs=")</f>
        <v>#REF!</v>
      </c>
      <c r="M239" t="e">
        <f>AND(Bills!#REF!,"AAAAAHe3cQw=")</f>
        <v>#REF!</v>
      </c>
      <c r="N239" t="e">
        <f>AND(Bills!#REF!,"AAAAAHe3cQ0=")</f>
        <v>#REF!</v>
      </c>
      <c r="O239" t="e">
        <f>AND(Bills!F1037,"AAAAAHe3cQ4=")</f>
        <v>#VALUE!</v>
      </c>
      <c r="P239" t="e">
        <f>AND(Bills!#REF!,"AAAAAHe3cQ8=")</f>
        <v>#REF!</v>
      </c>
      <c r="Q239" t="e">
        <f>AND(Bills!G1037,"AAAAAHe3cRA=")</f>
        <v>#VALUE!</v>
      </c>
      <c r="R239" t="e">
        <f>AND(Bills!H1037,"AAAAAHe3cRE=")</f>
        <v>#VALUE!</v>
      </c>
      <c r="S239" t="e">
        <f>AND(Bills!I1037,"AAAAAHe3cRI=")</f>
        <v>#VALUE!</v>
      </c>
      <c r="T239" t="e">
        <f>AND(Bills!J1037,"AAAAAHe3cRM=")</f>
        <v>#VALUE!</v>
      </c>
      <c r="U239" t="e">
        <f>AND(Bills!K1037,"AAAAAHe3cRQ=")</f>
        <v>#VALUE!</v>
      </c>
      <c r="V239" t="e">
        <f>AND(Bills!L1037,"AAAAAHe3cRU=")</f>
        <v>#VALUE!</v>
      </c>
      <c r="W239" t="e">
        <f>AND(Bills!#REF!,"AAAAAHe3cRY=")</f>
        <v>#REF!</v>
      </c>
      <c r="X239" t="e">
        <f>AND(Bills!M1037,"AAAAAHe3cRc=")</f>
        <v>#VALUE!</v>
      </c>
      <c r="Y239" t="e">
        <f>AND(Bills!N1037,"AAAAAHe3cRg=")</f>
        <v>#VALUE!</v>
      </c>
      <c r="Z239" t="e">
        <f>AND(Bills!O1037,"AAAAAHe3cRk=")</f>
        <v>#VALUE!</v>
      </c>
      <c r="AA239" t="e">
        <f>AND(Bills!P1037,"AAAAAHe3cRo=")</f>
        <v>#VALUE!</v>
      </c>
      <c r="AB239" t="e">
        <f>AND(Bills!Q1037,"AAAAAHe3cRs=")</f>
        <v>#VALUE!</v>
      </c>
      <c r="AC239" t="e">
        <f>AND(Bills!R1037,"AAAAAHe3cRw=")</f>
        <v>#VALUE!</v>
      </c>
      <c r="AD239" t="e">
        <f>AND(Bills!S1037,"AAAAAHe3cR0=")</f>
        <v>#VALUE!</v>
      </c>
      <c r="AE239" t="e">
        <f>AND(Bills!T1037,"AAAAAHe3cR4=")</f>
        <v>#VALUE!</v>
      </c>
      <c r="AF239" t="e">
        <f>AND(Bills!#REF!,"AAAAAHe3cR8=")</f>
        <v>#REF!</v>
      </c>
      <c r="AG239" t="e">
        <f>AND(Bills!U1037,"AAAAAHe3cSA=")</f>
        <v>#VALUE!</v>
      </c>
      <c r="AH239" t="e">
        <f>AND(Bills!V1037,"AAAAAHe3cSE=")</f>
        <v>#VALUE!</v>
      </c>
      <c r="AI239" t="e">
        <f>AND(Bills!W1037,"AAAAAHe3cSI=")</f>
        <v>#VALUE!</v>
      </c>
      <c r="AJ239" t="e">
        <f>AND(Bills!#REF!,"AAAAAHe3cSM=")</f>
        <v>#REF!</v>
      </c>
      <c r="AK239" t="e">
        <f>AND(Bills!#REF!,"AAAAAHe3cSQ=")</f>
        <v>#REF!</v>
      </c>
      <c r="AL239" t="e">
        <f>AND(Bills!Y1037,"AAAAAHe3cSU=")</f>
        <v>#VALUE!</v>
      </c>
      <c r="AM239" t="e">
        <f>AND(Bills!Z1037,"AAAAAHe3cSY=")</f>
        <v>#VALUE!</v>
      </c>
      <c r="AN239" t="e">
        <f>AND(Bills!#REF!,"AAAAAHe3cSc=")</f>
        <v>#REF!</v>
      </c>
      <c r="AO239" t="e">
        <f>AND(Bills!#REF!,"AAAAAHe3cSg=")</f>
        <v>#REF!</v>
      </c>
      <c r="AP239" t="e">
        <f>AND(Bills!#REF!,"AAAAAHe3cSk=")</f>
        <v>#REF!</v>
      </c>
      <c r="AQ239" t="e">
        <f>AND(Bills!#REF!,"AAAAAHe3cSo=")</f>
        <v>#REF!</v>
      </c>
      <c r="AR239" t="e">
        <f>AND(Bills!#REF!,"AAAAAHe3cSs=")</f>
        <v>#REF!</v>
      </c>
      <c r="AS239" t="e">
        <f>AND(Bills!#REF!,"AAAAAHe3cSw=")</f>
        <v>#REF!</v>
      </c>
      <c r="AT239" t="e">
        <f>AND(Bills!#REF!,"AAAAAHe3cS0=")</f>
        <v>#REF!</v>
      </c>
      <c r="AU239" t="e">
        <f>AND(Bills!#REF!,"AAAAAHe3cS4=")</f>
        <v>#REF!</v>
      </c>
      <c r="AV239" t="e">
        <f>AND(Bills!#REF!,"AAAAAHe3cS8=")</f>
        <v>#REF!</v>
      </c>
      <c r="AW239" t="e">
        <f>AND(Bills!AA1037,"AAAAAHe3cTA=")</f>
        <v>#VALUE!</v>
      </c>
      <c r="AX239" t="e">
        <f>AND(Bills!AB1037,"AAAAAHe3cTE=")</f>
        <v>#VALUE!</v>
      </c>
      <c r="AY239" t="e">
        <f>AND(Bills!#REF!,"AAAAAHe3cTI=")</f>
        <v>#REF!</v>
      </c>
      <c r="AZ239" t="e">
        <f>AND(Bills!#REF!,"AAAAAHe3cTM=")</f>
        <v>#REF!</v>
      </c>
      <c r="BA239" t="e">
        <f>AND(Bills!#REF!,"AAAAAHe3cTQ=")</f>
        <v>#REF!</v>
      </c>
      <c r="BB239" t="e">
        <f>AND(Bills!AC1037,"AAAAAHe3cTU=")</f>
        <v>#VALUE!</v>
      </c>
      <c r="BC239" t="e">
        <f>AND(Bills!AD1037,"AAAAAHe3cTY=")</f>
        <v>#VALUE!</v>
      </c>
      <c r="BD239" t="e">
        <f>AND(Bills!AE1037,"AAAAAHe3cTc=")</f>
        <v>#VALUE!</v>
      </c>
      <c r="BE239">
        <f>IF(Bills!1038:1038,"AAAAAHe3cTg=",0)</f>
        <v>0</v>
      </c>
      <c r="BF239" t="e">
        <f>AND(Bills!B1038,"AAAAAHe3cTk=")</f>
        <v>#VALUE!</v>
      </c>
      <c r="BG239" t="e">
        <f>AND(Bills!#REF!,"AAAAAHe3cTo=")</f>
        <v>#REF!</v>
      </c>
      <c r="BH239" t="e">
        <f>AND(Bills!C1038,"AAAAAHe3cTs=")</f>
        <v>#VALUE!</v>
      </c>
      <c r="BI239" t="e">
        <f>AND(Bills!D1038,"AAAAAHe3cTw=")</f>
        <v>#VALUE!</v>
      </c>
      <c r="BJ239" t="e">
        <f>AND(Bills!E1038,"AAAAAHe3cT0=")</f>
        <v>#VALUE!</v>
      </c>
      <c r="BK239" t="e">
        <f>AND(Bills!#REF!,"AAAAAHe3cT4=")</f>
        <v>#REF!</v>
      </c>
      <c r="BL239" t="e">
        <f>AND(Bills!#REF!,"AAAAAHe3cT8=")</f>
        <v>#REF!</v>
      </c>
      <c r="BM239" t="e">
        <f>AND(Bills!#REF!,"AAAAAHe3cUA=")</f>
        <v>#REF!</v>
      </c>
      <c r="BN239" t="e">
        <f>AND(Bills!F1038,"AAAAAHe3cUE=")</f>
        <v>#VALUE!</v>
      </c>
      <c r="BO239" t="e">
        <f>AND(Bills!#REF!,"AAAAAHe3cUI=")</f>
        <v>#REF!</v>
      </c>
      <c r="BP239" t="e">
        <f>AND(Bills!G1038,"AAAAAHe3cUM=")</f>
        <v>#VALUE!</v>
      </c>
      <c r="BQ239" t="e">
        <f>AND(Bills!H1038,"AAAAAHe3cUQ=")</f>
        <v>#VALUE!</v>
      </c>
      <c r="BR239" t="e">
        <f>AND(Bills!I1038,"AAAAAHe3cUU=")</f>
        <v>#VALUE!</v>
      </c>
      <c r="BS239" t="e">
        <f>AND(Bills!J1038,"AAAAAHe3cUY=")</f>
        <v>#VALUE!</v>
      </c>
      <c r="BT239" t="e">
        <f>AND(Bills!K1038,"AAAAAHe3cUc=")</f>
        <v>#VALUE!</v>
      </c>
      <c r="BU239" t="e">
        <f>AND(Bills!L1038,"AAAAAHe3cUg=")</f>
        <v>#VALUE!</v>
      </c>
      <c r="BV239" t="e">
        <f>AND(Bills!#REF!,"AAAAAHe3cUk=")</f>
        <v>#REF!</v>
      </c>
      <c r="BW239" t="e">
        <f>AND(Bills!M1038,"AAAAAHe3cUo=")</f>
        <v>#VALUE!</v>
      </c>
      <c r="BX239" t="e">
        <f>AND(Bills!N1038,"AAAAAHe3cUs=")</f>
        <v>#VALUE!</v>
      </c>
      <c r="BY239" t="e">
        <f>AND(Bills!O1038,"AAAAAHe3cUw=")</f>
        <v>#VALUE!</v>
      </c>
      <c r="BZ239" t="e">
        <f>AND(Bills!P1038,"AAAAAHe3cU0=")</f>
        <v>#VALUE!</v>
      </c>
      <c r="CA239" t="e">
        <f>AND(Bills!Q1038,"AAAAAHe3cU4=")</f>
        <v>#VALUE!</v>
      </c>
      <c r="CB239" t="e">
        <f>AND(Bills!R1038,"AAAAAHe3cU8=")</f>
        <v>#VALUE!</v>
      </c>
      <c r="CC239" t="e">
        <f>AND(Bills!S1038,"AAAAAHe3cVA=")</f>
        <v>#VALUE!</v>
      </c>
      <c r="CD239" t="e">
        <f>AND(Bills!T1038,"AAAAAHe3cVE=")</f>
        <v>#VALUE!</v>
      </c>
      <c r="CE239" t="e">
        <f>AND(Bills!#REF!,"AAAAAHe3cVI=")</f>
        <v>#REF!</v>
      </c>
      <c r="CF239" t="e">
        <f>AND(Bills!U1038,"AAAAAHe3cVM=")</f>
        <v>#VALUE!</v>
      </c>
      <c r="CG239" t="e">
        <f>AND(Bills!V1038,"AAAAAHe3cVQ=")</f>
        <v>#VALUE!</v>
      </c>
      <c r="CH239" t="e">
        <f>AND(Bills!W1038,"AAAAAHe3cVU=")</f>
        <v>#VALUE!</v>
      </c>
      <c r="CI239" t="e">
        <f>AND(Bills!#REF!,"AAAAAHe3cVY=")</f>
        <v>#REF!</v>
      </c>
      <c r="CJ239" t="e">
        <f>AND(Bills!#REF!,"AAAAAHe3cVc=")</f>
        <v>#REF!</v>
      </c>
      <c r="CK239" t="e">
        <f>AND(Bills!Y1038,"AAAAAHe3cVg=")</f>
        <v>#VALUE!</v>
      </c>
      <c r="CL239" t="e">
        <f>AND(Bills!Z1038,"AAAAAHe3cVk=")</f>
        <v>#VALUE!</v>
      </c>
      <c r="CM239" t="e">
        <f>AND(Bills!#REF!,"AAAAAHe3cVo=")</f>
        <v>#REF!</v>
      </c>
      <c r="CN239" t="e">
        <f>AND(Bills!#REF!,"AAAAAHe3cVs=")</f>
        <v>#REF!</v>
      </c>
      <c r="CO239" t="e">
        <f>AND(Bills!#REF!,"AAAAAHe3cVw=")</f>
        <v>#REF!</v>
      </c>
      <c r="CP239" t="e">
        <f>AND(Bills!#REF!,"AAAAAHe3cV0=")</f>
        <v>#REF!</v>
      </c>
      <c r="CQ239" t="e">
        <f>AND(Bills!#REF!,"AAAAAHe3cV4=")</f>
        <v>#REF!</v>
      </c>
      <c r="CR239" t="e">
        <f>AND(Bills!#REF!,"AAAAAHe3cV8=")</f>
        <v>#REF!</v>
      </c>
      <c r="CS239" t="e">
        <f>AND(Bills!#REF!,"AAAAAHe3cWA=")</f>
        <v>#REF!</v>
      </c>
      <c r="CT239" t="e">
        <f>AND(Bills!#REF!,"AAAAAHe3cWE=")</f>
        <v>#REF!</v>
      </c>
      <c r="CU239" t="e">
        <f>AND(Bills!#REF!,"AAAAAHe3cWI=")</f>
        <v>#REF!</v>
      </c>
      <c r="CV239" t="e">
        <f>AND(Bills!AA1038,"AAAAAHe3cWM=")</f>
        <v>#VALUE!</v>
      </c>
      <c r="CW239" t="e">
        <f>AND(Bills!AB1038,"AAAAAHe3cWQ=")</f>
        <v>#VALUE!</v>
      </c>
      <c r="CX239" t="e">
        <f>AND(Bills!#REF!,"AAAAAHe3cWU=")</f>
        <v>#REF!</v>
      </c>
      <c r="CY239" t="e">
        <f>AND(Bills!#REF!,"AAAAAHe3cWY=")</f>
        <v>#REF!</v>
      </c>
      <c r="CZ239" t="e">
        <f>AND(Bills!#REF!,"AAAAAHe3cWc=")</f>
        <v>#REF!</v>
      </c>
      <c r="DA239" t="e">
        <f>AND(Bills!AC1038,"AAAAAHe3cWg=")</f>
        <v>#VALUE!</v>
      </c>
      <c r="DB239" t="e">
        <f>AND(Bills!AD1038,"AAAAAHe3cWk=")</f>
        <v>#VALUE!</v>
      </c>
      <c r="DC239" t="e">
        <f>AND(Bills!AE1038,"AAAAAHe3cWo=")</f>
        <v>#VALUE!</v>
      </c>
      <c r="DD239">
        <f>IF(Bills!1039:1039,"AAAAAHe3cWs=",0)</f>
        <v>0</v>
      </c>
      <c r="DE239">
        <f>IF(Bills!1040:1040,"AAAAAHe3cWw=",0)</f>
        <v>0</v>
      </c>
      <c r="DF239">
        <f>IF(Bills!1041:1041,"AAAAAHe3cW0=",0)</f>
        <v>0</v>
      </c>
      <c r="DG239">
        <f>IF(Bills!1042:1042,"AAAAAHe3cW4=",0)</f>
        <v>0</v>
      </c>
      <c r="DH239">
        <f>IF(Bills!1043:1043,"AAAAAHe3cW8=",0)</f>
        <v>0</v>
      </c>
      <c r="DI239">
        <f>IF(Bills!1044:1044,"AAAAAHe3cXA=",0)</f>
        <v>0</v>
      </c>
      <c r="DJ239">
        <f>IF(Bills!1045:1045,"AAAAAHe3cXE=",0)</f>
        <v>0</v>
      </c>
      <c r="DK239">
        <f>IF(Bills!1046:1046,"AAAAAHe3cXI=",0)</f>
        <v>0</v>
      </c>
      <c r="DL239">
        <f>IF(Bills!1047:1047,"AAAAAHe3cXM=",0)</f>
        <v>0</v>
      </c>
      <c r="DM239">
        <f>IF(Bills!1048:1048,"AAAAAHe3cXQ=",0)</f>
        <v>0</v>
      </c>
      <c r="DN239">
        <f>IF(Bills!1049:1049,"AAAAAHe3cXU=",0)</f>
        <v>0</v>
      </c>
      <c r="DO239">
        <f>IF(Bills!1050:1050,"AAAAAHe3cXY=",0)</f>
        <v>0</v>
      </c>
      <c r="DP239">
        <f>IF(Bills!1051:1051,"AAAAAHe3cXc=",0)</f>
        <v>0</v>
      </c>
      <c r="DQ239">
        <f>IF(Bills!1052:1052,"AAAAAHe3cXg=",0)</f>
        <v>0</v>
      </c>
      <c r="DR239">
        <f>IF(Bills!1053:1053,"AAAAAHe3cXk=",0)</f>
        <v>0</v>
      </c>
      <c r="DS239">
        <f>IF(Bills!1054:1054,"AAAAAHe3cXo=",0)</f>
        <v>0</v>
      </c>
      <c r="DT239">
        <f>IF(Bills!1055:1055,"AAAAAHe3cXs=",0)</f>
        <v>0</v>
      </c>
      <c r="DU239">
        <f>IF(Bills!1056:1056,"AAAAAHe3cXw=",0)</f>
        <v>0</v>
      </c>
      <c r="DV239">
        <f>IF(Bills!1057:1057,"AAAAAHe3cX0=",0)</f>
        <v>0</v>
      </c>
      <c r="DW239">
        <f>IF(Bills!1058:1058,"AAAAAHe3cX4=",0)</f>
        <v>0</v>
      </c>
      <c r="DX239">
        <f>IF(Bills!1059:1059,"AAAAAHe3cX8=",0)</f>
        <v>0</v>
      </c>
      <c r="DY239">
        <f>IF(Bills!1060:1060,"AAAAAHe3cYA=",0)</f>
        <v>0</v>
      </c>
      <c r="DZ239">
        <f>IF(Bills!1061:1061,"AAAAAHe3cYE=",0)</f>
        <v>0</v>
      </c>
      <c r="EA239">
        <f>IF(Bills!1062:1062,"AAAAAHe3cYI=",0)</f>
        <v>0</v>
      </c>
      <c r="EB239">
        <f>IF(Bills!1063:1063,"AAAAAHe3cYM=",0)</f>
        <v>0</v>
      </c>
      <c r="EC239">
        <f>IF(Bills!1064:1064,"AAAAAHe3cYQ=",0)</f>
        <v>0</v>
      </c>
      <c r="ED239">
        <f>IF(Bills!1065:1065,"AAAAAHe3cYU=",0)</f>
        <v>0</v>
      </c>
      <c r="EE239">
        <f>IF(Bills!1066:1066,"AAAAAHe3cYY=",0)</f>
        <v>0</v>
      </c>
      <c r="EF239">
        <f>IF(Bills!1067:1067,"AAAAAHe3cYc=",0)</f>
        <v>0</v>
      </c>
      <c r="EG239">
        <f>IF(Bills!1068:1068,"AAAAAHe3cYg=",0)</f>
        <v>0</v>
      </c>
      <c r="EH239">
        <f>IF(Bills!1069:1069,"AAAAAHe3cYk=",0)</f>
        <v>0</v>
      </c>
      <c r="EI239">
        <f>IF(Bills!1070:1070,"AAAAAHe3cYo=",0)</f>
        <v>0</v>
      </c>
      <c r="EJ239">
        <f>IF(Bills!1071:1071,"AAAAAHe3cYs=",0)</f>
        <v>0</v>
      </c>
      <c r="EK239">
        <f>IF(Bills!1072:1072,"AAAAAHe3cYw=",0)</f>
        <v>0</v>
      </c>
      <c r="EL239">
        <f>IF(Bills!1073:1073,"AAAAAHe3cY0=",0)</f>
        <v>0</v>
      </c>
      <c r="EM239">
        <f>IF(Bills!1074:1074,"AAAAAHe3cY4=",0)</f>
        <v>0</v>
      </c>
      <c r="EN239">
        <f>IF(Bills!1075:1075,"AAAAAHe3cY8=",0)</f>
        <v>0</v>
      </c>
      <c r="EO239">
        <f>IF(Bills!1076:1076,"AAAAAHe3cZA=",0)</f>
        <v>0</v>
      </c>
      <c r="EP239">
        <f>IF(Bills!1077:1077,"AAAAAHe3cZE=",0)</f>
        <v>0</v>
      </c>
      <c r="EQ239">
        <f>IF(Bills!1078:1078,"AAAAAHe3cZI=",0)</f>
        <v>0</v>
      </c>
      <c r="ER239">
        <f>IF(Bills!1079:1079,"AAAAAHe3cZM=",0)</f>
        <v>0</v>
      </c>
      <c r="ES239">
        <f>IF(Bills!1080:1080,"AAAAAHe3cZQ=",0)</f>
        <v>0</v>
      </c>
      <c r="ET239">
        <f>IF(Bills!1081:1081,"AAAAAHe3cZU=",0)</f>
        <v>0</v>
      </c>
      <c r="EU239">
        <f>IF(Bills!1082:1082,"AAAAAHe3cZY=",0)</f>
        <v>0</v>
      </c>
      <c r="EV239">
        <f>IF(Bills!1083:1083,"AAAAAHe3cZc=",0)</f>
        <v>0</v>
      </c>
      <c r="EW239">
        <f>IF(Bills!1084:1084,"AAAAAHe3cZg=",0)</f>
        <v>0</v>
      </c>
      <c r="EX239">
        <f>IF(Bills!1085:1085,"AAAAAHe3cZk=",0)</f>
        <v>0</v>
      </c>
      <c r="EY239">
        <f>IF(Bills!1086:1086,"AAAAAHe3cZo=",0)</f>
        <v>0</v>
      </c>
      <c r="EZ239">
        <f>IF(Bills!1087:1087,"AAAAAHe3cZs=",0)</f>
        <v>0</v>
      </c>
      <c r="FA239">
        <f>IF(Bills!1088:1088,"AAAAAHe3cZw=",0)</f>
        <v>0</v>
      </c>
      <c r="FB239">
        <f>IF(Bills!1089:1089,"AAAAAHe3cZ0=",0)</f>
        <v>0</v>
      </c>
      <c r="FC239">
        <f>IF(Bills!1090:1090,"AAAAAHe3cZ4=",0)</f>
        <v>0</v>
      </c>
      <c r="FD239">
        <f>IF(Bills!1091:1091,"AAAAAHe3cZ8=",0)</f>
        <v>0</v>
      </c>
      <c r="FE239">
        <f>IF(Bills!1092:1092,"AAAAAHe3caA=",0)</f>
        <v>0</v>
      </c>
      <c r="FF239">
        <f>IF(Bills!1093:1093,"AAAAAHe3caE=",0)</f>
        <v>0</v>
      </c>
      <c r="FG239">
        <f>IF(Bills!1094:1094,"AAAAAHe3caI=",0)</f>
        <v>0</v>
      </c>
      <c r="FH239">
        <f>IF(Bills!1095:1095,"AAAAAHe3caM=",0)</f>
        <v>0</v>
      </c>
      <c r="FI239">
        <f>IF(Bills!1096:1096,"AAAAAHe3caQ=",0)</f>
        <v>0</v>
      </c>
      <c r="FJ239">
        <f>IF(Bills!1097:1097,"AAAAAHe3caU=",0)</f>
        <v>0</v>
      </c>
      <c r="FK239">
        <f>IF(Bills!1098:1098,"AAAAAHe3caY=",0)</f>
        <v>0</v>
      </c>
      <c r="FL239">
        <f>IF(Bills!1099:1099,"AAAAAHe3cac=",0)</f>
        <v>0</v>
      </c>
      <c r="FM239">
        <f>IF(Bills!1100:1100,"AAAAAHe3cag=",0)</f>
        <v>0</v>
      </c>
      <c r="FN239">
        <f>IF(Bills!1101:1101,"AAAAAHe3cak=",0)</f>
        <v>0</v>
      </c>
      <c r="FO239">
        <f>IF(Bills!1102:1102,"AAAAAHe3cao=",0)</f>
        <v>0</v>
      </c>
      <c r="FP239">
        <f>IF(Bills!1103:1103,"AAAAAHe3cas=",0)</f>
        <v>0</v>
      </c>
      <c r="FQ239">
        <f>IF(Bills!1104:1104,"AAAAAHe3caw=",0)</f>
        <v>0</v>
      </c>
      <c r="FR239">
        <f>IF(Bills!1105:1105,"AAAAAHe3ca0=",0)</f>
        <v>0</v>
      </c>
      <c r="FS239">
        <f>IF(Bills!1106:1106,"AAAAAHe3ca4=",0)</f>
        <v>0</v>
      </c>
      <c r="FT239">
        <f>IF(Bills!1107:1107,"AAAAAHe3ca8=",0)</f>
        <v>0</v>
      </c>
      <c r="FU239">
        <f>IF(Bills!1108:1108,"AAAAAHe3cbA=",0)</f>
        <v>0</v>
      </c>
      <c r="FV239">
        <f>IF(Bills!1109:1109,"AAAAAHe3cbE=",0)</f>
        <v>0</v>
      </c>
      <c r="FW239">
        <f>IF(Bills!1110:1110,"AAAAAHe3cbI=",0)</f>
        <v>0</v>
      </c>
      <c r="FX239">
        <f>IF(Bills!1111:1111,"AAAAAHe3cbM=",0)</f>
        <v>0</v>
      </c>
      <c r="FY239">
        <f>IF(Bills!1112:1112,"AAAAAHe3cbQ=",0)</f>
        <v>0</v>
      </c>
      <c r="FZ239">
        <f>IF(Bills!1113:1113,"AAAAAHe3cbU=",0)</f>
        <v>0</v>
      </c>
      <c r="GA239">
        <f>IF(Bills!1114:1114,"AAAAAHe3cbY=",0)</f>
        <v>0</v>
      </c>
      <c r="GB239">
        <f>IF(Bills!1115:1115,"AAAAAHe3cbc=",0)</f>
        <v>0</v>
      </c>
      <c r="GC239">
        <f>IF(Bills!1116:1116,"AAAAAHe3cbg=",0)</f>
        <v>0</v>
      </c>
      <c r="GD239">
        <f>IF(Bills!1117:1117,"AAAAAHe3cbk=",0)</f>
        <v>0</v>
      </c>
      <c r="GE239">
        <f>IF(Bills!1118:1118,"AAAAAHe3cbo=",0)</f>
        <v>0</v>
      </c>
      <c r="GF239">
        <f>IF(Bills!1119:1119,"AAAAAHe3cbs=",0)</f>
        <v>0</v>
      </c>
      <c r="GG239">
        <f>IF(Bills!1120:1120,"AAAAAHe3cbw=",0)</f>
        <v>0</v>
      </c>
      <c r="GH239">
        <f>IF(Bills!1121:1121,"AAAAAHe3cb0=",0)</f>
        <v>0</v>
      </c>
      <c r="GI239">
        <f>IF(Bills!1122:1122,"AAAAAHe3cb4=",0)</f>
        <v>0</v>
      </c>
      <c r="GJ239">
        <f>IF(Bills!1123:1123,"AAAAAHe3cb8=",0)</f>
        <v>0</v>
      </c>
      <c r="GK239">
        <f>IF(Bills!1124:1124,"AAAAAHe3ccA=",0)</f>
        <v>0</v>
      </c>
      <c r="GL239">
        <f>IF(Bills!1125:1125,"AAAAAHe3ccE=",0)</f>
        <v>0</v>
      </c>
      <c r="GM239">
        <f>IF(Bills!1126:1126,"AAAAAHe3ccI=",0)</f>
        <v>0</v>
      </c>
      <c r="GN239">
        <f>IF(Bills!1127:1127,"AAAAAHe3ccM=",0)</f>
        <v>0</v>
      </c>
      <c r="GO239">
        <f>IF(Bills!1128:1128,"AAAAAHe3ccQ=",0)</f>
        <v>0</v>
      </c>
      <c r="GP239">
        <f>IF(Bills!1129:1129,"AAAAAHe3ccU=",0)</f>
        <v>0</v>
      </c>
      <c r="GQ239">
        <f>IF(Bills!1130:1130,"AAAAAHe3ccY=",0)</f>
        <v>0</v>
      </c>
      <c r="GR239">
        <f>IF(Bills!1131:1131,"AAAAAHe3ccc=",0)</f>
        <v>0</v>
      </c>
      <c r="GS239">
        <f>IF(Bills!1132:1132,"AAAAAHe3ccg=",0)</f>
        <v>0</v>
      </c>
      <c r="GT239">
        <f>IF(Bills!1133:1133,"AAAAAHe3cck=",0)</f>
        <v>0</v>
      </c>
      <c r="GU239">
        <f>IF(Bills!1134:1134,"AAAAAHe3cco=",0)</f>
        <v>0</v>
      </c>
      <c r="GV239">
        <f>IF(Bills!1135:1135,"AAAAAHe3ccs=",0)</f>
        <v>0</v>
      </c>
      <c r="GW239">
        <f>IF(Bills!1136:1136,"AAAAAHe3ccw=",0)</f>
        <v>0</v>
      </c>
      <c r="GX239">
        <f>IF(Bills!1137:1137,"AAAAAHe3cc0=",0)</f>
        <v>0</v>
      </c>
      <c r="GY239">
        <f>IF(Bills!B:B,"AAAAAHe3cc4=",0)</f>
        <v>0</v>
      </c>
      <c r="GZ239" t="e">
        <f>IF(Bills!#REF!,"AAAAAHe3cc8=",0)</f>
        <v>#REF!</v>
      </c>
      <c r="HA239">
        <f>IF(Bills!C:C,"AAAAAHe3cdA=",0)</f>
        <v>0</v>
      </c>
      <c r="HB239">
        <f>IF(Bills!D:D,"AAAAAHe3cdE=",0)</f>
        <v>0</v>
      </c>
      <c r="HC239">
        <f>IF(Bills!E:E,"AAAAAHe3cdI=",0)</f>
        <v>0</v>
      </c>
      <c r="HD239" t="e">
        <f>IF(Bills!#REF!,"AAAAAHe3cdM=",0)</f>
        <v>#REF!</v>
      </c>
      <c r="HE239" t="e">
        <f>IF(Bills!#REF!,"AAAAAHe3cdQ=",0)</f>
        <v>#REF!</v>
      </c>
      <c r="HF239" t="e">
        <f>IF(Bills!#REF!,"AAAAAHe3cdU=",0)</f>
        <v>#REF!</v>
      </c>
      <c r="HG239">
        <f>IF(Bills!F:F,"AAAAAHe3cdY=",0)</f>
        <v>0</v>
      </c>
      <c r="HH239" t="e">
        <f>IF(Bills!#REF!,"AAAAAHe3cdc=",0)</f>
        <v>#REF!</v>
      </c>
      <c r="HI239">
        <f>IF(Bills!G:G,"AAAAAHe3cdg=",0)</f>
        <v>0</v>
      </c>
      <c r="HJ239">
        <f>IF(Bills!H:H,"AAAAAHe3cdk=",0)</f>
        <v>0</v>
      </c>
      <c r="HK239">
        <f>IF(Bills!I:I,"AAAAAHe3cdo=",0)</f>
        <v>0</v>
      </c>
      <c r="HL239">
        <f>IF(Bills!J:J,"AAAAAHe3cds=",0)</f>
        <v>0</v>
      </c>
      <c r="HM239">
        <f>IF(Bills!K:K,"AAAAAHe3cdw=",0)</f>
        <v>0</v>
      </c>
      <c r="HN239">
        <f>IF(Bills!L:L,"AAAAAHe3cd0=",0)</f>
        <v>0</v>
      </c>
      <c r="HO239" t="e">
        <f>IF(Bills!#REF!,"AAAAAHe3cd4=",0)</f>
        <v>#REF!</v>
      </c>
      <c r="HP239">
        <f>IF(Bills!M:M,"AAAAAHe3cd8=",0)</f>
        <v>0</v>
      </c>
      <c r="HQ239">
        <f>IF(Bills!N:N,"AAAAAHe3ceA=",0)</f>
        <v>0</v>
      </c>
      <c r="HR239">
        <f>IF(Bills!O:O,"AAAAAHe3ceE=",0)</f>
        <v>0</v>
      </c>
      <c r="HS239">
        <f>IF(Bills!P:P,"AAAAAHe3ceI=",0)</f>
        <v>0</v>
      </c>
      <c r="HT239">
        <f>IF(Bills!Q:Q,"AAAAAHe3ceM=",0)</f>
        <v>0</v>
      </c>
      <c r="HU239">
        <f>IF(Bills!R:R,"AAAAAHe3ceQ=",0)</f>
        <v>0</v>
      </c>
      <c r="HV239">
        <f>IF(Bills!S:S,"AAAAAHe3ceU=",0)</f>
        <v>0</v>
      </c>
      <c r="HW239">
        <f>IF(Bills!T:T,"AAAAAHe3ceY=",0)</f>
        <v>0</v>
      </c>
      <c r="HX239" t="e">
        <f>IF(Bills!#REF!,"AAAAAHe3cec=",0)</f>
        <v>#REF!</v>
      </c>
      <c r="HY239">
        <f>IF(Bills!U:U,"AAAAAHe3ceg=",0)</f>
        <v>0</v>
      </c>
      <c r="HZ239">
        <f>IF(Bills!V:V,"AAAAAHe3cek=",0)</f>
        <v>0</v>
      </c>
      <c r="IA239">
        <f>IF(Bills!W:W,"AAAAAHe3ceo=",0)</f>
        <v>0</v>
      </c>
      <c r="IB239" t="e">
        <f>IF(Bills!#REF!,"AAAAAHe3ces=",0)</f>
        <v>#REF!</v>
      </c>
      <c r="IC239" t="e">
        <f>IF(Bills!#REF!,"AAAAAHe3cew=",0)</f>
        <v>#REF!</v>
      </c>
      <c r="ID239">
        <f>IF(Bills!Y:Y,"AAAAAHe3ce0=",0)</f>
        <v>0</v>
      </c>
      <c r="IE239">
        <f>IF(Bills!Z:Z,"AAAAAHe3ce4=",0)</f>
        <v>0</v>
      </c>
      <c r="IF239" t="e">
        <f>IF(Bills!#REF!,"AAAAAHe3ce8=",0)</f>
        <v>#REF!</v>
      </c>
      <c r="IG239" t="e">
        <f>IF(Bills!#REF!,"AAAAAHe3cfA=",0)</f>
        <v>#REF!</v>
      </c>
      <c r="IH239" t="e">
        <f>IF(Bills!#REF!,"AAAAAHe3cfE=",0)</f>
        <v>#REF!</v>
      </c>
      <c r="II239" t="e">
        <f>IF(Bills!#REF!,"AAAAAHe3cfI=",0)</f>
        <v>#REF!</v>
      </c>
      <c r="IJ239" t="e">
        <f>IF(Bills!#REF!,"AAAAAHe3cfM=",0)</f>
        <v>#REF!</v>
      </c>
      <c r="IK239" t="e">
        <f>IF(Bills!#REF!,"AAAAAHe3cfQ=",0)</f>
        <v>#REF!</v>
      </c>
      <c r="IL239" t="e">
        <f>IF(Bills!#REF!,"AAAAAHe3cfU=",0)</f>
        <v>#REF!</v>
      </c>
      <c r="IM239" t="e">
        <f>IF(Bills!#REF!,"AAAAAHe3cfY=",0)</f>
        <v>#REF!</v>
      </c>
      <c r="IN239" t="e">
        <f>IF(Bills!#REF!,"AAAAAHe3cfc=",0)</f>
        <v>#REF!</v>
      </c>
      <c r="IO239">
        <f>IF(Bills!AA:AA,"AAAAAHe3cfg=",0)</f>
        <v>0</v>
      </c>
      <c r="IP239">
        <f>IF(Bills!AB:AB,"AAAAAHe3cfk=",0)</f>
        <v>0</v>
      </c>
      <c r="IQ239" t="e">
        <f>IF(Bills!#REF!,"AAAAAHe3cfo=",0)</f>
        <v>#REF!</v>
      </c>
      <c r="IR239" t="e">
        <f>IF(Bills!#REF!,"AAAAAHe3cfs=",0)</f>
        <v>#REF!</v>
      </c>
      <c r="IS239" t="e">
        <f>IF(Bills!#REF!,"AAAAAHe3cfw=",0)</f>
        <v>#REF!</v>
      </c>
      <c r="IT239">
        <f>IF(Bills!AC:AC,"AAAAAHe3cf0=",0)</f>
        <v>0</v>
      </c>
      <c r="IU239">
        <f>IF(Bills!AD:AD,"AAAAAHe3cf4=",0)</f>
        <v>0</v>
      </c>
      <c r="IV239" t="e">
        <f>IF(Bills!AE:AE,"AAAAAHe3cf8=",0)</f>
        <v>#REF!</v>
      </c>
    </row>
    <row r="240" spans="1:256" x14ac:dyDescent="0.25">
      <c r="A240" t="e">
        <f>IF('GA55 Summry'!#REF!,"AAAAAGff3wA=",0)</f>
        <v>#REF!</v>
      </c>
      <c r="B240" t="e">
        <f>AND('GA55 Summry'!#REF!,"AAAAAGff3wE=")</f>
        <v>#REF!</v>
      </c>
      <c r="C240" t="e">
        <f>AND('GA55 Summry'!#REF!,"AAAAAGff3wI=")</f>
        <v>#REF!</v>
      </c>
      <c r="D240" t="e">
        <f>AND('GA55 Summry'!#REF!,"AAAAAGff3wM=")</f>
        <v>#REF!</v>
      </c>
      <c r="E240" t="e">
        <f>AND('GA55 Summry'!#REF!,"AAAAAGff3wQ=")</f>
        <v>#REF!</v>
      </c>
      <c r="F240" t="e">
        <f>AND('GA55 Summry'!#REF!,"AAAAAGff3wU=")</f>
        <v>#REF!</v>
      </c>
      <c r="G240" t="e">
        <f>AND('GA55 Summry'!#REF!,"AAAAAGff3wY=")</f>
        <v>#REF!</v>
      </c>
      <c r="H240" t="e">
        <f>AND('GA55 Summry'!#REF!,"AAAAAGff3wc=")</f>
        <v>#REF!</v>
      </c>
      <c r="I240" t="e">
        <f>AND('GA55 Summry'!#REF!,"AAAAAGff3wg=")</f>
        <v>#REF!</v>
      </c>
      <c r="J240" t="e">
        <f>AND('GA55 Summry'!#REF!,"AAAAAGff3wk=")</f>
        <v>#REF!</v>
      </c>
      <c r="K240" t="e">
        <f>AND('GA55 Summry'!#REF!,"AAAAAGff3wo=")</f>
        <v>#REF!</v>
      </c>
      <c r="L240" t="e">
        <f>AND('GA55 Summry'!#REF!,"AAAAAGff3ws=")</f>
        <v>#REF!</v>
      </c>
      <c r="M240" t="e">
        <f>AND('GA55 Summry'!#REF!,"AAAAAGff3ww=")</f>
        <v>#REF!</v>
      </c>
      <c r="N240" t="e">
        <f>AND('GA55 Summry'!#REF!,"AAAAAGff3w0=")</f>
        <v>#REF!</v>
      </c>
      <c r="O240" t="e">
        <f>AND('GA55 Summry'!#REF!,"AAAAAGff3w4=")</f>
        <v>#REF!</v>
      </c>
      <c r="P240" t="e">
        <f>AND('GA55 Summry'!#REF!,"AAAAAGff3w8=")</f>
        <v>#REF!</v>
      </c>
      <c r="Q240" t="e">
        <f>AND('GA55 Summry'!#REF!,"AAAAAGff3xA=")</f>
        <v>#REF!</v>
      </c>
      <c r="R240" t="e">
        <f>AND('GA55 Summry'!#REF!,"AAAAAGff3xE=")</f>
        <v>#REF!</v>
      </c>
      <c r="S240" t="e">
        <f>AND('GA55 Summry'!#REF!,"AAAAAGff3xI=")</f>
        <v>#REF!</v>
      </c>
      <c r="T240" t="e">
        <f>AND('GA55 Summry'!#REF!,"AAAAAGff3xM=")</f>
        <v>#REF!</v>
      </c>
      <c r="U240" t="e">
        <f>AND('GA55 Summry'!#REF!,"AAAAAGff3xQ=")</f>
        <v>#REF!</v>
      </c>
      <c r="V240" t="e">
        <f>AND('GA55 Summry'!#REF!,"AAAAAGff3xU=")</f>
        <v>#REF!</v>
      </c>
      <c r="W240" t="e">
        <f>AND('GA55 Summry'!#REF!,"AAAAAGff3xY=")</f>
        <v>#REF!</v>
      </c>
      <c r="X240" t="e">
        <f>AND('GA55 Summry'!#REF!,"AAAAAGff3xc=")</f>
        <v>#REF!</v>
      </c>
      <c r="Y240" t="e">
        <f>AND('GA55 Summry'!#REF!,"AAAAAGff3xg=")</f>
        <v>#REF!</v>
      </c>
      <c r="Z240" t="e">
        <f>AND('GA55 Summry'!#REF!,"AAAAAGff3xk=")</f>
        <v>#REF!</v>
      </c>
      <c r="AA240" t="e">
        <f>AND('GA55 Summry'!#REF!,"AAAAAGff3xo=")</f>
        <v>#REF!</v>
      </c>
      <c r="AB240" t="e">
        <f>AND('GA55 Summry'!#REF!,"AAAAAGff3xs=")</f>
        <v>#REF!</v>
      </c>
      <c r="AC240" t="e">
        <f>AND('GA55 Summry'!#REF!,"AAAAAGff3xw=")</f>
        <v>#REF!</v>
      </c>
      <c r="AD240" t="e">
        <f>AND('GA55 Summry'!#REF!,"AAAAAGff3x0=")</f>
        <v>#REF!</v>
      </c>
      <c r="AE240" t="e">
        <f>AND('GA55 Summry'!#REF!,"AAAAAGff3x4=")</f>
        <v>#REF!</v>
      </c>
      <c r="AF240" t="e">
        <f>AND('GA55 Summry'!#REF!,"AAAAAGff3x8=")</f>
        <v>#REF!</v>
      </c>
      <c r="AG240" t="e">
        <f>AND('GA55 Summry'!#REF!,"AAAAAGff3yA=")</f>
        <v>#REF!</v>
      </c>
      <c r="AH240" t="e">
        <f>AND('GA55 Summry'!#REF!,"AAAAAGff3yE=")</f>
        <v>#REF!</v>
      </c>
      <c r="AI240" t="e">
        <f>AND('GA55 Summry'!#REF!,"AAAAAGff3yI=")</f>
        <v>#REF!</v>
      </c>
      <c r="AJ240" t="e">
        <f>AND('GA55 Summry'!#REF!,"AAAAAGff3yM=")</f>
        <v>#REF!</v>
      </c>
      <c r="AK240" t="e">
        <f>AND('GA55 Summry'!#REF!,"AAAAAGff3yQ=")</f>
        <v>#REF!</v>
      </c>
      <c r="AL240" t="e">
        <f>AND('GA55 Summry'!#REF!,"AAAAAGff3yU=")</f>
        <v>#REF!</v>
      </c>
      <c r="AM240" t="e">
        <f>AND('GA55 Summry'!#REF!,"AAAAAGff3yY=")</f>
        <v>#REF!</v>
      </c>
      <c r="AN240" t="e">
        <f>AND('GA55 Summry'!#REF!,"AAAAAGff3yc=")</f>
        <v>#REF!</v>
      </c>
      <c r="AO240" t="e">
        <f>AND('GA55 Summry'!#REF!,"AAAAAGff3yg=")</f>
        <v>#REF!</v>
      </c>
      <c r="AP240" t="e">
        <f>AND('GA55 Summry'!#REF!,"AAAAAGff3yk=")</f>
        <v>#REF!</v>
      </c>
      <c r="AQ240" t="e">
        <f>AND('GA55 Summry'!#REF!,"AAAAAGff3yo=")</f>
        <v>#REF!</v>
      </c>
      <c r="AR240" t="e">
        <f>AND('GA55 Summry'!#REF!,"AAAAAGff3ys=")</f>
        <v>#REF!</v>
      </c>
      <c r="AS240" t="e">
        <f>AND('GA55 Summry'!#REF!,"AAAAAGff3yw=")</f>
        <v>#REF!</v>
      </c>
      <c r="AT240" t="e">
        <f>AND('GA55 Summry'!#REF!,"AAAAAGff3y0=")</f>
        <v>#REF!</v>
      </c>
      <c r="AU240" t="e">
        <f>AND('GA55 Summry'!#REF!,"AAAAAGff3y4=")</f>
        <v>#REF!</v>
      </c>
      <c r="AV240" t="e">
        <f>AND('GA55 Summry'!#REF!,"AAAAAGff3y8=")</f>
        <v>#REF!</v>
      </c>
      <c r="AW240" t="e">
        <f>AND('GA55 Summry'!#REF!,"AAAAAGff3zA=")</f>
        <v>#REF!</v>
      </c>
      <c r="AX240" t="e">
        <f>AND('GA55 Summry'!#REF!,"AAAAAGff3zE=")</f>
        <v>#REF!</v>
      </c>
      <c r="AY240" t="e">
        <f>AND('GA55 Summry'!#REF!,"AAAAAGff3zI=")</f>
        <v>#REF!</v>
      </c>
      <c r="AZ240" t="e">
        <f>AND('GA55 Summry'!#REF!,"AAAAAGff3zM=")</f>
        <v>#REF!</v>
      </c>
      <c r="BA240" t="e">
        <f>AND('GA55 Summry'!#REF!,"AAAAAGff3zQ=")</f>
        <v>#REF!</v>
      </c>
      <c r="BB240" t="e">
        <f>AND('GA55 Summry'!#REF!,"AAAAAGff3zU=")</f>
        <v>#REF!</v>
      </c>
      <c r="BC240" t="e">
        <f>AND('GA55 Summry'!#REF!,"AAAAAGff3zY=")</f>
        <v>#REF!</v>
      </c>
      <c r="BD240" t="e">
        <f>AND('GA55 Summry'!#REF!,"AAAAAGff3zc=")</f>
        <v>#REF!</v>
      </c>
      <c r="BE240" t="e">
        <f>AND('GA55 Summry'!#REF!,"AAAAAGff3zg=")</f>
        <v>#REF!</v>
      </c>
      <c r="BF240" t="e">
        <f>AND('GA55 Summry'!#REF!,"AAAAAGff3zk=")</f>
        <v>#REF!</v>
      </c>
      <c r="BG240" t="e">
        <f>AND('GA55 Summry'!#REF!,"AAAAAGff3zo=")</f>
        <v>#REF!</v>
      </c>
      <c r="BH240" t="e">
        <f>AND('GA55 Summry'!#REF!,"AAAAAGff3zs=")</f>
        <v>#REF!</v>
      </c>
      <c r="BI240" t="e">
        <f>AND('GA55 Summry'!#REF!,"AAAAAGff3zw=")</f>
        <v>#REF!</v>
      </c>
      <c r="BJ240" t="e">
        <f>AND('GA55 Summry'!#REF!,"AAAAAGff3z0=")</f>
        <v>#REF!</v>
      </c>
      <c r="BK240" t="e">
        <f>AND('GA55 Summry'!#REF!,"AAAAAGff3z4=")</f>
        <v>#REF!</v>
      </c>
      <c r="BL240" t="e">
        <f>AND('GA55 Summry'!#REF!,"AAAAAGff3z8=")</f>
        <v>#REF!</v>
      </c>
      <c r="BM240" t="e">
        <f>AND('GA55 Summry'!#REF!,"AAAAAGff30A=")</f>
        <v>#REF!</v>
      </c>
      <c r="BN240" t="e">
        <f>AND('GA55 Summry'!#REF!,"AAAAAGff30E=")</f>
        <v>#REF!</v>
      </c>
      <c r="BO240" t="e">
        <f>AND('GA55 Summry'!#REF!,"AAAAAGff30I=")</f>
        <v>#REF!</v>
      </c>
      <c r="BP240" t="e">
        <f>AND('GA55 Summry'!#REF!,"AAAAAGff30M=")</f>
        <v>#REF!</v>
      </c>
      <c r="BQ240" t="e">
        <f>AND('GA55 Summry'!#REF!,"AAAAAGff30Q=")</f>
        <v>#REF!</v>
      </c>
      <c r="BR240" t="e">
        <f>AND('GA55 Summry'!#REF!,"AAAAAGff30U=")</f>
        <v>#REF!</v>
      </c>
      <c r="BS240" t="e">
        <f>AND('GA55 Summry'!#REF!,"AAAAAGff30Y=")</f>
        <v>#REF!</v>
      </c>
      <c r="BT240" t="e">
        <f>AND('GA55 Summry'!#REF!,"AAAAAGff30c=")</f>
        <v>#REF!</v>
      </c>
      <c r="BU240" t="e">
        <f>AND('GA55 Summry'!#REF!,"AAAAAGff30g=")</f>
        <v>#REF!</v>
      </c>
      <c r="BV240" t="e">
        <f>AND('GA55 Summry'!#REF!,"AAAAAGff30k=")</f>
        <v>#REF!</v>
      </c>
      <c r="BW240" t="e">
        <f>AND('GA55 Summry'!#REF!,"AAAAAGff30o=")</f>
        <v>#REF!</v>
      </c>
      <c r="BX240" t="e">
        <f>IF('GA55 Summry'!#REF!,"AAAAAGff30s=",0)</f>
        <v>#REF!</v>
      </c>
      <c r="BY240" t="e">
        <f>AND('GA55 Summry'!#REF!,"AAAAAGff30w=")</f>
        <v>#REF!</v>
      </c>
      <c r="BZ240" t="e">
        <f>AND('GA55 Summry'!#REF!,"AAAAAGff300=")</f>
        <v>#REF!</v>
      </c>
      <c r="CA240" t="e">
        <f>AND('GA55 Summry'!#REF!,"AAAAAGff304=")</f>
        <v>#REF!</v>
      </c>
      <c r="CB240" t="e">
        <f>AND('GA55 Summry'!#REF!,"AAAAAGff308=")</f>
        <v>#REF!</v>
      </c>
      <c r="CC240" t="e">
        <f>AND('GA55 Summry'!#REF!,"AAAAAGff31A=")</f>
        <v>#REF!</v>
      </c>
      <c r="CD240" t="e">
        <f>AND('GA55 Summry'!#REF!,"AAAAAGff31E=")</f>
        <v>#REF!</v>
      </c>
      <c r="CE240" t="e">
        <f>AND('GA55 Summry'!#REF!,"AAAAAGff31I=")</f>
        <v>#REF!</v>
      </c>
      <c r="CF240" t="e">
        <f>AND('GA55 Summry'!#REF!,"AAAAAGff31M=")</f>
        <v>#REF!</v>
      </c>
      <c r="CG240" t="e">
        <f>AND('GA55 Summry'!#REF!,"AAAAAGff31Q=")</f>
        <v>#REF!</v>
      </c>
      <c r="CH240" t="e">
        <f>AND('GA55 Summry'!#REF!,"AAAAAGff31U=")</f>
        <v>#REF!</v>
      </c>
      <c r="CI240" t="e">
        <f>AND('GA55 Summry'!#REF!,"AAAAAGff31Y=")</f>
        <v>#REF!</v>
      </c>
      <c r="CJ240" t="e">
        <f>AND('GA55 Summry'!#REF!,"AAAAAGff31c=")</f>
        <v>#REF!</v>
      </c>
      <c r="CK240" t="e">
        <f>AND('GA55 Summry'!#REF!,"AAAAAGff31g=")</f>
        <v>#REF!</v>
      </c>
      <c r="CL240" t="e">
        <f>AND('GA55 Summry'!#REF!,"AAAAAGff31k=")</f>
        <v>#REF!</v>
      </c>
      <c r="CM240" t="e">
        <f>AND('GA55 Summry'!#REF!,"AAAAAGff31o=")</f>
        <v>#REF!</v>
      </c>
      <c r="CN240" t="e">
        <f>AND('GA55 Summry'!#REF!,"AAAAAGff31s=")</f>
        <v>#REF!</v>
      </c>
      <c r="CO240" t="e">
        <f>AND('GA55 Summry'!#REF!,"AAAAAGff31w=")</f>
        <v>#REF!</v>
      </c>
      <c r="CP240" t="e">
        <f>AND('GA55 Summry'!#REF!,"AAAAAGff310=")</f>
        <v>#REF!</v>
      </c>
      <c r="CQ240" t="e">
        <f>AND('GA55 Summry'!#REF!,"AAAAAGff314=")</f>
        <v>#REF!</v>
      </c>
      <c r="CR240" t="e">
        <f>AND('GA55 Summry'!#REF!,"AAAAAGff318=")</f>
        <v>#REF!</v>
      </c>
      <c r="CS240" t="e">
        <f>AND('GA55 Summry'!#REF!,"AAAAAGff32A=")</f>
        <v>#REF!</v>
      </c>
      <c r="CT240" t="e">
        <f>AND('GA55 Summry'!#REF!,"AAAAAGff32E=")</f>
        <v>#REF!</v>
      </c>
      <c r="CU240" t="e">
        <f>AND('GA55 Summry'!#REF!,"AAAAAGff32I=")</f>
        <v>#REF!</v>
      </c>
      <c r="CV240" t="e">
        <f>AND('GA55 Summry'!#REF!,"AAAAAGff32M=")</f>
        <v>#REF!</v>
      </c>
      <c r="CW240" t="e">
        <f>AND('GA55 Summry'!#REF!,"AAAAAGff32Q=")</f>
        <v>#REF!</v>
      </c>
      <c r="CX240" t="e">
        <f>AND('GA55 Summry'!#REF!,"AAAAAGff32U=")</f>
        <v>#REF!</v>
      </c>
      <c r="CY240" t="e">
        <f>AND('GA55 Summry'!#REF!,"AAAAAGff32Y=")</f>
        <v>#REF!</v>
      </c>
      <c r="CZ240" t="e">
        <f>AND('GA55 Summry'!#REF!,"AAAAAGff32c=")</f>
        <v>#REF!</v>
      </c>
      <c r="DA240" t="e">
        <f>AND('GA55 Summry'!#REF!,"AAAAAGff32g=")</f>
        <v>#REF!</v>
      </c>
      <c r="DB240" t="e">
        <f>AND('GA55 Summry'!#REF!,"AAAAAGff32k=")</f>
        <v>#REF!</v>
      </c>
      <c r="DC240" t="e">
        <f>AND('GA55 Summry'!#REF!,"AAAAAGff32o=")</f>
        <v>#REF!</v>
      </c>
      <c r="DD240" t="e">
        <f>AND('GA55 Summry'!#REF!,"AAAAAGff32s=")</f>
        <v>#REF!</v>
      </c>
      <c r="DE240" t="e">
        <f>AND('GA55 Summry'!#REF!,"AAAAAGff32w=")</f>
        <v>#REF!</v>
      </c>
      <c r="DF240" t="e">
        <f>AND('GA55 Summry'!#REF!,"AAAAAGff320=")</f>
        <v>#REF!</v>
      </c>
      <c r="DG240" t="e">
        <f>AND('GA55 Summry'!#REF!,"AAAAAGff324=")</f>
        <v>#REF!</v>
      </c>
      <c r="DH240" t="e">
        <f>AND('GA55 Summry'!#REF!,"AAAAAGff328=")</f>
        <v>#REF!</v>
      </c>
      <c r="DI240" t="e">
        <f>AND('GA55 Summry'!#REF!,"AAAAAGff33A=")</f>
        <v>#REF!</v>
      </c>
      <c r="DJ240" t="e">
        <f>AND('GA55 Summry'!#REF!,"AAAAAGff33E=")</f>
        <v>#REF!</v>
      </c>
      <c r="DK240" t="e">
        <f>AND('GA55 Summry'!#REF!,"AAAAAGff33I=")</f>
        <v>#REF!</v>
      </c>
      <c r="DL240" t="e">
        <f>AND('GA55 Summry'!#REF!,"AAAAAGff33M=")</f>
        <v>#REF!</v>
      </c>
      <c r="DM240" t="e">
        <f>AND('GA55 Summry'!#REF!,"AAAAAGff33Q=")</f>
        <v>#REF!</v>
      </c>
      <c r="DN240" t="e">
        <f>AND('GA55 Summry'!#REF!,"AAAAAGff33U=")</f>
        <v>#REF!</v>
      </c>
      <c r="DO240" t="e">
        <f>AND('GA55 Summry'!#REF!,"AAAAAGff33Y=")</f>
        <v>#REF!</v>
      </c>
      <c r="DP240" t="e">
        <f>AND('GA55 Summry'!#REF!,"AAAAAGff33c=")</f>
        <v>#REF!</v>
      </c>
      <c r="DQ240" t="e">
        <f>AND('GA55 Summry'!#REF!,"AAAAAGff33g=")</f>
        <v>#REF!</v>
      </c>
      <c r="DR240" t="e">
        <f>AND('GA55 Summry'!#REF!,"AAAAAGff33k=")</f>
        <v>#REF!</v>
      </c>
      <c r="DS240" t="e">
        <f>AND('GA55 Summry'!#REF!,"AAAAAGff33o=")</f>
        <v>#REF!</v>
      </c>
      <c r="DT240" t="e">
        <f>AND('GA55 Summry'!#REF!,"AAAAAGff33s=")</f>
        <v>#REF!</v>
      </c>
      <c r="DU240" t="e">
        <f>AND('GA55 Summry'!#REF!,"AAAAAGff33w=")</f>
        <v>#REF!</v>
      </c>
      <c r="DV240" t="e">
        <f>AND('GA55 Summry'!#REF!,"AAAAAGff330=")</f>
        <v>#REF!</v>
      </c>
      <c r="DW240" t="e">
        <f>AND('GA55 Summry'!#REF!,"AAAAAGff334=")</f>
        <v>#REF!</v>
      </c>
      <c r="DX240" t="e">
        <f>AND('GA55 Summry'!#REF!,"AAAAAGff338=")</f>
        <v>#REF!</v>
      </c>
      <c r="DY240" t="e">
        <f>AND('GA55 Summry'!#REF!,"AAAAAGff34A=")</f>
        <v>#REF!</v>
      </c>
      <c r="DZ240" t="e">
        <f>AND('GA55 Summry'!#REF!,"AAAAAGff34E=")</f>
        <v>#REF!</v>
      </c>
      <c r="EA240" t="e">
        <f>AND('GA55 Summry'!#REF!,"AAAAAGff34I=")</f>
        <v>#REF!</v>
      </c>
      <c r="EB240" t="e">
        <f>AND('GA55 Summry'!#REF!,"AAAAAGff34M=")</f>
        <v>#REF!</v>
      </c>
      <c r="EC240" t="e">
        <f>AND('GA55 Summry'!#REF!,"AAAAAGff34Q=")</f>
        <v>#REF!</v>
      </c>
      <c r="ED240" t="e">
        <f>AND('GA55 Summry'!#REF!,"AAAAAGff34U=")</f>
        <v>#REF!</v>
      </c>
      <c r="EE240" t="e">
        <f>AND('GA55 Summry'!#REF!,"AAAAAGff34Y=")</f>
        <v>#REF!</v>
      </c>
      <c r="EF240" t="e">
        <f>AND('GA55 Summry'!#REF!,"AAAAAGff34c=")</f>
        <v>#REF!</v>
      </c>
      <c r="EG240" t="e">
        <f>AND('GA55 Summry'!#REF!,"AAAAAGff34g=")</f>
        <v>#REF!</v>
      </c>
      <c r="EH240" t="e">
        <f>AND('GA55 Summry'!#REF!,"AAAAAGff34k=")</f>
        <v>#REF!</v>
      </c>
      <c r="EI240" t="e">
        <f>AND('GA55 Summry'!#REF!,"AAAAAGff34o=")</f>
        <v>#REF!</v>
      </c>
      <c r="EJ240" t="e">
        <f>AND('GA55 Summry'!#REF!,"AAAAAGff34s=")</f>
        <v>#REF!</v>
      </c>
      <c r="EK240" t="e">
        <f>AND('GA55 Summry'!#REF!,"AAAAAGff34w=")</f>
        <v>#REF!</v>
      </c>
      <c r="EL240" t="e">
        <f>AND('GA55 Summry'!#REF!,"AAAAAGff340=")</f>
        <v>#REF!</v>
      </c>
      <c r="EM240" t="e">
        <f>AND('GA55 Summry'!#REF!,"AAAAAGff344=")</f>
        <v>#REF!</v>
      </c>
      <c r="EN240" t="e">
        <f>AND('GA55 Summry'!#REF!,"AAAAAGff348=")</f>
        <v>#REF!</v>
      </c>
      <c r="EO240" t="e">
        <f>AND('GA55 Summry'!#REF!,"AAAAAGff35A=")</f>
        <v>#REF!</v>
      </c>
      <c r="EP240" t="e">
        <f>AND('GA55 Summry'!#REF!,"AAAAAGff35E=")</f>
        <v>#REF!</v>
      </c>
      <c r="EQ240" t="e">
        <f>AND('GA55 Summry'!#REF!,"AAAAAGff35I=")</f>
        <v>#REF!</v>
      </c>
      <c r="ER240" t="e">
        <f>AND('GA55 Summry'!#REF!,"AAAAAGff35M=")</f>
        <v>#REF!</v>
      </c>
      <c r="ES240" t="e">
        <f>AND('GA55 Summry'!#REF!,"AAAAAGff35Q=")</f>
        <v>#REF!</v>
      </c>
      <c r="ET240" t="e">
        <f>AND('GA55 Summry'!#REF!,"AAAAAGff35U=")</f>
        <v>#REF!</v>
      </c>
      <c r="EU240" t="e">
        <f>IF('GA55 Summry'!#REF!,"AAAAAGff35Y=",0)</f>
        <v>#REF!</v>
      </c>
      <c r="EV240" t="e">
        <f>AND('GA55 Summry'!#REF!,"AAAAAGff35c=")</f>
        <v>#REF!</v>
      </c>
      <c r="EW240" t="e">
        <f>AND('GA55 Summry'!#REF!,"AAAAAGff35g=")</f>
        <v>#REF!</v>
      </c>
      <c r="EX240" t="e">
        <f>AND('GA55 Summry'!#REF!,"AAAAAGff35k=")</f>
        <v>#REF!</v>
      </c>
      <c r="EY240" t="e">
        <f>AND('GA55 Summry'!#REF!,"AAAAAGff35o=")</f>
        <v>#REF!</v>
      </c>
      <c r="EZ240" t="e">
        <f>AND('GA55 Summry'!#REF!,"AAAAAGff35s=")</f>
        <v>#REF!</v>
      </c>
      <c r="FA240" t="e">
        <f>AND('GA55 Summry'!#REF!,"AAAAAGff35w=")</f>
        <v>#REF!</v>
      </c>
      <c r="FB240" t="e">
        <f>AND('GA55 Summry'!#REF!,"AAAAAGff350=")</f>
        <v>#REF!</v>
      </c>
      <c r="FC240" t="e">
        <f>AND('GA55 Summry'!#REF!,"AAAAAGff354=")</f>
        <v>#REF!</v>
      </c>
      <c r="FD240" t="e">
        <f>AND('GA55 Summry'!#REF!,"AAAAAGff358=")</f>
        <v>#REF!</v>
      </c>
      <c r="FE240" t="e">
        <f>AND('GA55 Summry'!#REF!,"AAAAAGff36A=")</f>
        <v>#REF!</v>
      </c>
      <c r="FF240" t="e">
        <f>AND('GA55 Summry'!#REF!,"AAAAAGff36E=")</f>
        <v>#REF!</v>
      </c>
      <c r="FG240" t="e">
        <f>AND('GA55 Summry'!#REF!,"AAAAAGff36I=")</f>
        <v>#REF!</v>
      </c>
      <c r="FH240" t="e">
        <f>AND('GA55 Summry'!#REF!,"AAAAAGff36M=")</f>
        <v>#REF!</v>
      </c>
      <c r="FI240" t="e">
        <f>AND('GA55 Summry'!#REF!,"AAAAAGff36Q=")</f>
        <v>#REF!</v>
      </c>
      <c r="FJ240" t="e">
        <f>AND('GA55 Summry'!#REF!,"AAAAAGff36U=")</f>
        <v>#REF!</v>
      </c>
      <c r="FK240" t="e">
        <f>AND('GA55 Summry'!#REF!,"AAAAAGff36Y=")</f>
        <v>#REF!</v>
      </c>
      <c r="FL240" t="e">
        <f>AND('GA55 Summry'!#REF!,"AAAAAGff36c=")</f>
        <v>#REF!</v>
      </c>
      <c r="FM240" t="e">
        <f>AND('GA55 Summry'!#REF!,"AAAAAGff36g=")</f>
        <v>#REF!</v>
      </c>
      <c r="FN240" t="e">
        <f>AND('GA55 Summry'!#REF!,"AAAAAGff36k=")</f>
        <v>#REF!</v>
      </c>
      <c r="FO240" t="e">
        <f>AND('GA55 Summry'!#REF!,"AAAAAGff36o=")</f>
        <v>#REF!</v>
      </c>
      <c r="FP240" t="e">
        <f>AND('GA55 Summry'!#REF!,"AAAAAGff36s=")</f>
        <v>#REF!</v>
      </c>
      <c r="FQ240" t="e">
        <f>AND('GA55 Summry'!#REF!,"AAAAAGff36w=")</f>
        <v>#REF!</v>
      </c>
      <c r="FR240" t="e">
        <f>AND('GA55 Summry'!#REF!,"AAAAAGff360=")</f>
        <v>#REF!</v>
      </c>
      <c r="FS240" t="e">
        <f>AND('GA55 Summry'!#REF!,"AAAAAGff364=")</f>
        <v>#REF!</v>
      </c>
      <c r="FT240" t="e">
        <f>AND('GA55 Summry'!#REF!,"AAAAAGff368=")</f>
        <v>#REF!</v>
      </c>
      <c r="FU240" t="e">
        <f>AND('GA55 Summry'!#REF!,"AAAAAGff37A=")</f>
        <v>#REF!</v>
      </c>
      <c r="FV240" t="e">
        <f>AND('GA55 Summry'!#REF!,"AAAAAGff37E=")</f>
        <v>#REF!</v>
      </c>
      <c r="FW240" t="e">
        <f>AND('GA55 Summry'!#REF!,"AAAAAGff37I=")</f>
        <v>#REF!</v>
      </c>
      <c r="FX240" t="e">
        <f>AND('GA55 Summry'!#REF!,"AAAAAGff37M=")</f>
        <v>#REF!</v>
      </c>
      <c r="FY240" t="e">
        <f>AND('GA55 Summry'!#REF!,"AAAAAGff37Q=")</f>
        <v>#REF!</v>
      </c>
      <c r="FZ240" t="e">
        <f>AND('GA55 Summry'!#REF!,"AAAAAGff37U=")</f>
        <v>#REF!</v>
      </c>
      <c r="GA240" t="e">
        <f>AND('GA55 Summry'!#REF!,"AAAAAGff37Y=")</f>
        <v>#REF!</v>
      </c>
      <c r="GB240" t="e">
        <f>AND('GA55 Summry'!#REF!,"AAAAAGff37c=")</f>
        <v>#REF!</v>
      </c>
      <c r="GC240" t="e">
        <f>AND('GA55 Summry'!#REF!,"AAAAAGff37g=")</f>
        <v>#REF!</v>
      </c>
      <c r="GD240" t="e">
        <f>AND('GA55 Summry'!#REF!,"AAAAAGff37k=")</f>
        <v>#REF!</v>
      </c>
      <c r="GE240" t="e">
        <f>AND('GA55 Summry'!#REF!,"AAAAAGff37o=")</f>
        <v>#REF!</v>
      </c>
      <c r="GF240" t="e">
        <f>AND('GA55 Summry'!#REF!,"AAAAAGff37s=")</f>
        <v>#REF!</v>
      </c>
      <c r="GG240" t="e">
        <f>AND('GA55 Summry'!#REF!,"AAAAAGff37w=")</f>
        <v>#REF!</v>
      </c>
      <c r="GH240" t="e">
        <f>AND('GA55 Summry'!#REF!,"AAAAAGff370=")</f>
        <v>#REF!</v>
      </c>
      <c r="GI240" t="e">
        <f>AND('GA55 Summry'!#REF!,"AAAAAGff374=")</f>
        <v>#REF!</v>
      </c>
      <c r="GJ240" t="e">
        <f>AND('GA55 Summry'!#REF!,"AAAAAGff378=")</f>
        <v>#REF!</v>
      </c>
      <c r="GK240" t="e">
        <f>AND('GA55 Summry'!#REF!,"AAAAAGff38A=")</f>
        <v>#REF!</v>
      </c>
      <c r="GL240" t="e">
        <f>AND('GA55 Summry'!#REF!,"AAAAAGff38E=")</f>
        <v>#REF!</v>
      </c>
      <c r="GM240" t="e">
        <f>AND('GA55 Summry'!#REF!,"AAAAAGff38I=")</f>
        <v>#REF!</v>
      </c>
      <c r="GN240" t="e">
        <f>AND('GA55 Summry'!#REF!,"AAAAAGff38M=")</f>
        <v>#REF!</v>
      </c>
      <c r="GO240" t="e">
        <f>AND('GA55 Summry'!#REF!,"AAAAAGff38Q=")</f>
        <v>#REF!</v>
      </c>
      <c r="GP240" t="e">
        <f>AND('GA55 Summry'!#REF!,"AAAAAGff38U=")</f>
        <v>#REF!</v>
      </c>
      <c r="GQ240" t="e">
        <f>AND('GA55 Summry'!#REF!,"AAAAAGff38Y=")</f>
        <v>#REF!</v>
      </c>
      <c r="GR240" t="e">
        <f>AND('GA55 Summry'!#REF!,"AAAAAGff38c=")</f>
        <v>#REF!</v>
      </c>
      <c r="GS240" t="e">
        <f>AND('GA55 Summry'!#REF!,"AAAAAGff38g=")</f>
        <v>#REF!</v>
      </c>
      <c r="GT240" t="e">
        <f>AND('GA55 Summry'!#REF!,"AAAAAGff38k=")</f>
        <v>#REF!</v>
      </c>
      <c r="GU240" t="e">
        <f>AND('GA55 Summry'!#REF!,"AAAAAGff38o=")</f>
        <v>#REF!</v>
      </c>
      <c r="GV240" t="e">
        <f>AND('GA55 Summry'!#REF!,"AAAAAGff38s=")</f>
        <v>#REF!</v>
      </c>
      <c r="GW240" t="e">
        <f>AND('GA55 Summry'!#REF!,"AAAAAGff38w=")</f>
        <v>#REF!</v>
      </c>
      <c r="GX240" t="e">
        <f>AND('GA55 Summry'!#REF!,"AAAAAGff380=")</f>
        <v>#REF!</v>
      </c>
      <c r="GY240" t="e">
        <f>AND('GA55 Summry'!#REF!,"AAAAAGff384=")</f>
        <v>#REF!</v>
      </c>
      <c r="GZ240" t="e">
        <f>AND('GA55 Summry'!#REF!,"AAAAAGff388=")</f>
        <v>#REF!</v>
      </c>
      <c r="HA240" t="e">
        <f>AND('GA55 Summry'!#REF!,"AAAAAGff39A=")</f>
        <v>#REF!</v>
      </c>
      <c r="HB240" t="e">
        <f>AND('GA55 Summry'!#REF!,"AAAAAGff39E=")</f>
        <v>#REF!</v>
      </c>
      <c r="HC240" t="e">
        <f>AND('GA55 Summry'!#REF!,"AAAAAGff39I=")</f>
        <v>#REF!</v>
      </c>
      <c r="HD240" t="e">
        <f>AND('GA55 Summry'!#REF!,"AAAAAGff39M=")</f>
        <v>#REF!</v>
      </c>
      <c r="HE240" t="e">
        <f>AND('GA55 Summry'!#REF!,"AAAAAGff39Q=")</f>
        <v>#REF!</v>
      </c>
      <c r="HF240" t="e">
        <f>AND('GA55 Summry'!#REF!,"AAAAAGff39U=")</f>
        <v>#REF!</v>
      </c>
      <c r="HG240" t="e">
        <f>AND('GA55 Summry'!#REF!,"AAAAAGff39Y=")</f>
        <v>#REF!</v>
      </c>
      <c r="HH240" t="e">
        <f>AND('GA55 Summry'!#REF!,"AAAAAGff39c=")</f>
        <v>#REF!</v>
      </c>
      <c r="HI240" t="e">
        <f>AND('GA55 Summry'!#REF!,"AAAAAGff39g=")</f>
        <v>#REF!</v>
      </c>
      <c r="HJ240" t="e">
        <f>AND('GA55 Summry'!#REF!,"AAAAAGff39k=")</f>
        <v>#REF!</v>
      </c>
      <c r="HK240" t="e">
        <f>AND('GA55 Summry'!#REF!,"AAAAAGff39o=")</f>
        <v>#REF!</v>
      </c>
      <c r="HL240" t="e">
        <f>AND('GA55 Summry'!#REF!,"AAAAAGff39s=")</f>
        <v>#REF!</v>
      </c>
      <c r="HM240" t="e">
        <f>AND('GA55 Summry'!#REF!,"AAAAAGff39w=")</f>
        <v>#REF!</v>
      </c>
      <c r="HN240" t="e">
        <f>AND('GA55 Summry'!#REF!,"AAAAAGff390=")</f>
        <v>#REF!</v>
      </c>
      <c r="HO240" t="e">
        <f>AND('GA55 Summry'!#REF!,"AAAAAGff394=")</f>
        <v>#REF!</v>
      </c>
      <c r="HP240" t="e">
        <f>AND('GA55 Summry'!#REF!,"AAAAAGff398=")</f>
        <v>#REF!</v>
      </c>
      <c r="HQ240" t="e">
        <f>AND('GA55 Summry'!#REF!,"AAAAAGff3+A=")</f>
        <v>#REF!</v>
      </c>
      <c r="HR240" t="e">
        <f>IF('GA55 Summry'!#REF!,"AAAAAGff3+E=",0)</f>
        <v>#REF!</v>
      </c>
      <c r="HS240" t="e">
        <f>AND('GA55 Summry'!#REF!,"AAAAAGff3+I=")</f>
        <v>#REF!</v>
      </c>
      <c r="HT240" t="e">
        <f>AND('GA55 Summry'!#REF!,"AAAAAGff3+M=")</f>
        <v>#REF!</v>
      </c>
      <c r="HU240" t="e">
        <f>AND('GA55 Summry'!#REF!,"AAAAAGff3+Q=")</f>
        <v>#REF!</v>
      </c>
      <c r="HV240" t="e">
        <f>AND('GA55 Summry'!#REF!,"AAAAAGff3+U=")</f>
        <v>#REF!</v>
      </c>
      <c r="HW240" t="e">
        <f>AND('GA55 Summry'!#REF!,"AAAAAGff3+Y=")</f>
        <v>#REF!</v>
      </c>
      <c r="HX240" t="e">
        <f>AND('GA55 Summry'!#REF!,"AAAAAGff3+c=")</f>
        <v>#REF!</v>
      </c>
      <c r="HY240" t="e">
        <f>AND('GA55 Summry'!#REF!,"AAAAAGff3+g=")</f>
        <v>#REF!</v>
      </c>
      <c r="HZ240" t="e">
        <f>AND('GA55 Summry'!#REF!,"AAAAAGff3+k=")</f>
        <v>#REF!</v>
      </c>
      <c r="IA240" t="e">
        <f>AND('GA55 Summry'!#REF!,"AAAAAGff3+o=")</f>
        <v>#REF!</v>
      </c>
      <c r="IB240" t="e">
        <f>AND('GA55 Summry'!#REF!,"AAAAAGff3+s=")</f>
        <v>#REF!</v>
      </c>
      <c r="IC240" t="e">
        <f>AND('GA55 Summry'!#REF!,"AAAAAGff3+w=")</f>
        <v>#REF!</v>
      </c>
      <c r="ID240" t="e">
        <f>AND('GA55 Summry'!#REF!,"AAAAAGff3+0=")</f>
        <v>#REF!</v>
      </c>
      <c r="IE240" t="e">
        <f>AND('GA55 Summry'!#REF!,"AAAAAGff3+4=")</f>
        <v>#REF!</v>
      </c>
      <c r="IF240" t="e">
        <f>AND('GA55 Summry'!#REF!,"AAAAAGff3+8=")</f>
        <v>#REF!</v>
      </c>
      <c r="IG240" t="e">
        <f>AND('GA55 Summry'!#REF!,"AAAAAGff3/A=")</f>
        <v>#REF!</v>
      </c>
      <c r="IH240" t="e">
        <f>AND('GA55 Summry'!#REF!,"AAAAAGff3/E=")</f>
        <v>#REF!</v>
      </c>
      <c r="II240" t="e">
        <f>AND('GA55 Summry'!#REF!,"AAAAAGff3/I=")</f>
        <v>#REF!</v>
      </c>
      <c r="IJ240" t="e">
        <f>AND('GA55 Summry'!#REF!,"AAAAAGff3/M=")</f>
        <v>#REF!</v>
      </c>
      <c r="IK240" t="e">
        <f>AND('GA55 Summry'!#REF!,"AAAAAGff3/Q=")</f>
        <v>#REF!</v>
      </c>
      <c r="IL240" t="e">
        <f>AND('GA55 Summry'!#REF!,"AAAAAGff3/U=")</f>
        <v>#REF!</v>
      </c>
      <c r="IM240" t="e">
        <f>AND('GA55 Summry'!#REF!,"AAAAAGff3/Y=")</f>
        <v>#REF!</v>
      </c>
      <c r="IN240" t="e">
        <f>AND('GA55 Summry'!#REF!,"AAAAAGff3/c=")</f>
        <v>#REF!</v>
      </c>
      <c r="IO240" t="e">
        <f>AND('GA55 Summry'!#REF!,"AAAAAGff3/g=")</f>
        <v>#REF!</v>
      </c>
      <c r="IP240" t="e">
        <f>AND('GA55 Summry'!#REF!,"AAAAAGff3/k=")</f>
        <v>#REF!</v>
      </c>
      <c r="IQ240" t="e">
        <f>AND('GA55 Summry'!#REF!,"AAAAAGff3/o=")</f>
        <v>#REF!</v>
      </c>
      <c r="IR240" t="e">
        <f>AND('GA55 Summry'!#REF!,"AAAAAGff3/s=")</f>
        <v>#REF!</v>
      </c>
      <c r="IS240" t="e">
        <f>AND('GA55 Summry'!#REF!,"AAAAAGff3/w=")</f>
        <v>#REF!</v>
      </c>
      <c r="IT240" t="e">
        <f>AND('GA55 Summry'!#REF!,"AAAAAGff3/0=")</f>
        <v>#REF!</v>
      </c>
      <c r="IU240" t="e">
        <f>AND('GA55 Summry'!#REF!,"AAAAAGff3/4=")</f>
        <v>#REF!</v>
      </c>
      <c r="IV240" t="e">
        <f>AND('GA55 Summry'!#REF!,"AAAAAGff3/8=")</f>
        <v>#REF!</v>
      </c>
    </row>
    <row r="241" spans="1:256" x14ac:dyDescent="0.25">
      <c r="A241" t="e">
        <f>AND('GA55 Summry'!#REF!,"AAAAAH1OUwA=")</f>
        <v>#REF!</v>
      </c>
      <c r="B241" t="e">
        <f>AND('GA55 Summry'!#REF!,"AAAAAH1OUwE=")</f>
        <v>#REF!</v>
      </c>
      <c r="C241" t="e">
        <f>AND('GA55 Summry'!#REF!,"AAAAAH1OUwI=")</f>
        <v>#REF!</v>
      </c>
      <c r="D241" t="e">
        <f>AND('GA55 Summry'!#REF!,"AAAAAH1OUwM=")</f>
        <v>#REF!</v>
      </c>
      <c r="E241" t="e">
        <f>AND('GA55 Summry'!#REF!,"AAAAAH1OUwQ=")</f>
        <v>#REF!</v>
      </c>
      <c r="F241" t="e">
        <f>AND('GA55 Summry'!#REF!,"AAAAAH1OUwU=")</f>
        <v>#REF!</v>
      </c>
      <c r="G241" t="e">
        <f>AND('GA55 Summry'!#REF!,"AAAAAH1OUwY=")</f>
        <v>#REF!</v>
      </c>
      <c r="H241" t="e">
        <f>AND('GA55 Summry'!#REF!,"AAAAAH1OUwc=")</f>
        <v>#REF!</v>
      </c>
      <c r="I241" t="e">
        <f>AND('GA55 Summry'!#REF!,"AAAAAH1OUwg=")</f>
        <v>#REF!</v>
      </c>
      <c r="J241" t="e">
        <f>AND('GA55 Summry'!#REF!,"AAAAAH1OUwk=")</f>
        <v>#REF!</v>
      </c>
      <c r="K241" t="e">
        <f>AND('GA55 Summry'!#REF!,"AAAAAH1OUwo=")</f>
        <v>#REF!</v>
      </c>
      <c r="L241" t="e">
        <f>AND('GA55 Summry'!#REF!,"AAAAAH1OUws=")</f>
        <v>#REF!</v>
      </c>
      <c r="M241" t="e">
        <f>AND('GA55 Summry'!#REF!,"AAAAAH1OUww=")</f>
        <v>#REF!</v>
      </c>
      <c r="N241" t="e">
        <f>AND('GA55 Summry'!#REF!,"AAAAAH1OUw0=")</f>
        <v>#REF!</v>
      </c>
      <c r="O241" t="e">
        <f>AND('GA55 Summry'!#REF!,"AAAAAH1OUw4=")</f>
        <v>#REF!</v>
      </c>
      <c r="P241" t="e">
        <f>AND('GA55 Summry'!#REF!,"AAAAAH1OUw8=")</f>
        <v>#REF!</v>
      </c>
      <c r="Q241" t="e">
        <f>AND('GA55 Summry'!#REF!,"AAAAAH1OUxA=")</f>
        <v>#REF!</v>
      </c>
      <c r="R241" t="e">
        <f>AND('GA55 Summry'!#REF!,"AAAAAH1OUxE=")</f>
        <v>#REF!</v>
      </c>
      <c r="S241" t="e">
        <f>AND('GA55 Summry'!#REF!,"AAAAAH1OUxI=")</f>
        <v>#REF!</v>
      </c>
      <c r="T241" t="e">
        <f>AND('GA55 Summry'!#REF!,"AAAAAH1OUxM=")</f>
        <v>#REF!</v>
      </c>
      <c r="U241" t="e">
        <f>AND('GA55 Summry'!#REF!,"AAAAAH1OUxQ=")</f>
        <v>#REF!</v>
      </c>
      <c r="V241" t="e">
        <f>AND('GA55 Summry'!#REF!,"AAAAAH1OUxU=")</f>
        <v>#REF!</v>
      </c>
      <c r="W241" t="e">
        <f>AND('GA55 Summry'!#REF!,"AAAAAH1OUxY=")</f>
        <v>#REF!</v>
      </c>
      <c r="X241" t="e">
        <f>AND('GA55 Summry'!#REF!,"AAAAAH1OUxc=")</f>
        <v>#REF!</v>
      </c>
      <c r="Y241" t="e">
        <f>AND('GA55 Summry'!#REF!,"AAAAAH1OUxg=")</f>
        <v>#REF!</v>
      </c>
      <c r="Z241" t="e">
        <f>AND('GA55 Summry'!#REF!,"AAAAAH1OUxk=")</f>
        <v>#REF!</v>
      </c>
      <c r="AA241" t="e">
        <f>AND('GA55 Summry'!#REF!,"AAAAAH1OUxo=")</f>
        <v>#REF!</v>
      </c>
      <c r="AB241" t="e">
        <f>AND('GA55 Summry'!#REF!,"AAAAAH1OUxs=")</f>
        <v>#REF!</v>
      </c>
      <c r="AC241" t="e">
        <f>AND('GA55 Summry'!#REF!,"AAAAAH1OUxw=")</f>
        <v>#REF!</v>
      </c>
      <c r="AD241" t="e">
        <f>AND('GA55 Summry'!#REF!,"AAAAAH1OUx0=")</f>
        <v>#REF!</v>
      </c>
      <c r="AE241" t="e">
        <f>AND('GA55 Summry'!#REF!,"AAAAAH1OUx4=")</f>
        <v>#REF!</v>
      </c>
      <c r="AF241" t="e">
        <f>AND('GA55 Summry'!#REF!,"AAAAAH1OUx8=")</f>
        <v>#REF!</v>
      </c>
      <c r="AG241" t="e">
        <f>AND('GA55 Summry'!#REF!,"AAAAAH1OUyA=")</f>
        <v>#REF!</v>
      </c>
      <c r="AH241" t="e">
        <f>AND('GA55 Summry'!#REF!,"AAAAAH1OUyE=")</f>
        <v>#REF!</v>
      </c>
      <c r="AI241" t="e">
        <f>AND('GA55 Summry'!#REF!,"AAAAAH1OUyI=")</f>
        <v>#REF!</v>
      </c>
      <c r="AJ241" t="e">
        <f>AND('GA55 Summry'!#REF!,"AAAAAH1OUyM=")</f>
        <v>#REF!</v>
      </c>
      <c r="AK241" t="e">
        <f>AND('GA55 Summry'!#REF!,"AAAAAH1OUyQ=")</f>
        <v>#REF!</v>
      </c>
      <c r="AL241" t="e">
        <f>AND('GA55 Summry'!#REF!,"AAAAAH1OUyU=")</f>
        <v>#REF!</v>
      </c>
      <c r="AM241" t="e">
        <f>AND('GA55 Summry'!#REF!,"AAAAAH1OUyY=")</f>
        <v>#REF!</v>
      </c>
      <c r="AN241" t="e">
        <f>AND('GA55 Summry'!#REF!,"AAAAAH1OUyc=")</f>
        <v>#REF!</v>
      </c>
      <c r="AO241" t="e">
        <f>AND('GA55 Summry'!#REF!,"AAAAAH1OUyg=")</f>
        <v>#REF!</v>
      </c>
      <c r="AP241" t="e">
        <f>AND('GA55 Summry'!#REF!,"AAAAAH1OUyk=")</f>
        <v>#REF!</v>
      </c>
      <c r="AQ241" t="e">
        <f>AND('GA55 Summry'!#REF!,"AAAAAH1OUyo=")</f>
        <v>#REF!</v>
      </c>
      <c r="AR241" t="e">
        <f>AND('GA55 Summry'!#REF!,"AAAAAH1OUys=")</f>
        <v>#REF!</v>
      </c>
      <c r="AS241" t="e">
        <f>IF('GA55 Summry'!#REF!,"AAAAAH1OUyw=",0)</f>
        <v>#REF!</v>
      </c>
      <c r="AT241" t="e">
        <f>AND('GA55 Summry'!#REF!,"AAAAAH1OUy0=")</f>
        <v>#REF!</v>
      </c>
      <c r="AU241" t="e">
        <f>AND('GA55 Summry'!#REF!,"AAAAAH1OUy4=")</f>
        <v>#REF!</v>
      </c>
      <c r="AV241" t="e">
        <f>AND('GA55 Summry'!#REF!,"AAAAAH1OUy8=")</f>
        <v>#REF!</v>
      </c>
      <c r="AW241" t="e">
        <f>AND('GA55 Summry'!#REF!,"AAAAAH1OUzA=")</f>
        <v>#REF!</v>
      </c>
      <c r="AX241" t="e">
        <f>AND('GA55 Summry'!#REF!,"AAAAAH1OUzE=")</f>
        <v>#REF!</v>
      </c>
      <c r="AY241" t="e">
        <f>AND('GA55 Summry'!#REF!,"AAAAAH1OUzI=")</f>
        <v>#REF!</v>
      </c>
      <c r="AZ241" t="e">
        <f>AND('GA55 Summry'!#REF!,"AAAAAH1OUzM=")</f>
        <v>#REF!</v>
      </c>
      <c r="BA241" t="e">
        <f>AND('GA55 Summry'!#REF!,"AAAAAH1OUzQ=")</f>
        <v>#REF!</v>
      </c>
      <c r="BB241" t="e">
        <f>AND('GA55 Summry'!#REF!,"AAAAAH1OUzU=")</f>
        <v>#REF!</v>
      </c>
      <c r="BC241" t="e">
        <f>AND('GA55 Summry'!#REF!,"AAAAAH1OUzY=")</f>
        <v>#REF!</v>
      </c>
      <c r="BD241" t="e">
        <f>AND('GA55 Summry'!#REF!,"AAAAAH1OUzc=")</f>
        <v>#REF!</v>
      </c>
      <c r="BE241" t="e">
        <f>AND('GA55 Summry'!#REF!,"AAAAAH1OUzg=")</f>
        <v>#REF!</v>
      </c>
      <c r="BF241" t="e">
        <f>AND('GA55 Summry'!#REF!,"AAAAAH1OUzk=")</f>
        <v>#REF!</v>
      </c>
      <c r="BG241" t="e">
        <f>AND('GA55 Summry'!#REF!,"AAAAAH1OUzo=")</f>
        <v>#REF!</v>
      </c>
      <c r="BH241" t="e">
        <f>AND('GA55 Summry'!#REF!,"AAAAAH1OUzs=")</f>
        <v>#REF!</v>
      </c>
      <c r="BI241" t="e">
        <f>AND('GA55 Summry'!#REF!,"AAAAAH1OUzw=")</f>
        <v>#REF!</v>
      </c>
      <c r="BJ241" t="e">
        <f>AND('GA55 Summry'!#REF!,"AAAAAH1OUz0=")</f>
        <v>#REF!</v>
      </c>
      <c r="BK241" t="e">
        <f>AND('GA55 Summry'!#REF!,"AAAAAH1OUz4=")</f>
        <v>#REF!</v>
      </c>
      <c r="BL241" t="e">
        <f>AND('GA55 Summry'!#REF!,"AAAAAH1OUz8=")</f>
        <v>#REF!</v>
      </c>
      <c r="BM241" t="e">
        <f>AND('GA55 Summry'!#REF!,"AAAAAH1OU0A=")</f>
        <v>#REF!</v>
      </c>
      <c r="BN241" t="e">
        <f>AND('GA55 Summry'!#REF!,"AAAAAH1OU0E=")</f>
        <v>#REF!</v>
      </c>
      <c r="BO241" t="e">
        <f>AND('GA55 Summry'!#REF!,"AAAAAH1OU0I=")</f>
        <v>#REF!</v>
      </c>
      <c r="BP241" t="e">
        <f>AND('GA55 Summry'!#REF!,"AAAAAH1OU0M=")</f>
        <v>#REF!</v>
      </c>
      <c r="BQ241" t="e">
        <f>AND('GA55 Summry'!#REF!,"AAAAAH1OU0Q=")</f>
        <v>#REF!</v>
      </c>
      <c r="BR241" t="e">
        <f>AND('GA55 Summry'!#REF!,"AAAAAH1OU0U=")</f>
        <v>#REF!</v>
      </c>
      <c r="BS241" t="e">
        <f>AND('GA55 Summry'!#REF!,"AAAAAH1OU0Y=")</f>
        <v>#REF!</v>
      </c>
      <c r="BT241" t="e">
        <f>AND('GA55 Summry'!#REF!,"AAAAAH1OU0c=")</f>
        <v>#REF!</v>
      </c>
      <c r="BU241" t="e">
        <f>AND('GA55 Summry'!#REF!,"AAAAAH1OU0g=")</f>
        <v>#REF!</v>
      </c>
      <c r="BV241" t="e">
        <f>AND('GA55 Summry'!#REF!,"AAAAAH1OU0k=")</f>
        <v>#REF!</v>
      </c>
      <c r="BW241" t="e">
        <f>AND('GA55 Summry'!#REF!,"AAAAAH1OU0o=")</f>
        <v>#REF!</v>
      </c>
      <c r="BX241" t="e">
        <f>AND('GA55 Summry'!#REF!,"AAAAAH1OU0s=")</f>
        <v>#REF!</v>
      </c>
      <c r="BY241" t="e">
        <f>AND('GA55 Summry'!#REF!,"AAAAAH1OU0w=")</f>
        <v>#REF!</v>
      </c>
      <c r="BZ241" t="e">
        <f>AND('GA55 Summry'!#REF!,"AAAAAH1OU00=")</f>
        <v>#REF!</v>
      </c>
      <c r="CA241" t="e">
        <f>AND('GA55 Summry'!#REF!,"AAAAAH1OU04=")</f>
        <v>#REF!</v>
      </c>
      <c r="CB241" t="e">
        <f>AND('GA55 Summry'!#REF!,"AAAAAH1OU08=")</f>
        <v>#REF!</v>
      </c>
      <c r="CC241" t="e">
        <f>AND('GA55 Summry'!#REF!,"AAAAAH1OU1A=")</f>
        <v>#REF!</v>
      </c>
      <c r="CD241" t="e">
        <f>AND('GA55 Summry'!#REF!,"AAAAAH1OU1E=")</f>
        <v>#REF!</v>
      </c>
      <c r="CE241" t="e">
        <f>AND('GA55 Summry'!#REF!,"AAAAAH1OU1I=")</f>
        <v>#REF!</v>
      </c>
      <c r="CF241" t="e">
        <f>AND('GA55 Summry'!#REF!,"AAAAAH1OU1M=")</f>
        <v>#REF!</v>
      </c>
      <c r="CG241" t="e">
        <f>AND('GA55 Summry'!#REF!,"AAAAAH1OU1Q=")</f>
        <v>#REF!</v>
      </c>
      <c r="CH241" t="e">
        <f>AND('GA55 Summry'!#REF!,"AAAAAH1OU1U=")</f>
        <v>#REF!</v>
      </c>
      <c r="CI241" t="e">
        <f>AND('GA55 Summry'!#REF!,"AAAAAH1OU1Y=")</f>
        <v>#REF!</v>
      </c>
      <c r="CJ241" t="e">
        <f>AND('GA55 Summry'!#REF!,"AAAAAH1OU1c=")</f>
        <v>#REF!</v>
      </c>
      <c r="CK241" t="e">
        <f>AND('GA55 Summry'!#REF!,"AAAAAH1OU1g=")</f>
        <v>#REF!</v>
      </c>
      <c r="CL241" t="e">
        <f>AND('GA55 Summry'!#REF!,"AAAAAH1OU1k=")</f>
        <v>#REF!</v>
      </c>
      <c r="CM241" t="e">
        <f>AND('GA55 Summry'!#REF!,"AAAAAH1OU1o=")</f>
        <v>#REF!</v>
      </c>
      <c r="CN241" t="e">
        <f>AND('GA55 Summry'!#REF!,"AAAAAH1OU1s=")</f>
        <v>#REF!</v>
      </c>
      <c r="CO241" t="e">
        <f>AND('GA55 Summry'!#REF!,"AAAAAH1OU1w=")</f>
        <v>#REF!</v>
      </c>
      <c r="CP241" t="e">
        <f>AND('GA55 Summry'!#REF!,"AAAAAH1OU10=")</f>
        <v>#REF!</v>
      </c>
      <c r="CQ241" t="e">
        <f>AND('GA55 Summry'!#REF!,"AAAAAH1OU14=")</f>
        <v>#REF!</v>
      </c>
      <c r="CR241" t="e">
        <f>AND('GA55 Summry'!#REF!,"AAAAAH1OU18=")</f>
        <v>#REF!</v>
      </c>
      <c r="CS241" t="e">
        <f>AND('GA55 Summry'!#REF!,"AAAAAH1OU2A=")</f>
        <v>#REF!</v>
      </c>
      <c r="CT241" t="e">
        <f>AND('GA55 Summry'!#REF!,"AAAAAH1OU2E=")</f>
        <v>#REF!</v>
      </c>
      <c r="CU241" t="e">
        <f>AND('GA55 Summry'!#REF!,"AAAAAH1OU2I=")</f>
        <v>#REF!</v>
      </c>
      <c r="CV241" t="e">
        <f>AND('GA55 Summry'!#REF!,"AAAAAH1OU2M=")</f>
        <v>#REF!</v>
      </c>
      <c r="CW241" t="e">
        <f>AND('GA55 Summry'!#REF!,"AAAAAH1OU2Q=")</f>
        <v>#REF!</v>
      </c>
      <c r="CX241" t="e">
        <f>AND('GA55 Summry'!#REF!,"AAAAAH1OU2U=")</f>
        <v>#REF!</v>
      </c>
      <c r="CY241" t="e">
        <f>AND('GA55 Summry'!#REF!,"AAAAAH1OU2Y=")</f>
        <v>#REF!</v>
      </c>
      <c r="CZ241" t="e">
        <f>AND('GA55 Summry'!#REF!,"AAAAAH1OU2c=")</f>
        <v>#REF!</v>
      </c>
      <c r="DA241" t="e">
        <f>AND('GA55 Summry'!#REF!,"AAAAAH1OU2g=")</f>
        <v>#REF!</v>
      </c>
      <c r="DB241" t="e">
        <f>AND('GA55 Summry'!#REF!,"AAAAAH1OU2k=")</f>
        <v>#REF!</v>
      </c>
      <c r="DC241" t="e">
        <f>AND('GA55 Summry'!#REF!,"AAAAAH1OU2o=")</f>
        <v>#REF!</v>
      </c>
      <c r="DD241" t="e">
        <f>AND('GA55 Summry'!#REF!,"AAAAAH1OU2s=")</f>
        <v>#REF!</v>
      </c>
      <c r="DE241" t="e">
        <f>AND('GA55 Summry'!#REF!,"AAAAAH1OU2w=")</f>
        <v>#REF!</v>
      </c>
      <c r="DF241" t="e">
        <f>AND('GA55 Summry'!#REF!,"AAAAAH1OU20=")</f>
        <v>#REF!</v>
      </c>
      <c r="DG241" t="e">
        <f>AND('GA55 Summry'!#REF!,"AAAAAH1OU24=")</f>
        <v>#REF!</v>
      </c>
      <c r="DH241" t="e">
        <f>AND('GA55 Summry'!#REF!,"AAAAAH1OU28=")</f>
        <v>#REF!</v>
      </c>
      <c r="DI241" t="e">
        <f>AND('GA55 Summry'!#REF!,"AAAAAH1OU3A=")</f>
        <v>#REF!</v>
      </c>
      <c r="DJ241" t="e">
        <f>AND('GA55 Summry'!#REF!,"AAAAAH1OU3E=")</f>
        <v>#REF!</v>
      </c>
      <c r="DK241" t="e">
        <f>AND('GA55 Summry'!#REF!,"AAAAAH1OU3I=")</f>
        <v>#REF!</v>
      </c>
      <c r="DL241" t="e">
        <f>AND('GA55 Summry'!#REF!,"AAAAAH1OU3M=")</f>
        <v>#REF!</v>
      </c>
      <c r="DM241" t="e">
        <f>AND('GA55 Summry'!#REF!,"AAAAAH1OU3Q=")</f>
        <v>#REF!</v>
      </c>
      <c r="DN241" t="e">
        <f>AND('GA55 Summry'!#REF!,"AAAAAH1OU3U=")</f>
        <v>#REF!</v>
      </c>
      <c r="DO241" t="e">
        <f>AND('GA55 Summry'!#REF!,"AAAAAH1OU3Y=")</f>
        <v>#REF!</v>
      </c>
      <c r="DP241" t="e">
        <f>IF('GA55 Summry'!#REF!,"AAAAAH1OU3c=",0)</f>
        <v>#REF!</v>
      </c>
      <c r="DQ241" t="e">
        <f>AND('GA55 Summry'!#REF!,"AAAAAH1OU3g=")</f>
        <v>#REF!</v>
      </c>
      <c r="DR241" t="e">
        <f>AND('GA55 Summry'!#REF!,"AAAAAH1OU3k=")</f>
        <v>#REF!</v>
      </c>
      <c r="DS241" t="e">
        <f>AND('GA55 Summry'!#REF!,"AAAAAH1OU3o=")</f>
        <v>#REF!</v>
      </c>
      <c r="DT241" t="e">
        <f>AND('GA55 Summry'!#REF!,"AAAAAH1OU3s=")</f>
        <v>#REF!</v>
      </c>
      <c r="DU241" t="e">
        <f>AND('GA55 Summry'!#REF!,"AAAAAH1OU3w=")</f>
        <v>#REF!</v>
      </c>
      <c r="DV241" t="e">
        <f>AND('GA55 Summry'!#REF!,"AAAAAH1OU30=")</f>
        <v>#REF!</v>
      </c>
      <c r="DW241" t="e">
        <f>AND('GA55 Summry'!#REF!,"AAAAAH1OU34=")</f>
        <v>#REF!</v>
      </c>
      <c r="DX241" t="e">
        <f>AND('GA55 Summry'!#REF!,"AAAAAH1OU38=")</f>
        <v>#REF!</v>
      </c>
      <c r="DY241" t="e">
        <f>AND('GA55 Summry'!#REF!,"AAAAAH1OU4A=")</f>
        <v>#REF!</v>
      </c>
      <c r="DZ241" t="e">
        <f>AND('GA55 Summry'!#REF!,"AAAAAH1OU4E=")</f>
        <v>#REF!</v>
      </c>
      <c r="EA241" t="e">
        <f>AND('GA55 Summry'!#REF!,"AAAAAH1OU4I=")</f>
        <v>#REF!</v>
      </c>
      <c r="EB241" t="e">
        <f>AND('GA55 Summry'!#REF!,"AAAAAH1OU4M=")</f>
        <v>#REF!</v>
      </c>
      <c r="EC241" t="e">
        <f>AND('GA55 Summry'!#REF!,"AAAAAH1OU4Q=")</f>
        <v>#REF!</v>
      </c>
      <c r="ED241" t="e">
        <f>AND('GA55 Summry'!#REF!,"AAAAAH1OU4U=")</f>
        <v>#REF!</v>
      </c>
      <c r="EE241" t="e">
        <f>AND('GA55 Summry'!#REF!,"AAAAAH1OU4Y=")</f>
        <v>#REF!</v>
      </c>
      <c r="EF241" t="e">
        <f>AND('GA55 Summry'!#REF!,"AAAAAH1OU4c=")</f>
        <v>#REF!</v>
      </c>
      <c r="EG241" t="e">
        <f>AND('GA55 Summry'!#REF!,"AAAAAH1OU4g=")</f>
        <v>#REF!</v>
      </c>
      <c r="EH241" t="e">
        <f>AND('GA55 Summry'!#REF!,"AAAAAH1OU4k=")</f>
        <v>#REF!</v>
      </c>
      <c r="EI241" t="e">
        <f>AND('GA55 Summry'!#REF!,"AAAAAH1OU4o=")</f>
        <v>#REF!</v>
      </c>
      <c r="EJ241" t="e">
        <f>AND('GA55 Summry'!#REF!,"AAAAAH1OU4s=")</f>
        <v>#REF!</v>
      </c>
      <c r="EK241" t="e">
        <f>AND('GA55 Summry'!#REF!,"AAAAAH1OU4w=")</f>
        <v>#REF!</v>
      </c>
      <c r="EL241" t="e">
        <f>AND('GA55 Summry'!#REF!,"AAAAAH1OU40=")</f>
        <v>#REF!</v>
      </c>
      <c r="EM241" t="e">
        <f>AND('GA55 Summry'!#REF!,"AAAAAH1OU44=")</f>
        <v>#REF!</v>
      </c>
      <c r="EN241" t="e">
        <f>AND('GA55 Summry'!#REF!,"AAAAAH1OU48=")</f>
        <v>#REF!</v>
      </c>
      <c r="EO241" t="e">
        <f>AND('GA55 Summry'!#REF!,"AAAAAH1OU5A=")</f>
        <v>#REF!</v>
      </c>
      <c r="EP241" t="e">
        <f>AND('GA55 Summry'!#REF!,"AAAAAH1OU5E=")</f>
        <v>#REF!</v>
      </c>
      <c r="EQ241" t="e">
        <f>AND('GA55 Summry'!#REF!,"AAAAAH1OU5I=")</f>
        <v>#REF!</v>
      </c>
      <c r="ER241" t="e">
        <f>AND('GA55 Summry'!#REF!,"AAAAAH1OU5M=")</f>
        <v>#REF!</v>
      </c>
      <c r="ES241" t="e">
        <f>AND('GA55 Summry'!#REF!,"AAAAAH1OU5Q=")</f>
        <v>#REF!</v>
      </c>
      <c r="ET241" t="e">
        <f>AND('GA55 Summry'!#REF!,"AAAAAH1OU5U=")</f>
        <v>#REF!</v>
      </c>
      <c r="EU241" t="e">
        <f>AND('GA55 Summry'!#REF!,"AAAAAH1OU5Y=")</f>
        <v>#REF!</v>
      </c>
      <c r="EV241" t="e">
        <f>AND('GA55 Summry'!#REF!,"AAAAAH1OU5c=")</f>
        <v>#REF!</v>
      </c>
      <c r="EW241" t="e">
        <f>AND('GA55 Summry'!#REF!,"AAAAAH1OU5g=")</f>
        <v>#REF!</v>
      </c>
      <c r="EX241" t="e">
        <f>AND('GA55 Summry'!#REF!,"AAAAAH1OU5k=")</f>
        <v>#REF!</v>
      </c>
      <c r="EY241" t="e">
        <f>AND('GA55 Summry'!#REF!,"AAAAAH1OU5o=")</f>
        <v>#REF!</v>
      </c>
      <c r="EZ241" t="e">
        <f>AND('GA55 Summry'!#REF!,"AAAAAH1OU5s=")</f>
        <v>#REF!</v>
      </c>
      <c r="FA241" t="e">
        <f>AND('GA55 Summry'!#REF!,"AAAAAH1OU5w=")</f>
        <v>#REF!</v>
      </c>
      <c r="FB241" t="e">
        <f>AND('GA55 Summry'!#REF!,"AAAAAH1OU50=")</f>
        <v>#REF!</v>
      </c>
      <c r="FC241" t="e">
        <f>AND('GA55 Summry'!#REF!,"AAAAAH1OU54=")</f>
        <v>#REF!</v>
      </c>
      <c r="FD241" t="e">
        <f>AND('GA55 Summry'!#REF!,"AAAAAH1OU58=")</f>
        <v>#REF!</v>
      </c>
      <c r="FE241" t="e">
        <f>AND('GA55 Summry'!#REF!,"AAAAAH1OU6A=")</f>
        <v>#REF!</v>
      </c>
      <c r="FF241" t="e">
        <f>AND('GA55 Summry'!#REF!,"AAAAAH1OU6E=")</f>
        <v>#REF!</v>
      </c>
      <c r="FG241" t="e">
        <f>AND('GA55 Summry'!#REF!,"AAAAAH1OU6I=")</f>
        <v>#REF!</v>
      </c>
      <c r="FH241" t="e">
        <f>AND('GA55 Summry'!#REF!,"AAAAAH1OU6M=")</f>
        <v>#REF!</v>
      </c>
      <c r="FI241" t="e">
        <f>AND('GA55 Summry'!#REF!,"AAAAAH1OU6Q=")</f>
        <v>#REF!</v>
      </c>
      <c r="FJ241" t="e">
        <f>AND('GA55 Summry'!#REF!,"AAAAAH1OU6U=")</f>
        <v>#REF!</v>
      </c>
      <c r="FK241" t="e">
        <f>AND('GA55 Summry'!#REF!,"AAAAAH1OU6Y=")</f>
        <v>#REF!</v>
      </c>
      <c r="FL241" t="e">
        <f>AND('GA55 Summry'!#REF!,"AAAAAH1OU6c=")</f>
        <v>#REF!</v>
      </c>
      <c r="FM241" t="e">
        <f>AND('GA55 Summry'!#REF!,"AAAAAH1OU6g=")</f>
        <v>#REF!</v>
      </c>
      <c r="FN241" t="e">
        <f>AND('GA55 Summry'!#REF!,"AAAAAH1OU6k=")</f>
        <v>#REF!</v>
      </c>
      <c r="FO241" t="e">
        <f>AND('GA55 Summry'!#REF!,"AAAAAH1OU6o=")</f>
        <v>#REF!</v>
      </c>
      <c r="FP241" t="e">
        <f>AND('GA55 Summry'!#REF!,"AAAAAH1OU6s=")</f>
        <v>#REF!</v>
      </c>
      <c r="FQ241" t="e">
        <f>AND('GA55 Summry'!#REF!,"AAAAAH1OU6w=")</f>
        <v>#REF!</v>
      </c>
      <c r="FR241" t="e">
        <f>AND('GA55 Summry'!#REF!,"AAAAAH1OU60=")</f>
        <v>#REF!</v>
      </c>
      <c r="FS241" t="e">
        <f>AND('GA55 Summry'!#REF!,"AAAAAH1OU64=")</f>
        <v>#REF!</v>
      </c>
      <c r="FT241" t="e">
        <f>AND('GA55 Summry'!#REF!,"AAAAAH1OU68=")</f>
        <v>#REF!</v>
      </c>
      <c r="FU241" t="e">
        <f>AND('GA55 Summry'!#REF!,"AAAAAH1OU7A=")</f>
        <v>#REF!</v>
      </c>
      <c r="FV241" t="e">
        <f>AND('GA55 Summry'!#REF!,"AAAAAH1OU7E=")</f>
        <v>#REF!</v>
      </c>
      <c r="FW241" t="e">
        <f>AND('GA55 Summry'!#REF!,"AAAAAH1OU7I=")</f>
        <v>#REF!</v>
      </c>
      <c r="FX241" t="e">
        <f>AND('GA55 Summry'!#REF!,"AAAAAH1OU7M=")</f>
        <v>#REF!</v>
      </c>
      <c r="FY241" t="e">
        <f>AND('GA55 Summry'!#REF!,"AAAAAH1OU7Q=")</f>
        <v>#REF!</v>
      </c>
      <c r="FZ241" t="e">
        <f>AND('GA55 Summry'!#REF!,"AAAAAH1OU7U=")</f>
        <v>#REF!</v>
      </c>
      <c r="GA241" t="e">
        <f>AND('GA55 Summry'!#REF!,"AAAAAH1OU7Y=")</f>
        <v>#REF!</v>
      </c>
      <c r="GB241" t="e">
        <f>AND('GA55 Summry'!#REF!,"AAAAAH1OU7c=")</f>
        <v>#REF!</v>
      </c>
      <c r="GC241" t="e">
        <f>AND('GA55 Summry'!#REF!,"AAAAAH1OU7g=")</f>
        <v>#REF!</v>
      </c>
      <c r="GD241" t="e">
        <f>AND('GA55 Summry'!#REF!,"AAAAAH1OU7k=")</f>
        <v>#REF!</v>
      </c>
      <c r="GE241" t="e">
        <f>AND('GA55 Summry'!#REF!,"AAAAAH1OU7o=")</f>
        <v>#REF!</v>
      </c>
      <c r="GF241" t="e">
        <f>AND('GA55 Summry'!#REF!,"AAAAAH1OU7s=")</f>
        <v>#REF!</v>
      </c>
      <c r="GG241" t="e">
        <f>AND('GA55 Summry'!#REF!,"AAAAAH1OU7w=")</f>
        <v>#REF!</v>
      </c>
      <c r="GH241" t="e">
        <f>AND('GA55 Summry'!#REF!,"AAAAAH1OU70=")</f>
        <v>#REF!</v>
      </c>
      <c r="GI241" t="e">
        <f>AND('GA55 Summry'!#REF!,"AAAAAH1OU74=")</f>
        <v>#REF!</v>
      </c>
      <c r="GJ241" t="e">
        <f>AND('GA55 Summry'!#REF!,"AAAAAH1OU78=")</f>
        <v>#REF!</v>
      </c>
      <c r="GK241" t="e">
        <f>AND('GA55 Summry'!#REF!,"AAAAAH1OU8A=")</f>
        <v>#REF!</v>
      </c>
      <c r="GL241" t="e">
        <f>AND('GA55 Summry'!#REF!,"AAAAAH1OU8E=")</f>
        <v>#REF!</v>
      </c>
      <c r="GM241" t="e">
        <f>IF('GA55 Summry'!#REF!,"AAAAAH1OU8I=",0)</f>
        <v>#REF!</v>
      </c>
      <c r="GN241" t="e">
        <f>AND('GA55 Summry'!#REF!,"AAAAAH1OU8M=")</f>
        <v>#REF!</v>
      </c>
      <c r="GO241" t="e">
        <f>AND('GA55 Summry'!#REF!,"AAAAAH1OU8Q=")</f>
        <v>#REF!</v>
      </c>
      <c r="GP241" t="e">
        <f>AND('GA55 Summry'!#REF!,"AAAAAH1OU8U=")</f>
        <v>#REF!</v>
      </c>
      <c r="GQ241" t="e">
        <f>AND('GA55 Summry'!#REF!,"AAAAAH1OU8Y=")</f>
        <v>#REF!</v>
      </c>
      <c r="GR241" t="e">
        <f>AND('GA55 Summry'!#REF!,"AAAAAH1OU8c=")</f>
        <v>#REF!</v>
      </c>
      <c r="GS241" t="e">
        <f>AND('GA55 Summry'!#REF!,"AAAAAH1OU8g=")</f>
        <v>#REF!</v>
      </c>
      <c r="GT241" t="e">
        <f>AND('GA55 Summry'!#REF!,"AAAAAH1OU8k=")</f>
        <v>#REF!</v>
      </c>
      <c r="GU241" t="e">
        <f>AND('GA55 Summry'!#REF!,"AAAAAH1OU8o=")</f>
        <v>#REF!</v>
      </c>
      <c r="GV241" t="e">
        <f>AND('GA55 Summry'!#REF!,"AAAAAH1OU8s=")</f>
        <v>#REF!</v>
      </c>
      <c r="GW241" t="e">
        <f>AND('GA55 Summry'!#REF!,"AAAAAH1OU8w=")</f>
        <v>#REF!</v>
      </c>
      <c r="GX241" t="e">
        <f>AND('GA55 Summry'!#REF!,"AAAAAH1OU80=")</f>
        <v>#REF!</v>
      </c>
      <c r="GY241" t="e">
        <f>AND('GA55 Summry'!#REF!,"AAAAAH1OU84=")</f>
        <v>#REF!</v>
      </c>
      <c r="GZ241" t="e">
        <f>AND('GA55 Summry'!#REF!,"AAAAAH1OU88=")</f>
        <v>#REF!</v>
      </c>
      <c r="HA241" t="e">
        <f>AND('GA55 Summry'!#REF!,"AAAAAH1OU9A=")</f>
        <v>#REF!</v>
      </c>
      <c r="HB241" t="e">
        <f>AND('GA55 Summry'!#REF!,"AAAAAH1OU9E=")</f>
        <v>#REF!</v>
      </c>
      <c r="HC241" t="e">
        <f>AND('GA55 Summry'!#REF!,"AAAAAH1OU9I=")</f>
        <v>#REF!</v>
      </c>
      <c r="HD241" t="e">
        <f>AND('GA55 Summry'!#REF!,"AAAAAH1OU9M=")</f>
        <v>#REF!</v>
      </c>
      <c r="HE241" t="e">
        <f>AND('GA55 Summry'!#REF!,"AAAAAH1OU9Q=")</f>
        <v>#REF!</v>
      </c>
      <c r="HF241" t="e">
        <f>AND('GA55 Summry'!#REF!,"AAAAAH1OU9U=")</f>
        <v>#REF!</v>
      </c>
      <c r="HG241" t="e">
        <f>AND('GA55 Summry'!#REF!,"AAAAAH1OU9Y=")</f>
        <v>#REF!</v>
      </c>
      <c r="HH241" t="e">
        <f>AND('GA55 Summry'!#REF!,"AAAAAH1OU9c=")</f>
        <v>#REF!</v>
      </c>
      <c r="HI241" t="e">
        <f>AND('GA55 Summry'!#REF!,"AAAAAH1OU9g=")</f>
        <v>#REF!</v>
      </c>
      <c r="HJ241" t="e">
        <f>AND('GA55 Summry'!#REF!,"AAAAAH1OU9k=")</f>
        <v>#REF!</v>
      </c>
      <c r="HK241" t="e">
        <f>AND('GA55 Summry'!#REF!,"AAAAAH1OU9o=")</f>
        <v>#REF!</v>
      </c>
      <c r="HL241" t="e">
        <f>AND('GA55 Summry'!#REF!,"AAAAAH1OU9s=")</f>
        <v>#REF!</v>
      </c>
      <c r="HM241" t="e">
        <f>AND('GA55 Summry'!#REF!,"AAAAAH1OU9w=")</f>
        <v>#REF!</v>
      </c>
      <c r="HN241" t="e">
        <f>AND('GA55 Summry'!#REF!,"AAAAAH1OU90=")</f>
        <v>#REF!</v>
      </c>
      <c r="HO241" t="e">
        <f>AND('GA55 Summry'!#REF!,"AAAAAH1OU94=")</f>
        <v>#REF!</v>
      </c>
      <c r="HP241" t="e">
        <f>AND('GA55 Summry'!#REF!,"AAAAAH1OU98=")</f>
        <v>#REF!</v>
      </c>
      <c r="HQ241" t="e">
        <f>AND('GA55 Summry'!#REF!,"AAAAAH1OU+A=")</f>
        <v>#REF!</v>
      </c>
      <c r="HR241" t="e">
        <f>AND('GA55 Summry'!#REF!,"AAAAAH1OU+E=")</f>
        <v>#REF!</v>
      </c>
      <c r="HS241" t="e">
        <f>AND('GA55 Summry'!#REF!,"AAAAAH1OU+I=")</f>
        <v>#REF!</v>
      </c>
      <c r="HT241" t="e">
        <f>AND('GA55 Summry'!#REF!,"AAAAAH1OU+M=")</f>
        <v>#REF!</v>
      </c>
      <c r="HU241" t="e">
        <f>AND('GA55 Summry'!#REF!,"AAAAAH1OU+Q=")</f>
        <v>#REF!</v>
      </c>
      <c r="HV241" t="e">
        <f>AND('GA55 Summry'!#REF!,"AAAAAH1OU+U=")</f>
        <v>#REF!</v>
      </c>
      <c r="HW241" t="e">
        <f>AND('GA55 Summry'!#REF!,"AAAAAH1OU+Y=")</f>
        <v>#REF!</v>
      </c>
      <c r="HX241" t="e">
        <f>AND('GA55 Summry'!#REF!,"AAAAAH1OU+c=")</f>
        <v>#REF!</v>
      </c>
      <c r="HY241" t="e">
        <f>AND('GA55 Summry'!#REF!,"AAAAAH1OU+g=")</f>
        <v>#REF!</v>
      </c>
      <c r="HZ241" t="e">
        <f>AND('GA55 Summry'!#REF!,"AAAAAH1OU+k=")</f>
        <v>#REF!</v>
      </c>
      <c r="IA241" t="e">
        <f>AND('GA55 Summry'!#REF!,"AAAAAH1OU+o=")</f>
        <v>#REF!</v>
      </c>
      <c r="IB241" t="e">
        <f>AND('GA55 Summry'!#REF!,"AAAAAH1OU+s=")</f>
        <v>#REF!</v>
      </c>
      <c r="IC241" t="e">
        <f>AND('GA55 Summry'!#REF!,"AAAAAH1OU+w=")</f>
        <v>#REF!</v>
      </c>
      <c r="ID241" t="e">
        <f>AND('GA55 Summry'!#REF!,"AAAAAH1OU+0=")</f>
        <v>#REF!</v>
      </c>
      <c r="IE241" t="e">
        <f>AND('GA55 Summry'!#REF!,"AAAAAH1OU+4=")</f>
        <v>#REF!</v>
      </c>
      <c r="IF241" t="e">
        <f>AND('GA55 Summry'!#REF!,"AAAAAH1OU+8=")</f>
        <v>#REF!</v>
      </c>
      <c r="IG241" t="e">
        <f>AND('GA55 Summry'!#REF!,"AAAAAH1OU/A=")</f>
        <v>#REF!</v>
      </c>
      <c r="IH241" t="e">
        <f>AND('GA55 Summry'!#REF!,"AAAAAH1OU/E=")</f>
        <v>#REF!</v>
      </c>
      <c r="II241" t="e">
        <f>AND('GA55 Summry'!#REF!,"AAAAAH1OU/I=")</f>
        <v>#REF!</v>
      </c>
      <c r="IJ241" t="e">
        <f>AND('GA55 Summry'!#REF!,"AAAAAH1OU/M=")</f>
        <v>#REF!</v>
      </c>
      <c r="IK241" t="e">
        <f>AND('GA55 Summry'!#REF!,"AAAAAH1OU/Q=")</f>
        <v>#REF!</v>
      </c>
      <c r="IL241" t="e">
        <f>AND('GA55 Summry'!#REF!,"AAAAAH1OU/U=")</f>
        <v>#REF!</v>
      </c>
      <c r="IM241" t="e">
        <f>AND('GA55 Summry'!#REF!,"AAAAAH1OU/Y=")</f>
        <v>#REF!</v>
      </c>
      <c r="IN241" t="e">
        <f>AND('GA55 Summry'!#REF!,"AAAAAH1OU/c=")</f>
        <v>#REF!</v>
      </c>
      <c r="IO241" t="e">
        <f>AND('GA55 Summry'!#REF!,"AAAAAH1OU/g=")</f>
        <v>#REF!</v>
      </c>
      <c r="IP241" t="e">
        <f>AND('GA55 Summry'!#REF!,"AAAAAH1OU/k=")</f>
        <v>#REF!</v>
      </c>
      <c r="IQ241" t="e">
        <f>AND('GA55 Summry'!#REF!,"AAAAAH1OU/o=")</f>
        <v>#REF!</v>
      </c>
      <c r="IR241" t="e">
        <f>AND('GA55 Summry'!#REF!,"AAAAAH1OU/s=")</f>
        <v>#REF!</v>
      </c>
      <c r="IS241" t="e">
        <f>AND('GA55 Summry'!#REF!,"AAAAAH1OU/w=")</f>
        <v>#REF!</v>
      </c>
      <c r="IT241" t="e">
        <f>AND('GA55 Summry'!#REF!,"AAAAAH1OU/0=")</f>
        <v>#REF!</v>
      </c>
      <c r="IU241" t="e">
        <f>AND('GA55 Summry'!#REF!,"AAAAAH1OU/4=")</f>
        <v>#REF!</v>
      </c>
      <c r="IV241" t="e">
        <f>AND('GA55 Summry'!#REF!,"AAAAAH1OU/8=")</f>
        <v>#REF!</v>
      </c>
    </row>
    <row r="242" spans="1:256" x14ac:dyDescent="0.25">
      <c r="A242" t="e">
        <f>AND('GA55 Summry'!#REF!,"AAAAABn77gA=")</f>
        <v>#REF!</v>
      </c>
      <c r="B242" t="e">
        <f>AND('GA55 Summry'!#REF!,"AAAAABn77gE=")</f>
        <v>#REF!</v>
      </c>
      <c r="C242" t="e">
        <f>AND('GA55 Summry'!#REF!,"AAAAABn77gI=")</f>
        <v>#REF!</v>
      </c>
      <c r="D242" t="e">
        <f>AND('GA55 Summry'!#REF!,"AAAAABn77gM=")</f>
        <v>#REF!</v>
      </c>
      <c r="E242" t="e">
        <f>AND('GA55 Summry'!#REF!,"AAAAABn77gQ=")</f>
        <v>#REF!</v>
      </c>
      <c r="F242" t="e">
        <f>AND('GA55 Summry'!#REF!,"AAAAABn77gU=")</f>
        <v>#REF!</v>
      </c>
      <c r="G242" t="e">
        <f>AND('GA55 Summry'!#REF!,"AAAAABn77gY=")</f>
        <v>#REF!</v>
      </c>
      <c r="H242" t="e">
        <f>AND('GA55 Summry'!#REF!,"AAAAABn77gc=")</f>
        <v>#REF!</v>
      </c>
      <c r="I242" t="e">
        <f>AND('GA55 Summry'!#REF!,"AAAAABn77gg=")</f>
        <v>#REF!</v>
      </c>
      <c r="J242" t="e">
        <f>AND('GA55 Summry'!#REF!,"AAAAABn77gk=")</f>
        <v>#REF!</v>
      </c>
      <c r="K242" t="e">
        <f>AND('GA55 Summry'!#REF!,"AAAAABn77go=")</f>
        <v>#REF!</v>
      </c>
      <c r="L242" t="e">
        <f>AND('GA55 Summry'!#REF!,"AAAAABn77gs=")</f>
        <v>#REF!</v>
      </c>
      <c r="M242" t="e">
        <f>AND('GA55 Summry'!#REF!,"AAAAABn77gw=")</f>
        <v>#REF!</v>
      </c>
      <c r="N242" t="e">
        <f>IF('GA55 Summry'!#REF!,"AAAAABn77g0=",0)</f>
        <v>#REF!</v>
      </c>
      <c r="O242" t="e">
        <f>AND('GA55 Summry'!#REF!,"AAAAABn77g4=")</f>
        <v>#REF!</v>
      </c>
      <c r="P242" t="e">
        <f>AND('GA55 Summry'!#REF!,"AAAAABn77g8=")</f>
        <v>#REF!</v>
      </c>
      <c r="Q242" t="e">
        <f>AND('GA55 Summry'!#REF!,"AAAAABn77hA=")</f>
        <v>#REF!</v>
      </c>
      <c r="R242" t="e">
        <f>AND('GA55 Summry'!#REF!,"AAAAABn77hE=")</f>
        <v>#REF!</v>
      </c>
      <c r="S242" t="e">
        <f>AND('GA55 Summry'!#REF!,"AAAAABn77hI=")</f>
        <v>#REF!</v>
      </c>
      <c r="T242" t="e">
        <f>AND('GA55 Summry'!#REF!,"AAAAABn77hM=")</f>
        <v>#REF!</v>
      </c>
      <c r="U242" t="e">
        <f>AND('GA55 Summry'!#REF!,"AAAAABn77hQ=")</f>
        <v>#REF!</v>
      </c>
      <c r="V242" t="e">
        <f>AND('GA55 Summry'!#REF!,"AAAAABn77hU=")</f>
        <v>#REF!</v>
      </c>
      <c r="W242" t="e">
        <f>AND('GA55 Summry'!#REF!,"AAAAABn77hY=")</f>
        <v>#REF!</v>
      </c>
      <c r="X242" t="e">
        <f>AND('GA55 Summry'!#REF!,"AAAAABn77hc=")</f>
        <v>#REF!</v>
      </c>
      <c r="Y242" t="e">
        <f>AND('GA55 Summry'!#REF!,"AAAAABn77hg=")</f>
        <v>#REF!</v>
      </c>
      <c r="Z242" t="e">
        <f>AND('GA55 Summry'!#REF!,"AAAAABn77hk=")</f>
        <v>#REF!</v>
      </c>
      <c r="AA242" t="e">
        <f>AND('GA55 Summry'!#REF!,"AAAAABn77ho=")</f>
        <v>#REF!</v>
      </c>
      <c r="AB242" t="e">
        <f>AND('GA55 Summry'!#REF!,"AAAAABn77hs=")</f>
        <v>#REF!</v>
      </c>
      <c r="AC242" t="e">
        <f>AND('GA55 Summry'!#REF!,"AAAAABn77hw=")</f>
        <v>#REF!</v>
      </c>
      <c r="AD242" t="e">
        <f>AND('GA55 Summry'!#REF!,"AAAAABn77h0=")</f>
        <v>#REF!</v>
      </c>
      <c r="AE242" t="e">
        <f>AND('GA55 Summry'!#REF!,"AAAAABn77h4=")</f>
        <v>#REF!</v>
      </c>
      <c r="AF242" t="e">
        <f>AND('GA55 Summry'!#REF!,"AAAAABn77h8=")</f>
        <v>#REF!</v>
      </c>
      <c r="AG242" t="e">
        <f>AND('GA55 Summry'!#REF!,"AAAAABn77iA=")</f>
        <v>#REF!</v>
      </c>
      <c r="AH242" t="e">
        <f>AND('GA55 Summry'!#REF!,"AAAAABn77iE=")</f>
        <v>#REF!</v>
      </c>
      <c r="AI242" t="e">
        <f>AND('GA55 Summry'!#REF!,"AAAAABn77iI=")</f>
        <v>#REF!</v>
      </c>
      <c r="AJ242" t="e">
        <f>AND('GA55 Summry'!#REF!,"AAAAABn77iM=")</f>
        <v>#REF!</v>
      </c>
      <c r="AK242" t="e">
        <f>AND('GA55 Summry'!#REF!,"AAAAABn77iQ=")</f>
        <v>#REF!</v>
      </c>
      <c r="AL242" t="e">
        <f>AND('GA55 Summry'!#REF!,"AAAAABn77iU=")</f>
        <v>#REF!</v>
      </c>
      <c r="AM242" t="e">
        <f>AND('GA55 Summry'!#REF!,"AAAAABn77iY=")</f>
        <v>#REF!</v>
      </c>
      <c r="AN242" t="e">
        <f>AND('GA55 Summry'!#REF!,"AAAAABn77ic=")</f>
        <v>#REF!</v>
      </c>
      <c r="AO242" t="e">
        <f>AND('GA55 Summry'!#REF!,"AAAAABn77ig=")</f>
        <v>#REF!</v>
      </c>
      <c r="AP242" t="e">
        <f>AND('GA55 Summry'!#REF!,"AAAAABn77ik=")</f>
        <v>#REF!</v>
      </c>
      <c r="AQ242" t="e">
        <f>AND('GA55 Summry'!#REF!,"AAAAABn77io=")</f>
        <v>#REF!</v>
      </c>
      <c r="AR242" t="e">
        <f>AND('GA55 Summry'!#REF!,"AAAAABn77is=")</f>
        <v>#REF!</v>
      </c>
      <c r="AS242" t="e">
        <f>AND('GA55 Summry'!#REF!,"AAAAABn77iw=")</f>
        <v>#REF!</v>
      </c>
      <c r="AT242" t="e">
        <f>AND('GA55 Summry'!#REF!,"AAAAABn77i0=")</f>
        <v>#REF!</v>
      </c>
      <c r="AU242" t="e">
        <f>AND('GA55 Summry'!#REF!,"AAAAABn77i4=")</f>
        <v>#REF!</v>
      </c>
      <c r="AV242" t="e">
        <f>AND('GA55 Summry'!#REF!,"AAAAABn77i8=")</f>
        <v>#REF!</v>
      </c>
      <c r="AW242" t="e">
        <f>AND('GA55 Summry'!#REF!,"AAAAABn77jA=")</f>
        <v>#REF!</v>
      </c>
      <c r="AX242" t="e">
        <f>AND('GA55 Summry'!#REF!,"AAAAABn77jE=")</f>
        <v>#REF!</v>
      </c>
      <c r="AY242" t="e">
        <f>AND('GA55 Summry'!#REF!,"AAAAABn77jI=")</f>
        <v>#REF!</v>
      </c>
      <c r="AZ242" t="e">
        <f>AND('GA55 Summry'!#REF!,"AAAAABn77jM=")</f>
        <v>#REF!</v>
      </c>
      <c r="BA242" t="e">
        <f>AND('GA55 Summry'!#REF!,"AAAAABn77jQ=")</f>
        <v>#REF!</v>
      </c>
      <c r="BB242" t="e">
        <f>AND('GA55 Summry'!#REF!,"AAAAABn77jU=")</f>
        <v>#REF!</v>
      </c>
      <c r="BC242" t="e">
        <f>AND('GA55 Summry'!#REF!,"AAAAABn77jY=")</f>
        <v>#REF!</v>
      </c>
      <c r="BD242" t="e">
        <f>AND('GA55 Summry'!#REF!,"AAAAABn77jc=")</f>
        <v>#REF!</v>
      </c>
      <c r="BE242" t="e">
        <f>AND('GA55 Summry'!#REF!,"AAAAABn77jg=")</f>
        <v>#REF!</v>
      </c>
      <c r="BF242" t="e">
        <f>AND('GA55 Summry'!#REF!,"AAAAABn77jk=")</f>
        <v>#REF!</v>
      </c>
      <c r="BG242" t="e">
        <f>AND('GA55 Summry'!#REF!,"AAAAABn77jo=")</f>
        <v>#REF!</v>
      </c>
      <c r="BH242" t="e">
        <f>AND('GA55 Summry'!#REF!,"AAAAABn77js=")</f>
        <v>#REF!</v>
      </c>
      <c r="BI242" t="e">
        <f>AND('GA55 Summry'!#REF!,"AAAAABn77jw=")</f>
        <v>#REF!</v>
      </c>
      <c r="BJ242" t="e">
        <f>AND('GA55 Summry'!#REF!,"AAAAABn77j0=")</f>
        <v>#REF!</v>
      </c>
      <c r="BK242" t="e">
        <f>AND('GA55 Summry'!#REF!,"AAAAABn77j4=")</f>
        <v>#REF!</v>
      </c>
      <c r="BL242" t="e">
        <f>AND('GA55 Summry'!#REF!,"AAAAABn77j8=")</f>
        <v>#REF!</v>
      </c>
      <c r="BM242" t="e">
        <f>AND('GA55 Summry'!#REF!,"AAAAABn77kA=")</f>
        <v>#REF!</v>
      </c>
      <c r="BN242" t="e">
        <f>AND('GA55 Summry'!#REF!,"AAAAABn77kE=")</f>
        <v>#REF!</v>
      </c>
      <c r="BO242" t="e">
        <f>AND('GA55 Summry'!#REF!,"AAAAABn77kI=")</f>
        <v>#REF!</v>
      </c>
      <c r="BP242" t="e">
        <f>AND('GA55 Summry'!#REF!,"AAAAABn77kM=")</f>
        <v>#REF!</v>
      </c>
      <c r="BQ242" t="e">
        <f>AND('GA55 Summry'!#REF!,"AAAAABn77kQ=")</f>
        <v>#REF!</v>
      </c>
      <c r="BR242" t="e">
        <f>AND('GA55 Summry'!#REF!,"AAAAABn77kU=")</f>
        <v>#REF!</v>
      </c>
      <c r="BS242" t="e">
        <f>AND('GA55 Summry'!#REF!,"AAAAABn77kY=")</f>
        <v>#REF!</v>
      </c>
      <c r="BT242" t="e">
        <f>AND('GA55 Summry'!#REF!,"AAAAABn77kc=")</f>
        <v>#REF!</v>
      </c>
      <c r="BU242" t="e">
        <f>AND('GA55 Summry'!#REF!,"AAAAABn77kg=")</f>
        <v>#REF!</v>
      </c>
      <c r="BV242" t="e">
        <f>AND('GA55 Summry'!#REF!,"AAAAABn77kk=")</f>
        <v>#REF!</v>
      </c>
      <c r="BW242" t="e">
        <f>AND('GA55 Summry'!#REF!,"AAAAABn77ko=")</f>
        <v>#REF!</v>
      </c>
      <c r="BX242" t="e">
        <f>AND('GA55 Summry'!#REF!,"AAAAABn77ks=")</f>
        <v>#REF!</v>
      </c>
      <c r="BY242" t="e">
        <f>AND('GA55 Summry'!#REF!,"AAAAABn77kw=")</f>
        <v>#REF!</v>
      </c>
      <c r="BZ242" t="e">
        <f>AND('GA55 Summry'!#REF!,"AAAAABn77k0=")</f>
        <v>#REF!</v>
      </c>
      <c r="CA242" t="e">
        <f>AND('GA55 Summry'!#REF!,"AAAAABn77k4=")</f>
        <v>#REF!</v>
      </c>
      <c r="CB242" t="e">
        <f>AND('GA55 Summry'!#REF!,"AAAAABn77k8=")</f>
        <v>#REF!</v>
      </c>
      <c r="CC242" t="e">
        <f>AND('GA55 Summry'!#REF!,"AAAAABn77lA=")</f>
        <v>#REF!</v>
      </c>
      <c r="CD242" t="e">
        <f>AND('GA55 Summry'!#REF!,"AAAAABn77lE=")</f>
        <v>#REF!</v>
      </c>
      <c r="CE242" t="e">
        <f>AND('GA55 Summry'!#REF!,"AAAAABn77lI=")</f>
        <v>#REF!</v>
      </c>
      <c r="CF242" t="e">
        <f>AND('GA55 Summry'!#REF!,"AAAAABn77lM=")</f>
        <v>#REF!</v>
      </c>
      <c r="CG242" t="e">
        <f>AND('GA55 Summry'!#REF!,"AAAAABn77lQ=")</f>
        <v>#REF!</v>
      </c>
      <c r="CH242" t="e">
        <f>AND('GA55 Summry'!#REF!,"AAAAABn77lU=")</f>
        <v>#REF!</v>
      </c>
      <c r="CI242" t="e">
        <f>AND('GA55 Summry'!#REF!,"AAAAABn77lY=")</f>
        <v>#REF!</v>
      </c>
      <c r="CJ242" t="e">
        <f>AND('GA55 Summry'!#REF!,"AAAAABn77lc=")</f>
        <v>#REF!</v>
      </c>
      <c r="CK242" t="e">
        <f>IF('GA55 Summry'!#REF!,"AAAAABn77lg=",0)</f>
        <v>#REF!</v>
      </c>
      <c r="CL242" t="e">
        <f>AND('GA55 Summry'!#REF!,"AAAAABn77lk=")</f>
        <v>#REF!</v>
      </c>
      <c r="CM242" t="e">
        <f>AND('GA55 Summry'!#REF!,"AAAAABn77lo=")</f>
        <v>#REF!</v>
      </c>
      <c r="CN242" t="e">
        <f>AND('GA55 Summry'!#REF!,"AAAAABn77ls=")</f>
        <v>#REF!</v>
      </c>
      <c r="CO242" t="e">
        <f>AND('GA55 Summry'!#REF!,"AAAAABn77lw=")</f>
        <v>#REF!</v>
      </c>
      <c r="CP242" t="e">
        <f>AND('GA55 Summry'!#REF!,"AAAAABn77l0=")</f>
        <v>#REF!</v>
      </c>
      <c r="CQ242" t="e">
        <f>AND('GA55 Summry'!#REF!,"AAAAABn77l4=")</f>
        <v>#REF!</v>
      </c>
      <c r="CR242" t="e">
        <f>AND('GA55 Summry'!#REF!,"AAAAABn77l8=")</f>
        <v>#REF!</v>
      </c>
      <c r="CS242" t="e">
        <f>AND('GA55 Summry'!#REF!,"AAAAABn77mA=")</f>
        <v>#REF!</v>
      </c>
      <c r="CT242" t="e">
        <f>AND('GA55 Summry'!#REF!,"AAAAABn77mE=")</f>
        <v>#REF!</v>
      </c>
      <c r="CU242" t="e">
        <f>AND('GA55 Summry'!#REF!,"AAAAABn77mI=")</f>
        <v>#REF!</v>
      </c>
      <c r="CV242" t="e">
        <f>AND('GA55 Summry'!#REF!,"AAAAABn77mM=")</f>
        <v>#REF!</v>
      </c>
      <c r="CW242" t="e">
        <f>AND('GA55 Summry'!#REF!,"AAAAABn77mQ=")</f>
        <v>#REF!</v>
      </c>
      <c r="CX242" t="e">
        <f>AND('GA55 Summry'!#REF!,"AAAAABn77mU=")</f>
        <v>#REF!</v>
      </c>
      <c r="CY242" t="e">
        <f>AND('GA55 Summry'!#REF!,"AAAAABn77mY=")</f>
        <v>#REF!</v>
      </c>
      <c r="CZ242" t="e">
        <f>AND('GA55 Summry'!#REF!,"AAAAABn77mc=")</f>
        <v>#REF!</v>
      </c>
      <c r="DA242" t="e">
        <f>AND('GA55 Summry'!#REF!,"AAAAABn77mg=")</f>
        <v>#REF!</v>
      </c>
      <c r="DB242" t="e">
        <f>AND('GA55 Summry'!#REF!,"AAAAABn77mk=")</f>
        <v>#REF!</v>
      </c>
      <c r="DC242" t="e">
        <f>AND('GA55 Summry'!#REF!,"AAAAABn77mo=")</f>
        <v>#REF!</v>
      </c>
      <c r="DD242" t="e">
        <f>AND('GA55 Summry'!#REF!,"AAAAABn77ms=")</f>
        <v>#REF!</v>
      </c>
      <c r="DE242" t="e">
        <f>AND('GA55 Summry'!#REF!,"AAAAABn77mw=")</f>
        <v>#REF!</v>
      </c>
      <c r="DF242" t="e">
        <f>AND('GA55 Summry'!#REF!,"AAAAABn77m0=")</f>
        <v>#REF!</v>
      </c>
      <c r="DG242" t="e">
        <f>AND('GA55 Summry'!#REF!,"AAAAABn77m4=")</f>
        <v>#REF!</v>
      </c>
      <c r="DH242" t="e">
        <f>AND('GA55 Summry'!#REF!,"AAAAABn77m8=")</f>
        <v>#REF!</v>
      </c>
      <c r="DI242" t="e">
        <f>AND('GA55 Summry'!#REF!,"AAAAABn77nA=")</f>
        <v>#REF!</v>
      </c>
      <c r="DJ242" t="e">
        <f>AND('GA55 Summry'!#REF!,"AAAAABn77nE=")</f>
        <v>#REF!</v>
      </c>
      <c r="DK242" t="e">
        <f>AND('GA55 Summry'!#REF!,"AAAAABn77nI=")</f>
        <v>#REF!</v>
      </c>
      <c r="DL242" t="e">
        <f>AND('GA55 Summry'!#REF!,"AAAAABn77nM=")</f>
        <v>#REF!</v>
      </c>
      <c r="DM242" t="e">
        <f>AND('GA55 Summry'!#REF!,"AAAAABn77nQ=")</f>
        <v>#REF!</v>
      </c>
      <c r="DN242" t="e">
        <f>AND('GA55 Summry'!#REF!,"AAAAABn77nU=")</f>
        <v>#REF!</v>
      </c>
      <c r="DO242" t="e">
        <f>AND('GA55 Summry'!#REF!,"AAAAABn77nY=")</f>
        <v>#REF!</v>
      </c>
      <c r="DP242" t="e">
        <f>AND('GA55 Summry'!#REF!,"AAAAABn77nc=")</f>
        <v>#REF!</v>
      </c>
      <c r="DQ242" t="e">
        <f>AND('GA55 Summry'!#REF!,"AAAAABn77ng=")</f>
        <v>#REF!</v>
      </c>
      <c r="DR242" t="e">
        <f>AND('GA55 Summry'!#REF!,"AAAAABn77nk=")</f>
        <v>#REF!</v>
      </c>
      <c r="DS242" t="e">
        <f>AND('GA55 Summry'!#REF!,"AAAAABn77no=")</f>
        <v>#REF!</v>
      </c>
      <c r="DT242" t="e">
        <f>AND('GA55 Summry'!#REF!,"AAAAABn77ns=")</f>
        <v>#REF!</v>
      </c>
      <c r="DU242" t="e">
        <f>AND('GA55 Summry'!#REF!,"AAAAABn77nw=")</f>
        <v>#REF!</v>
      </c>
      <c r="DV242" t="e">
        <f>AND('GA55 Summry'!#REF!,"AAAAABn77n0=")</f>
        <v>#REF!</v>
      </c>
      <c r="DW242" t="e">
        <f>AND('GA55 Summry'!#REF!,"AAAAABn77n4=")</f>
        <v>#REF!</v>
      </c>
      <c r="DX242" t="e">
        <f>AND('GA55 Summry'!#REF!,"AAAAABn77n8=")</f>
        <v>#REF!</v>
      </c>
      <c r="DY242" t="e">
        <f>AND('GA55 Summry'!#REF!,"AAAAABn77oA=")</f>
        <v>#REF!</v>
      </c>
      <c r="DZ242" t="e">
        <f>AND('GA55 Summry'!#REF!,"AAAAABn77oE=")</f>
        <v>#REF!</v>
      </c>
      <c r="EA242" t="e">
        <f>AND('GA55 Summry'!#REF!,"AAAAABn77oI=")</f>
        <v>#REF!</v>
      </c>
      <c r="EB242" t="e">
        <f>AND('GA55 Summry'!#REF!,"AAAAABn77oM=")</f>
        <v>#REF!</v>
      </c>
      <c r="EC242" t="e">
        <f>AND('GA55 Summry'!#REF!,"AAAAABn77oQ=")</f>
        <v>#REF!</v>
      </c>
      <c r="ED242" t="e">
        <f>AND('GA55 Summry'!#REF!,"AAAAABn77oU=")</f>
        <v>#REF!</v>
      </c>
      <c r="EE242" t="e">
        <f>AND('GA55 Summry'!#REF!,"AAAAABn77oY=")</f>
        <v>#REF!</v>
      </c>
      <c r="EF242" t="e">
        <f>AND('GA55 Summry'!#REF!,"AAAAABn77oc=")</f>
        <v>#REF!</v>
      </c>
      <c r="EG242" t="e">
        <f>AND('GA55 Summry'!#REF!,"AAAAABn77og=")</f>
        <v>#REF!</v>
      </c>
      <c r="EH242" t="e">
        <f>AND('GA55 Summry'!#REF!,"AAAAABn77ok=")</f>
        <v>#REF!</v>
      </c>
      <c r="EI242" t="e">
        <f>AND('GA55 Summry'!#REF!,"AAAAABn77oo=")</f>
        <v>#REF!</v>
      </c>
      <c r="EJ242" t="e">
        <f>AND('GA55 Summry'!#REF!,"AAAAABn77os=")</f>
        <v>#REF!</v>
      </c>
      <c r="EK242" t="e">
        <f>AND('GA55 Summry'!#REF!,"AAAAABn77ow=")</f>
        <v>#REF!</v>
      </c>
      <c r="EL242" t="e">
        <f>AND('GA55 Summry'!#REF!,"AAAAABn77o0=")</f>
        <v>#REF!</v>
      </c>
      <c r="EM242" t="e">
        <f>AND('GA55 Summry'!#REF!,"AAAAABn77o4=")</f>
        <v>#REF!</v>
      </c>
      <c r="EN242" t="e">
        <f>AND('GA55 Summry'!#REF!,"AAAAABn77o8=")</f>
        <v>#REF!</v>
      </c>
      <c r="EO242" t="e">
        <f>AND('GA55 Summry'!#REF!,"AAAAABn77pA=")</f>
        <v>#REF!</v>
      </c>
      <c r="EP242" t="e">
        <f>AND('GA55 Summry'!#REF!,"AAAAABn77pE=")</f>
        <v>#REF!</v>
      </c>
      <c r="EQ242" t="e">
        <f>AND('GA55 Summry'!#REF!,"AAAAABn77pI=")</f>
        <v>#REF!</v>
      </c>
      <c r="ER242" t="e">
        <f>AND('GA55 Summry'!#REF!,"AAAAABn77pM=")</f>
        <v>#REF!</v>
      </c>
      <c r="ES242" t="e">
        <f>AND('GA55 Summry'!#REF!,"AAAAABn77pQ=")</f>
        <v>#REF!</v>
      </c>
      <c r="ET242" t="e">
        <f>AND('GA55 Summry'!#REF!,"AAAAABn77pU=")</f>
        <v>#REF!</v>
      </c>
      <c r="EU242" t="e">
        <f>AND('GA55 Summry'!#REF!,"AAAAABn77pY=")</f>
        <v>#REF!</v>
      </c>
      <c r="EV242" t="e">
        <f>AND('GA55 Summry'!#REF!,"AAAAABn77pc=")</f>
        <v>#REF!</v>
      </c>
      <c r="EW242" t="e">
        <f>AND('GA55 Summry'!#REF!,"AAAAABn77pg=")</f>
        <v>#REF!</v>
      </c>
      <c r="EX242" t="e">
        <f>AND('GA55 Summry'!#REF!,"AAAAABn77pk=")</f>
        <v>#REF!</v>
      </c>
      <c r="EY242" t="e">
        <f>AND('GA55 Summry'!#REF!,"AAAAABn77po=")</f>
        <v>#REF!</v>
      </c>
      <c r="EZ242" t="e">
        <f>AND('GA55 Summry'!#REF!,"AAAAABn77ps=")</f>
        <v>#REF!</v>
      </c>
      <c r="FA242" t="e">
        <f>AND('GA55 Summry'!#REF!,"AAAAABn77pw=")</f>
        <v>#REF!</v>
      </c>
      <c r="FB242" t="e">
        <f>AND('GA55 Summry'!#REF!,"AAAAABn77p0=")</f>
        <v>#REF!</v>
      </c>
      <c r="FC242" t="e">
        <f>AND('GA55 Summry'!#REF!,"AAAAABn77p4=")</f>
        <v>#REF!</v>
      </c>
      <c r="FD242" t="e">
        <f>AND('GA55 Summry'!#REF!,"AAAAABn77p8=")</f>
        <v>#REF!</v>
      </c>
      <c r="FE242" t="e">
        <f>AND('GA55 Summry'!#REF!,"AAAAABn77qA=")</f>
        <v>#REF!</v>
      </c>
      <c r="FF242" t="e">
        <f>AND('GA55 Summry'!#REF!,"AAAAABn77qE=")</f>
        <v>#REF!</v>
      </c>
      <c r="FG242" t="e">
        <f>AND('GA55 Summry'!#REF!,"AAAAABn77qI=")</f>
        <v>#REF!</v>
      </c>
      <c r="FH242" t="e">
        <f>IF('GA55 Summry'!#REF!,"AAAAABn77qM=",0)</f>
        <v>#REF!</v>
      </c>
      <c r="FI242" t="e">
        <f>AND('GA55 Summry'!#REF!,"AAAAABn77qQ=")</f>
        <v>#REF!</v>
      </c>
      <c r="FJ242" t="e">
        <f>AND('GA55 Summry'!#REF!,"AAAAABn77qU=")</f>
        <v>#REF!</v>
      </c>
      <c r="FK242" t="e">
        <f>AND('GA55 Summry'!#REF!,"AAAAABn77qY=")</f>
        <v>#REF!</v>
      </c>
      <c r="FL242" t="e">
        <f>AND('GA55 Summry'!#REF!,"AAAAABn77qc=")</f>
        <v>#REF!</v>
      </c>
      <c r="FM242" t="e">
        <f>AND('GA55 Summry'!#REF!,"AAAAABn77qg=")</f>
        <v>#REF!</v>
      </c>
      <c r="FN242" t="e">
        <f>AND('GA55 Summry'!#REF!,"AAAAABn77qk=")</f>
        <v>#REF!</v>
      </c>
      <c r="FO242" t="e">
        <f>AND('GA55 Summry'!#REF!,"AAAAABn77qo=")</f>
        <v>#REF!</v>
      </c>
      <c r="FP242" t="e">
        <f>AND('GA55 Summry'!#REF!,"AAAAABn77qs=")</f>
        <v>#REF!</v>
      </c>
      <c r="FQ242" t="e">
        <f>AND('GA55 Summry'!#REF!,"AAAAABn77qw=")</f>
        <v>#REF!</v>
      </c>
      <c r="FR242" t="e">
        <f>AND('GA55 Summry'!#REF!,"AAAAABn77q0=")</f>
        <v>#REF!</v>
      </c>
      <c r="FS242" t="e">
        <f>AND('GA55 Summry'!#REF!,"AAAAABn77q4=")</f>
        <v>#REF!</v>
      </c>
      <c r="FT242" t="e">
        <f>AND('GA55 Summry'!#REF!,"AAAAABn77q8=")</f>
        <v>#REF!</v>
      </c>
      <c r="FU242" t="e">
        <f>AND('GA55 Summry'!#REF!,"AAAAABn77rA=")</f>
        <v>#REF!</v>
      </c>
      <c r="FV242" t="e">
        <f>AND('GA55 Summry'!#REF!,"AAAAABn77rE=")</f>
        <v>#REF!</v>
      </c>
      <c r="FW242" t="e">
        <f>AND('GA55 Summry'!#REF!,"AAAAABn77rI=")</f>
        <v>#REF!</v>
      </c>
      <c r="FX242" t="e">
        <f>AND('GA55 Summry'!#REF!,"AAAAABn77rM=")</f>
        <v>#REF!</v>
      </c>
      <c r="FY242" t="e">
        <f>AND('GA55 Summry'!#REF!,"AAAAABn77rQ=")</f>
        <v>#REF!</v>
      </c>
      <c r="FZ242" t="e">
        <f>AND('GA55 Summry'!#REF!,"AAAAABn77rU=")</f>
        <v>#REF!</v>
      </c>
      <c r="GA242" t="e">
        <f>AND('GA55 Summry'!#REF!,"AAAAABn77rY=")</f>
        <v>#REF!</v>
      </c>
      <c r="GB242" t="e">
        <f>AND('GA55 Summry'!#REF!,"AAAAABn77rc=")</f>
        <v>#REF!</v>
      </c>
      <c r="GC242" t="e">
        <f>AND('GA55 Summry'!#REF!,"AAAAABn77rg=")</f>
        <v>#REF!</v>
      </c>
      <c r="GD242" t="e">
        <f>AND('GA55 Summry'!#REF!,"AAAAABn77rk=")</f>
        <v>#REF!</v>
      </c>
      <c r="GE242" t="e">
        <f>AND('GA55 Summry'!#REF!,"AAAAABn77ro=")</f>
        <v>#REF!</v>
      </c>
      <c r="GF242" t="e">
        <f>AND('GA55 Summry'!#REF!,"AAAAABn77rs=")</f>
        <v>#REF!</v>
      </c>
      <c r="GG242" t="e">
        <f>AND('GA55 Summry'!#REF!,"AAAAABn77rw=")</f>
        <v>#REF!</v>
      </c>
      <c r="GH242" t="e">
        <f>AND('GA55 Summry'!#REF!,"AAAAABn77r0=")</f>
        <v>#REF!</v>
      </c>
      <c r="GI242" t="e">
        <f>AND('GA55 Summry'!#REF!,"AAAAABn77r4=")</f>
        <v>#REF!</v>
      </c>
      <c r="GJ242" t="e">
        <f>AND('GA55 Summry'!#REF!,"AAAAABn77r8=")</f>
        <v>#REF!</v>
      </c>
      <c r="GK242" t="e">
        <f>AND('GA55 Summry'!#REF!,"AAAAABn77sA=")</f>
        <v>#REF!</v>
      </c>
      <c r="GL242" t="e">
        <f>AND('GA55 Summry'!#REF!,"AAAAABn77sE=")</f>
        <v>#REF!</v>
      </c>
      <c r="GM242" t="e">
        <f>AND('GA55 Summry'!#REF!,"AAAAABn77sI=")</f>
        <v>#REF!</v>
      </c>
      <c r="GN242" t="e">
        <f>AND('GA55 Summry'!#REF!,"AAAAABn77sM=")</f>
        <v>#REF!</v>
      </c>
      <c r="GO242" t="e">
        <f>AND('GA55 Summry'!#REF!,"AAAAABn77sQ=")</f>
        <v>#REF!</v>
      </c>
      <c r="GP242" t="e">
        <f>AND('GA55 Summry'!#REF!,"AAAAABn77sU=")</f>
        <v>#REF!</v>
      </c>
      <c r="GQ242" t="e">
        <f>AND('GA55 Summry'!#REF!,"AAAAABn77sY=")</f>
        <v>#REF!</v>
      </c>
      <c r="GR242" t="e">
        <f>AND('GA55 Summry'!#REF!,"AAAAABn77sc=")</f>
        <v>#REF!</v>
      </c>
      <c r="GS242" t="e">
        <f>AND('GA55 Summry'!#REF!,"AAAAABn77sg=")</f>
        <v>#REF!</v>
      </c>
      <c r="GT242" t="e">
        <f>AND('GA55 Summry'!#REF!,"AAAAABn77sk=")</f>
        <v>#REF!</v>
      </c>
      <c r="GU242" t="e">
        <f>AND('GA55 Summry'!#REF!,"AAAAABn77so=")</f>
        <v>#REF!</v>
      </c>
      <c r="GV242" t="e">
        <f>AND('GA55 Summry'!#REF!,"AAAAABn77ss=")</f>
        <v>#REF!</v>
      </c>
      <c r="GW242" t="e">
        <f>AND('GA55 Summry'!#REF!,"AAAAABn77sw=")</f>
        <v>#REF!</v>
      </c>
      <c r="GX242" t="e">
        <f>AND('GA55 Summry'!#REF!,"AAAAABn77s0=")</f>
        <v>#REF!</v>
      </c>
      <c r="GY242" t="e">
        <f>AND('GA55 Summry'!#REF!,"AAAAABn77s4=")</f>
        <v>#REF!</v>
      </c>
      <c r="GZ242" t="e">
        <f>AND('GA55 Summry'!#REF!,"AAAAABn77s8=")</f>
        <v>#REF!</v>
      </c>
      <c r="HA242" t="e">
        <f>AND('GA55 Summry'!#REF!,"AAAAABn77tA=")</f>
        <v>#REF!</v>
      </c>
      <c r="HB242" t="e">
        <f>AND('GA55 Summry'!#REF!,"AAAAABn77tE=")</f>
        <v>#REF!</v>
      </c>
      <c r="HC242" t="e">
        <f>AND('GA55 Summry'!#REF!,"AAAAABn77tI=")</f>
        <v>#REF!</v>
      </c>
      <c r="HD242" t="e">
        <f>AND('GA55 Summry'!#REF!,"AAAAABn77tM=")</f>
        <v>#REF!</v>
      </c>
      <c r="HE242" t="e">
        <f>AND('GA55 Summry'!#REF!,"AAAAABn77tQ=")</f>
        <v>#REF!</v>
      </c>
      <c r="HF242" t="e">
        <f>AND('GA55 Summry'!#REF!,"AAAAABn77tU=")</f>
        <v>#REF!</v>
      </c>
      <c r="HG242" t="e">
        <f>AND('GA55 Summry'!#REF!,"AAAAABn77tY=")</f>
        <v>#REF!</v>
      </c>
      <c r="HH242" t="e">
        <f>AND('GA55 Summry'!#REF!,"AAAAABn77tc=")</f>
        <v>#REF!</v>
      </c>
      <c r="HI242" t="e">
        <f>AND('GA55 Summry'!#REF!,"AAAAABn77tg=")</f>
        <v>#REF!</v>
      </c>
      <c r="HJ242" t="e">
        <f>AND('GA55 Summry'!#REF!,"AAAAABn77tk=")</f>
        <v>#REF!</v>
      </c>
      <c r="HK242" t="e">
        <f>AND('GA55 Summry'!#REF!,"AAAAABn77to=")</f>
        <v>#REF!</v>
      </c>
      <c r="HL242" t="e">
        <f>AND('GA55 Summry'!#REF!,"AAAAABn77ts=")</f>
        <v>#REF!</v>
      </c>
      <c r="HM242" t="e">
        <f>AND('GA55 Summry'!#REF!,"AAAAABn77tw=")</f>
        <v>#REF!</v>
      </c>
      <c r="HN242" t="e">
        <f>AND('GA55 Summry'!#REF!,"AAAAABn77t0=")</f>
        <v>#REF!</v>
      </c>
      <c r="HO242" t="e">
        <f>AND('GA55 Summry'!#REF!,"AAAAABn77t4=")</f>
        <v>#REF!</v>
      </c>
      <c r="HP242" t="e">
        <f>AND('GA55 Summry'!#REF!,"AAAAABn77t8=")</f>
        <v>#REF!</v>
      </c>
      <c r="HQ242" t="e">
        <f>AND('GA55 Summry'!#REF!,"AAAAABn77uA=")</f>
        <v>#REF!</v>
      </c>
      <c r="HR242" t="e">
        <f>AND('GA55 Summry'!#REF!,"AAAAABn77uE=")</f>
        <v>#REF!</v>
      </c>
      <c r="HS242" t="e">
        <f>AND('GA55 Summry'!#REF!,"AAAAABn77uI=")</f>
        <v>#REF!</v>
      </c>
      <c r="HT242" t="e">
        <f>AND('GA55 Summry'!#REF!,"AAAAABn77uM=")</f>
        <v>#REF!</v>
      </c>
      <c r="HU242" t="e">
        <f>AND('GA55 Summry'!#REF!,"AAAAABn77uQ=")</f>
        <v>#REF!</v>
      </c>
      <c r="HV242" t="e">
        <f>AND('GA55 Summry'!#REF!,"AAAAABn77uU=")</f>
        <v>#REF!</v>
      </c>
      <c r="HW242" t="e">
        <f>AND('GA55 Summry'!#REF!,"AAAAABn77uY=")</f>
        <v>#REF!</v>
      </c>
      <c r="HX242" t="e">
        <f>AND('GA55 Summry'!#REF!,"AAAAABn77uc=")</f>
        <v>#REF!</v>
      </c>
      <c r="HY242" t="e">
        <f>AND('GA55 Summry'!#REF!,"AAAAABn77ug=")</f>
        <v>#REF!</v>
      </c>
      <c r="HZ242" t="e">
        <f>AND('GA55 Summry'!#REF!,"AAAAABn77uk=")</f>
        <v>#REF!</v>
      </c>
      <c r="IA242" t="e">
        <f>AND('GA55 Summry'!#REF!,"AAAAABn77uo=")</f>
        <v>#REF!</v>
      </c>
      <c r="IB242" t="e">
        <f>AND('GA55 Summry'!#REF!,"AAAAABn77us=")</f>
        <v>#REF!</v>
      </c>
      <c r="IC242" t="e">
        <f>AND('GA55 Summry'!#REF!,"AAAAABn77uw=")</f>
        <v>#REF!</v>
      </c>
      <c r="ID242" t="e">
        <f>AND('GA55 Summry'!#REF!,"AAAAABn77u0=")</f>
        <v>#REF!</v>
      </c>
      <c r="IE242" t="e">
        <f>IF('GA55 Summry'!#REF!,"AAAAABn77u4=",0)</f>
        <v>#REF!</v>
      </c>
      <c r="IF242" t="e">
        <f>AND('GA55 Summry'!#REF!,"AAAAABn77u8=")</f>
        <v>#REF!</v>
      </c>
      <c r="IG242" t="e">
        <f>AND('GA55 Summry'!#REF!,"AAAAABn77vA=")</f>
        <v>#REF!</v>
      </c>
      <c r="IH242" t="e">
        <f>AND('GA55 Summry'!#REF!,"AAAAABn77vE=")</f>
        <v>#REF!</v>
      </c>
      <c r="II242" t="e">
        <f>AND('GA55 Summry'!#REF!,"AAAAABn77vI=")</f>
        <v>#REF!</v>
      </c>
      <c r="IJ242" t="e">
        <f>AND('GA55 Summry'!#REF!,"AAAAABn77vM=")</f>
        <v>#REF!</v>
      </c>
      <c r="IK242" t="e">
        <f>AND('GA55 Summry'!#REF!,"AAAAABn77vQ=")</f>
        <v>#REF!</v>
      </c>
      <c r="IL242" t="e">
        <f>AND('GA55 Summry'!#REF!,"AAAAABn77vU=")</f>
        <v>#REF!</v>
      </c>
      <c r="IM242" t="e">
        <f>AND('GA55 Summry'!#REF!,"AAAAABn77vY=")</f>
        <v>#REF!</v>
      </c>
      <c r="IN242" t="e">
        <f>AND('GA55 Summry'!#REF!,"AAAAABn77vc=")</f>
        <v>#REF!</v>
      </c>
      <c r="IO242" t="e">
        <f>AND('GA55 Summry'!#REF!,"AAAAABn77vg=")</f>
        <v>#REF!</v>
      </c>
      <c r="IP242" t="e">
        <f>AND('GA55 Summry'!#REF!,"AAAAABn77vk=")</f>
        <v>#REF!</v>
      </c>
      <c r="IQ242" t="e">
        <f>AND('GA55 Summry'!#REF!,"AAAAABn77vo=")</f>
        <v>#REF!</v>
      </c>
      <c r="IR242" t="e">
        <f>AND('GA55 Summry'!#REF!,"AAAAABn77vs=")</f>
        <v>#REF!</v>
      </c>
      <c r="IS242" t="e">
        <f>AND('GA55 Summry'!#REF!,"AAAAABn77vw=")</f>
        <v>#REF!</v>
      </c>
      <c r="IT242" t="e">
        <f>AND('GA55 Summry'!#REF!,"AAAAABn77v0=")</f>
        <v>#REF!</v>
      </c>
      <c r="IU242" t="e">
        <f>AND('GA55 Summry'!#REF!,"AAAAABn77v4=")</f>
        <v>#REF!</v>
      </c>
      <c r="IV242" t="e">
        <f>AND('GA55 Summry'!#REF!,"AAAAABn77v8=")</f>
        <v>#REF!</v>
      </c>
    </row>
    <row r="243" spans="1:256" x14ac:dyDescent="0.25">
      <c r="A243" t="e">
        <f>AND('GA55 Summry'!#REF!,"AAAAAH7rrgA=")</f>
        <v>#REF!</v>
      </c>
      <c r="B243" t="e">
        <f>AND('GA55 Summry'!#REF!,"AAAAAH7rrgE=")</f>
        <v>#REF!</v>
      </c>
      <c r="C243" t="e">
        <f>AND('GA55 Summry'!#REF!,"AAAAAH7rrgI=")</f>
        <v>#REF!</v>
      </c>
      <c r="D243" t="e">
        <f>AND('GA55 Summry'!#REF!,"AAAAAH7rrgM=")</f>
        <v>#REF!</v>
      </c>
      <c r="E243" t="e">
        <f>AND('GA55 Summry'!#REF!,"AAAAAH7rrgQ=")</f>
        <v>#REF!</v>
      </c>
      <c r="F243" t="e">
        <f>AND('GA55 Summry'!#REF!,"AAAAAH7rrgU=")</f>
        <v>#REF!</v>
      </c>
      <c r="G243" t="e">
        <f>AND('GA55 Summry'!#REF!,"AAAAAH7rrgY=")</f>
        <v>#REF!</v>
      </c>
      <c r="H243" t="e">
        <f>AND('GA55 Summry'!#REF!,"AAAAAH7rrgc=")</f>
        <v>#REF!</v>
      </c>
      <c r="I243" t="e">
        <f>AND('GA55 Summry'!#REF!,"AAAAAH7rrgg=")</f>
        <v>#REF!</v>
      </c>
      <c r="J243" t="e">
        <f>AND('GA55 Summry'!#REF!,"AAAAAH7rrgk=")</f>
        <v>#REF!</v>
      </c>
      <c r="K243" t="e">
        <f>AND('GA55 Summry'!#REF!,"AAAAAH7rrgo=")</f>
        <v>#REF!</v>
      </c>
      <c r="L243" t="e">
        <f>AND('GA55 Summry'!#REF!,"AAAAAH7rrgs=")</f>
        <v>#REF!</v>
      </c>
      <c r="M243" t="e">
        <f>AND('GA55 Summry'!#REF!,"AAAAAH7rrgw=")</f>
        <v>#REF!</v>
      </c>
      <c r="N243" t="e">
        <f>AND('GA55 Summry'!#REF!,"AAAAAH7rrg0=")</f>
        <v>#REF!</v>
      </c>
      <c r="O243" t="e">
        <f>AND('GA55 Summry'!#REF!,"AAAAAH7rrg4=")</f>
        <v>#REF!</v>
      </c>
      <c r="P243" t="e">
        <f>AND('GA55 Summry'!#REF!,"AAAAAH7rrg8=")</f>
        <v>#REF!</v>
      </c>
      <c r="Q243" t="e">
        <f>AND('GA55 Summry'!#REF!,"AAAAAH7rrhA=")</f>
        <v>#REF!</v>
      </c>
      <c r="R243" t="e">
        <f>AND('GA55 Summry'!#REF!,"AAAAAH7rrhE=")</f>
        <v>#REF!</v>
      </c>
      <c r="S243" t="e">
        <f>AND('GA55 Summry'!#REF!,"AAAAAH7rrhI=")</f>
        <v>#REF!</v>
      </c>
      <c r="T243" t="e">
        <f>AND('GA55 Summry'!#REF!,"AAAAAH7rrhM=")</f>
        <v>#REF!</v>
      </c>
      <c r="U243" t="e">
        <f>AND('GA55 Summry'!#REF!,"AAAAAH7rrhQ=")</f>
        <v>#REF!</v>
      </c>
      <c r="V243" t="e">
        <f>AND('GA55 Summry'!#REF!,"AAAAAH7rrhU=")</f>
        <v>#REF!</v>
      </c>
      <c r="W243" t="e">
        <f>AND('GA55 Summry'!#REF!,"AAAAAH7rrhY=")</f>
        <v>#REF!</v>
      </c>
      <c r="X243" t="e">
        <f>AND('GA55 Summry'!#REF!,"AAAAAH7rrhc=")</f>
        <v>#REF!</v>
      </c>
      <c r="Y243" t="e">
        <f>AND('GA55 Summry'!#REF!,"AAAAAH7rrhg=")</f>
        <v>#REF!</v>
      </c>
      <c r="Z243" t="e">
        <f>AND('GA55 Summry'!#REF!,"AAAAAH7rrhk=")</f>
        <v>#REF!</v>
      </c>
      <c r="AA243" t="e">
        <f>AND('GA55 Summry'!#REF!,"AAAAAH7rrho=")</f>
        <v>#REF!</v>
      </c>
      <c r="AB243" t="e">
        <f>AND('GA55 Summry'!#REF!,"AAAAAH7rrhs=")</f>
        <v>#REF!</v>
      </c>
      <c r="AC243" t="e">
        <f>AND('GA55 Summry'!#REF!,"AAAAAH7rrhw=")</f>
        <v>#REF!</v>
      </c>
      <c r="AD243" t="e">
        <f>AND('GA55 Summry'!#REF!,"AAAAAH7rrh0=")</f>
        <v>#REF!</v>
      </c>
      <c r="AE243" t="e">
        <f>AND('GA55 Summry'!#REF!,"AAAAAH7rrh4=")</f>
        <v>#REF!</v>
      </c>
      <c r="AF243" t="e">
        <f>AND('GA55 Summry'!#REF!,"AAAAAH7rrh8=")</f>
        <v>#REF!</v>
      </c>
      <c r="AG243" t="e">
        <f>AND('GA55 Summry'!#REF!,"AAAAAH7rriA=")</f>
        <v>#REF!</v>
      </c>
      <c r="AH243" t="e">
        <f>AND('GA55 Summry'!#REF!,"AAAAAH7rriE=")</f>
        <v>#REF!</v>
      </c>
      <c r="AI243" t="e">
        <f>AND('GA55 Summry'!#REF!,"AAAAAH7rriI=")</f>
        <v>#REF!</v>
      </c>
      <c r="AJ243" t="e">
        <f>AND('GA55 Summry'!#REF!,"AAAAAH7rriM=")</f>
        <v>#REF!</v>
      </c>
      <c r="AK243" t="e">
        <f>AND('GA55 Summry'!#REF!,"AAAAAH7rriQ=")</f>
        <v>#REF!</v>
      </c>
      <c r="AL243" t="e">
        <f>AND('GA55 Summry'!#REF!,"AAAAAH7rriU=")</f>
        <v>#REF!</v>
      </c>
      <c r="AM243" t="e">
        <f>AND('GA55 Summry'!#REF!,"AAAAAH7rriY=")</f>
        <v>#REF!</v>
      </c>
      <c r="AN243" t="e">
        <f>AND('GA55 Summry'!#REF!,"AAAAAH7rric=")</f>
        <v>#REF!</v>
      </c>
      <c r="AO243" t="e">
        <f>AND('GA55 Summry'!#REF!,"AAAAAH7rrig=")</f>
        <v>#REF!</v>
      </c>
      <c r="AP243" t="e">
        <f>AND('GA55 Summry'!#REF!,"AAAAAH7rrik=")</f>
        <v>#REF!</v>
      </c>
      <c r="AQ243" t="e">
        <f>AND('GA55 Summry'!#REF!,"AAAAAH7rrio=")</f>
        <v>#REF!</v>
      </c>
      <c r="AR243" t="e">
        <f>AND('GA55 Summry'!#REF!,"AAAAAH7rris=")</f>
        <v>#REF!</v>
      </c>
      <c r="AS243" t="e">
        <f>AND('GA55 Summry'!#REF!,"AAAAAH7rriw=")</f>
        <v>#REF!</v>
      </c>
      <c r="AT243" t="e">
        <f>AND('GA55 Summry'!#REF!,"AAAAAH7rri0=")</f>
        <v>#REF!</v>
      </c>
      <c r="AU243" t="e">
        <f>AND('GA55 Summry'!#REF!,"AAAAAH7rri4=")</f>
        <v>#REF!</v>
      </c>
      <c r="AV243" t="e">
        <f>AND('GA55 Summry'!#REF!,"AAAAAH7rri8=")</f>
        <v>#REF!</v>
      </c>
      <c r="AW243" t="e">
        <f>AND('GA55 Summry'!#REF!,"AAAAAH7rrjA=")</f>
        <v>#REF!</v>
      </c>
      <c r="AX243" t="e">
        <f>AND('GA55 Summry'!#REF!,"AAAAAH7rrjE=")</f>
        <v>#REF!</v>
      </c>
      <c r="AY243" t="e">
        <f>AND('GA55 Summry'!#REF!,"AAAAAH7rrjI=")</f>
        <v>#REF!</v>
      </c>
      <c r="AZ243" t="e">
        <f>AND('GA55 Summry'!#REF!,"AAAAAH7rrjM=")</f>
        <v>#REF!</v>
      </c>
      <c r="BA243" t="e">
        <f>AND('GA55 Summry'!#REF!,"AAAAAH7rrjQ=")</f>
        <v>#REF!</v>
      </c>
      <c r="BB243" t="e">
        <f>AND('GA55 Summry'!#REF!,"AAAAAH7rrjU=")</f>
        <v>#REF!</v>
      </c>
      <c r="BC243" t="e">
        <f>AND('GA55 Summry'!#REF!,"AAAAAH7rrjY=")</f>
        <v>#REF!</v>
      </c>
      <c r="BD243" t="e">
        <f>AND('GA55 Summry'!#REF!,"AAAAAH7rrjc=")</f>
        <v>#REF!</v>
      </c>
      <c r="BE243" t="e">
        <f>AND('GA55 Summry'!#REF!,"AAAAAH7rrjg=")</f>
        <v>#REF!</v>
      </c>
      <c r="BF243" t="e">
        <f>IF('GA55 Summry'!#REF!,"AAAAAH7rrjk=",0)</f>
        <v>#REF!</v>
      </c>
      <c r="BG243" t="e">
        <f>AND('GA55 Summry'!#REF!,"AAAAAH7rrjo=")</f>
        <v>#REF!</v>
      </c>
      <c r="BH243" t="e">
        <f>AND('GA55 Summry'!#REF!,"AAAAAH7rrjs=")</f>
        <v>#REF!</v>
      </c>
      <c r="BI243" t="e">
        <f>AND('GA55 Summry'!#REF!,"AAAAAH7rrjw=")</f>
        <v>#REF!</v>
      </c>
      <c r="BJ243" t="e">
        <f>AND('GA55 Summry'!#REF!,"AAAAAH7rrj0=")</f>
        <v>#REF!</v>
      </c>
      <c r="BK243" t="e">
        <f>AND('GA55 Summry'!#REF!,"AAAAAH7rrj4=")</f>
        <v>#REF!</v>
      </c>
      <c r="BL243" t="e">
        <f>AND('GA55 Summry'!#REF!,"AAAAAH7rrj8=")</f>
        <v>#REF!</v>
      </c>
      <c r="BM243" t="e">
        <f>AND('GA55 Summry'!#REF!,"AAAAAH7rrkA=")</f>
        <v>#REF!</v>
      </c>
      <c r="BN243" t="e">
        <f>AND('GA55 Summry'!#REF!,"AAAAAH7rrkE=")</f>
        <v>#REF!</v>
      </c>
      <c r="BO243" t="e">
        <f>AND('GA55 Summry'!#REF!,"AAAAAH7rrkI=")</f>
        <v>#REF!</v>
      </c>
      <c r="BP243" t="e">
        <f>AND('GA55 Summry'!#REF!,"AAAAAH7rrkM=")</f>
        <v>#REF!</v>
      </c>
      <c r="BQ243" t="e">
        <f>AND('GA55 Summry'!#REF!,"AAAAAH7rrkQ=")</f>
        <v>#REF!</v>
      </c>
      <c r="BR243" t="e">
        <f>AND('GA55 Summry'!#REF!,"AAAAAH7rrkU=")</f>
        <v>#REF!</v>
      </c>
      <c r="BS243" t="e">
        <f>AND('GA55 Summry'!#REF!,"AAAAAH7rrkY=")</f>
        <v>#REF!</v>
      </c>
      <c r="BT243" t="e">
        <f>AND('GA55 Summry'!#REF!,"AAAAAH7rrkc=")</f>
        <v>#REF!</v>
      </c>
      <c r="BU243" t="e">
        <f>AND('GA55 Summry'!#REF!,"AAAAAH7rrkg=")</f>
        <v>#REF!</v>
      </c>
      <c r="BV243" t="e">
        <f>AND('GA55 Summry'!#REF!,"AAAAAH7rrkk=")</f>
        <v>#REF!</v>
      </c>
      <c r="BW243" t="e">
        <f>AND('GA55 Summry'!#REF!,"AAAAAH7rrko=")</f>
        <v>#REF!</v>
      </c>
      <c r="BX243" t="e">
        <f>AND('GA55 Summry'!#REF!,"AAAAAH7rrks=")</f>
        <v>#REF!</v>
      </c>
      <c r="BY243" t="e">
        <f>AND('GA55 Summry'!#REF!,"AAAAAH7rrkw=")</f>
        <v>#REF!</v>
      </c>
      <c r="BZ243" t="e">
        <f>AND('GA55 Summry'!#REF!,"AAAAAH7rrk0=")</f>
        <v>#REF!</v>
      </c>
      <c r="CA243" t="e">
        <f>AND('GA55 Summry'!#REF!,"AAAAAH7rrk4=")</f>
        <v>#REF!</v>
      </c>
      <c r="CB243" t="e">
        <f>AND('GA55 Summry'!#REF!,"AAAAAH7rrk8=")</f>
        <v>#REF!</v>
      </c>
      <c r="CC243" t="e">
        <f>AND('GA55 Summry'!#REF!,"AAAAAH7rrlA=")</f>
        <v>#REF!</v>
      </c>
      <c r="CD243" t="e">
        <f>AND('GA55 Summry'!#REF!,"AAAAAH7rrlE=")</f>
        <v>#REF!</v>
      </c>
      <c r="CE243" t="e">
        <f>AND('GA55 Summry'!#REF!,"AAAAAH7rrlI=")</f>
        <v>#REF!</v>
      </c>
      <c r="CF243" t="e">
        <f>AND('GA55 Summry'!#REF!,"AAAAAH7rrlM=")</f>
        <v>#REF!</v>
      </c>
      <c r="CG243" t="e">
        <f>AND('GA55 Summry'!#REF!,"AAAAAH7rrlQ=")</f>
        <v>#REF!</v>
      </c>
      <c r="CH243" t="e">
        <f>AND('GA55 Summry'!#REF!,"AAAAAH7rrlU=")</f>
        <v>#REF!</v>
      </c>
      <c r="CI243" t="e">
        <f>AND('GA55 Summry'!#REF!,"AAAAAH7rrlY=")</f>
        <v>#REF!</v>
      </c>
      <c r="CJ243" t="e">
        <f>AND('GA55 Summry'!#REF!,"AAAAAH7rrlc=")</f>
        <v>#REF!</v>
      </c>
      <c r="CK243" t="e">
        <f>AND('GA55 Summry'!#REF!,"AAAAAH7rrlg=")</f>
        <v>#REF!</v>
      </c>
      <c r="CL243" t="e">
        <f>AND('GA55 Summry'!#REF!,"AAAAAH7rrlk=")</f>
        <v>#REF!</v>
      </c>
      <c r="CM243" t="e">
        <f>AND('GA55 Summry'!#REF!,"AAAAAH7rrlo=")</f>
        <v>#REF!</v>
      </c>
      <c r="CN243" t="e">
        <f>AND('GA55 Summry'!#REF!,"AAAAAH7rrls=")</f>
        <v>#REF!</v>
      </c>
      <c r="CO243" t="e">
        <f>AND('GA55 Summry'!#REF!,"AAAAAH7rrlw=")</f>
        <v>#REF!</v>
      </c>
      <c r="CP243" t="e">
        <f>AND('GA55 Summry'!#REF!,"AAAAAH7rrl0=")</f>
        <v>#REF!</v>
      </c>
      <c r="CQ243" t="e">
        <f>AND('GA55 Summry'!#REF!,"AAAAAH7rrl4=")</f>
        <v>#REF!</v>
      </c>
      <c r="CR243" t="e">
        <f>AND('GA55 Summry'!#REF!,"AAAAAH7rrl8=")</f>
        <v>#REF!</v>
      </c>
      <c r="CS243" t="e">
        <f>AND('GA55 Summry'!#REF!,"AAAAAH7rrmA=")</f>
        <v>#REF!</v>
      </c>
      <c r="CT243" t="e">
        <f>AND('GA55 Summry'!#REF!,"AAAAAH7rrmE=")</f>
        <v>#REF!</v>
      </c>
      <c r="CU243" t="e">
        <f>AND('GA55 Summry'!#REF!,"AAAAAH7rrmI=")</f>
        <v>#REF!</v>
      </c>
      <c r="CV243" t="e">
        <f>AND('GA55 Summry'!#REF!,"AAAAAH7rrmM=")</f>
        <v>#REF!</v>
      </c>
      <c r="CW243" t="e">
        <f>AND('GA55 Summry'!#REF!,"AAAAAH7rrmQ=")</f>
        <v>#REF!</v>
      </c>
      <c r="CX243" t="e">
        <f>AND('GA55 Summry'!#REF!,"AAAAAH7rrmU=")</f>
        <v>#REF!</v>
      </c>
      <c r="CY243" t="e">
        <f>AND('GA55 Summry'!#REF!,"AAAAAH7rrmY=")</f>
        <v>#REF!</v>
      </c>
      <c r="CZ243" t="e">
        <f>AND('GA55 Summry'!#REF!,"AAAAAH7rrmc=")</f>
        <v>#REF!</v>
      </c>
      <c r="DA243" t="e">
        <f>AND('GA55 Summry'!#REF!,"AAAAAH7rrmg=")</f>
        <v>#REF!</v>
      </c>
      <c r="DB243" t="e">
        <f>AND('GA55 Summry'!#REF!,"AAAAAH7rrmk=")</f>
        <v>#REF!</v>
      </c>
      <c r="DC243" t="e">
        <f>AND('GA55 Summry'!#REF!,"AAAAAH7rrmo=")</f>
        <v>#REF!</v>
      </c>
      <c r="DD243" t="e">
        <f>AND('GA55 Summry'!#REF!,"AAAAAH7rrms=")</f>
        <v>#REF!</v>
      </c>
      <c r="DE243" t="e">
        <f>AND('GA55 Summry'!#REF!,"AAAAAH7rrmw=")</f>
        <v>#REF!</v>
      </c>
      <c r="DF243" t="e">
        <f>AND('GA55 Summry'!#REF!,"AAAAAH7rrm0=")</f>
        <v>#REF!</v>
      </c>
      <c r="DG243" t="e">
        <f>AND('GA55 Summry'!#REF!,"AAAAAH7rrm4=")</f>
        <v>#REF!</v>
      </c>
      <c r="DH243" t="e">
        <f>AND('GA55 Summry'!#REF!,"AAAAAH7rrm8=")</f>
        <v>#REF!</v>
      </c>
      <c r="DI243" t="e">
        <f>AND('GA55 Summry'!#REF!,"AAAAAH7rrnA=")</f>
        <v>#REF!</v>
      </c>
      <c r="DJ243" t="e">
        <f>AND('GA55 Summry'!#REF!,"AAAAAH7rrnE=")</f>
        <v>#REF!</v>
      </c>
      <c r="DK243" t="e">
        <f>AND('GA55 Summry'!#REF!,"AAAAAH7rrnI=")</f>
        <v>#REF!</v>
      </c>
      <c r="DL243" t="e">
        <f>AND('GA55 Summry'!#REF!,"AAAAAH7rrnM=")</f>
        <v>#REF!</v>
      </c>
      <c r="DM243" t="e">
        <f>AND('GA55 Summry'!#REF!,"AAAAAH7rrnQ=")</f>
        <v>#REF!</v>
      </c>
      <c r="DN243" t="e">
        <f>AND('GA55 Summry'!#REF!,"AAAAAH7rrnU=")</f>
        <v>#REF!</v>
      </c>
      <c r="DO243" t="e">
        <f>AND('GA55 Summry'!#REF!,"AAAAAH7rrnY=")</f>
        <v>#REF!</v>
      </c>
      <c r="DP243" t="e">
        <f>AND('GA55 Summry'!#REF!,"AAAAAH7rrnc=")</f>
        <v>#REF!</v>
      </c>
      <c r="DQ243" t="e">
        <f>AND('GA55 Summry'!#REF!,"AAAAAH7rrng=")</f>
        <v>#REF!</v>
      </c>
      <c r="DR243" t="e">
        <f>AND('GA55 Summry'!#REF!,"AAAAAH7rrnk=")</f>
        <v>#REF!</v>
      </c>
      <c r="DS243" t="e">
        <f>AND('GA55 Summry'!#REF!,"AAAAAH7rrno=")</f>
        <v>#REF!</v>
      </c>
      <c r="DT243" t="e">
        <f>AND('GA55 Summry'!#REF!,"AAAAAH7rrns=")</f>
        <v>#REF!</v>
      </c>
      <c r="DU243" t="e">
        <f>AND('GA55 Summry'!#REF!,"AAAAAH7rrnw=")</f>
        <v>#REF!</v>
      </c>
      <c r="DV243" t="e">
        <f>AND('GA55 Summry'!#REF!,"AAAAAH7rrn0=")</f>
        <v>#REF!</v>
      </c>
      <c r="DW243" t="e">
        <f>AND('GA55 Summry'!#REF!,"AAAAAH7rrn4=")</f>
        <v>#REF!</v>
      </c>
      <c r="DX243" t="e">
        <f>AND('GA55 Summry'!#REF!,"AAAAAH7rrn8=")</f>
        <v>#REF!</v>
      </c>
      <c r="DY243" t="e">
        <f>AND('GA55 Summry'!#REF!,"AAAAAH7rroA=")</f>
        <v>#REF!</v>
      </c>
      <c r="DZ243" t="e">
        <f>AND('GA55 Summry'!#REF!,"AAAAAH7rroE=")</f>
        <v>#REF!</v>
      </c>
      <c r="EA243" t="e">
        <f>AND('GA55 Summry'!#REF!,"AAAAAH7rroI=")</f>
        <v>#REF!</v>
      </c>
      <c r="EB243" t="e">
        <f>AND('GA55 Summry'!#REF!,"AAAAAH7rroM=")</f>
        <v>#REF!</v>
      </c>
      <c r="EC243" t="e">
        <f>IF('GA55 Summry'!#REF!,"AAAAAH7rroQ=",0)</f>
        <v>#REF!</v>
      </c>
      <c r="ED243" t="e">
        <f>AND('GA55 Summry'!#REF!,"AAAAAH7rroU=")</f>
        <v>#REF!</v>
      </c>
      <c r="EE243" t="e">
        <f>AND('GA55 Summry'!#REF!,"AAAAAH7rroY=")</f>
        <v>#REF!</v>
      </c>
      <c r="EF243" t="e">
        <f>AND('GA55 Summry'!#REF!,"AAAAAH7rroc=")</f>
        <v>#REF!</v>
      </c>
      <c r="EG243" t="e">
        <f>AND('GA55 Summry'!#REF!,"AAAAAH7rrog=")</f>
        <v>#REF!</v>
      </c>
      <c r="EH243" t="e">
        <f>AND('GA55 Summry'!#REF!,"AAAAAH7rrok=")</f>
        <v>#REF!</v>
      </c>
      <c r="EI243" t="e">
        <f>AND('GA55 Summry'!#REF!,"AAAAAH7rroo=")</f>
        <v>#REF!</v>
      </c>
      <c r="EJ243" t="e">
        <f>AND('GA55 Summry'!#REF!,"AAAAAH7rros=")</f>
        <v>#REF!</v>
      </c>
      <c r="EK243" t="e">
        <f>AND('GA55 Summry'!#REF!,"AAAAAH7rrow=")</f>
        <v>#REF!</v>
      </c>
      <c r="EL243" t="e">
        <f>AND('GA55 Summry'!#REF!,"AAAAAH7rro0=")</f>
        <v>#REF!</v>
      </c>
      <c r="EM243" t="e">
        <f>AND('GA55 Summry'!#REF!,"AAAAAH7rro4=")</f>
        <v>#REF!</v>
      </c>
      <c r="EN243" t="e">
        <f>AND('GA55 Summry'!#REF!,"AAAAAH7rro8=")</f>
        <v>#REF!</v>
      </c>
      <c r="EO243" t="e">
        <f>AND('GA55 Summry'!#REF!,"AAAAAH7rrpA=")</f>
        <v>#REF!</v>
      </c>
      <c r="EP243" t="e">
        <f>AND('GA55 Summry'!#REF!,"AAAAAH7rrpE=")</f>
        <v>#REF!</v>
      </c>
      <c r="EQ243" t="e">
        <f>AND('GA55 Summry'!#REF!,"AAAAAH7rrpI=")</f>
        <v>#REF!</v>
      </c>
      <c r="ER243" t="e">
        <f>AND('GA55 Summry'!#REF!,"AAAAAH7rrpM=")</f>
        <v>#REF!</v>
      </c>
      <c r="ES243" t="e">
        <f>AND('GA55 Summry'!#REF!,"AAAAAH7rrpQ=")</f>
        <v>#REF!</v>
      </c>
      <c r="ET243" t="e">
        <f>AND('GA55 Summry'!#REF!,"AAAAAH7rrpU=")</f>
        <v>#REF!</v>
      </c>
      <c r="EU243" t="e">
        <f>AND('GA55 Summry'!#REF!,"AAAAAH7rrpY=")</f>
        <v>#REF!</v>
      </c>
      <c r="EV243" t="e">
        <f>AND('GA55 Summry'!#REF!,"AAAAAH7rrpc=")</f>
        <v>#REF!</v>
      </c>
      <c r="EW243" t="e">
        <f>AND('GA55 Summry'!#REF!,"AAAAAH7rrpg=")</f>
        <v>#REF!</v>
      </c>
      <c r="EX243" t="e">
        <f>AND('GA55 Summry'!#REF!,"AAAAAH7rrpk=")</f>
        <v>#REF!</v>
      </c>
      <c r="EY243" t="e">
        <f>AND('GA55 Summry'!#REF!,"AAAAAH7rrpo=")</f>
        <v>#REF!</v>
      </c>
      <c r="EZ243" t="e">
        <f>AND('GA55 Summry'!#REF!,"AAAAAH7rrps=")</f>
        <v>#REF!</v>
      </c>
      <c r="FA243" t="e">
        <f>AND('GA55 Summry'!#REF!,"AAAAAH7rrpw=")</f>
        <v>#REF!</v>
      </c>
      <c r="FB243" t="e">
        <f>AND('GA55 Summry'!#REF!,"AAAAAH7rrp0=")</f>
        <v>#REF!</v>
      </c>
      <c r="FC243" t="e">
        <f>AND('GA55 Summry'!#REF!,"AAAAAH7rrp4=")</f>
        <v>#REF!</v>
      </c>
      <c r="FD243" t="e">
        <f>AND('GA55 Summry'!#REF!,"AAAAAH7rrp8=")</f>
        <v>#REF!</v>
      </c>
      <c r="FE243" t="e">
        <f>AND('GA55 Summry'!#REF!,"AAAAAH7rrqA=")</f>
        <v>#REF!</v>
      </c>
      <c r="FF243" t="e">
        <f>AND('GA55 Summry'!#REF!,"AAAAAH7rrqE=")</f>
        <v>#REF!</v>
      </c>
      <c r="FG243" t="e">
        <f>AND('GA55 Summry'!#REF!,"AAAAAH7rrqI=")</f>
        <v>#REF!</v>
      </c>
      <c r="FH243" t="e">
        <f>AND('GA55 Summry'!#REF!,"AAAAAH7rrqM=")</f>
        <v>#REF!</v>
      </c>
      <c r="FI243" t="e">
        <f>AND('GA55 Summry'!#REF!,"AAAAAH7rrqQ=")</f>
        <v>#REF!</v>
      </c>
      <c r="FJ243" t="e">
        <f>AND('GA55 Summry'!#REF!,"AAAAAH7rrqU=")</f>
        <v>#REF!</v>
      </c>
      <c r="FK243" t="e">
        <f>AND('GA55 Summry'!#REF!,"AAAAAH7rrqY=")</f>
        <v>#REF!</v>
      </c>
      <c r="FL243" t="e">
        <f>AND('GA55 Summry'!#REF!,"AAAAAH7rrqc=")</f>
        <v>#REF!</v>
      </c>
      <c r="FM243" t="e">
        <f>AND('GA55 Summry'!#REF!,"AAAAAH7rrqg=")</f>
        <v>#REF!</v>
      </c>
      <c r="FN243" t="e">
        <f>AND('GA55 Summry'!#REF!,"AAAAAH7rrqk=")</f>
        <v>#REF!</v>
      </c>
      <c r="FO243" t="e">
        <f>AND('GA55 Summry'!#REF!,"AAAAAH7rrqo=")</f>
        <v>#REF!</v>
      </c>
      <c r="FP243" t="e">
        <f>AND('GA55 Summry'!#REF!,"AAAAAH7rrqs=")</f>
        <v>#REF!</v>
      </c>
      <c r="FQ243" t="e">
        <f>AND('GA55 Summry'!#REF!,"AAAAAH7rrqw=")</f>
        <v>#REF!</v>
      </c>
      <c r="FR243" t="e">
        <f>AND('GA55 Summry'!#REF!,"AAAAAH7rrq0=")</f>
        <v>#REF!</v>
      </c>
      <c r="FS243" t="e">
        <f>AND('GA55 Summry'!#REF!,"AAAAAH7rrq4=")</f>
        <v>#REF!</v>
      </c>
      <c r="FT243" t="e">
        <f>AND('GA55 Summry'!#REF!,"AAAAAH7rrq8=")</f>
        <v>#REF!</v>
      </c>
      <c r="FU243" t="e">
        <f>AND('GA55 Summry'!#REF!,"AAAAAH7rrrA=")</f>
        <v>#REF!</v>
      </c>
      <c r="FV243" t="e">
        <f>AND('GA55 Summry'!#REF!,"AAAAAH7rrrE=")</f>
        <v>#REF!</v>
      </c>
      <c r="FW243" t="e">
        <f>AND('GA55 Summry'!#REF!,"AAAAAH7rrrI=")</f>
        <v>#REF!</v>
      </c>
      <c r="FX243" t="e">
        <f>AND('GA55 Summry'!#REF!,"AAAAAH7rrrM=")</f>
        <v>#REF!</v>
      </c>
      <c r="FY243" t="e">
        <f>AND('GA55 Summry'!#REF!,"AAAAAH7rrrQ=")</f>
        <v>#REF!</v>
      </c>
      <c r="FZ243" t="e">
        <f>AND('GA55 Summry'!#REF!,"AAAAAH7rrrU=")</f>
        <v>#REF!</v>
      </c>
      <c r="GA243" t="e">
        <f>AND('GA55 Summry'!#REF!,"AAAAAH7rrrY=")</f>
        <v>#REF!</v>
      </c>
      <c r="GB243" t="e">
        <f>AND('GA55 Summry'!#REF!,"AAAAAH7rrrc=")</f>
        <v>#REF!</v>
      </c>
      <c r="GC243" t="e">
        <f>AND('GA55 Summry'!#REF!,"AAAAAH7rrrg=")</f>
        <v>#REF!</v>
      </c>
      <c r="GD243" t="e">
        <f>AND('GA55 Summry'!#REF!,"AAAAAH7rrrk=")</f>
        <v>#REF!</v>
      </c>
      <c r="GE243" t="e">
        <f>AND('GA55 Summry'!#REF!,"AAAAAH7rrro=")</f>
        <v>#REF!</v>
      </c>
      <c r="GF243" t="e">
        <f>AND('GA55 Summry'!#REF!,"AAAAAH7rrrs=")</f>
        <v>#REF!</v>
      </c>
      <c r="GG243" t="e">
        <f>AND('GA55 Summry'!#REF!,"AAAAAH7rrrw=")</f>
        <v>#REF!</v>
      </c>
      <c r="GH243" t="e">
        <f>AND('GA55 Summry'!#REF!,"AAAAAH7rrr0=")</f>
        <v>#REF!</v>
      </c>
      <c r="GI243" t="e">
        <f>AND('GA55 Summry'!#REF!,"AAAAAH7rrr4=")</f>
        <v>#REF!</v>
      </c>
      <c r="GJ243" t="e">
        <f>AND('GA55 Summry'!#REF!,"AAAAAH7rrr8=")</f>
        <v>#REF!</v>
      </c>
      <c r="GK243" t="e">
        <f>AND('GA55 Summry'!#REF!,"AAAAAH7rrsA=")</f>
        <v>#REF!</v>
      </c>
      <c r="GL243" t="e">
        <f>AND('GA55 Summry'!#REF!,"AAAAAH7rrsE=")</f>
        <v>#REF!</v>
      </c>
      <c r="GM243" t="e">
        <f>AND('GA55 Summry'!#REF!,"AAAAAH7rrsI=")</f>
        <v>#REF!</v>
      </c>
      <c r="GN243" t="e">
        <f>AND('GA55 Summry'!#REF!,"AAAAAH7rrsM=")</f>
        <v>#REF!</v>
      </c>
      <c r="GO243" t="e">
        <f>AND('GA55 Summry'!#REF!,"AAAAAH7rrsQ=")</f>
        <v>#REF!</v>
      </c>
      <c r="GP243" t="e">
        <f>AND('GA55 Summry'!#REF!,"AAAAAH7rrsU=")</f>
        <v>#REF!</v>
      </c>
      <c r="GQ243" t="e">
        <f>AND('GA55 Summry'!#REF!,"AAAAAH7rrsY=")</f>
        <v>#REF!</v>
      </c>
      <c r="GR243" t="e">
        <f>AND('GA55 Summry'!#REF!,"AAAAAH7rrsc=")</f>
        <v>#REF!</v>
      </c>
      <c r="GS243" t="e">
        <f>AND('GA55 Summry'!#REF!,"AAAAAH7rrsg=")</f>
        <v>#REF!</v>
      </c>
      <c r="GT243" t="e">
        <f>AND('GA55 Summry'!#REF!,"AAAAAH7rrsk=")</f>
        <v>#REF!</v>
      </c>
      <c r="GU243" t="e">
        <f>AND('GA55 Summry'!#REF!,"AAAAAH7rrso=")</f>
        <v>#REF!</v>
      </c>
      <c r="GV243" t="e">
        <f>AND('GA55 Summry'!#REF!,"AAAAAH7rrss=")</f>
        <v>#REF!</v>
      </c>
      <c r="GW243" t="e">
        <f>AND('GA55 Summry'!#REF!,"AAAAAH7rrsw=")</f>
        <v>#REF!</v>
      </c>
      <c r="GX243" t="e">
        <f>AND('GA55 Summry'!#REF!,"AAAAAH7rrs0=")</f>
        <v>#REF!</v>
      </c>
      <c r="GY243" t="e">
        <f>AND('GA55 Summry'!#REF!,"AAAAAH7rrs4=")</f>
        <v>#REF!</v>
      </c>
      <c r="GZ243" t="e">
        <f>IF('GA55 Summry'!#REF!,"AAAAAH7rrs8=",0)</f>
        <v>#REF!</v>
      </c>
      <c r="HA243" t="e">
        <f>AND('GA55 Summry'!#REF!,"AAAAAH7rrtA=")</f>
        <v>#REF!</v>
      </c>
      <c r="HB243" t="e">
        <f>AND('GA55 Summry'!#REF!,"AAAAAH7rrtE=")</f>
        <v>#REF!</v>
      </c>
      <c r="HC243" t="e">
        <f>AND('GA55 Summry'!#REF!,"AAAAAH7rrtI=")</f>
        <v>#REF!</v>
      </c>
      <c r="HD243" t="e">
        <f>AND('GA55 Summry'!#REF!,"AAAAAH7rrtM=")</f>
        <v>#REF!</v>
      </c>
      <c r="HE243" t="e">
        <f>AND('GA55 Summry'!#REF!,"AAAAAH7rrtQ=")</f>
        <v>#REF!</v>
      </c>
      <c r="HF243" t="e">
        <f>AND('GA55 Summry'!#REF!,"AAAAAH7rrtU=")</f>
        <v>#REF!</v>
      </c>
      <c r="HG243" t="e">
        <f>AND('GA55 Summry'!#REF!,"AAAAAH7rrtY=")</f>
        <v>#REF!</v>
      </c>
      <c r="HH243" t="e">
        <f>AND('GA55 Summry'!#REF!,"AAAAAH7rrtc=")</f>
        <v>#REF!</v>
      </c>
      <c r="HI243" t="e">
        <f>AND('GA55 Summry'!#REF!,"AAAAAH7rrtg=")</f>
        <v>#REF!</v>
      </c>
      <c r="HJ243" t="e">
        <f>AND('GA55 Summry'!#REF!,"AAAAAH7rrtk=")</f>
        <v>#REF!</v>
      </c>
      <c r="HK243" t="e">
        <f>AND('GA55 Summry'!#REF!,"AAAAAH7rrto=")</f>
        <v>#REF!</v>
      </c>
      <c r="HL243" t="e">
        <f>AND('GA55 Summry'!#REF!,"AAAAAH7rrts=")</f>
        <v>#REF!</v>
      </c>
      <c r="HM243" t="e">
        <f>AND('GA55 Summry'!#REF!,"AAAAAH7rrtw=")</f>
        <v>#REF!</v>
      </c>
      <c r="HN243" t="e">
        <f>AND('GA55 Summry'!#REF!,"AAAAAH7rrt0=")</f>
        <v>#REF!</v>
      </c>
      <c r="HO243" t="e">
        <f>AND('GA55 Summry'!#REF!,"AAAAAH7rrt4=")</f>
        <v>#REF!</v>
      </c>
      <c r="HP243" t="e">
        <f>AND('GA55 Summry'!#REF!,"AAAAAH7rrt8=")</f>
        <v>#REF!</v>
      </c>
      <c r="HQ243" t="e">
        <f>AND('GA55 Summry'!#REF!,"AAAAAH7rruA=")</f>
        <v>#REF!</v>
      </c>
      <c r="HR243" t="e">
        <f>AND('GA55 Summry'!#REF!,"AAAAAH7rruE=")</f>
        <v>#REF!</v>
      </c>
      <c r="HS243" t="e">
        <f>AND('GA55 Summry'!#REF!,"AAAAAH7rruI=")</f>
        <v>#REF!</v>
      </c>
      <c r="HT243" t="e">
        <f>AND('GA55 Summry'!#REF!,"AAAAAH7rruM=")</f>
        <v>#REF!</v>
      </c>
      <c r="HU243" t="e">
        <f>AND('GA55 Summry'!#REF!,"AAAAAH7rruQ=")</f>
        <v>#REF!</v>
      </c>
      <c r="HV243" t="e">
        <f>AND('GA55 Summry'!#REF!,"AAAAAH7rruU=")</f>
        <v>#REF!</v>
      </c>
      <c r="HW243" t="e">
        <f>AND('GA55 Summry'!#REF!,"AAAAAH7rruY=")</f>
        <v>#REF!</v>
      </c>
      <c r="HX243" t="e">
        <f>AND('GA55 Summry'!#REF!,"AAAAAH7rruc=")</f>
        <v>#REF!</v>
      </c>
      <c r="HY243" t="e">
        <f>AND('GA55 Summry'!#REF!,"AAAAAH7rrug=")</f>
        <v>#REF!</v>
      </c>
      <c r="HZ243" t="e">
        <f>AND('GA55 Summry'!#REF!,"AAAAAH7rruk=")</f>
        <v>#REF!</v>
      </c>
      <c r="IA243" t="e">
        <f>AND('GA55 Summry'!#REF!,"AAAAAH7rruo=")</f>
        <v>#REF!</v>
      </c>
      <c r="IB243" t="e">
        <f>AND('GA55 Summry'!#REF!,"AAAAAH7rrus=")</f>
        <v>#REF!</v>
      </c>
      <c r="IC243" t="e">
        <f>AND('GA55 Summry'!#REF!,"AAAAAH7rruw=")</f>
        <v>#REF!</v>
      </c>
      <c r="ID243" t="e">
        <f>AND('GA55 Summry'!#REF!,"AAAAAH7rru0=")</f>
        <v>#REF!</v>
      </c>
      <c r="IE243" t="e">
        <f>AND('GA55 Summry'!#REF!,"AAAAAH7rru4=")</f>
        <v>#REF!</v>
      </c>
      <c r="IF243" t="e">
        <f>AND('GA55 Summry'!#REF!,"AAAAAH7rru8=")</f>
        <v>#REF!</v>
      </c>
      <c r="IG243" t="e">
        <f>AND('GA55 Summry'!#REF!,"AAAAAH7rrvA=")</f>
        <v>#REF!</v>
      </c>
      <c r="IH243" t="e">
        <f>AND('GA55 Summry'!#REF!,"AAAAAH7rrvE=")</f>
        <v>#REF!</v>
      </c>
      <c r="II243" t="e">
        <f>AND('GA55 Summry'!#REF!,"AAAAAH7rrvI=")</f>
        <v>#REF!</v>
      </c>
      <c r="IJ243" t="e">
        <f>AND('GA55 Summry'!#REF!,"AAAAAH7rrvM=")</f>
        <v>#REF!</v>
      </c>
      <c r="IK243" t="e">
        <f>AND('GA55 Summry'!#REF!,"AAAAAH7rrvQ=")</f>
        <v>#REF!</v>
      </c>
      <c r="IL243" t="e">
        <f>AND('GA55 Summry'!#REF!,"AAAAAH7rrvU=")</f>
        <v>#REF!</v>
      </c>
      <c r="IM243" t="e">
        <f>AND('GA55 Summry'!#REF!,"AAAAAH7rrvY=")</f>
        <v>#REF!</v>
      </c>
      <c r="IN243" t="e">
        <f>AND('GA55 Summry'!#REF!,"AAAAAH7rrvc=")</f>
        <v>#REF!</v>
      </c>
      <c r="IO243" t="e">
        <f>AND('GA55 Summry'!#REF!,"AAAAAH7rrvg=")</f>
        <v>#REF!</v>
      </c>
      <c r="IP243" t="e">
        <f>AND('GA55 Summry'!#REF!,"AAAAAH7rrvk=")</f>
        <v>#REF!</v>
      </c>
      <c r="IQ243" t="e">
        <f>AND('GA55 Summry'!#REF!,"AAAAAH7rrvo=")</f>
        <v>#REF!</v>
      </c>
      <c r="IR243" t="e">
        <f>AND('GA55 Summry'!#REF!,"AAAAAH7rrvs=")</f>
        <v>#REF!</v>
      </c>
      <c r="IS243" t="e">
        <f>AND('GA55 Summry'!#REF!,"AAAAAH7rrvw=")</f>
        <v>#REF!</v>
      </c>
      <c r="IT243" t="e">
        <f>AND('GA55 Summry'!#REF!,"AAAAAH7rrv0=")</f>
        <v>#REF!</v>
      </c>
      <c r="IU243" t="e">
        <f>AND('GA55 Summry'!#REF!,"AAAAAH7rrv4=")</f>
        <v>#REF!</v>
      </c>
      <c r="IV243" t="e">
        <f>AND('GA55 Summry'!#REF!,"AAAAAH7rrv8=")</f>
        <v>#REF!</v>
      </c>
    </row>
    <row r="244" spans="1:256" x14ac:dyDescent="0.25">
      <c r="A244" t="e">
        <f>AND('GA55 Summry'!#REF!,"AAAAAGn75QA=")</f>
        <v>#REF!</v>
      </c>
      <c r="B244" t="e">
        <f>AND('GA55 Summry'!#REF!,"AAAAAGn75QE=")</f>
        <v>#REF!</v>
      </c>
      <c r="C244" t="e">
        <f>AND('GA55 Summry'!#REF!,"AAAAAGn75QI=")</f>
        <v>#REF!</v>
      </c>
      <c r="D244" t="e">
        <f>AND('GA55 Summry'!#REF!,"AAAAAGn75QM=")</f>
        <v>#REF!</v>
      </c>
      <c r="E244" t="e">
        <f>AND('GA55 Summry'!#REF!,"AAAAAGn75QQ=")</f>
        <v>#REF!</v>
      </c>
      <c r="F244" t="e">
        <f>AND('GA55 Summry'!#REF!,"AAAAAGn75QU=")</f>
        <v>#REF!</v>
      </c>
      <c r="G244" t="e">
        <f>AND('GA55 Summry'!#REF!,"AAAAAGn75QY=")</f>
        <v>#REF!</v>
      </c>
      <c r="H244" t="e">
        <f>AND('GA55 Summry'!#REF!,"AAAAAGn75Qc=")</f>
        <v>#REF!</v>
      </c>
      <c r="I244" t="e">
        <f>AND('GA55 Summry'!#REF!,"AAAAAGn75Qg=")</f>
        <v>#REF!</v>
      </c>
      <c r="J244" t="e">
        <f>AND('GA55 Summry'!#REF!,"AAAAAGn75Qk=")</f>
        <v>#REF!</v>
      </c>
      <c r="K244" t="e">
        <f>AND('GA55 Summry'!#REF!,"AAAAAGn75Qo=")</f>
        <v>#REF!</v>
      </c>
      <c r="L244" t="e">
        <f>AND('GA55 Summry'!#REF!,"AAAAAGn75Qs=")</f>
        <v>#REF!</v>
      </c>
      <c r="M244" t="e">
        <f>AND('GA55 Summry'!#REF!,"AAAAAGn75Qw=")</f>
        <v>#REF!</v>
      </c>
      <c r="N244" t="e">
        <f>AND('GA55 Summry'!#REF!,"AAAAAGn75Q0=")</f>
        <v>#REF!</v>
      </c>
      <c r="O244" t="e">
        <f>AND('GA55 Summry'!#REF!,"AAAAAGn75Q4=")</f>
        <v>#REF!</v>
      </c>
      <c r="P244" t="e">
        <f>AND('GA55 Summry'!#REF!,"AAAAAGn75Q8=")</f>
        <v>#REF!</v>
      </c>
      <c r="Q244" t="e">
        <f>AND('GA55 Summry'!#REF!,"AAAAAGn75RA=")</f>
        <v>#REF!</v>
      </c>
      <c r="R244" t="e">
        <f>AND('GA55 Summry'!#REF!,"AAAAAGn75RE=")</f>
        <v>#REF!</v>
      </c>
      <c r="S244" t="e">
        <f>AND('GA55 Summry'!#REF!,"AAAAAGn75RI=")</f>
        <v>#REF!</v>
      </c>
      <c r="T244" t="e">
        <f>AND('GA55 Summry'!#REF!,"AAAAAGn75RM=")</f>
        <v>#REF!</v>
      </c>
      <c r="U244" t="e">
        <f>AND('GA55 Summry'!#REF!,"AAAAAGn75RQ=")</f>
        <v>#REF!</v>
      </c>
      <c r="V244" t="e">
        <f>AND('GA55 Summry'!#REF!,"AAAAAGn75RU=")</f>
        <v>#REF!</v>
      </c>
      <c r="W244" t="e">
        <f>AND('GA55 Summry'!#REF!,"AAAAAGn75RY=")</f>
        <v>#REF!</v>
      </c>
      <c r="X244" t="e">
        <f>AND('GA55 Summry'!#REF!,"AAAAAGn75Rc=")</f>
        <v>#REF!</v>
      </c>
      <c r="Y244" t="e">
        <f>AND('GA55 Summry'!#REF!,"AAAAAGn75Rg=")</f>
        <v>#REF!</v>
      </c>
      <c r="Z244" t="e">
        <f>AND('GA55 Summry'!#REF!,"AAAAAGn75Rk=")</f>
        <v>#REF!</v>
      </c>
      <c r="AA244" t="e">
        <f>IF('GA55 Summry'!#REF!,"AAAAAGn75Ro=",0)</f>
        <v>#REF!</v>
      </c>
      <c r="AB244" t="e">
        <f>AND('GA55 Summry'!#REF!,"AAAAAGn75Rs=")</f>
        <v>#REF!</v>
      </c>
      <c r="AC244" t="e">
        <f>AND('GA55 Summry'!#REF!,"AAAAAGn75Rw=")</f>
        <v>#REF!</v>
      </c>
      <c r="AD244" t="e">
        <f>AND('GA55 Summry'!#REF!,"AAAAAGn75R0=")</f>
        <v>#REF!</v>
      </c>
      <c r="AE244" t="e">
        <f>AND('GA55 Summry'!#REF!,"AAAAAGn75R4=")</f>
        <v>#REF!</v>
      </c>
      <c r="AF244" t="e">
        <f>AND('GA55 Summry'!#REF!,"AAAAAGn75R8=")</f>
        <v>#REF!</v>
      </c>
      <c r="AG244" t="e">
        <f>AND('GA55 Summry'!#REF!,"AAAAAGn75SA=")</f>
        <v>#REF!</v>
      </c>
      <c r="AH244" t="e">
        <f>AND('GA55 Summry'!#REF!,"AAAAAGn75SE=")</f>
        <v>#REF!</v>
      </c>
      <c r="AI244" t="e">
        <f>AND('GA55 Summry'!#REF!,"AAAAAGn75SI=")</f>
        <v>#REF!</v>
      </c>
      <c r="AJ244" t="e">
        <f>AND('GA55 Summry'!#REF!,"AAAAAGn75SM=")</f>
        <v>#REF!</v>
      </c>
      <c r="AK244" t="e">
        <f>AND('GA55 Summry'!#REF!,"AAAAAGn75SQ=")</f>
        <v>#REF!</v>
      </c>
      <c r="AL244" t="e">
        <f>AND('GA55 Summry'!#REF!,"AAAAAGn75SU=")</f>
        <v>#REF!</v>
      </c>
      <c r="AM244" t="e">
        <f>AND('GA55 Summry'!#REF!,"AAAAAGn75SY=")</f>
        <v>#REF!</v>
      </c>
      <c r="AN244" t="e">
        <f>AND('GA55 Summry'!#REF!,"AAAAAGn75Sc=")</f>
        <v>#REF!</v>
      </c>
      <c r="AO244" t="e">
        <f>AND('GA55 Summry'!#REF!,"AAAAAGn75Sg=")</f>
        <v>#REF!</v>
      </c>
      <c r="AP244" t="e">
        <f>AND('GA55 Summry'!#REF!,"AAAAAGn75Sk=")</f>
        <v>#REF!</v>
      </c>
      <c r="AQ244" t="e">
        <f>AND('GA55 Summry'!#REF!,"AAAAAGn75So=")</f>
        <v>#REF!</v>
      </c>
      <c r="AR244" t="e">
        <f>AND('GA55 Summry'!#REF!,"AAAAAGn75Ss=")</f>
        <v>#REF!</v>
      </c>
      <c r="AS244" t="e">
        <f>AND('GA55 Summry'!#REF!,"AAAAAGn75Sw=")</f>
        <v>#REF!</v>
      </c>
      <c r="AT244" t="e">
        <f>AND('GA55 Summry'!#REF!,"AAAAAGn75S0=")</f>
        <v>#REF!</v>
      </c>
      <c r="AU244" t="e">
        <f>AND('GA55 Summry'!#REF!,"AAAAAGn75S4=")</f>
        <v>#REF!</v>
      </c>
      <c r="AV244" t="e">
        <f>AND('GA55 Summry'!#REF!,"AAAAAGn75S8=")</f>
        <v>#REF!</v>
      </c>
      <c r="AW244" t="e">
        <f>AND('GA55 Summry'!#REF!,"AAAAAGn75TA=")</f>
        <v>#REF!</v>
      </c>
      <c r="AX244" t="e">
        <f>AND('GA55 Summry'!#REF!,"AAAAAGn75TE=")</f>
        <v>#REF!</v>
      </c>
      <c r="AY244" t="e">
        <f>AND('GA55 Summry'!#REF!,"AAAAAGn75TI=")</f>
        <v>#REF!</v>
      </c>
      <c r="AZ244" t="e">
        <f>AND('GA55 Summry'!#REF!,"AAAAAGn75TM=")</f>
        <v>#REF!</v>
      </c>
      <c r="BA244" t="e">
        <f>AND('GA55 Summry'!#REF!,"AAAAAGn75TQ=")</f>
        <v>#REF!</v>
      </c>
      <c r="BB244" t="e">
        <f>AND('GA55 Summry'!#REF!,"AAAAAGn75TU=")</f>
        <v>#REF!</v>
      </c>
      <c r="BC244" t="e">
        <f>AND('GA55 Summry'!#REF!,"AAAAAGn75TY=")</f>
        <v>#REF!</v>
      </c>
      <c r="BD244" t="e">
        <f>AND('GA55 Summry'!#REF!,"AAAAAGn75Tc=")</f>
        <v>#REF!</v>
      </c>
      <c r="BE244" t="e">
        <f>AND('GA55 Summry'!#REF!,"AAAAAGn75Tg=")</f>
        <v>#REF!</v>
      </c>
      <c r="BF244" t="e">
        <f>AND('GA55 Summry'!#REF!,"AAAAAGn75Tk=")</f>
        <v>#REF!</v>
      </c>
      <c r="BG244" t="e">
        <f>AND('GA55 Summry'!#REF!,"AAAAAGn75To=")</f>
        <v>#REF!</v>
      </c>
      <c r="BH244" t="e">
        <f>AND('GA55 Summry'!#REF!,"AAAAAGn75Ts=")</f>
        <v>#REF!</v>
      </c>
      <c r="BI244" t="e">
        <f>AND('GA55 Summry'!#REF!,"AAAAAGn75Tw=")</f>
        <v>#REF!</v>
      </c>
      <c r="BJ244" t="e">
        <f>AND('GA55 Summry'!#REF!,"AAAAAGn75T0=")</f>
        <v>#REF!</v>
      </c>
      <c r="BK244" t="e">
        <f>AND('GA55 Summry'!#REF!,"AAAAAGn75T4=")</f>
        <v>#REF!</v>
      </c>
      <c r="BL244" t="e">
        <f>AND('GA55 Summry'!#REF!,"AAAAAGn75T8=")</f>
        <v>#REF!</v>
      </c>
      <c r="BM244" t="e">
        <f>AND('GA55 Summry'!#REF!,"AAAAAGn75UA=")</f>
        <v>#REF!</v>
      </c>
      <c r="BN244" t="e">
        <f>AND('GA55 Summry'!#REF!,"AAAAAGn75UE=")</f>
        <v>#REF!</v>
      </c>
      <c r="BO244" t="e">
        <f>AND('GA55 Summry'!#REF!,"AAAAAGn75UI=")</f>
        <v>#REF!</v>
      </c>
      <c r="BP244" t="e">
        <f>AND('GA55 Summry'!#REF!,"AAAAAGn75UM=")</f>
        <v>#REF!</v>
      </c>
      <c r="BQ244" t="e">
        <f>AND('GA55 Summry'!#REF!,"AAAAAGn75UQ=")</f>
        <v>#REF!</v>
      </c>
      <c r="BR244" t="e">
        <f>AND('GA55 Summry'!#REF!,"AAAAAGn75UU=")</f>
        <v>#REF!</v>
      </c>
      <c r="BS244" t="e">
        <f>AND('GA55 Summry'!#REF!,"AAAAAGn75UY=")</f>
        <v>#REF!</v>
      </c>
      <c r="BT244" t="e">
        <f>AND('GA55 Summry'!#REF!,"AAAAAGn75Uc=")</f>
        <v>#REF!</v>
      </c>
      <c r="BU244" t="e">
        <f>AND('GA55 Summry'!#REF!,"AAAAAGn75Ug=")</f>
        <v>#REF!</v>
      </c>
      <c r="BV244" t="e">
        <f>AND('GA55 Summry'!#REF!,"AAAAAGn75Uk=")</f>
        <v>#REF!</v>
      </c>
      <c r="BW244" t="e">
        <f>AND('GA55 Summry'!#REF!,"AAAAAGn75Uo=")</f>
        <v>#REF!</v>
      </c>
      <c r="BX244" t="e">
        <f>AND('GA55 Summry'!#REF!,"AAAAAGn75Us=")</f>
        <v>#REF!</v>
      </c>
      <c r="BY244" t="e">
        <f>AND('GA55 Summry'!#REF!,"AAAAAGn75Uw=")</f>
        <v>#REF!</v>
      </c>
      <c r="BZ244" t="e">
        <f>AND('GA55 Summry'!#REF!,"AAAAAGn75U0=")</f>
        <v>#REF!</v>
      </c>
      <c r="CA244" t="e">
        <f>AND('GA55 Summry'!#REF!,"AAAAAGn75U4=")</f>
        <v>#REF!</v>
      </c>
      <c r="CB244" t="e">
        <f>AND('GA55 Summry'!#REF!,"AAAAAGn75U8=")</f>
        <v>#REF!</v>
      </c>
      <c r="CC244" t="e">
        <f>AND('GA55 Summry'!#REF!,"AAAAAGn75VA=")</f>
        <v>#REF!</v>
      </c>
      <c r="CD244" t="e">
        <f>AND('GA55 Summry'!#REF!,"AAAAAGn75VE=")</f>
        <v>#REF!</v>
      </c>
      <c r="CE244" t="e">
        <f>AND('GA55 Summry'!#REF!,"AAAAAGn75VI=")</f>
        <v>#REF!</v>
      </c>
      <c r="CF244" t="e">
        <f>AND('GA55 Summry'!#REF!,"AAAAAGn75VM=")</f>
        <v>#REF!</v>
      </c>
      <c r="CG244" t="e">
        <f>AND('GA55 Summry'!#REF!,"AAAAAGn75VQ=")</f>
        <v>#REF!</v>
      </c>
      <c r="CH244" t="e">
        <f>AND('GA55 Summry'!#REF!,"AAAAAGn75VU=")</f>
        <v>#REF!</v>
      </c>
      <c r="CI244" t="e">
        <f>AND('GA55 Summry'!#REF!,"AAAAAGn75VY=")</f>
        <v>#REF!</v>
      </c>
      <c r="CJ244" t="e">
        <f>AND('GA55 Summry'!#REF!,"AAAAAGn75Vc=")</f>
        <v>#REF!</v>
      </c>
      <c r="CK244" t="e">
        <f>AND('GA55 Summry'!#REF!,"AAAAAGn75Vg=")</f>
        <v>#REF!</v>
      </c>
      <c r="CL244" t="e">
        <f>AND('GA55 Summry'!#REF!,"AAAAAGn75Vk=")</f>
        <v>#REF!</v>
      </c>
      <c r="CM244" t="e">
        <f>AND('GA55 Summry'!#REF!,"AAAAAGn75Vo=")</f>
        <v>#REF!</v>
      </c>
      <c r="CN244" t="e">
        <f>AND('GA55 Summry'!#REF!,"AAAAAGn75Vs=")</f>
        <v>#REF!</v>
      </c>
      <c r="CO244" t="e">
        <f>AND('GA55 Summry'!#REF!,"AAAAAGn75Vw=")</f>
        <v>#REF!</v>
      </c>
      <c r="CP244" t="e">
        <f>AND('GA55 Summry'!#REF!,"AAAAAGn75V0=")</f>
        <v>#REF!</v>
      </c>
      <c r="CQ244" t="e">
        <f>AND('GA55 Summry'!#REF!,"AAAAAGn75V4=")</f>
        <v>#REF!</v>
      </c>
      <c r="CR244" t="e">
        <f>AND('GA55 Summry'!#REF!,"AAAAAGn75V8=")</f>
        <v>#REF!</v>
      </c>
      <c r="CS244" t="e">
        <f>AND('GA55 Summry'!#REF!,"AAAAAGn75WA=")</f>
        <v>#REF!</v>
      </c>
      <c r="CT244" t="e">
        <f>AND('GA55 Summry'!#REF!,"AAAAAGn75WE=")</f>
        <v>#REF!</v>
      </c>
      <c r="CU244" t="e">
        <f>AND('GA55 Summry'!#REF!,"AAAAAGn75WI=")</f>
        <v>#REF!</v>
      </c>
      <c r="CV244" t="e">
        <f>AND('GA55 Summry'!#REF!,"AAAAAGn75WM=")</f>
        <v>#REF!</v>
      </c>
      <c r="CW244" t="e">
        <f>AND('GA55 Summry'!#REF!,"AAAAAGn75WQ=")</f>
        <v>#REF!</v>
      </c>
      <c r="CX244" t="e">
        <f>IF('GA55 Summry'!#REF!,"AAAAAGn75WU=",0)</f>
        <v>#REF!</v>
      </c>
      <c r="CY244" t="e">
        <f>AND('GA55 Summry'!#REF!,"AAAAAGn75WY=")</f>
        <v>#REF!</v>
      </c>
      <c r="CZ244" t="e">
        <f>AND('GA55 Summry'!#REF!,"AAAAAGn75Wc=")</f>
        <v>#REF!</v>
      </c>
      <c r="DA244" t="e">
        <f>AND('GA55 Summry'!#REF!,"AAAAAGn75Wg=")</f>
        <v>#REF!</v>
      </c>
      <c r="DB244" t="e">
        <f>AND('GA55 Summry'!#REF!,"AAAAAGn75Wk=")</f>
        <v>#REF!</v>
      </c>
      <c r="DC244" t="e">
        <f>AND('GA55 Summry'!#REF!,"AAAAAGn75Wo=")</f>
        <v>#REF!</v>
      </c>
      <c r="DD244" t="e">
        <f>AND('GA55 Summry'!#REF!,"AAAAAGn75Ws=")</f>
        <v>#REF!</v>
      </c>
      <c r="DE244" t="e">
        <f>AND('GA55 Summry'!#REF!,"AAAAAGn75Ww=")</f>
        <v>#REF!</v>
      </c>
      <c r="DF244" t="e">
        <f>AND('GA55 Summry'!#REF!,"AAAAAGn75W0=")</f>
        <v>#REF!</v>
      </c>
      <c r="DG244" t="e">
        <f>AND('GA55 Summry'!#REF!,"AAAAAGn75W4=")</f>
        <v>#REF!</v>
      </c>
      <c r="DH244" t="e">
        <f>AND('GA55 Summry'!#REF!,"AAAAAGn75W8=")</f>
        <v>#REF!</v>
      </c>
      <c r="DI244" t="e">
        <f>AND('GA55 Summry'!#REF!,"AAAAAGn75XA=")</f>
        <v>#REF!</v>
      </c>
      <c r="DJ244" t="e">
        <f>AND('GA55 Summry'!#REF!,"AAAAAGn75XE=")</f>
        <v>#REF!</v>
      </c>
      <c r="DK244" t="e">
        <f>AND('GA55 Summry'!#REF!,"AAAAAGn75XI=")</f>
        <v>#REF!</v>
      </c>
      <c r="DL244" t="e">
        <f>AND('GA55 Summry'!#REF!,"AAAAAGn75XM=")</f>
        <v>#REF!</v>
      </c>
      <c r="DM244" t="e">
        <f>AND('GA55 Summry'!#REF!,"AAAAAGn75XQ=")</f>
        <v>#REF!</v>
      </c>
      <c r="DN244" t="e">
        <f>AND('GA55 Summry'!#REF!,"AAAAAGn75XU=")</f>
        <v>#REF!</v>
      </c>
      <c r="DO244" t="e">
        <f>AND('GA55 Summry'!#REF!,"AAAAAGn75XY=")</f>
        <v>#REF!</v>
      </c>
      <c r="DP244" t="e">
        <f>AND('GA55 Summry'!#REF!,"AAAAAGn75Xc=")</f>
        <v>#REF!</v>
      </c>
      <c r="DQ244" t="e">
        <f>AND('GA55 Summry'!#REF!,"AAAAAGn75Xg=")</f>
        <v>#REF!</v>
      </c>
      <c r="DR244" t="e">
        <f>AND('GA55 Summry'!#REF!,"AAAAAGn75Xk=")</f>
        <v>#REF!</v>
      </c>
      <c r="DS244" t="e">
        <f>AND('GA55 Summry'!#REF!,"AAAAAGn75Xo=")</f>
        <v>#REF!</v>
      </c>
      <c r="DT244" t="e">
        <f>AND('GA55 Summry'!#REF!,"AAAAAGn75Xs=")</f>
        <v>#REF!</v>
      </c>
      <c r="DU244" t="e">
        <f>AND('GA55 Summry'!#REF!,"AAAAAGn75Xw=")</f>
        <v>#REF!</v>
      </c>
      <c r="DV244" t="e">
        <f>AND('GA55 Summry'!#REF!,"AAAAAGn75X0=")</f>
        <v>#REF!</v>
      </c>
      <c r="DW244" t="e">
        <f>AND('GA55 Summry'!#REF!,"AAAAAGn75X4=")</f>
        <v>#REF!</v>
      </c>
      <c r="DX244" t="e">
        <f>AND('GA55 Summry'!#REF!,"AAAAAGn75X8=")</f>
        <v>#REF!</v>
      </c>
      <c r="DY244" t="e">
        <f>AND('GA55 Summry'!#REF!,"AAAAAGn75YA=")</f>
        <v>#REF!</v>
      </c>
      <c r="DZ244" t="e">
        <f>AND('GA55 Summry'!#REF!,"AAAAAGn75YE=")</f>
        <v>#REF!</v>
      </c>
      <c r="EA244" t="e">
        <f>AND('GA55 Summry'!#REF!,"AAAAAGn75YI=")</f>
        <v>#REF!</v>
      </c>
      <c r="EB244" t="e">
        <f>AND('GA55 Summry'!#REF!,"AAAAAGn75YM=")</f>
        <v>#REF!</v>
      </c>
      <c r="EC244" t="e">
        <f>AND('GA55 Summry'!#REF!,"AAAAAGn75YQ=")</f>
        <v>#REF!</v>
      </c>
      <c r="ED244" t="e">
        <f>AND('GA55 Summry'!#REF!,"AAAAAGn75YU=")</f>
        <v>#REF!</v>
      </c>
      <c r="EE244" t="e">
        <f>AND('GA55 Summry'!#REF!,"AAAAAGn75YY=")</f>
        <v>#REF!</v>
      </c>
      <c r="EF244" t="e">
        <f>AND('GA55 Summry'!#REF!,"AAAAAGn75Yc=")</f>
        <v>#REF!</v>
      </c>
      <c r="EG244" t="e">
        <f>AND('GA55 Summry'!#REF!,"AAAAAGn75Yg=")</f>
        <v>#REF!</v>
      </c>
      <c r="EH244" t="e">
        <f>AND('GA55 Summry'!#REF!,"AAAAAGn75Yk=")</f>
        <v>#REF!</v>
      </c>
      <c r="EI244" t="e">
        <f>AND('GA55 Summry'!#REF!,"AAAAAGn75Yo=")</f>
        <v>#REF!</v>
      </c>
      <c r="EJ244" t="e">
        <f>AND('GA55 Summry'!#REF!,"AAAAAGn75Ys=")</f>
        <v>#REF!</v>
      </c>
      <c r="EK244" t="e">
        <f>AND('GA55 Summry'!#REF!,"AAAAAGn75Yw=")</f>
        <v>#REF!</v>
      </c>
      <c r="EL244" t="e">
        <f>AND('GA55 Summry'!#REF!,"AAAAAGn75Y0=")</f>
        <v>#REF!</v>
      </c>
      <c r="EM244" t="e">
        <f>AND('GA55 Summry'!#REF!,"AAAAAGn75Y4=")</f>
        <v>#REF!</v>
      </c>
      <c r="EN244" t="e">
        <f>AND('GA55 Summry'!#REF!,"AAAAAGn75Y8=")</f>
        <v>#REF!</v>
      </c>
      <c r="EO244" t="e">
        <f>AND('GA55 Summry'!#REF!,"AAAAAGn75ZA=")</f>
        <v>#REF!</v>
      </c>
      <c r="EP244" t="e">
        <f>AND('GA55 Summry'!#REF!,"AAAAAGn75ZE=")</f>
        <v>#REF!</v>
      </c>
      <c r="EQ244" t="e">
        <f>AND('GA55 Summry'!#REF!,"AAAAAGn75ZI=")</f>
        <v>#REF!</v>
      </c>
      <c r="ER244" t="e">
        <f>AND('GA55 Summry'!#REF!,"AAAAAGn75ZM=")</f>
        <v>#REF!</v>
      </c>
      <c r="ES244" t="e">
        <f>AND('GA55 Summry'!#REF!,"AAAAAGn75ZQ=")</f>
        <v>#REF!</v>
      </c>
      <c r="ET244" t="e">
        <f>AND('GA55 Summry'!#REF!,"AAAAAGn75ZU=")</f>
        <v>#REF!</v>
      </c>
      <c r="EU244" t="e">
        <f>AND('GA55 Summry'!#REF!,"AAAAAGn75ZY=")</f>
        <v>#REF!</v>
      </c>
      <c r="EV244" t="e">
        <f>AND('GA55 Summry'!#REF!,"AAAAAGn75Zc=")</f>
        <v>#REF!</v>
      </c>
      <c r="EW244" t="e">
        <f>AND('GA55 Summry'!#REF!,"AAAAAGn75Zg=")</f>
        <v>#REF!</v>
      </c>
      <c r="EX244" t="e">
        <f>AND('GA55 Summry'!#REF!,"AAAAAGn75Zk=")</f>
        <v>#REF!</v>
      </c>
      <c r="EY244" t="e">
        <f>AND('GA55 Summry'!#REF!,"AAAAAGn75Zo=")</f>
        <v>#REF!</v>
      </c>
      <c r="EZ244" t="e">
        <f>AND('GA55 Summry'!#REF!,"AAAAAGn75Zs=")</f>
        <v>#REF!</v>
      </c>
      <c r="FA244" t="e">
        <f>AND('GA55 Summry'!#REF!,"AAAAAGn75Zw=")</f>
        <v>#REF!</v>
      </c>
      <c r="FB244" t="e">
        <f>AND('GA55 Summry'!#REF!,"AAAAAGn75Z0=")</f>
        <v>#REF!</v>
      </c>
      <c r="FC244" t="e">
        <f>AND('GA55 Summry'!#REF!,"AAAAAGn75Z4=")</f>
        <v>#REF!</v>
      </c>
      <c r="FD244" t="e">
        <f>AND('GA55 Summry'!#REF!,"AAAAAGn75Z8=")</f>
        <v>#REF!</v>
      </c>
      <c r="FE244" t="e">
        <f>AND('GA55 Summry'!#REF!,"AAAAAGn75aA=")</f>
        <v>#REF!</v>
      </c>
      <c r="FF244" t="e">
        <f>AND('GA55 Summry'!#REF!,"AAAAAGn75aE=")</f>
        <v>#REF!</v>
      </c>
      <c r="FG244" t="e">
        <f>AND('GA55 Summry'!#REF!,"AAAAAGn75aI=")</f>
        <v>#REF!</v>
      </c>
      <c r="FH244" t="e">
        <f>AND('GA55 Summry'!#REF!,"AAAAAGn75aM=")</f>
        <v>#REF!</v>
      </c>
      <c r="FI244" t="e">
        <f>AND('GA55 Summry'!#REF!,"AAAAAGn75aQ=")</f>
        <v>#REF!</v>
      </c>
      <c r="FJ244" t="e">
        <f>AND('GA55 Summry'!#REF!,"AAAAAGn75aU=")</f>
        <v>#REF!</v>
      </c>
      <c r="FK244" t="e">
        <f>AND('GA55 Summry'!#REF!,"AAAAAGn75aY=")</f>
        <v>#REF!</v>
      </c>
      <c r="FL244" t="e">
        <f>AND('GA55 Summry'!#REF!,"AAAAAGn75ac=")</f>
        <v>#REF!</v>
      </c>
      <c r="FM244" t="e">
        <f>AND('GA55 Summry'!#REF!,"AAAAAGn75ag=")</f>
        <v>#REF!</v>
      </c>
      <c r="FN244" t="e">
        <f>AND('GA55 Summry'!#REF!,"AAAAAGn75ak=")</f>
        <v>#REF!</v>
      </c>
      <c r="FO244" t="e">
        <f>AND('GA55 Summry'!#REF!,"AAAAAGn75ao=")</f>
        <v>#REF!</v>
      </c>
      <c r="FP244" t="e">
        <f>AND('GA55 Summry'!#REF!,"AAAAAGn75as=")</f>
        <v>#REF!</v>
      </c>
      <c r="FQ244" t="e">
        <f>AND('GA55 Summry'!#REF!,"AAAAAGn75aw=")</f>
        <v>#REF!</v>
      </c>
      <c r="FR244" t="e">
        <f>AND('GA55 Summry'!#REF!,"AAAAAGn75a0=")</f>
        <v>#REF!</v>
      </c>
      <c r="FS244" t="e">
        <f>AND('GA55 Summry'!#REF!,"AAAAAGn75a4=")</f>
        <v>#REF!</v>
      </c>
      <c r="FT244" t="e">
        <f>AND('GA55 Summry'!#REF!,"AAAAAGn75a8=")</f>
        <v>#REF!</v>
      </c>
      <c r="FU244" t="e">
        <f>IF('GA55 Summry'!#REF!,"AAAAAGn75bA=",0)</f>
        <v>#REF!</v>
      </c>
      <c r="FV244" t="e">
        <f>AND('GA55 Summry'!#REF!,"AAAAAGn75bE=")</f>
        <v>#REF!</v>
      </c>
      <c r="FW244" t="e">
        <f>AND('GA55 Summry'!#REF!,"AAAAAGn75bI=")</f>
        <v>#REF!</v>
      </c>
      <c r="FX244" t="e">
        <f>AND('GA55 Summry'!#REF!,"AAAAAGn75bM=")</f>
        <v>#REF!</v>
      </c>
      <c r="FY244" t="e">
        <f>AND('GA55 Summry'!#REF!,"AAAAAGn75bQ=")</f>
        <v>#REF!</v>
      </c>
      <c r="FZ244" t="e">
        <f>AND('GA55 Summry'!#REF!,"AAAAAGn75bU=")</f>
        <v>#REF!</v>
      </c>
      <c r="GA244" t="e">
        <f>AND('GA55 Summry'!#REF!,"AAAAAGn75bY=")</f>
        <v>#REF!</v>
      </c>
      <c r="GB244" t="e">
        <f>AND('GA55 Summry'!#REF!,"AAAAAGn75bc=")</f>
        <v>#REF!</v>
      </c>
      <c r="GC244" t="e">
        <f>AND('GA55 Summry'!#REF!,"AAAAAGn75bg=")</f>
        <v>#REF!</v>
      </c>
      <c r="GD244" t="e">
        <f>AND('GA55 Summry'!#REF!,"AAAAAGn75bk=")</f>
        <v>#REF!</v>
      </c>
      <c r="GE244" t="e">
        <f>AND('GA55 Summry'!#REF!,"AAAAAGn75bo=")</f>
        <v>#REF!</v>
      </c>
      <c r="GF244" t="e">
        <f>AND('GA55 Summry'!#REF!,"AAAAAGn75bs=")</f>
        <v>#REF!</v>
      </c>
      <c r="GG244" t="e">
        <f>AND('GA55 Summry'!#REF!,"AAAAAGn75bw=")</f>
        <v>#REF!</v>
      </c>
      <c r="GH244" t="e">
        <f>AND('GA55 Summry'!#REF!,"AAAAAGn75b0=")</f>
        <v>#REF!</v>
      </c>
      <c r="GI244" t="e">
        <f>AND('GA55 Summry'!#REF!,"AAAAAGn75b4=")</f>
        <v>#REF!</v>
      </c>
      <c r="GJ244" t="e">
        <f>AND('GA55 Summry'!#REF!,"AAAAAGn75b8=")</f>
        <v>#REF!</v>
      </c>
      <c r="GK244" t="e">
        <f>AND('GA55 Summry'!#REF!,"AAAAAGn75cA=")</f>
        <v>#REF!</v>
      </c>
      <c r="GL244" t="e">
        <f>AND('GA55 Summry'!#REF!,"AAAAAGn75cE=")</f>
        <v>#REF!</v>
      </c>
      <c r="GM244" t="e">
        <f>AND('GA55 Summry'!#REF!,"AAAAAGn75cI=")</f>
        <v>#REF!</v>
      </c>
      <c r="GN244" t="e">
        <f>AND('GA55 Summry'!#REF!,"AAAAAGn75cM=")</f>
        <v>#REF!</v>
      </c>
      <c r="GO244" t="e">
        <f>AND('GA55 Summry'!#REF!,"AAAAAGn75cQ=")</f>
        <v>#REF!</v>
      </c>
      <c r="GP244" t="e">
        <f>AND('GA55 Summry'!#REF!,"AAAAAGn75cU=")</f>
        <v>#REF!</v>
      </c>
      <c r="GQ244" t="e">
        <f>AND('GA55 Summry'!#REF!,"AAAAAGn75cY=")</f>
        <v>#REF!</v>
      </c>
      <c r="GR244" t="e">
        <f>AND('GA55 Summry'!#REF!,"AAAAAGn75cc=")</f>
        <v>#REF!</v>
      </c>
      <c r="GS244" t="e">
        <f>AND('GA55 Summry'!#REF!,"AAAAAGn75cg=")</f>
        <v>#REF!</v>
      </c>
      <c r="GT244" t="e">
        <f>AND('GA55 Summry'!#REF!,"AAAAAGn75ck=")</f>
        <v>#REF!</v>
      </c>
      <c r="GU244" t="e">
        <f>AND('GA55 Summry'!#REF!,"AAAAAGn75co=")</f>
        <v>#REF!</v>
      </c>
      <c r="GV244" t="e">
        <f>AND('GA55 Summry'!#REF!,"AAAAAGn75cs=")</f>
        <v>#REF!</v>
      </c>
      <c r="GW244" t="e">
        <f>AND('GA55 Summry'!#REF!,"AAAAAGn75cw=")</f>
        <v>#REF!</v>
      </c>
      <c r="GX244" t="e">
        <f>AND('GA55 Summry'!#REF!,"AAAAAGn75c0=")</f>
        <v>#REF!</v>
      </c>
      <c r="GY244" t="e">
        <f>AND('GA55 Summry'!#REF!,"AAAAAGn75c4=")</f>
        <v>#REF!</v>
      </c>
      <c r="GZ244" t="e">
        <f>AND('GA55 Summry'!#REF!,"AAAAAGn75c8=")</f>
        <v>#REF!</v>
      </c>
      <c r="HA244" t="e">
        <f>AND('GA55 Summry'!#REF!,"AAAAAGn75dA=")</f>
        <v>#REF!</v>
      </c>
      <c r="HB244" t="e">
        <f>AND('GA55 Summry'!#REF!,"AAAAAGn75dE=")</f>
        <v>#REF!</v>
      </c>
      <c r="HC244" t="e">
        <f>AND('GA55 Summry'!#REF!,"AAAAAGn75dI=")</f>
        <v>#REF!</v>
      </c>
      <c r="HD244" t="e">
        <f>AND('GA55 Summry'!#REF!,"AAAAAGn75dM=")</f>
        <v>#REF!</v>
      </c>
      <c r="HE244" t="e">
        <f>AND('GA55 Summry'!#REF!,"AAAAAGn75dQ=")</f>
        <v>#REF!</v>
      </c>
      <c r="HF244" t="e">
        <f>AND('GA55 Summry'!#REF!,"AAAAAGn75dU=")</f>
        <v>#REF!</v>
      </c>
      <c r="HG244" t="e">
        <f>AND('GA55 Summry'!#REF!,"AAAAAGn75dY=")</f>
        <v>#REF!</v>
      </c>
      <c r="HH244" t="e">
        <f>AND('GA55 Summry'!#REF!,"AAAAAGn75dc=")</f>
        <v>#REF!</v>
      </c>
      <c r="HI244" t="e">
        <f>AND('GA55 Summry'!#REF!,"AAAAAGn75dg=")</f>
        <v>#REF!</v>
      </c>
      <c r="HJ244" t="e">
        <f>AND('GA55 Summry'!#REF!,"AAAAAGn75dk=")</f>
        <v>#REF!</v>
      </c>
      <c r="HK244" t="e">
        <f>AND('GA55 Summry'!#REF!,"AAAAAGn75do=")</f>
        <v>#REF!</v>
      </c>
      <c r="HL244" t="e">
        <f>AND('GA55 Summry'!#REF!,"AAAAAGn75ds=")</f>
        <v>#REF!</v>
      </c>
      <c r="HM244" t="e">
        <f>AND('GA55 Summry'!#REF!,"AAAAAGn75dw=")</f>
        <v>#REF!</v>
      </c>
      <c r="HN244" t="e">
        <f>AND('GA55 Summry'!#REF!,"AAAAAGn75d0=")</f>
        <v>#REF!</v>
      </c>
      <c r="HO244" t="e">
        <f>AND('GA55 Summry'!#REF!,"AAAAAGn75d4=")</f>
        <v>#REF!</v>
      </c>
      <c r="HP244" t="e">
        <f>AND('GA55 Summry'!#REF!,"AAAAAGn75d8=")</f>
        <v>#REF!</v>
      </c>
      <c r="HQ244" t="e">
        <f>AND('GA55 Summry'!#REF!,"AAAAAGn75eA=")</f>
        <v>#REF!</v>
      </c>
      <c r="HR244" t="e">
        <f>AND('GA55 Summry'!#REF!,"AAAAAGn75eE=")</f>
        <v>#REF!</v>
      </c>
      <c r="HS244" t="e">
        <f>AND('GA55 Summry'!#REF!,"AAAAAGn75eI=")</f>
        <v>#REF!</v>
      </c>
      <c r="HT244" t="e">
        <f>AND('GA55 Summry'!#REF!,"AAAAAGn75eM=")</f>
        <v>#REF!</v>
      </c>
      <c r="HU244" t="e">
        <f>AND('GA55 Summry'!#REF!,"AAAAAGn75eQ=")</f>
        <v>#REF!</v>
      </c>
      <c r="HV244" t="e">
        <f>AND('GA55 Summry'!#REF!,"AAAAAGn75eU=")</f>
        <v>#REF!</v>
      </c>
      <c r="HW244" t="e">
        <f>AND('GA55 Summry'!#REF!,"AAAAAGn75eY=")</f>
        <v>#REF!</v>
      </c>
      <c r="HX244" t="e">
        <f>AND('GA55 Summry'!#REF!,"AAAAAGn75ec=")</f>
        <v>#REF!</v>
      </c>
      <c r="HY244" t="e">
        <f>AND('GA55 Summry'!#REF!,"AAAAAGn75eg=")</f>
        <v>#REF!</v>
      </c>
      <c r="HZ244" t="e">
        <f>AND('GA55 Summry'!#REF!,"AAAAAGn75ek=")</f>
        <v>#REF!</v>
      </c>
      <c r="IA244" t="e">
        <f>AND('GA55 Summry'!#REF!,"AAAAAGn75eo=")</f>
        <v>#REF!</v>
      </c>
      <c r="IB244" t="e">
        <f>AND('GA55 Summry'!#REF!,"AAAAAGn75es=")</f>
        <v>#REF!</v>
      </c>
      <c r="IC244" t="e">
        <f>AND('GA55 Summry'!#REF!,"AAAAAGn75ew=")</f>
        <v>#REF!</v>
      </c>
      <c r="ID244" t="e">
        <f>AND('GA55 Summry'!#REF!,"AAAAAGn75e0=")</f>
        <v>#REF!</v>
      </c>
      <c r="IE244" t="e">
        <f>AND('GA55 Summry'!#REF!,"AAAAAGn75e4=")</f>
        <v>#REF!</v>
      </c>
      <c r="IF244" t="e">
        <f>AND('GA55 Summry'!#REF!,"AAAAAGn75e8=")</f>
        <v>#REF!</v>
      </c>
      <c r="IG244" t="e">
        <f>AND('GA55 Summry'!#REF!,"AAAAAGn75fA=")</f>
        <v>#REF!</v>
      </c>
      <c r="IH244" t="e">
        <f>AND('GA55 Summry'!#REF!,"AAAAAGn75fE=")</f>
        <v>#REF!</v>
      </c>
      <c r="II244" t="e">
        <f>AND('GA55 Summry'!#REF!,"AAAAAGn75fI=")</f>
        <v>#REF!</v>
      </c>
      <c r="IJ244" t="e">
        <f>AND('GA55 Summry'!#REF!,"AAAAAGn75fM=")</f>
        <v>#REF!</v>
      </c>
      <c r="IK244" t="e">
        <f>AND('GA55 Summry'!#REF!,"AAAAAGn75fQ=")</f>
        <v>#REF!</v>
      </c>
      <c r="IL244" t="e">
        <f>AND('GA55 Summry'!#REF!,"AAAAAGn75fU=")</f>
        <v>#REF!</v>
      </c>
      <c r="IM244" t="e">
        <f>AND('GA55 Summry'!#REF!,"AAAAAGn75fY=")</f>
        <v>#REF!</v>
      </c>
      <c r="IN244" t="e">
        <f>AND('GA55 Summry'!#REF!,"AAAAAGn75fc=")</f>
        <v>#REF!</v>
      </c>
      <c r="IO244" t="e">
        <f>AND('GA55 Summry'!#REF!,"AAAAAGn75fg=")</f>
        <v>#REF!</v>
      </c>
      <c r="IP244" t="e">
        <f>AND('GA55 Summry'!#REF!,"AAAAAGn75fk=")</f>
        <v>#REF!</v>
      </c>
      <c r="IQ244" t="e">
        <f>AND('GA55 Summry'!#REF!,"AAAAAGn75fo=")</f>
        <v>#REF!</v>
      </c>
      <c r="IR244" t="e">
        <f>IF('GA55 Summry'!#REF!,"AAAAAGn75fs=",0)</f>
        <v>#REF!</v>
      </c>
      <c r="IS244" t="e">
        <f>AND('GA55 Summry'!#REF!,"AAAAAGn75fw=")</f>
        <v>#REF!</v>
      </c>
      <c r="IT244" t="e">
        <f>AND('GA55 Summry'!#REF!,"AAAAAGn75f0=")</f>
        <v>#REF!</v>
      </c>
      <c r="IU244" t="e">
        <f>AND('GA55 Summry'!#REF!,"AAAAAGn75f4=")</f>
        <v>#REF!</v>
      </c>
      <c r="IV244" t="e">
        <f>AND('GA55 Summry'!#REF!,"AAAAAGn75f8=")</f>
        <v>#REF!</v>
      </c>
    </row>
    <row r="245" spans="1:256" x14ac:dyDescent="0.25">
      <c r="A245" t="e">
        <f>AND('GA55 Summry'!#REF!,"AAAAAA/f6wA=")</f>
        <v>#REF!</v>
      </c>
      <c r="B245" t="e">
        <f>AND('GA55 Summry'!#REF!,"AAAAAA/f6wE=")</f>
        <v>#REF!</v>
      </c>
      <c r="C245" t="e">
        <f>AND('GA55 Summry'!#REF!,"AAAAAA/f6wI=")</f>
        <v>#REF!</v>
      </c>
      <c r="D245" t="e">
        <f>AND('GA55 Summry'!#REF!,"AAAAAA/f6wM=")</f>
        <v>#REF!</v>
      </c>
      <c r="E245" t="e">
        <f>AND('GA55 Summry'!#REF!,"AAAAAA/f6wQ=")</f>
        <v>#REF!</v>
      </c>
      <c r="F245" t="e">
        <f>AND('GA55 Summry'!#REF!,"AAAAAA/f6wU=")</f>
        <v>#REF!</v>
      </c>
      <c r="G245" t="e">
        <f>AND('GA55 Summry'!#REF!,"AAAAAA/f6wY=")</f>
        <v>#REF!</v>
      </c>
      <c r="H245" t="e">
        <f>AND('GA55 Summry'!#REF!,"AAAAAA/f6wc=")</f>
        <v>#REF!</v>
      </c>
      <c r="I245" t="e">
        <f>AND('GA55 Summry'!#REF!,"AAAAAA/f6wg=")</f>
        <v>#REF!</v>
      </c>
      <c r="J245" t="e">
        <f>AND('GA55 Summry'!#REF!,"AAAAAA/f6wk=")</f>
        <v>#REF!</v>
      </c>
      <c r="K245" t="e">
        <f>AND('GA55 Summry'!#REF!,"AAAAAA/f6wo=")</f>
        <v>#REF!</v>
      </c>
      <c r="L245" t="e">
        <f>AND('GA55 Summry'!#REF!,"AAAAAA/f6ws=")</f>
        <v>#REF!</v>
      </c>
      <c r="M245" t="e">
        <f>AND('GA55 Summry'!#REF!,"AAAAAA/f6ww=")</f>
        <v>#REF!</v>
      </c>
      <c r="N245" t="e">
        <f>AND('GA55 Summry'!#REF!,"AAAAAA/f6w0=")</f>
        <v>#REF!</v>
      </c>
      <c r="O245" t="e">
        <f>AND('GA55 Summry'!#REF!,"AAAAAA/f6w4=")</f>
        <v>#REF!</v>
      </c>
      <c r="P245" t="e">
        <f>AND('GA55 Summry'!#REF!,"AAAAAA/f6w8=")</f>
        <v>#REF!</v>
      </c>
      <c r="Q245" t="e">
        <f>AND('GA55 Summry'!#REF!,"AAAAAA/f6xA=")</f>
        <v>#REF!</v>
      </c>
      <c r="R245" t="e">
        <f>AND('GA55 Summry'!#REF!,"AAAAAA/f6xE=")</f>
        <v>#REF!</v>
      </c>
      <c r="S245" t="e">
        <f>AND('GA55 Summry'!#REF!,"AAAAAA/f6xI=")</f>
        <v>#REF!</v>
      </c>
      <c r="T245" t="e">
        <f>AND('GA55 Summry'!#REF!,"AAAAAA/f6xM=")</f>
        <v>#REF!</v>
      </c>
      <c r="U245" t="e">
        <f>AND('GA55 Summry'!#REF!,"AAAAAA/f6xQ=")</f>
        <v>#REF!</v>
      </c>
      <c r="V245" t="e">
        <f>AND('GA55 Summry'!#REF!,"AAAAAA/f6xU=")</f>
        <v>#REF!</v>
      </c>
      <c r="W245" t="e">
        <f>AND('GA55 Summry'!#REF!,"AAAAAA/f6xY=")</f>
        <v>#REF!</v>
      </c>
      <c r="X245" t="e">
        <f>AND('GA55 Summry'!#REF!,"AAAAAA/f6xc=")</f>
        <v>#REF!</v>
      </c>
      <c r="Y245" t="e">
        <f>AND('GA55 Summry'!#REF!,"AAAAAA/f6xg=")</f>
        <v>#REF!</v>
      </c>
      <c r="Z245" t="e">
        <f>AND('GA55 Summry'!#REF!,"AAAAAA/f6xk=")</f>
        <v>#REF!</v>
      </c>
      <c r="AA245" t="e">
        <f>AND('GA55 Summry'!#REF!,"AAAAAA/f6xo=")</f>
        <v>#REF!</v>
      </c>
      <c r="AB245" t="e">
        <f>AND('GA55 Summry'!#REF!,"AAAAAA/f6xs=")</f>
        <v>#REF!</v>
      </c>
      <c r="AC245" t="e">
        <f>AND('GA55 Summry'!#REF!,"AAAAAA/f6xw=")</f>
        <v>#REF!</v>
      </c>
      <c r="AD245" t="e">
        <f>AND('GA55 Summry'!#REF!,"AAAAAA/f6x0=")</f>
        <v>#REF!</v>
      </c>
      <c r="AE245" t="e">
        <f>AND('GA55 Summry'!#REF!,"AAAAAA/f6x4=")</f>
        <v>#REF!</v>
      </c>
      <c r="AF245" t="e">
        <f>AND('GA55 Summry'!#REF!,"AAAAAA/f6x8=")</f>
        <v>#REF!</v>
      </c>
      <c r="AG245" t="e">
        <f>AND('GA55 Summry'!#REF!,"AAAAAA/f6yA=")</f>
        <v>#REF!</v>
      </c>
      <c r="AH245" t="e">
        <f>AND('GA55 Summry'!#REF!,"AAAAAA/f6yE=")</f>
        <v>#REF!</v>
      </c>
      <c r="AI245" t="e">
        <f>AND('GA55 Summry'!#REF!,"AAAAAA/f6yI=")</f>
        <v>#REF!</v>
      </c>
      <c r="AJ245" t="e">
        <f>AND('GA55 Summry'!#REF!,"AAAAAA/f6yM=")</f>
        <v>#REF!</v>
      </c>
      <c r="AK245" t="e">
        <f>AND('GA55 Summry'!#REF!,"AAAAAA/f6yQ=")</f>
        <v>#REF!</v>
      </c>
      <c r="AL245" t="e">
        <f>AND('GA55 Summry'!#REF!,"AAAAAA/f6yU=")</f>
        <v>#REF!</v>
      </c>
      <c r="AM245" t="e">
        <f>AND('GA55 Summry'!#REF!,"AAAAAA/f6yY=")</f>
        <v>#REF!</v>
      </c>
      <c r="AN245" t="e">
        <f>AND('GA55 Summry'!#REF!,"AAAAAA/f6yc=")</f>
        <v>#REF!</v>
      </c>
      <c r="AO245" t="e">
        <f>AND('GA55 Summry'!#REF!,"AAAAAA/f6yg=")</f>
        <v>#REF!</v>
      </c>
      <c r="AP245" t="e">
        <f>AND('GA55 Summry'!#REF!,"AAAAAA/f6yk=")</f>
        <v>#REF!</v>
      </c>
      <c r="AQ245" t="e">
        <f>AND('GA55 Summry'!#REF!,"AAAAAA/f6yo=")</f>
        <v>#REF!</v>
      </c>
      <c r="AR245" t="e">
        <f>AND('GA55 Summry'!#REF!,"AAAAAA/f6ys=")</f>
        <v>#REF!</v>
      </c>
      <c r="AS245" t="e">
        <f>AND('GA55 Summry'!#REF!,"AAAAAA/f6yw=")</f>
        <v>#REF!</v>
      </c>
      <c r="AT245" t="e">
        <f>AND('GA55 Summry'!#REF!,"AAAAAA/f6y0=")</f>
        <v>#REF!</v>
      </c>
      <c r="AU245" t="e">
        <f>AND('GA55 Summry'!#REF!,"AAAAAA/f6y4=")</f>
        <v>#REF!</v>
      </c>
      <c r="AV245" t="e">
        <f>AND('GA55 Summry'!#REF!,"AAAAAA/f6y8=")</f>
        <v>#REF!</v>
      </c>
      <c r="AW245" t="e">
        <f>AND('GA55 Summry'!#REF!,"AAAAAA/f6zA=")</f>
        <v>#REF!</v>
      </c>
      <c r="AX245" t="e">
        <f>AND('GA55 Summry'!#REF!,"AAAAAA/f6zE=")</f>
        <v>#REF!</v>
      </c>
      <c r="AY245" t="e">
        <f>AND('GA55 Summry'!#REF!,"AAAAAA/f6zI=")</f>
        <v>#REF!</v>
      </c>
      <c r="AZ245" t="e">
        <f>AND('GA55 Summry'!#REF!,"AAAAAA/f6zM=")</f>
        <v>#REF!</v>
      </c>
      <c r="BA245" t="e">
        <f>AND('GA55 Summry'!#REF!,"AAAAAA/f6zQ=")</f>
        <v>#REF!</v>
      </c>
      <c r="BB245" t="e">
        <f>AND('GA55 Summry'!#REF!,"AAAAAA/f6zU=")</f>
        <v>#REF!</v>
      </c>
      <c r="BC245" t="e">
        <f>AND('GA55 Summry'!#REF!,"AAAAAA/f6zY=")</f>
        <v>#REF!</v>
      </c>
      <c r="BD245" t="e">
        <f>AND('GA55 Summry'!#REF!,"AAAAAA/f6zc=")</f>
        <v>#REF!</v>
      </c>
      <c r="BE245" t="e">
        <f>AND('GA55 Summry'!#REF!,"AAAAAA/f6zg=")</f>
        <v>#REF!</v>
      </c>
      <c r="BF245" t="e">
        <f>AND('GA55 Summry'!#REF!,"AAAAAA/f6zk=")</f>
        <v>#REF!</v>
      </c>
      <c r="BG245" t="e">
        <f>AND('GA55 Summry'!#REF!,"AAAAAA/f6zo=")</f>
        <v>#REF!</v>
      </c>
      <c r="BH245" t="e">
        <f>AND('GA55 Summry'!#REF!,"AAAAAA/f6zs=")</f>
        <v>#REF!</v>
      </c>
      <c r="BI245" t="e">
        <f>AND('GA55 Summry'!#REF!,"AAAAAA/f6zw=")</f>
        <v>#REF!</v>
      </c>
      <c r="BJ245" t="e">
        <f>AND('GA55 Summry'!#REF!,"AAAAAA/f6z0=")</f>
        <v>#REF!</v>
      </c>
      <c r="BK245" t="e">
        <f>AND('GA55 Summry'!#REF!,"AAAAAA/f6z4=")</f>
        <v>#REF!</v>
      </c>
      <c r="BL245" t="e">
        <f>AND('GA55 Summry'!#REF!,"AAAAAA/f6z8=")</f>
        <v>#REF!</v>
      </c>
      <c r="BM245" t="e">
        <f>AND('GA55 Summry'!#REF!,"AAAAAA/f60A=")</f>
        <v>#REF!</v>
      </c>
      <c r="BN245" t="e">
        <f>AND('GA55 Summry'!#REF!,"AAAAAA/f60E=")</f>
        <v>#REF!</v>
      </c>
      <c r="BO245" t="e">
        <f>AND('GA55 Summry'!#REF!,"AAAAAA/f60I=")</f>
        <v>#REF!</v>
      </c>
      <c r="BP245" t="e">
        <f>AND('GA55 Summry'!#REF!,"AAAAAA/f60M=")</f>
        <v>#REF!</v>
      </c>
      <c r="BQ245" t="e">
        <f>AND('GA55 Summry'!#REF!,"AAAAAA/f60Q=")</f>
        <v>#REF!</v>
      </c>
      <c r="BR245" t="e">
        <f>AND('GA55 Summry'!#REF!,"AAAAAA/f60U=")</f>
        <v>#REF!</v>
      </c>
      <c r="BS245" t="e">
        <f>IF('GA55 Summry'!#REF!,"AAAAAA/f60Y=",0)</f>
        <v>#REF!</v>
      </c>
      <c r="BT245" t="e">
        <f>AND('GA55 Summry'!#REF!,"AAAAAA/f60c=")</f>
        <v>#REF!</v>
      </c>
      <c r="BU245" t="e">
        <f>AND('GA55 Summry'!#REF!,"AAAAAA/f60g=")</f>
        <v>#REF!</v>
      </c>
      <c r="BV245" t="e">
        <f>AND('GA55 Summry'!#REF!,"AAAAAA/f60k=")</f>
        <v>#REF!</v>
      </c>
      <c r="BW245" t="e">
        <f>AND('GA55 Summry'!#REF!,"AAAAAA/f60o=")</f>
        <v>#REF!</v>
      </c>
      <c r="BX245" t="e">
        <f>AND('GA55 Summry'!#REF!,"AAAAAA/f60s=")</f>
        <v>#REF!</v>
      </c>
      <c r="BY245" t="e">
        <f>AND('GA55 Summry'!#REF!,"AAAAAA/f60w=")</f>
        <v>#REF!</v>
      </c>
      <c r="BZ245" t="e">
        <f>AND('GA55 Summry'!#REF!,"AAAAAA/f600=")</f>
        <v>#REF!</v>
      </c>
      <c r="CA245" t="e">
        <f>AND('GA55 Summry'!#REF!,"AAAAAA/f604=")</f>
        <v>#REF!</v>
      </c>
      <c r="CB245" t="e">
        <f>AND('GA55 Summry'!#REF!,"AAAAAA/f608=")</f>
        <v>#REF!</v>
      </c>
      <c r="CC245" t="e">
        <f>AND('GA55 Summry'!#REF!,"AAAAAA/f61A=")</f>
        <v>#REF!</v>
      </c>
      <c r="CD245" t="e">
        <f>AND('GA55 Summry'!#REF!,"AAAAAA/f61E=")</f>
        <v>#REF!</v>
      </c>
      <c r="CE245" t="e">
        <f>AND('GA55 Summry'!#REF!,"AAAAAA/f61I=")</f>
        <v>#REF!</v>
      </c>
      <c r="CF245" t="e">
        <f>AND('GA55 Summry'!#REF!,"AAAAAA/f61M=")</f>
        <v>#REF!</v>
      </c>
      <c r="CG245" t="e">
        <f>AND('GA55 Summry'!#REF!,"AAAAAA/f61Q=")</f>
        <v>#REF!</v>
      </c>
      <c r="CH245" t="e">
        <f>AND('GA55 Summry'!#REF!,"AAAAAA/f61U=")</f>
        <v>#REF!</v>
      </c>
      <c r="CI245" t="e">
        <f>AND('GA55 Summry'!#REF!,"AAAAAA/f61Y=")</f>
        <v>#REF!</v>
      </c>
      <c r="CJ245" t="e">
        <f>AND('GA55 Summry'!#REF!,"AAAAAA/f61c=")</f>
        <v>#REF!</v>
      </c>
      <c r="CK245" t="e">
        <f>AND('GA55 Summry'!#REF!,"AAAAAA/f61g=")</f>
        <v>#REF!</v>
      </c>
      <c r="CL245" t="e">
        <f>AND('GA55 Summry'!#REF!,"AAAAAA/f61k=")</f>
        <v>#REF!</v>
      </c>
      <c r="CM245" t="e">
        <f>AND('GA55 Summry'!#REF!,"AAAAAA/f61o=")</f>
        <v>#REF!</v>
      </c>
      <c r="CN245" t="e">
        <f>AND('GA55 Summry'!#REF!,"AAAAAA/f61s=")</f>
        <v>#REF!</v>
      </c>
      <c r="CO245" t="e">
        <f>AND('GA55 Summry'!#REF!,"AAAAAA/f61w=")</f>
        <v>#REF!</v>
      </c>
      <c r="CP245" t="e">
        <f>AND('GA55 Summry'!#REF!,"AAAAAA/f610=")</f>
        <v>#REF!</v>
      </c>
      <c r="CQ245" t="e">
        <f>AND('GA55 Summry'!#REF!,"AAAAAA/f614=")</f>
        <v>#REF!</v>
      </c>
      <c r="CR245" t="e">
        <f>AND('GA55 Summry'!#REF!,"AAAAAA/f618=")</f>
        <v>#REF!</v>
      </c>
      <c r="CS245" t="e">
        <f>AND('GA55 Summry'!#REF!,"AAAAAA/f62A=")</f>
        <v>#REF!</v>
      </c>
      <c r="CT245" t="e">
        <f>AND('GA55 Summry'!#REF!,"AAAAAA/f62E=")</f>
        <v>#REF!</v>
      </c>
      <c r="CU245" t="e">
        <f>AND('GA55 Summry'!#REF!,"AAAAAA/f62I=")</f>
        <v>#REF!</v>
      </c>
      <c r="CV245" t="e">
        <f>AND('GA55 Summry'!#REF!,"AAAAAA/f62M=")</f>
        <v>#REF!</v>
      </c>
      <c r="CW245" t="e">
        <f>AND('GA55 Summry'!#REF!,"AAAAAA/f62Q=")</f>
        <v>#REF!</v>
      </c>
      <c r="CX245" t="e">
        <f>AND('GA55 Summry'!#REF!,"AAAAAA/f62U=")</f>
        <v>#REF!</v>
      </c>
      <c r="CY245" t="e">
        <f>AND('GA55 Summry'!#REF!,"AAAAAA/f62Y=")</f>
        <v>#REF!</v>
      </c>
      <c r="CZ245" t="e">
        <f>AND('GA55 Summry'!#REF!,"AAAAAA/f62c=")</f>
        <v>#REF!</v>
      </c>
      <c r="DA245" t="e">
        <f>AND('GA55 Summry'!#REF!,"AAAAAA/f62g=")</f>
        <v>#REF!</v>
      </c>
      <c r="DB245" t="e">
        <f>AND('GA55 Summry'!#REF!,"AAAAAA/f62k=")</f>
        <v>#REF!</v>
      </c>
      <c r="DC245" t="e">
        <f>AND('GA55 Summry'!#REF!,"AAAAAA/f62o=")</f>
        <v>#REF!</v>
      </c>
      <c r="DD245" t="e">
        <f>AND('GA55 Summry'!#REF!,"AAAAAA/f62s=")</f>
        <v>#REF!</v>
      </c>
      <c r="DE245" t="e">
        <f>AND('GA55 Summry'!#REF!,"AAAAAA/f62w=")</f>
        <v>#REF!</v>
      </c>
      <c r="DF245" t="e">
        <f>AND('GA55 Summry'!#REF!,"AAAAAA/f620=")</f>
        <v>#REF!</v>
      </c>
      <c r="DG245" t="e">
        <f>AND('GA55 Summry'!#REF!,"AAAAAA/f624=")</f>
        <v>#REF!</v>
      </c>
      <c r="DH245" t="e">
        <f>AND('GA55 Summry'!#REF!,"AAAAAA/f628=")</f>
        <v>#REF!</v>
      </c>
      <c r="DI245" t="e">
        <f>AND('GA55 Summry'!#REF!,"AAAAAA/f63A=")</f>
        <v>#REF!</v>
      </c>
      <c r="DJ245" t="e">
        <f>AND('GA55 Summry'!#REF!,"AAAAAA/f63E=")</f>
        <v>#REF!</v>
      </c>
      <c r="DK245" t="e">
        <f>AND('GA55 Summry'!#REF!,"AAAAAA/f63I=")</f>
        <v>#REF!</v>
      </c>
      <c r="DL245" t="e">
        <f>AND('GA55 Summry'!#REF!,"AAAAAA/f63M=")</f>
        <v>#REF!</v>
      </c>
      <c r="DM245" t="e">
        <f>AND('GA55 Summry'!#REF!,"AAAAAA/f63Q=")</f>
        <v>#REF!</v>
      </c>
      <c r="DN245" t="e">
        <f>AND('GA55 Summry'!#REF!,"AAAAAA/f63U=")</f>
        <v>#REF!</v>
      </c>
      <c r="DO245" t="e">
        <f>AND('GA55 Summry'!#REF!,"AAAAAA/f63Y=")</f>
        <v>#REF!</v>
      </c>
      <c r="DP245" t="e">
        <f>AND('GA55 Summry'!#REF!,"AAAAAA/f63c=")</f>
        <v>#REF!</v>
      </c>
      <c r="DQ245" t="e">
        <f>AND('GA55 Summry'!#REF!,"AAAAAA/f63g=")</f>
        <v>#REF!</v>
      </c>
      <c r="DR245" t="e">
        <f>AND('GA55 Summry'!#REF!,"AAAAAA/f63k=")</f>
        <v>#REF!</v>
      </c>
      <c r="DS245" t="e">
        <f>AND('GA55 Summry'!#REF!,"AAAAAA/f63o=")</f>
        <v>#REF!</v>
      </c>
      <c r="DT245" t="e">
        <f>AND('GA55 Summry'!#REF!,"AAAAAA/f63s=")</f>
        <v>#REF!</v>
      </c>
      <c r="DU245" t="e">
        <f>AND('GA55 Summry'!#REF!,"AAAAAA/f63w=")</f>
        <v>#REF!</v>
      </c>
      <c r="DV245" t="e">
        <f>AND('GA55 Summry'!#REF!,"AAAAAA/f630=")</f>
        <v>#REF!</v>
      </c>
      <c r="DW245" t="e">
        <f>AND('GA55 Summry'!#REF!,"AAAAAA/f634=")</f>
        <v>#REF!</v>
      </c>
      <c r="DX245" t="e">
        <f>AND('GA55 Summry'!#REF!,"AAAAAA/f638=")</f>
        <v>#REF!</v>
      </c>
      <c r="DY245" t="e">
        <f>AND('GA55 Summry'!#REF!,"AAAAAA/f64A=")</f>
        <v>#REF!</v>
      </c>
      <c r="DZ245" t="e">
        <f>AND('GA55 Summry'!#REF!,"AAAAAA/f64E=")</f>
        <v>#REF!</v>
      </c>
      <c r="EA245" t="e">
        <f>AND('GA55 Summry'!#REF!,"AAAAAA/f64I=")</f>
        <v>#REF!</v>
      </c>
      <c r="EB245" t="e">
        <f>AND('GA55 Summry'!#REF!,"AAAAAA/f64M=")</f>
        <v>#REF!</v>
      </c>
      <c r="EC245" t="e">
        <f>AND('GA55 Summry'!#REF!,"AAAAAA/f64Q=")</f>
        <v>#REF!</v>
      </c>
      <c r="ED245" t="e">
        <f>AND('GA55 Summry'!#REF!,"AAAAAA/f64U=")</f>
        <v>#REF!</v>
      </c>
      <c r="EE245" t="e">
        <f>AND('GA55 Summry'!#REF!,"AAAAAA/f64Y=")</f>
        <v>#REF!</v>
      </c>
      <c r="EF245" t="e">
        <f>AND('GA55 Summry'!#REF!,"AAAAAA/f64c=")</f>
        <v>#REF!</v>
      </c>
      <c r="EG245" t="e">
        <f>AND('GA55 Summry'!#REF!,"AAAAAA/f64g=")</f>
        <v>#REF!</v>
      </c>
      <c r="EH245" t="e">
        <f>AND('GA55 Summry'!#REF!,"AAAAAA/f64k=")</f>
        <v>#REF!</v>
      </c>
      <c r="EI245" t="e">
        <f>AND('GA55 Summry'!#REF!,"AAAAAA/f64o=")</f>
        <v>#REF!</v>
      </c>
      <c r="EJ245" t="e">
        <f>AND('GA55 Summry'!#REF!,"AAAAAA/f64s=")</f>
        <v>#REF!</v>
      </c>
      <c r="EK245" t="e">
        <f>AND('GA55 Summry'!#REF!,"AAAAAA/f64w=")</f>
        <v>#REF!</v>
      </c>
      <c r="EL245" t="e">
        <f>AND('GA55 Summry'!#REF!,"AAAAAA/f640=")</f>
        <v>#REF!</v>
      </c>
      <c r="EM245" t="e">
        <f>AND('GA55 Summry'!#REF!,"AAAAAA/f644=")</f>
        <v>#REF!</v>
      </c>
      <c r="EN245" t="e">
        <f>AND('GA55 Summry'!#REF!,"AAAAAA/f648=")</f>
        <v>#REF!</v>
      </c>
      <c r="EO245" t="e">
        <f>AND('GA55 Summry'!#REF!,"AAAAAA/f65A=")</f>
        <v>#REF!</v>
      </c>
      <c r="EP245" t="e">
        <f>IF('GA55 Summry'!#REF!,"AAAAAA/f65E=",0)</f>
        <v>#REF!</v>
      </c>
      <c r="EQ245" t="e">
        <f>AND('GA55 Summry'!#REF!,"AAAAAA/f65I=")</f>
        <v>#REF!</v>
      </c>
      <c r="ER245" t="e">
        <f>AND('GA55 Summry'!#REF!,"AAAAAA/f65M=")</f>
        <v>#REF!</v>
      </c>
      <c r="ES245" t="e">
        <f>AND('GA55 Summry'!#REF!,"AAAAAA/f65Q=")</f>
        <v>#REF!</v>
      </c>
      <c r="ET245" t="e">
        <f>AND('GA55 Summry'!#REF!,"AAAAAA/f65U=")</f>
        <v>#REF!</v>
      </c>
      <c r="EU245" t="e">
        <f>AND('GA55 Summry'!#REF!,"AAAAAA/f65Y=")</f>
        <v>#REF!</v>
      </c>
      <c r="EV245" t="e">
        <f>AND('GA55 Summry'!#REF!,"AAAAAA/f65c=")</f>
        <v>#REF!</v>
      </c>
      <c r="EW245" t="e">
        <f>AND('GA55 Summry'!#REF!,"AAAAAA/f65g=")</f>
        <v>#REF!</v>
      </c>
      <c r="EX245" t="e">
        <f>AND('GA55 Summry'!#REF!,"AAAAAA/f65k=")</f>
        <v>#REF!</v>
      </c>
      <c r="EY245" t="e">
        <f>AND('GA55 Summry'!#REF!,"AAAAAA/f65o=")</f>
        <v>#REF!</v>
      </c>
      <c r="EZ245" t="e">
        <f>AND('GA55 Summry'!#REF!,"AAAAAA/f65s=")</f>
        <v>#REF!</v>
      </c>
      <c r="FA245" t="e">
        <f>AND('GA55 Summry'!#REF!,"AAAAAA/f65w=")</f>
        <v>#REF!</v>
      </c>
      <c r="FB245" t="e">
        <f>AND('GA55 Summry'!#REF!,"AAAAAA/f650=")</f>
        <v>#REF!</v>
      </c>
      <c r="FC245" t="e">
        <f>AND('GA55 Summry'!#REF!,"AAAAAA/f654=")</f>
        <v>#REF!</v>
      </c>
      <c r="FD245" t="e">
        <f>AND('GA55 Summry'!#REF!,"AAAAAA/f658=")</f>
        <v>#REF!</v>
      </c>
      <c r="FE245" t="e">
        <f>AND('GA55 Summry'!#REF!,"AAAAAA/f66A=")</f>
        <v>#REF!</v>
      </c>
      <c r="FF245" t="e">
        <f>AND('GA55 Summry'!#REF!,"AAAAAA/f66E=")</f>
        <v>#REF!</v>
      </c>
      <c r="FG245" t="e">
        <f>AND('GA55 Summry'!#REF!,"AAAAAA/f66I=")</f>
        <v>#REF!</v>
      </c>
      <c r="FH245" t="e">
        <f>AND('GA55 Summry'!#REF!,"AAAAAA/f66M=")</f>
        <v>#REF!</v>
      </c>
      <c r="FI245" t="e">
        <f>AND('GA55 Summry'!#REF!,"AAAAAA/f66Q=")</f>
        <v>#REF!</v>
      </c>
      <c r="FJ245" t="e">
        <f>AND('GA55 Summry'!#REF!,"AAAAAA/f66U=")</f>
        <v>#REF!</v>
      </c>
      <c r="FK245" t="e">
        <f>AND('GA55 Summry'!#REF!,"AAAAAA/f66Y=")</f>
        <v>#REF!</v>
      </c>
      <c r="FL245" t="e">
        <f>AND('GA55 Summry'!#REF!,"AAAAAA/f66c=")</f>
        <v>#REF!</v>
      </c>
      <c r="FM245" t="e">
        <f>AND('GA55 Summry'!#REF!,"AAAAAA/f66g=")</f>
        <v>#REF!</v>
      </c>
      <c r="FN245" t="e">
        <f>AND('GA55 Summry'!#REF!,"AAAAAA/f66k=")</f>
        <v>#REF!</v>
      </c>
      <c r="FO245" t="e">
        <f>AND('GA55 Summry'!#REF!,"AAAAAA/f66o=")</f>
        <v>#REF!</v>
      </c>
      <c r="FP245" t="e">
        <f>AND('GA55 Summry'!#REF!,"AAAAAA/f66s=")</f>
        <v>#REF!</v>
      </c>
      <c r="FQ245" t="e">
        <f>AND('GA55 Summry'!#REF!,"AAAAAA/f66w=")</f>
        <v>#REF!</v>
      </c>
      <c r="FR245" t="e">
        <f>AND('GA55 Summry'!#REF!,"AAAAAA/f660=")</f>
        <v>#REF!</v>
      </c>
      <c r="FS245" t="e">
        <f>AND('GA55 Summry'!#REF!,"AAAAAA/f664=")</f>
        <v>#REF!</v>
      </c>
      <c r="FT245" t="e">
        <f>AND('GA55 Summry'!#REF!,"AAAAAA/f668=")</f>
        <v>#REF!</v>
      </c>
      <c r="FU245" t="e">
        <f>AND('GA55 Summry'!#REF!,"AAAAAA/f67A=")</f>
        <v>#REF!</v>
      </c>
      <c r="FV245" t="e">
        <f>AND('GA55 Summry'!#REF!,"AAAAAA/f67E=")</f>
        <v>#REF!</v>
      </c>
      <c r="FW245" t="e">
        <f>AND('GA55 Summry'!#REF!,"AAAAAA/f67I=")</f>
        <v>#REF!</v>
      </c>
      <c r="FX245" t="e">
        <f>AND('GA55 Summry'!#REF!,"AAAAAA/f67M=")</f>
        <v>#REF!</v>
      </c>
      <c r="FY245" t="e">
        <f>AND('GA55 Summry'!#REF!,"AAAAAA/f67Q=")</f>
        <v>#REF!</v>
      </c>
      <c r="FZ245" t="e">
        <f>AND('GA55 Summry'!#REF!,"AAAAAA/f67U=")</f>
        <v>#REF!</v>
      </c>
      <c r="GA245" t="e">
        <f>AND('GA55 Summry'!#REF!,"AAAAAA/f67Y=")</f>
        <v>#REF!</v>
      </c>
      <c r="GB245" t="e">
        <f>AND('GA55 Summry'!#REF!,"AAAAAA/f67c=")</f>
        <v>#REF!</v>
      </c>
      <c r="GC245" t="e">
        <f>AND('GA55 Summry'!#REF!,"AAAAAA/f67g=")</f>
        <v>#REF!</v>
      </c>
      <c r="GD245" t="e">
        <f>AND('GA55 Summry'!#REF!,"AAAAAA/f67k=")</f>
        <v>#REF!</v>
      </c>
      <c r="GE245" t="e">
        <f>AND('GA55 Summry'!#REF!,"AAAAAA/f67o=")</f>
        <v>#REF!</v>
      </c>
      <c r="GF245" t="e">
        <f>AND('GA55 Summry'!#REF!,"AAAAAA/f67s=")</f>
        <v>#REF!</v>
      </c>
      <c r="GG245" t="e">
        <f>AND('GA55 Summry'!#REF!,"AAAAAA/f67w=")</f>
        <v>#REF!</v>
      </c>
      <c r="GH245" t="e">
        <f>AND('GA55 Summry'!#REF!,"AAAAAA/f670=")</f>
        <v>#REF!</v>
      </c>
      <c r="GI245" t="e">
        <f>AND('GA55 Summry'!#REF!,"AAAAAA/f674=")</f>
        <v>#REF!</v>
      </c>
      <c r="GJ245" t="e">
        <f>AND('GA55 Summry'!#REF!,"AAAAAA/f678=")</f>
        <v>#REF!</v>
      </c>
      <c r="GK245" t="e">
        <f>AND('GA55 Summry'!#REF!,"AAAAAA/f68A=")</f>
        <v>#REF!</v>
      </c>
      <c r="GL245" t="e">
        <f>AND('GA55 Summry'!#REF!,"AAAAAA/f68E=")</f>
        <v>#REF!</v>
      </c>
      <c r="GM245" t="e">
        <f>AND('GA55 Summry'!#REF!,"AAAAAA/f68I=")</f>
        <v>#REF!</v>
      </c>
      <c r="GN245" t="e">
        <f>AND('GA55 Summry'!#REF!,"AAAAAA/f68M=")</f>
        <v>#REF!</v>
      </c>
      <c r="GO245" t="e">
        <f>AND('GA55 Summry'!#REF!,"AAAAAA/f68Q=")</f>
        <v>#REF!</v>
      </c>
      <c r="GP245" t="e">
        <f>AND('GA55 Summry'!#REF!,"AAAAAA/f68U=")</f>
        <v>#REF!</v>
      </c>
      <c r="GQ245" t="e">
        <f>AND('GA55 Summry'!#REF!,"AAAAAA/f68Y=")</f>
        <v>#REF!</v>
      </c>
      <c r="GR245" t="e">
        <f>AND('GA55 Summry'!#REF!,"AAAAAA/f68c=")</f>
        <v>#REF!</v>
      </c>
      <c r="GS245" t="e">
        <f>AND('GA55 Summry'!#REF!,"AAAAAA/f68g=")</f>
        <v>#REF!</v>
      </c>
      <c r="GT245" t="e">
        <f>AND('GA55 Summry'!#REF!,"AAAAAA/f68k=")</f>
        <v>#REF!</v>
      </c>
      <c r="GU245" t="e">
        <f>AND('GA55 Summry'!#REF!,"AAAAAA/f68o=")</f>
        <v>#REF!</v>
      </c>
      <c r="GV245" t="e">
        <f>AND('GA55 Summry'!#REF!,"AAAAAA/f68s=")</f>
        <v>#REF!</v>
      </c>
      <c r="GW245" t="e">
        <f>AND('GA55 Summry'!#REF!,"AAAAAA/f68w=")</f>
        <v>#REF!</v>
      </c>
      <c r="GX245" t="e">
        <f>AND('GA55 Summry'!#REF!,"AAAAAA/f680=")</f>
        <v>#REF!</v>
      </c>
      <c r="GY245" t="e">
        <f>AND('GA55 Summry'!#REF!,"AAAAAA/f684=")</f>
        <v>#REF!</v>
      </c>
      <c r="GZ245" t="e">
        <f>AND('GA55 Summry'!#REF!,"AAAAAA/f688=")</f>
        <v>#REF!</v>
      </c>
      <c r="HA245" t="e">
        <f>AND('GA55 Summry'!#REF!,"AAAAAA/f69A=")</f>
        <v>#REF!</v>
      </c>
      <c r="HB245" t="e">
        <f>AND('GA55 Summry'!#REF!,"AAAAAA/f69E=")</f>
        <v>#REF!</v>
      </c>
      <c r="HC245" t="e">
        <f>AND('GA55 Summry'!#REF!,"AAAAAA/f69I=")</f>
        <v>#REF!</v>
      </c>
      <c r="HD245" t="e">
        <f>AND('GA55 Summry'!#REF!,"AAAAAA/f69M=")</f>
        <v>#REF!</v>
      </c>
      <c r="HE245" t="e">
        <f>AND('GA55 Summry'!#REF!,"AAAAAA/f69Q=")</f>
        <v>#REF!</v>
      </c>
      <c r="HF245" t="e">
        <f>AND('GA55 Summry'!#REF!,"AAAAAA/f69U=")</f>
        <v>#REF!</v>
      </c>
      <c r="HG245" t="e">
        <f>AND('GA55 Summry'!#REF!,"AAAAAA/f69Y=")</f>
        <v>#REF!</v>
      </c>
      <c r="HH245" t="e">
        <f>AND('GA55 Summry'!#REF!,"AAAAAA/f69c=")</f>
        <v>#REF!</v>
      </c>
      <c r="HI245" t="e">
        <f>AND('GA55 Summry'!#REF!,"AAAAAA/f69g=")</f>
        <v>#REF!</v>
      </c>
      <c r="HJ245" t="e">
        <f>AND('GA55 Summry'!#REF!,"AAAAAA/f69k=")</f>
        <v>#REF!</v>
      </c>
      <c r="HK245" t="e">
        <f>AND('GA55 Summry'!#REF!,"AAAAAA/f69o=")</f>
        <v>#REF!</v>
      </c>
      <c r="HL245" t="e">
        <f>AND('GA55 Summry'!#REF!,"AAAAAA/f69s=")</f>
        <v>#REF!</v>
      </c>
      <c r="HM245" t="e">
        <f>IF('GA55 Summry'!#REF!,"AAAAAA/f69w=",0)</f>
        <v>#REF!</v>
      </c>
      <c r="HN245" t="e">
        <f>AND('GA55 Summry'!#REF!,"AAAAAA/f690=")</f>
        <v>#REF!</v>
      </c>
      <c r="HO245" t="e">
        <f>AND('GA55 Summry'!#REF!,"AAAAAA/f694=")</f>
        <v>#REF!</v>
      </c>
      <c r="HP245" t="e">
        <f>AND('GA55 Summry'!#REF!,"AAAAAA/f698=")</f>
        <v>#REF!</v>
      </c>
      <c r="HQ245" t="e">
        <f>AND('GA55 Summry'!#REF!,"AAAAAA/f6+A=")</f>
        <v>#REF!</v>
      </c>
      <c r="HR245" t="e">
        <f>AND('GA55 Summry'!#REF!,"AAAAAA/f6+E=")</f>
        <v>#REF!</v>
      </c>
      <c r="HS245" t="e">
        <f>AND('GA55 Summry'!#REF!,"AAAAAA/f6+I=")</f>
        <v>#REF!</v>
      </c>
      <c r="HT245" t="e">
        <f>AND('GA55 Summry'!#REF!,"AAAAAA/f6+M=")</f>
        <v>#REF!</v>
      </c>
      <c r="HU245" t="e">
        <f>AND('GA55 Summry'!#REF!,"AAAAAA/f6+Q=")</f>
        <v>#REF!</v>
      </c>
      <c r="HV245" t="e">
        <f>AND('GA55 Summry'!#REF!,"AAAAAA/f6+U=")</f>
        <v>#REF!</v>
      </c>
      <c r="HW245" t="e">
        <f>AND('GA55 Summry'!#REF!,"AAAAAA/f6+Y=")</f>
        <v>#REF!</v>
      </c>
      <c r="HX245" t="e">
        <f>AND('GA55 Summry'!#REF!,"AAAAAA/f6+c=")</f>
        <v>#REF!</v>
      </c>
      <c r="HY245" t="e">
        <f>AND('GA55 Summry'!#REF!,"AAAAAA/f6+g=")</f>
        <v>#REF!</v>
      </c>
      <c r="HZ245" t="e">
        <f>AND('GA55 Summry'!#REF!,"AAAAAA/f6+k=")</f>
        <v>#REF!</v>
      </c>
      <c r="IA245" t="e">
        <f>AND('GA55 Summry'!#REF!,"AAAAAA/f6+o=")</f>
        <v>#REF!</v>
      </c>
      <c r="IB245" t="e">
        <f>AND('GA55 Summry'!#REF!,"AAAAAA/f6+s=")</f>
        <v>#REF!</v>
      </c>
      <c r="IC245" t="e">
        <f>AND('GA55 Summry'!#REF!,"AAAAAA/f6+w=")</f>
        <v>#REF!</v>
      </c>
      <c r="ID245" t="e">
        <f>AND('GA55 Summry'!#REF!,"AAAAAA/f6+0=")</f>
        <v>#REF!</v>
      </c>
      <c r="IE245" t="e">
        <f>AND('GA55 Summry'!#REF!,"AAAAAA/f6+4=")</f>
        <v>#REF!</v>
      </c>
      <c r="IF245" t="e">
        <f>AND('GA55 Summry'!#REF!,"AAAAAA/f6+8=")</f>
        <v>#REF!</v>
      </c>
      <c r="IG245" t="e">
        <f>AND('GA55 Summry'!#REF!,"AAAAAA/f6/A=")</f>
        <v>#REF!</v>
      </c>
      <c r="IH245" t="e">
        <f>AND('GA55 Summry'!#REF!,"AAAAAA/f6/E=")</f>
        <v>#REF!</v>
      </c>
      <c r="II245" t="e">
        <f>AND('GA55 Summry'!#REF!,"AAAAAA/f6/I=")</f>
        <v>#REF!</v>
      </c>
      <c r="IJ245" t="e">
        <f>AND('GA55 Summry'!#REF!,"AAAAAA/f6/M=")</f>
        <v>#REF!</v>
      </c>
      <c r="IK245" t="e">
        <f>AND('GA55 Summry'!#REF!,"AAAAAA/f6/Q=")</f>
        <v>#REF!</v>
      </c>
      <c r="IL245" t="e">
        <f>AND('GA55 Summry'!#REF!,"AAAAAA/f6/U=")</f>
        <v>#REF!</v>
      </c>
      <c r="IM245" t="e">
        <f>AND('GA55 Summry'!#REF!,"AAAAAA/f6/Y=")</f>
        <v>#REF!</v>
      </c>
      <c r="IN245" t="e">
        <f>AND('GA55 Summry'!#REF!,"AAAAAA/f6/c=")</f>
        <v>#REF!</v>
      </c>
      <c r="IO245" t="e">
        <f>AND('GA55 Summry'!#REF!,"AAAAAA/f6/g=")</f>
        <v>#REF!</v>
      </c>
      <c r="IP245" t="e">
        <f>AND('GA55 Summry'!#REF!,"AAAAAA/f6/k=")</f>
        <v>#REF!</v>
      </c>
      <c r="IQ245" t="e">
        <f>AND('GA55 Summry'!#REF!,"AAAAAA/f6/o=")</f>
        <v>#REF!</v>
      </c>
      <c r="IR245" t="e">
        <f>AND('GA55 Summry'!#REF!,"AAAAAA/f6/s=")</f>
        <v>#REF!</v>
      </c>
      <c r="IS245" t="e">
        <f>AND('GA55 Summry'!#REF!,"AAAAAA/f6/w=")</f>
        <v>#REF!</v>
      </c>
      <c r="IT245" t="e">
        <f>AND('GA55 Summry'!#REF!,"AAAAAA/f6/0=")</f>
        <v>#REF!</v>
      </c>
      <c r="IU245" t="e">
        <f>AND('GA55 Summry'!#REF!,"AAAAAA/f6/4=")</f>
        <v>#REF!</v>
      </c>
      <c r="IV245" t="e">
        <f>AND('GA55 Summry'!#REF!,"AAAAAA/f6/8=")</f>
        <v>#REF!</v>
      </c>
    </row>
    <row r="246" spans="1:256" x14ac:dyDescent="0.25">
      <c r="A246" t="e">
        <f>AND('GA55 Summry'!#REF!,"AAAAABXG8gA=")</f>
        <v>#REF!</v>
      </c>
      <c r="B246" t="e">
        <f>AND('GA55 Summry'!#REF!,"AAAAABXG8gE=")</f>
        <v>#REF!</v>
      </c>
      <c r="C246" t="e">
        <f>AND('GA55 Summry'!#REF!,"AAAAABXG8gI=")</f>
        <v>#REF!</v>
      </c>
      <c r="D246" t="e">
        <f>AND('GA55 Summry'!#REF!,"AAAAABXG8gM=")</f>
        <v>#REF!</v>
      </c>
      <c r="E246" t="e">
        <f>AND('GA55 Summry'!#REF!,"AAAAABXG8gQ=")</f>
        <v>#REF!</v>
      </c>
      <c r="F246" t="e">
        <f>AND('GA55 Summry'!#REF!,"AAAAABXG8gU=")</f>
        <v>#REF!</v>
      </c>
      <c r="G246" t="e">
        <f>AND('GA55 Summry'!#REF!,"AAAAABXG8gY=")</f>
        <v>#REF!</v>
      </c>
      <c r="H246" t="e">
        <f>AND('GA55 Summry'!#REF!,"AAAAABXG8gc=")</f>
        <v>#REF!</v>
      </c>
      <c r="I246" t="e">
        <f>AND('GA55 Summry'!#REF!,"AAAAABXG8gg=")</f>
        <v>#REF!</v>
      </c>
      <c r="J246" t="e">
        <f>AND('GA55 Summry'!#REF!,"AAAAABXG8gk=")</f>
        <v>#REF!</v>
      </c>
      <c r="K246" t="e">
        <f>AND('GA55 Summry'!#REF!,"AAAAABXG8go=")</f>
        <v>#REF!</v>
      </c>
      <c r="L246" t="e">
        <f>AND('GA55 Summry'!#REF!,"AAAAABXG8gs=")</f>
        <v>#REF!</v>
      </c>
      <c r="M246" t="e">
        <f>AND('GA55 Summry'!#REF!,"AAAAABXG8gw=")</f>
        <v>#REF!</v>
      </c>
      <c r="N246" t="e">
        <f>AND('GA55 Summry'!#REF!,"AAAAABXG8g0=")</f>
        <v>#REF!</v>
      </c>
      <c r="O246" t="e">
        <f>AND('GA55 Summry'!#REF!,"AAAAABXG8g4=")</f>
        <v>#REF!</v>
      </c>
      <c r="P246" t="e">
        <f>AND('GA55 Summry'!#REF!,"AAAAABXG8g8=")</f>
        <v>#REF!</v>
      </c>
      <c r="Q246" t="e">
        <f>AND('GA55 Summry'!#REF!,"AAAAABXG8hA=")</f>
        <v>#REF!</v>
      </c>
      <c r="R246" t="e">
        <f>AND('GA55 Summry'!#REF!,"AAAAABXG8hE=")</f>
        <v>#REF!</v>
      </c>
      <c r="S246" t="e">
        <f>AND('GA55 Summry'!#REF!,"AAAAABXG8hI=")</f>
        <v>#REF!</v>
      </c>
      <c r="T246" t="e">
        <f>AND('GA55 Summry'!#REF!,"AAAAABXG8hM=")</f>
        <v>#REF!</v>
      </c>
      <c r="U246" t="e">
        <f>AND('GA55 Summry'!#REF!,"AAAAABXG8hQ=")</f>
        <v>#REF!</v>
      </c>
      <c r="V246" t="e">
        <f>AND('GA55 Summry'!#REF!,"AAAAABXG8hU=")</f>
        <v>#REF!</v>
      </c>
      <c r="W246" t="e">
        <f>AND('GA55 Summry'!#REF!,"AAAAABXG8hY=")</f>
        <v>#REF!</v>
      </c>
      <c r="X246" t="e">
        <f>AND('GA55 Summry'!#REF!,"AAAAABXG8hc=")</f>
        <v>#REF!</v>
      </c>
      <c r="Y246" t="e">
        <f>AND('GA55 Summry'!#REF!,"AAAAABXG8hg=")</f>
        <v>#REF!</v>
      </c>
      <c r="Z246" t="e">
        <f>AND('GA55 Summry'!#REF!,"AAAAABXG8hk=")</f>
        <v>#REF!</v>
      </c>
      <c r="AA246" t="e">
        <f>AND('GA55 Summry'!#REF!,"AAAAABXG8ho=")</f>
        <v>#REF!</v>
      </c>
      <c r="AB246" t="e">
        <f>AND('GA55 Summry'!#REF!,"AAAAABXG8hs=")</f>
        <v>#REF!</v>
      </c>
      <c r="AC246" t="e">
        <f>AND('GA55 Summry'!#REF!,"AAAAABXG8hw=")</f>
        <v>#REF!</v>
      </c>
      <c r="AD246" t="e">
        <f>AND('GA55 Summry'!#REF!,"AAAAABXG8h0=")</f>
        <v>#REF!</v>
      </c>
      <c r="AE246" t="e">
        <f>AND('GA55 Summry'!#REF!,"AAAAABXG8h4=")</f>
        <v>#REF!</v>
      </c>
      <c r="AF246" t="e">
        <f>AND('GA55 Summry'!#REF!,"AAAAABXG8h8=")</f>
        <v>#REF!</v>
      </c>
      <c r="AG246" t="e">
        <f>AND('GA55 Summry'!#REF!,"AAAAABXG8iA=")</f>
        <v>#REF!</v>
      </c>
      <c r="AH246" t="e">
        <f>AND('GA55 Summry'!#REF!,"AAAAABXG8iE=")</f>
        <v>#REF!</v>
      </c>
      <c r="AI246" t="e">
        <f>AND('GA55 Summry'!#REF!,"AAAAABXG8iI=")</f>
        <v>#REF!</v>
      </c>
      <c r="AJ246" t="e">
        <f>AND('GA55 Summry'!#REF!,"AAAAABXG8iM=")</f>
        <v>#REF!</v>
      </c>
      <c r="AK246" t="e">
        <f>AND('GA55 Summry'!#REF!,"AAAAABXG8iQ=")</f>
        <v>#REF!</v>
      </c>
      <c r="AL246" t="e">
        <f>AND('GA55 Summry'!#REF!,"AAAAABXG8iU=")</f>
        <v>#REF!</v>
      </c>
      <c r="AM246" t="e">
        <f>AND('GA55 Summry'!#REF!,"AAAAABXG8iY=")</f>
        <v>#REF!</v>
      </c>
      <c r="AN246" t="e">
        <f>IF('GA55 Summry'!#REF!,"AAAAABXG8ic=",0)</f>
        <v>#REF!</v>
      </c>
      <c r="AO246" t="e">
        <f>AND('GA55 Summry'!#REF!,"AAAAABXG8ig=")</f>
        <v>#REF!</v>
      </c>
      <c r="AP246" t="e">
        <f>AND('GA55 Summry'!#REF!,"AAAAABXG8ik=")</f>
        <v>#REF!</v>
      </c>
      <c r="AQ246" t="e">
        <f>AND('GA55 Summry'!#REF!,"AAAAABXG8io=")</f>
        <v>#REF!</v>
      </c>
      <c r="AR246" t="e">
        <f>AND('GA55 Summry'!#REF!,"AAAAABXG8is=")</f>
        <v>#REF!</v>
      </c>
      <c r="AS246" t="e">
        <f>AND('GA55 Summry'!#REF!,"AAAAABXG8iw=")</f>
        <v>#REF!</v>
      </c>
      <c r="AT246" t="e">
        <f>AND('GA55 Summry'!#REF!,"AAAAABXG8i0=")</f>
        <v>#REF!</v>
      </c>
      <c r="AU246" t="e">
        <f>AND('GA55 Summry'!#REF!,"AAAAABXG8i4=")</f>
        <v>#REF!</v>
      </c>
      <c r="AV246" t="e">
        <f>AND('GA55 Summry'!#REF!,"AAAAABXG8i8=")</f>
        <v>#REF!</v>
      </c>
      <c r="AW246" t="e">
        <f>AND('GA55 Summry'!#REF!,"AAAAABXG8jA=")</f>
        <v>#REF!</v>
      </c>
      <c r="AX246" t="e">
        <f>AND('GA55 Summry'!#REF!,"AAAAABXG8jE=")</f>
        <v>#REF!</v>
      </c>
      <c r="AY246" t="e">
        <f>AND('GA55 Summry'!#REF!,"AAAAABXG8jI=")</f>
        <v>#REF!</v>
      </c>
      <c r="AZ246" t="e">
        <f>AND('GA55 Summry'!#REF!,"AAAAABXG8jM=")</f>
        <v>#REF!</v>
      </c>
      <c r="BA246" t="e">
        <f>AND('GA55 Summry'!#REF!,"AAAAABXG8jQ=")</f>
        <v>#REF!</v>
      </c>
      <c r="BB246" t="e">
        <f>AND('GA55 Summry'!#REF!,"AAAAABXG8jU=")</f>
        <v>#REF!</v>
      </c>
      <c r="BC246" t="e">
        <f>AND('GA55 Summry'!#REF!,"AAAAABXG8jY=")</f>
        <v>#REF!</v>
      </c>
      <c r="BD246" t="e">
        <f>AND('GA55 Summry'!#REF!,"AAAAABXG8jc=")</f>
        <v>#REF!</v>
      </c>
      <c r="BE246" t="e">
        <f>AND('GA55 Summry'!#REF!,"AAAAABXG8jg=")</f>
        <v>#REF!</v>
      </c>
      <c r="BF246" t="e">
        <f>AND('GA55 Summry'!#REF!,"AAAAABXG8jk=")</f>
        <v>#REF!</v>
      </c>
      <c r="BG246" t="e">
        <f>AND('GA55 Summry'!#REF!,"AAAAABXG8jo=")</f>
        <v>#REF!</v>
      </c>
      <c r="BH246" t="e">
        <f>AND('GA55 Summry'!#REF!,"AAAAABXG8js=")</f>
        <v>#REF!</v>
      </c>
      <c r="BI246" t="e">
        <f>AND('GA55 Summry'!#REF!,"AAAAABXG8jw=")</f>
        <v>#REF!</v>
      </c>
      <c r="BJ246" t="e">
        <f>AND('GA55 Summry'!#REF!,"AAAAABXG8j0=")</f>
        <v>#REF!</v>
      </c>
      <c r="BK246" t="e">
        <f>AND('GA55 Summry'!#REF!,"AAAAABXG8j4=")</f>
        <v>#REF!</v>
      </c>
      <c r="BL246" t="e">
        <f>AND('GA55 Summry'!#REF!,"AAAAABXG8j8=")</f>
        <v>#REF!</v>
      </c>
      <c r="BM246" t="e">
        <f>AND('GA55 Summry'!#REF!,"AAAAABXG8kA=")</f>
        <v>#REF!</v>
      </c>
      <c r="BN246" t="e">
        <f>AND('GA55 Summry'!#REF!,"AAAAABXG8kE=")</f>
        <v>#REF!</v>
      </c>
      <c r="BO246" t="e">
        <f>AND('GA55 Summry'!#REF!,"AAAAABXG8kI=")</f>
        <v>#REF!</v>
      </c>
      <c r="BP246" t="e">
        <f>AND('GA55 Summry'!#REF!,"AAAAABXG8kM=")</f>
        <v>#REF!</v>
      </c>
      <c r="BQ246" t="e">
        <f>AND('GA55 Summry'!#REF!,"AAAAABXG8kQ=")</f>
        <v>#REF!</v>
      </c>
      <c r="BR246" t="e">
        <f>AND('GA55 Summry'!#REF!,"AAAAABXG8kU=")</f>
        <v>#REF!</v>
      </c>
      <c r="BS246" t="e">
        <f>AND('GA55 Summry'!#REF!,"AAAAABXG8kY=")</f>
        <v>#REF!</v>
      </c>
      <c r="BT246" t="e">
        <f>AND('GA55 Summry'!#REF!,"AAAAABXG8kc=")</f>
        <v>#REF!</v>
      </c>
      <c r="BU246" t="e">
        <f>AND('GA55 Summry'!#REF!,"AAAAABXG8kg=")</f>
        <v>#REF!</v>
      </c>
      <c r="BV246" t="e">
        <f>AND('GA55 Summry'!#REF!,"AAAAABXG8kk=")</f>
        <v>#REF!</v>
      </c>
      <c r="BW246" t="e">
        <f>AND('GA55 Summry'!#REF!,"AAAAABXG8ko=")</f>
        <v>#REF!</v>
      </c>
      <c r="BX246" t="e">
        <f>AND('GA55 Summry'!#REF!,"AAAAABXG8ks=")</f>
        <v>#REF!</v>
      </c>
      <c r="BY246" t="e">
        <f>AND('GA55 Summry'!#REF!,"AAAAABXG8kw=")</f>
        <v>#REF!</v>
      </c>
      <c r="BZ246" t="e">
        <f>AND('GA55 Summry'!#REF!,"AAAAABXG8k0=")</f>
        <v>#REF!</v>
      </c>
      <c r="CA246" t="e">
        <f>AND('GA55 Summry'!#REF!,"AAAAABXG8k4=")</f>
        <v>#REF!</v>
      </c>
      <c r="CB246" t="e">
        <f>AND('GA55 Summry'!#REF!,"AAAAABXG8k8=")</f>
        <v>#REF!</v>
      </c>
      <c r="CC246" t="e">
        <f>AND('GA55 Summry'!#REF!,"AAAAABXG8lA=")</f>
        <v>#REF!</v>
      </c>
      <c r="CD246" t="e">
        <f>AND('GA55 Summry'!#REF!,"AAAAABXG8lE=")</f>
        <v>#REF!</v>
      </c>
      <c r="CE246" t="e">
        <f>AND('GA55 Summry'!#REF!,"AAAAABXG8lI=")</f>
        <v>#REF!</v>
      </c>
      <c r="CF246" t="e">
        <f>AND('GA55 Summry'!#REF!,"AAAAABXG8lM=")</f>
        <v>#REF!</v>
      </c>
      <c r="CG246" t="e">
        <f>AND('GA55 Summry'!#REF!,"AAAAABXG8lQ=")</f>
        <v>#REF!</v>
      </c>
      <c r="CH246" t="e">
        <f>AND('GA55 Summry'!#REF!,"AAAAABXG8lU=")</f>
        <v>#REF!</v>
      </c>
      <c r="CI246" t="e">
        <f>AND('GA55 Summry'!#REF!,"AAAAABXG8lY=")</f>
        <v>#REF!</v>
      </c>
      <c r="CJ246" t="e">
        <f>AND('GA55 Summry'!#REF!,"AAAAABXG8lc=")</f>
        <v>#REF!</v>
      </c>
      <c r="CK246" t="e">
        <f>AND('GA55 Summry'!#REF!,"AAAAABXG8lg=")</f>
        <v>#REF!</v>
      </c>
      <c r="CL246" t="e">
        <f>AND('GA55 Summry'!#REF!,"AAAAABXG8lk=")</f>
        <v>#REF!</v>
      </c>
      <c r="CM246" t="e">
        <f>AND('GA55 Summry'!#REF!,"AAAAABXG8lo=")</f>
        <v>#REF!</v>
      </c>
      <c r="CN246" t="e">
        <f>AND('GA55 Summry'!#REF!,"AAAAABXG8ls=")</f>
        <v>#REF!</v>
      </c>
      <c r="CO246" t="e">
        <f>AND('GA55 Summry'!#REF!,"AAAAABXG8lw=")</f>
        <v>#REF!</v>
      </c>
      <c r="CP246" t="e">
        <f>AND('GA55 Summry'!#REF!,"AAAAABXG8l0=")</f>
        <v>#REF!</v>
      </c>
      <c r="CQ246" t="e">
        <f>AND('GA55 Summry'!#REF!,"AAAAABXG8l4=")</f>
        <v>#REF!</v>
      </c>
      <c r="CR246" t="e">
        <f>AND('GA55 Summry'!#REF!,"AAAAABXG8l8=")</f>
        <v>#REF!</v>
      </c>
      <c r="CS246" t="e">
        <f>AND('GA55 Summry'!#REF!,"AAAAABXG8mA=")</f>
        <v>#REF!</v>
      </c>
      <c r="CT246" t="e">
        <f>AND('GA55 Summry'!#REF!,"AAAAABXG8mE=")</f>
        <v>#REF!</v>
      </c>
      <c r="CU246" t="e">
        <f>AND('GA55 Summry'!#REF!,"AAAAABXG8mI=")</f>
        <v>#REF!</v>
      </c>
      <c r="CV246" t="e">
        <f>AND('GA55 Summry'!#REF!,"AAAAABXG8mM=")</f>
        <v>#REF!</v>
      </c>
      <c r="CW246" t="e">
        <f>AND('GA55 Summry'!#REF!,"AAAAABXG8mQ=")</f>
        <v>#REF!</v>
      </c>
      <c r="CX246" t="e">
        <f>AND('GA55 Summry'!#REF!,"AAAAABXG8mU=")</f>
        <v>#REF!</v>
      </c>
      <c r="CY246" t="e">
        <f>AND('GA55 Summry'!#REF!,"AAAAABXG8mY=")</f>
        <v>#REF!</v>
      </c>
      <c r="CZ246" t="e">
        <f>AND('GA55 Summry'!#REF!,"AAAAABXG8mc=")</f>
        <v>#REF!</v>
      </c>
      <c r="DA246" t="e">
        <f>AND('GA55 Summry'!#REF!,"AAAAABXG8mg=")</f>
        <v>#REF!</v>
      </c>
      <c r="DB246" t="e">
        <f>AND('GA55 Summry'!#REF!,"AAAAABXG8mk=")</f>
        <v>#REF!</v>
      </c>
      <c r="DC246" t="e">
        <f>AND('GA55 Summry'!#REF!,"AAAAABXG8mo=")</f>
        <v>#REF!</v>
      </c>
      <c r="DD246" t="e">
        <f>AND('GA55 Summry'!#REF!,"AAAAABXG8ms=")</f>
        <v>#REF!</v>
      </c>
      <c r="DE246" t="e">
        <f>AND('GA55 Summry'!#REF!,"AAAAABXG8mw=")</f>
        <v>#REF!</v>
      </c>
      <c r="DF246" t="e">
        <f>AND('GA55 Summry'!#REF!,"AAAAABXG8m0=")</f>
        <v>#REF!</v>
      </c>
      <c r="DG246" t="e">
        <f>AND('GA55 Summry'!#REF!,"AAAAABXG8m4=")</f>
        <v>#REF!</v>
      </c>
      <c r="DH246" t="e">
        <f>AND('GA55 Summry'!#REF!,"AAAAABXG8m8=")</f>
        <v>#REF!</v>
      </c>
      <c r="DI246" t="e">
        <f>AND('GA55 Summry'!#REF!,"AAAAABXG8nA=")</f>
        <v>#REF!</v>
      </c>
      <c r="DJ246" t="e">
        <f>AND('GA55 Summry'!#REF!,"AAAAABXG8nE=")</f>
        <v>#REF!</v>
      </c>
      <c r="DK246" t="e">
        <f>IF('GA55 Summry'!#REF!,"AAAAABXG8nI=",0)</f>
        <v>#REF!</v>
      </c>
      <c r="DL246" t="e">
        <f>AND('GA55 Summry'!#REF!,"AAAAABXG8nM=")</f>
        <v>#REF!</v>
      </c>
      <c r="DM246" t="e">
        <f>AND('GA55 Summry'!#REF!,"AAAAABXG8nQ=")</f>
        <v>#REF!</v>
      </c>
      <c r="DN246" t="e">
        <f>AND('GA55 Summry'!#REF!,"AAAAABXG8nU=")</f>
        <v>#REF!</v>
      </c>
      <c r="DO246" t="e">
        <f>AND('GA55 Summry'!#REF!,"AAAAABXG8nY=")</f>
        <v>#REF!</v>
      </c>
      <c r="DP246" t="e">
        <f>AND('GA55 Summry'!#REF!,"AAAAABXG8nc=")</f>
        <v>#REF!</v>
      </c>
      <c r="DQ246" t="e">
        <f>AND('GA55 Summry'!#REF!,"AAAAABXG8ng=")</f>
        <v>#REF!</v>
      </c>
      <c r="DR246" t="e">
        <f>AND('GA55 Summry'!#REF!,"AAAAABXG8nk=")</f>
        <v>#REF!</v>
      </c>
      <c r="DS246" t="e">
        <f>AND('GA55 Summry'!#REF!,"AAAAABXG8no=")</f>
        <v>#REF!</v>
      </c>
      <c r="DT246" t="e">
        <f>AND('GA55 Summry'!#REF!,"AAAAABXG8ns=")</f>
        <v>#REF!</v>
      </c>
      <c r="DU246" t="e">
        <f>AND('GA55 Summry'!#REF!,"AAAAABXG8nw=")</f>
        <v>#REF!</v>
      </c>
      <c r="DV246" t="e">
        <f>AND('GA55 Summry'!#REF!,"AAAAABXG8n0=")</f>
        <v>#REF!</v>
      </c>
      <c r="DW246" t="e">
        <f>AND('GA55 Summry'!#REF!,"AAAAABXG8n4=")</f>
        <v>#REF!</v>
      </c>
      <c r="DX246" t="e">
        <f>AND('GA55 Summry'!#REF!,"AAAAABXG8n8=")</f>
        <v>#REF!</v>
      </c>
      <c r="DY246" t="e">
        <f>AND('GA55 Summry'!#REF!,"AAAAABXG8oA=")</f>
        <v>#REF!</v>
      </c>
      <c r="DZ246" t="e">
        <f>AND('GA55 Summry'!#REF!,"AAAAABXG8oE=")</f>
        <v>#REF!</v>
      </c>
      <c r="EA246" t="e">
        <f>AND('GA55 Summry'!#REF!,"AAAAABXG8oI=")</f>
        <v>#REF!</v>
      </c>
      <c r="EB246" t="e">
        <f>AND('GA55 Summry'!#REF!,"AAAAABXG8oM=")</f>
        <v>#REF!</v>
      </c>
      <c r="EC246" t="e">
        <f>AND('GA55 Summry'!#REF!,"AAAAABXG8oQ=")</f>
        <v>#REF!</v>
      </c>
      <c r="ED246" t="e">
        <f>AND('GA55 Summry'!#REF!,"AAAAABXG8oU=")</f>
        <v>#REF!</v>
      </c>
      <c r="EE246" t="e">
        <f>AND('GA55 Summry'!#REF!,"AAAAABXG8oY=")</f>
        <v>#REF!</v>
      </c>
      <c r="EF246" t="e">
        <f>AND('GA55 Summry'!#REF!,"AAAAABXG8oc=")</f>
        <v>#REF!</v>
      </c>
      <c r="EG246" t="e">
        <f>AND('GA55 Summry'!#REF!,"AAAAABXG8og=")</f>
        <v>#REF!</v>
      </c>
      <c r="EH246" t="e">
        <f>AND('GA55 Summry'!#REF!,"AAAAABXG8ok=")</f>
        <v>#REF!</v>
      </c>
      <c r="EI246" t="e">
        <f>AND('GA55 Summry'!#REF!,"AAAAABXG8oo=")</f>
        <v>#REF!</v>
      </c>
      <c r="EJ246" t="e">
        <f>AND('GA55 Summry'!#REF!,"AAAAABXG8os=")</f>
        <v>#REF!</v>
      </c>
      <c r="EK246" t="e">
        <f>AND('GA55 Summry'!#REF!,"AAAAABXG8ow=")</f>
        <v>#REF!</v>
      </c>
      <c r="EL246" t="e">
        <f>AND('GA55 Summry'!#REF!,"AAAAABXG8o0=")</f>
        <v>#REF!</v>
      </c>
      <c r="EM246" t="e">
        <f>AND('GA55 Summry'!#REF!,"AAAAABXG8o4=")</f>
        <v>#REF!</v>
      </c>
      <c r="EN246" t="e">
        <f>AND('GA55 Summry'!#REF!,"AAAAABXG8o8=")</f>
        <v>#REF!</v>
      </c>
      <c r="EO246" t="e">
        <f>AND('GA55 Summry'!#REF!,"AAAAABXG8pA=")</f>
        <v>#REF!</v>
      </c>
      <c r="EP246" t="e">
        <f>AND('GA55 Summry'!#REF!,"AAAAABXG8pE=")</f>
        <v>#REF!</v>
      </c>
      <c r="EQ246" t="e">
        <f>AND('GA55 Summry'!#REF!,"AAAAABXG8pI=")</f>
        <v>#REF!</v>
      </c>
      <c r="ER246" t="e">
        <f>AND('GA55 Summry'!#REF!,"AAAAABXG8pM=")</f>
        <v>#REF!</v>
      </c>
      <c r="ES246" t="e">
        <f>AND('GA55 Summry'!#REF!,"AAAAABXG8pQ=")</f>
        <v>#REF!</v>
      </c>
      <c r="ET246" t="e">
        <f>AND('GA55 Summry'!#REF!,"AAAAABXG8pU=")</f>
        <v>#REF!</v>
      </c>
      <c r="EU246" t="e">
        <f>AND('GA55 Summry'!#REF!,"AAAAABXG8pY=")</f>
        <v>#REF!</v>
      </c>
      <c r="EV246" t="e">
        <f>AND('GA55 Summry'!#REF!,"AAAAABXG8pc=")</f>
        <v>#REF!</v>
      </c>
      <c r="EW246" t="e">
        <f>AND('GA55 Summry'!#REF!,"AAAAABXG8pg=")</f>
        <v>#REF!</v>
      </c>
      <c r="EX246" t="e">
        <f>AND('GA55 Summry'!#REF!,"AAAAABXG8pk=")</f>
        <v>#REF!</v>
      </c>
      <c r="EY246" t="e">
        <f>AND('GA55 Summry'!#REF!,"AAAAABXG8po=")</f>
        <v>#REF!</v>
      </c>
      <c r="EZ246" t="e">
        <f>AND('GA55 Summry'!#REF!,"AAAAABXG8ps=")</f>
        <v>#REF!</v>
      </c>
      <c r="FA246" t="e">
        <f>AND('GA55 Summry'!#REF!,"AAAAABXG8pw=")</f>
        <v>#REF!</v>
      </c>
      <c r="FB246" t="e">
        <f>AND('GA55 Summry'!#REF!,"AAAAABXG8p0=")</f>
        <v>#REF!</v>
      </c>
      <c r="FC246" t="e">
        <f>AND('GA55 Summry'!#REF!,"AAAAABXG8p4=")</f>
        <v>#REF!</v>
      </c>
      <c r="FD246" t="e">
        <f>AND('GA55 Summry'!#REF!,"AAAAABXG8p8=")</f>
        <v>#REF!</v>
      </c>
      <c r="FE246" t="e">
        <f>AND('GA55 Summry'!#REF!,"AAAAABXG8qA=")</f>
        <v>#REF!</v>
      </c>
      <c r="FF246" t="e">
        <f>AND('GA55 Summry'!#REF!,"AAAAABXG8qE=")</f>
        <v>#REF!</v>
      </c>
      <c r="FG246" t="e">
        <f>AND('GA55 Summry'!#REF!,"AAAAABXG8qI=")</f>
        <v>#REF!</v>
      </c>
      <c r="FH246" t="e">
        <f>AND('GA55 Summry'!#REF!,"AAAAABXG8qM=")</f>
        <v>#REF!</v>
      </c>
      <c r="FI246" t="e">
        <f>AND('GA55 Summry'!#REF!,"AAAAABXG8qQ=")</f>
        <v>#REF!</v>
      </c>
      <c r="FJ246" t="e">
        <f>AND('GA55 Summry'!#REF!,"AAAAABXG8qU=")</f>
        <v>#REF!</v>
      </c>
      <c r="FK246" t="e">
        <f>AND('GA55 Summry'!#REF!,"AAAAABXG8qY=")</f>
        <v>#REF!</v>
      </c>
      <c r="FL246" t="e">
        <f>AND('GA55 Summry'!#REF!,"AAAAABXG8qc=")</f>
        <v>#REF!</v>
      </c>
      <c r="FM246" t="e">
        <f>AND('GA55 Summry'!#REF!,"AAAAABXG8qg=")</f>
        <v>#REF!</v>
      </c>
      <c r="FN246" t="e">
        <f>AND('GA55 Summry'!#REF!,"AAAAABXG8qk=")</f>
        <v>#REF!</v>
      </c>
      <c r="FO246" t="e">
        <f>AND('GA55 Summry'!#REF!,"AAAAABXG8qo=")</f>
        <v>#REF!</v>
      </c>
      <c r="FP246" t="e">
        <f>AND('GA55 Summry'!#REF!,"AAAAABXG8qs=")</f>
        <v>#REF!</v>
      </c>
      <c r="FQ246" t="e">
        <f>AND('GA55 Summry'!#REF!,"AAAAABXG8qw=")</f>
        <v>#REF!</v>
      </c>
      <c r="FR246" t="e">
        <f>AND('GA55 Summry'!#REF!,"AAAAABXG8q0=")</f>
        <v>#REF!</v>
      </c>
      <c r="FS246" t="e">
        <f>AND('GA55 Summry'!#REF!,"AAAAABXG8q4=")</f>
        <v>#REF!</v>
      </c>
      <c r="FT246" t="e">
        <f>AND('GA55 Summry'!#REF!,"AAAAABXG8q8=")</f>
        <v>#REF!</v>
      </c>
      <c r="FU246" t="e">
        <f>AND('GA55 Summry'!#REF!,"AAAAABXG8rA=")</f>
        <v>#REF!</v>
      </c>
      <c r="FV246" t="e">
        <f>AND('GA55 Summry'!#REF!,"AAAAABXG8rE=")</f>
        <v>#REF!</v>
      </c>
      <c r="FW246" t="e">
        <f>AND('GA55 Summry'!#REF!,"AAAAABXG8rI=")</f>
        <v>#REF!</v>
      </c>
      <c r="FX246" t="e">
        <f>AND('GA55 Summry'!#REF!,"AAAAABXG8rM=")</f>
        <v>#REF!</v>
      </c>
      <c r="FY246" t="e">
        <f>AND('GA55 Summry'!#REF!,"AAAAABXG8rQ=")</f>
        <v>#REF!</v>
      </c>
      <c r="FZ246" t="e">
        <f>AND('GA55 Summry'!#REF!,"AAAAABXG8rU=")</f>
        <v>#REF!</v>
      </c>
      <c r="GA246" t="e">
        <f>AND('GA55 Summry'!#REF!,"AAAAABXG8rY=")</f>
        <v>#REF!</v>
      </c>
      <c r="GB246" t="e">
        <f>AND('GA55 Summry'!#REF!,"AAAAABXG8rc=")</f>
        <v>#REF!</v>
      </c>
      <c r="GC246" t="e">
        <f>AND('GA55 Summry'!#REF!,"AAAAABXG8rg=")</f>
        <v>#REF!</v>
      </c>
      <c r="GD246" t="e">
        <f>AND('GA55 Summry'!#REF!,"AAAAABXG8rk=")</f>
        <v>#REF!</v>
      </c>
      <c r="GE246" t="e">
        <f>AND('GA55 Summry'!#REF!,"AAAAABXG8ro=")</f>
        <v>#REF!</v>
      </c>
      <c r="GF246" t="e">
        <f>AND('GA55 Summry'!#REF!,"AAAAABXG8rs=")</f>
        <v>#REF!</v>
      </c>
      <c r="GG246" t="e">
        <f>AND('GA55 Summry'!#REF!,"AAAAABXG8rw=")</f>
        <v>#REF!</v>
      </c>
      <c r="GH246" t="e">
        <f>IF('GA55 Summry'!#REF!,"AAAAABXG8r0=",0)</f>
        <v>#REF!</v>
      </c>
      <c r="GI246" t="e">
        <f>AND('GA55 Summry'!#REF!,"AAAAABXG8r4=")</f>
        <v>#REF!</v>
      </c>
      <c r="GJ246" t="e">
        <f>AND('GA55 Summry'!#REF!,"AAAAABXG8r8=")</f>
        <v>#REF!</v>
      </c>
      <c r="GK246" t="e">
        <f>AND('GA55 Summry'!#REF!,"AAAAABXG8sA=")</f>
        <v>#REF!</v>
      </c>
      <c r="GL246" t="e">
        <f>AND('GA55 Summry'!#REF!,"AAAAABXG8sE=")</f>
        <v>#REF!</v>
      </c>
      <c r="GM246" t="e">
        <f>AND('GA55 Summry'!#REF!,"AAAAABXG8sI=")</f>
        <v>#REF!</v>
      </c>
      <c r="GN246" t="e">
        <f>AND('GA55 Summry'!#REF!,"AAAAABXG8sM=")</f>
        <v>#REF!</v>
      </c>
      <c r="GO246" t="e">
        <f>AND('GA55 Summry'!#REF!,"AAAAABXG8sQ=")</f>
        <v>#REF!</v>
      </c>
      <c r="GP246" t="e">
        <f>AND('GA55 Summry'!#REF!,"AAAAABXG8sU=")</f>
        <v>#REF!</v>
      </c>
      <c r="GQ246" t="e">
        <f>AND('GA55 Summry'!#REF!,"AAAAABXG8sY=")</f>
        <v>#REF!</v>
      </c>
      <c r="GR246" t="e">
        <f>AND('GA55 Summry'!#REF!,"AAAAABXG8sc=")</f>
        <v>#REF!</v>
      </c>
      <c r="GS246" t="e">
        <f>AND('GA55 Summry'!#REF!,"AAAAABXG8sg=")</f>
        <v>#REF!</v>
      </c>
      <c r="GT246" t="e">
        <f>AND('GA55 Summry'!#REF!,"AAAAABXG8sk=")</f>
        <v>#REF!</v>
      </c>
      <c r="GU246" t="e">
        <f>AND('GA55 Summry'!#REF!,"AAAAABXG8so=")</f>
        <v>#REF!</v>
      </c>
      <c r="GV246" t="e">
        <f>AND('GA55 Summry'!#REF!,"AAAAABXG8ss=")</f>
        <v>#REF!</v>
      </c>
      <c r="GW246" t="e">
        <f>AND('GA55 Summry'!#REF!,"AAAAABXG8sw=")</f>
        <v>#REF!</v>
      </c>
      <c r="GX246" t="e">
        <f>AND('GA55 Summry'!#REF!,"AAAAABXG8s0=")</f>
        <v>#REF!</v>
      </c>
      <c r="GY246" t="e">
        <f>AND('GA55 Summry'!#REF!,"AAAAABXG8s4=")</f>
        <v>#REF!</v>
      </c>
      <c r="GZ246" t="e">
        <f>AND('GA55 Summry'!#REF!,"AAAAABXG8s8=")</f>
        <v>#REF!</v>
      </c>
      <c r="HA246" t="e">
        <f>AND('GA55 Summry'!#REF!,"AAAAABXG8tA=")</f>
        <v>#REF!</v>
      </c>
      <c r="HB246" t="e">
        <f>AND('GA55 Summry'!#REF!,"AAAAABXG8tE=")</f>
        <v>#REF!</v>
      </c>
      <c r="HC246" t="e">
        <f>AND('GA55 Summry'!#REF!,"AAAAABXG8tI=")</f>
        <v>#REF!</v>
      </c>
      <c r="HD246" t="e">
        <f>AND('GA55 Summry'!#REF!,"AAAAABXG8tM=")</f>
        <v>#REF!</v>
      </c>
      <c r="HE246" t="e">
        <f>AND('GA55 Summry'!#REF!,"AAAAABXG8tQ=")</f>
        <v>#REF!</v>
      </c>
      <c r="HF246" t="e">
        <f>AND('GA55 Summry'!#REF!,"AAAAABXG8tU=")</f>
        <v>#REF!</v>
      </c>
      <c r="HG246" t="e">
        <f>AND('GA55 Summry'!#REF!,"AAAAABXG8tY=")</f>
        <v>#REF!</v>
      </c>
      <c r="HH246" t="e">
        <f>AND('GA55 Summry'!#REF!,"AAAAABXG8tc=")</f>
        <v>#REF!</v>
      </c>
      <c r="HI246" t="e">
        <f>AND('GA55 Summry'!#REF!,"AAAAABXG8tg=")</f>
        <v>#REF!</v>
      </c>
      <c r="HJ246" t="e">
        <f>AND('GA55 Summry'!#REF!,"AAAAABXG8tk=")</f>
        <v>#REF!</v>
      </c>
      <c r="HK246" t="e">
        <f>AND('GA55 Summry'!#REF!,"AAAAABXG8to=")</f>
        <v>#REF!</v>
      </c>
      <c r="HL246" t="e">
        <f>AND('GA55 Summry'!#REF!,"AAAAABXG8ts=")</f>
        <v>#REF!</v>
      </c>
      <c r="HM246" t="e">
        <f>AND('GA55 Summry'!#REF!,"AAAAABXG8tw=")</f>
        <v>#REF!</v>
      </c>
      <c r="HN246" t="e">
        <f>AND('GA55 Summry'!#REF!,"AAAAABXG8t0=")</f>
        <v>#REF!</v>
      </c>
      <c r="HO246" t="e">
        <f>AND('GA55 Summry'!#REF!,"AAAAABXG8t4=")</f>
        <v>#REF!</v>
      </c>
      <c r="HP246" t="e">
        <f>AND('GA55 Summry'!#REF!,"AAAAABXG8t8=")</f>
        <v>#REF!</v>
      </c>
      <c r="HQ246" t="e">
        <f>AND('GA55 Summry'!#REF!,"AAAAABXG8uA=")</f>
        <v>#REF!</v>
      </c>
      <c r="HR246" t="e">
        <f>AND('GA55 Summry'!#REF!,"AAAAABXG8uE=")</f>
        <v>#REF!</v>
      </c>
      <c r="HS246" t="e">
        <f>AND('GA55 Summry'!#REF!,"AAAAABXG8uI=")</f>
        <v>#REF!</v>
      </c>
      <c r="HT246" t="e">
        <f>AND('GA55 Summry'!#REF!,"AAAAABXG8uM=")</f>
        <v>#REF!</v>
      </c>
      <c r="HU246" t="e">
        <f>AND('GA55 Summry'!#REF!,"AAAAABXG8uQ=")</f>
        <v>#REF!</v>
      </c>
      <c r="HV246" t="e">
        <f>AND('GA55 Summry'!#REF!,"AAAAABXG8uU=")</f>
        <v>#REF!</v>
      </c>
      <c r="HW246" t="e">
        <f>AND('GA55 Summry'!#REF!,"AAAAABXG8uY=")</f>
        <v>#REF!</v>
      </c>
      <c r="HX246" t="e">
        <f>AND('GA55 Summry'!#REF!,"AAAAABXG8uc=")</f>
        <v>#REF!</v>
      </c>
      <c r="HY246" t="e">
        <f>AND('GA55 Summry'!#REF!,"AAAAABXG8ug=")</f>
        <v>#REF!</v>
      </c>
      <c r="HZ246" t="e">
        <f>AND('GA55 Summry'!#REF!,"AAAAABXG8uk=")</f>
        <v>#REF!</v>
      </c>
      <c r="IA246" t="e">
        <f>AND('GA55 Summry'!#REF!,"AAAAABXG8uo=")</f>
        <v>#REF!</v>
      </c>
      <c r="IB246" t="e">
        <f>AND('GA55 Summry'!#REF!,"AAAAABXG8us=")</f>
        <v>#REF!</v>
      </c>
      <c r="IC246" t="e">
        <f>AND('GA55 Summry'!#REF!,"AAAAABXG8uw=")</f>
        <v>#REF!</v>
      </c>
      <c r="ID246" t="e">
        <f>AND('GA55 Summry'!#REF!,"AAAAABXG8u0=")</f>
        <v>#REF!</v>
      </c>
      <c r="IE246" t="e">
        <f>AND('GA55 Summry'!#REF!,"AAAAABXG8u4=")</f>
        <v>#REF!</v>
      </c>
      <c r="IF246" t="e">
        <f>AND('GA55 Summry'!#REF!,"AAAAABXG8u8=")</f>
        <v>#REF!</v>
      </c>
      <c r="IG246" t="e">
        <f>AND('GA55 Summry'!#REF!,"AAAAABXG8vA=")</f>
        <v>#REF!</v>
      </c>
      <c r="IH246" t="e">
        <f>AND('GA55 Summry'!#REF!,"AAAAABXG8vE=")</f>
        <v>#REF!</v>
      </c>
      <c r="II246" t="e">
        <f>AND('GA55 Summry'!#REF!,"AAAAABXG8vI=")</f>
        <v>#REF!</v>
      </c>
      <c r="IJ246" t="e">
        <f>AND('GA55 Summry'!#REF!,"AAAAABXG8vM=")</f>
        <v>#REF!</v>
      </c>
      <c r="IK246" t="e">
        <f>AND('GA55 Summry'!#REF!,"AAAAABXG8vQ=")</f>
        <v>#REF!</v>
      </c>
      <c r="IL246" t="e">
        <f>AND('GA55 Summry'!#REF!,"AAAAABXG8vU=")</f>
        <v>#REF!</v>
      </c>
      <c r="IM246" t="e">
        <f>AND('GA55 Summry'!#REF!,"AAAAABXG8vY=")</f>
        <v>#REF!</v>
      </c>
      <c r="IN246" t="e">
        <f>AND('GA55 Summry'!#REF!,"AAAAABXG8vc=")</f>
        <v>#REF!</v>
      </c>
      <c r="IO246" t="e">
        <f>AND('GA55 Summry'!#REF!,"AAAAABXG8vg=")</f>
        <v>#REF!</v>
      </c>
      <c r="IP246" t="e">
        <f>AND('GA55 Summry'!#REF!,"AAAAABXG8vk=")</f>
        <v>#REF!</v>
      </c>
      <c r="IQ246" t="e">
        <f>AND('GA55 Summry'!#REF!,"AAAAABXG8vo=")</f>
        <v>#REF!</v>
      </c>
      <c r="IR246" t="e">
        <f>AND('GA55 Summry'!#REF!,"AAAAABXG8vs=")</f>
        <v>#REF!</v>
      </c>
      <c r="IS246" t="e">
        <f>AND('GA55 Summry'!#REF!,"AAAAABXG8vw=")</f>
        <v>#REF!</v>
      </c>
      <c r="IT246" t="e">
        <f>AND('GA55 Summry'!#REF!,"AAAAABXG8v0=")</f>
        <v>#REF!</v>
      </c>
      <c r="IU246" t="e">
        <f>AND('GA55 Summry'!#REF!,"AAAAABXG8v4=")</f>
        <v>#REF!</v>
      </c>
      <c r="IV246" t="e">
        <f>AND('GA55 Summry'!#REF!,"AAAAABXG8v8=")</f>
        <v>#REF!</v>
      </c>
    </row>
    <row r="247" spans="1:256" x14ac:dyDescent="0.25">
      <c r="A247" t="e">
        <f>AND('GA55 Summry'!#REF!,"AAAAAG83/gA=")</f>
        <v>#REF!</v>
      </c>
      <c r="B247" t="e">
        <f>AND('GA55 Summry'!#REF!,"AAAAAG83/gE=")</f>
        <v>#REF!</v>
      </c>
      <c r="C247" t="e">
        <f>AND('GA55 Summry'!#REF!,"AAAAAG83/gI=")</f>
        <v>#REF!</v>
      </c>
      <c r="D247" t="e">
        <f>AND('GA55 Summry'!#REF!,"AAAAAG83/gM=")</f>
        <v>#REF!</v>
      </c>
      <c r="E247" t="e">
        <f>AND('GA55 Summry'!#REF!,"AAAAAG83/gQ=")</f>
        <v>#REF!</v>
      </c>
      <c r="F247" t="e">
        <f>AND('GA55 Summry'!#REF!,"AAAAAG83/gU=")</f>
        <v>#REF!</v>
      </c>
      <c r="G247" t="e">
        <f>AND('GA55 Summry'!#REF!,"AAAAAG83/gY=")</f>
        <v>#REF!</v>
      </c>
      <c r="H247" t="e">
        <f>AND('GA55 Summry'!#REF!,"AAAAAG83/gc=")</f>
        <v>#REF!</v>
      </c>
      <c r="I247" t="e">
        <f>IF('GA55 Summry'!#REF!,"AAAAAG83/gg=",0)</f>
        <v>#REF!</v>
      </c>
      <c r="J247" t="e">
        <f>AND('GA55 Summry'!#REF!,"AAAAAG83/gk=")</f>
        <v>#REF!</v>
      </c>
      <c r="K247" t="e">
        <f>AND('GA55 Summry'!#REF!,"AAAAAG83/go=")</f>
        <v>#REF!</v>
      </c>
      <c r="L247" t="e">
        <f>AND('GA55 Summry'!#REF!,"AAAAAG83/gs=")</f>
        <v>#REF!</v>
      </c>
      <c r="M247" t="e">
        <f>AND('GA55 Summry'!#REF!,"AAAAAG83/gw=")</f>
        <v>#REF!</v>
      </c>
      <c r="N247" t="e">
        <f>AND('GA55 Summry'!#REF!,"AAAAAG83/g0=")</f>
        <v>#REF!</v>
      </c>
      <c r="O247" t="e">
        <f>AND('GA55 Summry'!#REF!,"AAAAAG83/g4=")</f>
        <v>#REF!</v>
      </c>
      <c r="P247" t="e">
        <f>AND('GA55 Summry'!#REF!,"AAAAAG83/g8=")</f>
        <v>#REF!</v>
      </c>
      <c r="Q247" t="e">
        <f>AND('GA55 Summry'!#REF!,"AAAAAG83/hA=")</f>
        <v>#REF!</v>
      </c>
      <c r="R247" t="e">
        <f>AND('GA55 Summry'!#REF!,"AAAAAG83/hE=")</f>
        <v>#REF!</v>
      </c>
      <c r="S247" t="e">
        <f>AND('GA55 Summry'!#REF!,"AAAAAG83/hI=")</f>
        <v>#REF!</v>
      </c>
      <c r="T247" t="e">
        <f>AND('GA55 Summry'!#REF!,"AAAAAG83/hM=")</f>
        <v>#REF!</v>
      </c>
      <c r="U247" t="e">
        <f>AND('GA55 Summry'!#REF!,"AAAAAG83/hQ=")</f>
        <v>#REF!</v>
      </c>
      <c r="V247" t="e">
        <f>AND('GA55 Summry'!#REF!,"AAAAAG83/hU=")</f>
        <v>#REF!</v>
      </c>
      <c r="W247" t="e">
        <f>AND('GA55 Summry'!#REF!,"AAAAAG83/hY=")</f>
        <v>#REF!</v>
      </c>
      <c r="X247" t="e">
        <f>AND('GA55 Summry'!#REF!,"AAAAAG83/hc=")</f>
        <v>#REF!</v>
      </c>
      <c r="Y247" t="e">
        <f>AND('GA55 Summry'!#REF!,"AAAAAG83/hg=")</f>
        <v>#REF!</v>
      </c>
      <c r="Z247" t="e">
        <f>AND('GA55 Summry'!#REF!,"AAAAAG83/hk=")</f>
        <v>#REF!</v>
      </c>
      <c r="AA247" t="e">
        <f>AND('GA55 Summry'!#REF!,"AAAAAG83/ho=")</f>
        <v>#REF!</v>
      </c>
      <c r="AB247" t="e">
        <f>AND('GA55 Summry'!#REF!,"AAAAAG83/hs=")</f>
        <v>#REF!</v>
      </c>
      <c r="AC247" t="e">
        <f>AND('GA55 Summry'!#REF!,"AAAAAG83/hw=")</f>
        <v>#REF!</v>
      </c>
      <c r="AD247" t="e">
        <f>AND('GA55 Summry'!#REF!,"AAAAAG83/h0=")</f>
        <v>#REF!</v>
      </c>
      <c r="AE247" t="e">
        <f>AND('GA55 Summry'!#REF!,"AAAAAG83/h4=")</f>
        <v>#REF!</v>
      </c>
      <c r="AF247" t="e">
        <f>AND('GA55 Summry'!#REF!,"AAAAAG83/h8=")</f>
        <v>#REF!</v>
      </c>
      <c r="AG247" t="e">
        <f>AND('GA55 Summry'!#REF!,"AAAAAG83/iA=")</f>
        <v>#REF!</v>
      </c>
      <c r="AH247" t="e">
        <f>AND('GA55 Summry'!#REF!,"AAAAAG83/iE=")</f>
        <v>#REF!</v>
      </c>
      <c r="AI247" t="e">
        <f>AND('GA55 Summry'!#REF!,"AAAAAG83/iI=")</f>
        <v>#REF!</v>
      </c>
      <c r="AJ247" t="e">
        <f>AND('GA55 Summry'!#REF!,"AAAAAG83/iM=")</f>
        <v>#REF!</v>
      </c>
      <c r="AK247" t="e">
        <f>AND('GA55 Summry'!#REF!,"AAAAAG83/iQ=")</f>
        <v>#REF!</v>
      </c>
      <c r="AL247" t="e">
        <f>AND('GA55 Summry'!#REF!,"AAAAAG83/iU=")</f>
        <v>#REF!</v>
      </c>
      <c r="AM247" t="e">
        <f>AND('GA55 Summry'!#REF!,"AAAAAG83/iY=")</f>
        <v>#REF!</v>
      </c>
      <c r="AN247" t="e">
        <f>AND('GA55 Summry'!#REF!,"AAAAAG83/ic=")</f>
        <v>#REF!</v>
      </c>
      <c r="AO247" t="e">
        <f>AND('GA55 Summry'!#REF!,"AAAAAG83/ig=")</f>
        <v>#REF!</v>
      </c>
      <c r="AP247" t="e">
        <f>AND('GA55 Summry'!#REF!,"AAAAAG83/ik=")</f>
        <v>#REF!</v>
      </c>
      <c r="AQ247" t="e">
        <f>AND('GA55 Summry'!#REF!,"AAAAAG83/io=")</f>
        <v>#REF!</v>
      </c>
      <c r="AR247" t="e">
        <f>AND('GA55 Summry'!#REF!,"AAAAAG83/is=")</f>
        <v>#REF!</v>
      </c>
      <c r="AS247" t="e">
        <f>AND('GA55 Summry'!#REF!,"AAAAAG83/iw=")</f>
        <v>#REF!</v>
      </c>
      <c r="AT247" t="e">
        <f>AND('GA55 Summry'!#REF!,"AAAAAG83/i0=")</f>
        <v>#REF!</v>
      </c>
      <c r="AU247" t="e">
        <f>AND('GA55 Summry'!#REF!,"AAAAAG83/i4=")</f>
        <v>#REF!</v>
      </c>
      <c r="AV247" t="e">
        <f>AND('GA55 Summry'!#REF!,"AAAAAG83/i8=")</f>
        <v>#REF!</v>
      </c>
      <c r="AW247" t="e">
        <f>AND('GA55 Summry'!#REF!,"AAAAAG83/jA=")</f>
        <v>#REF!</v>
      </c>
      <c r="AX247" t="e">
        <f>AND('GA55 Summry'!#REF!,"AAAAAG83/jE=")</f>
        <v>#REF!</v>
      </c>
      <c r="AY247" t="e">
        <f>AND('GA55 Summry'!#REF!,"AAAAAG83/jI=")</f>
        <v>#REF!</v>
      </c>
      <c r="AZ247" t="e">
        <f>AND('GA55 Summry'!#REF!,"AAAAAG83/jM=")</f>
        <v>#REF!</v>
      </c>
      <c r="BA247" t="e">
        <f>AND('GA55 Summry'!#REF!,"AAAAAG83/jQ=")</f>
        <v>#REF!</v>
      </c>
      <c r="BB247" t="e">
        <f>AND('GA55 Summry'!#REF!,"AAAAAG83/jU=")</f>
        <v>#REF!</v>
      </c>
      <c r="BC247" t="e">
        <f>AND('GA55 Summry'!#REF!,"AAAAAG83/jY=")</f>
        <v>#REF!</v>
      </c>
      <c r="BD247" t="e">
        <f>AND('GA55 Summry'!#REF!,"AAAAAG83/jc=")</f>
        <v>#REF!</v>
      </c>
      <c r="BE247" t="e">
        <f>AND('GA55 Summry'!#REF!,"AAAAAG83/jg=")</f>
        <v>#REF!</v>
      </c>
      <c r="BF247" t="e">
        <f>AND('GA55 Summry'!#REF!,"AAAAAG83/jk=")</f>
        <v>#REF!</v>
      </c>
      <c r="BG247" t="e">
        <f>AND('GA55 Summry'!#REF!,"AAAAAG83/jo=")</f>
        <v>#REF!</v>
      </c>
      <c r="BH247" t="e">
        <f>AND('GA55 Summry'!#REF!,"AAAAAG83/js=")</f>
        <v>#REF!</v>
      </c>
      <c r="BI247" t="e">
        <f>AND('GA55 Summry'!#REF!,"AAAAAG83/jw=")</f>
        <v>#REF!</v>
      </c>
      <c r="BJ247" t="e">
        <f>AND('GA55 Summry'!#REF!,"AAAAAG83/j0=")</f>
        <v>#REF!</v>
      </c>
      <c r="BK247" t="e">
        <f>AND('GA55 Summry'!#REF!,"AAAAAG83/j4=")</f>
        <v>#REF!</v>
      </c>
      <c r="BL247" t="e">
        <f>AND('GA55 Summry'!#REF!,"AAAAAG83/j8=")</f>
        <v>#REF!</v>
      </c>
      <c r="BM247" t="e">
        <f>AND('GA55 Summry'!#REF!,"AAAAAG83/kA=")</f>
        <v>#REF!</v>
      </c>
      <c r="BN247" t="e">
        <f>AND('GA55 Summry'!#REF!,"AAAAAG83/kE=")</f>
        <v>#REF!</v>
      </c>
      <c r="BO247" t="e">
        <f>AND('GA55 Summry'!#REF!,"AAAAAG83/kI=")</f>
        <v>#REF!</v>
      </c>
      <c r="BP247" t="e">
        <f>AND('GA55 Summry'!#REF!,"AAAAAG83/kM=")</f>
        <v>#REF!</v>
      </c>
      <c r="BQ247" t="e">
        <f>AND('GA55 Summry'!#REF!,"AAAAAG83/kQ=")</f>
        <v>#REF!</v>
      </c>
      <c r="BR247" t="e">
        <f>AND('GA55 Summry'!#REF!,"AAAAAG83/kU=")</f>
        <v>#REF!</v>
      </c>
      <c r="BS247" t="e">
        <f>AND('GA55 Summry'!#REF!,"AAAAAG83/kY=")</f>
        <v>#REF!</v>
      </c>
      <c r="BT247" t="e">
        <f>AND('GA55 Summry'!#REF!,"AAAAAG83/kc=")</f>
        <v>#REF!</v>
      </c>
      <c r="BU247" t="e">
        <f>AND('GA55 Summry'!#REF!,"AAAAAG83/kg=")</f>
        <v>#REF!</v>
      </c>
      <c r="BV247" t="e">
        <f>AND('GA55 Summry'!#REF!,"AAAAAG83/kk=")</f>
        <v>#REF!</v>
      </c>
      <c r="BW247" t="e">
        <f>AND('GA55 Summry'!#REF!,"AAAAAG83/ko=")</f>
        <v>#REF!</v>
      </c>
      <c r="BX247" t="e">
        <f>AND('GA55 Summry'!#REF!,"AAAAAG83/ks=")</f>
        <v>#REF!</v>
      </c>
      <c r="BY247" t="e">
        <f>AND('GA55 Summry'!#REF!,"AAAAAG83/kw=")</f>
        <v>#REF!</v>
      </c>
      <c r="BZ247" t="e">
        <f>AND('GA55 Summry'!#REF!,"AAAAAG83/k0=")</f>
        <v>#REF!</v>
      </c>
      <c r="CA247" t="e">
        <f>AND('GA55 Summry'!#REF!,"AAAAAG83/k4=")</f>
        <v>#REF!</v>
      </c>
      <c r="CB247" t="e">
        <f>AND('GA55 Summry'!#REF!,"AAAAAG83/k8=")</f>
        <v>#REF!</v>
      </c>
      <c r="CC247" t="e">
        <f>AND('GA55 Summry'!#REF!,"AAAAAG83/lA=")</f>
        <v>#REF!</v>
      </c>
      <c r="CD247" t="e">
        <f>AND('GA55 Summry'!#REF!,"AAAAAG83/lE=")</f>
        <v>#REF!</v>
      </c>
      <c r="CE247" t="e">
        <f>AND('GA55 Summry'!#REF!,"AAAAAG83/lI=")</f>
        <v>#REF!</v>
      </c>
      <c r="CF247" t="e">
        <f>IF('GA55 Summry'!#REF!,"AAAAAG83/lM=",0)</f>
        <v>#REF!</v>
      </c>
      <c r="CG247" t="e">
        <f>AND('GA55 Summry'!#REF!,"AAAAAG83/lQ=")</f>
        <v>#REF!</v>
      </c>
      <c r="CH247" t="e">
        <f>AND('GA55 Summry'!#REF!,"AAAAAG83/lU=")</f>
        <v>#REF!</v>
      </c>
      <c r="CI247" t="e">
        <f>AND('GA55 Summry'!#REF!,"AAAAAG83/lY=")</f>
        <v>#REF!</v>
      </c>
      <c r="CJ247" t="e">
        <f>AND('GA55 Summry'!#REF!,"AAAAAG83/lc=")</f>
        <v>#REF!</v>
      </c>
      <c r="CK247" t="e">
        <f>AND('GA55 Summry'!#REF!,"AAAAAG83/lg=")</f>
        <v>#REF!</v>
      </c>
      <c r="CL247" t="e">
        <f>AND('GA55 Summry'!#REF!,"AAAAAG83/lk=")</f>
        <v>#REF!</v>
      </c>
      <c r="CM247" t="e">
        <f>AND('GA55 Summry'!#REF!,"AAAAAG83/lo=")</f>
        <v>#REF!</v>
      </c>
      <c r="CN247" t="e">
        <f>AND('GA55 Summry'!#REF!,"AAAAAG83/ls=")</f>
        <v>#REF!</v>
      </c>
      <c r="CO247" t="e">
        <f>AND('GA55 Summry'!#REF!,"AAAAAG83/lw=")</f>
        <v>#REF!</v>
      </c>
      <c r="CP247" t="e">
        <f>AND('GA55 Summry'!#REF!,"AAAAAG83/l0=")</f>
        <v>#REF!</v>
      </c>
      <c r="CQ247" t="e">
        <f>AND('GA55 Summry'!#REF!,"AAAAAG83/l4=")</f>
        <v>#REF!</v>
      </c>
      <c r="CR247" t="e">
        <f>AND('GA55 Summry'!#REF!,"AAAAAG83/l8=")</f>
        <v>#REF!</v>
      </c>
      <c r="CS247" t="e">
        <f>AND('GA55 Summry'!#REF!,"AAAAAG83/mA=")</f>
        <v>#REF!</v>
      </c>
      <c r="CT247" t="e">
        <f>AND('GA55 Summry'!#REF!,"AAAAAG83/mE=")</f>
        <v>#REF!</v>
      </c>
      <c r="CU247" t="e">
        <f>AND('GA55 Summry'!#REF!,"AAAAAG83/mI=")</f>
        <v>#REF!</v>
      </c>
      <c r="CV247" t="e">
        <f>AND('GA55 Summry'!#REF!,"AAAAAG83/mM=")</f>
        <v>#REF!</v>
      </c>
      <c r="CW247" t="e">
        <f>AND('GA55 Summry'!#REF!,"AAAAAG83/mQ=")</f>
        <v>#REF!</v>
      </c>
      <c r="CX247" t="e">
        <f>AND('GA55 Summry'!#REF!,"AAAAAG83/mU=")</f>
        <v>#REF!</v>
      </c>
      <c r="CY247" t="e">
        <f>AND('GA55 Summry'!#REF!,"AAAAAG83/mY=")</f>
        <v>#REF!</v>
      </c>
      <c r="CZ247" t="e">
        <f>AND('GA55 Summry'!#REF!,"AAAAAG83/mc=")</f>
        <v>#REF!</v>
      </c>
      <c r="DA247" t="e">
        <f>AND('GA55 Summry'!#REF!,"AAAAAG83/mg=")</f>
        <v>#REF!</v>
      </c>
      <c r="DB247" t="e">
        <f>AND('GA55 Summry'!#REF!,"AAAAAG83/mk=")</f>
        <v>#REF!</v>
      </c>
      <c r="DC247" t="e">
        <f>AND('GA55 Summry'!#REF!,"AAAAAG83/mo=")</f>
        <v>#REF!</v>
      </c>
      <c r="DD247" t="e">
        <f>AND('GA55 Summry'!#REF!,"AAAAAG83/ms=")</f>
        <v>#REF!</v>
      </c>
      <c r="DE247" t="e">
        <f>AND('GA55 Summry'!#REF!,"AAAAAG83/mw=")</f>
        <v>#REF!</v>
      </c>
      <c r="DF247" t="e">
        <f>AND('GA55 Summry'!#REF!,"AAAAAG83/m0=")</f>
        <v>#REF!</v>
      </c>
      <c r="DG247" t="e">
        <f>AND('GA55 Summry'!#REF!,"AAAAAG83/m4=")</f>
        <v>#REF!</v>
      </c>
      <c r="DH247" t="e">
        <f>AND('GA55 Summry'!#REF!,"AAAAAG83/m8=")</f>
        <v>#REF!</v>
      </c>
      <c r="DI247" t="e">
        <f>AND('GA55 Summry'!#REF!,"AAAAAG83/nA=")</f>
        <v>#REF!</v>
      </c>
      <c r="DJ247" t="e">
        <f>AND('GA55 Summry'!#REF!,"AAAAAG83/nE=")</f>
        <v>#REF!</v>
      </c>
      <c r="DK247" t="e">
        <f>AND('GA55 Summry'!#REF!,"AAAAAG83/nI=")</f>
        <v>#REF!</v>
      </c>
      <c r="DL247" t="e">
        <f>AND('GA55 Summry'!#REF!,"AAAAAG83/nM=")</f>
        <v>#REF!</v>
      </c>
      <c r="DM247" t="e">
        <f>AND('GA55 Summry'!#REF!,"AAAAAG83/nQ=")</f>
        <v>#REF!</v>
      </c>
      <c r="DN247" t="e">
        <f>AND('GA55 Summry'!#REF!,"AAAAAG83/nU=")</f>
        <v>#REF!</v>
      </c>
      <c r="DO247" t="e">
        <f>AND('GA55 Summry'!#REF!,"AAAAAG83/nY=")</f>
        <v>#REF!</v>
      </c>
      <c r="DP247" t="e">
        <f>AND('GA55 Summry'!#REF!,"AAAAAG83/nc=")</f>
        <v>#REF!</v>
      </c>
      <c r="DQ247" t="e">
        <f>AND('GA55 Summry'!#REF!,"AAAAAG83/ng=")</f>
        <v>#REF!</v>
      </c>
      <c r="DR247" t="e">
        <f>AND('GA55 Summry'!#REF!,"AAAAAG83/nk=")</f>
        <v>#REF!</v>
      </c>
      <c r="DS247" t="e">
        <f>AND('GA55 Summry'!#REF!,"AAAAAG83/no=")</f>
        <v>#REF!</v>
      </c>
      <c r="DT247" t="e">
        <f>AND('GA55 Summry'!#REF!,"AAAAAG83/ns=")</f>
        <v>#REF!</v>
      </c>
      <c r="DU247" t="e">
        <f>AND('GA55 Summry'!#REF!,"AAAAAG83/nw=")</f>
        <v>#REF!</v>
      </c>
      <c r="DV247" t="e">
        <f>AND('GA55 Summry'!#REF!,"AAAAAG83/n0=")</f>
        <v>#REF!</v>
      </c>
      <c r="DW247" t="e">
        <f>AND('GA55 Summry'!#REF!,"AAAAAG83/n4=")</f>
        <v>#REF!</v>
      </c>
      <c r="DX247" t="e">
        <f>AND('GA55 Summry'!#REF!,"AAAAAG83/n8=")</f>
        <v>#REF!</v>
      </c>
      <c r="DY247" t="e">
        <f>AND('GA55 Summry'!#REF!,"AAAAAG83/oA=")</f>
        <v>#REF!</v>
      </c>
      <c r="DZ247" t="e">
        <f>AND('GA55 Summry'!#REF!,"AAAAAG83/oE=")</f>
        <v>#REF!</v>
      </c>
      <c r="EA247" t="e">
        <f>AND('GA55 Summry'!#REF!,"AAAAAG83/oI=")</f>
        <v>#REF!</v>
      </c>
      <c r="EB247" t="e">
        <f>AND('GA55 Summry'!#REF!,"AAAAAG83/oM=")</f>
        <v>#REF!</v>
      </c>
      <c r="EC247" t="e">
        <f>AND('GA55 Summry'!#REF!,"AAAAAG83/oQ=")</f>
        <v>#REF!</v>
      </c>
      <c r="ED247" t="e">
        <f>AND('GA55 Summry'!#REF!,"AAAAAG83/oU=")</f>
        <v>#REF!</v>
      </c>
      <c r="EE247" t="e">
        <f>AND('GA55 Summry'!#REF!,"AAAAAG83/oY=")</f>
        <v>#REF!</v>
      </c>
      <c r="EF247" t="e">
        <f>AND('GA55 Summry'!#REF!,"AAAAAG83/oc=")</f>
        <v>#REF!</v>
      </c>
      <c r="EG247" t="e">
        <f>AND('GA55 Summry'!#REF!,"AAAAAG83/og=")</f>
        <v>#REF!</v>
      </c>
      <c r="EH247" t="e">
        <f>AND('GA55 Summry'!#REF!,"AAAAAG83/ok=")</f>
        <v>#REF!</v>
      </c>
      <c r="EI247" t="e">
        <f>AND('GA55 Summry'!#REF!,"AAAAAG83/oo=")</f>
        <v>#REF!</v>
      </c>
      <c r="EJ247" t="e">
        <f>AND('GA55 Summry'!#REF!,"AAAAAG83/os=")</f>
        <v>#REF!</v>
      </c>
      <c r="EK247" t="e">
        <f>AND('GA55 Summry'!#REF!,"AAAAAG83/ow=")</f>
        <v>#REF!</v>
      </c>
      <c r="EL247" t="e">
        <f>AND('GA55 Summry'!#REF!,"AAAAAG83/o0=")</f>
        <v>#REF!</v>
      </c>
      <c r="EM247" t="e">
        <f>AND('GA55 Summry'!#REF!,"AAAAAG83/o4=")</f>
        <v>#REF!</v>
      </c>
      <c r="EN247" t="e">
        <f>AND('GA55 Summry'!#REF!,"AAAAAG83/o8=")</f>
        <v>#REF!</v>
      </c>
      <c r="EO247" t="e">
        <f>AND('GA55 Summry'!#REF!,"AAAAAG83/pA=")</f>
        <v>#REF!</v>
      </c>
      <c r="EP247" t="e">
        <f>AND('GA55 Summry'!#REF!,"AAAAAG83/pE=")</f>
        <v>#REF!</v>
      </c>
      <c r="EQ247" t="e">
        <f>AND('GA55 Summry'!#REF!,"AAAAAG83/pI=")</f>
        <v>#REF!</v>
      </c>
      <c r="ER247" t="e">
        <f>AND('GA55 Summry'!#REF!,"AAAAAG83/pM=")</f>
        <v>#REF!</v>
      </c>
      <c r="ES247" t="e">
        <f>AND('GA55 Summry'!#REF!,"AAAAAG83/pQ=")</f>
        <v>#REF!</v>
      </c>
      <c r="ET247" t="e">
        <f>AND('GA55 Summry'!#REF!,"AAAAAG83/pU=")</f>
        <v>#REF!</v>
      </c>
      <c r="EU247" t="e">
        <f>AND('GA55 Summry'!#REF!,"AAAAAG83/pY=")</f>
        <v>#REF!</v>
      </c>
      <c r="EV247" t="e">
        <f>AND('GA55 Summry'!#REF!,"AAAAAG83/pc=")</f>
        <v>#REF!</v>
      </c>
      <c r="EW247" t="e">
        <f>AND('GA55 Summry'!#REF!,"AAAAAG83/pg=")</f>
        <v>#REF!</v>
      </c>
      <c r="EX247" t="e">
        <f>AND('GA55 Summry'!#REF!,"AAAAAG83/pk=")</f>
        <v>#REF!</v>
      </c>
      <c r="EY247" t="e">
        <f>AND('GA55 Summry'!#REF!,"AAAAAG83/po=")</f>
        <v>#REF!</v>
      </c>
      <c r="EZ247" t="e">
        <f>AND('GA55 Summry'!#REF!,"AAAAAG83/ps=")</f>
        <v>#REF!</v>
      </c>
      <c r="FA247" t="e">
        <f>AND('GA55 Summry'!#REF!,"AAAAAG83/pw=")</f>
        <v>#REF!</v>
      </c>
      <c r="FB247" t="e">
        <f>AND('GA55 Summry'!#REF!,"AAAAAG83/p0=")</f>
        <v>#REF!</v>
      </c>
      <c r="FC247" t="e">
        <f>IF('GA55 Summry'!#REF!,"AAAAAG83/p4=",0)</f>
        <v>#REF!</v>
      </c>
      <c r="FD247" t="e">
        <f>AND('GA55 Summry'!#REF!,"AAAAAG83/p8=")</f>
        <v>#REF!</v>
      </c>
      <c r="FE247" t="e">
        <f>AND('GA55 Summry'!#REF!,"AAAAAG83/qA=")</f>
        <v>#REF!</v>
      </c>
      <c r="FF247" t="e">
        <f>AND('GA55 Summry'!#REF!,"AAAAAG83/qE=")</f>
        <v>#REF!</v>
      </c>
      <c r="FG247" t="e">
        <f>AND('GA55 Summry'!#REF!,"AAAAAG83/qI=")</f>
        <v>#REF!</v>
      </c>
      <c r="FH247" t="e">
        <f>AND('GA55 Summry'!#REF!,"AAAAAG83/qM=")</f>
        <v>#REF!</v>
      </c>
      <c r="FI247" t="e">
        <f>AND('GA55 Summry'!#REF!,"AAAAAG83/qQ=")</f>
        <v>#REF!</v>
      </c>
      <c r="FJ247" t="e">
        <f>AND('GA55 Summry'!#REF!,"AAAAAG83/qU=")</f>
        <v>#REF!</v>
      </c>
      <c r="FK247" t="e">
        <f>AND('GA55 Summry'!#REF!,"AAAAAG83/qY=")</f>
        <v>#REF!</v>
      </c>
      <c r="FL247" t="e">
        <f>AND('GA55 Summry'!#REF!,"AAAAAG83/qc=")</f>
        <v>#REF!</v>
      </c>
      <c r="FM247" t="e">
        <f>AND('GA55 Summry'!#REF!,"AAAAAG83/qg=")</f>
        <v>#REF!</v>
      </c>
      <c r="FN247" t="e">
        <f>AND('GA55 Summry'!#REF!,"AAAAAG83/qk=")</f>
        <v>#REF!</v>
      </c>
      <c r="FO247" t="e">
        <f>AND('GA55 Summry'!#REF!,"AAAAAG83/qo=")</f>
        <v>#REF!</v>
      </c>
      <c r="FP247" t="e">
        <f>AND('GA55 Summry'!#REF!,"AAAAAG83/qs=")</f>
        <v>#REF!</v>
      </c>
      <c r="FQ247" t="e">
        <f>AND('GA55 Summry'!#REF!,"AAAAAG83/qw=")</f>
        <v>#REF!</v>
      </c>
      <c r="FR247" t="e">
        <f>AND('GA55 Summry'!#REF!,"AAAAAG83/q0=")</f>
        <v>#REF!</v>
      </c>
      <c r="FS247" t="e">
        <f>AND('GA55 Summry'!#REF!,"AAAAAG83/q4=")</f>
        <v>#REF!</v>
      </c>
      <c r="FT247" t="e">
        <f>AND('GA55 Summry'!#REF!,"AAAAAG83/q8=")</f>
        <v>#REF!</v>
      </c>
      <c r="FU247" t="e">
        <f>AND('GA55 Summry'!#REF!,"AAAAAG83/rA=")</f>
        <v>#REF!</v>
      </c>
      <c r="FV247" t="e">
        <f>AND('GA55 Summry'!#REF!,"AAAAAG83/rE=")</f>
        <v>#REF!</v>
      </c>
      <c r="FW247" t="e">
        <f>AND('GA55 Summry'!#REF!,"AAAAAG83/rI=")</f>
        <v>#REF!</v>
      </c>
      <c r="FX247" t="e">
        <f>AND('GA55 Summry'!#REF!,"AAAAAG83/rM=")</f>
        <v>#REF!</v>
      </c>
      <c r="FY247" t="e">
        <f>AND('GA55 Summry'!#REF!,"AAAAAG83/rQ=")</f>
        <v>#REF!</v>
      </c>
      <c r="FZ247" t="e">
        <f>AND('GA55 Summry'!#REF!,"AAAAAG83/rU=")</f>
        <v>#REF!</v>
      </c>
      <c r="GA247" t="e">
        <f>AND('GA55 Summry'!#REF!,"AAAAAG83/rY=")</f>
        <v>#REF!</v>
      </c>
      <c r="GB247" t="e">
        <f>AND('GA55 Summry'!#REF!,"AAAAAG83/rc=")</f>
        <v>#REF!</v>
      </c>
      <c r="GC247" t="e">
        <f>AND('GA55 Summry'!#REF!,"AAAAAG83/rg=")</f>
        <v>#REF!</v>
      </c>
      <c r="GD247" t="e">
        <f>AND('GA55 Summry'!#REF!,"AAAAAG83/rk=")</f>
        <v>#REF!</v>
      </c>
      <c r="GE247" t="e">
        <f>AND('GA55 Summry'!#REF!,"AAAAAG83/ro=")</f>
        <v>#REF!</v>
      </c>
      <c r="GF247" t="e">
        <f>AND('GA55 Summry'!#REF!,"AAAAAG83/rs=")</f>
        <v>#REF!</v>
      </c>
      <c r="GG247" t="e">
        <f>AND('GA55 Summry'!#REF!,"AAAAAG83/rw=")</f>
        <v>#REF!</v>
      </c>
      <c r="GH247" t="e">
        <f>AND('GA55 Summry'!#REF!,"AAAAAG83/r0=")</f>
        <v>#REF!</v>
      </c>
      <c r="GI247" t="e">
        <f>AND('GA55 Summry'!#REF!,"AAAAAG83/r4=")</f>
        <v>#REF!</v>
      </c>
      <c r="GJ247" t="e">
        <f>AND('GA55 Summry'!#REF!,"AAAAAG83/r8=")</f>
        <v>#REF!</v>
      </c>
      <c r="GK247" t="e">
        <f>AND('GA55 Summry'!#REF!,"AAAAAG83/sA=")</f>
        <v>#REF!</v>
      </c>
      <c r="GL247" t="e">
        <f>AND('GA55 Summry'!#REF!,"AAAAAG83/sE=")</f>
        <v>#REF!</v>
      </c>
      <c r="GM247" t="e">
        <f>AND('GA55 Summry'!#REF!,"AAAAAG83/sI=")</f>
        <v>#REF!</v>
      </c>
      <c r="GN247" t="e">
        <f>AND('GA55 Summry'!#REF!,"AAAAAG83/sM=")</f>
        <v>#REF!</v>
      </c>
      <c r="GO247" t="e">
        <f>AND('GA55 Summry'!#REF!,"AAAAAG83/sQ=")</f>
        <v>#REF!</v>
      </c>
      <c r="GP247" t="e">
        <f>AND('GA55 Summry'!#REF!,"AAAAAG83/sU=")</f>
        <v>#REF!</v>
      </c>
      <c r="GQ247" t="e">
        <f>AND('GA55 Summry'!#REF!,"AAAAAG83/sY=")</f>
        <v>#REF!</v>
      </c>
      <c r="GR247" t="e">
        <f>AND('GA55 Summry'!#REF!,"AAAAAG83/sc=")</f>
        <v>#REF!</v>
      </c>
      <c r="GS247" t="e">
        <f>AND('GA55 Summry'!#REF!,"AAAAAG83/sg=")</f>
        <v>#REF!</v>
      </c>
      <c r="GT247" t="e">
        <f>AND('GA55 Summry'!#REF!,"AAAAAG83/sk=")</f>
        <v>#REF!</v>
      </c>
      <c r="GU247" t="e">
        <f>AND('GA55 Summry'!#REF!,"AAAAAG83/so=")</f>
        <v>#REF!</v>
      </c>
      <c r="GV247" t="e">
        <f>AND('GA55 Summry'!#REF!,"AAAAAG83/ss=")</f>
        <v>#REF!</v>
      </c>
      <c r="GW247" t="e">
        <f>AND('GA55 Summry'!#REF!,"AAAAAG83/sw=")</f>
        <v>#REF!</v>
      </c>
      <c r="GX247" t="e">
        <f>AND('GA55 Summry'!#REF!,"AAAAAG83/s0=")</f>
        <v>#REF!</v>
      </c>
      <c r="GY247" t="e">
        <f>AND('GA55 Summry'!#REF!,"AAAAAG83/s4=")</f>
        <v>#REF!</v>
      </c>
      <c r="GZ247" t="e">
        <f>AND('GA55 Summry'!#REF!,"AAAAAG83/s8=")</f>
        <v>#REF!</v>
      </c>
      <c r="HA247" t="e">
        <f>AND('GA55 Summry'!#REF!,"AAAAAG83/tA=")</f>
        <v>#REF!</v>
      </c>
      <c r="HB247" t="e">
        <f>AND('GA55 Summry'!#REF!,"AAAAAG83/tE=")</f>
        <v>#REF!</v>
      </c>
      <c r="HC247" t="e">
        <f>AND('GA55 Summry'!#REF!,"AAAAAG83/tI=")</f>
        <v>#REF!</v>
      </c>
      <c r="HD247" t="e">
        <f>AND('GA55 Summry'!#REF!,"AAAAAG83/tM=")</f>
        <v>#REF!</v>
      </c>
      <c r="HE247" t="e">
        <f>AND('GA55 Summry'!#REF!,"AAAAAG83/tQ=")</f>
        <v>#REF!</v>
      </c>
      <c r="HF247" t="e">
        <f>AND('GA55 Summry'!#REF!,"AAAAAG83/tU=")</f>
        <v>#REF!</v>
      </c>
      <c r="HG247" t="e">
        <f>AND('GA55 Summry'!#REF!,"AAAAAG83/tY=")</f>
        <v>#REF!</v>
      </c>
      <c r="HH247" t="e">
        <f>AND('GA55 Summry'!#REF!,"AAAAAG83/tc=")</f>
        <v>#REF!</v>
      </c>
      <c r="HI247" t="e">
        <f>AND('GA55 Summry'!#REF!,"AAAAAG83/tg=")</f>
        <v>#REF!</v>
      </c>
      <c r="HJ247" t="e">
        <f>AND('GA55 Summry'!#REF!,"AAAAAG83/tk=")</f>
        <v>#REF!</v>
      </c>
      <c r="HK247" t="e">
        <f>AND('GA55 Summry'!#REF!,"AAAAAG83/to=")</f>
        <v>#REF!</v>
      </c>
      <c r="HL247" t="e">
        <f>AND('GA55 Summry'!#REF!,"AAAAAG83/ts=")</f>
        <v>#REF!</v>
      </c>
      <c r="HM247" t="e">
        <f>AND('GA55 Summry'!#REF!,"AAAAAG83/tw=")</f>
        <v>#REF!</v>
      </c>
      <c r="HN247" t="e">
        <f>AND('GA55 Summry'!#REF!,"AAAAAG83/t0=")</f>
        <v>#REF!</v>
      </c>
      <c r="HO247" t="e">
        <f>AND('GA55 Summry'!#REF!,"AAAAAG83/t4=")</f>
        <v>#REF!</v>
      </c>
      <c r="HP247" t="e">
        <f>AND('GA55 Summry'!#REF!,"AAAAAG83/t8=")</f>
        <v>#REF!</v>
      </c>
      <c r="HQ247" t="e">
        <f>AND('GA55 Summry'!#REF!,"AAAAAG83/uA=")</f>
        <v>#REF!</v>
      </c>
      <c r="HR247" t="e">
        <f>AND('GA55 Summry'!#REF!,"AAAAAG83/uE=")</f>
        <v>#REF!</v>
      </c>
      <c r="HS247" t="e">
        <f>AND('GA55 Summry'!#REF!,"AAAAAG83/uI=")</f>
        <v>#REF!</v>
      </c>
      <c r="HT247" t="e">
        <f>AND('GA55 Summry'!#REF!,"AAAAAG83/uM=")</f>
        <v>#REF!</v>
      </c>
      <c r="HU247" t="e">
        <f>AND('GA55 Summry'!#REF!,"AAAAAG83/uQ=")</f>
        <v>#REF!</v>
      </c>
      <c r="HV247" t="e">
        <f>AND('GA55 Summry'!#REF!,"AAAAAG83/uU=")</f>
        <v>#REF!</v>
      </c>
      <c r="HW247" t="e">
        <f>AND('GA55 Summry'!#REF!,"AAAAAG83/uY=")</f>
        <v>#REF!</v>
      </c>
      <c r="HX247" t="e">
        <f>AND('GA55 Summry'!#REF!,"AAAAAG83/uc=")</f>
        <v>#REF!</v>
      </c>
      <c r="HY247" t="e">
        <f>AND('GA55 Summry'!#REF!,"AAAAAG83/ug=")</f>
        <v>#REF!</v>
      </c>
      <c r="HZ247" t="e">
        <f>IF('GA55 Summry'!#REF!,"AAAAAG83/uk=",0)</f>
        <v>#REF!</v>
      </c>
      <c r="IA247" t="e">
        <f>AND('GA55 Summry'!#REF!,"AAAAAG83/uo=")</f>
        <v>#REF!</v>
      </c>
      <c r="IB247" t="e">
        <f>AND('GA55 Summry'!#REF!,"AAAAAG83/us=")</f>
        <v>#REF!</v>
      </c>
      <c r="IC247" t="e">
        <f>AND('GA55 Summry'!#REF!,"AAAAAG83/uw=")</f>
        <v>#REF!</v>
      </c>
      <c r="ID247" t="e">
        <f>AND('GA55 Summry'!#REF!,"AAAAAG83/u0=")</f>
        <v>#REF!</v>
      </c>
      <c r="IE247" t="e">
        <f>AND('GA55 Summry'!#REF!,"AAAAAG83/u4=")</f>
        <v>#REF!</v>
      </c>
      <c r="IF247" t="e">
        <f>AND('GA55 Summry'!#REF!,"AAAAAG83/u8=")</f>
        <v>#REF!</v>
      </c>
      <c r="IG247" t="e">
        <f>AND('GA55 Summry'!#REF!,"AAAAAG83/vA=")</f>
        <v>#REF!</v>
      </c>
      <c r="IH247" t="e">
        <f>AND('GA55 Summry'!#REF!,"AAAAAG83/vE=")</f>
        <v>#REF!</v>
      </c>
      <c r="II247" t="e">
        <f>AND('GA55 Summry'!#REF!,"AAAAAG83/vI=")</f>
        <v>#REF!</v>
      </c>
      <c r="IJ247" t="e">
        <f>AND('GA55 Summry'!#REF!,"AAAAAG83/vM=")</f>
        <v>#REF!</v>
      </c>
      <c r="IK247" t="e">
        <f>AND('GA55 Summry'!#REF!,"AAAAAG83/vQ=")</f>
        <v>#REF!</v>
      </c>
      <c r="IL247" t="e">
        <f>AND('GA55 Summry'!#REF!,"AAAAAG83/vU=")</f>
        <v>#REF!</v>
      </c>
      <c r="IM247" t="e">
        <f>AND('GA55 Summry'!#REF!,"AAAAAG83/vY=")</f>
        <v>#REF!</v>
      </c>
      <c r="IN247" t="e">
        <f>AND('GA55 Summry'!#REF!,"AAAAAG83/vc=")</f>
        <v>#REF!</v>
      </c>
      <c r="IO247" t="e">
        <f>AND('GA55 Summry'!#REF!,"AAAAAG83/vg=")</f>
        <v>#REF!</v>
      </c>
      <c r="IP247" t="e">
        <f>AND('GA55 Summry'!#REF!,"AAAAAG83/vk=")</f>
        <v>#REF!</v>
      </c>
      <c r="IQ247" t="e">
        <f>AND('GA55 Summry'!#REF!,"AAAAAG83/vo=")</f>
        <v>#REF!</v>
      </c>
      <c r="IR247" t="e">
        <f>AND('GA55 Summry'!#REF!,"AAAAAG83/vs=")</f>
        <v>#REF!</v>
      </c>
      <c r="IS247" t="e">
        <f>AND('GA55 Summry'!#REF!,"AAAAAG83/vw=")</f>
        <v>#REF!</v>
      </c>
      <c r="IT247" t="e">
        <f>AND('GA55 Summry'!#REF!,"AAAAAG83/v0=")</f>
        <v>#REF!</v>
      </c>
      <c r="IU247" t="e">
        <f>AND('GA55 Summry'!#REF!,"AAAAAG83/v4=")</f>
        <v>#REF!</v>
      </c>
      <c r="IV247" t="e">
        <f>AND('GA55 Summry'!#REF!,"AAAAAG83/v8=")</f>
        <v>#REF!</v>
      </c>
    </row>
    <row r="248" spans="1:256" x14ac:dyDescent="0.25">
      <c r="A248" t="e">
        <f>AND('GA55 Summry'!#REF!,"AAAAAFv/bwA=")</f>
        <v>#REF!</v>
      </c>
      <c r="B248" t="e">
        <f>AND('GA55 Summry'!#REF!,"AAAAAFv/bwE=")</f>
        <v>#REF!</v>
      </c>
      <c r="C248" t="e">
        <f>AND('GA55 Summry'!#REF!,"AAAAAFv/bwI=")</f>
        <v>#REF!</v>
      </c>
      <c r="D248" t="e">
        <f>AND('GA55 Summry'!#REF!,"AAAAAFv/bwM=")</f>
        <v>#REF!</v>
      </c>
      <c r="E248" t="e">
        <f>AND('GA55 Summry'!#REF!,"AAAAAFv/bwQ=")</f>
        <v>#REF!</v>
      </c>
      <c r="F248" t="e">
        <f>AND('GA55 Summry'!#REF!,"AAAAAFv/bwU=")</f>
        <v>#REF!</v>
      </c>
      <c r="G248" t="e">
        <f>AND('GA55 Summry'!#REF!,"AAAAAFv/bwY=")</f>
        <v>#REF!</v>
      </c>
      <c r="H248" t="e">
        <f>AND('GA55 Summry'!#REF!,"AAAAAFv/bwc=")</f>
        <v>#REF!</v>
      </c>
      <c r="I248" t="e">
        <f>AND('GA55 Summry'!#REF!,"AAAAAFv/bwg=")</f>
        <v>#REF!</v>
      </c>
      <c r="J248" t="e">
        <f>AND('GA55 Summry'!#REF!,"AAAAAFv/bwk=")</f>
        <v>#REF!</v>
      </c>
      <c r="K248" t="e">
        <f>AND('GA55 Summry'!#REF!,"AAAAAFv/bwo=")</f>
        <v>#REF!</v>
      </c>
      <c r="L248" t="e">
        <f>AND('GA55 Summry'!#REF!,"AAAAAFv/bws=")</f>
        <v>#REF!</v>
      </c>
      <c r="M248" t="e">
        <f>AND('GA55 Summry'!#REF!,"AAAAAFv/bww=")</f>
        <v>#REF!</v>
      </c>
      <c r="N248" t="e">
        <f>AND('GA55 Summry'!#REF!,"AAAAAFv/bw0=")</f>
        <v>#REF!</v>
      </c>
      <c r="O248" t="e">
        <f>AND('GA55 Summry'!#REF!,"AAAAAFv/bw4=")</f>
        <v>#REF!</v>
      </c>
      <c r="P248" t="e">
        <f>AND('GA55 Summry'!#REF!,"AAAAAFv/bw8=")</f>
        <v>#REF!</v>
      </c>
      <c r="Q248" t="e">
        <f>AND('GA55 Summry'!#REF!,"AAAAAFv/bxA=")</f>
        <v>#REF!</v>
      </c>
      <c r="R248" t="e">
        <f>AND('GA55 Summry'!#REF!,"AAAAAFv/bxE=")</f>
        <v>#REF!</v>
      </c>
      <c r="S248" t="e">
        <f>AND('GA55 Summry'!#REF!,"AAAAAFv/bxI=")</f>
        <v>#REF!</v>
      </c>
      <c r="T248" t="e">
        <f>AND('GA55 Summry'!#REF!,"AAAAAFv/bxM=")</f>
        <v>#REF!</v>
      </c>
      <c r="U248" t="e">
        <f>AND('GA55 Summry'!#REF!,"AAAAAFv/bxQ=")</f>
        <v>#REF!</v>
      </c>
      <c r="V248" t="e">
        <f>AND('GA55 Summry'!#REF!,"AAAAAFv/bxU=")</f>
        <v>#REF!</v>
      </c>
      <c r="W248" t="e">
        <f>AND('GA55 Summry'!#REF!,"AAAAAFv/bxY=")</f>
        <v>#REF!</v>
      </c>
      <c r="X248" t="e">
        <f>AND('GA55 Summry'!#REF!,"AAAAAFv/bxc=")</f>
        <v>#REF!</v>
      </c>
      <c r="Y248" t="e">
        <f>AND('GA55 Summry'!#REF!,"AAAAAFv/bxg=")</f>
        <v>#REF!</v>
      </c>
      <c r="Z248" t="e">
        <f>AND('GA55 Summry'!#REF!,"AAAAAFv/bxk=")</f>
        <v>#REF!</v>
      </c>
      <c r="AA248" t="e">
        <f>AND('GA55 Summry'!#REF!,"AAAAAFv/bxo=")</f>
        <v>#REF!</v>
      </c>
      <c r="AB248" t="e">
        <f>AND('GA55 Summry'!#REF!,"AAAAAFv/bxs=")</f>
        <v>#REF!</v>
      </c>
      <c r="AC248" t="e">
        <f>AND('GA55 Summry'!#REF!,"AAAAAFv/bxw=")</f>
        <v>#REF!</v>
      </c>
      <c r="AD248" t="e">
        <f>AND('GA55 Summry'!#REF!,"AAAAAFv/bx0=")</f>
        <v>#REF!</v>
      </c>
      <c r="AE248" t="e">
        <f>AND('GA55 Summry'!#REF!,"AAAAAFv/bx4=")</f>
        <v>#REF!</v>
      </c>
      <c r="AF248" t="e">
        <f>AND('GA55 Summry'!#REF!,"AAAAAFv/bx8=")</f>
        <v>#REF!</v>
      </c>
      <c r="AG248" t="e">
        <f>AND('GA55 Summry'!#REF!,"AAAAAFv/byA=")</f>
        <v>#REF!</v>
      </c>
      <c r="AH248" t="e">
        <f>AND('GA55 Summry'!#REF!,"AAAAAFv/byE=")</f>
        <v>#REF!</v>
      </c>
      <c r="AI248" t="e">
        <f>AND('GA55 Summry'!#REF!,"AAAAAFv/byI=")</f>
        <v>#REF!</v>
      </c>
      <c r="AJ248" t="e">
        <f>AND('GA55 Summry'!#REF!,"AAAAAFv/byM=")</f>
        <v>#REF!</v>
      </c>
      <c r="AK248" t="e">
        <f>AND('GA55 Summry'!#REF!,"AAAAAFv/byQ=")</f>
        <v>#REF!</v>
      </c>
      <c r="AL248" t="e">
        <f>AND('GA55 Summry'!#REF!,"AAAAAFv/byU=")</f>
        <v>#REF!</v>
      </c>
      <c r="AM248" t="e">
        <f>AND('GA55 Summry'!#REF!,"AAAAAFv/byY=")</f>
        <v>#REF!</v>
      </c>
      <c r="AN248" t="e">
        <f>AND('GA55 Summry'!#REF!,"AAAAAFv/byc=")</f>
        <v>#REF!</v>
      </c>
      <c r="AO248" t="e">
        <f>AND('GA55 Summry'!#REF!,"AAAAAFv/byg=")</f>
        <v>#REF!</v>
      </c>
      <c r="AP248" t="e">
        <f>AND('GA55 Summry'!#REF!,"AAAAAFv/byk=")</f>
        <v>#REF!</v>
      </c>
      <c r="AQ248" t="e">
        <f>AND('GA55 Summry'!#REF!,"AAAAAFv/byo=")</f>
        <v>#REF!</v>
      </c>
      <c r="AR248" t="e">
        <f>AND('GA55 Summry'!#REF!,"AAAAAFv/bys=")</f>
        <v>#REF!</v>
      </c>
      <c r="AS248" t="e">
        <f>AND('GA55 Summry'!#REF!,"AAAAAFv/byw=")</f>
        <v>#REF!</v>
      </c>
      <c r="AT248" t="e">
        <f>AND('GA55 Summry'!#REF!,"AAAAAFv/by0=")</f>
        <v>#REF!</v>
      </c>
      <c r="AU248" t="e">
        <f>AND('GA55 Summry'!#REF!,"AAAAAFv/by4=")</f>
        <v>#REF!</v>
      </c>
      <c r="AV248" t="e">
        <f>AND('GA55 Summry'!#REF!,"AAAAAFv/by8=")</f>
        <v>#REF!</v>
      </c>
      <c r="AW248" t="e">
        <f>AND('GA55 Summry'!#REF!,"AAAAAFv/bzA=")</f>
        <v>#REF!</v>
      </c>
      <c r="AX248" t="e">
        <f>AND('GA55 Summry'!#REF!,"AAAAAFv/bzE=")</f>
        <v>#REF!</v>
      </c>
      <c r="AY248" t="e">
        <f>AND('GA55 Summry'!#REF!,"AAAAAFv/bzI=")</f>
        <v>#REF!</v>
      </c>
      <c r="AZ248" t="e">
        <f>AND('GA55 Summry'!#REF!,"AAAAAFv/bzM=")</f>
        <v>#REF!</v>
      </c>
      <c r="BA248" t="e">
        <f>IF('GA55 Summry'!#REF!,"AAAAAFv/bzQ=",0)</f>
        <v>#REF!</v>
      </c>
      <c r="BB248" t="e">
        <f>AND('GA55 Summry'!#REF!,"AAAAAFv/bzU=")</f>
        <v>#REF!</v>
      </c>
      <c r="BC248" t="e">
        <f>AND('GA55 Summry'!#REF!,"AAAAAFv/bzY=")</f>
        <v>#REF!</v>
      </c>
      <c r="BD248" t="e">
        <f>AND('GA55 Summry'!#REF!,"AAAAAFv/bzc=")</f>
        <v>#REF!</v>
      </c>
      <c r="BE248" t="e">
        <f>AND('GA55 Summry'!#REF!,"AAAAAFv/bzg=")</f>
        <v>#REF!</v>
      </c>
      <c r="BF248" t="e">
        <f>AND('GA55 Summry'!#REF!,"AAAAAFv/bzk=")</f>
        <v>#REF!</v>
      </c>
      <c r="BG248" t="e">
        <f>AND('GA55 Summry'!#REF!,"AAAAAFv/bzo=")</f>
        <v>#REF!</v>
      </c>
      <c r="BH248" t="e">
        <f>AND('GA55 Summry'!#REF!,"AAAAAFv/bzs=")</f>
        <v>#REF!</v>
      </c>
      <c r="BI248" t="e">
        <f>AND('GA55 Summry'!#REF!,"AAAAAFv/bzw=")</f>
        <v>#REF!</v>
      </c>
      <c r="BJ248" t="e">
        <f>AND('GA55 Summry'!#REF!,"AAAAAFv/bz0=")</f>
        <v>#REF!</v>
      </c>
      <c r="BK248" t="e">
        <f>AND('GA55 Summry'!#REF!,"AAAAAFv/bz4=")</f>
        <v>#REF!</v>
      </c>
      <c r="BL248" t="e">
        <f>AND('GA55 Summry'!#REF!,"AAAAAFv/bz8=")</f>
        <v>#REF!</v>
      </c>
      <c r="BM248" t="e">
        <f>AND('GA55 Summry'!#REF!,"AAAAAFv/b0A=")</f>
        <v>#REF!</v>
      </c>
      <c r="BN248" t="e">
        <f>AND('GA55 Summry'!#REF!,"AAAAAFv/b0E=")</f>
        <v>#REF!</v>
      </c>
      <c r="BO248" t="e">
        <f>AND('GA55 Summry'!#REF!,"AAAAAFv/b0I=")</f>
        <v>#REF!</v>
      </c>
      <c r="BP248" t="e">
        <f>AND('GA55 Summry'!#REF!,"AAAAAFv/b0M=")</f>
        <v>#REF!</v>
      </c>
      <c r="BQ248" t="e">
        <f>AND('GA55 Summry'!#REF!,"AAAAAFv/b0Q=")</f>
        <v>#REF!</v>
      </c>
      <c r="BR248" t="e">
        <f>AND('GA55 Summry'!#REF!,"AAAAAFv/b0U=")</f>
        <v>#REF!</v>
      </c>
      <c r="BS248" t="e">
        <f>AND('GA55 Summry'!#REF!,"AAAAAFv/b0Y=")</f>
        <v>#REF!</v>
      </c>
      <c r="BT248" t="e">
        <f>AND('GA55 Summry'!#REF!,"AAAAAFv/b0c=")</f>
        <v>#REF!</v>
      </c>
      <c r="BU248" t="e">
        <f>AND('GA55 Summry'!#REF!,"AAAAAFv/b0g=")</f>
        <v>#REF!</v>
      </c>
      <c r="BV248" t="e">
        <f>AND('GA55 Summry'!#REF!,"AAAAAFv/b0k=")</f>
        <v>#REF!</v>
      </c>
      <c r="BW248" t="e">
        <f>AND('GA55 Summry'!#REF!,"AAAAAFv/b0o=")</f>
        <v>#REF!</v>
      </c>
      <c r="BX248" t="e">
        <f>AND('GA55 Summry'!#REF!,"AAAAAFv/b0s=")</f>
        <v>#REF!</v>
      </c>
      <c r="BY248" t="e">
        <f>AND('GA55 Summry'!#REF!,"AAAAAFv/b0w=")</f>
        <v>#REF!</v>
      </c>
      <c r="BZ248" t="e">
        <f>AND('GA55 Summry'!#REF!,"AAAAAFv/b00=")</f>
        <v>#REF!</v>
      </c>
      <c r="CA248" t="e">
        <f>AND('GA55 Summry'!#REF!,"AAAAAFv/b04=")</f>
        <v>#REF!</v>
      </c>
      <c r="CB248" t="e">
        <f>AND('GA55 Summry'!#REF!,"AAAAAFv/b08=")</f>
        <v>#REF!</v>
      </c>
      <c r="CC248" t="e">
        <f>AND('GA55 Summry'!#REF!,"AAAAAFv/b1A=")</f>
        <v>#REF!</v>
      </c>
      <c r="CD248" t="e">
        <f>AND('GA55 Summry'!#REF!,"AAAAAFv/b1E=")</f>
        <v>#REF!</v>
      </c>
      <c r="CE248" t="e">
        <f>AND('GA55 Summry'!#REF!,"AAAAAFv/b1I=")</f>
        <v>#REF!</v>
      </c>
      <c r="CF248" t="e">
        <f>AND('GA55 Summry'!#REF!,"AAAAAFv/b1M=")</f>
        <v>#REF!</v>
      </c>
      <c r="CG248" t="e">
        <f>AND('GA55 Summry'!#REF!,"AAAAAFv/b1Q=")</f>
        <v>#REF!</v>
      </c>
      <c r="CH248" t="e">
        <f>AND('GA55 Summry'!#REF!,"AAAAAFv/b1U=")</f>
        <v>#REF!</v>
      </c>
      <c r="CI248" t="e">
        <f>AND('GA55 Summry'!#REF!,"AAAAAFv/b1Y=")</f>
        <v>#REF!</v>
      </c>
      <c r="CJ248" t="e">
        <f>AND('GA55 Summry'!#REF!,"AAAAAFv/b1c=")</f>
        <v>#REF!</v>
      </c>
      <c r="CK248" t="e">
        <f>AND('GA55 Summry'!#REF!,"AAAAAFv/b1g=")</f>
        <v>#REF!</v>
      </c>
      <c r="CL248" t="e">
        <f>AND('GA55 Summry'!#REF!,"AAAAAFv/b1k=")</f>
        <v>#REF!</v>
      </c>
      <c r="CM248" t="e">
        <f>AND('GA55 Summry'!#REF!,"AAAAAFv/b1o=")</f>
        <v>#REF!</v>
      </c>
      <c r="CN248" t="e">
        <f>AND('GA55 Summry'!#REF!,"AAAAAFv/b1s=")</f>
        <v>#REF!</v>
      </c>
      <c r="CO248" t="e">
        <f>AND('GA55 Summry'!#REF!,"AAAAAFv/b1w=")</f>
        <v>#REF!</v>
      </c>
      <c r="CP248" t="e">
        <f>AND('GA55 Summry'!#REF!,"AAAAAFv/b10=")</f>
        <v>#REF!</v>
      </c>
      <c r="CQ248" t="e">
        <f>AND('GA55 Summry'!#REF!,"AAAAAFv/b14=")</f>
        <v>#REF!</v>
      </c>
      <c r="CR248" t="e">
        <f>AND('GA55 Summry'!#REF!,"AAAAAFv/b18=")</f>
        <v>#REF!</v>
      </c>
      <c r="CS248" t="e">
        <f>AND('GA55 Summry'!#REF!,"AAAAAFv/b2A=")</f>
        <v>#REF!</v>
      </c>
      <c r="CT248" t="e">
        <f>AND('GA55 Summry'!#REF!,"AAAAAFv/b2E=")</f>
        <v>#REF!</v>
      </c>
      <c r="CU248" t="e">
        <f>AND('GA55 Summry'!#REF!,"AAAAAFv/b2I=")</f>
        <v>#REF!</v>
      </c>
      <c r="CV248" t="e">
        <f>AND('GA55 Summry'!#REF!,"AAAAAFv/b2M=")</f>
        <v>#REF!</v>
      </c>
      <c r="CW248" t="e">
        <f>AND('GA55 Summry'!#REF!,"AAAAAFv/b2Q=")</f>
        <v>#REF!</v>
      </c>
      <c r="CX248" t="e">
        <f>AND('GA55 Summry'!#REF!,"AAAAAFv/b2U=")</f>
        <v>#REF!</v>
      </c>
      <c r="CY248" t="e">
        <f>AND('GA55 Summry'!#REF!,"AAAAAFv/b2Y=")</f>
        <v>#REF!</v>
      </c>
      <c r="CZ248" t="e">
        <f>AND('GA55 Summry'!#REF!,"AAAAAFv/b2c=")</f>
        <v>#REF!</v>
      </c>
      <c r="DA248" t="e">
        <f>AND('GA55 Summry'!#REF!,"AAAAAFv/b2g=")</f>
        <v>#REF!</v>
      </c>
      <c r="DB248" t="e">
        <f>AND('GA55 Summry'!#REF!,"AAAAAFv/b2k=")</f>
        <v>#REF!</v>
      </c>
      <c r="DC248" t="e">
        <f>AND('GA55 Summry'!#REF!,"AAAAAFv/b2o=")</f>
        <v>#REF!</v>
      </c>
      <c r="DD248" t="e">
        <f>AND('GA55 Summry'!#REF!,"AAAAAFv/b2s=")</f>
        <v>#REF!</v>
      </c>
      <c r="DE248" t="e">
        <f>AND('GA55 Summry'!#REF!,"AAAAAFv/b2w=")</f>
        <v>#REF!</v>
      </c>
      <c r="DF248" t="e">
        <f>AND('GA55 Summry'!#REF!,"AAAAAFv/b20=")</f>
        <v>#REF!</v>
      </c>
      <c r="DG248" t="e">
        <f>AND('GA55 Summry'!#REF!,"AAAAAFv/b24=")</f>
        <v>#REF!</v>
      </c>
      <c r="DH248" t="e">
        <f>AND('GA55 Summry'!#REF!,"AAAAAFv/b28=")</f>
        <v>#REF!</v>
      </c>
      <c r="DI248" t="e">
        <f>AND('GA55 Summry'!#REF!,"AAAAAFv/b3A=")</f>
        <v>#REF!</v>
      </c>
      <c r="DJ248" t="e">
        <f>AND('GA55 Summry'!#REF!,"AAAAAFv/b3E=")</f>
        <v>#REF!</v>
      </c>
      <c r="DK248" t="e">
        <f>AND('GA55 Summry'!#REF!,"AAAAAFv/b3I=")</f>
        <v>#REF!</v>
      </c>
      <c r="DL248" t="e">
        <f>AND('GA55 Summry'!#REF!,"AAAAAFv/b3M=")</f>
        <v>#REF!</v>
      </c>
      <c r="DM248" t="e">
        <f>AND('GA55 Summry'!#REF!,"AAAAAFv/b3Q=")</f>
        <v>#REF!</v>
      </c>
      <c r="DN248" t="e">
        <f>AND('GA55 Summry'!#REF!,"AAAAAFv/b3U=")</f>
        <v>#REF!</v>
      </c>
      <c r="DO248" t="e">
        <f>AND('GA55 Summry'!#REF!,"AAAAAFv/b3Y=")</f>
        <v>#REF!</v>
      </c>
      <c r="DP248" t="e">
        <f>AND('GA55 Summry'!#REF!,"AAAAAFv/b3c=")</f>
        <v>#REF!</v>
      </c>
      <c r="DQ248" t="e">
        <f>AND('GA55 Summry'!#REF!,"AAAAAFv/b3g=")</f>
        <v>#REF!</v>
      </c>
      <c r="DR248" t="e">
        <f>AND('GA55 Summry'!#REF!,"AAAAAFv/b3k=")</f>
        <v>#REF!</v>
      </c>
      <c r="DS248" t="e">
        <f>AND('GA55 Summry'!#REF!,"AAAAAFv/b3o=")</f>
        <v>#REF!</v>
      </c>
      <c r="DT248" t="e">
        <f>AND('GA55 Summry'!#REF!,"AAAAAFv/b3s=")</f>
        <v>#REF!</v>
      </c>
      <c r="DU248" t="e">
        <f>AND('GA55 Summry'!#REF!,"AAAAAFv/b3w=")</f>
        <v>#REF!</v>
      </c>
      <c r="DV248" t="e">
        <f>AND('GA55 Summry'!#REF!,"AAAAAFv/b30=")</f>
        <v>#REF!</v>
      </c>
      <c r="DW248" t="e">
        <f>AND('GA55 Summry'!#REF!,"AAAAAFv/b34=")</f>
        <v>#REF!</v>
      </c>
      <c r="DX248" t="e">
        <f>IF('GA55 Summry'!#REF!,"AAAAAFv/b38=",0)</f>
        <v>#REF!</v>
      </c>
      <c r="DY248" t="e">
        <f>AND('GA55 Summry'!#REF!,"AAAAAFv/b4A=")</f>
        <v>#REF!</v>
      </c>
      <c r="DZ248" t="e">
        <f>AND('GA55 Summry'!#REF!,"AAAAAFv/b4E=")</f>
        <v>#REF!</v>
      </c>
      <c r="EA248" t="e">
        <f>AND('GA55 Summry'!#REF!,"AAAAAFv/b4I=")</f>
        <v>#REF!</v>
      </c>
      <c r="EB248" t="e">
        <f>AND('GA55 Summry'!#REF!,"AAAAAFv/b4M=")</f>
        <v>#REF!</v>
      </c>
      <c r="EC248" t="e">
        <f>AND('GA55 Summry'!#REF!,"AAAAAFv/b4Q=")</f>
        <v>#REF!</v>
      </c>
      <c r="ED248" t="e">
        <f>AND('GA55 Summry'!#REF!,"AAAAAFv/b4U=")</f>
        <v>#REF!</v>
      </c>
      <c r="EE248" t="e">
        <f>AND('GA55 Summry'!#REF!,"AAAAAFv/b4Y=")</f>
        <v>#REF!</v>
      </c>
      <c r="EF248" t="e">
        <f>AND('GA55 Summry'!#REF!,"AAAAAFv/b4c=")</f>
        <v>#REF!</v>
      </c>
      <c r="EG248" t="e">
        <f>AND('GA55 Summry'!#REF!,"AAAAAFv/b4g=")</f>
        <v>#REF!</v>
      </c>
      <c r="EH248" t="e">
        <f>AND('GA55 Summry'!#REF!,"AAAAAFv/b4k=")</f>
        <v>#REF!</v>
      </c>
      <c r="EI248" t="e">
        <f>AND('GA55 Summry'!#REF!,"AAAAAFv/b4o=")</f>
        <v>#REF!</v>
      </c>
      <c r="EJ248" t="e">
        <f>AND('GA55 Summry'!#REF!,"AAAAAFv/b4s=")</f>
        <v>#REF!</v>
      </c>
      <c r="EK248" t="e">
        <f>AND('GA55 Summry'!#REF!,"AAAAAFv/b4w=")</f>
        <v>#REF!</v>
      </c>
      <c r="EL248" t="e">
        <f>AND('GA55 Summry'!#REF!,"AAAAAFv/b40=")</f>
        <v>#REF!</v>
      </c>
      <c r="EM248" t="e">
        <f>AND('GA55 Summry'!#REF!,"AAAAAFv/b44=")</f>
        <v>#REF!</v>
      </c>
      <c r="EN248" t="e">
        <f>AND('GA55 Summry'!#REF!,"AAAAAFv/b48=")</f>
        <v>#REF!</v>
      </c>
      <c r="EO248" t="e">
        <f>AND('GA55 Summry'!#REF!,"AAAAAFv/b5A=")</f>
        <v>#REF!</v>
      </c>
      <c r="EP248" t="e">
        <f>AND('GA55 Summry'!#REF!,"AAAAAFv/b5E=")</f>
        <v>#REF!</v>
      </c>
      <c r="EQ248" t="e">
        <f>AND('GA55 Summry'!#REF!,"AAAAAFv/b5I=")</f>
        <v>#REF!</v>
      </c>
      <c r="ER248" t="e">
        <f>AND('GA55 Summry'!#REF!,"AAAAAFv/b5M=")</f>
        <v>#REF!</v>
      </c>
      <c r="ES248" t="e">
        <f>AND('GA55 Summry'!#REF!,"AAAAAFv/b5Q=")</f>
        <v>#REF!</v>
      </c>
      <c r="ET248" t="e">
        <f>AND('GA55 Summry'!#REF!,"AAAAAFv/b5U=")</f>
        <v>#REF!</v>
      </c>
      <c r="EU248" t="e">
        <f>AND('GA55 Summry'!#REF!,"AAAAAFv/b5Y=")</f>
        <v>#REF!</v>
      </c>
      <c r="EV248" t="e">
        <f>AND('GA55 Summry'!#REF!,"AAAAAFv/b5c=")</f>
        <v>#REF!</v>
      </c>
      <c r="EW248" t="e">
        <f>AND('GA55 Summry'!#REF!,"AAAAAFv/b5g=")</f>
        <v>#REF!</v>
      </c>
      <c r="EX248" t="e">
        <f>AND('GA55 Summry'!#REF!,"AAAAAFv/b5k=")</f>
        <v>#REF!</v>
      </c>
      <c r="EY248" t="e">
        <f>AND('GA55 Summry'!#REF!,"AAAAAFv/b5o=")</f>
        <v>#REF!</v>
      </c>
      <c r="EZ248" t="e">
        <f>AND('GA55 Summry'!#REF!,"AAAAAFv/b5s=")</f>
        <v>#REF!</v>
      </c>
      <c r="FA248" t="e">
        <f>AND('GA55 Summry'!#REF!,"AAAAAFv/b5w=")</f>
        <v>#REF!</v>
      </c>
      <c r="FB248" t="e">
        <f>AND('GA55 Summry'!#REF!,"AAAAAFv/b50=")</f>
        <v>#REF!</v>
      </c>
      <c r="FC248" t="e">
        <f>AND('GA55 Summry'!#REF!,"AAAAAFv/b54=")</f>
        <v>#REF!</v>
      </c>
      <c r="FD248" t="e">
        <f>AND('GA55 Summry'!#REF!,"AAAAAFv/b58=")</f>
        <v>#REF!</v>
      </c>
      <c r="FE248" t="e">
        <f>AND('GA55 Summry'!#REF!,"AAAAAFv/b6A=")</f>
        <v>#REF!</v>
      </c>
      <c r="FF248" t="e">
        <f>AND('GA55 Summry'!#REF!,"AAAAAFv/b6E=")</f>
        <v>#REF!</v>
      </c>
      <c r="FG248" t="e">
        <f>AND('GA55 Summry'!#REF!,"AAAAAFv/b6I=")</f>
        <v>#REF!</v>
      </c>
      <c r="FH248" t="e">
        <f>AND('GA55 Summry'!#REF!,"AAAAAFv/b6M=")</f>
        <v>#REF!</v>
      </c>
      <c r="FI248" t="e">
        <f>AND('GA55 Summry'!#REF!,"AAAAAFv/b6Q=")</f>
        <v>#REF!</v>
      </c>
      <c r="FJ248" t="e">
        <f>AND('GA55 Summry'!#REF!,"AAAAAFv/b6U=")</f>
        <v>#REF!</v>
      </c>
      <c r="FK248" t="e">
        <f>AND('GA55 Summry'!#REF!,"AAAAAFv/b6Y=")</f>
        <v>#REF!</v>
      </c>
      <c r="FL248" t="e">
        <f>AND('GA55 Summry'!#REF!,"AAAAAFv/b6c=")</f>
        <v>#REF!</v>
      </c>
      <c r="FM248" t="e">
        <f>AND('GA55 Summry'!#REF!,"AAAAAFv/b6g=")</f>
        <v>#REF!</v>
      </c>
      <c r="FN248" t="e">
        <f>AND('GA55 Summry'!#REF!,"AAAAAFv/b6k=")</f>
        <v>#REF!</v>
      </c>
      <c r="FO248" t="e">
        <f>AND('GA55 Summry'!#REF!,"AAAAAFv/b6o=")</f>
        <v>#REF!</v>
      </c>
      <c r="FP248" t="e">
        <f>AND('GA55 Summry'!#REF!,"AAAAAFv/b6s=")</f>
        <v>#REF!</v>
      </c>
      <c r="FQ248" t="e">
        <f>AND('GA55 Summry'!#REF!,"AAAAAFv/b6w=")</f>
        <v>#REF!</v>
      </c>
      <c r="FR248" t="e">
        <f>AND('GA55 Summry'!#REF!,"AAAAAFv/b60=")</f>
        <v>#REF!</v>
      </c>
      <c r="FS248" t="e">
        <f>AND('GA55 Summry'!#REF!,"AAAAAFv/b64=")</f>
        <v>#REF!</v>
      </c>
      <c r="FT248" t="e">
        <f>AND('GA55 Summry'!#REF!,"AAAAAFv/b68=")</f>
        <v>#REF!</v>
      </c>
      <c r="FU248" t="e">
        <f>AND('GA55 Summry'!#REF!,"AAAAAFv/b7A=")</f>
        <v>#REF!</v>
      </c>
      <c r="FV248" t="e">
        <f>AND('GA55 Summry'!#REF!,"AAAAAFv/b7E=")</f>
        <v>#REF!</v>
      </c>
      <c r="FW248" t="e">
        <f>AND('GA55 Summry'!#REF!,"AAAAAFv/b7I=")</f>
        <v>#REF!</v>
      </c>
      <c r="FX248" t="e">
        <f>AND('GA55 Summry'!#REF!,"AAAAAFv/b7M=")</f>
        <v>#REF!</v>
      </c>
      <c r="FY248" t="e">
        <f>AND('GA55 Summry'!#REF!,"AAAAAFv/b7Q=")</f>
        <v>#REF!</v>
      </c>
      <c r="FZ248" t="e">
        <f>AND('GA55 Summry'!#REF!,"AAAAAFv/b7U=")</f>
        <v>#REF!</v>
      </c>
      <c r="GA248" t="e">
        <f>AND('GA55 Summry'!#REF!,"AAAAAFv/b7Y=")</f>
        <v>#REF!</v>
      </c>
      <c r="GB248" t="e">
        <f>AND('GA55 Summry'!#REF!,"AAAAAFv/b7c=")</f>
        <v>#REF!</v>
      </c>
      <c r="GC248" t="e">
        <f>AND('GA55 Summry'!#REF!,"AAAAAFv/b7g=")</f>
        <v>#REF!</v>
      </c>
      <c r="GD248" t="e">
        <f>AND('GA55 Summry'!#REF!,"AAAAAFv/b7k=")</f>
        <v>#REF!</v>
      </c>
      <c r="GE248" t="e">
        <f>AND('GA55 Summry'!#REF!,"AAAAAFv/b7o=")</f>
        <v>#REF!</v>
      </c>
      <c r="GF248" t="e">
        <f>AND('GA55 Summry'!#REF!,"AAAAAFv/b7s=")</f>
        <v>#REF!</v>
      </c>
      <c r="GG248" t="e">
        <f>AND('GA55 Summry'!#REF!,"AAAAAFv/b7w=")</f>
        <v>#REF!</v>
      </c>
      <c r="GH248" t="e">
        <f>AND('GA55 Summry'!#REF!,"AAAAAFv/b70=")</f>
        <v>#REF!</v>
      </c>
      <c r="GI248" t="e">
        <f>AND('GA55 Summry'!#REF!,"AAAAAFv/b74=")</f>
        <v>#REF!</v>
      </c>
      <c r="GJ248" t="e">
        <f>AND('GA55 Summry'!#REF!,"AAAAAFv/b78=")</f>
        <v>#REF!</v>
      </c>
      <c r="GK248" t="e">
        <f>AND('GA55 Summry'!#REF!,"AAAAAFv/b8A=")</f>
        <v>#REF!</v>
      </c>
      <c r="GL248" t="e">
        <f>AND('GA55 Summry'!#REF!,"AAAAAFv/b8E=")</f>
        <v>#REF!</v>
      </c>
      <c r="GM248" t="e">
        <f>AND('GA55 Summry'!#REF!,"AAAAAFv/b8I=")</f>
        <v>#REF!</v>
      </c>
      <c r="GN248" t="e">
        <f>AND('GA55 Summry'!#REF!,"AAAAAFv/b8M=")</f>
        <v>#REF!</v>
      </c>
      <c r="GO248" t="e">
        <f>AND('GA55 Summry'!#REF!,"AAAAAFv/b8Q=")</f>
        <v>#REF!</v>
      </c>
      <c r="GP248" t="e">
        <f>AND('GA55 Summry'!#REF!,"AAAAAFv/b8U=")</f>
        <v>#REF!</v>
      </c>
      <c r="GQ248" t="e">
        <f>AND('GA55 Summry'!#REF!,"AAAAAFv/b8Y=")</f>
        <v>#REF!</v>
      </c>
      <c r="GR248" t="e">
        <f>AND('GA55 Summry'!#REF!,"AAAAAFv/b8c=")</f>
        <v>#REF!</v>
      </c>
      <c r="GS248" t="e">
        <f>AND('GA55 Summry'!#REF!,"AAAAAFv/b8g=")</f>
        <v>#REF!</v>
      </c>
      <c r="GT248" t="e">
        <f>AND('GA55 Summry'!#REF!,"AAAAAFv/b8k=")</f>
        <v>#REF!</v>
      </c>
      <c r="GU248" t="e">
        <f>IF('GA55 Summry'!#REF!,"AAAAAFv/b8o=",0)</f>
        <v>#REF!</v>
      </c>
      <c r="GV248" t="e">
        <f>AND('GA55 Summry'!#REF!,"AAAAAFv/b8s=")</f>
        <v>#REF!</v>
      </c>
      <c r="GW248" t="e">
        <f>AND('GA55 Summry'!#REF!,"AAAAAFv/b8w=")</f>
        <v>#REF!</v>
      </c>
      <c r="GX248" t="e">
        <f>AND('GA55 Summry'!#REF!,"AAAAAFv/b80=")</f>
        <v>#REF!</v>
      </c>
      <c r="GY248" t="e">
        <f>AND('GA55 Summry'!#REF!,"AAAAAFv/b84=")</f>
        <v>#REF!</v>
      </c>
      <c r="GZ248" t="e">
        <f>AND('GA55 Summry'!#REF!,"AAAAAFv/b88=")</f>
        <v>#REF!</v>
      </c>
      <c r="HA248" t="e">
        <f>AND('GA55 Summry'!#REF!,"AAAAAFv/b9A=")</f>
        <v>#REF!</v>
      </c>
      <c r="HB248" t="e">
        <f>AND('GA55 Summry'!#REF!,"AAAAAFv/b9E=")</f>
        <v>#REF!</v>
      </c>
      <c r="HC248" t="e">
        <f>AND('GA55 Summry'!#REF!,"AAAAAFv/b9I=")</f>
        <v>#REF!</v>
      </c>
      <c r="HD248" t="e">
        <f>AND('GA55 Summry'!#REF!,"AAAAAFv/b9M=")</f>
        <v>#REF!</v>
      </c>
      <c r="HE248" t="e">
        <f>AND('GA55 Summry'!#REF!,"AAAAAFv/b9Q=")</f>
        <v>#REF!</v>
      </c>
      <c r="HF248" t="e">
        <f>AND('GA55 Summry'!#REF!,"AAAAAFv/b9U=")</f>
        <v>#REF!</v>
      </c>
      <c r="HG248" t="e">
        <f>AND('GA55 Summry'!#REF!,"AAAAAFv/b9Y=")</f>
        <v>#REF!</v>
      </c>
      <c r="HH248" t="e">
        <f>AND('GA55 Summry'!#REF!,"AAAAAFv/b9c=")</f>
        <v>#REF!</v>
      </c>
      <c r="HI248" t="e">
        <f>AND('GA55 Summry'!#REF!,"AAAAAFv/b9g=")</f>
        <v>#REF!</v>
      </c>
      <c r="HJ248" t="e">
        <f>AND('GA55 Summry'!#REF!,"AAAAAFv/b9k=")</f>
        <v>#REF!</v>
      </c>
      <c r="HK248" t="e">
        <f>AND('GA55 Summry'!#REF!,"AAAAAFv/b9o=")</f>
        <v>#REF!</v>
      </c>
      <c r="HL248" t="e">
        <f>AND('GA55 Summry'!#REF!,"AAAAAFv/b9s=")</f>
        <v>#REF!</v>
      </c>
      <c r="HM248" t="e">
        <f>AND('GA55 Summry'!#REF!,"AAAAAFv/b9w=")</f>
        <v>#REF!</v>
      </c>
      <c r="HN248" t="e">
        <f>AND('GA55 Summry'!#REF!,"AAAAAFv/b90=")</f>
        <v>#REF!</v>
      </c>
      <c r="HO248" t="e">
        <f>AND('GA55 Summry'!#REF!,"AAAAAFv/b94=")</f>
        <v>#REF!</v>
      </c>
      <c r="HP248" t="e">
        <f>AND('GA55 Summry'!#REF!,"AAAAAFv/b98=")</f>
        <v>#REF!</v>
      </c>
      <c r="HQ248" t="e">
        <f>AND('GA55 Summry'!#REF!,"AAAAAFv/b+A=")</f>
        <v>#REF!</v>
      </c>
      <c r="HR248" t="e">
        <f>AND('GA55 Summry'!#REF!,"AAAAAFv/b+E=")</f>
        <v>#REF!</v>
      </c>
      <c r="HS248" t="e">
        <f>AND('GA55 Summry'!#REF!,"AAAAAFv/b+I=")</f>
        <v>#REF!</v>
      </c>
      <c r="HT248" t="e">
        <f>AND('GA55 Summry'!#REF!,"AAAAAFv/b+M=")</f>
        <v>#REF!</v>
      </c>
      <c r="HU248" t="e">
        <f>AND('GA55 Summry'!#REF!,"AAAAAFv/b+Q=")</f>
        <v>#REF!</v>
      </c>
      <c r="HV248" t="e">
        <f>AND('GA55 Summry'!#REF!,"AAAAAFv/b+U=")</f>
        <v>#REF!</v>
      </c>
      <c r="HW248" t="e">
        <f>AND('GA55 Summry'!#REF!,"AAAAAFv/b+Y=")</f>
        <v>#REF!</v>
      </c>
      <c r="HX248" t="e">
        <f>AND('GA55 Summry'!#REF!,"AAAAAFv/b+c=")</f>
        <v>#REF!</v>
      </c>
      <c r="HY248" t="e">
        <f>AND('GA55 Summry'!#REF!,"AAAAAFv/b+g=")</f>
        <v>#REF!</v>
      </c>
      <c r="HZ248" t="e">
        <f>AND('GA55 Summry'!#REF!,"AAAAAFv/b+k=")</f>
        <v>#REF!</v>
      </c>
      <c r="IA248" t="e">
        <f>AND('GA55 Summry'!#REF!,"AAAAAFv/b+o=")</f>
        <v>#REF!</v>
      </c>
      <c r="IB248" t="e">
        <f>AND('GA55 Summry'!#REF!,"AAAAAFv/b+s=")</f>
        <v>#REF!</v>
      </c>
      <c r="IC248" t="e">
        <f>AND('GA55 Summry'!#REF!,"AAAAAFv/b+w=")</f>
        <v>#REF!</v>
      </c>
      <c r="ID248" t="e">
        <f>AND('GA55 Summry'!#REF!,"AAAAAFv/b+0=")</f>
        <v>#REF!</v>
      </c>
      <c r="IE248" t="e">
        <f>AND('GA55 Summry'!#REF!,"AAAAAFv/b+4=")</f>
        <v>#REF!</v>
      </c>
      <c r="IF248" t="e">
        <f>AND('GA55 Summry'!#REF!,"AAAAAFv/b+8=")</f>
        <v>#REF!</v>
      </c>
      <c r="IG248" t="e">
        <f>AND('GA55 Summry'!#REF!,"AAAAAFv/b/A=")</f>
        <v>#REF!</v>
      </c>
      <c r="IH248" t="e">
        <f>AND('GA55 Summry'!#REF!,"AAAAAFv/b/E=")</f>
        <v>#REF!</v>
      </c>
      <c r="II248" t="e">
        <f>AND('GA55 Summry'!#REF!,"AAAAAFv/b/I=")</f>
        <v>#REF!</v>
      </c>
      <c r="IJ248" t="e">
        <f>AND('GA55 Summry'!#REF!,"AAAAAFv/b/M=")</f>
        <v>#REF!</v>
      </c>
      <c r="IK248" t="e">
        <f>AND('GA55 Summry'!#REF!,"AAAAAFv/b/Q=")</f>
        <v>#REF!</v>
      </c>
      <c r="IL248" t="e">
        <f>AND('GA55 Summry'!#REF!,"AAAAAFv/b/U=")</f>
        <v>#REF!</v>
      </c>
      <c r="IM248" t="e">
        <f>AND('GA55 Summry'!#REF!,"AAAAAFv/b/Y=")</f>
        <v>#REF!</v>
      </c>
      <c r="IN248" t="e">
        <f>AND('GA55 Summry'!#REF!,"AAAAAFv/b/c=")</f>
        <v>#REF!</v>
      </c>
      <c r="IO248" t="e">
        <f>AND('GA55 Summry'!#REF!,"AAAAAFv/b/g=")</f>
        <v>#REF!</v>
      </c>
      <c r="IP248" t="e">
        <f>AND('GA55 Summry'!#REF!,"AAAAAFv/b/k=")</f>
        <v>#REF!</v>
      </c>
      <c r="IQ248" t="e">
        <f>AND('GA55 Summry'!#REF!,"AAAAAFv/b/o=")</f>
        <v>#REF!</v>
      </c>
      <c r="IR248" t="e">
        <f>AND('GA55 Summry'!#REF!,"AAAAAFv/b/s=")</f>
        <v>#REF!</v>
      </c>
      <c r="IS248" t="e">
        <f>AND('GA55 Summry'!#REF!,"AAAAAFv/b/w=")</f>
        <v>#REF!</v>
      </c>
      <c r="IT248" t="e">
        <f>AND('GA55 Summry'!#REF!,"AAAAAFv/b/0=")</f>
        <v>#REF!</v>
      </c>
      <c r="IU248" t="e">
        <f>AND('GA55 Summry'!#REF!,"AAAAAFv/b/4=")</f>
        <v>#REF!</v>
      </c>
      <c r="IV248" t="e">
        <f>AND('GA55 Summry'!#REF!,"AAAAAFv/b/8=")</f>
        <v>#REF!</v>
      </c>
    </row>
    <row r="249" spans="1:256" x14ac:dyDescent="0.25">
      <c r="A249" t="e">
        <f>AND('GA55 Summry'!#REF!,"AAAAAD/PfQA=")</f>
        <v>#REF!</v>
      </c>
      <c r="B249" t="e">
        <f>AND('GA55 Summry'!#REF!,"AAAAAD/PfQE=")</f>
        <v>#REF!</v>
      </c>
      <c r="C249" t="e">
        <f>AND('GA55 Summry'!#REF!,"AAAAAD/PfQI=")</f>
        <v>#REF!</v>
      </c>
      <c r="D249" t="e">
        <f>AND('GA55 Summry'!#REF!,"AAAAAD/PfQM=")</f>
        <v>#REF!</v>
      </c>
      <c r="E249" t="e">
        <f>AND('GA55 Summry'!#REF!,"AAAAAD/PfQQ=")</f>
        <v>#REF!</v>
      </c>
      <c r="F249" t="e">
        <f>AND('GA55 Summry'!#REF!,"AAAAAD/PfQU=")</f>
        <v>#REF!</v>
      </c>
      <c r="G249" t="e">
        <f>AND('GA55 Summry'!#REF!,"AAAAAD/PfQY=")</f>
        <v>#REF!</v>
      </c>
      <c r="H249" t="e">
        <f>AND('GA55 Summry'!#REF!,"AAAAAD/PfQc=")</f>
        <v>#REF!</v>
      </c>
      <c r="I249" t="e">
        <f>AND('GA55 Summry'!#REF!,"AAAAAD/PfQg=")</f>
        <v>#REF!</v>
      </c>
      <c r="J249" t="e">
        <f>AND('GA55 Summry'!#REF!,"AAAAAD/PfQk=")</f>
        <v>#REF!</v>
      </c>
      <c r="K249" t="e">
        <f>AND('GA55 Summry'!#REF!,"AAAAAD/PfQo=")</f>
        <v>#REF!</v>
      </c>
      <c r="L249" t="e">
        <f>AND('GA55 Summry'!#REF!,"AAAAAD/PfQs=")</f>
        <v>#REF!</v>
      </c>
      <c r="M249" t="e">
        <f>AND('GA55 Summry'!#REF!,"AAAAAD/PfQw=")</f>
        <v>#REF!</v>
      </c>
      <c r="N249" t="e">
        <f>AND('GA55 Summry'!#REF!,"AAAAAD/PfQ0=")</f>
        <v>#REF!</v>
      </c>
      <c r="O249" t="e">
        <f>AND('GA55 Summry'!#REF!,"AAAAAD/PfQ4=")</f>
        <v>#REF!</v>
      </c>
      <c r="P249" t="e">
        <f>AND('GA55 Summry'!#REF!,"AAAAAD/PfQ8=")</f>
        <v>#REF!</v>
      </c>
      <c r="Q249" t="e">
        <f>AND('GA55 Summry'!#REF!,"AAAAAD/PfRA=")</f>
        <v>#REF!</v>
      </c>
      <c r="R249" t="e">
        <f>AND('GA55 Summry'!#REF!,"AAAAAD/PfRE=")</f>
        <v>#REF!</v>
      </c>
      <c r="S249" t="e">
        <f>AND('GA55 Summry'!#REF!,"AAAAAD/PfRI=")</f>
        <v>#REF!</v>
      </c>
      <c r="T249" t="e">
        <f>AND('GA55 Summry'!#REF!,"AAAAAD/PfRM=")</f>
        <v>#REF!</v>
      </c>
      <c r="U249" t="e">
        <f>AND('GA55 Summry'!#REF!,"AAAAAD/PfRQ=")</f>
        <v>#REF!</v>
      </c>
      <c r="V249" t="e">
        <f>IF('GA55 Summry'!#REF!,"AAAAAD/PfRU=",0)</f>
        <v>#REF!</v>
      </c>
      <c r="W249" t="e">
        <f>AND('GA55 Summry'!#REF!,"AAAAAD/PfRY=")</f>
        <v>#REF!</v>
      </c>
      <c r="X249" t="e">
        <f>AND('GA55 Summry'!#REF!,"AAAAAD/PfRc=")</f>
        <v>#REF!</v>
      </c>
      <c r="Y249" t="e">
        <f>AND('GA55 Summry'!#REF!,"AAAAAD/PfRg=")</f>
        <v>#REF!</v>
      </c>
      <c r="Z249" t="e">
        <f>AND('GA55 Summry'!#REF!,"AAAAAD/PfRk=")</f>
        <v>#REF!</v>
      </c>
      <c r="AA249" t="e">
        <f>AND('GA55 Summry'!#REF!,"AAAAAD/PfRo=")</f>
        <v>#REF!</v>
      </c>
      <c r="AB249" t="e">
        <f>AND('GA55 Summry'!#REF!,"AAAAAD/PfRs=")</f>
        <v>#REF!</v>
      </c>
      <c r="AC249" t="e">
        <f>AND('GA55 Summry'!#REF!,"AAAAAD/PfRw=")</f>
        <v>#REF!</v>
      </c>
      <c r="AD249" t="e">
        <f>AND('GA55 Summry'!#REF!,"AAAAAD/PfR0=")</f>
        <v>#REF!</v>
      </c>
      <c r="AE249" t="e">
        <f>AND('GA55 Summry'!#REF!,"AAAAAD/PfR4=")</f>
        <v>#REF!</v>
      </c>
      <c r="AF249" t="e">
        <f>AND('GA55 Summry'!#REF!,"AAAAAD/PfR8=")</f>
        <v>#REF!</v>
      </c>
      <c r="AG249" t="e">
        <f>AND('GA55 Summry'!#REF!,"AAAAAD/PfSA=")</f>
        <v>#REF!</v>
      </c>
      <c r="AH249" t="e">
        <f>AND('GA55 Summry'!#REF!,"AAAAAD/PfSE=")</f>
        <v>#REF!</v>
      </c>
      <c r="AI249" t="e">
        <f>AND('GA55 Summry'!#REF!,"AAAAAD/PfSI=")</f>
        <v>#REF!</v>
      </c>
      <c r="AJ249" t="e">
        <f>AND('GA55 Summry'!#REF!,"AAAAAD/PfSM=")</f>
        <v>#REF!</v>
      </c>
      <c r="AK249" t="e">
        <f>AND('GA55 Summry'!#REF!,"AAAAAD/PfSQ=")</f>
        <v>#REF!</v>
      </c>
      <c r="AL249" t="e">
        <f>AND('GA55 Summry'!#REF!,"AAAAAD/PfSU=")</f>
        <v>#REF!</v>
      </c>
      <c r="AM249" t="e">
        <f>AND('GA55 Summry'!#REF!,"AAAAAD/PfSY=")</f>
        <v>#REF!</v>
      </c>
      <c r="AN249" t="e">
        <f>AND('GA55 Summry'!#REF!,"AAAAAD/PfSc=")</f>
        <v>#REF!</v>
      </c>
      <c r="AO249" t="e">
        <f>AND('GA55 Summry'!#REF!,"AAAAAD/PfSg=")</f>
        <v>#REF!</v>
      </c>
      <c r="AP249" t="e">
        <f>AND('GA55 Summry'!#REF!,"AAAAAD/PfSk=")</f>
        <v>#REF!</v>
      </c>
      <c r="AQ249" t="e">
        <f>AND('GA55 Summry'!#REF!,"AAAAAD/PfSo=")</f>
        <v>#REF!</v>
      </c>
      <c r="AR249" t="e">
        <f>AND('GA55 Summry'!#REF!,"AAAAAD/PfSs=")</f>
        <v>#REF!</v>
      </c>
      <c r="AS249" t="e">
        <f>AND('GA55 Summry'!#REF!,"AAAAAD/PfSw=")</f>
        <v>#REF!</v>
      </c>
      <c r="AT249" t="e">
        <f>AND('GA55 Summry'!#REF!,"AAAAAD/PfS0=")</f>
        <v>#REF!</v>
      </c>
      <c r="AU249" t="e">
        <f>AND('GA55 Summry'!#REF!,"AAAAAD/PfS4=")</f>
        <v>#REF!</v>
      </c>
      <c r="AV249" t="e">
        <f>AND('GA55 Summry'!#REF!,"AAAAAD/PfS8=")</f>
        <v>#REF!</v>
      </c>
      <c r="AW249" t="e">
        <f>AND('GA55 Summry'!#REF!,"AAAAAD/PfTA=")</f>
        <v>#REF!</v>
      </c>
      <c r="AX249" t="e">
        <f>AND('GA55 Summry'!#REF!,"AAAAAD/PfTE=")</f>
        <v>#REF!</v>
      </c>
      <c r="AY249" t="e">
        <f>AND('GA55 Summry'!#REF!,"AAAAAD/PfTI=")</f>
        <v>#REF!</v>
      </c>
      <c r="AZ249" t="e">
        <f>AND('GA55 Summry'!#REF!,"AAAAAD/PfTM=")</f>
        <v>#REF!</v>
      </c>
      <c r="BA249" t="e">
        <f>AND('GA55 Summry'!#REF!,"AAAAAD/PfTQ=")</f>
        <v>#REF!</v>
      </c>
      <c r="BB249" t="e">
        <f>AND('GA55 Summry'!#REF!,"AAAAAD/PfTU=")</f>
        <v>#REF!</v>
      </c>
      <c r="BC249" t="e">
        <f>AND('GA55 Summry'!#REF!,"AAAAAD/PfTY=")</f>
        <v>#REF!</v>
      </c>
      <c r="BD249" t="e">
        <f>AND('GA55 Summry'!#REF!,"AAAAAD/PfTc=")</f>
        <v>#REF!</v>
      </c>
      <c r="BE249" t="e">
        <f>AND('GA55 Summry'!#REF!,"AAAAAD/PfTg=")</f>
        <v>#REF!</v>
      </c>
      <c r="BF249" t="e">
        <f>AND('GA55 Summry'!#REF!,"AAAAAD/PfTk=")</f>
        <v>#REF!</v>
      </c>
      <c r="BG249" t="e">
        <f>AND('GA55 Summry'!#REF!,"AAAAAD/PfTo=")</f>
        <v>#REF!</v>
      </c>
      <c r="BH249" t="e">
        <f>AND('GA55 Summry'!#REF!,"AAAAAD/PfTs=")</f>
        <v>#REF!</v>
      </c>
      <c r="BI249" t="e">
        <f>AND('GA55 Summry'!#REF!,"AAAAAD/PfTw=")</f>
        <v>#REF!</v>
      </c>
      <c r="BJ249" t="e">
        <f>AND('GA55 Summry'!#REF!,"AAAAAD/PfT0=")</f>
        <v>#REF!</v>
      </c>
      <c r="BK249" t="e">
        <f>AND('GA55 Summry'!#REF!,"AAAAAD/PfT4=")</f>
        <v>#REF!</v>
      </c>
      <c r="BL249" t="e">
        <f>AND('GA55 Summry'!#REF!,"AAAAAD/PfT8=")</f>
        <v>#REF!</v>
      </c>
      <c r="BM249" t="e">
        <f>AND('GA55 Summry'!#REF!,"AAAAAD/PfUA=")</f>
        <v>#REF!</v>
      </c>
      <c r="BN249" t="e">
        <f>AND('GA55 Summry'!#REF!,"AAAAAD/PfUE=")</f>
        <v>#REF!</v>
      </c>
      <c r="BO249" t="e">
        <f>AND('GA55 Summry'!#REF!,"AAAAAD/PfUI=")</f>
        <v>#REF!</v>
      </c>
      <c r="BP249" t="e">
        <f>AND('GA55 Summry'!#REF!,"AAAAAD/PfUM=")</f>
        <v>#REF!</v>
      </c>
      <c r="BQ249" t="e">
        <f>AND('GA55 Summry'!#REF!,"AAAAAD/PfUQ=")</f>
        <v>#REF!</v>
      </c>
      <c r="BR249" t="e">
        <f>AND('GA55 Summry'!#REF!,"AAAAAD/PfUU=")</f>
        <v>#REF!</v>
      </c>
      <c r="BS249" t="e">
        <f>AND('GA55 Summry'!#REF!,"AAAAAD/PfUY=")</f>
        <v>#REF!</v>
      </c>
      <c r="BT249" t="e">
        <f>AND('GA55 Summry'!#REF!,"AAAAAD/PfUc=")</f>
        <v>#REF!</v>
      </c>
      <c r="BU249" t="e">
        <f>AND('GA55 Summry'!#REF!,"AAAAAD/PfUg=")</f>
        <v>#REF!</v>
      </c>
      <c r="BV249" t="e">
        <f>AND('GA55 Summry'!#REF!,"AAAAAD/PfUk=")</f>
        <v>#REF!</v>
      </c>
      <c r="BW249" t="e">
        <f>AND('GA55 Summry'!#REF!,"AAAAAD/PfUo=")</f>
        <v>#REF!</v>
      </c>
      <c r="BX249" t="e">
        <f>AND('GA55 Summry'!#REF!,"AAAAAD/PfUs=")</f>
        <v>#REF!</v>
      </c>
      <c r="BY249" t="e">
        <f>AND('GA55 Summry'!#REF!,"AAAAAD/PfUw=")</f>
        <v>#REF!</v>
      </c>
      <c r="BZ249" t="e">
        <f>AND('GA55 Summry'!#REF!,"AAAAAD/PfU0=")</f>
        <v>#REF!</v>
      </c>
      <c r="CA249" t="e">
        <f>AND('GA55 Summry'!#REF!,"AAAAAD/PfU4=")</f>
        <v>#REF!</v>
      </c>
      <c r="CB249" t="e">
        <f>AND('GA55 Summry'!#REF!,"AAAAAD/PfU8=")</f>
        <v>#REF!</v>
      </c>
      <c r="CC249" t="e">
        <f>AND('GA55 Summry'!#REF!,"AAAAAD/PfVA=")</f>
        <v>#REF!</v>
      </c>
      <c r="CD249" t="e">
        <f>AND('GA55 Summry'!#REF!,"AAAAAD/PfVE=")</f>
        <v>#REF!</v>
      </c>
      <c r="CE249" t="e">
        <f>AND('GA55 Summry'!#REF!,"AAAAAD/PfVI=")</f>
        <v>#REF!</v>
      </c>
      <c r="CF249" t="e">
        <f>AND('GA55 Summry'!#REF!,"AAAAAD/PfVM=")</f>
        <v>#REF!</v>
      </c>
      <c r="CG249" t="e">
        <f>AND('GA55 Summry'!#REF!,"AAAAAD/PfVQ=")</f>
        <v>#REF!</v>
      </c>
      <c r="CH249" t="e">
        <f>AND('GA55 Summry'!#REF!,"AAAAAD/PfVU=")</f>
        <v>#REF!</v>
      </c>
      <c r="CI249" t="e">
        <f>AND('GA55 Summry'!#REF!,"AAAAAD/PfVY=")</f>
        <v>#REF!</v>
      </c>
      <c r="CJ249" t="e">
        <f>AND('GA55 Summry'!#REF!,"AAAAAD/PfVc=")</f>
        <v>#REF!</v>
      </c>
      <c r="CK249" t="e">
        <f>AND('GA55 Summry'!#REF!,"AAAAAD/PfVg=")</f>
        <v>#REF!</v>
      </c>
      <c r="CL249" t="e">
        <f>AND('GA55 Summry'!#REF!,"AAAAAD/PfVk=")</f>
        <v>#REF!</v>
      </c>
      <c r="CM249" t="e">
        <f>AND('GA55 Summry'!#REF!,"AAAAAD/PfVo=")</f>
        <v>#REF!</v>
      </c>
      <c r="CN249" t="e">
        <f>AND('GA55 Summry'!#REF!,"AAAAAD/PfVs=")</f>
        <v>#REF!</v>
      </c>
      <c r="CO249" t="e">
        <f>AND('GA55 Summry'!#REF!,"AAAAAD/PfVw=")</f>
        <v>#REF!</v>
      </c>
      <c r="CP249" t="e">
        <f>AND('GA55 Summry'!#REF!,"AAAAAD/PfV0=")</f>
        <v>#REF!</v>
      </c>
      <c r="CQ249" t="e">
        <f>AND('GA55 Summry'!#REF!,"AAAAAD/PfV4=")</f>
        <v>#REF!</v>
      </c>
      <c r="CR249" t="e">
        <f>AND('GA55 Summry'!#REF!,"AAAAAD/PfV8=")</f>
        <v>#REF!</v>
      </c>
      <c r="CS249" t="e">
        <f>IF('GA55 Summry'!#REF!,"AAAAAD/PfWA=",0)</f>
        <v>#REF!</v>
      </c>
      <c r="CT249" t="e">
        <f>AND('GA55 Summry'!#REF!,"AAAAAD/PfWE=")</f>
        <v>#REF!</v>
      </c>
      <c r="CU249" t="e">
        <f>AND('GA55 Summry'!#REF!,"AAAAAD/PfWI=")</f>
        <v>#REF!</v>
      </c>
      <c r="CV249" t="e">
        <f>AND('GA55 Summry'!#REF!,"AAAAAD/PfWM=")</f>
        <v>#REF!</v>
      </c>
      <c r="CW249" t="e">
        <f>AND('GA55 Summry'!#REF!,"AAAAAD/PfWQ=")</f>
        <v>#REF!</v>
      </c>
      <c r="CX249" t="e">
        <f>AND('GA55 Summry'!#REF!,"AAAAAD/PfWU=")</f>
        <v>#REF!</v>
      </c>
      <c r="CY249" t="e">
        <f>AND('GA55 Summry'!#REF!,"AAAAAD/PfWY=")</f>
        <v>#REF!</v>
      </c>
      <c r="CZ249" t="e">
        <f>AND('GA55 Summry'!#REF!,"AAAAAD/PfWc=")</f>
        <v>#REF!</v>
      </c>
      <c r="DA249" t="e">
        <f>AND('GA55 Summry'!#REF!,"AAAAAD/PfWg=")</f>
        <v>#REF!</v>
      </c>
      <c r="DB249" t="e">
        <f>AND('GA55 Summry'!#REF!,"AAAAAD/PfWk=")</f>
        <v>#REF!</v>
      </c>
      <c r="DC249" t="e">
        <f>AND('GA55 Summry'!#REF!,"AAAAAD/PfWo=")</f>
        <v>#REF!</v>
      </c>
      <c r="DD249" t="e">
        <f>AND('GA55 Summry'!#REF!,"AAAAAD/PfWs=")</f>
        <v>#REF!</v>
      </c>
      <c r="DE249" t="e">
        <f>AND('GA55 Summry'!#REF!,"AAAAAD/PfWw=")</f>
        <v>#REF!</v>
      </c>
      <c r="DF249" t="e">
        <f>AND('GA55 Summry'!#REF!,"AAAAAD/PfW0=")</f>
        <v>#REF!</v>
      </c>
      <c r="DG249" t="e">
        <f>AND('GA55 Summry'!#REF!,"AAAAAD/PfW4=")</f>
        <v>#REF!</v>
      </c>
      <c r="DH249" t="e">
        <f>AND('GA55 Summry'!#REF!,"AAAAAD/PfW8=")</f>
        <v>#REF!</v>
      </c>
      <c r="DI249" t="e">
        <f>AND('GA55 Summry'!#REF!,"AAAAAD/PfXA=")</f>
        <v>#REF!</v>
      </c>
      <c r="DJ249" t="e">
        <f>AND('GA55 Summry'!#REF!,"AAAAAD/PfXE=")</f>
        <v>#REF!</v>
      </c>
      <c r="DK249" t="e">
        <f>AND('GA55 Summry'!#REF!,"AAAAAD/PfXI=")</f>
        <v>#REF!</v>
      </c>
      <c r="DL249" t="e">
        <f>AND('GA55 Summry'!#REF!,"AAAAAD/PfXM=")</f>
        <v>#REF!</v>
      </c>
      <c r="DM249" t="e">
        <f>AND('GA55 Summry'!#REF!,"AAAAAD/PfXQ=")</f>
        <v>#REF!</v>
      </c>
      <c r="DN249" t="e">
        <f>AND('GA55 Summry'!#REF!,"AAAAAD/PfXU=")</f>
        <v>#REF!</v>
      </c>
      <c r="DO249" t="e">
        <f>AND('GA55 Summry'!#REF!,"AAAAAD/PfXY=")</f>
        <v>#REF!</v>
      </c>
      <c r="DP249" t="e">
        <f>AND('GA55 Summry'!#REF!,"AAAAAD/PfXc=")</f>
        <v>#REF!</v>
      </c>
      <c r="DQ249" t="e">
        <f>AND('GA55 Summry'!#REF!,"AAAAAD/PfXg=")</f>
        <v>#REF!</v>
      </c>
      <c r="DR249" t="e">
        <f>AND('GA55 Summry'!#REF!,"AAAAAD/PfXk=")</f>
        <v>#REF!</v>
      </c>
      <c r="DS249" t="e">
        <f>AND('GA55 Summry'!#REF!,"AAAAAD/PfXo=")</f>
        <v>#REF!</v>
      </c>
      <c r="DT249" t="e">
        <f>AND('GA55 Summry'!#REF!,"AAAAAD/PfXs=")</f>
        <v>#REF!</v>
      </c>
      <c r="DU249" t="e">
        <f>AND('GA55 Summry'!#REF!,"AAAAAD/PfXw=")</f>
        <v>#REF!</v>
      </c>
      <c r="DV249" t="e">
        <f>AND('GA55 Summry'!#REF!,"AAAAAD/PfX0=")</f>
        <v>#REF!</v>
      </c>
      <c r="DW249" t="e">
        <f>AND('GA55 Summry'!#REF!,"AAAAAD/PfX4=")</f>
        <v>#REF!</v>
      </c>
      <c r="DX249" t="e">
        <f>AND('GA55 Summry'!#REF!,"AAAAAD/PfX8=")</f>
        <v>#REF!</v>
      </c>
      <c r="DY249" t="e">
        <f>AND('GA55 Summry'!#REF!,"AAAAAD/PfYA=")</f>
        <v>#REF!</v>
      </c>
      <c r="DZ249" t="e">
        <f>AND('GA55 Summry'!#REF!,"AAAAAD/PfYE=")</f>
        <v>#REF!</v>
      </c>
      <c r="EA249" t="e">
        <f>AND('GA55 Summry'!#REF!,"AAAAAD/PfYI=")</f>
        <v>#REF!</v>
      </c>
      <c r="EB249" t="e">
        <f>AND('GA55 Summry'!#REF!,"AAAAAD/PfYM=")</f>
        <v>#REF!</v>
      </c>
      <c r="EC249" t="e">
        <f>AND('GA55 Summry'!#REF!,"AAAAAD/PfYQ=")</f>
        <v>#REF!</v>
      </c>
      <c r="ED249" t="e">
        <f>AND('GA55 Summry'!#REF!,"AAAAAD/PfYU=")</f>
        <v>#REF!</v>
      </c>
      <c r="EE249" t="e">
        <f>AND('GA55 Summry'!#REF!,"AAAAAD/PfYY=")</f>
        <v>#REF!</v>
      </c>
      <c r="EF249" t="e">
        <f>AND('GA55 Summry'!#REF!,"AAAAAD/PfYc=")</f>
        <v>#REF!</v>
      </c>
      <c r="EG249" t="e">
        <f>AND('GA55 Summry'!#REF!,"AAAAAD/PfYg=")</f>
        <v>#REF!</v>
      </c>
      <c r="EH249" t="e">
        <f>AND('GA55 Summry'!#REF!,"AAAAAD/PfYk=")</f>
        <v>#REF!</v>
      </c>
      <c r="EI249" t="e">
        <f>AND('GA55 Summry'!#REF!,"AAAAAD/PfYo=")</f>
        <v>#REF!</v>
      </c>
      <c r="EJ249" t="e">
        <f>AND('GA55 Summry'!#REF!,"AAAAAD/PfYs=")</f>
        <v>#REF!</v>
      </c>
      <c r="EK249" t="e">
        <f>AND('GA55 Summry'!#REF!,"AAAAAD/PfYw=")</f>
        <v>#REF!</v>
      </c>
      <c r="EL249" t="e">
        <f>AND('GA55 Summry'!#REF!,"AAAAAD/PfY0=")</f>
        <v>#REF!</v>
      </c>
      <c r="EM249" t="e">
        <f>AND('GA55 Summry'!#REF!,"AAAAAD/PfY4=")</f>
        <v>#REF!</v>
      </c>
      <c r="EN249" t="e">
        <f>AND('GA55 Summry'!#REF!,"AAAAAD/PfY8=")</f>
        <v>#REF!</v>
      </c>
      <c r="EO249" t="e">
        <f>AND('GA55 Summry'!#REF!,"AAAAAD/PfZA=")</f>
        <v>#REF!</v>
      </c>
      <c r="EP249" t="e">
        <f>AND('GA55 Summry'!#REF!,"AAAAAD/PfZE=")</f>
        <v>#REF!</v>
      </c>
      <c r="EQ249" t="e">
        <f>AND('GA55 Summry'!#REF!,"AAAAAD/PfZI=")</f>
        <v>#REF!</v>
      </c>
      <c r="ER249" t="e">
        <f>AND('GA55 Summry'!#REF!,"AAAAAD/PfZM=")</f>
        <v>#REF!</v>
      </c>
      <c r="ES249" t="e">
        <f>AND('GA55 Summry'!#REF!,"AAAAAD/PfZQ=")</f>
        <v>#REF!</v>
      </c>
      <c r="ET249" t="e">
        <f>AND('GA55 Summry'!#REF!,"AAAAAD/PfZU=")</f>
        <v>#REF!</v>
      </c>
      <c r="EU249" t="e">
        <f>AND('GA55 Summry'!#REF!,"AAAAAD/PfZY=")</f>
        <v>#REF!</v>
      </c>
      <c r="EV249" t="e">
        <f>AND('GA55 Summry'!#REF!,"AAAAAD/PfZc=")</f>
        <v>#REF!</v>
      </c>
      <c r="EW249" t="e">
        <f>AND('GA55 Summry'!#REF!,"AAAAAD/PfZg=")</f>
        <v>#REF!</v>
      </c>
      <c r="EX249" t="e">
        <f>AND('GA55 Summry'!#REF!,"AAAAAD/PfZk=")</f>
        <v>#REF!</v>
      </c>
      <c r="EY249" t="e">
        <f>AND('GA55 Summry'!#REF!,"AAAAAD/PfZo=")</f>
        <v>#REF!</v>
      </c>
      <c r="EZ249" t="e">
        <f>AND('GA55 Summry'!#REF!,"AAAAAD/PfZs=")</f>
        <v>#REF!</v>
      </c>
      <c r="FA249" t="e">
        <f>AND('GA55 Summry'!#REF!,"AAAAAD/PfZw=")</f>
        <v>#REF!</v>
      </c>
      <c r="FB249" t="e">
        <f>AND('GA55 Summry'!#REF!,"AAAAAD/PfZ0=")</f>
        <v>#REF!</v>
      </c>
      <c r="FC249" t="e">
        <f>AND('GA55 Summry'!#REF!,"AAAAAD/PfZ4=")</f>
        <v>#REF!</v>
      </c>
      <c r="FD249" t="e">
        <f>AND('GA55 Summry'!#REF!,"AAAAAD/PfZ8=")</f>
        <v>#REF!</v>
      </c>
      <c r="FE249" t="e">
        <f>AND('GA55 Summry'!#REF!,"AAAAAD/PfaA=")</f>
        <v>#REF!</v>
      </c>
      <c r="FF249" t="e">
        <f>AND('GA55 Summry'!#REF!,"AAAAAD/PfaE=")</f>
        <v>#REF!</v>
      </c>
      <c r="FG249" t="e">
        <f>AND('GA55 Summry'!#REF!,"AAAAAD/PfaI=")</f>
        <v>#REF!</v>
      </c>
      <c r="FH249" t="e">
        <f>AND('GA55 Summry'!#REF!,"AAAAAD/PfaM=")</f>
        <v>#REF!</v>
      </c>
      <c r="FI249" t="e">
        <f>AND('GA55 Summry'!#REF!,"AAAAAD/PfaQ=")</f>
        <v>#REF!</v>
      </c>
      <c r="FJ249" t="e">
        <f>AND('GA55 Summry'!#REF!,"AAAAAD/PfaU=")</f>
        <v>#REF!</v>
      </c>
      <c r="FK249" t="e">
        <f>AND('GA55 Summry'!#REF!,"AAAAAD/PfaY=")</f>
        <v>#REF!</v>
      </c>
      <c r="FL249" t="e">
        <f>AND('GA55 Summry'!#REF!,"AAAAAD/Pfac=")</f>
        <v>#REF!</v>
      </c>
      <c r="FM249" t="e">
        <f>AND('GA55 Summry'!#REF!,"AAAAAD/Pfag=")</f>
        <v>#REF!</v>
      </c>
      <c r="FN249" t="e">
        <f>AND('GA55 Summry'!#REF!,"AAAAAD/Pfak=")</f>
        <v>#REF!</v>
      </c>
      <c r="FO249" t="e">
        <f>AND('GA55 Summry'!#REF!,"AAAAAD/Pfao=")</f>
        <v>#REF!</v>
      </c>
      <c r="FP249" t="e">
        <f>IF('GA55 Summry'!#REF!,"AAAAAD/Pfas=",0)</f>
        <v>#REF!</v>
      </c>
      <c r="FQ249" t="e">
        <f>AND('GA55 Summry'!#REF!,"AAAAAD/Pfaw=")</f>
        <v>#REF!</v>
      </c>
      <c r="FR249" t="e">
        <f>AND('GA55 Summry'!#REF!,"AAAAAD/Pfa0=")</f>
        <v>#REF!</v>
      </c>
      <c r="FS249" t="e">
        <f>AND('GA55 Summry'!#REF!,"AAAAAD/Pfa4=")</f>
        <v>#REF!</v>
      </c>
      <c r="FT249" t="e">
        <f>AND('GA55 Summry'!#REF!,"AAAAAD/Pfa8=")</f>
        <v>#REF!</v>
      </c>
      <c r="FU249" t="e">
        <f>AND('GA55 Summry'!#REF!,"AAAAAD/PfbA=")</f>
        <v>#REF!</v>
      </c>
      <c r="FV249" t="e">
        <f>AND('GA55 Summry'!#REF!,"AAAAAD/PfbE=")</f>
        <v>#REF!</v>
      </c>
      <c r="FW249" t="e">
        <f>AND('GA55 Summry'!#REF!,"AAAAAD/PfbI=")</f>
        <v>#REF!</v>
      </c>
      <c r="FX249" t="e">
        <f>AND('GA55 Summry'!#REF!,"AAAAAD/PfbM=")</f>
        <v>#REF!</v>
      </c>
      <c r="FY249" t="e">
        <f>AND('GA55 Summry'!#REF!,"AAAAAD/PfbQ=")</f>
        <v>#REF!</v>
      </c>
      <c r="FZ249" t="e">
        <f>AND('GA55 Summry'!#REF!,"AAAAAD/PfbU=")</f>
        <v>#REF!</v>
      </c>
      <c r="GA249" t="e">
        <f>AND('GA55 Summry'!#REF!,"AAAAAD/PfbY=")</f>
        <v>#REF!</v>
      </c>
      <c r="GB249" t="e">
        <f>AND('GA55 Summry'!#REF!,"AAAAAD/Pfbc=")</f>
        <v>#REF!</v>
      </c>
      <c r="GC249" t="e">
        <f>AND('GA55 Summry'!#REF!,"AAAAAD/Pfbg=")</f>
        <v>#REF!</v>
      </c>
      <c r="GD249" t="e">
        <f>AND('GA55 Summry'!#REF!,"AAAAAD/Pfbk=")</f>
        <v>#REF!</v>
      </c>
      <c r="GE249" t="e">
        <f>AND('GA55 Summry'!#REF!,"AAAAAD/Pfbo=")</f>
        <v>#REF!</v>
      </c>
      <c r="GF249" t="e">
        <f>AND('GA55 Summry'!#REF!,"AAAAAD/Pfbs=")</f>
        <v>#REF!</v>
      </c>
      <c r="GG249" t="e">
        <f>AND('GA55 Summry'!#REF!,"AAAAAD/Pfbw=")</f>
        <v>#REF!</v>
      </c>
      <c r="GH249" t="e">
        <f>AND('GA55 Summry'!#REF!,"AAAAAD/Pfb0=")</f>
        <v>#REF!</v>
      </c>
      <c r="GI249" t="e">
        <f>AND('GA55 Summry'!#REF!,"AAAAAD/Pfb4=")</f>
        <v>#REF!</v>
      </c>
      <c r="GJ249" t="e">
        <f>AND('GA55 Summry'!#REF!,"AAAAAD/Pfb8=")</f>
        <v>#REF!</v>
      </c>
      <c r="GK249" t="e">
        <f>AND('GA55 Summry'!#REF!,"AAAAAD/PfcA=")</f>
        <v>#REF!</v>
      </c>
      <c r="GL249" t="e">
        <f>AND('GA55 Summry'!#REF!,"AAAAAD/PfcE=")</f>
        <v>#REF!</v>
      </c>
      <c r="GM249" t="e">
        <f>AND('GA55 Summry'!#REF!,"AAAAAD/PfcI=")</f>
        <v>#REF!</v>
      </c>
      <c r="GN249" t="e">
        <f>AND('GA55 Summry'!#REF!,"AAAAAD/PfcM=")</f>
        <v>#REF!</v>
      </c>
      <c r="GO249" t="e">
        <f>AND('GA55 Summry'!#REF!,"AAAAAD/PfcQ=")</f>
        <v>#REF!</v>
      </c>
      <c r="GP249" t="e">
        <f>AND('GA55 Summry'!#REF!,"AAAAAD/PfcU=")</f>
        <v>#REF!</v>
      </c>
      <c r="GQ249" t="e">
        <f>AND('GA55 Summry'!#REF!,"AAAAAD/PfcY=")</f>
        <v>#REF!</v>
      </c>
      <c r="GR249" t="e">
        <f>AND('GA55 Summry'!#REF!,"AAAAAD/Pfcc=")</f>
        <v>#REF!</v>
      </c>
      <c r="GS249" t="e">
        <f>AND('GA55 Summry'!#REF!,"AAAAAD/Pfcg=")</f>
        <v>#REF!</v>
      </c>
      <c r="GT249" t="e">
        <f>AND('GA55 Summry'!#REF!,"AAAAAD/Pfck=")</f>
        <v>#REF!</v>
      </c>
      <c r="GU249" t="e">
        <f>AND('GA55 Summry'!#REF!,"AAAAAD/Pfco=")</f>
        <v>#REF!</v>
      </c>
      <c r="GV249" t="e">
        <f>AND('GA55 Summry'!#REF!,"AAAAAD/Pfcs=")</f>
        <v>#REF!</v>
      </c>
      <c r="GW249" t="e">
        <f>AND('GA55 Summry'!#REF!,"AAAAAD/Pfcw=")</f>
        <v>#REF!</v>
      </c>
      <c r="GX249" t="e">
        <f>AND('GA55 Summry'!#REF!,"AAAAAD/Pfc0=")</f>
        <v>#REF!</v>
      </c>
      <c r="GY249" t="e">
        <f>AND('GA55 Summry'!#REF!,"AAAAAD/Pfc4=")</f>
        <v>#REF!</v>
      </c>
      <c r="GZ249" t="e">
        <f>AND('GA55 Summry'!#REF!,"AAAAAD/Pfc8=")</f>
        <v>#REF!</v>
      </c>
      <c r="HA249" t="e">
        <f>AND('GA55 Summry'!#REF!,"AAAAAD/PfdA=")</f>
        <v>#REF!</v>
      </c>
      <c r="HB249" t="e">
        <f>AND('GA55 Summry'!#REF!,"AAAAAD/PfdE=")</f>
        <v>#REF!</v>
      </c>
      <c r="HC249" t="e">
        <f>AND('GA55 Summry'!#REF!,"AAAAAD/PfdI=")</f>
        <v>#REF!</v>
      </c>
      <c r="HD249" t="e">
        <f>AND('GA55 Summry'!#REF!,"AAAAAD/PfdM=")</f>
        <v>#REF!</v>
      </c>
      <c r="HE249" t="e">
        <f>AND('GA55 Summry'!#REF!,"AAAAAD/PfdQ=")</f>
        <v>#REF!</v>
      </c>
      <c r="HF249" t="e">
        <f>AND('GA55 Summry'!#REF!,"AAAAAD/PfdU=")</f>
        <v>#REF!</v>
      </c>
      <c r="HG249" t="e">
        <f>AND('GA55 Summry'!#REF!,"AAAAAD/PfdY=")</f>
        <v>#REF!</v>
      </c>
      <c r="HH249" t="e">
        <f>AND('GA55 Summry'!#REF!,"AAAAAD/Pfdc=")</f>
        <v>#REF!</v>
      </c>
      <c r="HI249" t="e">
        <f>AND('GA55 Summry'!#REF!,"AAAAAD/Pfdg=")</f>
        <v>#REF!</v>
      </c>
      <c r="HJ249" t="e">
        <f>AND('GA55 Summry'!#REF!,"AAAAAD/Pfdk=")</f>
        <v>#REF!</v>
      </c>
      <c r="HK249" t="e">
        <f>AND('GA55 Summry'!#REF!,"AAAAAD/Pfdo=")</f>
        <v>#REF!</v>
      </c>
      <c r="HL249" t="e">
        <f>AND('GA55 Summry'!#REF!,"AAAAAD/Pfds=")</f>
        <v>#REF!</v>
      </c>
      <c r="HM249" t="e">
        <f>AND('GA55 Summry'!#REF!,"AAAAAD/Pfdw=")</f>
        <v>#REF!</v>
      </c>
      <c r="HN249" t="e">
        <f>AND('GA55 Summry'!#REF!,"AAAAAD/Pfd0=")</f>
        <v>#REF!</v>
      </c>
      <c r="HO249" t="e">
        <f>AND('GA55 Summry'!#REF!,"AAAAAD/Pfd4=")</f>
        <v>#REF!</v>
      </c>
      <c r="HP249" t="e">
        <f>AND('GA55 Summry'!#REF!,"AAAAAD/Pfd8=")</f>
        <v>#REF!</v>
      </c>
      <c r="HQ249" t="e">
        <f>AND('GA55 Summry'!#REF!,"AAAAAD/PfeA=")</f>
        <v>#REF!</v>
      </c>
      <c r="HR249" t="e">
        <f>AND('GA55 Summry'!#REF!,"AAAAAD/PfeE=")</f>
        <v>#REF!</v>
      </c>
      <c r="HS249" t="e">
        <f>AND('GA55 Summry'!#REF!,"AAAAAD/PfeI=")</f>
        <v>#REF!</v>
      </c>
      <c r="HT249" t="e">
        <f>AND('GA55 Summry'!#REF!,"AAAAAD/PfeM=")</f>
        <v>#REF!</v>
      </c>
      <c r="HU249" t="e">
        <f>AND('GA55 Summry'!#REF!,"AAAAAD/PfeQ=")</f>
        <v>#REF!</v>
      </c>
      <c r="HV249" t="e">
        <f>AND('GA55 Summry'!#REF!,"AAAAAD/PfeU=")</f>
        <v>#REF!</v>
      </c>
      <c r="HW249" t="e">
        <f>AND('GA55 Summry'!#REF!,"AAAAAD/PfeY=")</f>
        <v>#REF!</v>
      </c>
      <c r="HX249" t="e">
        <f>AND('GA55 Summry'!#REF!,"AAAAAD/Pfec=")</f>
        <v>#REF!</v>
      </c>
      <c r="HY249" t="e">
        <f>AND('GA55 Summry'!#REF!,"AAAAAD/Pfeg=")</f>
        <v>#REF!</v>
      </c>
      <c r="HZ249" t="e">
        <f>AND('GA55 Summry'!#REF!,"AAAAAD/Pfek=")</f>
        <v>#REF!</v>
      </c>
      <c r="IA249" t="e">
        <f>AND('GA55 Summry'!#REF!,"AAAAAD/Pfeo=")</f>
        <v>#REF!</v>
      </c>
      <c r="IB249" t="e">
        <f>AND('GA55 Summry'!#REF!,"AAAAAD/Pfes=")</f>
        <v>#REF!</v>
      </c>
      <c r="IC249" t="e">
        <f>AND('GA55 Summry'!#REF!,"AAAAAD/Pfew=")</f>
        <v>#REF!</v>
      </c>
      <c r="ID249" t="e">
        <f>AND('GA55 Summry'!#REF!,"AAAAAD/Pfe0=")</f>
        <v>#REF!</v>
      </c>
      <c r="IE249" t="e">
        <f>AND('GA55 Summry'!#REF!,"AAAAAD/Pfe4=")</f>
        <v>#REF!</v>
      </c>
      <c r="IF249" t="e">
        <f>AND('GA55 Summry'!#REF!,"AAAAAD/Pfe8=")</f>
        <v>#REF!</v>
      </c>
      <c r="IG249" t="e">
        <f>AND('GA55 Summry'!#REF!,"AAAAAD/PffA=")</f>
        <v>#REF!</v>
      </c>
      <c r="IH249" t="e">
        <f>AND('GA55 Summry'!#REF!,"AAAAAD/PffE=")</f>
        <v>#REF!</v>
      </c>
      <c r="II249" t="e">
        <f>AND('GA55 Summry'!#REF!,"AAAAAD/PffI=")</f>
        <v>#REF!</v>
      </c>
      <c r="IJ249" t="e">
        <f>AND('GA55 Summry'!#REF!,"AAAAAD/PffM=")</f>
        <v>#REF!</v>
      </c>
      <c r="IK249" t="e">
        <f>AND('GA55 Summry'!#REF!,"AAAAAD/PffQ=")</f>
        <v>#REF!</v>
      </c>
      <c r="IL249" t="e">
        <f>AND('GA55 Summry'!#REF!,"AAAAAD/PffU=")</f>
        <v>#REF!</v>
      </c>
      <c r="IM249" t="e">
        <f>IF('GA55 Summry'!#REF!,"AAAAAD/PffY=",0)</f>
        <v>#REF!</v>
      </c>
      <c r="IN249" t="e">
        <f>AND('GA55 Summry'!#REF!,"AAAAAD/Pffc=")</f>
        <v>#REF!</v>
      </c>
      <c r="IO249" t="e">
        <f>AND('GA55 Summry'!#REF!,"AAAAAD/Pffg=")</f>
        <v>#REF!</v>
      </c>
      <c r="IP249" t="e">
        <f>AND('GA55 Summry'!#REF!,"AAAAAD/Pffk=")</f>
        <v>#REF!</v>
      </c>
      <c r="IQ249" t="e">
        <f>AND('GA55 Summry'!#REF!,"AAAAAD/Pffo=")</f>
        <v>#REF!</v>
      </c>
      <c r="IR249" t="e">
        <f>AND('GA55 Summry'!#REF!,"AAAAAD/Pffs=")</f>
        <v>#REF!</v>
      </c>
      <c r="IS249" t="e">
        <f>AND('GA55 Summry'!#REF!,"AAAAAD/Pffw=")</f>
        <v>#REF!</v>
      </c>
      <c r="IT249" t="e">
        <f>AND('GA55 Summry'!#REF!,"AAAAAD/Pff0=")</f>
        <v>#REF!</v>
      </c>
      <c r="IU249" t="e">
        <f>AND('GA55 Summry'!#REF!,"AAAAAD/Pff4=")</f>
        <v>#REF!</v>
      </c>
      <c r="IV249" t="e">
        <f>AND('GA55 Summry'!#REF!,"AAAAAD/Pff8=")</f>
        <v>#REF!</v>
      </c>
    </row>
    <row r="250" spans="1:256" x14ac:dyDescent="0.25">
      <c r="A250" t="e">
        <f>AND('GA55 Summry'!#REF!,"AAAAAH//9gA=")</f>
        <v>#REF!</v>
      </c>
      <c r="B250" t="e">
        <f>AND('GA55 Summry'!#REF!,"AAAAAH//9gE=")</f>
        <v>#REF!</v>
      </c>
      <c r="C250" t="e">
        <f>AND('GA55 Summry'!#REF!,"AAAAAH//9gI=")</f>
        <v>#REF!</v>
      </c>
      <c r="D250" t="e">
        <f>AND('GA55 Summry'!#REF!,"AAAAAH//9gM=")</f>
        <v>#REF!</v>
      </c>
      <c r="E250" t="e">
        <f>AND('GA55 Summry'!#REF!,"AAAAAH//9gQ=")</f>
        <v>#REF!</v>
      </c>
      <c r="F250" t="e">
        <f>AND('GA55 Summry'!#REF!,"AAAAAH//9gU=")</f>
        <v>#REF!</v>
      </c>
      <c r="G250" t="e">
        <f>AND('GA55 Summry'!#REF!,"AAAAAH//9gY=")</f>
        <v>#REF!</v>
      </c>
      <c r="H250" t="e">
        <f>AND('GA55 Summry'!#REF!,"AAAAAH//9gc=")</f>
        <v>#REF!</v>
      </c>
      <c r="I250" t="e">
        <f>AND('GA55 Summry'!#REF!,"AAAAAH//9gg=")</f>
        <v>#REF!</v>
      </c>
      <c r="J250" t="e">
        <f>AND('GA55 Summry'!#REF!,"AAAAAH//9gk=")</f>
        <v>#REF!</v>
      </c>
      <c r="K250" t="e">
        <f>AND('GA55 Summry'!#REF!,"AAAAAH//9go=")</f>
        <v>#REF!</v>
      </c>
      <c r="L250" t="e">
        <f>AND('GA55 Summry'!#REF!,"AAAAAH//9gs=")</f>
        <v>#REF!</v>
      </c>
      <c r="M250" t="e">
        <f>AND('GA55 Summry'!#REF!,"AAAAAH//9gw=")</f>
        <v>#REF!</v>
      </c>
      <c r="N250" t="e">
        <f>AND('GA55 Summry'!#REF!,"AAAAAH//9g0=")</f>
        <v>#REF!</v>
      </c>
      <c r="O250" t="e">
        <f>AND('GA55 Summry'!#REF!,"AAAAAH//9g4=")</f>
        <v>#REF!</v>
      </c>
      <c r="P250" t="e">
        <f>AND('GA55 Summry'!#REF!,"AAAAAH//9g8=")</f>
        <v>#REF!</v>
      </c>
      <c r="Q250" t="e">
        <f>AND('GA55 Summry'!#REF!,"AAAAAH//9hA=")</f>
        <v>#REF!</v>
      </c>
      <c r="R250" t="e">
        <f>AND('GA55 Summry'!#REF!,"AAAAAH//9hE=")</f>
        <v>#REF!</v>
      </c>
      <c r="S250" t="e">
        <f>AND('GA55 Summry'!#REF!,"AAAAAH//9hI=")</f>
        <v>#REF!</v>
      </c>
      <c r="T250" t="e">
        <f>AND('GA55 Summry'!#REF!,"AAAAAH//9hM=")</f>
        <v>#REF!</v>
      </c>
      <c r="U250" t="e">
        <f>AND('GA55 Summry'!#REF!,"AAAAAH//9hQ=")</f>
        <v>#REF!</v>
      </c>
      <c r="V250" t="e">
        <f>AND('GA55 Summry'!#REF!,"AAAAAH//9hU=")</f>
        <v>#REF!</v>
      </c>
      <c r="W250" t="e">
        <f>AND('GA55 Summry'!#REF!,"AAAAAH//9hY=")</f>
        <v>#REF!</v>
      </c>
      <c r="X250" t="e">
        <f>AND('GA55 Summry'!#REF!,"AAAAAH//9hc=")</f>
        <v>#REF!</v>
      </c>
      <c r="Y250" t="e">
        <f>AND('GA55 Summry'!#REF!,"AAAAAH//9hg=")</f>
        <v>#REF!</v>
      </c>
      <c r="Z250" t="e">
        <f>AND('GA55 Summry'!#REF!,"AAAAAH//9hk=")</f>
        <v>#REF!</v>
      </c>
      <c r="AA250" t="e">
        <f>AND('GA55 Summry'!#REF!,"AAAAAH//9ho=")</f>
        <v>#REF!</v>
      </c>
      <c r="AB250" t="e">
        <f>AND('GA55 Summry'!#REF!,"AAAAAH//9hs=")</f>
        <v>#REF!</v>
      </c>
      <c r="AC250" t="e">
        <f>AND('GA55 Summry'!#REF!,"AAAAAH//9hw=")</f>
        <v>#REF!</v>
      </c>
      <c r="AD250" t="e">
        <f>AND('GA55 Summry'!#REF!,"AAAAAH//9h0=")</f>
        <v>#REF!</v>
      </c>
      <c r="AE250" t="e">
        <f>AND('GA55 Summry'!#REF!,"AAAAAH//9h4=")</f>
        <v>#REF!</v>
      </c>
      <c r="AF250" t="e">
        <f>AND('GA55 Summry'!#REF!,"AAAAAH//9h8=")</f>
        <v>#REF!</v>
      </c>
      <c r="AG250" t="e">
        <f>AND('GA55 Summry'!#REF!,"AAAAAH//9iA=")</f>
        <v>#REF!</v>
      </c>
      <c r="AH250" t="e">
        <f>AND('GA55 Summry'!#REF!,"AAAAAH//9iE=")</f>
        <v>#REF!</v>
      </c>
      <c r="AI250" t="e">
        <f>AND('GA55 Summry'!#REF!,"AAAAAH//9iI=")</f>
        <v>#REF!</v>
      </c>
      <c r="AJ250" t="e">
        <f>AND('GA55 Summry'!#REF!,"AAAAAH//9iM=")</f>
        <v>#REF!</v>
      </c>
      <c r="AK250" t="e">
        <f>AND('GA55 Summry'!#REF!,"AAAAAH//9iQ=")</f>
        <v>#REF!</v>
      </c>
      <c r="AL250" t="e">
        <f>AND('GA55 Summry'!#REF!,"AAAAAH//9iU=")</f>
        <v>#REF!</v>
      </c>
      <c r="AM250" t="e">
        <f>AND('GA55 Summry'!#REF!,"AAAAAH//9iY=")</f>
        <v>#REF!</v>
      </c>
      <c r="AN250" t="e">
        <f>AND('GA55 Summry'!#REF!,"AAAAAH//9ic=")</f>
        <v>#REF!</v>
      </c>
      <c r="AO250" t="e">
        <f>AND('GA55 Summry'!#REF!,"AAAAAH//9ig=")</f>
        <v>#REF!</v>
      </c>
      <c r="AP250" t="e">
        <f>AND('GA55 Summry'!#REF!,"AAAAAH//9ik=")</f>
        <v>#REF!</v>
      </c>
      <c r="AQ250" t="e">
        <f>AND('GA55 Summry'!#REF!,"AAAAAH//9io=")</f>
        <v>#REF!</v>
      </c>
      <c r="AR250" t="e">
        <f>AND('GA55 Summry'!#REF!,"AAAAAH//9is=")</f>
        <v>#REF!</v>
      </c>
      <c r="AS250" t="e">
        <f>AND('GA55 Summry'!#REF!,"AAAAAH//9iw=")</f>
        <v>#REF!</v>
      </c>
      <c r="AT250" t="e">
        <f>AND('GA55 Summry'!#REF!,"AAAAAH//9i0=")</f>
        <v>#REF!</v>
      </c>
      <c r="AU250" t="e">
        <f>AND('GA55 Summry'!#REF!,"AAAAAH//9i4=")</f>
        <v>#REF!</v>
      </c>
      <c r="AV250" t="e">
        <f>AND('GA55 Summry'!#REF!,"AAAAAH//9i8=")</f>
        <v>#REF!</v>
      </c>
      <c r="AW250" t="e">
        <f>AND('GA55 Summry'!#REF!,"AAAAAH//9jA=")</f>
        <v>#REF!</v>
      </c>
      <c r="AX250" t="e">
        <f>AND('GA55 Summry'!#REF!,"AAAAAH//9jE=")</f>
        <v>#REF!</v>
      </c>
      <c r="AY250" t="e">
        <f>AND('GA55 Summry'!#REF!,"AAAAAH//9jI=")</f>
        <v>#REF!</v>
      </c>
      <c r="AZ250" t="e">
        <f>AND('GA55 Summry'!#REF!,"AAAAAH//9jM=")</f>
        <v>#REF!</v>
      </c>
      <c r="BA250" t="e">
        <f>AND('GA55 Summry'!#REF!,"AAAAAH//9jQ=")</f>
        <v>#REF!</v>
      </c>
      <c r="BB250" t="e">
        <f>AND('GA55 Summry'!#REF!,"AAAAAH//9jU=")</f>
        <v>#REF!</v>
      </c>
      <c r="BC250" t="e">
        <f>AND('GA55 Summry'!#REF!,"AAAAAH//9jY=")</f>
        <v>#REF!</v>
      </c>
      <c r="BD250" t="e">
        <f>AND('GA55 Summry'!#REF!,"AAAAAH//9jc=")</f>
        <v>#REF!</v>
      </c>
      <c r="BE250" t="e">
        <f>AND('GA55 Summry'!#REF!,"AAAAAH//9jg=")</f>
        <v>#REF!</v>
      </c>
      <c r="BF250" t="e">
        <f>AND('GA55 Summry'!#REF!,"AAAAAH//9jk=")</f>
        <v>#REF!</v>
      </c>
      <c r="BG250" t="e">
        <f>AND('GA55 Summry'!#REF!,"AAAAAH//9jo=")</f>
        <v>#REF!</v>
      </c>
      <c r="BH250" t="e">
        <f>AND('GA55 Summry'!#REF!,"AAAAAH//9js=")</f>
        <v>#REF!</v>
      </c>
      <c r="BI250" t="e">
        <f>AND('GA55 Summry'!#REF!,"AAAAAH//9jw=")</f>
        <v>#REF!</v>
      </c>
      <c r="BJ250" t="e">
        <f>AND('GA55 Summry'!#REF!,"AAAAAH//9j0=")</f>
        <v>#REF!</v>
      </c>
      <c r="BK250" t="e">
        <f>AND('GA55 Summry'!#REF!,"AAAAAH//9j4=")</f>
        <v>#REF!</v>
      </c>
      <c r="BL250" t="e">
        <f>AND('GA55 Summry'!#REF!,"AAAAAH//9j8=")</f>
        <v>#REF!</v>
      </c>
      <c r="BM250" t="e">
        <f>AND('GA55 Summry'!#REF!,"AAAAAH//9kA=")</f>
        <v>#REF!</v>
      </c>
      <c r="BN250" t="e">
        <f>IF('GA55 Summry'!#REF!,"AAAAAH//9kE=",0)</f>
        <v>#REF!</v>
      </c>
      <c r="BO250" t="e">
        <f>AND('GA55 Summry'!#REF!,"AAAAAH//9kI=")</f>
        <v>#REF!</v>
      </c>
      <c r="BP250" t="e">
        <f>AND('GA55 Summry'!#REF!,"AAAAAH//9kM=")</f>
        <v>#REF!</v>
      </c>
      <c r="BQ250" t="e">
        <f>AND('GA55 Summry'!#REF!,"AAAAAH//9kQ=")</f>
        <v>#REF!</v>
      </c>
      <c r="BR250" t="e">
        <f>AND('GA55 Summry'!#REF!,"AAAAAH//9kU=")</f>
        <v>#REF!</v>
      </c>
      <c r="BS250" t="e">
        <f>AND('GA55 Summry'!#REF!,"AAAAAH//9kY=")</f>
        <v>#REF!</v>
      </c>
      <c r="BT250" t="e">
        <f>AND('GA55 Summry'!#REF!,"AAAAAH//9kc=")</f>
        <v>#REF!</v>
      </c>
      <c r="BU250" t="e">
        <f>AND('GA55 Summry'!#REF!,"AAAAAH//9kg=")</f>
        <v>#REF!</v>
      </c>
      <c r="BV250" t="e">
        <f>AND('GA55 Summry'!#REF!,"AAAAAH//9kk=")</f>
        <v>#REF!</v>
      </c>
      <c r="BW250" t="e">
        <f>AND('GA55 Summry'!#REF!,"AAAAAH//9ko=")</f>
        <v>#REF!</v>
      </c>
      <c r="BX250" t="e">
        <f>AND('GA55 Summry'!#REF!,"AAAAAH//9ks=")</f>
        <v>#REF!</v>
      </c>
      <c r="BY250" t="e">
        <f>AND('GA55 Summry'!#REF!,"AAAAAH//9kw=")</f>
        <v>#REF!</v>
      </c>
      <c r="BZ250" t="e">
        <f>AND('GA55 Summry'!#REF!,"AAAAAH//9k0=")</f>
        <v>#REF!</v>
      </c>
      <c r="CA250" t="e">
        <f>AND('GA55 Summry'!#REF!,"AAAAAH//9k4=")</f>
        <v>#REF!</v>
      </c>
      <c r="CB250" t="e">
        <f>AND('GA55 Summry'!#REF!,"AAAAAH//9k8=")</f>
        <v>#REF!</v>
      </c>
      <c r="CC250" t="e">
        <f>AND('GA55 Summry'!#REF!,"AAAAAH//9lA=")</f>
        <v>#REF!</v>
      </c>
      <c r="CD250" t="e">
        <f>AND('GA55 Summry'!#REF!,"AAAAAH//9lE=")</f>
        <v>#REF!</v>
      </c>
      <c r="CE250" t="e">
        <f>AND('GA55 Summry'!#REF!,"AAAAAH//9lI=")</f>
        <v>#REF!</v>
      </c>
      <c r="CF250" t="e">
        <f>AND('GA55 Summry'!#REF!,"AAAAAH//9lM=")</f>
        <v>#REF!</v>
      </c>
      <c r="CG250" t="e">
        <f>AND('GA55 Summry'!#REF!,"AAAAAH//9lQ=")</f>
        <v>#REF!</v>
      </c>
      <c r="CH250" t="e">
        <f>AND('GA55 Summry'!#REF!,"AAAAAH//9lU=")</f>
        <v>#REF!</v>
      </c>
      <c r="CI250" t="e">
        <f>AND('GA55 Summry'!#REF!,"AAAAAH//9lY=")</f>
        <v>#REF!</v>
      </c>
      <c r="CJ250" t="e">
        <f>AND('GA55 Summry'!#REF!,"AAAAAH//9lc=")</f>
        <v>#REF!</v>
      </c>
      <c r="CK250" t="e">
        <f>AND('GA55 Summry'!#REF!,"AAAAAH//9lg=")</f>
        <v>#REF!</v>
      </c>
      <c r="CL250" t="e">
        <f>AND('GA55 Summry'!#REF!,"AAAAAH//9lk=")</f>
        <v>#REF!</v>
      </c>
      <c r="CM250" t="e">
        <f>AND('GA55 Summry'!#REF!,"AAAAAH//9lo=")</f>
        <v>#REF!</v>
      </c>
      <c r="CN250" t="e">
        <f>AND('GA55 Summry'!#REF!,"AAAAAH//9ls=")</f>
        <v>#REF!</v>
      </c>
      <c r="CO250" t="e">
        <f>AND('GA55 Summry'!#REF!,"AAAAAH//9lw=")</f>
        <v>#REF!</v>
      </c>
      <c r="CP250" t="e">
        <f>AND('GA55 Summry'!#REF!,"AAAAAH//9l0=")</f>
        <v>#REF!</v>
      </c>
      <c r="CQ250" t="e">
        <f>AND('GA55 Summry'!#REF!,"AAAAAH//9l4=")</f>
        <v>#REF!</v>
      </c>
      <c r="CR250" t="e">
        <f>AND('GA55 Summry'!#REF!,"AAAAAH//9l8=")</f>
        <v>#REF!</v>
      </c>
      <c r="CS250" t="e">
        <f>AND('GA55 Summry'!#REF!,"AAAAAH//9mA=")</f>
        <v>#REF!</v>
      </c>
      <c r="CT250" t="e">
        <f>AND('GA55 Summry'!#REF!,"AAAAAH//9mE=")</f>
        <v>#REF!</v>
      </c>
      <c r="CU250" t="e">
        <f>AND('GA55 Summry'!#REF!,"AAAAAH//9mI=")</f>
        <v>#REF!</v>
      </c>
      <c r="CV250" t="e">
        <f>AND('GA55 Summry'!#REF!,"AAAAAH//9mM=")</f>
        <v>#REF!</v>
      </c>
      <c r="CW250" t="e">
        <f>AND('GA55 Summry'!#REF!,"AAAAAH//9mQ=")</f>
        <v>#REF!</v>
      </c>
      <c r="CX250" t="e">
        <f>AND('GA55 Summry'!#REF!,"AAAAAH//9mU=")</f>
        <v>#REF!</v>
      </c>
      <c r="CY250" t="e">
        <f>AND('GA55 Summry'!#REF!,"AAAAAH//9mY=")</f>
        <v>#REF!</v>
      </c>
      <c r="CZ250" t="e">
        <f>AND('GA55 Summry'!#REF!,"AAAAAH//9mc=")</f>
        <v>#REF!</v>
      </c>
      <c r="DA250" t="e">
        <f>AND('GA55 Summry'!#REF!,"AAAAAH//9mg=")</f>
        <v>#REF!</v>
      </c>
      <c r="DB250" t="e">
        <f>AND('GA55 Summry'!#REF!,"AAAAAH//9mk=")</f>
        <v>#REF!</v>
      </c>
      <c r="DC250" t="e">
        <f>AND('GA55 Summry'!#REF!,"AAAAAH//9mo=")</f>
        <v>#REF!</v>
      </c>
      <c r="DD250" t="e">
        <f>AND('GA55 Summry'!#REF!,"AAAAAH//9ms=")</f>
        <v>#REF!</v>
      </c>
      <c r="DE250" t="e">
        <f>AND('GA55 Summry'!#REF!,"AAAAAH//9mw=")</f>
        <v>#REF!</v>
      </c>
      <c r="DF250" t="e">
        <f>AND('GA55 Summry'!#REF!,"AAAAAH//9m0=")</f>
        <v>#REF!</v>
      </c>
      <c r="DG250" t="e">
        <f>AND('GA55 Summry'!#REF!,"AAAAAH//9m4=")</f>
        <v>#REF!</v>
      </c>
      <c r="DH250" t="e">
        <f>AND('GA55 Summry'!#REF!,"AAAAAH//9m8=")</f>
        <v>#REF!</v>
      </c>
      <c r="DI250" t="e">
        <f>AND('GA55 Summry'!#REF!,"AAAAAH//9nA=")</f>
        <v>#REF!</v>
      </c>
      <c r="DJ250" t="e">
        <f>AND('GA55 Summry'!#REF!,"AAAAAH//9nE=")</f>
        <v>#REF!</v>
      </c>
      <c r="DK250" t="e">
        <f>AND('GA55 Summry'!#REF!,"AAAAAH//9nI=")</f>
        <v>#REF!</v>
      </c>
      <c r="DL250" t="e">
        <f>AND('GA55 Summry'!#REF!,"AAAAAH//9nM=")</f>
        <v>#REF!</v>
      </c>
      <c r="DM250" t="e">
        <f>AND('GA55 Summry'!#REF!,"AAAAAH//9nQ=")</f>
        <v>#REF!</v>
      </c>
      <c r="DN250" t="e">
        <f>AND('GA55 Summry'!#REF!,"AAAAAH//9nU=")</f>
        <v>#REF!</v>
      </c>
      <c r="DO250" t="e">
        <f>AND('GA55 Summry'!#REF!,"AAAAAH//9nY=")</f>
        <v>#REF!</v>
      </c>
      <c r="DP250" t="e">
        <f>AND('GA55 Summry'!#REF!,"AAAAAH//9nc=")</f>
        <v>#REF!</v>
      </c>
      <c r="DQ250" t="e">
        <f>AND('GA55 Summry'!#REF!,"AAAAAH//9ng=")</f>
        <v>#REF!</v>
      </c>
      <c r="DR250" t="e">
        <f>AND('GA55 Summry'!#REF!,"AAAAAH//9nk=")</f>
        <v>#REF!</v>
      </c>
      <c r="DS250" t="e">
        <f>AND('GA55 Summry'!#REF!,"AAAAAH//9no=")</f>
        <v>#REF!</v>
      </c>
      <c r="DT250" t="e">
        <f>AND('GA55 Summry'!#REF!,"AAAAAH//9ns=")</f>
        <v>#REF!</v>
      </c>
      <c r="DU250" t="e">
        <f>AND('GA55 Summry'!#REF!,"AAAAAH//9nw=")</f>
        <v>#REF!</v>
      </c>
      <c r="DV250" t="e">
        <f>AND('GA55 Summry'!#REF!,"AAAAAH//9n0=")</f>
        <v>#REF!</v>
      </c>
      <c r="DW250" t="e">
        <f>AND('GA55 Summry'!#REF!,"AAAAAH//9n4=")</f>
        <v>#REF!</v>
      </c>
      <c r="DX250" t="e">
        <f>AND('GA55 Summry'!#REF!,"AAAAAH//9n8=")</f>
        <v>#REF!</v>
      </c>
      <c r="DY250" t="e">
        <f>AND('GA55 Summry'!#REF!,"AAAAAH//9oA=")</f>
        <v>#REF!</v>
      </c>
      <c r="DZ250" t="e">
        <f>AND('GA55 Summry'!#REF!,"AAAAAH//9oE=")</f>
        <v>#REF!</v>
      </c>
      <c r="EA250" t="e">
        <f>AND('GA55 Summry'!#REF!,"AAAAAH//9oI=")</f>
        <v>#REF!</v>
      </c>
      <c r="EB250" t="e">
        <f>AND('GA55 Summry'!#REF!,"AAAAAH//9oM=")</f>
        <v>#REF!</v>
      </c>
      <c r="EC250" t="e">
        <f>AND('GA55 Summry'!#REF!,"AAAAAH//9oQ=")</f>
        <v>#REF!</v>
      </c>
      <c r="ED250" t="e">
        <f>AND('GA55 Summry'!#REF!,"AAAAAH//9oU=")</f>
        <v>#REF!</v>
      </c>
      <c r="EE250" t="e">
        <f>AND('GA55 Summry'!#REF!,"AAAAAH//9oY=")</f>
        <v>#REF!</v>
      </c>
      <c r="EF250" t="e">
        <f>AND('GA55 Summry'!#REF!,"AAAAAH//9oc=")</f>
        <v>#REF!</v>
      </c>
      <c r="EG250" t="e">
        <f>AND('GA55 Summry'!#REF!,"AAAAAH//9og=")</f>
        <v>#REF!</v>
      </c>
      <c r="EH250" t="e">
        <f>AND('GA55 Summry'!#REF!,"AAAAAH//9ok=")</f>
        <v>#REF!</v>
      </c>
      <c r="EI250" t="e">
        <f>AND('GA55 Summry'!#REF!,"AAAAAH//9oo=")</f>
        <v>#REF!</v>
      </c>
      <c r="EJ250" t="e">
        <f>AND('GA55 Summry'!#REF!,"AAAAAH//9os=")</f>
        <v>#REF!</v>
      </c>
      <c r="EK250" t="e">
        <f>IF('GA55 Summry'!#REF!,"AAAAAH//9ow=",0)</f>
        <v>#REF!</v>
      </c>
      <c r="EL250" t="e">
        <f>AND('GA55 Summry'!#REF!,"AAAAAH//9o0=")</f>
        <v>#REF!</v>
      </c>
      <c r="EM250" t="e">
        <f>AND('GA55 Summry'!#REF!,"AAAAAH//9o4=")</f>
        <v>#REF!</v>
      </c>
      <c r="EN250" t="e">
        <f>AND('GA55 Summry'!#REF!,"AAAAAH//9o8=")</f>
        <v>#REF!</v>
      </c>
      <c r="EO250" t="e">
        <f>AND('GA55 Summry'!#REF!,"AAAAAH//9pA=")</f>
        <v>#REF!</v>
      </c>
      <c r="EP250" t="e">
        <f>AND('GA55 Summry'!#REF!,"AAAAAH//9pE=")</f>
        <v>#REF!</v>
      </c>
      <c r="EQ250" t="e">
        <f>IF('GA55 Summry'!#REF!,"AAAAAH//9pI=",0)</f>
        <v>#REF!</v>
      </c>
      <c r="ER250" t="e">
        <f>AND('GA55 Summry'!#REF!,"AAAAAH//9pM=")</f>
        <v>#REF!</v>
      </c>
      <c r="ES250" t="e">
        <f>AND('GA55 Summry'!#REF!,"AAAAAH//9pQ=")</f>
        <v>#REF!</v>
      </c>
      <c r="ET250" t="e">
        <f>AND('GA55 Summry'!#REF!,"AAAAAH//9pU=")</f>
        <v>#REF!</v>
      </c>
      <c r="EU250" t="e">
        <f>AND('GA55 Summry'!#REF!,"AAAAAH//9pY=")</f>
        <v>#REF!</v>
      </c>
      <c r="EV250" t="e">
        <f>AND('GA55 Summry'!#REF!,"AAAAAH//9pc=")</f>
        <v>#REF!</v>
      </c>
      <c r="EW250" t="e">
        <f>IF('GA55 Summry'!#REF!,"AAAAAH//9pg=",0)</f>
        <v>#REF!</v>
      </c>
      <c r="EX250" t="e">
        <f>AND('GA55 Summry'!#REF!,"AAAAAH//9pk=")</f>
        <v>#REF!</v>
      </c>
      <c r="EY250" t="e">
        <f>AND('GA55 Summry'!#REF!,"AAAAAH//9po=")</f>
        <v>#REF!</v>
      </c>
      <c r="EZ250" t="e">
        <f>AND('GA55 Summry'!#REF!,"AAAAAH//9ps=")</f>
        <v>#REF!</v>
      </c>
      <c r="FA250" t="e">
        <f>AND('GA55 Summry'!#REF!,"AAAAAH//9pw=")</f>
        <v>#REF!</v>
      </c>
      <c r="FB250" t="e">
        <f>AND('GA55 Summry'!#REF!,"AAAAAH//9p0=")</f>
        <v>#REF!</v>
      </c>
      <c r="FC250" t="e">
        <f>IF('GA55 Summry'!#REF!,"AAAAAH//9p4=",0)</f>
        <v>#REF!</v>
      </c>
      <c r="FD250" t="e">
        <f>AND('GA55 Summry'!#REF!,"AAAAAH//9p8=")</f>
        <v>#REF!</v>
      </c>
      <c r="FE250" t="e">
        <f>AND('GA55 Summry'!#REF!,"AAAAAH//9qA=")</f>
        <v>#REF!</v>
      </c>
      <c r="FF250" t="e">
        <f>AND('GA55 Summry'!#REF!,"AAAAAH//9qE=")</f>
        <v>#REF!</v>
      </c>
      <c r="FG250" t="e">
        <f>AND('GA55 Summry'!#REF!,"AAAAAH//9qI=")</f>
        <v>#REF!</v>
      </c>
      <c r="FH250" t="e">
        <f>AND('GA55 Summry'!#REF!,"AAAAAH//9qM=")</f>
        <v>#REF!</v>
      </c>
      <c r="FI250" t="e">
        <f>IF('GA55 Summry'!#REF!,"AAAAAH//9qQ=",0)</f>
        <v>#REF!</v>
      </c>
      <c r="FJ250" t="e">
        <f>AND('GA55 Summry'!#REF!,"AAAAAH//9qU=")</f>
        <v>#REF!</v>
      </c>
      <c r="FK250" t="e">
        <f>AND('GA55 Summry'!#REF!,"AAAAAH//9qY=")</f>
        <v>#REF!</v>
      </c>
      <c r="FL250" t="e">
        <f>AND('GA55 Summry'!#REF!,"AAAAAH//9qc=")</f>
        <v>#REF!</v>
      </c>
      <c r="FM250" t="e">
        <f>AND('GA55 Summry'!#REF!,"AAAAAH//9qg=")</f>
        <v>#REF!</v>
      </c>
      <c r="FN250" t="e">
        <f>AND('GA55 Summry'!#REF!,"AAAAAH//9qk=")</f>
        <v>#REF!</v>
      </c>
      <c r="FO250" t="e">
        <f>IF('GA55 Summry'!#REF!,"AAAAAH//9qo=",0)</f>
        <v>#REF!</v>
      </c>
      <c r="FP250" t="e">
        <f>AND('GA55 Summry'!#REF!,"AAAAAH//9qs=")</f>
        <v>#REF!</v>
      </c>
      <c r="FQ250" t="e">
        <f>AND('GA55 Summry'!#REF!,"AAAAAH//9qw=")</f>
        <v>#REF!</v>
      </c>
      <c r="FR250" t="e">
        <f>AND('GA55 Summry'!#REF!,"AAAAAH//9q0=")</f>
        <v>#REF!</v>
      </c>
      <c r="FS250" t="e">
        <f>AND('GA55 Summry'!#REF!,"AAAAAH//9q4=")</f>
        <v>#REF!</v>
      </c>
      <c r="FT250" t="e">
        <f>AND('GA55 Summry'!#REF!,"AAAAAH//9q8=")</f>
        <v>#REF!</v>
      </c>
      <c r="FU250" t="e">
        <f>IF('GA55 Summry'!#REF!,"AAAAAH//9rA=",0)</f>
        <v>#REF!</v>
      </c>
      <c r="FV250" t="e">
        <f>AND('GA55 Summry'!#REF!,"AAAAAH//9rE=")</f>
        <v>#REF!</v>
      </c>
      <c r="FW250" t="e">
        <f>AND('GA55 Summry'!#REF!,"AAAAAH//9rI=")</f>
        <v>#REF!</v>
      </c>
      <c r="FX250" t="e">
        <f>AND('GA55 Summry'!#REF!,"AAAAAH//9rM=")</f>
        <v>#REF!</v>
      </c>
      <c r="FY250" t="e">
        <f>AND('GA55 Summry'!#REF!,"AAAAAH//9rQ=")</f>
        <v>#REF!</v>
      </c>
      <c r="FZ250" t="e">
        <f>AND('GA55 Summry'!#REF!,"AAAAAH//9rU=")</f>
        <v>#REF!</v>
      </c>
      <c r="GA250" t="e">
        <f>IF('GA55 Summry'!#REF!,"AAAAAH//9rY=",0)</f>
        <v>#REF!</v>
      </c>
      <c r="GB250" t="e">
        <f>AND('GA55 Summry'!#REF!,"AAAAAH//9rc=")</f>
        <v>#REF!</v>
      </c>
      <c r="GC250" t="e">
        <f>AND('GA55 Summry'!#REF!,"AAAAAH//9rg=")</f>
        <v>#REF!</v>
      </c>
      <c r="GD250" t="e">
        <f>AND('GA55 Summry'!#REF!,"AAAAAH//9rk=")</f>
        <v>#REF!</v>
      </c>
      <c r="GE250" t="e">
        <f>AND('GA55 Summry'!#REF!,"AAAAAH//9ro=")</f>
        <v>#REF!</v>
      </c>
      <c r="GF250" t="e">
        <f>AND('GA55 Summry'!#REF!,"AAAAAH//9rs=")</f>
        <v>#REF!</v>
      </c>
      <c r="GG250" t="e">
        <f>IF('GA55 Summry'!#REF!,"AAAAAH//9rw=",0)</f>
        <v>#REF!</v>
      </c>
      <c r="GH250" t="e">
        <f>AND('GA55 Summry'!#REF!,"AAAAAH//9r0=")</f>
        <v>#REF!</v>
      </c>
      <c r="GI250" t="e">
        <f>AND('GA55 Summry'!#REF!,"AAAAAH//9r4=")</f>
        <v>#REF!</v>
      </c>
      <c r="GJ250" t="e">
        <f>AND('GA55 Summry'!#REF!,"AAAAAH//9r8=")</f>
        <v>#REF!</v>
      </c>
      <c r="GK250" t="e">
        <f>AND('GA55 Summry'!#REF!,"AAAAAH//9sA=")</f>
        <v>#REF!</v>
      </c>
      <c r="GL250" t="e">
        <f>AND('GA55 Summry'!#REF!,"AAAAAH//9sE=")</f>
        <v>#REF!</v>
      </c>
      <c r="GM250" t="e">
        <f>IF('GA55 Summry'!#REF!,"AAAAAH//9sI=",0)</f>
        <v>#REF!</v>
      </c>
      <c r="GN250" t="e">
        <f>AND('GA55 Summry'!#REF!,"AAAAAH//9sM=")</f>
        <v>#REF!</v>
      </c>
      <c r="GO250" t="e">
        <f>AND('GA55 Summry'!#REF!,"AAAAAH//9sQ=")</f>
        <v>#REF!</v>
      </c>
      <c r="GP250" t="e">
        <f>AND('GA55 Summry'!#REF!,"AAAAAH//9sU=")</f>
        <v>#REF!</v>
      </c>
      <c r="GQ250" t="e">
        <f>AND('GA55 Summry'!#REF!,"AAAAAH//9sY=")</f>
        <v>#REF!</v>
      </c>
      <c r="GR250" t="e">
        <f>AND('GA55 Summry'!#REF!,"AAAAAH//9sc=")</f>
        <v>#REF!</v>
      </c>
      <c r="GS250" t="e">
        <f>IF('GA55 Summry'!#REF!,"AAAAAH//9sg=",0)</f>
        <v>#REF!</v>
      </c>
      <c r="GT250" t="e">
        <f>AND('GA55 Summry'!#REF!,"AAAAAH//9sk=")</f>
        <v>#REF!</v>
      </c>
      <c r="GU250" t="e">
        <f>AND('GA55 Summry'!#REF!,"AAAAAH//9so=")</f>
        <v>#REF!</v>
      </c>
      <c r="GV250" t="e">
        <f>AND('GA55 Summry'!#REF!,"AAAAAH//9ss=")</f>
        <v>#REF!</v>
      </c>
      <c r="GW250" t="e">
        <f>AND('GA55 Summry'!#REF!,"AAAAAH//9sw=")</f>
        <v>#REF!</v>
      </c>
      <c r="GX250" t="e">
        <f>AND('GA55 Summry'!#REF!,"AAAAAH//9s0=")</f>
        <v>#REF!</v>
      </c>
      <c r="GY250" t="e">
        <f>IF('GA55 Summry'!#REF!,"AAAAAH//9s4=",0)</f>
        <v>#REF!</v>
      </c>
      <c r="GZ250" t="e">
        <f>AND('GA55 Summry'!#REF!,"AAAAAH//9s8=")</f>
        <v>#REF!</v>
      </c>
      <c r="HA250" t="e">
        <f>AND('GA55 Summry'!#REF!,"AAAAAH//9tA=")</f>
        <v>#REF!</v>
      </c>
      <c r="HB250" t="e">
        <f>AND('GA55 Summry'!#REF!,"AAAAAH//9tE=")</f>
        <v>#REF!</v>
      </c>
      <c r="HC250" t="e">
        <f>AND('GA55 Summry'!#REF!,"AAAAAH//9tI=")</f>
        <v>#REF!</v>
      </c>
      <c r="HD250" t="e">
        <f>AND('GA55 Summry'!#REF!,"AAAAAH//9tM=")</f>
        <v>#REF!</v>
      </c>
      <c r="HE250" t="e">
        <f>IF('GA55 Summry'!#REF!,"AAAAAH//9tQ=",0)</f>
        <v>#REF!</v>
      </c>
      <c r="HF250" t="e">
        <f>AND('GA55 Summry'!#REF!,"AAAAAH//9tU=")</f>
        <v>#REF!</v>
      </c>
      <c r="HG250" t="e">
        <f>AND('GA55 Summry'!#REF!,"AAAAAH//9tY=")</f>
        <v>#REF!</v>
      </c>
      <c r="HH250" t="e">
        <f>AND('GA55 Summry'!#REF!,"AAAAAH//9tc=")</f>
        <v>#REF!</v>
      </c>
      <c r="HI250" t="e">
        <f>AND('GA55 Summry'!#REF!,"AAAAAH//9tg=")</f>
        <v>#REF!</v>
      </c>
      <c r="HJ250" t="e">
        <f>AND('GA55 Summry'!#REF!,"AAAAAH//9tk=")</f>
        <v>#REF!</v>
      </c>
      <c r="HK250" t="e">
        <f>IF('GA55 Summry'!#REF!,"AAAAAH//9to=",0)</f>
        <v>#REF!</v>
      </c>
      <c r="HL250" t="e">
        <f>AND('GA55 Summry'!#REF!,"AAAAAH//9ts=")</f>
        <v>#REF!</v>
      </c>
      <c r="HM250" t="e">
        <f>AND('GA55 Summry'!#REF!,"AAAAAH//9tw=")</f>
        <v>#REF!</v>
      </c>
      <c r="HN250" t="e">
        <f>AND('GA55 Summry'!#REF!,"AAAAAH//9t0=")</f>
        <v>#REF!</v>
      </c>
      <c r="HO250" t="e">
        <f>AND('GA55 Summry'!#REF!,"AAAAAH//9t4=")</f>
        <v>#REF!</v>
      </c>
      <c r="HP250" t="e">
        <f>AND('GA55 Summry'!#REF!,"AAAAAH//9t8=")</f>
        <v>#REF!</v>
      </c>
      <c r="HQ250" t="e">
        <f>IF('GA55 Summry'!#REF!,"AAAAAH//9uA=",0)</f>
        <v>#REF!</v>
      </c>
      <c r="HR250" t="e">
        <f>AND('GA55 Summry'!#REF!,"AAAAAH//9uE=")</f>
        <v>#REF!</v>
      </c>
      <c r="HS250" t="e">
        <f>AND('GA55 Summry'!#REF!,"AAAAAH//9uI=")</f>
        <v>#REF!</v>
      </c>
      <c r="HT250" t="e">
        <f>AND('GA55 Summry'!#REF!,"AAAAAH//9uM=")</f>
        <v>#REF!</v>
      </c>
      <c r="HU250" t="e">
        <f>AND('GA55 Summry'!#REF!,"AAAAAH//9uQ=")</f>
        <v>#REF!</v>
      </c>
      <c r="HV250" t="e">
        <f>AND('GA55 Summry'!#REF!,"AAAAAH//9uU=")</f>
        <v>#REF!</v>
      </c>
      <c r="HW250" t="e">
        <f>IF('GA55 Summry'!#REF!,"AAAAAH//9uY=",0)</f>
        <v>#REF!</v>
      </c>
      <c r="HX250" t="e">
        <f>AND('GA55 Summry'!#REF!,"AAAAAH//9uc=")</f>
        <v>#REF!</v>
      </c>
      <c r="HY250" t="e">
        <f>AND('GA55 Summry'!#REF!,"AAAAAH//9ug=")</f>
        <v>#REF!</v>
      </c>
      <c r="HZ250" t="e">
        <f>AND('GA55 Summry'!#REF!,"AAAAAH//9uk=")</f>
        <v>#REF!</v>
      </c>
      <c r="IA250" t="e">
        <f>AND('GA55 Summry'!#REF!,"AAAAAH//9uo=")</f>
        <v>#REF!</v>
      </c>
      <c r="IB250" t="e">
        <f>AND('GA55 Summry'!#REF!,"AAAAAH//9us=")</f>
        <v>#REF!</v>
      </c>
      <c r="IC250" t="e">
        <f>IF('GA55 Summry'!#REF!,"AAAAAH//9uw=",0)</f>
        <v>#REF!</v>
      </c>
      <c r="ID250" t="e">
        <f>AND('GA55 Summry'!#REF!,"AAAAAH//9u0=")</f>
        <v>#REF!</v>
      </c>
      <c r="IE250" t="e">
        <f>AND('GA55 Summry'!#REF!,"AAAAAH//9u4=")</f>
        <v>#REF!</v>
      </c>
      <c r="IF250" t="e">
        <f>AND('GA55 Summry'!#REF!,"AAAAAH//9u8=")</f>
        <v>#REF!</v>
      </c>
      <c r="IG250" t="e">
        <f>AND('GA55 Summry'!#REF!,"AAAAAH//9vA=")</f>
        <v>#REF!</v>
      </c>
      <c r="IH250" t="e">
        <f>AND('GA55 Summry'!#REF!,"AAAAAH//9vE=")</f>
        <v>#REF!</v>
      </c>
      <c r="II250" t="e">
        <f>IF('GA55 Summry'!#REF!,"AAAAAH//9vI=",0)</f>
        <v>#REF!</v>
      </c>
      <c r="IJ250" t="e">
        <f>AND('GA55 Summry'!#REF!,"AAAAAH//9vM=")</f>
        <v>#REF!</v>
      </c>
      <c r="IK250" t="e">
        <f>AND('GA55 Summry'!#REF!,"AAAAAH//9vQ=")</f>
        <v>#REF!</v>
      </c>
      <c r="IL250" t="e">
        <f>AND('GA55 Summry'!#REF!,"AAAAAH//9vU=")</f>
        <v>#REF!</v>
      </c>
      <c r="IM250" t="e">
        <f>AND('GA55 Summry'!#REF!,"AAAAAH//9vY=")</f>
        <v>#REF!</v>
      </c>
      <c r="IN250" t="e">
        <f>AND('GA55 Summry'!#REF!,"AAAAAH//9vc=")</f>
        <v>#REF!</v>
      </c>
      <c r="IO250" t="e">
        <f>IF('GA55 Summry'!#REF!,"AAAAAH//9vg=",0)</f>
        <v>#REF!</v>
      </c>
      <c r="IP250" t="e">
        <f>AND('GA55 Summry'!#REF!,"AAAAAH//9vk=")</f>
        <v>#REF!</v>
      </c>
      <c r="IQ250" t="e">
        <f>AND('GA55 Summry'!#REF!,"AAAAAH//9vo=")</f>
        <v>#REF!</v>
      </c>
      <c r="IR250" t="e">
        <f>AND('GA55 Summry'!#REF!,"AAAAAH//9vs=")</f>
        <v>#REF!</v>
      </c>
      <c r="IS250" t="e">
        <f>AND('GA55 Summry'!#REF!,"AAAAAH//9vw=")</f>
        <v>#REF!</v>
      </c>
      <c r="IT250" t="e">
        <f>AND('GA55 Summry'!#REF!,"AAAAAH//9v0=")</f>
        <v>#REF!</v>
      </c>
      <c r="IU250" t="e">
        <f>IF('GA55 Summry'!#REF!,"AAAAAH//9v4=",0)</f>
        <v>#REF!</v>
      </c>
      <c r="IV250" t="e">
        <f>AND('GA55 Summry'!#REF!,"AAAAAH//9v8=")</f>
        <v>#REF!</v>
      </c>
    </row>
    <row r="251" spans="1:256" x14ac:dyDescent="0.25">
      <c r="A251" t="e">
        <f>AND('GA55 Summry'!#REF!,"AAAAAFv+dwA=")</f>
        <v>#REF!</v>
      </c>
      <c r="B251" t="e">
        <f>AND('GA55 Summry'!#REF!,"AAAAAFv+dwE=")</f>
        <v>#REF!</v>
      </c>
      <c r="C251" t="e">
        <f>AND('GA55 Summry'!#REF!,"AAAAAFv+dwI=")</f>
        <v>#REF!</v>
      </c>
      <c r="D251" t="e">
        <f>AND('GA55 Summry'!#REF!,"AAAAAFv+dwM=")</f>
        <v>#REF!</v>
      </c>
      <c r="E251" t="e">
        <f>IF('GA55 Summry'!#REF!,"AAAAAFv+dwQ=",0)</f>
        <v>#REF!</v>
      </c>
      <c r="F251" t="e">
        <f>AND('GA55 Summry'!#REF!,"AAAAAFv+dwU=")</f>
        <v>#REF!</v>
      </c>
      <c r="G251" t="e">
        <f>AND('GA55 Summry'!#REF!,"AAAAAFv+dwY=")</f>
        <v>#REF!</v>
      </c>
      <c r="H251" t="e">
        <f>AND('GA55 Summry'!#REF!,"AAAAAFv+dwc=")</f>
        <v>#REF!</v>
      </c>
      <c r="I251" t="e">
        <f>AND('GA55 Summry'!#REF!,"AAAAAFv+dwg=")</f>
        <v>#REF!</v>
      </c>
      <c r="J251" t="e">
        <f>AND('GA55 Summry'!#REF!,"AAAAAFv+dwk=")</f>
        <v>#REF!</v>
      </c>
      <c r="K251" t="e">
        <f>IF('GA55 Summry'!#REF!,"AAAAAFv+dwo=",0)</f>
        <v>#REF!</v>
      </c>
      <c r="L251" t="e">
        <f>AND('GA55 Summry'!#REF!,"AAAAAFv+dws=")</f>
        <v>#REF!</v>
      </c>
      <c r="M251" t="e">
        <f>AND('GA55 Summry'!#REF!,"AAAAAFv+dww=")</f>
        <v>#REF!</v>
      </c>
      <c r="N251" t="e">
        <f>AND('GA55 Summry'!#REF!,"AAAAAFv+dw0=")</f>
        <v>#REF!</v>
      </c>
      <c r="O251" t="e">
        <f>AND('GA55 Summry'!#REF!,"AAAAAFv+dw4=")</f>
        <v>#REF!</v>
      </c>
      <c r="P251" t="e">
        <f>AND('GA55 Summry'!#REF!,"AAAAAFv+dw8=")</f>
        <v>#REF!</v>
      </c>
      <c r="Q251" t="e">
        <f>IF('GA55 Summry'!#REF!,"AAAAAFv+dxA=",0)</f>
        <v>#REF!</v>
      </c>
      <c r="R251" t="e">
        <f>AND('GA55 Summry'!#REF!,"AAAAAFv+dxE=")</f>
        <v>#REF!</v>
      </c>
      <c r="S251" t="e">
        <f>AND('GA55 Summry'!#REF!,"AAAAAFv+dxI=")</f>
        <v>#REF!</v>
      </c>
      <c r="T251" t="e">
        <f>AND('GA55 Summry'!#REF!,"AAAAAFv+dxM=")</f>
        <v>#REF!</v>
      </c>
      <c r="U251" t="e">
        <f>AND('GA55 Summry'!#REF!,"AAAAAFv+dxQ=")</f>
        <v>#REF!</v>
      </c>
      <c r="V251" t="e">
        <f>AND('GA55 Summry'!#REF!,"AAAAAFv+dxU=")</f>
        <v>#REF!</v>
      </c>
      <c r="W251" t="e">
        <f>IF('GA55 Summry'!#REF!,"AAAAAFv+dxY=",0)</f>
        <v>#REF!</v>
      </c>
      <c r="X251" t="e">
        <f>AND('GA55 Summry'!#REF!,"AAAAAFv+dxc=")</f>
        <v>#REF!</v>
      </c>
      <c r="Y251" t="e">
        <f>AND('GA55 Summry'!#REF!,"AAAAAFv+dxg=")</f>
        <v>#REF!</v>
      </c>
      <c r="Z251" t="e">
        <f>AND('GA55 Summry'!#REF!,"AAAAAFv+dxk=")</f>
        <v>#REF!</v>
      </c>
      <c r="AA251" t="e">
        <f>AND('GA55 Summry'!#REF!,"AAAAAFv+dxo=")</f>
        <v>#REF!</v>
      </c>
      <c r="AB251" t="e">
        <f>AND('GA55 Summry'!#REF!,"AAAAAFv+dxs=")</f>
        <v>#REF!</v>
      </c>
      <c r="AC251">
        <f>IF('GA55 Summry'!A:A,"AAAAAFv+dxw=",0)</f>
        <v>0</v>
      </c>
      <c r="AD251">
        <f>IF('GA55 Summry'!B:B,"AAAAAFv+dx0=",0)</f>
        <v>0</v>
      </c>
      <c r="AE251">
        <f>IF('GA55 Summry'!C:C,"AAAAAFv+dx4=",0)</f>
        <v>0</v>
      </c>
      <c r="AF251">
        <f>IF('GA55 Summry'!D:D,"AAAAAFv+dx8=",0)</f>
        <v>0</v>
      </c>
      <c r="AG251">
        <f>IF('GA55 Summry'!E:E,"AAAAAFv+dyA=",0)</f>
        <v>0</v>
      </c>
      <c r="AH251">
        <f>IF('GA55 Summry'!F:F,"AAAAAFv+dyE=",0)</f>
        <v>0</v>
      </c>
      <c r="AI251">
        <f>IF('GA55 Summry'!G:G,"AAAAAFv+dyI=",0)</f>
        <v>0</v>
      </c>
      <c r="AJ251">
        <f>IF('GA55 Summry'!H:H,"AAAAAFv+dyM=",0)</f>
        <v>0</v>
      </c>
      <c r="AK251" t="e">
        <f>IF('GA55 Summry'!#REF!,"AAAAAFv+dyQ=",0)</f>
        <v>#REF!</v>
      </c>
      <c r="AL251">
        <f>IF('GA55 Summry'!K:K,"AAAAAFv+dyU=",0)</f>
        <v>0</v>
      </c>
      <c r="AM251">
        <f>IF('GA55 Summry'!L:L,"AAAAAFv+dyY=",0)</f>
        <v>0</v>
      </c>
      <c r="AN251">
        <f>IF('GA55 Summry'!M:M,"AAAAAFv+dyc=",0)</f>
        <v>0</v>
      </c>
      <c r="AO251">
        <f>IF('GA55 Summry'!N:N,"AAAAAFv+dyg=",0)</f>
        <v>0</v>
      </c>
      <c r="AP251">
        <f>IF('GA55 Summry'!P:P,"AAAAAFv+dyk=",0)</f>
        <v>0</v>
      </c>
      <c r="AQ251">
        <f>IF('GA55 Summry'!R:R,"AAAAAFv+dyo=",0)</f>
        <v>0</v>
      </c>
      <c r="AR251">
        <f>IF('GA55 Summry'!T:T,"AAAAAFv+dys=",0)</f>
        <v>0</v>
      </c>
      <c r="AS251">
        <f>IF('GA55 Summry'!Y:Y,"AAAAAFv+dyw=",0)</f>
        <v>0</v>
      </c>
      <c r="AT251" t="e">
        <f>IF('GA55 Summry'!#REF!,"AAAAAFv+dy0=",0)</f>
        <v>#REF!</v>
      </c>
      <c r="AU251" t="e">
        <f>IF('GA55 Summry'!#REF!,"AAAAAFv+dy4=",0)</f>
        <v>#REF!</v>
      </c>
      <c r="AV251" t="e">
        <f>IF('GA55 Summry'!#REF!,"AAAAAFv+dy8=",0)</f>
        <v>#REF!</v>
      </c>
      <c r="AW251" t="e">
        <f>IF('GA55 Summry'!#REF!,"AAAAAFv+dzA=",0)</f>
        <v>#REF!</v>
      </c>
      <c r="AX251" t="e">
        <f>IF('GA55 Summry'!#REF!,"AAAAAFv+dzE=",0)</f>
        <v>#REF!</v>
      </c>
      <c r="AY251" t="e">
        <f>IF('GA55 Summry'!#REF!,"AAAAAFv+dzI=",0)</f>
        <v>#REF!</v>
      </c>
      <c r="AZ251" t="e">
        <f>IF('GA55 Summry'!#REF!,"AAAAAFv+dzM=",0)</f>
        <v>#REF!</v>
      </c>
      <c r="BA251" t="e">
        <f>IF('GA55 Summry'!#REF!,"AAAAAFv+dzQ=",0)</f>
        <v>#REF!</v>
      </c>
      <c r="BB251" t="e">
        <f>IF('GA55 Summry'!#REF!,"AAAAAFv+dzU=",0)</f>
        <v>#REF!</v>
      </c>
      <c r="BC251" t="e">
        <f>IF('GA55 Summry'!#REF!,"AAAAAFv+dzY=",0)</f>
        <v>#REF!</v>
      </c>
      <c r="BD251" t="e">
        <f>IF('GA55 Summry'!#REF!,"AAAAAFv+dzc=",0)</f>
        <v>#REF!</v>
      </c>
      <c r="BE251" t="e">
        <f>IF('GA55 Summry'!#REF!,"AAAAAFv+dzg=",0)</f>
        <v>#REF!</v>
      </c>
      <c r="BF251">
        <f>IF('GA55 Summry'!AA:AA,"AAAAAFv+dzk=",0)</f>
        <v>0</v>
      </c>
      <c r="BG251">
        <f>IF('GA55 Summry'!AB:AB,"AAAAAFv+dzo=",0)</f>
        <v>0</v>
      </c>
      <c r="BH251">
        <f>IF('GA55 Summry'!AC:AC,"AAAAAFv+dzs=",0)</f>
        <v>0</v>
      </c>
      <c r="BI251">
        <f>IF('GA55 Summry'!AD:AD,"AAAAAFv+dzw=",0)</f>
        <v>0</v>
      </c>
      <c r="BJ251">
        <f>IF('GA55 Summry'!AE:AE,"AAAAAFv+dz0=",0)</f>
        <v>0</v>
      </c>
      <c r="BK251">
        <f>IF('GA55 Summry'!AF:AF,"AAAAAFv+dz4=",0)</f>
        <v>0</v>
      </c>
      <c r="BL251">
        <f>IF('GA55 Summry'!AG:AG,"AAAAAFv+dz8=",0)</f>
        <v>0</v>
      </c>
      <c r="BM251">
        <f>IF('GA55 Summry'!AH:AH,"AAAAAFv+d0A=",0)</f>
        <v>0</v>
      </c>
      <c r="BN251">
        <f>IF('GA55 Summry'!AI:AI,"AAAAAFv+d0E=",0)</f>
        <v>0</v>
      </c>
      <c r="BO251">
        <f>IF('GA55 Summry'!AJ:AJ,"AAAAAFv+d0I=",0)</f>
        <v>0</v>
      </c>
      <c r="BP251">
        <f>IF('GA55 Summry'!AK:AK,"AAAAAFv+d0M=",0)</f>
        <v>0</v>
      </c>
      <c r="BQ251">
        <f>IF('GA55 Summry'!AL:AL,"AAAAAFv+d0Q=",0)</f>
        <v>0</v>
      </c>
      <c r="BR251">
        <f>IF('GA55 Summry'!AM:AM,"AAAAAFv+d0U=",0)</f>
        <v>0</v>
      </c>
      <c r="BS251">
        <f>IF('GA55 Summry'!AP:AP,"AAAAAFv+d0Y=",0)</f>
        <v>0</v>
      </c>
      <c r="BT251">
        <f>IF('GA55 Summry'!AQ:AQ,"AAAAAFv+d0c=",0)</f>
        <v>0</v>
      </c>
      <c r="BU251">
        <f>IF('GA55 Summry'!AR:AR,"AAAAAFv+d0g=",0)</f>
        <v>0</v>
      </c>
      <c r="BV251">
        <f>IF('GA55 Summry'!AS:AS,"AAAAAFv+d0k=",0)</f>
        <v>0</v>
      </c>
      <c r="BW251">
        <f>IF('GA55 Summry'!AT:AT,"AAAAAFv+d0o=",0)</f>
        <v>0</v>
      </c>
      <c r="BX251">
        <f>IF('GA55 Summry'!AU:AU,"AAAAAFv+d0s=",0)</f>
        <v>0</v>
      </c>
      <c r="BY251">
        <f>IF('GA55 Summry'!AV:AV,"AAAAAFv+d0w=",0)</f>
        <v>0</v>
      </c>
      <c r="BZ251">
        <f>IF('GA55 Summry'!AW:AW,"AAAAAFv+d00=",0)</f>
        <v>0</v>
      </c>
      <c r="CA251">
        <f>IF('GA55 Summry'!AX:AX,"AAAAAFv+d04=",0)</f>
        <v>0</v>
      </c>
      <c r="CB251" t="e">
        <f>IF('GA55 Summry'!#REF!,"AAAAAFv+d08=",0)</f>
        <v>#REF!</v>
      </c>
      <c r="CC251">
        <f>IF('GA55 Summry'!AY:AY,"AAAAAFv+d1A=",0)</f>
        <v>0</v>
      </c>
      <c r="CD251">
        <f>IF('GA55 Summry'!AZ:AZ,"AAAAAFv+d1E=",0)</f>
        <v>0</v>
      </c>
      <c r="CE251" t="e">
        <f>IF('GA55 Summry'!#REF!,"AAAAAFv+d1I=",0)</f>
        <v>#REF!</v>
      </c>
      <c r="CF251" t="e">
        <f>IF('GA55 Summry'!#REF!,"AAAAAFv+d1M=",0)</f>
        <v>#REF!</v>
      </c>
      <c r="CG251" t="e">
        <f>IF('GA55 Summry'!#REF!,"AAAAAFv+d1Q=",0)</f>
        <v>#REF!</v>
      </c>
      <c r="CH251" t="e">
        <f>IF('GA55 Summry'!#REF!,"AAAAAFv+d1U=",0)</f>
        <v>#REF!</v>
      </c>
      <c r="CI251" t="e">
        <f>IF('GA55 Summry'!#REF!,"AAAAAFv+d1Y=",0)</f>
        <v>#REF!</v>
      </c>
      <c r="CJ251" t="e">
        <f>IF('GA55 Summry'!#REF!,"AAAAAFv+d1c=",0)</f>
        <v>#REF!</v>
      </c>
      <c r="CK251">
        <f>IF('GA55 Summry'!BA:BA,"AAAAAFv+d1g=",0)</f>
        <v>0</v>
      </c>
      <c r="CL251">
        <f>IF('GA55 Summry'!BB:BB,"AAAAAFv+d1k=",0)</f>
        <v>0</v>
      </c>
      <c r="CM251">
        <f>IF('GA55 Summry'!BC:BC,"AAAAAFv+d1o=",0)</f>
        <v>0</v>
      </c>
      <c r="CN251">
        <f>IF('GA55 Summry'!BD:BD,"AAAAAFv+d1s=",0)</f>
        <v>0</v>
      </c>
      <c r="CO251">
        <f>IF('GA55 Summry'!BE:BE,"AAAAAFv+d1w=",0)</f>
        <v>0</v>
      </c>
      <c r="CP251">
        <f>IF('GA55 Summry'!BF:BF,"AAAAAFv+d10=",0)</f>
        <v>0</v>
      </c>
      <c r="CQ251">
        <f>IF('GA55 Summry'!BG:BG,"AAAAAFv+d14=",0)</f>
        <v>0</v>
      </c>
      <c r="CR251">
        <f>IF('GA55 Summry'!BH:BH,"AAAAAFv+d18=",0)</f>
        <v>0</v>
      </c>
      <c r="CS251">
        <f>IF('GA55 Summry'!BI:BI,"AAAAAFv+d2A=",0)</f>
        <v>0</v>
      </c>
      <c r="CT251">
        <f>IF('GA55 Summry'!BJ:BJ,"AAAAAFv+d2E=",0)</f>
        <v>0</v>
      </c>
      <c r="CU251">
        <f>IF('GA55 Summry'!BK:BK,"AAAAAFv+d2I=",0)</f>
        <v>0</v>
      </c>
      <c r="CV251">
        <f>IF('GA55 Summry'!BL:BL,"AAAAAFv+d2M=",0)</f>
        <v>0</v>
      </c>
      <c r="CW251">
        <f>IF('GA55 Summry'!BM:BM,"AAAAAFv+d2Q=",0)</f>
        <v>0</v>
      </c>
      <c r="CX251">
        <f>IF('GA55 Summry'!BN:BN,"AAAAAFv+d2U=",0)</f>
        <v>0</v>
      </c>
      <c r="CY251" t="s">
        <v>11</v>
      </c>
      <c r="CZ251" t="e">
        <f>IF("N",'GA55 Summry'!_xlnm.Print_Area,"AAAAAFv+d2c=")</f>
        <v>#VALUE!</v>
      </c>
    </row>
  </sheetData>
  <pageMargins left="0.7" right="0.7" top="0.75" bottom="0.75" header="0.3" footer="0.3"/>
  <customProperties>
    <customPr name="DVSECTION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workbookViewId="0">
      <selection sqref="A1:O1"/>
    </sheetView>
  </sheetViews>
  <sheetFormatPr defaultRowHeight="15" x14ac:dyDescent="0.25"/>
  <cols>
    <col min="1" max="1" width="3.140625" style="6" customWidth="1" collapsed="1"/>
    <col min="2" max="2" width="3.42578125" style="6" customWidth="1" collapsed="1"/>
    <col min="3" max="3" width="7.140625" style="6" customWidth="1" collapsed="1"/>
    <col min="4" max="4" width="8.28515625" style="6" customWidth="1" collapsed="1"/>
    <col min="5" max="5" width="5.42578125" style="6" customWidth="1" collapsed="1"/>
    <col min="6" max="6" width="3.28515625" style="6" customWidth="1" collapsed="1"/>
    <col min="7" max="7" width="9.42578125" style="6" customWidth="1" collapsed="1"/>
    <col min="8" max="8" width="4.140625" style="6" customWidth="1" collapsed="1"/>
    <col min="9" max="9" width="9.140625" style="6" collapsed="1"/>
    <col min="10" max="10" width="11.85546875" style="6" customWidth="1" collapsed="1"/>
    <col min="11" max="11" width="9.140625" style="6" customWidth="1" collapsed="1"/>
    <col min="12" max="12" width="2.85546875" style="6" customWidth="1" collapsed="1"/>
    <col min="13" max="13" width="10.7109375" style="6" customWidth="1" collapsed="1"/>
    <col min="14" max="14" width="3" style="6" customWidth="1" collapsed="1"/>
    <col min="15" max="15" width="16.5703125" style="6" customWidth="1" collapsed="1"/>
    <col min="16" max="21" width="9.140625" style="6" collapsed="1"/>
    <col min="22" max="24" width="0" style="6" hidden="1" customWidth="1" collapsed="1"/>
    <col min="25" max="16384" width="9.140625" style="6" collapsed="1"/>
  </cols>
  <sheetData>
    <row r="1" spans="1:21" ht="16.5" customHeight="1" x14ac:dyDescent="0.25">
      <c r="A1" s="652" t="str">
        <f>IF(AND(Master!D9=""),"",CONCATENATE("Office Name :- ",PROPER(Master!D9)))</f>
        <v>Office Name :- Block Elemantry Education Office, Panchayat Samiti- Sojat City (Pali)</v>
      </c>
      <c r="B1" s="652"/>
      <c r="C1" s="652"/>
      <c r="D1" s="652"/>
      <c r="E1" s="652"/>
      <c r="F1" s="652"/>
      <c r="G1" s="652"/>
      <c r="H1" s="652"/>
      <c r="I1" s="652"/>
      <c r="J1" s="652"/>
      <c r="K1" s="652"/>
      <c r="L1" s="652"/>
      <c r="M1" s="652"/>
      <c r="N1" s="652"/>
      <c r="O1" s="652"/>
    </row>
    <row r="2" spans="1:21" ht="17.25" customHeight="1" thickBot="1" x14ac:dyDescent="0.3">
      <c r="A2" s="258"/>
      <c r="B2" s="258"/>
      <c r="C2" s="258"/>
      <c r="D2" s="668" t="s">
        <v>245</v>
      </c>
      <c r="E2" s="668"/>
      <c r="F2" s="668"/>
      <c r="G2" s="668"/>
      <c r="H2" s="669" t="str">
        <f>IF(AND(Master!D20=""),"",Master!D20)</f>
        <v>2017-18</v>
      </c>
      <c r="I2" s="669"/>
      <c r="J2" s="668" t="s">
        <v>246</v>
      </c>
      <c r="K2" s="668"/>
      <c r="L2" s="668"/>
      <c r="M2" s="669" t="str">
        <f>IF(AND(Master!H20=""),"",Master!H20)</f>
        <v>2018-19</v>
      </c>
      <c r="N2" s="669"/>
      <c r="O2" s="259" t="s">
        <v>247</v>
      </c>
    </row>
    <row r="3" spans="1:21" ht="16.5" thickTop="1" x14ac:dyDescent="0.25">
      <c r="A3" s="165">
        <v>1</v>
      </c>
      <c r="B3" s="689" t="s">
        <v>162</v>
      </c>
      <c r="C3" s="690"/>
      <c r="D3" s="661" t="str">
        <f>IF(AND(Master!D10=""),"",UPPER(Master!D10))</f>
        <v>ROOPARAM</v>
      </c>
      <c r="E3" s="661"/>
      <c r="F3" s="661"/>
      <c r="G3" s="661"/>
      <c r="H3" s="661"/>
      <c r="I3" s="166" t="s">
        <v>163</v>
      </c>
      <c r="J3" s="678" t="str">
        <f>IF(AND(Master!H10=""),"",UPPER(Master!H10))</f>
        <v>HEAD MASTER</v>
      </c>
      <c r="K3" s="678"/>
      <c r="L3" s="678"/>
      <c r="M3" s="167" t="s">
        <v>164</v>
      </c>
      <c r="N3" s="674" t="str">
        <f>IF(AND(Master!D13=""),"",UPPER(Master!D13))</f>
        <v>ADTPC7867R</v>
      </c>
      <c r="O3" s="675"/>
    </row>
    <row r="4" spans="1:21" ht="14.1" customHeight="1" x14ac:dyDescent="0.25">
      <c r="A4" s="168">
        <v>2</v>
      </c>
      <c r="B4" s="676" t="s">
        <v>251</v>
      </c>
      <c r="C4" s="676"/>
      <c r="D4" s="591"/>
      <c r="E4" s="591"/>
      <c r="F4" s="591"/>
      <c r="G4" s="591"/>
      <c r="H4" s="591"/>
      <c r="I4" s="676"/>
      <c r="J4" s="591"/>
      <c r="K4" s="591"/>
      <c r="L4" s="591"/>
      <c r="M4" s="676"/>
      <c r="N4" s="266" t="s">
        <v>165</v>
      </c>
      <c r="O4" s="169">
        <f>'GA55 Summry'!L26+IF(Master!I2=Master!AB2,'GA55 Summry'!P26,"0")</f>
        <v>662518</v>
      </c>
      <c r="P4" s="432" t="s">
        <v>496</v>
      </c>
      <c r="Q4" s="673" t="s">
        <v>497</v>
      </c>
      <c r="R4" s="673"/>
      <c r="S4" s="673"/>
      <c r="T4" s="673"/>
      <c r="U4" s="673"/>
    </row>
    <row r="5" spans="1:21" ht="12.95" customHeight="1" x14ac:dyDescent="0.25">
      <c r="A5" s="168">
        <v>3</v>
      </c>
      <c r="B5" s="584" t="s">
        <v>242</v>
      </c>
      <c r="C5" s="585"/>
      <c r="D5" s="585"/>
      <c r="E5" s="585"/>
      <c r="F5" s="585"/>
      <c r="G5" s="585"/>
      <c r="H5" s="585"/>
      <c r="I5" s="585"/>
      <c r="J5" s="585"/>
      <c r="K5" s="585"/>
      <c r="L5" s="585"/>
      <c r="M5" s="586"/>
      <c r="N5" s="266" t="s">
        <v>165</v>
      </c>
      <c r="O5" s="164" t="str">
        <f>IF(AND('Extra deduc'!F5=""),"0",IF(AND('Extra deduc'!F5='Extra deduc'!AN4),"0",'Extra deduc'!G5))</f>
        <v>0</v>
      </c>
      <c r="Q5" s="673"/>
      <c r="R5" s="673"/>
      <c r="S5" s="673"/>
      <c r="T5" s="673"/>
      <c r="U5" s="673"/>
    </row>
    <row r="6" spans="1:21" ht="12.95" customHeight="1" x14ac:dyDescent="0.25">
      <c r="A6" s="168">
        <v>4</v>
      </c>
      <c r="B6" s="622" t="s">
        <v>166</v>
      </c>
      <c r="C6" s="622"/>
      <c r="D6" s="622"/>
      <c r="E6" s="622"/>
      <c r="F6" s="622"/>
      <c r="G6" s="622"/>
      <c r="H6" s="622"/>
      <c r="I6" s="622"/>
      <c r="J6" s="622"/>
      <c r="K6" s="622"/>
      <c r="L6" s="622"/>
      <c r="M6" s="622"/>
      <c r="N6" s="266" t="s">
        <v>165</v>
      </c>
      <c r="O6" s="169">
        <f>O4-O5</f>
        <v>662518</v>
      </c>
      <c r="Q6" s="673"/>
      <c r="R6" s="673"/>
      <c r="S6" s="673"/>
      <c r="T6" s="673"/>
      <c r="U6" s="673"/>
    </row>
    <row r="7" spans="1:21" ht="12.95" customHeight="1" x14ac:dyDescent="0.25">
      <c r="A7" s="594">
        <v>5</v>
      </c>
      <c r="B7" s="584" t="s">
        <v>243</v>
      </c>
      <c r="C7" s="585"/>
      <c r="D7" s="585"/>
      <c r="E7" s="585"/>
      <c r="F7" s="585"/>
      <c r="G7" s="585"/>
      <c r="H7" s="585"/>
      <c r="I7" s="585"/>
      <c r="J7" s="585"/>
      <c r="K7" s="662">
        <f>'Extra deduc'!G6</f>
        <v>0</v>
      </c>
      <c r="L7" s="662"/>
      <c r="M7" s="662"/>
      <c r="N7" s="679"/>
      <c r="O7" s="680"/>
      <c r="Q7" s="673"/>
      <c r="R7" s="673"/>
      <c r="S7" s="673"/>
      <c r="T7" s="673"/>
      <c r="U7" s="673"/>
    </row>
    <row r="8" spans="1:21" ht="12.95" customHeight="1" x14ac:dyDescent="0.25">
      <c r="A8" s="595"/>
      <c r="B8" s="584" t="s">
        <v>250</v>
      </c>
      <c r="C8" s="585"/>
      <c r="D8" s="585"/>
      <c r="E8" s="585"/>
      <c r="F8" s="585"/>
      <c r="G8" s="585"/>
      <c r="H8" s="585"/>
      <c r="I8" s="585"/>
      <c r="J8" s="585"/>
      <c r="K8" s="662">
        <f>'Extra deduc'!G7</f>
        <v>0</v>
      </c>
      <c r="L8" s="662"/>
      <c r="M8" s="662"/>
      <c r="N8" s="266" t="s">
        <v>165</v>
      </c>
      <c r="O8" s="164">
        <f>K7+K8</f>
        <v>0</v>
      </c>
      <c r="Q8" s="433"/>
      <c r="R8" s="433"/>
      <c r="S8" s="433"/>
      <c r="T8" s="433"/>
      <c r="U8" s="433"/>
    </row>
    <row r="9" spans="1:21" ht="12.95" customHeight="1" x14ac:dyDescent="0.25">
      <c r="A9" s="168">
        <v>6</v>
      </c>
      <c r="B9" s="659" t="s">
        <v>167</v>
      </c>
      <c r="C9" s="659"/>
      <c r="D9" s="659"/>
      <c r="E9" s="659"/>
      <c r="F9" s="659"/>
      <c r="G9" s="659"/>
      <c r="H9" s="659"/>
      <c r="I9" s="659"/>
      <c r="J9" s="659"/>
      <c r="K9" s="659"/>
      <c r="L9" s="659"/>
      <c r="M9" s="659"/>
      <c r="N9" s="266" t="s">
        <v>165</v>
      </c>
      <c r="O9" s="169">
        <f>O6-O8</f>
        <v>662518</v>
      </c>
      <c r="Q9" s="433"/>
      <c r="R9" s="433"/>
      <c r="S9" s="433"/>
      <c r="T9" s="433"/>
      <c r="U9" s="433"/>
    </row>
    <row r="10" spans="1:21" ht="12.95" customHeight="1" x14ac:dyDescent="0.25">
      <c r="A10" s="660">
        <v>7</v>
      </c>
      <c r="B10" s="591" t="s">
        <v>168</v>
      </c>
      <c r="C10" s="591"/>
      <c r="D10" s="591"/>
      <c r="E10" s="591"/>
      <c r="F10" s="591"/>
      <c r="G10" s="591"/>
      <c r="H10" s="591"/>
      <c r="I10" s="677" t="s">
        <v>169</v>
      </c>
      <c r="J10" s="677"/>
      <c r="K10" s="662">
        <f>'Extra deduc'!G8</f>
        <v>0</v>
      </c>
      <c r="L10" s="662"/>
      <c r="M10" s="662"/>
      <c r="N10" s="681"/>
      <c r="O10" s="682"/>
    </row>
    <row r="11" spans="1:21" ht="12.95" customHeight="1" x14ac:dyDescent="0.25">
      <c r="A11" s="660"/>
      <c r="B11" s="663" t="s">
        <v>170</v>
      </c>
      <c r="C11" s="664"/>
      <c r="D11" s="687" t="s">
        <v>244</v>
      </c>
      <c r="E11" s="688"/>
      <c r="F11" s="677" t="s">
        <v>171</v>
      </c>
      <c r="G11" s="677"/>
      <c r="H11" s="677"/>
      <c r="I11" s="677" t="s">
        <v>172</v>
      </c>
      <c r="J11" s="677"/>
      <c r="K11" s="659" t="s">
        <v>173</v>
      </c>
      <c r="L11" s="659"/>
      <c r="M11" s="659"/>
      <c r="N11" s="683"/>
      <c r="O11" s="684"/>
    </row>
    <row r="12" spans="1:21" ht="12.95" customHeight="1" x14ac:dyDescent="0.25">
      <c r="A12" s="660"/>
      <c r="B12" s="665"/>
      <c r="C12" s="666"/>
      <c r="D12" s="605">
        <f>ROUND((K10-I12)*0.3,0)</f>
        <v>0</v>
      </c>
      <c r="E12" s="606"/>
      <c r="F12" s="667">
        <f>'Extra deduc'!G11</f>
        <v>0</v>
      </c>
      <c r="G12" s="667"/>
      <c r="H12" s="667"/>
      <c r="I12" s="662">
        <f>'Extra deduc'!G9</f>
        <v>0</v>
      </c>
      <c r="J12" s="662"/>
      <c r="K12" s="667">
        <f>D12+F12+I12</f>
        <v>0</v>
      </c>
      <c r="L12" s="667"/>
      <c r="M12" s="667"/>
      <c r="N12" s="685"/>
      <c r="O12" s="686"/>
    </row>
    <row r="13" spans="1:21" ht="12.95" customHeight="1" x14ac:dyDescent="0.25">
      <c r="A13" s="168"/>
      <c r="B13" s="659" t="s">
        <v>174</v>
      </c>
      <c r="C13" s="659"/>
      <c r="D13" s="659"/>
      <c r="E13" s="659"/>
      <c r="F13" s="659"/>
      <c r="G13" s="659"/>
      <c r="H13" s="659"/>
      <c r="I13" s="659"/>
      <c r="J13" s="659"/>
      <c r="K13" s="659"/>
      <c r="L13" s="659"/>
      <c r="M13" s="659"/>
      <c r="N13" s="266" t="s">
        <v>165</v>
      </c>
      <c r="O13" s="164">
        <f>K10-K12</f>
        <v>0</v>
      </c>
    </row>
    <row r="14" spans="1:21" ht="12.95" customHeight="1" x14ac:dyDescent="0.25">
      <c r="A14" s="168">
        <v>8</v>
      </c>
      <c r="B14" s="608" t="s">
        <v>253</v>
      </c>
      <c r="C14" s="609"/>
      <c r="D14" s="609"/>
      <c r="E14" s="609"/>
      <c r="F14" s="170" t="s">
        <v>254</v>
      </c>
      <c r="G14" s="610">
        <f>'Extra deduc'!I15</f>
        <v>9900</v>
      </c>
      <c r="H14" s="610"/>
      <c r="I14" s="610"/>
      <c r="J14" s="670" t="s">
        <v>252</v>
      </c>
      <c r="K14" s="670"/>
      <c r="L14" s="670"/>
      <c r="M14" s="671"/>
      <c r="N14" s="266" t="s">
        <v>165</v>
      </c>
      <c r="O14" s="169">
        <f>O9+O13</f>
        <v>662518</v>
      </c>
    </row>
    <row r="15" spans="1:21" ht="12.95" customHeight="1" x14ac:dyDescent="0.25">
      <c r="A15" s="168">
        <v>9</v>
      </c>
      <c r="B15" s="608" t="s">
        <v>175</v>
      </c>
      <c r="C15" s="609"/>
      <c r="D15" s="609"/>
      <c r="E15" s="609"/>
      <c r="F15" s="170" t="s">
        <v>254</v>
      </c>
      <c r="G15" s="610">
        <f>'Extra deduc'!I5</f>
        <v>0</v>
      </c>
      <c r="H15" s="610"/>
      <c r="I15" s="610"/>
      <c r="J15" s="611"/>
      <c r="K15" s="611"/>
      <c r="L15" s="611"/>
      <c r="M15" s="611"/>
      <c r="N15" s="611"/>
      <c r="O15" s="612"/>
    </row>
    <row r="16" spans="1:21" ht="15.75" x14ac:dyDescent="0.25">
      <c r="A16" s="168">
        <v>10</v>
      </c>
      <c r="B16" s="591" t="s">
        <v>255</v>
      </c>
      <c r="C16" s="591"/>
      <c r="D16" s="591"/>
      <c r="E16" s="591"/>
      <c r="F16" s="591"/>
      <c r="G16" s="591"/>
      <c r="H16" s="591"/>
      <c r="I16" s="591"/>
      <c r="J16" s="591"/>
      <c r="K16" s="591"/>
      <c r="L16" s="591"/>
      <c r="M16" s="591"/>
      <c r="N16" s="266" t="s">
        <v>165</v>
      </c>
      <c r="O16" s="171">
        <f>O14+G14+G15</f>
        <v>672418</v>
      </c>
    </row>
    <row r="17" spans="1:21" ht="15.75" x14ac:dyDescent="0.25">
      <c r="A17" s="594">
        <v>11</v>
      </c>
      <c r="B17" s="587" t="s">
        <v>241</v>
      </c>
      <c r="C17" s="587"/>
      <c r="D17" s="587"/>
      <c r="E17" s="587"/>
      <c r="F17" s="587"/>
      <c r="G17" s="587"/>
      <c r="H17" s="587"/>
      <c r="I17" s="587"/>
      <c r="J17" s="587"/>
      <c r="K17" s="587"/>
      <c r="L17" s="587"/>
      <c r="M17" s="587"/>
      <c r="N17" s="587"/>
      <c r="O17" s="598"/>
    </row>
    <row r="18" spans="1:21" ht="12.95" customHeight="1" x14ac:dyDescent="0.25">
      <c r="A18" s="597"/>
      <c r="B18" s="584" t="s">
        <v>240</v>
      </c>
      <c r="C18" s="585"/>
      <c r="D18" s="585"/>
      <c r="E18" s="585"/>
      <c r="F18" s="585"/>
      <c r="G18" s="585"/>
      <c r="H18" s="585"/>
      <c r="I18" s="585"/>
      <c r="J18" s="585"/>
      <c r="K18" s="585"/>
      <c r="L18" s="585"/>
      <c r="M18" s="585"/>
      <c r="N18" s="585"/>
      <c r="O18" s="607"/>
    </row>
    <row r="19" spans="1:21" ht="12.95" customHeight="1" x14ac:dyDescent="0.25">
      <c r="A19" s="597"/>
      <c r="B19" s="172" t="s">
        <v>49</v>
      </c>
      <c r="C19" s="583" t="s">
        <v>216</v>
      </c>
      <c r="D19" s="583"/>
      <c r="E19" s="583"/>
      <c r="F19" s="266" t="s">
        <v>165</v>
      </c>
      <c r="G19" s="173">
        <f>'GA55 Summry'!M26</f>
        <v>36000</v>
      </c>
      <c r="H19" s="172" t="s">
        <v>177</v>
      </c>
      <c r="I19" s="613" t="s">
        <v>256</v>
      </c>
      <c r="J19" s="613"/>
      <c r="K19" s="613"/>
      <c r="L19" s="266" t="s">
        <v>165</v>
      </c>
      <c r="M19" s="173">
        <f>'GA55 Summry'!P26</f>
        <v>0</v>
      </c>
      <c r="N19" s="614"/>
      <c r="O19" s="615"/>
    </row>
    <row r="20" spans="1:21" ht="12.95" customHeight="1" x14ac:dyDescent="0.25">
      <c r="A20" s="597"/>
      <c r="B20" s="172" t="s">
        <v>50</v>
      </c>
      <c r="C20" s="583" t="s">
        <v>217</v>
      </c>
      <c r="D20" s="583"/>
      <c r="E20" s="583"/>
      <c r="F20" s="266" t="s">
        <v>165</v>
      </c>
      <c r="G20" s="173">
        <f>'GA55 Summry'!Q26</f>
        <v>5304</v>
      </c>
      <c r="H20" s="172" t="s">
        <v>178</v>
      </c>
      <c r="I20" s="601" t="s">
        <v>214</v>
      </c>
      <c r="J20" s="601"/>
      <c r="K20" s="601"/>
      <c r="L20" s="266" t="s">
        <v>165</v>
      </c>
      <c r="M20" s="173">
        <f>'Extra deduc'!I6</f>
        <v>0</v>
      </c>
      <c r="N20" s="616"/>
      <c r="O20" s="617"/>
    </row>
    <row r="21" spans="1:21" ht="12.95" customHeight="1" x14ac:dyDescent="0.25">
      <c r="A21" s="597"/>
      <c r="B21" s="172" t="s">
        <v>51</v>
      </c>
      <c r="C21" s="583" t="s">
        <v>218</v>
      </c>
      <c r="D21" s="583"/>
      <c r="E21" s="583"/>
      <c r="F21" s="266" t="s">
        <v>165</v>
      </c>
      <c r="G21" s="173">
        <f>'Extra deduc'!G16</f>
        <v>0</v>
      </c>
      <c r="H21" s="172" t="s">
        <v>180</v>
      </c>
      <c r="I21" s="623" t="s">
        <v>179</v>
      </c>
      <c r="J21" s="623"/>
      <c r="K21" s="623"/>
      <c r="L21" s="266" t="s">
        <v>165</v>
      </c>
      <c r="M21" s="174">
        <f>'Extra deduc'!G17</f>
        <v>0</v>
      </c>
      <c r="N21" s="616"/>
      <c r="O21" s="617"/>
    </row>
    <row r="22" spans="1:21" ht="12.95" customHeight="1" x14ac:dyDescent="0.25">
      <c r="A22" s="597"/>
      <c r="B22" s="172" t="s">
        <v>52</v>
      </c>
      <c r="C22" s="583" t="s">
        <v>219</v>
      </c>
      <c r="D22" s="583"/>
      <c r="E22" s="583"/>
      <c r="F22" s="266" t="s">
        <v>165</v>
      </c>
      <c r="G22" s="173">
        <f>'Extra deduc'!G18</f>
        <v>0</v>
      </c>
      <c r="H22" s="172" t="s">
        <v>180</v>
      </c>
      <c r="I22" s="623" t="s">
        <v>181</v>
      </c>
      <c r="J22" s="623"/>
      <c r="K22" s="623"/>
      <c r="L22" s="266" t="s">
        <v>165</v>
      </c>
      <c r="M22" s="174">
        <f>'Extra deduc'!G14</f>
        <v>0</v>
      </c>
      <c r="N22" s="616"/>
      <c r="O22" s="617"/>
    </row>
    <row r="23" spans="1:21" ht="12.95" customHeight="1" x14ac:dyDescent="0.25">
      <c r="A23" s="597"/>
      <c r="B23" s="172" t="s">
        <v>53</v>
      </c>
      <c r="C23" s="582" t="s">
        <v>221</v>
      </c>
      <c r="D23" s="582"/>
      <c r="E23" s="582"/>
      <c r="F23" s="266" t="s">
        <v>165</v>
      </c>
      <c r="G23" s="173">
        <f>'Extra deduc'!G19</f>
        <v>0</v>
      </c>
      <c r="H23" s="172" t="s">
        <v>182</v>
      </c>
      <c r="I23" s="623" t="s">
        <v>183</v>
      </c>
      <c r="J23" s="623"/>
      <c r="K23" s="623"/>
      <c r="L23" s="266" t="s">
        <v>165</v>
      </c>
      <c r="M23" s="173">
        <f>'Extra deduc'!I18</f>
        <v>0</v>
      </c>
      <c r="N23" s="616"/>
      <c r="O23" s="617"/>
    </row>
    <row r="24" spans="1:21" ht="12.95" customHeight="1" x14ac:dyDescent="0.25">
      <c r="A24" s="597"/>
      <c r="B24" s="172" t="s">
        <v>54</v>
      </c>
      <c r="C24" s="582" t="s">
        <v>222</v>
      </c>
      <c r="D24" s="582"/>
      <c r="E24" s="582"/>
      <c r="F24" s="266" t="s">
        <v>165</v>
      </c>
      <c r="G24" s="173">
        <f>'GA55 Summry'!N26</f>
        <v>64170</v>
      </c>
      <c r="H24" s="172" t="s">
        <v>184</v>
      </c>
      <c r="I24" s="601" t="s">
        <v>215</v>
      </c>
      <c r="J24" s="601"/>
      <c r="K24" s="601"/>
      <c r="L24" s="266" t="s">
        <v>165</v>
      </c>
      <c r="M24" s="173">
        <f>'Extra deduc'!I19</f>
        <v>0</v>
      </c>
      <c r="N24" s="616"/>
      <c r="O24" s="617"/>
    </row>
    <row r="25" spans="1:21" ht="12.95" customHeight="1" x14ac:dyDescent="0.25">
      <c r="A25" s="597"/>
      <c r="B25" s="172" t="s">
        <v>55</v>
      </c>
      <c r="C25" s="620" t="s">
        <v>223</v>
      </c>
      <c r="D25" s="621"/>
      <c r="E25" s="621"/>
      <c r="F25" s="266" t="s">
        <v>165</v>
      </c>
      <c r="G25" s="174">
        <f>IF('GA55 Summry'!V26&gt;=100,220,"0")</f>
        <v>220</v>
      </c>
      <c r="H25" s="172" t="s">
        <v>185</v>
      </c>
      <c r="I25" s="646" t="s">
        <v>249</v>
      </c>
      <c r="J25" s="646"/>
      <c r="K25" s="646"/>
      <c r="L25" s="266" t="s">
        <v>165</v>
      </c>
      <c r="M25" s="173">
        <f>'Extra deduc'!G13</f>
        <v>29100</v>
      </c>
      <c r="N25" s="616"/>
      <c r="O25" s="617"/>
    </row>
    <row r="26" spans="1:21" ht="12.95" customHeight="1" x14ac:dyDescent="0.25">
      <c r="A26" s="597"/>
      <c r="B26" s="172" t="s">
        <v>186</v>
      </c>
      <c r="C26" s="582" t="s">
        <v>187</v>
      </c>
      <c r="D26" s="582"/>
      <c r="E26" s="582"/>
      <c r="F26" s="266" t="s">
        <v>165</v>
      </c>
      <c r="G26" s="174">
        <f>'Extra deduc'!G15</f>
        <v>0</v>
      </c>
      <c r="H26" s="172" t="s">
        <v>188</v>
      </c>
      <c r="I26" s="599" t="s">
        <v>189</v>
      </c>
      <c r="J26" s="599"/>
      <c r="K26" s="599"/>
      <c r="L26" s="266" t="s">
        <v>165</v>
      </c>
      <c r="M26" s="173">
        <f>'Extra deduc'!I7</f>
        <v>0</v>
      </c>
      <c r="N26" s="616"/>
      <c r="O26" s="617"/>
    </row>
    <row r="27" spans="1:21" ht="12.95" customHeight="1" x14ac:dyDescent="0.25">
      <c r="A27" s="597"/>
      <c r="B27" s="172" t="s">
        <v>190</v>
      </c>
      <c r="C27" s="582" t="s">
        <v>220</v>
      </c>
      <c r="D27" s="582"/>
      <c r="E27" s="582"/>
      <c r="F27" s="266" t="s">
        <v>165</v>
      </c>
      <c r="G27" s="173">
        <f>'Extra deduc'!G10</f>
        <v>0</v>
      </c>
      <c r="H27" s="172" t="s">
        <v>388</v>
      </c>
      <c r="I27" s="599" t="s">
        <v>191</v>
      </c>
      <c r="J27" s="599"/>
      <c r="K27" s="599"/>
      <c r="L27" s="266" t="s">
        <v>165</v>
      </c>
      <c r="M27" s="173">
        <f>'Extra deduc'!G20</f>
        <v>0</v>
      </c>
      <c r="N27" s="616"/>
      <c r="O27" s="617"/>
    </row>
    <row r="28" spans="1:21" ht="15.75" x14ac:dyDescent="0.25">
      <c r="A28" s="597"/>
      <c r="B28" s="172" t="s">
        <v>176</v>
      </c>
      <c r="C28" s="582" t="s">
        <v>379</v>
      </c>
      <c r="D28" s="582"/>
      <c r="E28" s="582"/>
      <c r="F28" s="266" t="s">
        <v>165</v>
      </c>
      <c r="G28" s="173">
        <f>'Extra deduc'!G12</f>
        <v>16304</v>
      </c>
      <c r="H28" s="640" t="s">
        <v>389</v>
      </c>
      <c r="I28" s="641"/>
      <c r="J28" s="641"/>
      <c r="K28" s="642"/>
      <c r="L28" s="266" t="s">
        <v>165</v>
      </c>
      <c r="M28" s="175">
        <f>SUM(G19:G28)+SUM(M19:M27)</f>
        <v>151098</v>
      </c>
      <c r="N28" s="618"/>
      <c r="O28" s="619"/>
    </row>
    <row r="29" spans="1:21" ht="15.75" x14ac:dyDescent="0.25">
      <c r="A29" s="597"/>
      <c r="B29" s="622" t="s">
        <v>192</v>
      </c>
      <c r="C29" s="622"/>
      <c r="D29" s="622"/>
      <c r="E29" s="622"/>
      <c r="F29" s="622"/>
      <c r="G29" s="622"/>
      <c r="H29" s="622"/>
      <c r="I29" s="622"/>
      <c r="J29" s="622"/>
      <c r="K29" s="622"/>
      <c r="L29" s="622"/>
      <c r="M29" s="622"/>
      <c r="N29" s="266" t="s">
        <v>165</v>
      </c>
      <c r="O29" s="171">
        <f>IF(M28&lt;150001, M28, 150000)</f>
        <v>150000</v>
      </c>
    </row>
    <row r="30" spans="1:21" ht="15.75" customHeight="1" x14ac:dyDescent="0.25">
      <c r="A30" s="597"/>
      <c r="B30" s="656" t="s">
        <v>237</v>
      </c>
      <c r="C30" s="657"/>
      <c r="D30" s="657"/>
      <c r="E30" s="657"/>
      <c r="F30" s="657"/>
      <c r="G30" s="657"/>
      <c r="H30" s="657"/>
      <c r="I30" s="657"/>
      <c r="J30" s="657"/>
      <c r="K30" s="657"/>
      <c r="L30" s="657"/>
      <c r="M30" s="658"/>
      <c r="N30" s="266" t="s">
        <v>165</v>
      </c>
      <c r="O30" s="171">
        <f>M19</f>
        <v>0</v>
      </c>
      <c r="P30" s="432" t="s">
        <v>496</v>
      </c>
      <c r="Q30" s="672" t="s">
        <v>495</v>
      </c>
      <c r="R30" s="672"/>
      <c r="S30" s="672"/>
      <c r="T30" s="672"/>
      <c r="U30" s="672"/>
    </row>
    <row r="31" spans="1:21" ht="15.75" customHeight="1" x14ac:dyDescent="0.25">
      <c r="A31" s="597"/>
      <c r="B31" s="653" t="s">
        <v>238</v>
      </c>
      <c r="C31" s="654"/>
      <c r="D31" s="654"/>
      <c r="E31" s="654"/>
      <c r="F31" s="654"/>
      <c r="G31" s="654"/>
      <c r="H31" s="654"/>
      <c r="I31" s="654"/>
      <c r="J31" s="654"/>
      <c r="K31" s="654"/>
      <c r="L31" s="654"/>
      <c r="M31" s="655"/>
      <c r="N31" s="266" t="s">
        <v>165</v>
      </c>
      <c r="O31" s="164">
        <f>'Extra deduc'!I8</f>
        <v>0</v>
      </c>
      <c r="Q31" s="672"/>
      <c r="R31" s="672"/>
      <c r="S31" s="672"/>
      <c r="T31" s="672"/>
      <c r="U31" s="672"/>
    </row>
    <row r="32" spans="1:21" ht="15.75" customHeight="1" x14ac:dyDescent="0.25">
      <c r="A32" s="595"/>
      <c r="B32" s="622" t="s">
        <v>239</v>
      </c>
      <c r="C32" s="622"/>
      <c r="D32" s="622"/>
      <c r="E32" s="622"/>
      <c r="F32" s="622"/>
      <c r="G32" s="622"/>
      <c r="H32" s="622"/>
      <c r="I32" s="622"/>
      <c r="J32" s="622"/>
      <c r="K32" s="622"/>
      <c r="L32" s="622"/>
      <c r="M32" s="622"/>
      <c r="N32" s="266" t="s">
        <v>165</v>
      </c>
      <c r="O32" s="171">
        <f>O29+O30+O31</f>
        <v>150000</v>
      </c>
      <c r="Q32" s="672"/>
      <c r="R32" s="672"/>
      <c r="S32" s="672"/>
      <c r="T32" s="672"/>
      <c r="U32" s="672"/>
    </row>
    <row r="33" spans="1:21" ht="18.75" customHeight="1" x14ac:dyDescent="0.25">
      <c r="A33" s="594">
        <v>12</v>
      </c>
      <c r="B33" s="587" t="s">
        <v>193</v>
      </c>
      <c r="C33" s="587"/>
      <c r="D33" s="587"/>
      <c r="E33" s="587"/>
      <c r="F33" s="587"/>
      <c r="G33" s="587"/>
      <c r="H33" s="587"/>
      <c r="I33" s="587"/>
      <c r="J33" s="587"/>
      <c r="K33" s="587"/>
      <c r="L33" s="587"/>
      <c r="M33" s="587"/>
      <c r="N33" s="587"/>
      <c r="O33" s="598"/>
      <c r="Q33" s="672"/>
      <c r="R33" s="672"/>
      <c r="S33" s="672"/>
      <c r="T33" s="672"/>
      <c r="U33" s="672"/>
    </row>
    <row r="34" spans="1:21" ht="15.75" customHeight="1" x14ac:dyDescent="0.25">
      <c r="A34" s="597"/>
      <c r="B34" s="602" t="s">
        <v>235</v>
      </c>
      <c r="C34" s="603"/>
      <c r="D34" s="603"/>
      <c r="E34" s="603"/>
      <c r="F34" s="603"/>
      <c r="G34" s="603"/>
      <c r="H34" s="603"/>
      <c r="I34" s="603"/>
      <c r="J34" s="603"/>
      <c r="K34" s="603"/>
      <c r="L34" s="603"/>
      <c r="M34" s="604"/>
      <c r="N34" s="266" t="s">
        <v>165</v>
      </c>
      <c r="O34" s="164">
        <f>'Extra deduc'!I9</f>
        <v>0</v>
      </c>
      <c r="Q34" s="672"/>
      <c r="R34" s="672"/>
      <c r="S34" s="672"/>
      <c r="T34" s="672"/>
      <c r="U34" s="672"/>
    </row>
    <row r="35" spans="1:21" s="177" customFormat="1" ht="14.1" customHeight="1" x14ac:dyDescent="0.25">
      <c r="A35" s="597"/>
      <c r="B35" s="582" t="s">
        <v>236</v>
      </c>
      <c r="C35" s="582"/>
      <c r="D35" s="582"/>
      <c r="E35" s="582"/>
      <c r="F35" s="582"/>
      <c r="G35" s="582"/>
      <c r="H35" s="582"/>
      <c r="I35" s="582"/>
      <c r="J35" s="582"/>
      <c r="K35" s="582"/>
      <c r="L35" s="582"/>
      <c r="M35" s="582"/>
      <c r="N35" s="176" t="s">
        <v>165</v>
      </c>
      <c r="O35" s="164">
        <f>'Extra deduc'!I10</f>
        <v>0</v>
      </c>
      <c r="Q35" s="672"/>
      <c r="R35" s="672"/>
      <c r="S35" s="672"/>
      <c r="T35" s="672"/>
      <c r="U35" s="672"/>
    </row>
    <row r="36" spans="1:21" s="177" customFormat="1" ht="14.1" customHeight="1" x14ac:dyDescent="0.25">
      <c r="A36" s="597"/>
      <c r="B36" s="583" t="s">
        <v>234</v>
      </c>
      <c r="C36" s="583"/>
      <c r="D36" s="583"/>
      <c r="E36" s="583"/>
      <c r="F36" s="583"/>
      <c r="G36" s="583"/>
      <c r="H36" s="583"/>
      <c r="I36" s="583"/>
      <c r="J36" s="583"/>
      <c r="K36" s="583"/>
      <c r="L36" s="583"/>
      <c r="M36" s="583"/>
      <c r="N36" s="176" t="s">
        <v>165</v>
      </c>
      <c r="O36" s="164">
        <f>'Extra deduc'!I11</f>
        <v>0</v>
      </c>
    </row>
    <row r="37" spans="1:21" s="177" customFormat="1" ht="14.1" customHeight="1" x14ac:dyDescent="0.25">
      <c r="A37" s="597"/>
      <c r="B37" s="583" t="s">
        <v>233</v>
      </c>
      <c r="C37" s="583"/>
      <c r="D37" s="583"/>
      <c r="E37" s="583"/>
      <c r="F37" s="583"/>
      <c r="G37" s="583"/>
      <c r="H37" s="583"/>
      <c r="I37" s="583"/>
      <c r="J37" s="583"/>
      <c r="K37" s="583"/>
      <c r="L37" s="583"/>
      <c r="M37" s="583"/>
      <c r="N37" s="176" t="s">
        <v>165</v>
      </c>
      <c r="O37" s="164">
        <f>'Extra deduc'!I12</f>
        <v>0</v>
      </c>
    </row>
    <row r="38" spans="1:21" s="177" customFormat="1" ht="14.1" customHeight="1" x14ac:dyDescent="0.25">
      <c r="A38" s="597"/>
      <c r="B38" s="583" t="s">
        <v>232</v>
      </c>
      <c r="C38" s="583"/>
      <c r="D38" s="583"/>
      <c r="E38" s="583"/>
      <c r="F38" s="583"/>
      <c r="G38" s="583"/>
      <c r="H38" s="583"/>
      <c r="I38" s="583"/>
      <c r="J38" s="583"/>
      <c r="K38" s="583"/>
      <c r="L38" s="583"/>
      <c r="M38" s="583"/>
      <c r="N38" s="176" t="s">
        <v>165</v>
      </c>
      <c r="O38" s="164">
        <f>'Extra deduc'!I13</f>
        <v>0</v>
      </c>
    </row>
    <row r="39" spans="1:21" s="177" customFormat="1" ht="14.1" customHeight="1" x14ac:dyDescent="0.25">
      <c r="A39" s="597"/>
      <c r="B39" s="584" t="s">
        <v>231</v>
      </c>
      <c r="C39" s="585"/>
      <c r="D39" s="585"/>
      <c r="E39" s="585"/>
      <c r="F39" s="585"/>
      <c r="G39" s="585"/>
      <c r="H39" s="585"/>
      <c r="I39" s="585"/>
      <c r="J39" s="585"/>
      <c r="K39" s="585"/>
      <c r="L39" s="585"/>
      <c r="M39" s="586"/>
      <c r="N39" s="176" t="s">
        <v>165</v>
      </c>
      <c r="O39" s="164">
        <f>'Extra deduc'!I14</f>
        <v>0</v>
      </c>
    </row>
    <row r="40" spans="1:21" s="177" customFormat="1" ht="14.1" customHeight="1" x14ac:dyDescent="0.25">
      <c r="A40" s="597"/>
      <c r="B40" s="584" t="s">
        <v>230</v>
      </c>
      <c r="C40" s="585"/>
      <c r="D40" s="585"/>
      <c r="E40" s="585"/>
      <c r="F40" s="585"/>
      <c r="G40" s="585"/>
      <c r="H40" s="585"/>
      <c r="I40" s="585"/>
      <c r="J40" s="585"/>
      <c r="K40" s="585"/>
      <c r="L40" s="585"/>
      <c r="M40" s="586"/>
      <c r="N40" s="176" t="s">
        <v>165</v>
      </c>
      <c r="O40" s="164">
        <f>'Extra deduc'!I15</f>
        <v>9900</v>
      </c>
    </row>
    <row r="41" spans="1:21" s="177" customFormat="1" ht="14.1" customHeight="1" x14ac:dyDescent="0.25">
      <c r="A41" s="597"/>
      <c r="B41" s="584" t="s">
        <v>229</v>
      </c>
      <c r="C41" s="585"/>
      <c r="D41" s="585"/>
      <c r="E41" s="585"/>
      <c r="F41" s="585"/>
      <c r="G41" s="585"/>
      <c r="H41" s="585"/>
      <c r="I41" s="585"/>
      <c r="J41" s="585"/>
      <c r="K41" s="585"/>
      <c r="L41" s="585"/>
      <c r="M41" s="586"/>
      <c r="N41" s="176" t="s">
        <v>165</v>
      </c>
      <c r="O41" s="164">
        <f>'Extra deduc'!I16</f>
        <v>0</v>
      </c>
    </row>
    <row r="42" spans="1:21" ht="15.75" x14ac:dyDescent="0.25">
      <c r="A42" s="595"/>
      <c r="B42" s="622" t="s">
        <v>194</v>
      </c>
      <c r="C42" s="622"/>
      <c r="D42" s="622"/>
      <c r="E42" s="622"/>
      <c r="F42" s="622"/>
      <c r="G42" s="622"/>
      <c r="H42" s="622"/>
      <c r="I42" s="622"/>
      <c r="J42" s="622"/>
      <c r="K42" s="622"/>
      <c r="L42" s="622"/>
      <c r="M42" s="622"/>
      <c r="N42" s="266" t="s">
        <v>165</v>
      </c>
      <c r="O42" s="178">
        <f>SUM(O34:O41)</f>
        <v>9900</v>
      </c>
    </row>
    <row r="43" spans="1:21" ht="15.75" x14ac:dyDescent="0.25">
      <c r="A43" s="168">
        <v>13</v>
      </c>
      <c r="B43" s="587" t="s">
        <v>227</v>
      </c>
      <c r="C43" s="587"/>
      <c r="D43" s="587"/>
      <c r="E43" s="587"/>
      <c r="F43" s="587"/>
      <c r="G43" s="587"/>
      <c r="H43" s="587"/>
      <c r="I43" s="587"/>
      <c r="J43" s="587"/>
      <c r="K43" s="587"/>
      <c r="L43" s="587"/>
      <c r="M43" s="587"/>
      <c r="N43" s="266" t="s">
        <v>165</v>
      </c>
      <c r="O43" s="169">
        <f>O32+O42</f>
        <v>159900</v>
      </c>
    </row>
    <row r="44" spans="1:21" ht="15.75" x14ac:dyDescent="0.25">
      <c r="A44" s="168">
        <v>14</v>
      </c>
      <c r="B44" s="591" t="s">
        <v>228</v>
      </c>
      <c r="C44" s="591"/>
      <c r="D44" s="591"/>
      <c r="E44" s="591"/>
      <c r="F44" s="591"/>
      <c r="G44" s="591"/>
      <c r="H44" s="591"/>
      <c r="I44" s="591"/>
      <c r="J44" s="591"/>
      <c r="K44" s="591"/>
      <c r="L44" s="591"/>
      <c r="M44" s="591"/>
      <c r="N44" s="266" t="s">
        <v>165</v>
      </c>
      <c r="O44" s="169">
        <f>O16-O43</f>
        <v>512518</v>
      </c>
    </row>
    <row r="45" spans="1:21" ht="15.75" x14ac:dyDescent="0.25">
      <c r="A45" s="168">
        <v>15</v>
      </c>
      <c r="B45" s="587" t="s">
        <v>226</v>
      </c>
      <c r="C45" s="587"/>
      <c r="D45" s="587"/>
      <c r="E45" s="587"/>
      <c r="F45" s="587"/>
      <c r="G45" s="587"/>
      <c r="H45" s="587"/>
      <c r="I45" s="587"/>
      <c r="J45" s="587"/>
      <c r="K45" s="587"/>
      <c r="L45" s="587"/>
      <c r="M45" s="587"/>
      <c r="N45" s="266" t="s">
        <v>165</v>
      </c>
      <c r="O45" s="171">
        <f>ROUND(O44,-1)</f>
        <v>512520</v>
      </c>
    </row>
    <row r="46" spans="1:21" s="177" customFormat="1" ht="14.1" customHeight="1" x14ac:dyDescent="0.25">
      <c r="A46" s="594">
        <v>16</v>
      </c>
      <c r="B46" s="583" t="s">
        <v>195</v>
      </c>
      <c r="C46" s="583"/>
      <c r="D46" s="583"/>
      <c r="E46" s="583"/>
      <c r="F46" s="583"/>
      <c r="G46" s="583"/>
      <c r="H46" s="583"/>
      <c r="I46" s="583"/>
      <c r="J46" s="583"/>
      <c r="K46" s="583"/>
      <c r="L46" s="583"/>
      <c r="M46" s="583"/>
      <c r="N46" s="583"/>
      <c r="O46" s="647"/>
    </row>
    <row r="47" spans="1:21" s="177" customFormat="1" ht="14.1" customHeight="1" x14ac:dyDescent="0.25">
      <c r="A47" s="597"/>
      <c r="B47" s="648" t="s">
        <v>196</v>
      </c>
      <c r="C47" s="648"/>
      <c r="D47" s="648"/>
      <c r="E47" s="648"/>
      <c r="F47" s="648" t="s">
        <v>197</v>
      </c>
      <c r="G47" s="648"/>
      <c r="H47" s="648"/>
      <c r="I47" s="648"/>
      <c r="J47" s="649" t="s">
        <v>198</v>
      </c>
      <c r="K47" s="650"/>
      <c r="L47" s="650"/>
      <c r="M47" s="651"/>
      <c r="N47" s="179"/>
      <c r="O47" s="180"/>
    </row>
    <row r="48" spans="1:21" s="177" customFormat="1" ht="14.1" customHeight="1" x14ac:dyDescent="0.25">
      <c r="A48" s="597"/>
      <c r="B48" s="579" t="s">
        <v>199</v>
      </c>
      <c r="C48" s="580"/>
      <c r="D48" s="581"/>
      <c r="E48" s="267" t="s">
        <v>200</v>
      </c>
      <c r="F48" s="579" t="s">
        <v>201</v>
      </c>
      <c r="G48" s="580"/>
      <c r="H48" s="581"/>
      <c r="I48" s="267" t="s">
        <v>200</v>
      </c>
      <c r="J48" s="579" t="s">
        <v>150</v>
      </c>
      <c r="K48" s="580"/>
      <c r="L48" s="581"/>
      <c r="M48" s="267" t="s">
        <v>150</v>
      </c>
      <c r="N48" s="176" t="s">
        <v>165</v>
      </c>
      <c r="O48" s="181">
        <v>0</v>
      </c>
    </row>
    <row r="49" spans="1:24" s="177" customFormat="1" ht="14.1" customHeight="1" x14ac:dyDescent="0.25">
      <c r="A49" s="597"/>
      <c r="B49" s="579" t="s">
        <v>202</v>
      </c>
      <c r="C49" s="580"/>
      <c r="D49" s="581"/>
      <c r="E49" s="182">
        <v>0.05</v>
      </c>
      <c r="F49" s="596" t="s">
        <v>203</v>
      </c>
      <c r="G49" s="596"/>
      <c r="H49" s="596"/>
      <c r="I49" s="182">
        <v>0.05</v>
      </c>
      <c r="J49" s="579" t="s">
        <v>204</v>
      </c>
      <c r="K49" s="580"/>
      <c r="L49" s="581"/>
      <c r="M49" s="267" t="s">
        <v>200</v>
      </c>
      <c r="N49" s="176" t="s">
        <v>165</v>
      </c>
      <c r="O49" s="181">
        <f>IF(AND(Master!E4=Master!AB23),COMPUTATION!V49,IF(AND(Master!E4=Master!AB24),COMPUTATION!W49,IF(AND(Master!E4=Master!AB25),COMPUTATION!X49,"")))</f>
        <v>12500</v>
      </c>
      <c r="P49" s="183"/>
      <c r="V49" s="177">
        <f>ROUND(IF(O45&lt;=250000,0,IF(O45&gt;=500000,12500,IF(O45&lt;=500000,0+(O45-250000)*0.05))),0)</f>
        <v>12500</v>
      </c>
      <c r="W49" s="177">
        <f>ROUND(IF(O45&lt;=300000,0,IF(O45&gt;=500000,10000,IF(O45&lt;=500000,(O45-300000)*0.05))),0)</f>
        <v>10000</v>
      </c>
      <c r="X49" s="177">
        <v>0</v>
      </c>
    </row>
    <row r="50" spans="1:24" s="177" customFormat="1" ht="14.1" customHeight="1" x14ac:dyDescent="0.25">
      <c r="A50" s="597"/>
      <c r="B50" s="579" t="s">
        <v>205</v>
      </c>
      <c r="C50" s="580"/>
      <c r="D50" s="581"/>
      <c r="E50" s="182">
        <v>0.2</v>
      </c>
      <c r="F50" s="596" t="s">
        <v>205</v>
      </c>
      <c r="G50" s="596"/>
      <c r="H50" s="596"/>
      <c r="I50" s="182">
        <v>0.2</v>
      </c>
      <c r="J50" s="579" t="s">
        <v>205</v>
      </c>
      <c r="K50" s="580"/>
      <c r="L50" s="581"/>
      <c r="M50" s="182">
        <v>0.2</v>
      </c>
      <c r="N50" s="176" t="s">
        <v>165</v>
      </c>
      <c r="O50" s="181">
        <f>IF(AND(Master!E4=Master!AB23),COMPUTATION!V50,IF(AND(Master!E4=Master!AB24),COMPUTATION!W50,IF(AND(Master!E4=Master!AB25),COMPUTATION!X50,"")))</f>
        <v>2504</v>
      </c>
      <c r="P50" s="183"/>
      <c r="V50" s="177">
        <f>ROUND(IF(O45&lt;=500000,0,IF(O45&gt;=1000000,100000,IF(O45&lt;=1000000,(O45-500000)*0.2,"0"))),0)</f>
        <v>2504</v>
      </c>
      <c r="W50" s="177">
        <f>ROUND(IF(O45&lt;=500000,0,IF(O45&gt;=1000000,100000,IF(O45&lt;=1000000,(O45-500000)*0.2,"0"))),0)</f>
        <v>2504</v>
      </c>
      <c r="X50" s="177">
        <f>ROUND(IF(O45&lt;=500000,0,IF(O45&gt;=1000000,100000,IF(O45&lt;=1000000,(O45-500000)*0.2,"0"))),0)</f>
        <v>2504</v>
      </c>
    </row>
    <row r="51" spans="1:24" s="177" customFormat="1" ht="14.1" customHeight="1" x14ac:dyDescent="0.25">
      <c r="A51" s="597"/>
      <c r="B51" s="631" t="s">
        <v>206</v>
      </c>
      <c r="C51" s="632"/>
      <c r="D51" s="633"/>
      <c r="E51" s="182">
        <v>0.3</v>
      </c>
      <c r="F51" s="596" t="s">
        <v>207</v>
      </c>
      <c r="G51" s="596"/>
      <c r="H51" s="596"/>
      <c r="I51" s="182">
        <v>0.3</v>
      </c>
      <c r="J51" s="579" t="s">
        <v>207</v>
      </c>
      <c r="K51" s="580"/>
      <c r="L51" s="581"/>
      <c r="M51" s="182">
        <v>0.3</v>
      </c>
      <c r="N51" s="176" t="s">
        <v>165</v>
      </c>
      <c r="O51" s="181">
        <f>IF(AND(Master!E4=Master!AB23),COMPUTATION!V51,IF(AND(Master!E4=Master!AB24),COMPUTATION!W51,IF(AND(Master!E4=Master!AB25),COMPUTATION!X51,"")))</f>
        <v>0</v>
      </c>
      <c r="P51" s="183"/>
      <c r="V51" s="177">
        <f>ROUND(IF(O45&gt;1000000,(O45-1000000)*0.3,"0"),0)</f>
        <v>0</v>
      </c>
      <c r="W51" s="177">
        <f>ROUND(IF(O45&gt;1000000,(O45-1000000)*0.3,"0"),0)</f>
        <v>0</v>
      </c>
      <c r="X51" s="177">
        <f>ROUND(IF(O45&gt;1000000,(O45-1000000)*0.3,"0"),0)</f>
        <v>0</v>
      </c>
    </row>
    <row r="52" spans="1:24" s="177" customFormat="1" ht="14.1" customHeight="1" x14ac:dyDescent="0.25">
      <c r="A52" s="597"/>
      <c r="B52" s="588" t="s">
        <v>208</v>
      </c>
      <c r="C52" s="589"/>
      <c r="D52" s="589"/>
      <c r="E52" s="589"/>
      <c r="F52" s="589"/>
      <c r="G52" s="589"/>
      <c r="H52" s="589"/>
      <c r="I52" s="589"/>
      <c r="J52" s="589"/>
      <c r="K52" s="589"/>
      <c r="L52" s="589"/>
      <c r="M52" s="590"/>
      <c r="N52" s="176" t="s">
        <v>165</v>
      </c>
      <c r="O52" s="184">
        <f>SUM(O48:O51)</f>
        <v>15004</v>
      </c>
      <c r="P52" s="183"/>
      <c r="V52" s="177">
        <f>ROUND(IF(O45&lt;=250000,0,IF(O45&lt;=500000,(O45-250000)*0.05,IF(O45&lt;=1000000,12500+(O45-500000)*0.2,IF(O45&gt;1000000,112500+(O45-1000000)*0.3,"0")))),0)</f>
        <v>15004</v>
      </c>
      <c r="W52" s="177">
        <f>ROUND(IF(O45&lt;=300000,0,IF(O45&lt;=500000,(O45-300000)*0.05,IF(O45&lt;=1000000,10000+(O45-500000)*0.2,IF(O45&gt;1000000,110000+(O45-1000000)*0.3,"0")))),0)</f>
        <v>12504</v>
      </c>
      <c r="X52" s="177">
        <f>ROUND(IF(O45&lt;=250000,0,IF(O45&lt;=500000,(O45-250000)*0.05,IF(O45&lt;=1000000,0+(O45-500000)*0.2,IF(O45&gt;1000000,100000+(O45-1000000)*0.3,"0")))),0)</f>
        <v>2504</v>
      </c>
    </row>
    <row r="53" spans="1:24" s="177" customFormat="1" ht="14.1" customHeight="1" x14ac:dyDescent="0.25">
      <c r="A53" s="597"/>
      <c r="B53" s="643" t="s">
        <v>224</v>
      </c>
      <c r="C53" s="644"/>
      <c r="D53" s="644"/>
      <c r="E53" s="644"/>
      <c r="F53" s="644"/>
      <c r="G53" s="644"/>
      <c r="H53" s="644"/>
      <c r="I53" s="644"/>
      <c r="J53" s="644"/>
      <c r="K53" s="644"/>
      <c r="L53" s="644"/>
      <c r="M53" s="645"/>
      <c r="N53" s="176"/>
      <c r="O53" s="260">
        <f>IF(O45&gt;350000,0,IF(O45&lt;2501,O45,2500))</f>
        <v>0</v>
      </c>
      <c r="P53" s="183"/>
    </row>
    <row r="54" spans="1:24" s="177" customFormat="1" ht="14.1" customHeight="1" x14ac:dyDescent="0.25">
      <c r="A54" s="597"/>
      <c r="B54" s="588" t="s">
        <v>209</v>
      </c>
      <c r="C54" s="589"/>
      <c r="D54" s="589"/>
      <c r="E54" s="589"/>
      <c r="F54" s="589"/>
      <c r="G54" s="589"/>
      <c r="H54" s="589"/>
      <c r="I54" s="589"/>
      <c r="J54" s="589"/>
      <c r="K54" s="589"/>
      <c r="L54" s="589"/>
      <c r="M54" s="590"/>
      <c r="N54" s="176"/>
      <c r="O54" s="171">
        <f>IF(O52&gt;O53,O52-O53,"0")</f>
        <v>15004</v>
      </c>
      <c r="P54" s="183"/>
    </row>
    <row r="55" spans="1:24" s="177" customFormat="1" ht="14.1" customHeight="1" x14ac:dyDescent="0.25">
      <c r="A55" s="597"/>
      <c r="B55" s="185" t="s">
        <v>225</v>
      </c>
      <c r="C55" s="635" t="s">
        <v>376</v>
      </c>
      <c r="D55" s="636"/>
      <c r="E55" s="636"/>
      <c r="F55" s="176" t="s">
        <v>165</v>
      </c>
      <c r="G55" s="634">
        <f>ROUND((O54*0.02),0)</f>
        <v>300</v>
      </c>
      <c r="H55" s="634"/>
      <c r="I55" s="635" t="s">
        <v>377</v>
      </c>
      <c r="J55" s="636"/>
      <c r="K55" s="636"/>
      <c r="L55" s="176" t="s">
        <v>165</v>
      </c>
      <c r="M55" s="186">
        <f>ROUND((O54*0.01),0)</f>
        <v>150</v>
      </c>
      <c r="N55" s="176" t="s">
        <v>165</v>
      </c>
      <c r="O55" s="260">
        <f>ROUND(G55+M55,0)</f>
        <v>450</v>
      </c>
      <c r="P55" s="183"/>
      <c r="W55" s="177">
        <f>IF(S58&gt;350000,0,IF(S58&lt;2501,S58,2500))</f>
        <v>0</v>
      </c>
    </row>
    <row r="56" spans="1:24" ht="15" customHeight="1" x14ac:dyDescent="0.25">
      <c r="A56" s="595"/>
      <c r="B56" s="625" t="s">
        <v>210</v>
      </c>
      <c r="C56" s="625"/>
      <c r="D56" s="625"/>
      <c r="E56" s="625"/>
      <c r="F56" s="625"/>
      <c r="G56" s="625"/>
      <c r="H56" s="625"/>
      <c r="I56" s="625"/>
      <c r="J56" s="625"/>
      <c r="K56" s="625"/>
      <c r="L56" s="625"/>
      <c r="M56" s="625"/>
      <c r="N56" s="266" t="s">
        <v>165</v>
      </c>
      <c r="O56" s="184">
        <f>O54+O55</f>
        <v>15454</v>
      </c>
      <c r="P56" s="187"/>
    </row>
    <row r="57" spans="1:24" ht="15" customHeight="1" x14ac:dyDescent="0.3">
      <c r="A57" s="168">
        <v>17</v>
      </c>
      <c r="B57" s="637" t="s">
        <v>378</v>
      </c>
      <c r="C57" s="638"/>
      <c r="D57" s="638"/>
      <c r="E57" s="638"/>
      <c r="F57" s="638"/>
      <c r="G57" s="638"/>
      <c r="H57" s="638"/>
      <c r="I57" s="638"/>
      <c r="J57" s="638"/>
      <c r="K57" s="638"/>
      <c r="L57" s="638"/>
      <c r="M57" s="639"/>
      <c r="N57" s="266" t="s">
        <v>165</v>
      </c>
      <c r="O57" s="171">
        <f>'Extra deduc'!I17</f>
        <v>0</v>
      </c>
      <c r="P57" s="187"/>
    </row>
    <row r="58" spans="1:24" ht="15" customHeight="1" x14ac:dyDescent="0.25">
      <c r="A58" s="168">
        <v>18</v>
      </c>
      <c r="B58" s="630" t="s">
        <v>211</v>
      </c>
      <c r="C58" s="630"/>
      <c r="D58" s="630"/>
      <c r="E58" s="630"/>
      <c r="F58" s="630"/>
      <c r="G58" s="630"/>
      <c r="H58" s="630"/>
      <c r="I58" s="630"/>
      <c r="J58" s="630"/>
      <c r="K58" s="630"/>
      <c r="L58" s="630"/>
      <c r="M58" s="630"/>
      <c r="N58" s="266" t="s">
        <v>165</v>
      </c>
      <c r="O58" s="184">
        <f>O56-O57</f>
        <v>15454</v>
      </c>
      <c r="P58" s="187"/>
    </row>
    <row r="59" spans="1:24" ht="36.75" customHeight="1" x14ac:dyDescent="0.25">
      <c r="A59" s="594">
        <v>19</v>
      </c>
      <c r="B59" s="626" t="s">
        <v>212</v>
      </c>
      <c r="C59" s="626"/>
      <c r="D59" s="627"/>
      <c r="E59" s="624" t="s">
        <v>484</v>
      </c>
      <c r="F59" s="624"/>
      <c r="G59" s="624"/>
      <c r="H59" s="592" t="s">
        <v>485</v>
      </c>
      <c r="I59" s="593"/>
      <c r="J59" s="188" t="s">
        <v>486</v>
      </c>
      <c r="K59" s="592" t="s">
        <v>487</v>
      </c>
      <c r="L59" s="593"/>
      <c r="M59" s="574" t="s">
        <v>375</v>
      </c>
      <c r="N59" s="575"/>
      <c r="O59" s="261" t="s">
        <v>374</v>
      </c>
      <c r="P59" s="189"/>
    </row>
    <row r="60" spans="1:24" ht="15.75" x14ac:dyDescent="0.25">
      <c r="A60" s="595"/>
      <c r="B60" s="628"/>
      <c r="C60" s="628"/>
      <c r="D60" s="629"/>
      <c r="E60" s="600">
        <f>SUM('GA55 Summry'!U6:U12)</f>
        <v>4500</v>
      </c>
      <c r="F60" s="600"/>
      <c r="G60" s="600"/>
      <c r="H60" s="600">
        <f>SUM('GA55 Summry'!U6:U15)</f>
        <v>9000</v>
      </c>
      <c r="I60" s="600"/>
      <c r="J60" s="190">
        <f>SUM('GA55 Summry'!U6:U16)</f>
        <v>10500</v>
      </c>
      <c r="K60" s="600">
        <f>SUM('GA55 Summry'!U6:U17)</f>
        <v>12000</v>
      </c>
      <c r="L60" s="600"/>
      <c r="M60" s="576">
        <f>SUM('GA55 Summry'!U18:U25)+'Extra deduc'!I20</f>
        <v>0</v>
      </c>
      <c r="N60" s="576"/>
      <c r="O60" s="191">
        <f>'GA55 Summry'!U26+'Extra deduc'!I20</f>
        <v>12000</v>
      </c>
      <c r="P60" s="189"/>
    </row>
    <row r="61" spans="1:24" ht="19.5" thickBot="1" x14ac:dyDescent="0.3">
      <c r="A61" s="577" t="str">
        <f>IF(O58&gt;O60,"Income Tax Payable",IF(O58&lt;O60,"Income Tax Refundable","Income Tax Payble/Refundable"))</f>
        <v>Income Tax Payable</v>
      </c>
      <c r="B61" s="578"/>
      <c r="C61" s="578"/>
      <c r="D61" s="578"/>
      <c r="E61" s="578"/>
      <c r="F61" s="578"/>
      <c r="G61" s="578"/>
      <c r="H61" s="578"/>
      <c r="I61" s="578"/>
      <c r="J61" s="578"/>
      <c r="K61" s="578"/>
      <c r="L61" s="578"/>
      <c r="M61" s="578"/>
      <c r="N61" s="192" t="s">
        <v>165</v>
      </c>
      <c r="O61" s="193">
        <f>IF(O58&gt;O60,O58-O60,O60-O58)</f>
        <v>3454</v>
      </c>
      <c r="P61" s="189"/>
    </row>
    <row r="62" spans="1:24" ht="16.5" thickTop="1" x14ac:dyDescent="0.25">
      <c r="A62" s="194"/>
      <c r="B62" s="194"/>
      <c r="C62" s="194"/>
      <c r="D62" s="194"/>
      <c r="E62" s="194"/>
      <c r="F62" s="194"/>
      <c r="G62" s="194"/>
      <c r="H62" s="194"/>
      <c r="I62" s="194"/>
      <c r="J62" s="194"/>
      <c r="K62" s="194"/>
      <c r="L62" s="194"/>
      <c r="M62" s="194"/>
      <c r="N62" s="195"/>
      <c r="O62" s="196"/>
      <c r="P62" s="197"/>
    </row>
    <row r="63" spans="1:24" ht="16.5" x14ac:dyDescent="0.25">
      <c r="A63" s="198"/>
      <c r="B63" s="199"/>
      <c r="C63" s="199"/>
      <c r="D63" s="200"/>
      <c r="E63" s="199"/>
      <c r="F63" s="199"/>
      <c r="G63" s="199"/>
      <c r="H63" s="199"/>
      <c r="I63" s="199"/>
      <c r="J63" s="199"/>
      <c r="K63" s="199"/>
      <c r="L63" s="199"/>
      <c r="M63" s="573" t="s">
        <v>213</v>
      </c>
      <c r="N63" s="573"/>
      <c r="O63" s="573"/>
      <c r="P63" s="197"/>
    </row>
    <row r="64" spans="1:24" ht="16.5" x14ac:dyDescent="0.25">
      <c r="A64" s="198"/>
      <c r="B64" s="199"/>
      <c r="C64" s="199"/>
      <c r="D64" s="200"/>
      <c r="E64" s="199"/>
      <c r="F64" s="199"/>
      <c r="G64" s="199"/>
      <c r="H64" s="199"/>
      <c r="I64" s="199"/>
      <c r="J64" s="199"/>
      <c r="K64" s="199"/>
      <c r="L64" s="199"/>
      <c r="M64" s="189"/>
      <c r="N64" s="201"/>
      <c r="O64" s="202"/>
      <c r="P64" s="197"/>
    </row>
    <row r="65" spans="1:24" ht="15.75" x14ac:dyDescent="0.25">
      <c r="A65" s="203"/>
      <c r="B65" s="204"/>
      <c r="C65" s="204"/>
      <c r="D65" s="204"/>
      <c r="E65" s="204"/>
      <c r="F65" s="204"/>
      <c r="G65" s="204"/>
      <c r="H65" s="204"/>
      <c r="I65" s="204"/>
      <c r="J65" s="204"/>
      <c r="K65" s="204"/>
      <c r="L65" s="204"/>
      <c r="M65" s="204"/>
      <c r="N65" s="204"/>
      <c r="O65" s="204"/>
      <c r="P65" s="205"/>
      <c r="Q65" s="177"/>
      <c r="R65" s="177"/>
      <c r="S65" s="177"/>
      <c r="T65" s="177"/>
      <c r="U65" s="177"/>
      <c r="V65" s="177"/>
      <c r="W65" s="177"/>
      <c r="X65" s="177"/>
    </row>
    <row r="66" spans="1:24" ht="15.75" x14ac:dyDescent="0.25">
      <c r="A66" s="206"/>
      <c r="B66" s="204"/>
      <c r="C66" s="204"/>
      <c r="D66" s="204"/>
      <c r="E66" s="204"/>
      <c r="F66" s="204"/>
      <c r="G66" s="204"/>
      <c r="H66" s="204"/>
      <c r="I66" s="204"/>
      <c r="J66" s="204"/>
      <c r="K66" s="204"/>
      <c r="L66" s="204"/>
      <c r="M66" s="204"/>
      <c r="N66" s="204"/>
      <c r="O66" s="204"/>
      <c r="P66" s="205"/>
      <c r="Q66" s="177"/>
      <c r="R66" s="177"/>
      <c r="S66" s="177"/>
      <c r="T66" s="177"/>
      <c r="U66" s="177"/>
      <c r="V66" s="177"/>
      <c r="W66" s="177"/>
      <c r="X66" s="177"/>
    </row>
    <row r="67" spans="1:24" ht="15.75" x14ac:dyDescent="0.25">
      <c r="A67" s="203"/>
      <c r="B67" s="204"/>
      <c r="C67" s="204"/>
      <c r="D67" s="204"/>
      <c r="E67" s="204"/>
      <c r="F67" s="204"/>
      <c r="G67" s="204"/>
      <c r="H67" s="204"/>
      <c r="I67" s="204"/>
      <c r="J67" s="204"/>
      <c r="K67" s="204"/>
      <c r="L67" s="204"/>
      <c r="M67" s="204"/>
      <c r="N67" s="204"/>
      <c r="O67" s="204"/>
      <c r="P67" s="205"/>
      <c r="Q67" s="177"/>
      <c r="R67" s="177"/>
      <c r="S67" s="177"/>
      <c r="T67" s="177"/>
      <c r="U67" s="177"/>
      <c r="V67" s="177"/>
      <c r="W67" s="177"/>
      <c r="X67" s="177"/>
    </row>
    <row r="68" spans="1:24" ht="15.75" x14ac:dyDescent="0.25">
      <c r="A68" s="203"/>
      <c r="B68" s="207"/>
      <c r="C68" s="207"/>
      <c r="D68" s="207"/>
      <c r="E68" s="207"/>
      <c r="F68" s="207"/>
      <c r="G68" s="207"/>
      <c r="H68" s="207"/>
      <c r="I68" s="207"/>
      <c r="J68" s="208"/>
      <c r="K68" s="208"/>
      <c r="L68" s="208"/>
      <c r="M68" s="208"/>
      <c r="N68" s="208"/>
      <c r="O68" s="208"/>
      <c r="P68" s="205"/>
      <c r="Q68" s="177"/>
      <c r="R68" s="177"/>
      <c r="S68" s="177"/>
      <c r="T68" s="177"/>
      <c r="U68" s="177"/>
      <c r="V68" s="177"/>
      <c r="W68" s="177"/>
      <c r="X68" s="177"/>
    </row>
    <row r="69" spans="1:24" ht="15.75" x14ac:dyDescent="0.25">
      <c r="A69" s="203"/>
      <c r="B69" s="207"/>
      <c r="C69" s="207"/>
      <c r="D69" s="207"/>
      <c r="E69" s="207"/>
      <c r="F69" s="207"/>
      <c r="G69" s="207"/>
      <c r="H69" s="207"/>
      <c r="I69" s="207"/>
      <c r="J69" s="208"/>
      <c r="K69" s="208"/>
      <c r="L69" s="208"/>
      <c r="M69" s="208"/>
      <c r="N69" s="208"/>
      <c r="O69" s="208"/>
      <c r="P69" s="205"/>
      <c r="Q69" s="177"/>
      <c r="R69" s="177"/>
      <c r="S69" s="177"/>
      <c r="T69" s="177"/>
      <c r="U69" s="177"/>
      <c r="V69" s="177"/>
      <c r="W69" s="177"/>
      <c r="X69" s="177"/>
    </row>
    <row r="70" spans="1:24" ht="15.75" x14ac:dyDescent="0.25">
      <c r="A70" s="203"/>
      <c r="B70" s="207"/>
      <c r="C70" s="207"/>
      <c r="D70" s="207"/>
      <c r="E70" s="207"/>
      <c r="F70" s="207"/>
      <c r="G70" s="207"/>
      <c r="H70" s="207"/>
      <c r="I70" s="207"/>
      <c r="J70" s="208"/>
      <c r="K70" s="208"/>
      <c r="L70" s="208"/>
      <c r="M70" s="208"/>
      <c r="N70" s="208"/>
      <c r="O70" s="208"/>
      <c r="P70" s="205"/>
      <c r="Q70" s="177"/>
      <c r="R70" s="177"/>
      <c r="S70" s="177"/>
      <c r="T70" s="177"/>
      <c r="U70" s="177"/>
      <c r="V70" s="177"/>
      <c r="W70" s="177"/>
      <c r="X70" s="177"/>
    </row>
    <row r="71" spans="1:24" ht="15.75" x14ac:dyDescent="0.25">
      <c r="A71" s="203"/>
      <c r="B71" s="207"/>
      <c r="C71" s="207"/>
      <c r="D71" s="207"/>
      <c r="E71" s="207"/>
      <c r="F71" s="207"/>
      <c r="G71" s="207"/>
      <c r="H71" s="207"/>
      <c r="I71" s="207"/>
      <c r="J71" s="208"/>
      <c r="K71" s="208"/>
      <c r="L71" s="208"/>
      <c r="M71" s="208"/>
      <c r="N71" s="208"/>
      <c r="O71" s="208"/>
      <c r="P71" s="205"/>
      <c r="Q71" s="177"/>
      <c r="R71" s="177"/>
      <c r="S71" s="177"/>
      <c r="T71" s="177"/>
      <c r="U71" s="177"/>
      <c r="V71" s="177"/>
      <c r="W71" s="177"/>
      <c r="X71" s="177"/>
    </row>
    <row r="72" spans="1:24" ht="15.75" x14ac:dyDescent="0.25">
      <c r="A72" s="203"/>
      <c r="B72" s="207"/>
      <c r="C72" s="207"/>
      <c r="D72" s="207"/>
      <c r="E72" s="207"/>
      <c r="F72" s="207"/>
      <c r="G72" s="207"/>
      <c r="H72" s="207"/>
      <c r="I72" s="207"/>
      <c r="J72" s="208"/>
      <c r="K72" s="208"/>
      <c r="L72" s="208"/>
      <c r="M72" s="208"/>
      <c r="N72" s="208"/>
      <c r="O72" s="208"/>
      <c r="P72" s="205"/>
      <c r="Q72" s="177"/>
      <c r="R72" s="177"/>
      <c r="S72" s="177"/>
      <c r="T72" s="177"/>
      <c r="U72" s="177"/>
      <c r="V72" s="177"/>
      <c r="W72" s="177"/>
      <c r="X72" s="177"/>
    </row>
    <row r="73" spans="1:24" ht="15.75" x14ac:dyDescent="0.25">
      <c r="A73" s="206"/>
      <c r="B73" s="209"/>
      <c r="C73" s="210"/>
      <c r="D73" s="210"/>
      <c r="E73" s="210"/>
      <c r="F73" s="210"/>
      <c r="G73" s="210"/>
      <c r="H73" s="210"/>
      <c r="I73" s="209"/>
      <c r="J73" s="208"/>
      <c r="K73" s="208"/>
      <c r="L73" s="208"/>
      <c r="M73" s="208"/>
      <c r="N73" s="208"/>
      <c r="O73" s="208"/>
      <c r="P73" s="205"/>
      <c r="Q73" s="177"/>
      <c r="R73" s="177"/>
      <c r="S73" s="177"/>
      <c r="T73" s="177"/>
      <c r="U73" s="177"/>
      <c r="V73" s="177"/>
      <c r="W73" s="177"/>
      <c r="X73" s="177"/>
    </row>
    <row r="74" spans="1:24" s="215" customFormat="1" ht="15.75" x14ac:dyDescent="0.25">
      <c r="A74" s="211"/>
      <c r="B74" s="212"/>
      <c r="C74" s="212"/>
      <c r="D74" s="212"/>
      <c r="E74" s="212"/>
      <c r="F74" s="212"/>
      <c r="G74" s="212"/>
      <c r="H74" s="212"/>
      <c r="I74" s="212"/>
      <c r="J74" s="208"/>
      <c r="K74" s="208"/>
      <c r="L74" s="208"/>
      <c r="M74" s="208"/>
      <c r="N74" s="208"/>
      <c r="O74" s="208"/>
      <c r="P74" s="213"/>
      <c r="Q74" s="214"/>
      <c r="R74" s="214"/>
      <c r="S74" s="214"/>
      <c r="T74" s="214"/>
      <c r="U74" s="214"/>
      <c r="V74" s="214"/>
      <c r="W74" s="214"/>
      <c r="X74" s="214"/>
    </row>
    <row r="75" spans="1:24" s="215" customFormat="1" ht="15.75" x14ac:dyDescent="0.25">
      <c r="A75" s="211"/>
      <c r="B75" s="212"/>
      <c r="C75" s="212"/>
      <c r="D75" s="212"/>
      <c r="E75" s="212"/>
      <c r="F75" s="212"/>
      <c r="G75" s="212"/>
      <c r="H75" s="212"/>
      <c r="I75" s="212"/>
      <c r="J75" s="212"/>
      <c r="K75" s="212"/>
      <c r="L75" s="212"/>
      <c r="M75" s="212"/>
      <c r="N75" s="216"/>
      <c r="O75" s="217"/>
      <c r="P75" s="213"/>
      <c r="Q75" s="214"/>
      <c r="R75" s="214"/>
      <c r="S75" s="214"/>
      <c r="T75" s="214"/>
      <c r="U75" s="214"/>
      <c r="V75" s="214"/>
      <c r="W75" s="214"/>
      <c r="X75" s="214"/>
    </row>
    <row r="76" spans="1:24" s="215" customFormat="1" ht="15.75" x14ac:dyDescent="0.25">
      <c r="A76" s="211"/>
      <c r="B76" s="212"/>
      <c r="C76" s="212"/>
      <c r="D76" s="212"/>
      <c r="E76" s="212"/>
      <c r="F76" s="212"/>
      <c r="G76" s="212"/>
      <c r="H76" s="212"/>
      <c r="I76" s="212"/>
      <c r="J76" s="212"/>
      <c r="K76" s="212"/>
      <c r="L76" s="212"/>
      <c r="M76" s="212"/>
      <c r="N76" s="216"/>
      <c r="O76" s="217"/>
      <c r="P76" s="213"/>
      <c r="Q76" s="214"/>
      <c r="R76" s="214"/>
      <c r="S76" s="214"/>
      <c r="T76" s="214"/>
      <c r="U76" s="214"/>
      <c r="V76" s="214"/>
      <c r="W76" s="214"/>
      <c r="X76" s="214"/>
    </row>
    <row r="77" spans="1:24" s="215" customFormat="1" ht="15.75" x14ac:dyDescent="0.25">
      <c r="A77" s="211"/>
      <c r="B77" s="212"/>
      <c r="C77" s="212"/>
      <c r="D77" s="212"/>
      <c r="E77" s="212"/>
      <c r="F77" s="212"/>
      <c r="G77" s="212"/>
      <c r="H77" s="212"/>
      <c r="I77" s="212"/>
      <c r="J77" s="212"/>
      <c r="K77" s="212"/>
      <c r="L77" s="212"/>
      <c r="M77" s="212"/>
      <c r="N77" s="216"/>
      <c r="O77" s="217"/>
      <c r="P77" s="213"/>
      <c r="Q77" s="214"/>
      <c r="R77" s="214"/>
      <c r="S77" s="214"/>
      <c r="T77" s="214"/>
      <c r="U77" s="214"/>
      <c r="V77" s="214"/>
      <c r="W77" s="214"/>
      <c r="X77" s="214"/>
    </row>
    <row r="78" spans="1:24" s="215" customFormat="1" ht="15.75" x14ac:dyDescent="0.25">
      <c r="A78" s="211"/>
      <c r="B78" s="212"/>
      <c r="C78" s="212"/>
      <c r="D78" s="212"/>
      <c r="E78" s="212"/>
      <c r="F78" s="212"/>
      <c r="G78" s="212"/>
      <c r="H78" s="212"/>
      <c r="I78" s="212"/>
      <c r="J78" s="212"/>
      <c r="K78" s="212"/>
      <c r="L78" s="212"/>
      <c r="M78" s="218"/>
      <c r="N78" s="216"/>
      <c r="O78" s="219"/>
      <c r="P78" s="213"/>
      <c r="Q78" s="214"/>
      <c r="R78" s="214"/>
      <c r="S78" s="214"/>
      <c r="T78" s="214"/>
      <c r="U78" s="214"/>
      <c r="V78" s="214"/>
      <c r="W78" s="214"/>
      <c r="X78" s="214"/>
    </row>
    <row r="79" spans="1:24" ht="15.75" x14ac:dyDescent="0.25">
      <c r="A79" s="220"/>
      <c r="B79" s="221"/>
      <c r="C79" s="221"/>
      <c r="D79" s="221"/>
      <c r="E79" s="221"/>
      <c r="F79" s="221"/>
      <c r="G79" s="221"/>
      <c r="H79" s="221"/>
      <c r="I79" s="221"/>
      <c r="J79" s="221"/>
      <c r="K79" s="221"/>
      <c r="L79" s="221"/>
      <c r="M79" s="221"/>
      <c r="N79" s="222"/>
      <c r="O79" s="223"/>
      <c r="P79" s="197"/>
      <c r="Q79" s="177"/>
      <c r="R79" s="177"/>
      <c r="S79" s="177"/>
      <c r="T79" s="177"/>
      <c r="U79" s="177"/>
      <c r="V79" s="177"/>
      <c r="W79" s="177"/>
      <c r="X79" s="177"/>
    </row>
    <row r="80" spans="1:24" x14ac:dyDescent="0.25">
      <c r="B80" s="177"/>
      <c r="C80" s="177"/>
      <c r="D80" s="177"/>
      <c r="E80" s="177"/>
      <c r="F80" s="177"/>
      <c r="G80" s="177"/>
      <c r="H80" s="177"/>
      <c r="I80" s="177"/>
      <c r="J80" s="177"/>
      <c r="K80" s="177"/>
      <c r="L80" s="177"/>
      <c r="M80" s="177"/>
      <c r="N80" s="177"/>
      <c r="O80" s="177"/>
      <c r="P80" s="177"/>
      <c r="Q80" s="177"/>
      <c r="R80" s="177"/>
      <c r="S80" s="177"/>
      <c r="T80" s="177"/>
      <c r="U80" s="177"/>
      <c r="V80" s="177"/>
      <c r="W80" s="177"/>
      <c r="X80" s="177"/>
    </row>
    <row r="81" spans="2:24" x14ac:dyDescent="0.25">
      <c r="B81" s="177"/>
      <c r="C81" s="177"/>
      <c r="D81" s="177"/>
      <c r="E81" s="177"/>
      <c r="F81" s="177"/>
      <c r="G81" s="177"/>
      <c r="H81" s="177"/>
      <c r="I81" s="177"/>
      <c r="J81" s="177"/>
      <c r="K81" s="177"/>
      <c r="L81" s="177"/>
      <c r="M81" s="177"/>
      <c r="N81" s="177"/>
      <c r="O81" s="177"/>
      <c r="P81" s="177"/>
      <c r="Q81" s="177"/>
      <c r="R81" s="177"/>
      <c r="S81" s="177"/>
      <c r="T81" s="177"/>
      <c r="U81" s="177"/>
      <c r="V81" s="177"/>
      <c r="W81" s="177"/>
      <c r="X81" s="177"/>
    </row>
    <row r="82" spans="2:24" x14ac:dyDescent="0.25">
      <c r="B82" s="177"/>
      <c r="C82" s="177"/>
      <c r="D82" s="177"/>
      <c r="E82" s="177"/>
      <c r="F82" s="177"/>
      <c r="G82" s="177"/>
      <c r="H82" s="177"/>
      <c r="I82" s="177"/>
      <c r="J82" s="177"/>
      <c r="K82" s="177"/>
      <c r="L82" s="177"/>
      <c r="M82" s="177"/>
      <c r="N82" s="177"/>
      <c r="O82" s="177"/>
      <c r="P82" s="177"/>
      <c r="Q82" s="177"/>
      <c r="R82" s="177"/>
      <c r="S82" s="177"/>
      <c r="T82" s="177"/>
      <c r="U82" s="177"/>
      <c r="V82" s="177"/>
      <c r="W82" s="177"/>
      <c r="X82" s="177"/>
    </row>
    <row r="83" spans="2:24" x14ac:dyDescent="0.25">
      <c r="B83" s="177"/>
      <c r="C83" s="177"/>
      <c r="D83" s="177"/>
      <c r="E83" s="177"/>
      <c r="F83" s="177"/>
      <c r="G83" s="177"/>
      <c r="H83" s="177"/>
      <c r="I83" s="177"/>
      <c r="J83" s="177"/>
      <c r="K83" s="177"/>
      <c r="L83" s="177"/>
      <c r="M83" s="177"/>
      <c r="N83" s="177"/>
      <c r="O83" s="177"/>
      <c r="P83" s="177"/>
      <c r="Q83" s="177"/>
      <c r="R83" s="177"/>
      <c r="S83" s="177"/>
      <c r="T83" s="177"/>
      <c r="U83" s="177"/>
      <c r="V83" s="177"/>
      <c r="W83" s="177"/>
      <c r="X83" s="177"/>
    </row>
  </sheetData>
  <sheetProtection algorithmName="SHA-512" hashValue="yNYCEBAGCvN9zEWBVVvQuhlAVG/VmSoaXNEjZTBw9YAhcoBjlzTxIFeV9mkT8WLjDNLddAE6TPf3Shpo8HPBuQ==" saltValue="DBKiCderFIc9MJWYi6XMlw==" spinCount="100000" sheet="1" formatCells="0" formatColumns="0" formatRows="0" insertColumns="0" insertRows="0" insertHyperlinks="0" deleteColumns="0" deleteRows="0" sort="0" autoFilter="0" pivotTables="0"/>
  <mergeCells count="123">
    <mergeCell ref="Q30:U35"/>
    <mergeCell ref="Q4:U7"/>
    <mergeCell ref="N3:O3"/>
    <mergeCell ref="B4:M4"/>
    <mergeCell ref="K10:M10"/>
    <mergeCell ref="F11:H11"/>
    <mergeCell ref="I11:J11"/>
    <mergeCell ref="B13:M13"/>
    <mergeCell ref="K11:M11"/>
    <mergeCell ref="B5:M5"/>
    <mergeCell ref="J3:L3"/>
    <mergeCell ref="K7:M7"/>
    <mergeCell ref="B8:J8"/>
    <mergeCell ref="K8:M8"/>
    <mergeCell ref="N7:O7"/>
    <mergeCell ref="N10:O12"/>
    <mergeCell ref="B7:J7"/>
    <mergeCell ref="D11:E11"/>
    <mergeCell ref="I10:J10"/>
    <mergeCell ref="B3:C3"/>
    <mergeCell ref="B10:H10"/>
    <mergeCell ref="F12:H12"/>
    <mergeCell ref="I24:K24"/>
    <mergeCell ref="B33:O33"/>
    <mergeCell ref="A1:O1"/>
    <mergeCell ref="B32:M32"/>
    <mergeCell ref="I21:K21"/>
    <mergeCell ref="C23:E23"/>
    <mergeCell ref="C24:E24"/>
    <mergeCell ref="C27:E27"/>
    <mergeCell ref="B31:M31"/>
    <mergeCell ref="B30:M30"/>
    <mergeCell ref="I22:K22"/>
    <mergeCell ref="B9:M9"/>
    <mergeCell ref="A10:A12"/>
    <mergeCell ref="B6:M6"/>
    <mergeCell ref="D3:H3"/>
    <mergeCell ref="I12:J12"/>
    <mergeCell ref="B11:C12"/>
    <mergeCell ref="K12:M12"/>
    <mergeCell ref="D2:G2"/>
    <mergeCell ref="H2:I2"/>
    <mergeCell ref="J2:L2"/>
    <mergeCell ref="M2:N2"/>
    <mergeCell ref="B14:E14"/>
    <mergeCell ref="J14:M14"/>
    <mergeCell ref="G14:I14"/>
    <mergeCell ref="B29:M29"/>
    <mergeCell ref="H28:K28"/>
    <mergeCell ref="C28:E28"/>
    <mergeCell ref="J51:L51"/>
    <mergeCell ref="B53:M53"/>
    <mergeCell ref="I25:K25"/>
    <mergeCell ref="B46:O46"/>
    <mergeCell ref="B47:E47"/>
    <mergeCell ref="F47:I47"/>
    <mergeCell ref="J47:M47"/>
    <mergeCell ref="E59:G59"/>
    <mergeCell ref="H59:I59"/>
    <mergeCell ref="B56:M56"/>
    <mergeCell ref="B48:D48"/>
    <mergeCell ref="B59:D60"/>
    <mergeCell ref="F49:H49"/>
    <mergeCell ref="B52:M52"/>
    <mergeCell ref="H60:I60"/>
    <mergeCell ref="J49:L49"/>
    <mergeCell ref="B50:D50"/>
    <mergeCell ref="B58:M58"/>
    <mergeCell ref="F51:H51"/>
    <mergeCell ref="E60:G60"/>
    <mergeCell ref="B51:D51"/>
    <mergeCell ref="G55:H55"/>
    <mergeCell ref="I55:K55"/>
    <mergeCell ref="C55:E55"/>
    <mergeCell ref="B57:M57"/>
    <mergeCell ref="A7:A8"/>
    <mergeCell ref="I20:K20"/>
    <mergeCell ref="I27:K27"/>
    <mergeCell ref="B34:M34"/>
    <mergeCell ref="A33:A42"/>
    <mergeCell ref="D12:E12"/>
    <mergeCell ref="B18:O18"/>
    <mergeCell ref="C19:E19"/>
    <mergeCell ref="B15:E15"/>
    <mergeCell ref="G15:I15"/>
    <mergeCell ref="J15:O15"/>
    <mergeCell ref="B16:M16"/>
    <mergeCell ref="I19:K19"/>
    <mergeCell ref="C21:E21"/>
    <mergeCell ref="N19:O28"/>
    <mergeCell ref="B41:M41"/>
    <mergeCell ref="C20:E20"/>
    <mergeCell ref="B37:M37"/>
    <mergeCell ref="C25:E25"/>
    <mergeCell ref="B42:M42"/>
    <mergeCell ref="B35:M35"/>
    <mergeCell ref="C22:E22"/>
    <mergeCell ref="B40:M40"/>
    <mergeCell ref="I23:K23"/>
    <mergeCell ref="M63:O63"/>
    <mergeCell ref="M59:N59"/>
    <mergeCell ref="M60:N60"/>
    <mergeCell ref="A61:M61"/>
    <mergeCell ref="B49:D49"/>
    <mergeCell ref="C26:E26"/>
    <mergeCell ref="B36:M36"/>
    <mergeCell ref="B39:M39"/>
    <mergeCell ref="B43:M43"/>
    <mergeCell ref="B38:M38"/>
    <mergeCell ref="J48:L48"/>
    <mergeCell ref="B54:M54"/>
    <mergeCell ref="F48:H48"/>
    <mergeCell ref="B45:M45"/>
    <mergeCell ref="B44:M44"/>
    <mergeCell ref="K59:L59"/>
    <mergeCell ref="A59:A60"/>
    <mergeCell ref="F50:H50"/>
    <mergeCell ref="J50:L50"/>
    <mergeCell ref="A17:A32"/>
    <mergeCell ref="A46:A56"/>
    <mergeCell ref="B17:O17"/>
    <mergeCell ref="I26:K26"/>
    <mergeCell ref="K60:L60"/>
  </mergeCells>
  <conditionalFormatting sqref="O61">
    <cfRule type="iconSet" priority="4">
      <iconSet iconSet="3TrafficLights2">
        <cfvo type="percent" val="0"/>
        <cfvo type="formula" val="&quot;o60=o58&quot;"/>
        <cfvo type="formula" val="&quot;o60&gt;o58&quot;"/>
      </iconSet>
    </cfRule>
    <cfRule type="iconSet" priority="8">
      <iconSet iconSet="3TrafficLights2">
        <cfvo type="percent" val="0"/>
        <cfvo type="formula" val="$O$60=$O$58"/>
        <cfvo type="formula" val="&quot;o60$O$60$O$58&quot;"/>
      </iconSet>
    </cfRule>
  </conditionalFormatting>
  <conditionalFormatting sqref="K64">
    <cfRule type="iconSet" priority="9">
      <iconSet iconSet="3TrafficLights2">
        <cfvo type="percent" val="0"/>
        <cfvo type="percent" val="33"/>
        <cfvo type="percent" val="67"/>
      </iconSet>
    </cfRule>
  </conditionalFormatting>
  <conditionalFormatting sqref="O65:Q68">
    <cfRule type="iconSet" priority="5">
      <iconSet iconSet="3TrafficLights2">
        <cfvo type="percent" val="0"/>
        <cfvo type="percent" val="33"/>
        <cfvo type="percent" val="67"/>
      </iconSet>
    </cfRule>
  </conditionalFormatting>
  <conditionalFormatting sqref="A61:M61">
    <cfRule type="iconSet" priority="1">
      <iconSet iconSet="3TrafficLights2">
        <cfvo type="percent" val="0"/>
        <cfvo type="percent" val="&quot;Income Tax Payable&quot;"/>
        <cfvo type="formula" val="&quot;Income Tax Refundable&quot;"/>
      </iconSet>
    </cfRule>
    <cfRule type="iconSet" priority="3">
      <iconSet iconSet="3TrafficLights2">
        <cfvo type="percent" val="0"/>
        <cfvo type="percent" val="33"/>
        <cfvo type="percent" val="67"/>
      </iconSet>
    </cfRule>
  </conditionalFormatting>
  <pageMargins left="0.5" right="0.3" top="0.25" bottom="0.4" header="0.3" footer="0.3"/>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126"/>
  <sheetViews>
    <sheetView workbookViewId="0">
      <selection activeCell="A5" sqref="A5:G5"/>
    </sheetView>
  </sheetViews>
  <sheetFormatPr defaultRowHeight="15" x14ac:dyDescent="0.25"/>
  <cols>
    <col min="1" max="1" width="3.140625" style="48" customWidth="1" collapsed="1"/>
    <col min="2" max="2" width="5.5703125" style="48" customWidth="1" collapsed="1"/>
    <col min="3" max="3" width="6.85546875" style="48" customWidth="1" collapsed="1"/>
    <col min="4" max="4" width="7.28515625" style="48" customWidth="1" collapsed="1"/>
    <col min="5" max="5" width="6.5703125" style="48" customWidth="1" collapsed="1"/>
    <col min="6" max="6" width="5.85546875" style="48" customWidth="1" collapsed="1"/>
    <col min="7" max="7" width="6" style="48" customWidth="1" collapsed="1"/>
    <col min="8" max="8" width="4.42578125" style="48" customWidth="1" collapsed="1"/>
    <col min="9" max="9" width="10.42578125" style="48" customWidth="1" collapsed="1"/>
    <col min="10" max="10" width="4" style="48" customWidth="1" collapsed="1"/>
    <col min="11" max="11" width="7.28515625" style="48" customWidth="1" collapsed="1"/>
    <col min="12" max="12" width="7.85546875" style="48" customWidth="1" collapsed="1"/>
    <col min="13" max="13" width="3.5703125" style="48" customWidth="1" collapsed="1"/>
    <col min="14" max="14" width="13.5703125" style="48" customWidth="1" collapsed="1"/>
    <col min="15" max="16384" width="9.140625" style="48" collapsed="1"/>
  </cols>
  <sheetData>
    <row r="1" spans="1:17" ht="17.25" customHeight="1" x14ac:dyDescent="0.25">
      <c r="A1" s="759" t="s">
        <v>77</v>
      </c>
      <c r="B1" s="759"/>
      <c r="C1" s="759"/>
      <c r="D1" s="759"/>
      <c r="E1" s="759"/>
      <c r="F1" s="759"/>
      <c r="G1" s="759"/>
      <c r="H1" s="759"/>
      <c r="I1" s="759"/>
      <c r="J1" s="759"/>
      <c r="K1" s="759"/>
      <c r="L1" s="759"/>
      <c r="M1" s="759"/>
      <c r="N1" s="759"/>
      <c r="O1" s="227"/>
    </row>
    <row r="2" spans="1:17" ht="21.75" customHeight="1" x14ac:dyDescent="0.25">
      <c r="A2" s="759" t="s">
        <v>76</v>
      </c>
      <c r="B2" s="759"/>
      <c r="C2" s="759"/>
      <c r="D2" s="759"/>
      <c r="E2" s="759"/>
      <c r="F2" s="759"/>
      <c r="G2" s="759"/>
      <c r="H2" s="759"/>
      <c r="I2" s="759"/>
      <c r="J2" s="759"/>
      <c r="K2" s="759"/>
      <c r="L2" s="759"/>
      <c r="M2" s="759"/>
      <c r="N2" s="759"/>
      <c r="O2" s="227"/>
    </row>
    <row r="3" spans="1:17" ht="14.25" customHeight="1" x14ac:dyDescent="0.25">
      <c r="A3" s="760" t="s">
        <v>20</v>
      </c>
      <c r="B3" s="760"/>
      <c r="C3" s="760"/>
      <c r="D3" s="760"/>
      <c r="E3" s="760"/>
      <c r="F3" s="760"/>
      <c r="G3" s="760"/>
      <c r="H3" s="760"/>
      <c r="I3" s="760"/>
      <c r="J3" s="760"/>
      <c r="K3" s="760"/>
      <c r="L3" s="760"/>
      <c r="M3" s="760"/>
      <c r="N3" s="760"/>
      <c r="O3" s="227"/>
    </row>
    <row r="4" spans="1:17" ht="12" customHeight="1" thickBot="1" x14ac:dyDescent="0.3">
      <c r="A4" s="760" t="s">
        <v>122</v>
      </c>
      <c r="B4" s="760"/>
      <c r="C4" s="760"/>
      <c r="D4" s="760"/>
      <c r="E4" s="760"/>
      <c r="F4" s="760"/>
      <c r="G4" s="760"/>
      <c r="H4" s="760"/>
      <c r="I4" s="760"/>
      <c r="J4" s="760"/>
      <c r="K4" s="760"/>
      <c r="L4" s="760"/>
      <c r="M4" s="760"/>
      <c r="N4" s="760"/>
      <c r="O4" s="227"/>
    </row>
    <row r="5" spans="1:17" ht="15.6" customHeight="1" thickTop="1" thickBot="1" x14ac:dyDescent="0.3">
      <c r="A5" s="761" t="s">
        <v>70</v>
      </c>
      <c r="B5" s="761"/>
      <c r="C5" s="761"/>
      <c r="D5" s="761"/>
      <c r="E5" s="761"/>
      <c r="F5" s="761"/>
      <c r="G5" s="761"/>
      <c r="H5" s="761" t="s">
        <v>123</v>
      </c>
      <c r="I5" s="761"/>
      <c r="J5" s="761"/>
      <c r="K5" s="761"/>
      <c r="L5" s="761"/>
      <c r="M5" s="761"/>
      <c r="N5" s="761"/>
    </row>
    <row r="6" spans="1:17" ht="15.6" customHeight="1" thickTop="1" thickBot="1" x14ac:dyDescent="0.3">
      <c r="A6" s="720" t="s">
        <v>124</v>
      </c>
      <c r="B6" s="720"/>
      <c r="C6" s="720"/>
      <c r="D6" s="720"/>
      <c r="E6" s="720"/>
      <c r="F6" s="720"/>
      <c r="G6" s="720"/>
      <c r="H6" s="720" t="s">
        <v>21</v>
      </c>
      <c r="I6" s="720"/>
      <c r="J6" s="720"/>
      <c r="K6" s="720"/>
      <c r="L6" s="720"/>
      <c r="M6" s="720"/>
      <c r="N6" s="720"/>
    </row>
    <row r="7" spans="1:17" ht="18.75" customHeight="1" thickTop="1" thickBot="1" x14ac:dyDescent="0.3">
      <c r="A7" s="762" t="str">
        <f>IF(AND(Master!H17=""),"",UPPER(Master!H17))</f>
        <v>DEEO PALI</v>
      </c>
      <c r="B7" s="762"/>
      <c r="C7" s="762"/>
      <c r="D7" s="762"/>
      <c r="E7" s="762"/>
      <c r="F7" s="762"/>
      <c r="G7" s="762"/>
      <c r="H7" s="762" t="str">
        <f>IF(AND(Master!D10=""),"",UPPER(Master!D10))</f>
        <v>ROOPARAM</v>
      </c>
      <c r="I7" s="762"/>
      <c r="J7" s="762"/>
      <c r="K7" s="762"/>
      <c r="L7" s="762"/>
      <c r="M7" s="762"/>
      <c r="N7" s="762"/>
    </row>
    <row r="8" spans="1:17" ht="19.5" customHeight="1" thickTop="1" thickBot="1" x14ac:dyDescent="0.3">
      <c r="A8" s="762"/>
      <c r="B8" s="762"/>
      <c r="C8" s="762"/>
      <c r="D8" s="762"/>
      <c r="E8" s="762"/>
      <c r="F8" s="762"/>
      <c r="G8" s="762"/>
      <c r="H8" s="762" t="str">
        <f>IF(AND(Master!H10=""),"",UPPER(Master!H10))</f>
        <v>HEAD MASTER</v>
      </c>
      <c r="I8" s="762"/>
      <c r="J8" s="762"/>
      <c r="K8" s="762"/>
      <c r="L8" s="762"/>
      <c r="M8" s="762"/>
      <c r="N8" s="762"/>
    </row>
    <row r="9" spans="1:17" ht="18.75" customHeight="1" thickTop="1" thickBot="1" x14ac:dyDescent="0.3">
      <c r="A9" s="762"/>
      <c r="B9" s="762"/>
      <c r="C9" s="762"/>
      <c r="D9" s="762"/>
      <c r="E9" s="762"/>
      <c r="F9" s="762"/>
      <c r="G9" s="762"/>
      <c r="H9" s="721" t="str">
        <f>IF(AND(Master!D11=""),"",UPPER(Master!D11))</f>
        <v>G.U.P.S. UDESHI KUAA</v>
      </c>
      <c r="I9" s="721"/>
      <c r="J9" s="721"/>
      <c r="K9" s="721"/>
      <c r="L9" s="721"/>
      <c r="M9" s="721"/>
      <c r="N9" s="721"/>
    </row>
    <row r="10" spans="1:17" ht="30" customHeight="1" thickTop="1" thickBot="1" x14ac:dyDescent="0.3">
      <c r="A10" s="746" t="s">
        <v>119</v>
      </c>
      <c r="B10" s="746"/>
      <c r="C10" s="746"/>
      <c r="D10" s="746"/>
      <c r="E10" s="746" t="s">
        <v>118</v>
      </c>
      <c r="F10" s="746"/>
      <c r="G10" s="746"/>
      <c r="H10" s="746" t="s">
        <v>120</v>
      </c>
      <c r="I10" s="746"/>
      <c r="J10" s="746"/>
      <c r="K10" s="746"/>
      <c r="L10" s="763" t="s">
        <v>121</v>
      </c>
      <c r="M10" s="763"/>
      <c r="N10" s="763"/>
    </row>
    <row r="11" spans="1:17" ht="23.25" customHeight="1" thickTop="1" thickBot="1" x14ac:dyDescent="0.3">
      <c r="A11" s="764"/>
      <c r="B11" s="764"/>
      <c r="C11" s="764"/>
      <c r="D11" s="764"/>
      <c r="E11" s="735" t="str">
        <f>IF(AND(Master!H13=""),"",UPPER(Master!H13))</f>
        <v>ADIXXX1L</v>
      </c>
      <c r="F11" s="735"/>
      <c r="G11" s="735"/>
      <c r="H11" s="746" t="str">
        <f>IF(AND(Master!D13=""),"",UPPER(Master!D13))</f>
        <v>ADTPC7867R</v>
      </c>
      <c r="I11" s="746"/>
      <c r="J11" s="746"/>
      <c r="K11" s="746"/>
      <c r="L11" s="735" t="str">
        <f>IF(AND(Master!D12=""),"",UPPER(Master!D12))</f>
        <v>RJPA200029005574</v>
      </c>
      <c r="M11" s="735"/>
      <c r="N11" s="735"/>
    </row>
    <row r="12" spans="1:17" ht="18" customHeight="1" thickTop="1" thickBot="1" x14ac:dyDescent="0.3">
      <c r="A12" s="783" t="s">
        <v>72</v>
      </c>
      <c r="B12" s="784"/>
      <c r="C12" s="784"/>
      <c r="D12" s="784"/>
      <c r="E12" s="784"/>
      <c r="F12" s="784"/>
      <c r="G12" s="785"/>
      <c r="H12" s="746" t="s">
        <v>125</v>
      </c>
      <c r="I12" s="746"/>
      <c r="J12" s="746"/>
      <c r="K12" s="746"/>
      <c r="L12" s="768" t="s">
        <v>23</v>
      </c>
      <c r="M12" s="768"/>
      <c r="N12" s="768"/>
    </row>
    <row r="13" spans="1:17" ht="18" customHeight="1" thickTop="1" thickBot="1" x14ac:dyDescent="0.3">
      <c r="A13" s="733" t="s">
        <v>73</v>
      </c>
      <c r="B13" s="733"/>
      <c r="C13" s="786"/>
      <c r="D13" s="787"/>
      <c r="E13" s="787"/>
      <c r="F13" s="787"/>
      <c r="G13" s="788"/>
      <c r="H13" s="733" t="s">
        <v>22</v>
      </c>
      <c r="I13" s="733"/>
      <c r="J13" s="733"/>
      <c r="K13" s="733"/>
      <c r="L13" s="768"/>
      <c r="M13" s="768"/>
      <c r="N13" s="768"/>
    </row>
    <row r="14" spans="1:17" ht="18" customHeight="1" thickTop="1" thickBot="1" x14ac:dyDescent="0.3">
      <c r="A14" s="733"/>
      <c r="B14" s="733"/>
      <c r="C14" s="789"/>
      <c r="D14" s="790"/>
      <c r="E14" s="790"/>
      <c r="F14" s="790"/>
      <c r="G14" s="791"/>
      <c r="H14" s="733" t="s">
        <v>24</v>
      </c>
      <c r="I14" s="733"/>
      <c r="J14" s="733" t="s">
        <v>25</v>
      </c>
      <c r="K14" s="733"/>
      <c r="L14" s="768"/>
      <c r="M14" s="768"/>
      <c r="N14" s="768"/>
    </row>
    <row r="15" spans="1:17" ht="21.75" customHeight="1" thickTop="1" thickBot="1" x14ac:dyDescent="0.3">
      <c r="A15" s="733" t="s">
        <v>74</v>
      </c>
      <c r="B15" s="733"/>
      <c r="C15" s="694"/>
      <c r="D15" s="694"/>
      <c r="E15" s="287" t="s">
        <v>75</v>
      </c>
      <c r="F15" s="694"/>
      <c r="G15" s="694"/>
      <c r="H15" s="767">
        <f>IF(AND(Master!D19=""),"",Master!D19)</f>
        <v>42826</v>
      </c>
      <c r="I15" s="767"/>
      <c r="J15" s="767">
        <f>IF(AND(Master!H19=""),"",Master!H19)</f>
        <v>43190</v>
      </c>
      <c r="K15" s="767"/>
      <c r="L15" s="746" t="str">
        <f>IF(AND(Master!H20=""),"",Master!H20)</f>
        <v>2018-19</v>
      </c>
      <c r="M15" s="746"/>
      <c r="N15" s="746"/>
      <c r="Q15" s="225"/>
    </row>
    <row r="16" spans="1:17" ht="16.5" thickTop="1" thickBot="1" x14ac:dyDescent="0.3">
      <c r="A16" s="752" t="s">
        <v>126</v>
      </c>
      <c r="B16" s="752"/>
      <c r="C16" s="752"/>
      <c r="D16" s="752"/>
      <c r="E16" s="752"/>
      <c r="F16" s="752"/>
      <c r="G16" s="752"/>
      <c r="H16" s="752"/>
      <c r="I16" s="752"/>
      <c r="J16" s="752"/>
      <c r="K16" s="752"/>
      <c r="L16" s="752"/>
      <c r="M16" s="752"/>
      <c r="N16" s="752"/>
    </row>
    <row r="17" spans="1:35" ht="48" customHeight="1" thickTop="1" thickBot="1" x14ac:dyDescent="0.3">
      <c r="A17" s="746" t="s">
        <v>78</v>
      </c>
      <c r="B17" s="746"/>
      <c r="C17" s="746"/>
      <c r="D17" s="763" t="s">
        <v>83</v>
      </c>
      <c r="E17" s="763"/>
      <c r="F17" s="763"/>
      <c r="G17" s="763"/>
      <c r="H17" s="763"/>
      <c r="I17" s="766" t="s">
        <v>84</v>
      </c>
      <c r="J17" s="766"/>
      <c r="K17" s="766" t="s">
        <v>85</v>
      </c>
      <c r="L17" s="766"/>
      <c r="M17" s="765" t="s">
        <v>86</v>
      </c>
      <c r="N17" s="765"/>
    </row>
    <row r="18" spans="1:35" ht="15.95" customHeight="1" thickTop="1" thickBot="1" x14ac:dyDescent="0.3">
      <c r="A18" s="752" t="s">
        <v>79</v>
      </c>
      <c r="B18" s="752"/>
      <c r="C18" s="752"/>
      <c r="D18" s="694"/>
      <c r="E18" s="694"/>
      <c r="F18" s="694"/>
      <c r="G18" s="694"/>
      <c r="H18" s="694"/>
      <c r="I18" s="753">
        <f>SUM('GA55 Summry'!U6:U8)</f>
        <v>0</v>
      </c>
      <c r="J18" s="753"/>
      <c r="K18" s="754">
        <f>I18</f>
        <v>0</v>
      </c>
      <c r="L18" s="754"/>
      <c r="M18" s="754">
        <f>K18</f>
        <v>0</v>
      </c>
      <c r="N18" s="746"/>
    </row>
    <row r="19" spans="1:35" ht="15.95" customHeight="1" thickTop="1" thickBot="1" x14ac:dyDescent="0.3">
      <c r="A19" s="752" t="s">
        <v>80</v>
      </c>
      <c r="B19" s="752"/>
      <c r="C19" s="752"/>
      <c r="D19" s="694"/>
      <c r="E19" s="694"/>
      <c r="F19" s="694"/>
      <c r="G19" s="694"/>
      <c r="H19" s="694"/>
      <c r="I19" s="753">
        <f>SUM('GA55 Summry'!U9:U11)</f>
        <v>3000</v>
      </c>
      <c r="J19" s="753"/>
      <c r="K19" s="754">
        <f t="shared" ref="K19:K21" si="0">I19</f>
        <v>3000</v>
      </c>
      <c r="L19" s="754"/>
      <c r="M19" s="754">
        <f t="shared" ref="M19:M21" si="1">K19</f>
        <v>3000</v>
      </c>
      <c r="N19" s="746"/>
    </row>
    <row r="20" spans="1:35" ht="15.95" customHeight="1" thickTop="1" thickBot="1" x14ac:dyDescent="0.3">
      <c r="A20" s="752" t="s">
        <v>81</v>
      </c>
      <c r="B20" s="752"/>
      <c r="C20" s="752"/>
      <c r="D20" s="694"/>
      <c r="E20" s="694"/>
      <c r="F20" s="694"/>
      <c r="G20" s="694"/>
      <c r="H20" s="694"/>
      <c r="I20" s="753">
        <f>SUM('GA55 Summry'!U12:U14)</f>
        <v>4500</v>
      </c>
      <c r="J20" s="753"/>
      <c r="K20" s="754">
        <f t="shared" si="0"/>
        <v>4500</v>
      </c>
      <c r="L20" s="754"/>
      <c r="M20" s="754">
        <f t="shared" si="1"/>
        <v>4500</v>
      </c>
      <c r="N20" s="746"/>
    </row>
    <row r="21" spans="1:35" ht="15.95" customHeight="1" thickTop="1" thickBot="1" x14ac:dyDescent="0.3">
      <c r="A21" s="752" t="s">
        <v>82</v>
      </c>
      <c r="B21" s="752"/>
      <c r="C21" s="752"/>
      <c r="D21" s="694"/>
      <c r="E21" s="694"/>
      <c r="F21" s="694"/>
      <c r="G21" s="694"/>
      <c r="H21" s="694"/>
      <c r="I21" s="753">
        <f>SUM('GA55 Summry'!U15:U17)</f>
        <v>4500</v>
      </c>
      <c r="J21" s="753"/>
      <c r="K21" s="754">
        <f t="shared" si="0"/>
        <v>4500</v>
      </c>
      <c r="L21" s="754"/>
      <c r="M21" s="754">
        <f t="shared" si="1"/>
        <v>4500</v>
      </c>
      <c r="N21" s="746"/>
    </row>
    <row r="22" spans="1:35" ht="15.95" customHeight="1" thickTop="1" thickBot="1" x14ac:dyDescent="0.3">
      <c r="A22" s="792" t="s">
        <v>87</v>
      </c>
      <c r="B22" s="793"/>
      <c r="C22" s="793"/>
      <c r="D22" s="793"/>
      <c r="E22" s="793"/>
      <c r="F22" s="793"/>
      <c r="G22" s="793"/>
      <c r="H22" s="794"/>
      <c r="I22" s="753">
        <f>SUM(I18:J21)</f>
        <v>12000</v>
      </c>
      <c r="J22" s="753"/>
      <c r="K22" s="754">
        <f>I22</f>
        <v>12000</v>
      </c>
      <c r="L22" s="754"/>
      <c r="M22" s="754">
        <f>K22</f>
        <v>12000</v>
      </c>
      <c r="N22" s="746"/>
    </row>
    <row r="23" spans="1:35" ht="27" customHeight="1" thickTop="1" thickBot="1" x14ac:dyDescent="0.3">
      <c r="A23" s="755" t="str">
        <f>IF(AND(Master!E23=""),"",IF(AND(Master!E23=Master!C24),'Form No. 16'!AI25,IF(AND(Master!E23=Master!C44),'Form No. 16'!AI26,"")))</f>
        <v>I- DETAIL OF TAX DEDUCTED AND DEPOSITED IN THE CENTRAL GOVERNMENT ACCOUNT THROUGH BOOK ADJUSTMENT       (The deductor to provide payment wise detail of tax deducted and deposited with respect to the deductee)</v>
      </c>
      <c r="B23" s="755"/>
      <c r="C23" s="755"/>
      <c r="D23" s="755"/>
      <c r="E23" s="755"/>
      <c r="F23" s="755"/>
      <c r="G23" s="755"/>
      <c r="H23" s="755"/>
      <c r="I23" s="755"/>
      <c r="J23" s="755"/>
      <c r="K23" s="755"/>
      <c r="L23" s="755"/>
      <c r="M23" s="755"/>
      <c r="N23" s="755"/>
    </row>
    <row r="24" spans="1:35" ht="15.75" customHeight="1" thickTop="1" thickBot="1" x14ac:dyDescent="0.3">
      <c r="A24" s="708" t="s">
        <v>88</v>
      </c>
      <c r="B24" s="708"/>
      <c r="C24" s="708" t="str">
        <f>IF(AND(Master!E23=""),"",IF(AND(Master!E23=Master!C24),Master!B24,IF(AND(Master!E23=Master!C44),Master!B44,"")))</f>
        <v>Tax deposited in respect of the deductee (Rs.)</v>
      </c>
      <c r="D24" s="708"/>
      <c r="E24" s="708"/>
      <c r="F24" s="709" t="str">
        <f>IF(AND(Master!E23=""),"",IF(AND(Master!E23=Master!C24),Master!C24,IF(AND(Master!E23=Master!C44),Master!C44,"")))</f>
        <v>Book Identification Number (BIN)</v>
      </c>
      <c r="G24" s="709"/>
      <c r="H24" s="709"/>
      <c r="I24" s="709"/>
      <c r="J24" s="709"/>
      <c r="K24" s="709"/>
      <c r="L24" s="709"/>
      <c r="M24" s="709"/>
      <c r="N24" s="709"/>
    </row>
    <row r="25" spans="1:35" ht="46.5" customHeight="1" thickTop="1" thickBot="1" x14ac:dyDescent="0.3">
      <c r="A25" s="708"/>
      <c r="B25" s="708"/>
      <c r="C25" s="708"/>
      <c r="D25" s="708"/>
      <c r="E25" s="708"/>
      <c r="F25" s="758" t="str">
        <f>IF(AND(Master!E23=""),"",IF(AND(Master!E23=Master!C24),Master!C25,IF(AND(Master!E23=Master!C44),Master!C45,"")))</f>
        <v>Receipt Numbers Of Form no. 24G</v>
      </c>
      <c r="G25" s="758"/>
      <c r="H25" s="758"/>
      <c r="I25" s="757" t="str">
        <f>IF(AND(Master!E23=""),"",IF(AND(Master!E23=Master!C24),Master!D25,IF(AND(Master!E23=Master!C44),Master!D45,"")))</f>
        <v>DDO Serial Number in Form No. 24G</v>
      </c>
      <c r="J25" s="757"/>
      <c r="K25" s="757" t="str">
        <f>IF(AND(Master!E23=""),"",IF(AND(Master!E23=Master!C24),Master!E25,IF(AND(Master!E23=Master!C44),Master!E45,"")))</f>
        <v>Date Of transfer Voucher    (dd/mm/yyyy)</v>
      </c>
      <c r="L25" s="757"/>
      <c r="M25" s="756" t="str">
        <f>IF(AND(Master!E23=""),"",IF(AND(Master!E23=Master!C24),Master!F25,IF(AND(Master!E23=Master!C44),Master!F45,"")))</f>
        <v>Status of matching with form no. 24G</v>
      </c>
      <c r="N25" s="756"/>
      <c r="AI25" s="48" t="s">
        <v>355</v>
      </c>
    </row>
    <row r="26" spans="1:35" ht="18" customHeight="1" thickTop="1" thickBot="1" x14ac:dyDescent="0.3">
      <c r="A26" s="722">
        <v>1</v>
      </c>
      <c r="B26" s="722"/>
      <c r="C26" s="708" t="str">
        <f>IF(AND(Master!$E$23=""),"",IF(AND(Master!$E$23=Master!$C$24),Master!B26,IF(AND(Master!$E$23=Master!$C$44),Master!B46,"")))</f>
        <v/>
      </c>
      <c r="D26" s="708"/>
      <c r="E26" s="708"/>
      <c r="F26" s="708">
        <f>IF(AND(Master!$E$23=""),"",IF(AND(Master!$E$23=Master!$C$24),Master!C26,IF(AND(Master!$E$23=Master!$C$44),Master!C46,"")))</f>
        <v>45</v>
      </c>
      <c r="G26" s="708"/>
      <c r="H26" s="708"/>
      <c r="I26" s="744">
        <f>IF(AND(Master!$E$23=""),"",IF(AND(Master!$E$23=Master!$C$24),Master!D26,IF(AND(Master!$E$23=Master!$C$44),Master!D46,"")))</f>
        <v>45</v>
      </c>
      <c r="J26" s="744"/>
      <c r="K26" s="745">
        <f>IF(AND(Master!$E$23=""),"",IF(AND(Master!$E$23=Master!$C$24),Master!E26,IF(AND(Master!$E$23=Master!$C$44),Master!E46,"")))</f>
        <v>42877</v>
      </c>
      <c r="L26" s="745"/>
      <c r="M26" s="746" t="str">
        <f>IF(AND(Master!$E$23=""),"",IF(AND(Master!$E$23=Master!$C$24),Master!F26,IF(AND(Master!$E$23=Master!$C$44),Master!F46,"")))</f>
        <v>Yes</v>
      </c>
      <c r="N26" s="746"/>
      <c r="AI26" s="48" t="s">
        <v>356</v>
      </c>
    </row>
    <row r="27" spans="1:35" ht="18" customHeight="1" thickTop="1" thickBot="1" x14ac:dyDescent="0.3">
      <c r="A27" s="722">
        <v>2</v>
      </c>
      <c r="B27" s="722"/>
      <c r="C27" s="708" t="str">
        <f>IF(AND(Master!$E$23=""),"",IF(AND(Master!$E$23=Master!$C$24),Master!B27,IF(AND(Master!$E$23=Master!$C$44),Master!B47,"")))</f>
        <v/>
      </c>
      <c r="D27" s="708"/>
      <c r="E27" s="708"/>
      <c r="F27" s="708">
        <f>IF(AND(Master!$E$23=""),"",IF(AND(Master!$E$23=Master!$C$24),Master!C27,IF(AND(Master!$E$23=Master!$C$44),Master!C47,"")))</f>
        <v>25</v>
      </c>
      <c r="G27" s="708"/>
      <c r="H27" s="708"/>
      <c r="I27" s="744">
        <f>IF(AND(Master!$E$23=""),"",IF(AND(Master!$E$23=Master!$C$24),Master!D27,IF(AND(Master!$E$23=Master!$C$44),Master!D47,"")))</f>
        <v>0</v>
      </c>
      <c r="J27" s="744"/>
      <c r="K27" s="745">
        <f>IF(AND(Master!$E$23=""),"",IF(AND(Master!$E$23=Master!$C$24),Master!E27,IF(AND(Master!$E$23=Master!$C$44),Master!E47,"")))</f>
        <v>0</v>
      </c>
      <c r="L27" s="745"/>
      <c r="M27" s="746" t="str">
        <f>IF(AND(Master!$E$23=""),"",IF(AND(Master!$E$23=Master!$C$24),Master!F27,IF(AND(Master!$E$23=Master!$C$44),Master!F47,"")))</f>
        <v>Yes</v>
      </c>
      <c r="N27" s="746"/>
    </row>
    <row r="28" spans="1:35" ht="18" customHeight="1" thickTop="1" thickBot="1" x14ac:dyDescent="0.3">
      <c r="A28" s="722">
        <v>3</v>
      </c>
      <c r="B28" s="722"/>
      <c r="C28" s="708" t="str">
        <f>IF(AND(Master!$E$23=""),"",IF(AND(Master!$E$23=Master!$C$24),Master!B28,IF(AND(Master!$E$23=Master!$C$44),Master!B48,"")))</f>
        <v/>
      </c>
      <c r="D28" s="708"/>
      <c r="E28" s="708"/>
      <c r="F28" s="708">
        <f>IF(AND(Master!$E$23=""),"",IF(AND(Master!$E$23=Master!$C$24),Master!C28,IF(AND(Master!$E$23=Master!$C$44),Master!C48,"")))</f>
        <v>0</v>
      </c>
      <c r="G28" s="708"/>
      <c r="H28" s="708"/>
      <c r="I28" s="744">
        <f>IF(AND(Master!$E$23=""),"",IF(AND(Master!$E$23=Master!$C$24),Master!D28,IF(AND(Master!$E$23=Master!$C$44),Master!D48,"")))</f>
        <v>0</v>
      </c>
      <c r="J28" s="744"/>
      <c r="K28" s="745">
        <f>IF(AND(Master!$E$23=""),"",IF(AND(Master!$E$23=Master!$C$24),Master!E28,IF(AND(Master!$E$23=Master!$C$44),Master!E48,"")))</f>
        <v>0</v>
      </c>
      <c r="L28" s="745"/>
      <c r="M28" s="746" t="str">
        <f>IF(AND(Master!$E$23=""),"",IF(AND(Master!$E$23=Master!$C$24),Master!F28,IF(AND(Master!$E$23=Master!$C$44),Master!F48,"")))</f>
        <v>-</v>
      </c>
      <c r="N28" s="746"/>
    </row>
    <row r="29" spans="1:35" ht="18" customHeight="1" thickTop="1" thickBot="1" x14ac:dyDescent="0.3">
      <c r="A29" s="722">
        <v>4</v>
      </c>
      <c r="B29" s="722"/>
      <c r="C29" s="708" t="str">
        <f>IF(AND(Master!$E$23=""),"",IF(AND(Master!$E$23=Master!$C$24),Master!B29,IF(AND(Master!$E$23=Master!$C$44),Master!B49,"")))</f>
        <v/>
      </c>
      <c r="D29" s="708"/>
      <c r="E29" s="708"/>
      <c r="F29" s="708">
        <f>IF(AND(Master!$E$23=""),"",IF(AND(Master!$E$23=Master!$C$24),Master!C29,IF(AND(Master!$E$23=Master!$C$44),Master!C49,"")))</f>
        <v>0</v>
      </c>
      <c r="G29" s="708"/>
      <c r="H29" s="708"/>
      <c r="I29" s="744">
        <f>IF(AND(Master!$E$23=""),"",IF(AND(Master!$E$23=Master!$C$24),Master!D29,IF(AND(Master!$E$23=Master!$C$44),Master!D49,"")))</f>
        <v>0</v>
      </c>
      <c r="J29" s="744"/>
      <c r="K29" s="745">
        <f>IF(AND(Master!$E$23=""),"",IF(AND(Master!$E$23=Master!$C$24),Master!E29,IF(AND(Master!$E$23=Master!$C$44),Master!E49,"")))</f>
        <v>0</v>
      </c>
      <c r="L29" s="745"/>
      <c r="M29" s="746" t="str">
        <f>IF(AND(Master!$E$23=""),"",IF(AND(Master!$E$23=Master!$C$24),Master!F29,IF(AND(Master!$E$23=Master!$C$44),Master!F49,"")))</f>
        <v>-</v>
      </c>
      <c r="N29" s="746"/>
    </row>
    <row r="30" spans="1:35" ht="18" customHeight="1" thickTop="1" thickBot="1" x14ac:dyDescent="0.3">
      <c r="A30" s="722">
        <v>5</v>
      </c>
      <c r="B30" s="722"/>
      <c r="C30" s="708">
        <f>IF(AND(Master!$E$23=""),"",IF(AND(Master!$E$23=Master!$C$24),Master!B30,IF(AND(Master!$E$23=Master!$C$44),Master!B50,"")))</f>
        <v>1500</v>
      </c>
      <c r="D30" s="708"/>
      <c r="E30" s="708"/>
      <c r="F30" s="708">
        <f>IF(AND(Master!$E$23=""),"",IF(AND(Master!$E$23=Master!$C$24),Master!C30,IF(AND(Master!$E$23=Master!$C$44),Master!C50,"")))</f>
        <v>0</v>
      </c>
      <c r="G30" s="708"/>
      <c r="H30" s="708"/>
      <c r="I30" s="744">
        <f>IF(AND(Master!$E$23=""),"",IF(AND(Master!$E$23=Master!$C$24),Master!D30,IF(AND(Master!$E$23=Master!$C$44),Master!D50,"")))</f>
        <v>0</v>
      </c>
      <c r="J30" s="744"/>
      <c r="K30" s="745">
        <f>IF(AND(Master!$E$23=""),"",IF(AND(Master!$E$23=Master!$C$24),Master!E30,IF(AND(Master!$E$23=Master!$C$44),Master!E50,"")))</f>
        <v>0</v>
      </c>
      <c r="L30" s="745"/>
      <c r="M30" s="746" t="str">
        <f>IF(AND(Master!$E$23=""),"",IF(AND(Master!$E$23=Master!$C$24),Master!F30,IF(AND(Master!$E$23=Master!$C$44),Master!F50,"")))</f>
        <v>-</v>
      </c>
      <c r="N30" s="746"/>
    </row>
    <row r="31" spans="1:35" ht="18" customHeight="1" thickTop="1" thickBot="1" x14ac:dyDescent="0.3">
      <c r="A31" s="722">
        <v>6</v>
      </c>
      <c r="B31" s="722"/>
      <c r="C31" s="708">
        <f>IF(AND(Master!$E$23=""),"",IF(AND(Master!$E$23=Master!$C$24),Master!B31,IF(AND(Master!$E$23=Master!$C$44),Master!B51,"")))</f>
        <v>1500</v>
      </c>
      <c r="D31" s="708"/>
      <c r="E31" s="708"/>
      <c r="F31" s="708">
        <f>IF(AND(Master!$E$23=""),"",IF(AND(Master!$E$23=Master!$C$24),Master!C31,IF(AND(Master!$E$23=Master!$C$44),Master!C51,"")))</f>
        <v>0</v>
      </c>
      <c r="G31" s="708"/>
      <c r="H31" s="708"/>
      <c r="I31" s="744">
        <f>IF(AND(Master!$E$23=""),"",IF(AND(Master!$E$23=Master!$C$24),Master!D31,IF(AND(Master!$E$23=Master!$C$44),Master!D51,"")))</f>
        <v>0</v>
      </c>
      <c r="J31" s="744"/>
      <c r="K31" s="745">
        <f>IF(AND(Master!$E$23=""),"",IF(AND(Master!$E$23=Master!$C$24),Master!E31,IF(AND(Master!$E$23=Master!$C$44),Master!E51,"")))</f>
        <v>0</v>
      </c>
      <c r="L31" s="745"/>
      <c r="M31" s="746" t="str">
        <f>IF(AND(Master!$E$23=""),"",IF(AND(Master!$E$23=Master!$C$24),Master!F31,IF(AND(Master!$E$23=Master!$C$44),Master!F51,"")))</f>
        <v>-</v>
      </c>
      <c r="N31" s="746"/>
    </row>
    <row r="32" spans="1:35" ht="18" customHeight="1" thickTop="1" thickBot="1" x14ac:dyDescent="0.3">
      <c r="A32" s="722">
        <v>7</v>
      </c>
      <c r="B32" s="722"/>
      <c r="C32" s="708">
        <f>IF(AND(Master!$E$23=""),"",IF(AND(Master!$E$23=Master!$C$24),Master!B32,IF(AND(Master!$E$23=Master!$C$44),Master!B52,"")))</f>
        <v>1500</v>
      </c>
      <c r="D32" s="708"/>
      <c r="E32" s="708"/>
      <c r="F32" s="708">
        <f>IF(AND(Master!$E$23=""),"",IF(AND(Master!$E$23=Master!$C$24),Master!C32,IF(AND(Master!$E$23=Master!$C$44),Master!C52,"")))</f>
        <v>8</v>
      </c>
      <c r="G32" s="708"/>
      <c r="H32" s="708"/>
      <c r="I32" s="744">
        <f>IF(AND(Master!$E$23=""),"",IF(AND(Master!$E$23=Master!$C$24),Master!D32,IF(AND(Master!$E$23=Master!$C$44),Master!D52,"")))</f>
        <v>0</v>
      </c>
      <c r="J32" s="744"/>
      <c r="K32" s="745">
        <f>IF(AND(Master!$E$23=""),"",IF(AND(Master!$E$23=Master!$C$24),Master!E32,IF(AND(Master!$E$23=Master!$C$44),Master!E52,"")))</f>
        <v>0</v>
      </c>
      <c r="L32" s="745"/>
      <c r="M32" s="746" t="str">
        <f>IF(AND(Master!$E$23=""),"",IF(AND(Master!$E$23=Master!$C$24),Master!F32,IF(AND(Master!$E$23=Master!$C$44),Master!F52,"")))</f>
        <v>Yes</v>
      </c>
      <c r="N32" s="746"/>
    </row>
    <row r="33" spans="1:16" ht="18" customHeight="1" thickTop="1" thickBot="1" x14ac:dyDescent="0.3">
      <c r="A33" s="722">
        <v>8</v>
      </c>
      <c r="B33" s="722"/>
      <c r="C33" s="708">
        <f>IF(AND(Master!$E$23=""),"",IF(AND(Master!$E$23=Master!$C$24),Master!B33,IF(AND(Master!$E$23=Master!$C$44),Master!B53,"")))</f>
        <v>1500</v>
      </c>
      <c r="D33" s="708"/>
      <c r="E33" s="708"/>
      <c r="F33" s="708">
        <f>IF(AND(Master!$E$23=""),"",IF(AND(Master!$E$23=Master!$C$24),Master!C33,IF(AND(Master!$E$23=Master!$C$44),Master!C53,"")))</f>
        <v>9</v>
      </c>
      <c r="G33" s="708"/>
      <c r="H33" s="708"/>
      <c r="I33" s="744">
        <f>IF(AND(Master!$E$23=""),"",IF(AND(Master!$E$23=Master!$C$24),Master!D33,IF(AND(Master!$E$23=Master!$C$44),Master!D53,"")))</f>
        <v>0</v>
      </c>
      <c r="J33" s="744"/>
      <c r="K33" s="745">
        <f>IF(AND(Master!$E$23=""),"",IF(AND(Master!$E$23=Master!$C$24),Master!E33,IF(AND(Master!$E$23=Master!$C$44),Master!E53,"")))</f>
        <v>0</v>
      </c>
      <c r="L33" s="745"/>
      <c r="M33" s="746" t="str">
        <f>IF(AND(Master!$E$23=""),"",IF(AND(Master!$E$23=Master!$C$24),Master!F33,IF(AND(Master!$E$23=Master!$C$44),Master!F53,"")))</f>
        <v>Yes</v>
      </c>
      <c r="N33" s="746"/>
    </row>
    <row r="34" spans="1:16" ht="18" customHeight="1" thickTop="1" thickBot="1" x14ac:dyDescent="0.3">
      <c r="A34" s="722">
        <v>9</v>
      </c>
      <c r="B34" s="722"/>
      <c r="C34" s="708">
        <f>IF(AND(Master!$E$23=""),"",IF(AND(Master!$E$23=Master!$C$24),Master!B34,IF(AND(Master!$E$23=Master!$C$44),Master!B54,"")))</f>
        <v>1500</v>
      </c>
      <c r="D34" s="708"/>
      <c r="E34" s="708"/>
      <c r="F34" s="708">
        <f>IF(AND(Master!$E$23=""),"",IF(AND(Master!$E$23=Master!$C$24),Master!C34,IF(AND(Master!$E$23=Master!$C$44),Master!C54,"")))</f>
        <v>10</v>
      </c>
      <c r="G34" s="708"/>
      <c r="H34" s="708"/>
      <c r="I34" s="744">
        <f>IF(AND(Master!$E$23=""),"",IF(AND(Master!$E$23=Master!$C$24),Master!D34,IF(AND(Master!$E$23=Master!$C$44),Master!D54,"")))</f>
        <v>0</v>
      </c>
      <c r="J34" s="744"/>
      <c r="K34" s="745">
        <f>IF(AND(Master!$E$23=""),"",IF(AND(Master!$E$23=Master!$C$24),Master!E34,IF(AND(Master!$E$23=Master!$C$44),Master!E54,"")))</f>
        <v>0</v>
      </c>
      <c r="L34" s="745"/>
      <c r="M34" s="746" t="str">
        <f>IF(AND(Master!$E$23=""),"",IF(AND(Master!$E$23=Master!$C$24),Master!F34,IF(AND(Master!$E$23=Master!$C$44),Master!F54,"")))</f>
        <v>Yes</v>
      </c>
      <c r="N34" s="746"/>
    </row>
    <row r="35" spans="1:16" ht="18" customHeight="1" thickTop="1" thickBot="1" x14ac:dyDescent="0.3">
      <c r="A35" s="722">
        <v>10</v>
      </c>
      <c r="B35" s="722"/>
      <c r="C35" s="708">
        <f>IF(AND(Master!$E$23=""),"",IF(AND(Master!$E$23=Master!$C$24),Master!B35,IF(AND(Master!$E$23=Master!$C$44),Master!B55,"")))</f>
        <v>1500</v>
      </c>
      <c r="D35" s="708"/>
      <c r="E35" s="708"/>
      <c r="F35" s="708">
        <f>IF(AND(Master!$E$23=""),"",IF(AND(Master!$E$23=Master!$C$24),Master!C35,IF(AND(Master!$E$23=Master!$C$44),Master!C55,"")))</f>
        <v>15</v>
      </c>
      <c r="G35" s="708"/>
      <c r="H35" s="708"/>
      <c r="I35" s="744">
        <f>IF(AND(Master!$E$23=""),"",IF(AND(Master!$E$23=Master!$C$24),Master!D35,IF(AND(Master!$E$23=Master!$C$44),Master!D55,"")))</f>
        <v>0</v>
      </c>
      <c r="J35" s="744"/>
      <c r="K35" s="745">
        <f>IF(AND(Master!$E$23=""),"",IF(AND(Master!$E$23=Master!$C$24),Master!E35,IF(AND(Master!$E$23=Master!$C$44),Master!E55,"")))</f>
        <v>0</v>
      </c>
      <c r="L35" s="745"/>
      <c r="M35" s="746" t="str">
        <f>IF(AND(Master!$E$23=""),"",IF(AND(Master!$E$23=Master!$C$24),Master!F35,IF(AND(Master!$E$23=Master!$C$44),Master!F55,"")))</f>
        <v>Yes</v>
      </c>
      <c r="N35" s="746"/>
    </row>
    <row r="36" spans="1:16" ht="18" customHeight="1" thickTop="1" thickBot="1" x14ac:dyDescent="0.3">
      <c r="A36" s="722">
        <v>11</v>
      </c>
      <c r="B36" s="722"/>
      <c r="C36" s="708">
        <f>IF(AND(Master!$E$23=""),"",IF(AND(Master!$E$23=Master!$C$24),Master!B36,IF(AND(Master!$E$23=Master!$C$44),Master!B56,"")))</f>
        <v>1500</v>
      </c>
      <c r="D36" s="708"/>
      <c r="E36" s="708"/>
      <c r="F36" s="708">
        <f>IF(AND(Master!$E$23=""),"",IF(AND(Master!$E$23=Master!$C$24),Master!C36,IF(AND(Master!$E$23=Master!$C$44),Master!C56,"")))</f>
        <v>0</v>
      </c>
      <c r="G36" s="708"/>
      <c r="H36" s="708"/>
      <c r="I36" s="744">
        <f>IF(AND(Master!$E$23=""),"",IF(AND(Master!$E$23=Master!$C$24),Master!D36,IF(AND(Master!$E$23=Master!$C$44),Master!D56,"")))</f>
        <v>0</v>
      </c>
      <c r="J36" s="744"/>
      <c r="K36" s="745">
        <f>IF(AND(Master!$E$23=""),"",IF(AND(Master!$E$23=Master!$C$24),Master!E36,IF(AND(Master!$E$23=Master!$C$44),Master!E56,"")))</f>
        <v>0</v>
      </c>
      <c r="L36" s="745"/>
      <c r="M36" s="746" t="str">
        <f>IF(AND(Master!$E$23=""),"",IF(AND(Master!$E$23=Master!$C$24),Master!F36,IF(AND(Master!$E$23=Master!$C$44),Master!F56,"")))</f>
        <v>-</v>
      </c>
      <c r="N36" s="746"/>
    </row>
    <row r="37" spans="1:16" ht="18" customHeight="1" thickTop="1" thickBot="1" x14ac:dyDescent="0.3">
      <c r="A37" s="722">
        <v>12</v>
      </c>
      <c r="B37" s="722"/>
      <c r="C37" s="708">
        <f>IF(AND(Master!$E$23=""),"",IF(AND(Master!$E$23=Master!$C$24),Master!B37,IF(AND(Master!$E$23=Master!$C$44),Master!B57,"")))</f>
        <v>1500</v>
      </c>
      <c r="D37" s="708"/>
      <c r="E37" s="708"/>
      <c r="F37" s="708">
        <f>IF(AND(Master!$E$23=""),"",IF(AND(Master!$E$23=Master!$C$24),Master!C37,IF(AND(Master!$E$23=Master!$C$44),Master!C57,"")))</f>
        <v>0</v>
      </c>
      <c r="G37" s="708"/>
      <c r="H37" s="708"/>
      <c r="I37" s="744">
        <f>IF(AND(Master!$E$23=""),"",IF(AND(Master!$E$23=Master!$C$24),Master!D37,IF(AND(Master!$E$23=Master!$C$44),Master!D57,"")))</f>
        <v>0</v>
      </c>
      <c r="J37" s="744"/>
      <c r="K37" s="745">
        <f>IF(AND(Master!$E$23=""),"",IF(AND(Master!$E$23=Master!$C$24),Master!E37,IF(AND(Master!$E$23=Master!$C$44),Master!E57,"")))</f>
        <v>0</v>
      </c>
      <c r="L37" s="745"/>
      <c r="M37" s="746" t="str">
        <f>IF(AND(Master!$E$23=""),"",IF(AND(Master!$E$23=Master!$C$24),Master!F37,IF(AND(Master!$E$23=Master!$C$44),Master!F57,"")))</f>
        <v>-</v>
      </c>
      <c r="N37" s="746"/>
    </row>
    <row r="38" spans="1:16" ht="18" customHeight="1" thickTop="1" thickBot="1" x14ac:dyDescent="0.3">
      <c r="A38" s="722">
        <v>13</v>
      </c>
      <c r="B38" s="722"/>
      <c r="C38" s="708" t="str">
        <f>IF(AND(Master!$E$23=""),"",IF(AND(Master!$E$23=Master!$C$24),Master!B38,IF(AND(Master!$E$23=Master!$C$44),Master!B58,"")))</f>
        <v/>
      </c>
      <c r="D38" s="708"/>
      <c r="E38" s="708"/>
      <c r="F38" s="708">
        <f>IF(AND(Master!$E$23=""),"",IF(AND(Master!$E$23=Master!$C$24),Master!C38,IF(AND(Master!$E$23=Master!$C$44),Master!C58,"")))</f>
        <v>0</v>
      </c>
      <c r="G38" s="708"/>
      <c r="H38" s="708"/>
      <c r="I38" s="744">
        <f>IF(AND(Master!$E$23=""),"",IF(AND(Master!$E$23=Master!$C$24),Master!D38,IF(AND(Master!$E$23=Master!$C$44),Master!D58,"")))</f>
        <v>0</v>
      </c>
      <c r="J38" s="744"/>
      <c r="K38" s="745">
        <f>IF(AND(Master!$E$23=""),"",IF(AND(Master!$E$23=Master!$C$24),Master!E38,IF(AND(Master!$E$23=Master!$C$44),Master!E58,"")))</f>
        <v>0</v>
      </c>
      <c r="L38" s="745"/>
      <c r="M38" s="746" t="str">
        <f>IF(AND(Master!$E$23=""),"",IF(AND(Master!$E$23=Master!$C$24),Master!F38,IF(AND(Master!$E$23=Master!$C$44),Master!F58,"")))</f>
        <v>-</v>
      </c>
      <c r="N38" s="746"/>
    </row>
    <row r="39" spans="1:16" ht="18" customHeight="1" thickTop="1" thickBot="1" x14ac:dyDescent="0.3">
      <c r="A39" s="722">
        <v>14</v>
      </c>
      <c r="B39" s="722"/>
      <c r="C39" s="708" t="str">
        <f>IF(AND(Master!$E$23=""),"",IF(AND(Master!$E$23=Master!$C$24),Master!B39,IF(AND(Master!$E$23=Master!$C$44),Master!B61,"")))</f>
        <v/>
      </c>
      <c r="D39" s="708"/>
      <c r="E39" s="708"/>
      <c r="F39" s="708">
        <f>IF(AND(Master!$E$23=""),"",IF(AND(Master!$E$23=Master!$C$24),Master!C39,IF(AND(Master!$E$23=Master!$C$44),Master!C61,"")))</f>
        <v>0</v>
      </c>
      <c r="G39" s="708"/>
      <c r="H39" s="708"/>
      <c r="I39" s="744">
        <f>IF(AND(Master!$E$23=""),"",IF(AND(Master!$E$23=Master!$C$24),Master!D39,IF(AND(Master!$E$23=Master!$C$44),Master!D61,"")))</f>
        <v>0</v>
      </c>
      <c r="J39" s="744"/>
      <c r="K39" s="745">
        <f>IF(AND(Master!$E$23=""),"",IF(AND(Master!$E$23=Master!$C$24),Master!E39,IF(AND(Master!$E$23=Master!$C$44),Master!E61,"")))</f>
        <v>0</v>
      </c>
      <c r="L39" s="745"/>
      <c r="M39" s="746" t="str">
        <f>IF(AND(Master!$E$23=""),"",IF(AND(Master!$E$23=Master!$C$24),Master!F39,IF(AND(Master!$E$23=Master!$C$44),Master!F61,"")))</f>
        <v>-</v>
      </c>
      <c r="N39" s="746"/>
    </row>
    <row r="40" spans="1:16" ht="18" customHeight="1" thickTop="1" thickBot="1" x14ac:dyDescent="0.3">
      <c r="A40" s="722">
        <v>15</v>
      </c>
      <c r="B40" s="722"/>
      <c r="C40" s="708" t="str">
        <f>IF(AND(Master!$E$23=""),"",IF(AND(Master!$E$23=Master!$C$24),Master!B40,IF(AND(Master!$E$23=Master!$C$44),Master!B62,"")))</f>
        <v/>
      </c>
      <c r="D40" s="708"/>
      <c r="E40" s="708"/>
      <c r="F40" s="708">
        <f>IF(AND(Master!$E$23=""),"",IF(AND(Master!$E$23=Master!$C$24),Master!C40,IF(AND(Master!$E$23=Master!$C$44),Master!C62,"")))</f>
        <v>0</v>
      </c>
      <c r="G40" s="708"/>
      <c r="H40" s="708"/>
      <c r="I40" s="744">
        <f>IF(AND(Master!$E$23=""),"",IF(AND(Master!$E$23=Master!$C$24),Master!D40,IF(AND(Master!$E$23=Master!$C$44),Master!D62,"")))</f>
        <v>0</v>
      </c>
      <c r="J40" s="744"/>
      <c r="K40" s="745">
        <f>IF(AND(Master!$E$23=""),"",IF(AND(Master!$E$23=Master!$C$24),Master!E40,IF(AND(Master!$E$23=Master!$C$44),Master!E62,"")))</f>
        <v>0</v>
      </c>
      <c r="L40" s="745"/>
      <c r="M40" s="746" t="str">
        <f>IF(AND(Master!$E$23=""),"",IF(AND(Master!$E$23=Master!$C$24),Master!F40,IF(AND(Master!$E$23=Master!$C$44),Master!F62,"")))</f>
        <v>-</v>
      </c>
      <c r="N40" s="746"/>
    </row>
    <row r="41" spans="1:16" ht="18" customHeight="1" thickTop="1" thickBot="1" x14ac:dyDescent="0.3">
      <c r="A41" s="722">
        <v>16</v>
      </c>
      <c r="B41" s="722"/>
      <c r="C41" s="708" t="str">
        <f>IF(AND(Master!$E$23=""),"",IF(AND(Master!$E$23=Master!$C$24),Master!B41,IF(AND(Master!$E$23=Master!$C$44),Master!B63,"")))</f>
        <v/>
      </c>
      <c r="D41" s="708"/>
      <c r="E41" s="708"/>
      <c r="F41" s="708">
        <f>IF(AND(Master!$E$23=""),"",IF(AND(Master!$E$23=Master!$C$24),Master!C41,IF(AND(Master!$E$23=Master!$C$44),Master!C63,"")))</f>
        <v>1</v>
      </c>
      <c r="G41" s="708"/>
      <c r="H41" s="708"/>
      <c r="I41" s="744">
        <f>IF(AND(Master!$E$23=""),"",IF(AND(Master!$E$23=Master!$C$24),Master!D41,IF(AND(Master!$E$23=Master!$C$44),Master!D63,"")))</f>
        <v>0</v>
      </c>
      <c r="J41" s="744"/>
      <c r="K41" s="745">
        <f>IF(AND(Master!$E$23=""),"",IF(AND(Master!$E$23=Master!$C$24),Master!E41,IF(AND(Master!$E$23=Master!$C$44),Master!E63,"")))</f>
        <v>0</v>
      </c>
      <c r="L41" s="745"/>
      <c r="M41" s="746" t="str">
        <f>IF(AND(Master!$E$23=""),"",IF(AND(Master!$E$23=Master!$C$24),Master!F41,IF(AND(Master!$E$23=Master!$C$44),Master!F63,"")))</f>
        <v>Yes</v>
      </c>
      <c r="N41" s="746"/>
    </row>
    <row r="42" spans="1:16" ht="24" customHeight="1" thickTop="1" thickBot="1" x14ac:dyDescent="0.3">
      <c r="A42" s="735" t="s">
        <v>5</v>
      </c>
      <c r="B42" s="735"/>
      <c r="C42" s="748" t="s">
        <v>150</v>
      </c>
      <c r="D42" s="748"/>
      <c r="E42" s="748"/>
      <c r="F42" s="748" t="s">
        <v>150</v>
      </c>
      <c r="G42" s="748"/>
      <c r="H42" s="748"/>
      <c r="I42" s="749" t="s">
        <v>150</v>
      </c>
      <c r="J42" s="749"/>
      <c r="K42" s="749" t="s">
        <v>150</v>
      </c>
      <c r="L42" s="749"/>
      <c r="M42" s="747" t="s">
        <v>150</v>
      </c>
      <c r="N42" s="747"/>
    </row>
    <row r="43" spans="1:16" ht="23.25" customHeight="1" thickTop="1" x14ac:dyDescent="0.25">
      <c r="A43" s="268"/>
      <c r="B43" s="268"/>
      <c r="C43" s="268"/>
      <c r="D43" s="268"/>
      <c r="E43" s="268"/>
      <c r="F43" s="713" t="s">
        <v>95</v>
      </c>
      <c r="G43" s="713"/>
      <c r="H43" s="713"/>
      <c r="I43" s="713"/>
      <c r="J43" s="713"/>
      <c r="K43" s="268"/>
      <c r="L43" s="268"/>
      <c r="M43" s="268"/>
      <c r="N43" s="268"/>
      <c r="O43" s="227"/>
    </row>
    <row r="44" spans="1:16" ht="20.100000000000001" customHeight="1" x14ac:dyDescent="0.25">
      <c r="A44" s="271" t="s">
        <v>67</v>
      </c>
      <c r="B44" s="711" t="str">
        <f>UPPER(IF(Master!D18="","",(Master!D18)))</f>
        <v>NAHAR SINGH RATHORE</v>
      </c>
      <c r="C44" s="711"/>
      <c r="D44" s="711"/>
      <c r="E44" s="711"/>
      <c r="F44" s="711"/>
      <c r="G44" s="712" t="s">
        <v>96</v>
      </c>
      <c r="H44" s="712"/>
      <c r="I44" s="712"/>
      <c r="J44" s="712"/>
      <c r="K44" s="711" t="str">
        <f>UPPER(IF(Master!H18="","",Master!H18))</f>
        <v>AMAR SINGH RATHORE</v>
      </c>
      <c r="L44" s="711"/>
      <c r="M44" s="711"/>
      <c r="N44" s="711"/>
      <c r="O44" s="227"/>
    </row>
    <row r="45" spans="1:16" ht="20.100000000000001" customHeight="1" x14ac:dyDescent="0.25">
      <c r="A45" s="750" t="s">
        <v>97</v>
      </c>
      <c r="B45" s="750"/>
      <c r="C45" s="750"/>
      <c r="D45" s="750"/>
      <c r="E45" s="711" t="str">
        <f>UPPER(IF(Master!D17="","",Master!D17))</f>
        <v>BEEO , SOJAT CITY (PALI)</v>
      </c>
      <c r="F45" s="711"/>
      <c r="G45" s="711"/>
      <c r="H45" s="781" t="s">
        <v>98</v>
      </c>
      <c r="I45" s="781"/>
      <c r="J45" s="781"/>
      <c r="K45" s="781"/>
      <c r="L45" s="781"/>
      <c r="M45" s="781"/>
      <c r="N45" s="283">
        <f>ROUND(M22,0)</f>
        <v>12000</v>
      </c>
      <c r="O45" s="227"/>
      <c r="P45" s="257"/>
    </row>
    <row r="46" spans="1:16" ht="20.100000000000001" customHeight="1" x14ac:dyDescent="0.25">
      <c r="A46" s="732" t="s">
        <v>417</v>
      </c>
      <c r="B46" s="732"/>
      <c r="C46" s="751" t="str">
        <f>"( Rs. "&amp;LOOKUP(IF(INT(RIGHT(N45,7)/100000)&gt;19,INT(RIGHT(N45,7)/1000000),IF(INT(RIGHT(N45,7)/100000)&gt;=10,INT(RIGHT(N45,7)/100000),0)),{0,1,2,3,4,5,6,7,8,9,10,11,12,13,14,15,16,17,18,19},{""," TEN "," TWENTY "," THIRTY "," FOURTY "," FIFTY "," SIXTY "," SEVENTY "," EIGHTY "," NINETY "," TEN "," ELEVEN "," TWELVE "," THIRTEEN "," FOURTEEN "," FIFTEEN "," SIXTEEN"," SEVENTEEN"," EIGHTEEN "," NINETEEN "})&amp;IF((IF(INT(RIGHT(N45,7)/100000)&gt;19,INT(RIGHT(N45,7)/1000000),IF(INT(RIGHT(N45,7)/100000)&gt;=10,INT(RIGHT(N45,7)/100000),0))+IF(INT(RIGHT(N45,7)/100000)&gt;19,INT(RIGHT(N45,6)/100000),IF(INT(RIGHT(N45,7)/100000)&gt;10,0,INT(RIGHT(N45,6)/100000))))&gt;0,LOOKUP(IF(INT(RIGHT(N45,7)/100000)&gt;19,INT(RIGHT(N45,6)/100000),IF(INT(RIGHT(N45,7)/100000)&gt;10,0,INT(RIGHT(N45,6)/100000))),{0,1,2,3,4,5,6,7,8,9,10,11,12,13,14,15,16,17,18,19},{""," ONE "," TWO "," THREE "," FOUR "," FIVE "," SIX "," SEVEN "," EIGHT "," NINE "," TEN "," ELEVEN "," TWELVE "," THIRTEEN "," FOURTEEN "," FIFTEEN "," SIXTEEN"," SEVENTEEN"," EIGHTEEN "," NINETEEN "})&amp;" Lac. "," ")&amp;LOOKUP(IF(INT(RIGHT(N45,5)/1000)&gt;19,INT(RIGHT(N45,5)/10000),IF(INT(RIGHT(N45,5)/1000)&gt;=10,INT(RIGHT(N45,5)/1000),0)),{0,1,2,3,4,5,6,7,8,9,10,11,12,13,14,15,16,17,18,19},{""," TEN "," TWENTY "," THIRTY "," FOURTY "," FIFTY "," SIXTY "," SEVENTY "," EIGHTY "," NINETY "," TEN "," ELEVEN "," TWELVE "," THIRTEEN "," FOURTEEN "," FIFTEEN "," SIXTEEN"," SEVENTEEN"," EIGHTEEN "," NINETEEN "})&amp;IF((IF(INT(RIGHT(N45,5)/1000)&gt;19,INT(RIGHT(N45,4)/1000),IF(INT(RIGHT(N45,5)/1000)&gt;10,0,INT(RIGHT(N45,4)/1000)))+IF(INT(RIGHT(N45,5)/1000)&gt;19,INT(RIGHT(N45,5)/10000),IF(INT(RIGHT(N45,5)/1000)&gt;=10,INT(RIGHT(N45,5)/1000),0)))&gt;0,LOOKUP(IF(INT(RIGHT(N45,5)/1000)&gt;19,INT(RIGHT(N45,4)/1000),IF(INT(RIGHT(N45,5)/1000)&gt;10,0,INT(RIGHT(N45,4)/1000))),{0,1,2,3,4,5,6,7,8,9,10,11,12,13,14,15,16,17,18,19},{""," ONE "," TWO "," THREE "," FOUR "," FIVE "," SIX "," SEVEN "," EIGHT "," NINE "," TEN "," ELEVEN "," TWELVE "," THIRTEEN "," FOURTEEN "," FIFTEEN "," SIXTEEN"," SEVENTEEN"," EIGHTEEN "," NINETEEN "})&amp;" THOUSAND "," ")&amp;IF((INT((RIGHT(N45,3))/100))&gt;0,LOOKUP(INT((RIGHT(N45,3))/100),{0,1,2,3,4,5,6,7,8,9,10,11,12,13,14,15,16,17,18,19},{""," ONE "," TWO "," THREE "," FOUR "," FIVE "," SIX "," SEVEN "," EIGHT "," NINE "," TEN "," ELEVEN "," TWELVE "," THIRTEEN "," FOURTEEN "," FIFTEEN "," SIXTEEN"," SEVENTEEN"," EIGHTEEN "," NINETEEN "})&amp;" HUNDRED "," ")&amp;LOOKUP(IF(INT(RIGHT(N45,2))&gt;19,INT(RIGHT(N45,2)/10),IF(INT(RIGHT(N45,2))&gt;=10,INT(RIGHT(N45,2)),0)),{0,1,2,3,4,5,6,7,8,9,10,11,12,13,14,15,16,17,18,19},{""," TEN "," TWENTY "," THIRTY "," FOURTY "," FIFTY "," SIXTY "," SEVENTY "," EIGHTY "," NINETY "," TEN "," ELEVEN "," TWELVE "," THIRTEEN "," FOURTEEN "," FIFTEEN "," SIXTEEN"," SEVENTEEN"," EIGHTEEN "," NINETEEN "})&amp;LOOKUP(IF(INT(RIGHT(N45,2))&lt;10,INT(RIGHT(N45,1)),IF(INT(RIGHT(N45,2))&lt;20,0,INT(RIGHT(N45,1)))),{0,1,2,3,4,5,6,7,8,9,10,11,12,13,14,15,16,17,18,19},{""," ONE "," TWO "," THREE "," FOUR "," FIVE "," SIX "," SEVEN "," EIGHT "," NINE "," TEN "," ELEVEN "," TWELVE "," THIRTEEN "," FOURTEEN "," FIFTEEN "," SIXTEEN"," SEVENTEEN"," EIGHTEEN "," NINETEEN "})&amp;" Only)"</f>
        <v>( Rs.   TWELVE  THOUSAND   Only)</v>
      </c>
      <c r="D46" s="751"/>
      <c r="E46" s="751"/>
      <c r="F46" s="751"/>
      <c r="G46" s="751"/>
      <c r="H46" s="751"/>
      <c r="I46" s="751"/>
      <c r="J46" s="751"/>
      <c r="K46" s="732" t="s">
        <v>416</v>
      </c>
      <c r="L46" s="782"/>
      <c r="M46" s="782"/>
      <c r="N46" s="782"/>
      <c r="O46" s="227"/>
    </row>
    <row r="47" spans="1:16" ht="20.100000000000001" customHeight="1" x14ac:dyDescent="0.25">
      <c r="A47" s="732" t="s">
        <v>99</v>
      </c>
      <c r="B47" s="732"/>
      <c r="C47" s="732"/>
      <c r="D47" s="732"/>
      <c r="E47" s="732"/>
      <c r="F47" s="732"/>
      <c r="G47" s="732"/>
      <c r="H47" s="732"/>
      <c r="I47" s="732"/>
      <c r="J47" s="732"/>
      <c r="K47" s="732"/>
      <c r="L47" s="732"/>
      <c r="M47" s="732"/>
      <c r="N47" s="732"/>
      <c r="O47" s="227"/>
    </row>
    <row r="48" spans="1:16" ht="20.100000000000001" customHeight="1" thickBot="1" x14ac:dyDescent="0.3">
      <c r="A48" s="732" t="s">
        <v>100</v>
      </c>
      <c r="B48" s="732"/>
      <c r="C48" s="732"/>
      <c r="D48" s="732"/>
      <c r="E48" s="732"/>
      <c r="F48" s="732"/>
      <c r="G48" s="732"/>
      <c r="H48" s="732"/>
      <c r="I48" s="732"/>
      <c r="J48" s="732"/>
      <c r="K48" s="732"/>
      <c r="L48" s="732"/>
      <c r="M48" s="732"/>
      <c r="N48" s="732"/>
      <c r="O48" s="227"/>
    </row>
    <row r="49" spans="1:33" ht="30.95" customHeight="1" thickTop="1" thickBot="1" x14ac:dyDescent="0.3">
      <c r="A49" s="693" t="s">
        <v>101</v>
      </c>
      <c r="B49" s="693"/>
      <c r="C49" s="694"/>
      <c r="D49" s="694"/>
      <c r="E49" s="694"/>
      <c r="F49" s="694"/>
      <c r="G49" s="694"/>
      <c r="H49" s="694"/>
      <c r="I49" s="695" t="s">
        <v>103</v>
      </c>
      <c r="J49" s="695"/>
      <c r="K49" s="695"/>
      <c r="L49" s="695"/>
      <c r="M49" s="695"/>
      <c r="N49" s="695"/>
      <c r="AG49" s="48" t="str">
        <f>"( Rs. "&amp;LOOKUP(IF(INT(RIGHT(N45,7)/100000)&gt;19,INT(RIGHT(N45,7)/1000000),IF(INT(RIGHT(N45,7)/100000)&gt;=10,INT(RIGHT(N45,7)/100000),0)),{0,1,2,3,4,5,6,7,8,9,10,11,12,13,14,15,16,17,18,19},{""," TEN "," TWENTY "," THIRTY "," FOURTY "," FIFTY "," SIXTY "," SEVENTY "," EIGHTY "," NINETY "," TEN "," ELEVEN "," TWELVE "," THIRTEEN "," FOURTEEN "," FIFTEEN "," SIXTEEN"," SEVENTEEN"," EIGHTEEN "," NINETEEN "})&amp;IF((IF(INT(RIGHT(N45,7)/100000)&gt;19,INT(RIGHT(N45,7)/1000000),IF(INT(RIGHT(N45,7)/100000)&gt;=10,INT(RIGHT(N45,7)/100000),0))+IF(INT(RIGHT(N45,7)/100000)&gt;19,INT(RIGHT(N45,6)/100000),IF(INT(RIGHT(N45,7)/100000)&gt;10,0,INT(RIGHT(N45,6)/100000))))&gt;0,LOOKUP(IF(INT(RIGHT(N45,7)/100000)&gt;19,INT(RIGHT(N45,6)/100000),IF(INT(RIGHT(N45,7)/100000)&gt;10,0,INT(RIGHT(N45,6)/100000))),{0,1,2,3,4,5,6,7,8,9,10,11,12,13,14,15,16,17,18,19},{""," ONE "," TWO "," THREE "," FOUR "," FIVE "," SIX "," SEVEN "," EIGHT "," NINE "," TEN "," ELEVEN "," TWELVE "," THIRTEEN "," FOURTEEN "," FIFTEEN "," SIXTEEN"," SEVENTEEN"," EIGHTEEN "," NINETEEN "})&amp;" Lac. "," ")&amp;LOOKUP(IF(INT(RIGHT(N45,5)/1000)&gt;19,INT(RIGHT(N45,5)/10000),IF(INT(RIGHT(N45,5)/1000)&gt;=10,INT(RIGHT(N45,5)/1000),0)),{0,1,2,3,4,5,6,7,8,9,10,11,12,13,14,15,16,17,18,19},{""," TEN "," TWENTY "," THIRTY "," FOURTY "," FIFTY "," SIXTY "," SEVENTY "," EIGHTY "," NINETY "," TEN "," ELEVEN "," TWELVE "," THIRTEEN "," FOURTEEN "," FIFTEEN "," SIXTEEN"," SEVENTEEN"," EIGHTEEN "," NINETEEN "})&amp;IF((IF(INT(RIGHT(N45,5)/1000)&gt;19,INT(RIGHT(N45,4)/1000),IF(INT(RIGHT(N45,5)/1000)&gt;10,0,INT(RIGHT(N45,4)/1000)))+IF(INT(RIGHT(N45,5)/1000)&gt;19,INT(RIGHT(N45,5)/10000),IF(INT(RIGHT(N45,5)/1000)&gt;=10,INT(RIGHT(N45,5)/1000),0)))&gt;0,LOOKUP(IF(INT(RIGHT(N45,5)/1000)&gt;19,INT(RIGHT(N45,4)/1000),IF(INT(RIGHT(N45,5)/1000)&gt;10,0,INT(RIGHT(N45,4)/1000))),{0,1,2,3,4,5,6,7,8,9,10,11,12,13,14,15,16,17,18,19},{""," ONE "," TWO "," THREE "," FOUR "," FIVE "," SIX "," SEVEN "," EIGHT "," NINE "," TEN "," ELEVEN "," TWELVE "," THIRTEEN "," FOURTEEN "," FIFTEEN "," SIXTEEN"," SEVENTEEN"," EIGHTEEN "," NINETEEN "})&amp;" Thousand "," ")&amp;IF((INT((RIGHT(N45,3))/100))&gt;0,LOOKUP(INT((RIGHT(N45,3))/100),{0,1,2,3,4,5,6,7,8,9,10,11,12,13,14,15,16,17,18,19},{""," ONE "," TWO "," THREE "," FOUR "," FIVE "," SIX "," SEVEN "," EIGHT "," NINE "," TEN "," ELEVEN "," TWELVE "," THIRTEEN "," FOURTEEN "," FIFTEEN "," SIXTEEN"," SEVENTEEN"," EIGHTEEN "," NINETEEN "})&amp;" Hundred "," ")&amp;LOOKUP(IF(INT(RIGHT(N45,2))&gt;19,INT(RIGHT(N45,2)/10),IF(INT(RIGHT(N45,2))&gt;=10,INT(RIGHT(N45,2)),0)),{0,1,2,3,4,5,6,7,8,9,10,11,12,13,14,15,16,17,18,19},{""," TEN "," TWENTY "," THIRTY "," FOURTY "," FIFTY "," SIXTY "," SEVENTY "," EIGHTY "," NINETY "," TEN "," ELEVEN "," TWELVE "," THIRTEEN "," FOURTEEN "," FIFTEEN "," SIXTEEN"," SEVENTEEN"," EIGHTEEN "," NINETEEN "})&amp;LOOKUP(IF(INT(RIGHT(N45,2))&lt;10,INT(RIGHT(N45,1)),IF(INT(RIGHT(N45,2))&lt;20,0,INT(RIGHT(N45,1)))),{0,1,2,3,4,5,6,7,8,9,10,11,12,13,14,15,16,17,18,19},{""," ONE "," TWO "," THREE "," FOUR "," FIVE "," SIX "," SEVEN "," EIGHT "," NINE "," TEN "," ELEVEN "," TWELVE "," THIRTEEN "," FOURTEEN "," FIFTEEN "," SIXTEEN"," SEVENTEEN"," EIGHTEEN "," NINETEEN "})&amp;" Only)"</f>
        <v>( Rs.   TWELVE  Thousand   Only)</v>
      </c>
    </row>
    <row r="50" spans="1:33" ht="30.95" customHeight="1" thickTop="1" thickBot="1" x14ac:dyDescent="0.3">
      <c r="A50" s="693" t="s">
        <v>2</v>
      </c>
      <c r="B50" s="693"/>
      <c r="C50" s="696">
        <f ca="1">TODAY()</f>
        <v>43089</v>
      </c>
      <c r="D50" s="697"/>
      <c r="E50" s="697"/>
      <c r="F50" s="697"/>
      <c r="G50" s="697"/>
      <c r="H50" s="698"/>
      <c r="I50" s="695"/>
      <c r="J50" s="695"/>
      <c r="K50" s="695"/>
      <c r="L50" s="695"/>
      <c r="M50" s="695"/>
      <c r="N50" s="695"/>
    </row>
    <row r="51" spans="1:33" ht="30.95" customHeight="1" thickTop="1" thickBot="1" x14ac:dyDescent="0.3">
      <c r="A51" s="693" t="s">
        <v>6</v>
      </c>
      <c r="B51" s="693"/>
      <c r="C51" s="693"/>
      <c r="D51" s="707" t="str">
        <f>UPPER(IF(Master!D17="","",Master!D17))</f>
        <v>BEEO , SOJAT CITY (PALI)</v>
      </c>
      <c r="E51" s="707"/>
      <c r="F51" s="707"/>
      <c r="G51" s="707"/>
      <c r="H51" s="707"/>
      <c r="I51" s="708" t="s">
        <v>102</v>
      </c>
      <c r="J51" s="708"/>
      <c r="K51" s="709" t="str">
        <f>IF(AND(Master!D18=""),"",CONCATENATE("( ",UPPER(Master!D18)," )"))</f>
        <v>( NAHAR SINGH RATHORE )</v>
      </c>
      <c r="L51" s="709"/>
      <c r="M51" s="709"/>
      <c r="N51" s="709"/>
    </row>
    <row r="52" spans="1:33" ht="14.25" customHeight="1" thickTop="1" x14ac:dyDescent="0.25">
      <c r="A52" s="737" t="s">
        <v>104</v>
      </c>
      <c r="B52" s="737"/>
      <c r="C52" s="737"/>
      <c r="D52" s="268"/>
      <c r="E52" s="268"/>
      <c r="F52" s="268"/>
      <c r="G52" s="268"/>
      <c r="H52" s="268"/>
      <c r="I52" s="45"/>
      <c r="J52" s="45"/>
      <c r="K52" s="45"/>
      <c r="L52" s="45"/>
      <c r="M52" s="272"/>
      <c r="N52" s="272"/>
      <c r="O52" s="227"/>
    </row>
    <row r="53" spans="1:33" s="226" customFormat="1" ht="24.95" customHeight="1" x14ac:dyDescent="0.25">
      <c r="A53" s="269">
        <v>1</v>
      </c>
      <c r="B53" s="736" t="s">
        <v>105</v>
      </c>
      <c r="C53" s="736"/>
      <c r="D53" s="736"/>
      <c r="E53" s="736"/>
      <c r="F53" s="736"/>
      <c r="G53" s="736"/>
      <c r="H53" s="736"/>
      <c r="I53" s="736"/>
      <c r="J53" s="736"/>
      <c r="K53" s="736"/>
      <c r="L53" s="736"/>
      <c r="M53" s="736"/>
      <c r="N53" s="736"/>
      <c r="O53" s="284"/>
    </row>
    <row r="54" spans="1:33" s="226" customFormat="1" ht="24.95" customHeight="1" x14ac:dyDescent="0.25">
      <c r="A54" s="269">
        <v>2</v>
      </c>
      <c r="B54" s="736" t="s">
        <v>106</v>
      </c>
      <c r="C54" s="736"/>
      <c r="D54" s="736"/>
      <c r="E54" s="736"/>
      <c r="F54" s="736"/>
      <c r="G54" s="736"/>
      <c r="H54" s="736"/>
      <c r="I54" s="736"/>
      <c r="J54" s="736"/>
      <c r="K54" s="736"/>
      <c r="L54" s="736"/>
      <c r="M54" s="736"/>
      <c r="N54" s="736"/>
      <c r="O54" s="284"/>
      <c r="R54" s="779"/>
      <c r="S54" s="779"/>
      <c r="T54" s="779"/>
      <c r="U54" s="779"/>
    </row>
    <row r="55" spans="1:33" s="226" customFormat="1" ht="24.95" customHeight="1" x14ac:dyDescent="0.25">
      <c r="A55" s="269">
        <v>3</v>
      </c>
      <c r="B55" s="736" t="s">
        <v>107</v>
      </c>
      <c r="C55" s="736"/>
      <c r="D55" s="736"/>
      <c r="E55" s="736"/>
      <c r="F55" s="736"/>
      <c r="G55" s="736"/>
      <c r="H55" s="736"/>
      <c r="I55" s="736"/>
      <c r="J55" s="736"/>
      <c r="K55" s="736"/>
      <c r="L55" s="736"/>
      <c r="M55" s="736"/>
      <c r="N55" s="736"/>
      <c r="O55" s="284"/>
    </row>
    <row r="56" spans="1:33" s="226" customFormat="1" ht="39.75" customHeight="1" x14ac:dyDescent="0.25">
      <c r="A56" s="269">
        <v>4</v>
      </c>
      <c r="B56" s="736" t="s">
        <v>108</v>
      </c>
      <c r="C56" s="736"/>
      <c r="D56" s="736"/>
      <c r="E56" s="736"/>
      <c r="F56" s="736"/>
      <c r="G56" s="736"/>
      <c r="H56" s="736"/>
      <c r="I56" s="736"/>
      <c r="J56" s="736"/>
      <c r="K56" s="736"/>
      <c r="L56" s="736"/>
      <c r="M56" s="736"/>
      <c r="N56" s="736"/>
      <c r="O56" s="284"/>
    </row>
    <row r="57" spans="1:33" s="226" customFormat="1" ht="50.25" customHeight="1" x14ac:dyDescent="0.25">
      <c r="A57" s="269">
        <v>5</v>
      </c>
      <c r="B57" s="736" t="s">
        <v>109</v>
      </c>
      <c r="C57" s="736"/>
      <c r="D57" s="736"/>
      <c r="E57" s="736"/>
      <c r="F57" s="736"/>
      <c r="G57" s="736"/>
      <c r="H57" s="736"/>
      <c r="I57" s="736"/>
      <c r="J57" s="736"/>
      <c r="K57" s="736"/>
      <c r="L57" s="736"/>
      <c r="M57" s="736"/>
      <c r="N57" s="736"/>
      <c r="O57" s="284"/>
    </row>
    <row r="58" spans="1:33" s="226" customFormat="1" ht="24.95" customHeight="1" x14ac:dyDescent="0.25">
      <c r="A58" s="269">
        <v>6</v>
      </c>
      <c r="B58" s="736" t="s">
        <v>110</v>
      </c>
      <c r="C58" s="736"/>
      <c r="D58" s="736"/>
      <c r="E58" s="736"/>
      <c r="F58" s="736"/>
      <c r="G58" s="736"/>
      <c r="H58" s="736"/>
      <c r="I58" s="736"/>
      <c r="J58" s="736"/>
      <c r="K58" s="736"/>
      <c r="L58" s="736"/>
      <c r="M58" s="736"/>
      <c r="N58" s="736"/>
      <c r="O58" s="284"/>
    </row>
    <row r="59" spans="1:33" ht="18.75" customHeight="1" x14ac:dyDescent="0.25">
      <c r="A59" s="46"/>
      <c r="B59" s="46"/>
      <c r="C59" s="268"/>
      <c r="D59" s="268"/>
      <c r="E59" s="268"/>
      <c r="F59" s="268"/>
      <c r="G59" s="711" t="s">
        <v>111</v>
      </c>
      <c r="H59" s="711"/>
      <c r="I59" s="711"/>
      <c r="J59" s="45"/>
      <c r="K59" s="45"/>
      <c r="L59" s="272"/>
      <c r="M59" s="272"/>
      <c r="N59" s="272"/>
      <c r="O59" s="227"/>
    </row>
    <row r="60" spans="1:33" ht="15" customHeight="1" thickBot="1" x14ac:dyDescent="0.3">
      <c r="A60" s="780" t="s">
        <v>26</v>
      </c>
      <c r="B60" s="780"/>
      <c r="C60" s="780"/>
      <c r="D60" s="780"/>
      <c r="E60" s="780"/>
      <c r="F60" s="780"/>
      <c r="G60" s="780"/>
      <c r="H60" s="780"/>
      <c r="I60" s="780"/>
      <c r="J60" s="780"/>
      <c r="K60" s="780"/>
      <c r="L60" s="780"/>
      <c r="M60" s="780"/>
      <c r="N60" s="780"/>
      <c r="O60" s="227"/>
    </row>
    <row r="61" spans="1:33" ht="18" customHeight="1" thickTop="1" thickBot="1" x14ac:dyDescent="0.3">
      <c r="A61" s="288">
        <v>1</v>
      </c>
      <c r="B61" s="795" t="s">
        <v>27</v>
      </c>
      <c r="C61" s="796"/>
      <c r="D61" s="796"/>
      <c r="E61" s="796"/>
      <c r="F61" s="796"/>
      <c r="G61" s="796"/>
      <c r="H61" s="796"/>
      <c r="I61" s="796"/>
      <c r="J61" s="796"/>
      <c r="K61" s="796"/>
      <c r="L61" s="796"/>
      <c r="M61" s="796"/>
      <c r="N61" s="797"/>
    </row>
    <row r="62" spans="1:33" ht="24" customHeight="1" thickTop="1" thickBot="1" x14ac:dyDescent="0.3">
      <c r="A62" s="288"/>
      <c r="B62" s="286" t="s">
        <v>28</v>
      </c>
      <c r="C62" s="755" t="s">
        <v>29</v>
      </c>
      <c r="D62" s="755"/>
      <c r="E62" s="755"/>
      <c r="F62" s="755"/>
      <c r="G62" s="755"/>
      <c r="H62" s="288" t="s">
        <v>30</v>
      </c>
      <c r="I62" s="290">
        <f>IF(AND(COMPUTATION!O16=""),"",COMPUTATION!O16)</f>
        <v>672418</v>
      </c>
      <c r="J62" s="770"/>
      <c r="K62" s="771"/>
      <c r="L62" s="771"/>
      <c r="M62" s="771"/>
      <c r="N62" s="772"/>
    </row>
    <row r="63" spans="1:33" ht="13.5" customHeight="1" thickTop="1" thickBot="1" x14ac:dyDescent="0.3">
      <c r="A63" s="722"/>
      <c r="B63" s="722" t="s">
        <v>31</v>
      </c>
      <c r="C63" s="755" t="s">
        <v>112</v>
      </c>
      <c r="D63" s="755"/>
      <c r="E63" s="755"/>
      <c r="F63" s="755"/>
      <c r="G63" s="755"/>
      <c r="H63" s="722" t="s">
        <v>30</v>
      </c>
      <c r="I63" s="738">
        <f>IF(AND(H7=""),"",)</f>
        <v>0</v>
      </c>
      <c r="J63" s="773"/>
      <c r="K63" s="774"/>
      <c r="L63" s="774"/>
      <c r="M63" s="774"/>
      <c r="N63" s="775"/>
    </row>
    <row r="64" spans="1:33" ht="17.25" customHeight="1" thickTop="1" thickBot="1" x14ac:dyDescent="0.3">
      <c r="A64" s="722"/>
      <c r="B64" s="722"/>
      <c r="C64" s="755"/>
      <c r="D64" s="755"/>
      <c r="E64" s="755"/>
      <c r="F64" s="755"/>
      <c r="G64" s="755"/>
      <c r="H64" s="722"/>
      <c r="I64" s="738"/>
      <c r="J64" s="773"/>
      <c r="K64" s="774"/>
      <c r="L64" s="774"/>
      <c r="M64" s="774"/>
      <c r="N64" s="775"/>
    </row>
    <row r="65" spans="1:15" ht="36.75" customHeight="1" thickTop="1" thickBot="1" x14ac:dyDescent="0.3">
      <c r="A65" s="288"/>
      <c r="B65" s="286" t="s">
        <v>32</v>
      </c>
      <c r="C65" s="755" t="s">
        <v>113</v>
      </c>
      <c r="D65" s="755"/>
      <c r="E65" s="755"/>
      <c r="F65" s="755"/>
      <c r="G65" s="755"/>
      <c r="H65" s="288" t="s">
        <v>30</v>
      </c>
      <c r="I65" s="345">
        <f>IF(AND(H7=""),"",)</f>
        <v>0</v>
      </c>
      <c r="J65" s="776"/>
      <c r="K65" s="777"/>
      <c r="L65" s="777"/>
      <c r="M65" s="777"/>
      <c r="N65" s="778"/>
    </row>
    <row r="66" spans="1:15" ht="18.75" customHeight="1" thickTop="1" thickBot="1" x14ac:dyDescent="0.3">
      <c r="A66" s="288"/>
      <c r="B66" s="292" t="s">
        <v>33</v>
      </c>
      <c r="C66" s="733" t="s">
        <v>34</v>
      </c>
      <c r="D66" s="733"/>
      <c r="E66" s="733"/>
      <c r="F66" s="733"/>
      <c r="G66" s="733"/>
      <c r="H66" s="293"/>
      <c r="I66" s="292"/>
      <c r="J66" s="293" t="s">
        <v>30</v>
      </c>
      <c r="K66" s="739">
        <f>IF(AND(H7=""),"",SUM(I62:I65))</f>
        <v>672418</v>
      </c>
      <c r="L66" s="740"/>
      <c r="M66" s="740"/>
      <c r="N66" s="741"/>
    </row>
    <row r="67" spans="1:15" ht="18" customHeight="1" thickTop="1" thickBot="1" x14ac:dyDescent="0.3">
      <c r="A67" s="288">
        <v>2</v>
      </c>
      <c r="B67" s="734" t="s">
        <v>380</v>
      </c>
      <c r="C67" s="734"/>
      <c r="D67" s="734"/>
      <c r="E67" s="734"/>
      <c r="F67" s="734"/>
      <c r="G67" s="734"/>
      <c r="H67" s="734"/>
      <c r="I67" s="734"/>
      <c r="J67" s="734"/>
      <c r="K67" s="734"/>
      <c r="L67" s="734"/>
      <c r="M67" s="734"/>
      <c r="N67" s="734"/>
    </row>
    <row r="68" spans="1:15" ht="17.25" customHeight="1" thickTop="1" thickBot="1" x14ac:dyDescent="0.3">
      <c r="A68" s="288"/>
      <c r="B68" s="733" t="s">
        <v>128</v>
      </c>
      <c r="C68" s="733"/>
      <c r="D68" s="733"/>
      <c r="E68" s="289" t="s">
        <v>30</v>
      </c>
      <c r="F68" s="722" t="str">
        <f>IF(AND(H7=""),"",COMPUTATION!O5)</f>
        <v>0</v>
      </c>
      <c r="G68" s="722"/>
      <c r="H68" s="701"/>
      <c r="I68" s="701"/>
      <c r="J68" s="701"/>
      <c r="K68" s="701"/>
      <c r="L68" s="701"/>
      <c r="M68" s="701"/>
      <c r="N68" s="701"/>
    </row>
    <row r="69" spans="1:15" ht="21.75" customHeight="1" thickTop="1" thickBot="1" x14ac:dyDescent="0.3">
      <c r="A69" s="288"/>
      <c r="B69" s="722"/>
      <c r="C69" s="722"/>
      <c r="D69" s="722"/>
      <c r="E69" s="722"/>
      <c r="F69" s="722"/>
      <c r="G69" s="722"/>
      <c r="H69" s="722"/>
      <c r="I69" s="722"/>
      <c r="J69" s="293" t="s">
        <v>30</v>
      </c>
      <c r="K69" s="769">
        <f>IF(AND(H7=""),"",SUM(F68))</f>
        <v>0</v>
      </c>
      <c r="L69" s="769"/>
      <c r="M69" s="742"/>
      <c r="N69" s="743"/>
    </row>
    <row r="70" spans="1:15" ht="20.25" customHeight="1" thickTop="1" thickBot="1" x14ac:dyDescent="0.3">
      <c r="A70" s="288">
        <v>3</v>
      </c>
      <c r="B70" s="799" t="s">
        <v>35</v>
      </c>
      <c r="C70" s="799"/>
      <c r="D70" s="799"/>
      <c r="E70" s="799"/>
      <c r="F70" s="799"/>
      <c r="G70" s="799"/>
      <c r="H70" s="799"/>
      <c r="I70" s="799"/>
      <c r="J70" s="799"/>
      <c r="K70" s="799"/>
      <c r="L70" s="293" t="s">
        <v>30</v>
      </c>
      <c r="M70" s="721">
        <f>IF(AND(H7=""),"",K66-K69)</f>
        <v>672418</v>
      </c>
      <c r="N70" s="721"/>
    </row>
    <row r="71" spans="1:15" ht="17.25" customHeight="1" thickTop="1" thickBot="1" x14ac:dyDescent="0.3">
      <c r="A71" s="288">
        <v>4</v>
      </c>
      <c r="B71" s="714" t="s">
        <v>381</v>
      </c>
      <c r="C71" s="714"/>
      <c r="D71" s="714"/>
      <c r="E71" s="714"/>
      <c r="F71" s="714"/>
      <c r="G71" s="714"/>
      <c r="H71" s="714"/>
      <c r="I71" s="714"/>
      <c r="J71" s="770"/>
      <c r="K71" s="771"/>
      <c r="L71" s="771"/>
      <c r="M71" s="771"/>
      <c r="N71" s="772"/>
    </row>
    <row r="72" spans="1:15" ht="17.25" thickTop="1" thickBot="1" x14ac:dyDescent="0.3">
      <c r="A72" s="288"/>
      <c r="B72" s="286" t="s">
        <v>28</v>
      </c>
      <c r="C72" s="798" t="s">
        <v>36</v>
      </c>
      <c r="D72" s="798"/>
      <c r="E72" s="798"/>
      <c r="F72" s="798"/>
      <c r="G72" s="289" t="s">
        <v>30</v>
      </c>
      <c r="H72" s="720">
        <f>IF(AND(H7=""),"",COMPUTATION!K7)</f>
        <v>0</v>
      </c>
      <c r="I72" s="720"/>
      <c r="J72" s="773"/>
      <c r="K72" s="774"/>
      <c r="L72" s="774"/>
      <c r="M72" s="774"/>
      <c r="N72" s="775"/>
    </row>
    <row r="73" spans="1:15" ht="18.75" customHeight="1" thickTop="1" thickBot="1" x14ac:dyDescent="0.3">
      <c r="A73" s="288"/>
      <c r="B73" s="286" t="s">
        <v>31</v>
      </c>
      <c r="C73" s="798" t="s">
        <v>37</v>
      </c>
      <c r="D73" s="798"/>
      <c r="E73" s="798"/>
      <c r="F73" s="798"/>
      <c r="G73" s="289" t="s">
        <v>30</v>
      </c>
      <c r="H73" s="720">
        <f>IF(AND(H7=""),"",COMPUTATION!K8)</f>
        <v>0</v>
      </c>
      <c r="I73" s="720"/>
      <c r="J73" s="773"/>
      <c r="K73" s="774"/>
      <c r="L73" s="774"/>
      <c r="M73" s="774"/>
      <c r="N73" s="775"/>
    </row>
    <row r="74" spans="1:15" ht="22.5" customHeight="1" thickTop="1" thickBot="1" x14ac:dyDescent="0.3">
      <c r="A74" s="288">
        <v>5</v>
      </c>
      <c r="B74" s="714" t="s">
        <v>38</v>
      </c>
      <c r="C74" s="714"/>
      <c r="D74" s="714"/>
      <c r="E74" s="714"/>
      <c r="F74" s="291"/>
      <c r="G74" s="293" t="s">
        <v>30</v>
      </c>
      <c r="H74" s="721">
        <f>IF(AND(H7=""),"",H72+H73)</f>
        <v>0</v>
      </c>
      <c r="I74" s="721"/>
      <c r="J74" s="776"/>
      <c r="K74" s="777"/>
      <c r="L74" s="777"/>
      <c r="M74" s="777"/>
      <c r="N74" s="778"/>
    </row>
    <row r="75" spans="1:15" ht="18" customHeight="1" thickTop="1" thickBot="1" x14ac:dyDescent="0.3">
      <c r="A75" s="288">
        <v>6</v>
      </c>
      <c r="B75" s="723" t="s">
        <v>39</v>
      </c>
      <c r="C75" s="724"/>
      <c r="D75" s="724"/>
      <c r="E75" s="724"/>
      <c r="F75" s="724"/>
      <c r="G75" s="724"/>
      <c r="H75" s="724"/>
      <c r="I75" s="724"/>
      <c r="J75" s="724"/>
      <c r="K75" s="724"/>
      <c r="L75" s="725"/>
      <c r="M75" s="293" t="s">
        <v>30</v>
      </c>
      <c r="N75" s="294">
        <f>IF(AND(H7=""),"",M70-H74)</f>
        <v>672418</v>
      </c>
    </row>
    <row r="76" spans="1:15" ht="16.5" customHeight="1" thickTop="1" thickBot="1" x14ac:dyDescent="0.3">
      <c r="A76" s="288">
        <v>7</v>
      </c>
      <c r="B76" s="723" t="s">
        <v>40</v>
      </c>
      <c r="C76" s="724"/>
      <c r="D76" s="724"/>
      <c r="E76" s="724"/>
      <c r="F76" s="724"/>
      <c r="G76" s="724"/>
      <c r="H76" s="724"/>
      <c r="I76" s="724"/>
      <c r="J76" s="724"/>
      <c r="K76" s="724"/>
      <c r="L76" s="725"/>
      <c r="M76" s="289"/>
      <c r="N76" s="286"/>
    </row>
    <row r="77" spans="1:15" ht="19.5" customHeight="1" thickTop="1" thickBot="1" x14ac:dyDescent="0.3">
      <c r="A77" s="286"/>
      <c r="B77" s="722" t="s">
        <v>382</v>
      </c>
      <c r="C77" s="722"/>
      <c r="D77" s="722"/>
      <c r="E77" s="722"/>
      <c r="F77" s="722"/>
      <c r="G77" s="289" t="s">
        <v>30</v>
      </c>
      <c r="H77" s="722">
        <f>IF(AND(H7=""),"",COMPUTATION!G15)</f>
        <v>0</v>
      </c>
      <c r="I77" s="722"/>
      <c r="J77" s="726"/>
      <c r="K77" s="727"/>
      <c r="L77" s="727"/>
      <c r="M77" s="727"/>
      <c r="N77" s="728"/>
    </row>
    <row r="78" spans="1:15" ht="21.75" customHeight="1" thickTop="1" thickBot="1" x14ac:dyDescent="0.3">
      <c r="A78" s="286"/>
      <c r="B78" s="722" t="s">
        <v>66</v>
      </c>
      <c r="C78" s="722"/>
      <c r="D78" s="722"/>
      <c r="E78" s="722"/>
      <c r="F78" s="722"/>
      <c r="G78" s="289" t="s">
        <v>30</v>
      </c>
      <c r="H78" s="722">
        <f>IF(AND(H7=""),"",COMPUTATION!G14)</f>
        <v>9900</v>
      </c>
      <c r="I78" s="722"/>
      <c r="J78" s="289" t="s">
        <v>30</v>
      </c>
      <c r="K78" s="722"/>
      <c r="L78" s="722"/>
      <c r="M78" s="289" t="s">
        <v>30</v>
      </c>
      <c r="N78" s="293">
        <f>IF(AND(H7=""),"",H77+H78+K78)</f>
        <v>9900</v>
      </c>
    </row>
    <row r="79" spans="1:15" ht="22.5" customHeight="1" thickTop="1" thickBot="1" x14ac:dyDescent="0.3">
      <c r="A79" s="295">
        <v>8</v>
      </c>
      <c r="B79" s="724" t="s">
        <v>41</v>
      </c>
      <c r="C79" s="724"/>
      <c r="D79" s="724"/>
      <c r="E79" s="724"/>
      <c r="F79" s="296"/>
      <c r="G79" s="296"/>
      <c r="H79" s="297"/>
      <c r="I79" s="296"/>
      <c r="J79" s="297"/>
      <c r="K79" s="296"/>
      <c r="L79" s="296"/>
      <c r="M79" s="293" t="s">
        <v>30</v>
      </c>
      <c r="N79" s="298">
        <f>IF(AND(H7=""),"",N75+N78)</f>
        <v>682318</v>
      </c>
    </row>
    <row r="80" spans="1:15" ht="16.5" thickTop="1" thickBot="1" x14ac:dyDescent="0.3">
      <c r="A80" s="285">
        <v>9</v>
      </c>
      <c r="B80" s="715" t="s">
        <v>42</v>
      </c>
      <c r="C80" s="715"/>
      <c r="D80" s="715"/>
      <c r="E80" s="715"/>
      <c r="F80" s="715"/>
      <c r="G80" s="229"/>
      <c r="H80" s="229"/>
      <c r="I80" s="229"/>
      <c r="J80" s="229"/>
      <c r="K80" s="229"/>
      <c r="L80" s="229"/>
      <c r="M80" s="228"/>
      <c r="N80" s="229"/>
      <c r="O80" s="227"/>
    </row>
    <row r="81" spans="1:14" ht="16.5" thickTop="1" thickBot="1" x14ac:dyDescent="0.3">
      <c r="A81" s="299" t="s">
        <v>43</v>
      </c>
      <c r="B81" s="734" t="s">
        <v>44</v>
      </c>
      <c r="C81" s="734"/>
      <c r="D81" s="734"/>
      <c r="E81" s="734"/>
      <c r="F81" s="734"/>
      <c r="G81" s="734"/>
      <c r="H81" s="733" t="s">
        <v>45</v>
      </c>
      <c r="I81" s="733"/>
      <c r="J81" s="735" t="s">
        <v>46</v>
      </c>
      <c r="K81" s="735"/>
      <c r="L81" s="735"/>
      <c r="M81" s="733" t="s">
        <v>47</v>
      </c>
      <c r="N81" s="733"/>
    </row>
    <row r="82" spans="1:14" ht="16.5" thickTop="1" thickBot="1" x14ac:dyDescent="0.3">
      <c r="A82" s="288"/>
      <c r="B82" s="300" t="s">
        <v>431</v>
      </c>
      <c r="C82" s="729" t="s">
        <v>48</v>
      </c>
      <c r="D82" s="730"/>
      <c r="E82" s="730"/>
      <c r="F82" s="730"/>
      <c r="G82" s="731"/>
      <c r="H82" s="733"/>
      <c r="I82" s="733"/>
      <c r="J82" s="735"/>
      <c r="K82" s="735"/>
      <c r="L82" s="735"/>
      <c r="M82" s="733"/>
      <c r="N82" s="733"/>
    </row>
    <row r="83" spans="1:14" ht="14.1" customHeight="1" thickTop="1" thickBot="1" x14ac:dyDescent="0.3">
      <c r="A83" s="288"/>
      <c r="B83" s="288" t="s">
        <v>49</v>
      </c>
      <c r="C83" s="704" t="s">
        <v>14</v>
      </c>
      <c r="D83" s="704"/>
      <c r="E83" s="704"/>
      <c r="F83" s="704"/>
      <c r="G83" s="704"/>
      <c r="H83" s="289" t="s">
        <v>30</v>
      </c>
      <c r="I83" s="301">
        <f>IF(AND(H7=""),"",COMPUTATION!G19)</f>
        <v>36000</v>
      </c>
      <c r="J83" s="302" t="s">
        <v>30</v>
      </c>
      <c r="K83" s="691">
        <f>I83</f>
        <v>36000</v>
      </c>
      <c r="L83" s="691"/>
      <c r="M83" s="302" t="s">
        <v>30</v>
      </c>
      <c r="N83" s="298">
        <f>I83</f>
        <v>36000</v>
      </c>
    </row>
    <row r="84" spans="1:14" ht="14.1" customHeight="1" thickTop="1" thickBot="1" x14ac:dyDescent="0.3">
      <c r="A84" s="288"/>
      <c r="B84" s="288" t="s">
        <v>50</v>
      </c>
      <c r="C84" s="702" t="s">
        <v>15</v>
      </c>
      <c r="D84" s="702"/>
      <c r="E84" s="702"/>
      <c r="F84" s="702"/>
      <c r="G84" s="702"/>
      <c r="H84" s="289" t="s">
        <v>30</v>
      </c>
      <c r="I84" s="303">
        <f>IF(AND(H7=""),"",COMPUTATION!G20)+COMPUTATION!G28</f>
        <v>21608</v>
      </c>
      <c r="J84" s="302" t="s">
        <v>30</v>
      </c>
      <c r="K84" s="691">
        <f t="shared" ref="K84:K88" si="2">I84</f>
        <v>21608</v>
      </c>
      <c r="L84" s="691"/>
      <c r="M84" s="302" t="s">
        <v>30</v>
      </c>
      <c r="N84" s="298">
        <f t="shared" ref="N84:N97" si="3">I84</f>
        <v>21608</v>
      </c>
    </row>
    <row r="85" spans="1:14" ht="14.1" customHeight="1" thickTop="1" thickBot="1" x14ac:dyDescent="0.3">
      <c r="A85" s="288"/>
      <c r="B85" s="288" t="s">
        <v>51</v>
      </c>
      <c r="C85" s="704" t="s">
        <v>145</v>
      </c>
      <c r="D85" s="704"/>
      <c r="E85" s="704"/>
      <c r="F85" s="704"/>
      <c r="G85" s="704"/>
      <c r="H85" s="289" t="s">
        <v>30</v>
      </c>
      <c r="I85" s="301">
        <f>IF(AND(H7=""),"",COMPUTATION!G24)</f>
        <v>64170</v>
      </c>
      <c r="J85" s="302" t="s">
        <v>30</v>
      </c>
      <c r="K85" s="691">
        <f t="shared" si="2"/>
        <v>64170</v>
      </c>
      <c r="L85" s="691"/>
      <c r="M85" s="302" t="s">
        <v>30</v>
      </c>
      <c r="N85" s="298">
        <f t="shared" si="3"/>
        <v>64170</v>
      </c>
    </row>
    <row r="86" spans="1:14" ht="14.1" customHeight="1" thickTop="1" thickBot="1" x14ac:dyDescent="0.3">
      <c r="A86" s="288"/>
      <c r="B86" s="288" t="s">
        <v>52</v>
      </c>
      <c r="C86" s="704" t="s">
        <v>146</v>
      </c>
      <c r="D86" s="704"/>
      <c r="E86" s="704"/>
      <c r="F86" s="704"/>
      <c r="G86" s="704"/>
      <c r="H86" s="289" t="s">
        <v>30</v>
      </c>
      <c r="I86" s="301">
        <f>IF(AND(H7=""),"",COMPUTATION!G25)</f>
        <v>220</v>
      </c>
      <c r="J86" s="302" t="s">
        <v>30</v>
      </c>
      <c r="K86" s="691">
        <f t="shared" si="2"/>
        <v>220</v>
      </c>
      <c r="L86" s="691"/>
      <c r="M86" s="302" t="s">
        <v>30</v>
      </c>
      <c r="N86" s="298">
        <f t="shared" si="3"/>
        <v>220</v>
      </c>
    </row>
    <row r="87" spans="1:14" ht="14.1" customHeight="1" thickTop="1" thickBot="1" x14ac:dyDescent="0.3">
      <c r="A87" s="288"/>
      <c r="B87" s="288" t="s">
        <v>53</v>
      </c>
      <c r="C87" s="702" t="s">
        <v>147</v>
      </c>
      <c r="D87" s="702"/>
      <c r="E87" s="702"/>
      <c r="F87" s="702"/>
      <c r="G87" s="702"/>
      <c r="H87" s="289" t="s">
        <v>30</v>
      </c>
      <c r="I87" s="301">
        <f>IF(AND(H7=""),"",COMPUTATION!M22)</f>
        <v>0</v>
      </c>
      <c r="J87" s="302" t="s">
        <v>30</v>
      </c>
      <c r="K87" s="691">
        <f t="shared" si="2"/>
        <v>0</v>
      </c>
      <c r="L87" s="691"/>
      <c r="M87" s="302" t="s">
        <v>30</v>
      </c>
      <c r="N87" s="298">
        <f t="shared" si="3"/>
        <v>0</v>
      </c>
    </row>
    <row r="88" spans="1:14" ht="14.1" customHeight="1" thickTop="1" thickBot="1" x14ac:dyDescent="0.3">
      <c r="A88" s="288"/>
      <c r="B88" s="288" t="s">
        <v>54</v>
      </c>
      <c r="C88" s="719" t="s">
        <v>434</v>
      </c>
      <c r="D88" s="719"/>
      <c r="E88" s="719"/>
      <c r="F88" s="719"/>
      <c r="G88" s="719"/>
      <c r="H88" s="289" t="s">
        <v>30</v>
      </c>
      <c r="I88" s="301">
        <f>IF(AND(H7=""),"",COMPUTATION!M19)</f>
        <v>0</v>
      </c>
      <c r="J88" s="302" t="s">
        <v>30</v>
      </c>
      <c r="K88" s="691">
        <f t="shared" si="2"/>
        <v>0</v>
      </c>
      <c r="L88" s="691"/>
      <c r="M88" s="302" t="s">
        <v>30</v>
      </c>
      <c r="N88" s="298">
        <f t="shared" si="3"/>
        <v>0</v>
      </c>
    </row>
    <row r="89" spans="1:14" ht="14.1" customHeight="1" thickTop="1" thickBot="1" x14ac:dyDescent="0.3">
      <c r="A89" s="288"/>
      <c r="B89" s="288" t="s">
        <v>55</v>
      </c>
      <c r="C89" s="704" t="s">
        <v>435</v>
      </c>
      <c r="D89" s="704"/>
      <c r="E89" s="704"/>
      <c r="F89" s="704"/>
      <c r="G89" s="704"/>
      <c r="H89" s="289" t="s">
        <v>30</v>
      </c>
      <c r="I89" s="301">
        <f>IF(AND(H7=""),"",COMPUTATION!G21)</f>
        <v>0</v>
      </c>
      <c r="J89" s="302" t="s">
        <v>30</v>
      </c>
      <c r="K89" s="691">
        <f>I89</f>
        <v>0</v>
      </c>
      <c r="L89" s="691"/>
      <c r="M89" s="302" t="s">
        <v>30</v>
      </c>
      <c r="N89" s="298">
        <f t="shared" si="3"/>
        <v>0</v>
      </c>
    </row>
    <row r="90" spans="1:14" ht="14.1" customHeight="1" thickTop="1" thickBot="1" x14ac:dyDescent="0.3">
      <c r="A90" s="288"/>
      <c r="B90" s="288" t="s">
        <v>186</v>
      </c>
      <c r="C90" s="704" t="s">
        <v>432</v>
      </c>
      <c r="D90" s="704"/>
      <c r="E90" s="704"/>
      <c r="F90" s="704"/>
      <c r="G90" s="704"/>
      <c r="H90" s="289" t="s">
        <v>30</v>
      </c>
      <c r="I90" s="301">
        <f>IF(AND(H7=""),"",COMPUTATION!G22)</f>
        <v>0</v>
      </c>
      <c r="J90" s="302" t="s">
        <v>30</v>
      </c>
      <c r="K90" s="691">
        <f t="shared" ref="K90:K97" si="4">I90</f>
        <v>0</v>
      </c>
      <c r="L90" s="691"/>
      <c r="M90" s="302" t="s">
        <v>30</v>
      </c>
      <c r="N90" s="298">
        <f t="shared" si="3"/>
        <v>0</v>
      </c>
    </row>
    <row r="91" spans="1:14" ht="14.1" customHeight="1" thickTop="1" thickBot="1" x14ac:dyDescent="0.3">
      <c r="A91" s="288"/>
      <c r="B91" s="288" t="s">
        <v>190</v>
      </c>
      <c r="C91" s="704" t="s">
        <v>433</v>
      </c>
      <c r="D91" s="704"/>
      <c r="E91" s="704"/>
      <c r="F91" s="704"/>
      <c r="G91" s="704"/>
      <c r="H91" s="289" t="s">
        <v>30</v>
      </c>
      <c r="I91" s="301">
        <f>IF(AND(H7=""),"",COMPUTATION!G27)</f>
        <v>0</v>
      </c>
      <c r="J91" s="302" t="s">
        <v>30</v>
      </c>
      <c r="K91" s="691">
        <f t="shared" si="4"/>
        <v>0</v>
      </c>
      <c r="L91" s="691"/>
      <c r="M91" s="302" t="s">
        <v>30</v>
      </c>
      <c r="N91" s="298">
        <f t="shared" si="3"/>
        <v>0</v>
      </c>
    </row>
    <row r="92" spans="1:14" ht="14.1" customHeight="1" thickTop="1" thickBot="1" x14ac:dyDescent="0.3">
      <c r="A92" s="288"/>
      <c r="B92" s="288" t="s">
        <v>176</v>
      </c>
      <c r="C92" s="704" t="s">
        <v>189</v>
      </c>
      <c r="D92" s="704"/>
      <c r="E92" s="704"/>
      <c r="F92" s="704"/>
      <c r="G92" s="704"/>
      <c r="H92" s="289" t="s">
        <v>30</v>
      </c>
      <c r="I92" s="301">
        <f>IF(AND(H7=""),"",COMPUTATION!M26)</f>
        <v>0</v>
      </c>
      <c r="J92" s="302" t="s">
        <v>30</v>
      </c>
      <c r="K92" s="691">
        <f t="shared" si="4"/>
        <v>0</v>
      </c>
      <c r="L92" s="691"/>
      <c r="M92" s="302" t="s">
        <v>30</v>
      </c>
      <c r="N92" s="298">
        <f t="shared" si="3"/>
        <v>0</v>
      </c>
    </row>
    <row r="93" spans="1:14" ht="14.1" customHeight="1" thickTop="1" thickBot="1" x14ac:dyDescent="0.3">
      <c r="A93" s="288"/>
      <c r="B93" s="288" t="s">
        <v>177</v>
      </c>
      <c r="C93" s="704" t="s">
        <v>179</v>
      </c>
      <c r="D93" s="704"/>
      <c r="E93" s="704"/>
      <c r="F93" s="704"/>
      <c r="G93" s="704"/>
      <c r="H93" s="289" t="s">
        <v>30</v>
      </c>
      <c r="I93" s="301">
        <f>IF(AND(H7=""),"",COMPUTATION!M21)</f>
        <v>0</v>
      </c>
      <c r="J93" s="302" t="s">
        <v>30</v>
      </c>
      <c r="K93" s="691">
        <f t="shared" si="4"/>
        <v>0</v>
      </c>
      <c r="L93" s="691"/>
      <c r="M93" s="302" t="s">
        <v>30</v>
      </c>
      <c r="N93" s="298">
        <f t="shared" si="3"/>
        <v>0</v>
      </c>
    </row>
    <row r="94" spans="1:14" ht="14.1" customHeight="1" thickTop="1" thickBot="1" x14ac:dyDescent="0.3">
      <c r="A94" s="288"/>
      <c r="B94" s="288" t="s">
        <v>178</v>
      </c>
      <c r="C94" s="704" t="s">
        <v>436</v>
      </c>
      <c r="D94" s="704"/>
      <c r="E94" s="704"/>
      <c r="F94" s="704"/>
      <c r="G94" s="704"/>
      <c r="H94" s="289" t="s">
        <v>30</v>
      </c>
      <c r="I94" s="301">
        <f>IF(AND(H7=""),"",COMPUTATION!M20)</f>
        <v>0</v>
      </c>
      <c r="J94" s="302" t="s">
        <v>30</v>
      </c>
      <c r="K94" s="691">
        <f t="shared" si="4"/>
        <v>0</v>
      </c>
      <c r="L94" s="691"/>
      <c r="M94" s="302" t="s">
        <v>30</v>
      </c>
      <c r="N94" s="298">
        <f t="shared" si="3"/>
        <v>0</v>
      </c>
    </row>
    <row r="95" spans="1:14" ht="14.1" customHeight="1" thickTop="1" thickBot="1" x14ac:dyDescent="0.3">
      <c r="A95" s="288"/>
      <c r="B95" s="288" t="s">
        <v>180</v>
      </c>
      <c r="C95" s="704" t="s">
        <v>148</v>
      </c>
      <c r="D95" s="704"/>
      <c r="E95" s="704"/>
      <c r="F95" s="704"/>
      <c r="G95" s="704"/>
      <c r="H95" s="289" t="s">
        <v>30</v>
      </c>
      <c r="I95" s="301">
        <f>IF(AND(H7=""),"",COMPUTATION!M27)</f>
        <v>0</v>
      </c>
      <c r="J95" s="302" t="s">
        <v>30</v>
      </c>
      <c r="K95" s="691">
        <f t="shared" si="4"/>
        <v>0</v>
      </c>
      <c r="L95" s="691"/>
      <c r="M95" s="302" t="s">
        <v>30</v>
      </c>
      <c r="N95" s="298">
        <f t="shared" si="3"/>
        <v>0</v>
      </c>
    </row>
    <row r="96" spans="1:14" ht="14.1" customHeight="1" thickTop="1" thickBot="1" x14ac:dyDescent="0.3">
      <c r="A96" s="288"/>
      <c r="B96" s="300" t="s">
        <v>129</v>
      </c>
      <c r="C96" s="714" t="s">
        <v>383</v>
      </c>
      <c r="D96" s="714"/>
      <c r="E96" s="714"/>
      <c r="F96" s="714"/>
      <c r="G96" s="714"/>
      <c r="H96" s="289" t="s">
        <v>30</v>
      </c>
      <c r="I96" s="301">
        <f>IF(AND(H7=""),"",COMPUTATION!O30)</f>
        <v>0</v>
      </c>
      <c r="J96" s="302" t="s">
        <v>30</v>
      </c>
      <c r="K96" s="691">
        <f t="shared" si="4"/>
        <v>0</v>
      </c>
      <c r="L96" s="691"/>
      <c r="M96" s="302" t="s">
        <v>30</v>
      </c>
      <c r="N96" s="298">
        <f t="shared" si="3"/>
        <v>0</v>
      </c>
    </row>
    <row r="97" spans="1:14" ht="14.1" customHeight="1" thickTop="1" thickBot="1" x14ac:dyDescent="0.3">
      <c r="A97" s="288"/>
      <c r="B97" s="299" t="s">
        <v>437</v>
      </c>
      <c r="C97" s="714" t="s">
        <v>438</v>
      </c>
      <c r="D97" s="717"/>
      <c r="E97" s="717"/>
      <c r="F97" s="717"/>
      <c r="G97" s="717"/>
      <c r="H97" s="289" t="s">
        <v>30</v>
      </c>
      <c r="I97" s="301">
        <f>IF(AND(H7=""),"",COMPUTATION!M27)</f>
        <v>0</v>
      </c>
      <c r="J97" s="304" t="s">
        <v>30</v>
      </c>
      <c r="K97" s="691">
        <f t="shared" si="4"/>
        <v>0</v>
      </c>
      <c r="L97" s="691"/>
      <c r="M97" s="304" t="s">
        <v>30</v>
      </c>
      <c r="N97" s="298">
        <f t="shared" si="3"/>
        <v>0</v>
      </c>
    </row>
    <row r="98" spans="1:14" ht="15.75" customHeight="1" thickTop="1" thickBot="1" x14ac:dyDescent="0.3">
      <c r="A98" s="292" t="s">
        <v>56</v>
      </c>
      <c r="B98" s="305"/>
      <c r="C98" s="716" t="s">
        <v>57</v>
      </c>
      <c r="D98" s="716"/>
      <c r="E98" s="716"/>
      <c r="F98" s="716"/>
      <c r="G98" s="716"/>
      <c r="H98" s="716"/>
      <c r="I98" s="716"/>
      <c r="J98" s="716"/>
      <c r="K98" s="716"/>
      <c r="L98" s="716"/>
      <c r="M98" s="716"/>
      <c r="N98" s="716"/>
    </row>
    <row r="99" spans="1:14" ht="15" customHeight="1" thickTop="1" thickBot="1" x14ac:dyDescent="0.3">
      <c r="A99" s="286"/>
      <c r="B99" s="286"/>
      <c r="C99" s="716" t="s">
        <v>58</v>
      </c>
      <c r="D99" s="716"/>
      <c r="E99" s="716"/>
      <c r="F99" s="716"/>
      <c r="G99" s="716"/>
      <c r="H99" s="716"/>
      <c r="I99" s="716"/>
      <c r="J99" s="716"/>
      <c r="K99" s="716"/>
      <c r="L99" s="716"/>
      <c r="M99" s="716"/>
      <c r="N99" s="716"/>
    </row>
    <row r="100" spans="1:14" ht="18" customHeight="1" thickTop="1" thickBot="1" x14ac:dyDescent="0.3">
      <c r="A100" s="306" t="s">
        <v>129</v>
      </c>
      <c r="B100" s="718" t="s">
        <v>130</v>
      </c>
      <c r="C100" s="718"/>
      <c r="D100" s="718"/>
      <c r="E100" s="718"/>
      <c r="F100" s="718"/>
      <c r="G100" s="718"/>
      <c r="H100" s="718"/>
      <c r="I100" s="718"/>
      <c r="J100" s="718"/>
      <c r="K100" s="718"/>
      <c r="L100" s="718"/>
      <c r="M100" s="718"/>
      <c r="N100" s="718"/>
    </row>
    <row r="101" spans="1:14" ht="16.5" thickTop="1" thickBot="1" x14ac:dyDescent="0.3">
      <c r="A101" s="291"/>
      <c r="B101" s="701"/>
      <c r="C101" s="701"/>
      <c r="D101" s="701"/>
      <c r="E101" s="701"/>
      <c r="F101" s="701"/>
      <c r="G101" s="701"/>
      <c r="H101" s="705" t="s">
        <v>46</v>
      </c>
      <c r="I101" s="705"/>
      <c r="J101" s="705" t="s">
        <v>131</v>
      </c>
      <c r="K101" s="705"/>
      <c r="L101" s="705"/>
      <c r="M101" s="705" t="s">
        <v>47</v>
      </c>
      <c r="N101" s="705"/>
    </row>
    <row r="102" spans="1:14" ht="14.1" customHeight="1" thickTop="1" thickBot="1" x14ac:dyDescent="0.3">
      <c r="A102" s="291"/>
      <c r="B102" s="291" t="s">
        <v>132</v>
      </c>
      <c r="C102" s="703" t="s">
        <v>149</v>
      </c>
      <c r="D102" s="703"/>
      <c r="E102" s="703" t="s">
        <v>60</v>
      </c>
      <c r="F102" s="703"/>
      <c r="G102" s="703"/>
      <c r="H102" s="291" t="s">
        <v>30</v>
      </c>
      <c r="I102" s="311">
        <f>COMPUTATION!O34</f>
        <v>0</v>
      </c>
      <c r="J102" s="291" t="s">
        <v>30</v>
      </c>
      <c r="K102" s="701">
        <f>I102</f>
        <v>0</v>
      </c>
      <c r="L102" s="701"/>
      <c r="M102" s="291" t="s">
        <v>30</v>
      </c>
      <c r="N102" s="307">
        <f>I102</f>
        <v>0</v>
      </c>
    </row>
    <row r="103" spans="1:14" ht="14.1" customHeight="1" thickTop="1" thickBot="1" x14ac:dyDescent="0.3">
      <c r="A103" s="291"/>
      <c r="B103" s="291" t="s">
        <v>133</v>
      </c>
      <c r="C103" s="703" t="s">
        <v>149</v>
      </c>
      <c r="D103" s="703"/>
      <c r="E103" s="703" t="s">
        <v>439</v>
      </c>
      <c r="F103" s="703"/>
      <c r="G103" s="703"/>
      <c r="H103" s="291" t="s">
        <v>30</v>
      </c>
      <c r="I103" s="311">
        <f>COMPUTATION!O35</f>
        <v>0</v>
      </c>
      <c r="J103" s="291" t="s">
        <v>30</v>
      </c>
      <c r="K103" s="701">
        <f t="shared" ref="K103:K108" si="5">I103</f>
        <v>0</v>
      </c>
      <c r="L103" s="701"/>
      <c r="M103" s="291" t="s">
        <v>30</v>
      </c>
      <c r="N103" s="307">
        <f t="shared" ref="N103:N108" si="6">I103</f>
        <v>0</v>
      </c>
    </row>
    <row r="104" spans="1:14" ht="14.1" customHeight="1" thickTop="1" thickBot="1" x14ac:dyDescent="0.3">
      <c r="A104" s="291"/>
      <c r="B104" s="291" t="s">
        <v>134</v>
      </c>
      <c r="C104" s="703" t="s">
        <v>149</v>
      </c>
      <c r="D104" s="703"/>
      <c r="E104" s="703" t="s">
        <v>65</v>
      </c>
      <c r="F104" s="703"/>
      <c r="G104" s="703"/>
      <c r="H104" s="291" t="s">
        <v>30</v>
      </c>
      <c r="I104" s="311">
        <f>COMPUTATION!O36</f>
        <v>0</v>
      </c>
      <c r="J104" s="291" t="s">
        <v>30</v>
      </c>
      <c r="K104" s="701">
        <f t="shared" si="5"/>
        <v>0</v>
      </c>
      <c r="L104" s="701"/>
      <c r="M104" s="291" t="s">
        <v>30</v>
      </c>
      <c r="N104" s="307">
        <f t="shared" si="6"/>
        <v>0</v>
      </c>
    </row>
    <row r="105" spans="1:14" ht="14.1" customHeight="1" thickTop="1" thickBot="1" x14ac:dyDescent="0.3">
      <c r="A105" s="291"/>
      <c r="B105" s="291" t="s">
        <v>135</v>
      </c>
      <c r="C105" s="703" t="s">
        <v>149</v>
      </c>
      <c r="D105" s="703"/>
      <c r="E105" s="703" t="s">
        <v>440</v>
      </c>
      <c r="F105" s="703"/>
      <c r="G105" s="703"/>
      <c r="H105" s="291" t="s">
        <v>30</v>
      </c>
      <c r="I105" s="311">
        <f>COMPUTATION!O37</f>
        <v>0</v>
      </c>
      <c r="J105" s="291" t="s">
        <v>30</v>
      </c>
      <c r="K105" s="701">
        <f t="shared" si="5"/>
        <v>0</v>
      </c>
      <c r="L105" s="701"/>
      <c r="M105" s="291" t="s">
        <v>30</v>
      </c>
      <c r="N105" s="307">
        <f t="shared" si="6"/>
        <v>0</v>
      </c>
    </row>
    <row r="106" spans="1:14" ht="14.1" customHeight="1" thickTop="1" thickBot="1" x14ac:dyDescent="0.3">
      <c r="A106" s="291"/>
      <c r="B106" s="310" t="s">
        <v>136</v>
      </c>
      <c r="C106" s="703" t="s">
        <v>149</v>
      </c>
      <c r="D106" s="703"/>
      <c r="E106" s="703" t="s">
        <v>59</v>
      </c>
      <c r="F106" s="703"/>
      <c r="G106" s="703"/>
      <c r="H106" s="291" t="s">
        <v>30</v>
      </c>
      <c r="I106" s="311">
        <f>COMPUTATION!O38</f>
        <v>0</v>
      </c>
      <c r="J106" s="291" t="s">
        <v>30</v>
      </c>
      <c r="K106" s="701">
        <f t="shared" si="5"/>
        <v>0</v>
      </c>
      <c r="L106" s="701"/>
      <c r="M106" s="291" t="s">
        <v>30</v>
      </c>
      <c r="N106" s="307">
        <f t="shared" si="6"/>
        <v>0</v>
      </c>
    </row>
    <row r="107" spans="1:14" ht="14.1" customHeight="1" thickTop="1" thickBot="1" x14ac:dyDescent="0.3">
      <c r="A107" s="291"/>
      <c r="B107" s="310" t="s">
        <v>441</v>
      </c>
      <c r="C107" s="703" t="s">
        <v>149</v>
      </c>
      <c r="D107" s="703"/>
      <c r="E107" s="703" t="s">
        <v>443</v>
      </c>
      <c r="F107" s="703"/>
      <c r="G107" s="703"/>
      <c r="H107" s="291" t="s">
        <v>30</v>
      </c>
      <c r="I107" s="311">
        <f>COMPUTATION!O39</f>
        <v>0</v>
      </c>
      <c r="J107" s="291" t="s">
        <v>30</v>
      </c>
      <c r="K107" s="701">
        <f t="shared" si="5"/>
        <v>0</v>
      </c>
      <c r="L107" s="701"/>
      <c r="M107" s="291" t="s">
        <v>30</v>
      </c>
      <c r="N107" s="307">
        <f t="shared" si="6"/>
        <v>0</v>
      </c>
    </row>
    <row r="108" spans="1:14" ht="14.1" customHeight="1" thickTop="1" thickBot="1" x14ac:dyDescent="0.3">
      <c r="A108" s="291"/>
      <c r="B108" s="310" t="s">
        <v>442</v>
      </c>
      <c r="C108" s="703" t="s">
        <v>149</v>
      </c>
      <c r="D108" s="703"/>
      <c r="E108" s="703" t="s">
        <v>64</v>
      </c>
      <c r="F108" s="703"/>
      <c r="G108" s="703"/>
      <c r="H108" s="291" t="s">
        <v>30</v>
      </c>
      <c r="I108" s="311">
        <f>COMPUTATION!O40</f>
        <v>9900</v>
      </c>
      <c r="J108" s="291" t="s">
        <v>30</v>
      </c>
      <c r="K108" s="701">
        <f t="shared" si="5"/>
        <v>9900</v>
      </c>
      <c r="L108" s="701"/>
      <c r="M108" s="291" t="s">
        <v>30</v>
      </c>
      <c r="N108" s="307">
        <f t="shared" si="6"/>
        <v>9900</v>
      </c>
    </row>
    <row r="109" spans="1:14" ht="27.75" customHeight="1" thickTop="1" thickBot="1" x14ac:dyDescent="0.3">
      <c r="A109" s="291"/>
      <c r="B109" s="699" t="s">
        <v>137</v>
      </c>
      <c r="C109" s="699"/>
      <c r="D109" s="699"/>
      <c r="E109" s="699"/>
      <c r="F109" s="699"/>
      <c r="G109" s="699"/>
      <c r="H109" s="699"/>
      <c r="I109" s="699"/>
      <c r="J109" s="699"/>
      <c r="K109" s="699"/>
      <c r="L109" s="699"/>
      <c r="M109" s="699"/>
      <c r="N109" s="699"/>
    </row>
    <row r="110" spans="1:14" ht="17.100000000000001" customHeight="1" thickTop="1" thickBot="1" x14ac:dyDescent="0.3">
      <c r="A110" s="306">
        <v>10</v>
      </c>
      <c r="B110" s="700" t="s">
        <v>138</v>
      </c>
      <c r="C110" s="700"/>
      <c r="D110" s="700"/>
      <c r="E110" s="700"/>
      <c r="F110" s="700"/>
      <c r="G110" s="700"/>
      <c r="H110" s="700"/>
      <c r="I110" s="700"/>
      <c r="J110" s="700"/>
      <c r="K110" s="700"/>
      <c r="L110" s="700"/>
      <c r="M110" s="291" t="s">
        <v>30</v>
      </c>
      <c r="N110" s="308">
        <f>IF(AND(H7=""),"",COMPUTATION!O32)</f>
        <v>150000</v>
      </c>
    </row>
    <row r="111" spans="1:14" ht="17.100000000000001" customHeight="1" thickTop="1" thickBot="1" x14ac:dyDescent="0.3">
      <c r="A111" s="306">
        <v>11</v>
      </c>
      <c r="B111" s="700" t="s">
        <v>139</v>
      </c>
      <c r="C111" s="700"/>
      <c r="D111" s="700"/>
      <c r="E111" s="700"/>
      <c r="F111" s="700"/>
      <c r="G111" s="700"/>
      <c r="H111" s="700"/>
      <c r="I111" s="700"/>
      <c r="J111" s="700"/>
      <c r="K111" s="700"/>
      <c r="L111" s="700"/>
      <c r="M111" s="291" t="s">
        <v>30</v>
      </c>
      <c r="N111" s="308">
        <f>ROUND(N79-N110,0)</f>
        <v>532318</v>
      </c>
    </row>
    <row r="112" spans="1:14" ht="17.100000000000001" customHeight="1" thickTop="1" thickBot="1" x14ac:dyDescent="0.3">
      <c r="A112" s="306">
        <v>12</v>
      </c>
      <c r="B112" s="700" t="s">
        <v>140</v>
      </c>
      <c r="C112" s="700"/>
      <c r="D112" s="700"/>
      <c r="E112" s="700"/>
      <c r="F112" s="700"/>
      <c r="G112" s="700"/>
      <c r="H112" s="700"/>
      <c r="I112" s="700"/>
      <c r="J112" s="700"/>
      <c r="K112" s="700"/>
      <c r="L112" s="700"/>
      <c r="M112" s="291" t="s">
        <v>30</v>
      </c>
      <c r="N112" s="308">
        <f>IF(AND(H7=""),"",COMPUTATION!O54)</f>
        <v>15004</v>
      </c>
    </row>
    <row r="113" spans="1:15" ht="17.100000000000001" customHeight="1" thickTop="1" thickBot="1" x14ac:dyDescent="0.3">
      <c r="A113" s="306">
        <v>13</v>
      </c>
      <c r="B113" s="700" t="s">
        <v>141</v>
      </c>
      <c r="C113" s="700"/>
      <c r="D113" s="700"/>
      <c r="E113" s="700"/>
      <c r="F113" s="700"/>
      <c r="G113" s="700"/>
      <c r="H113" s="700"/>
      <c r="I113" s="700"/>
      <c r="J113" s="700"/>
      <c r="K113" s="700"/>
      <c r="L113" s="700"/>
      <c r="M113" s="291" t="s">
        <v>30</v>
      </c>
      <c r="N113" s="309">
        <f>IF(AND(H7=""),"",COMPUTATION!O55)</f>
        <v>450</v>
      </c>
    </row>
    <row r="114" spans="1:15" ht="17.100000000000001" customHeight="1" thickTop="1" thickBot="1" x14ac:dyDescent="0.3">
      <c r="A114" s="306">
        <v>14</v>
      </c>
      <c r="B114" s="700" t="s">
        <v>142</v>
      </c>
      <c r="C114" s="700"/>
      <c r="D114" s="700"/>
      <c r="E114" s="700"/>
      <c r="F114" s="700"/>
      <c r="G114" s="700"/>
      <c r="H114" s="700"/>
      <c r="I114" s="700"/>
      <c r="J114" s="700"/>
      <c r="K114" s="700"/>
      <c r="L114" s="700"/>
      <c r="M114" s="291" t="s">
        <v>30</v>
      </c>
      <c r="N114" s="309">
        <f>N112+N113</f>
        <v>15454</v>
      </c>
    </row>
    <row r="115" spans="1:15" ht="17.100000000000001" customHeight="1" thickTop="1" thickBot="1" x14ac:dyDescent="0.3">
      <c r="A115" s="306">
        <v>15</v>
      </c>
      <c r="B115" s="700" t="s">
        <v>143</v>
      </c>
      <c r="C115" s="700"/>
      <c r="D115" s="700"/>
      <c r="E115" s="700"/>
      <c r="F115" s="700"/>
      <c r="G115" s="700"/>
      <c r="H115" s="700"/>
      <c r="I115" s="700"/>
      <c r="J115" s="700"/>
      <c r="K115" s="700"/>
      <c r="L115" s="700"/>
      <c r="M115" s="291" t="s">
        <v>30</v>
      </c>
      <c r="N115" s="308">
        <f>IF(AND(H7=""),"",COMPUTATION!O57)</f>
        <v>0</v>
      </c>
    </row>
    <row r="116" spans="1:15" ht="17.100000000000001" customHeight="1" thickTop="1" thickBot="1" x14ac:dyDescent="0.3">
      <c r="A116" s="306">
        <v>16</v>
      </c>
      <c r="B116" s="700" t="s">
        <v>144</v>
      </c>
      <c r="C116" s="700"/>
      <c r="D116" s="700"/>
      <c r="E116" s="700"/>
      <c r="F116" s="700"/>
      <c r="G116" s="700"/>
      <c r="H116" s="700"/>
      <c r="I116" s="700"/>
      <c r="J116" s="700"/>
      <c r="K116" s="700"/>
      <c r="L116" s="700"/>
      <c r="M116" s="291" t="s">
        <v>30</v>
      </c>
      <c r="N116" s="309">
        <f>IF(AND(H7=""),"",COMPUTATION!O58)</f>
        <v>15454</v>
      </c>
    </row>
    <row r="117" spans="1:15" ht="17.100000000000001" customHeight="1" thickTop="1" thickBot="1" x14ac:dyDescent="0.3">
      <c r="A117" s="306">
        <v>17</v>
      </c>
      <c r="B117" s="700" t="s">
        <v>386</v>
      </c>
      <c r="C117" s="700"/>
      <c r="D117" s="700"/>
      <c r="E117" s="700"/>
      <c r="F117" s="700"/>
      <c r="G117" s="700"/>
      <c r="H117" s="700"/>
      <c r="I117" s="700"/>
      <c r="J117" s="700"/>
      <c r="K117" s="700"/>
      <c r="L117" s="700"/>
      <c r="M117" s="291" t="s">
        <v>30</v>
      </c>
      <c r="N117" s="308">
        <f>IF(AND(H7=""),"",COMPUTATION!O60)</f>
        <v>12000</v>
      </c>
    </row>
    <row r="118" spans="1:15" ht="17.100000000000001" customHeight="1" thickTop="1" thickBot="1" x14ac:dyDescent="0.3">
      <c r="A118" s="306">
        <v>18</v>
      </c>
      <c r="B118" s="706" t="str">
        <f>IF(N116&gt;N117,"Income Tax Payable",IF(N116&lt;N117,"Income Tax Refundable","Income Tax Payble/Refundable"))</f>
        <v>Income Tax Payable</v>
      </c>
      <c r="C118" s="706"/>
      <c r="D118" s="706"/>
      <c r="E118" s="706"/>
      <c r="F118" s="706"/>
      <c r="G118" s="706"/>
      <c r="H118" s="706"/>
      <c r="I118" s="706"/>
      <c r="J118" s="706"/>
      <c r="K118" s="706"/>
      <c r="L118" s="706"/>
      <c r="M118" s="291" t="s">
        <v>30</v>
      </c>
      <c r="N118" s="308">
        <f>IF(N116&gt;N117,N116-N117,N117-N116)</f>
        <v>3454</v>
      </c>
    </row>
    <row r="119" spans="1:15" ht="17.100000000000001" customHeight="1" thickTop="1" x14ac:dyDescent="0.25">
      <c r="A119" s="268"/>
      <c r="B119" s="268"/>
      <c r="C119" s="268"/>
      <c r="D119" s="268"/>
      <c r="E119" s="268"/>
      <c r="F119" s="713" t="s">
        <v>95</v>
      </c>
      <c r="G119" s="713"/>
      <c r="H119" s="713"/>
      <c r="I119" s="713"/>
      <c r="J119" s="713"/>
      <c r="K119" s="268"/>
      <c r="L119" s="268"/>
      <c r="M119" s="268"/>
      <c r="N119" s="268"/>
      <c r="O119" s="227"/>
    </row>
    <row r="120" spans="1:15" ht="18.75" customHeight="1" x14ac:dyDescent="0.25">
      <c r="A120" s="271" t="s">
        <v>67</v>
      </c>
      <c r="B120" s="711" t="str">
        <f>UPPER(IF(Master!D18="","",(Master!D18)))</f>
        <v>NAHAR SINGH RATHORE</v>
      </c>
      <c r="C120" s="711"/>
      <c r="D120" s="711"/>
      <c r="E120" s="711"/>
      <c r="F120" s="711"/>
      <c r="G120" s="712" t="s">
        <v>96</v>
      </c>
      <c r="H120" s="712"/>
      <c r="I120" s="712"/>
      <c r="J120" s="712"/>
      <c r="K120" s="711" t="str">
        <f>UPPER(IF(Master!H18="","",(Master!H18)))</f>
        <v>AMAR SINGH RATHORE</v>
      </c>
      <c r="L120" s="711"/>
      <c r="M120" s="711"/>
      <c r="N120" s="711"/>
      <c r="O120" s="227"/>
    </row>
    <row r="121" spans="1:15" ht="18" customHeight="1" x14ac:dyDescent="0.25">
      <c r="A121" s="712" t="s">
        <v>97</v>
      </c>
      <c r="B121" s="712"/>
      <c r="C121" s="712"/>
      <c r="D121" s="712"/>
      <c r="E121" s="712"/>
      <c r="F121" s="711" t="str">
        <f>UPPER(IF(Master!D17="","",Master!D17))</f>
        <v>BEEO , SOJAT CITY (PALI)</v>
      </c>
      <c r="G121" s="711"/>
      <c r="H121" s="711"/>
      <c r="I121" s="711"/>
      <c r="J121" s="710" t="s">
        <v>384</v>
      </c>
      <c r="K121" s="710"/>
      <c r="L121" s="710"/>
      <c r="M121" s="710"/>
      <c r="N121" s="710"/>
      <c r="O121" s="227"/>
    </row>
    <row r="122" spans="1:15" ht="31.5" customHeight="1" thickBot="1" x14ac:dyDescent="0.3">
      <c r="A122" s="692" t="s">
        <v>385</v>
      </c>
      <c r="B122" s="692"/>
      <c r="C122" s="692"/>
      <c r="D122" s="692"/>
      <c r="E122" s="692"/>
      <c r="F122" s="692"/>
      <c r="G122" s="692"/>
      <c r="H122" s="692"/>
      <c r="I122" s="692"/>
      <c r="J122" s="692"/>
      <c r="K122" s="692"/>
      <c r="L122" s="692"/>
      <c r="M122" s="692"/>
      <c r="N122" s="692"/>
      <c r="O122" s="227"/>
    </row>
    <row r="123" spans="1:15" ht="28.5" customHeight="1" thickTop="1" thickBot="1" x14ac:dyDescent="0.3">
      <c r="A123" s="693" t="s">
        <v>101</v>
      </c>
      <c r="B123" s="693"/>
      <c r="C123" s="694"/>
      <c r="D123" s="694"/>
      <c r="E123" s="694"/>
      <c r="F123" s="694"/>
      <c r="G123" s="694"/>
      <c r="H123" s="694"/>
      <c r="I123" s="695" t="s">
        <v>103</v>
      </c>
      <c r="J123" s="695"/>
      <c r="K123" s="695"/>
      <c r="L123" s="695"/>
      <c r="M123" s="695"/>
      <c r="N123" s="695"/>
    </row>
    <row r="124" spans="1:15" ht="27.75" customHeight="1" thickTop="1" thickBot="1" x14ac:dyDescent="0.3">
      <c r="A124" s="693" t="s">
        <v>2</v>
      </c>
      <c r="B124" s="693"/>
      <c r="C124" s="696">
        <f ca="1">TODAY()</f>
        <v>43089</v>
      </c>
      <c r="D124" s="697"/>
      <c r="E124" s="697"/>
      <c r="F124" s="697"/>
      <c r="G124" s="697"/>
      <c r="H124" s="698"/>
      <c r="I124" s="695"/>
      <c r="J124" s="695"/>
      <c r="K124" s="695"/>
      <c r="L124" s="695"/>
      <c r="M124" s="695"/>
      <c r="N124" s="695"/>
    </row>
    <row r="125" spans="1:15" ht="24.95" customHeight="1" thickTop="1" thickBot="1" x14ac:dyDescent="0.3">
      <c r="A125" s="693" t="s">
        <v>6</v>
      </c>
      <c r="B125" s="693"/>
      <c r="C125" s="693"/>
      <c r="D125" s="707" t="str">
        <f>UPPER(IF(Master!D17="","",Master!D17))</f>
        <v>BEEO , SOJAT CITY (PALI)</v>
      </c>
      <c r="E125" s="707"/>
      <c r="F125" s="707"/>
      <c r="G125" s="707"/>
      <c r="H125" s="707"/>
      <c r="I125" s="708" t="s">
        <v>102</v>
      </c>
      <c r="J125" s="708"/>
      <c r="K125" s="709" t="str">
        <f>IF(AND(Master!D18=""),"",CONCATENATE("( ",UPPER(Master!D18)," )"))</f>
        <v>( NAHAR SINGH RATHORE )</v>
      </c>
      <c r="L125" s="709"/>
      <c r="M125" s="709"/>
      <c r="N125" s="709"/>
    </row>
    <row r="126" spans="1:15" ht="15.75" thickTop="1" x14ac:dyDescent="0.25"/>
  </sheetData>
  <sheetProtection algorithmName="SHA-512" hashValue="vsZQFp9ikIpwttOehg2WrHPyF3cQNwopCF470i0Gd586r/E/It0amXcOYQ0tNs75X54O5EtJvIzY/k6pcLsYPg==" saltValue="nxB3p0RjJ8naobnYJSUswA==" spinCount="100000" sheet="1" formatCells="0" formatColumns="0" formatRows="0" insertColumns="0" insertRows="0" insertHyperlinks="0" deleteColumns="0" deleteRows="0" sort="0" autoFilter="0" pivotTables="0"/>
  <mergeCells count="333">
    <mergeCell ref="K89:L89"/>
    <mergeCell ref="K86:L86"/>
    <mergeCell ref="K95:L95"/>
    <mergeCell ref="C83:G83"/>
    <mergeCell ref="K85:L85"/>
    <mergeCell ref="A12:G12"/>
    <mergeCell ref="C13:G14"/>
    <mergeCell ref="A22:H22"/>
    <mergeCell ref="B61:N61"/>
    <mergeCell ref="J62:N65"/>
    <mergeCell ref="M19:N19"/>
    <mergeCell ref="A19:C19"/>
    <mergeCell ref="I27:J27"/>
    <mergeCell ref="H13:K13"/>
    <mergeCell ref="H12:K12"/>
    <mergeCell ref="J15:K15"/>
    <mergeCell ref="A16:N16"/>
    <mergeCell ref="A17:C17"/>
    <mergeCell ref="B67:N67"/>
    <mergeCell ref="C72:F72"/>
    <mergeCell ref="C73:F73"/>
    <mergeCell ref="B71:I71"/>
    <mergeCell ref="B70:K70"/>
    <mergeCell ref="B69:I69"/>
    <mergeCell ref="R54:U54"/>
    <mergeCell ref="I40:J40"/>
    <mergeCell ref="K40:L40"/>
    <mergeCell ref="M40:N40"/>
    <mergeCell ref="A60:N60"/>
    <mergeCell ref="C62:G62"/>
    <mergeCell ref="C65:G65"/>
    <mergeCell ref="K44:N44"/>
    <mergeCell ref="A36:B36"/>
    <mergeCell ref="C36:E36"/>
    <mergeCell ref="F43:J43"/>
    <mergeCell ref="I36:J36"/>
    <mergeCell ref="D51:H51"/>
    <mergeCell ref="I49:N50"/>
    <mergeCell ref="I51:J51"/>
    <mergeCell ref="K51:N51"/>
    <mergeCell ref="E45:G45"/>
    <mergeCell ref="H45:M45"/>
    <mergeCell ref="K46:N46"/>
    <mergeCell ref="A47:N47"/>
    <mergeCell ref="M37:N37"/>
    <mergeCell ref="I38:J38"/>
    <mergeCell ref="K38:L38"/>
    <mergeCell ref="M38:N38"/>
    <mergeCell ref="H68:N68"/>
    <mergeCell ref="B68:D68"/>
    <mergeCell ref="F68:G68"/>
    <mergeCell ref="M70:N70"/>
    <mergeCell ref="K69:L69"/>
    <mergeCell ref="J71:N74"/>
    <mergeCell ref="C66:G66"/>
    <mergeCell ref="A63:A64"/>
    <mergeCell ref="B63:B64"/>
    <mergeCell ref="C63:G64"/>
    <mergeCell ref="K39:L39"/>
    <mergeCell ref="M39:N39"/>
    <mergeCell ref="F41:H41"/>
    <mergeCell ref="K42:L42"/>
    <mergeCell ref="B44:F44"/>
    <mergeCell ref="G44:J44"/>
    <mergeCell ref="A11:D11"/>
    <mergeCell ref="M17:N17"/>
    <mergeCell ref="K17:L17"/>
    <mergeCell ref="K18:L18"/>
    <mergeCell ref="D19:H19"/>
    <mergeCell ref="I19:J19"/>
    <mergeCell ref="K19:L19"/>
    <mergeCell ref="M18:N18"/>
    <mergeCell ref="I17:J17"/>
    <mergeCell ref="D17:H17"/>
    <mergeCell ref="H15:I15"/>
    <mergeCell ref="L12:N14"/>
    <mergeCell ref="L15:N15"/>
    <mergeCell ref="H14:I14"/>
    <mergeCell ref="F15:G15"/>
    <mergeCell ref="A18:C18"/>
    <mergeCell ref="I18:J18"/>
    <mergeCell ref="D18:H18"/>
    <mergeCell ref="H11:K11"/>
    <mergeCell ref="L11:N11"/>
    <mergeCell ref="A13:B14"/>
    <mergeCell ref="E11:G11"/>
    <mergeCell ref="A15:B15"/>
    <mergeCell ref="J14:K14"/>
    <mergeCell ref="A1:N1"/>
    <mergeCell ref="A2:N2"/>
    <mergeCell ref="A3:N3"/>
    <mergeCell ref="A4:N4"/>
    <mergeCell ref="A5:G5"/>
    <mergeCell ref="H5:N5"/>
    <mergeCell ref="A7:G9"/>
    <mergeCell ref="E10:G10"/>
    <mergeCell ref="L10:N10"/>
    <mergeCell ref="H7:N7"/>
    <mergeCell ref="H8:N8"/>
    <mergeCell ref="H9:N9"/>
    <mergeCell ref="A6:G6"/>
    <mergeCell ref="H6:N6"/>
    <mergeCell ref="A10:D10"/>
    <mergeCell ref="H10:K10"/>
    <mergeCell ref="C15:D15"/>
    <mergeCell ref="M35:N35"/>
    <mergeCell ref="F29:H29"/>
    <mergeCell ref="I29:J29"/>
    <mergeCell ref="I35:J35"/>
    <mergeCell ref="K35:L35"/>
    <mergeCell ref="F30:H30"/>
    <mergeCell ref="I30:J30"/>
    <mergeCell ref="F31:H31"/>
    <mergeCell ref="K31:L31"/>
    <mergeCell ref="M31:N31"/>
    <mergeCell ref="F32:H32"/>
    <mergeCell ref="I32:J32"/>
    <mergeCell ref="K32:L32"/>
    <mergeCell ref="M32:N32"/>
    <mergeCell ref="I31:J31"/>
    <mergeCell ref="K29:L29"/>
    <mergeCell ref="F34:H34"/>
    <mergeCell ref="I34:J34"/>
    <mergeCell ref="K34:L34"/>
    <mergeCell ref="M34:N34"/>
    <mergeCell ref="I20:J20"/>
    <mergeCell ref="K20:L20"/>
    <mergeCell ref="I22:J22"/>
    <mergeCell ref="A20:C20"/>
    <mergeCell ref="D20:H20"/>
    <mergeCell ref="M20:N20"/>
    <mergeCell ref="M22:N22"/>
    <mergeCell ref="F28:H28"/>
    <mergeCell ref="A26:B26"/>
    <mergeCell ref="C26:E26"/>
    <mergeCell ref="A27:B27"/>
    <mergeCell ref="C27:E27"/>
    <mergeCell ref="A28:B28"/>
    <mergeCell ref="K22:L22"/>
    <mergeCell ref="D21:H21"/>
    <mergeCell ref="A23:N23"/>
    <mergeCell ref="M25:N25"/>
    <mergeCell ref="K25:L25"/>
    <mergeCell ref="I25:J25"/>
    <mergeCell ref="F25:H25"/>
    <mergeCell ref="A24:B25"/>
    <mergeCell ref="M21:N21"/>
    <mergeCell ref="I21:J21"/>
    <mergeCell ref="K21:L21"/>
    <mergeCell ref="A21:C21"/>
    <mergeCell ref="K30:L30"/>
    <mergeCell ref="M30:N30"/>
    <mergeCell ref="A34:B34"/>
    <mergeCell ref="C34:E34"/>
    <mergeCell ref="K33:L33"/>
    <mergeCell ref="A35:B35"/>
    <mergeCell ref="C35:E35"/>
    <mergeCell ref="A31:B31"/>
    <mergeCell ref="C31:E31"/>
    <mergeCell ref="A32:B32"/>
    <mergeCell ref="C32:E32"/>
    <mergeCell ref="F35:H35"/>
    <mergeCell ref="F24:N24"/>
    <mergeCell ref="C24:E25"/>
    <mergeCell ref="A33:B33"/>
    <mergeCell ref="C33:E33"/>
    <mergeCell ref="C28:E28"/>
    <mergeCell ref="A29:B29"/>
    <mergeCell ref="C29:E29"/>
    <mergeCell ref="C30:E30"/>
    <mergeCell ref="A30:B30"/>
    <mergeCell ref="M33:N33"/>
    <mergeCell ref="M29:N29"/>
    <mergeCell ref="A45:D45"/>
    <mergeCell ref="A46:B46"/>
    <mergeCell ref="C46:J46"/>
    <mergeCell ref="A39:B39"/>
    <mergeCell ref="A40:B40"/>
    <mergeCell ref="C37:E37"/>
    <mergeCell ref="F37:H37"/>
    <mergeCell ref="C38:E38"/>
    <mergeCell ref="F38:H38"/>
    <mergeCell ref="C39:E39"/>
    <mergeCell ref="F39:H39"/>
    <mergeCell ref="C40:E40"/>
    <mergeCell ref="F40:H40"/>
    <mergeCell ref="A37:B37"/>
    <mergeCell ref="A38:B38"/>
    <mergeCell ref="A41:B41"/>
    <mergeCell ref="C41:E41"/>
    <mergeCell ref="A42:B42"/>
    <mergeCell ref="C42:E42"/>
    <mergeCell ref="I39:J39"/>
    <mergeCell ref="B79:E79"/>
    <mergeCell ref="F36:H36"/>
    <mergeCell ref="I37:J37"/>
    <mergeCell ref="K37:L37"/>
    <mergeCell ref="F26:H26"/>
    <mergeCell ref="I26:J26"/>
    <mergeCell ref="K26:L26"/>
    <mergeCell ref="M26:N26"/>
    <mergeCell ref="F27:H27"/>
    <mergeCell ref="M42:N42"/>
    <mergeCell ref="K27:L27"/>
    <mergeCell ref="M27:N27"/>
    <mergeCell ref="K41:L41"/>
    <mergeCell ref="K36:L36"/>
    <mergeCell ref="M36:N36"/>
    <mergeCell ref="I41:J41"/>
    <mergeCell ref="M41:N41"/>
    <mergeCell ref="F42:H42"/>
    <mergeCell ref="I42:J42"/>
    <mergeCell ref="I28:J28"/>
    <mergeCell ref="K28:L28"/>
    <mergeCell ref="M28:N28"/>
    <mergeCell ref="F33:H33"/>
    <mergeCell ref="I33:J33"/>
    <mergeCell ref="K88:L88"/>
    <mergeCell ref="A48:N48"/>
    <mergeCell ref="A51:C51"/>
    <mergeCell ref="A49:B49"/>
    <mergeCell ref="A50:B50"/>
    <mergeCell ref="C49:H49"/>
    <mergeCell ref="C50:H50"/>
    <mergeCell ref="M81:N82"/>
    <mergeCell ref="B81:G81"/>
    <mergeCell ref="H81:I82"/>
    <mergeCell ref="J81:L82"/>
    <mergeCell ref="B56:N56"/>
    <mergeCell ref="G59:I59"/>
    <mergeCell ref="B57:N57"/>
    <mergeCell ref="B58:N58"/>
    <mergeCell ref="B54:N54"/>
    <mergeCell ref="B55:N55"/>
    <mergeCell ref="A52:C52"/>
    <mergeCell ref="B53:N53"/>
    <mergeCell ref="H63:H64"/>
    <mergeCell ref="I63:I64"/>
    <mergeCell ref="K66:N66"/>
    <mergeCell ref="M69:N69"/>
    <mergeCell ref="K78:L78"/>
    <mergeCell ref="C94:G94"/>
    <mergeCell ref="K94:L94"/>
    <mergeCell ref="M101:N101"/>
    <mergeCell ref="H72:I72"/>
    <mergeCell ref="H73:I73"/>
    <mergeCell ref="H74:I74"/>
    <mergeCell ref="B74:E74"/>
    <mergeCell ref="H77:I77"/>
    <mergeCell ref="H78:I78"/>
    <mergeCell ref="B77:F77"/>
    <mergeCell ref="B78:F78"/>
    <mergeCell ref="B75:L75"/>
    <mergeCell ref="B76:L76"/>
    <mergeCell ref="J77:N77"/>
    <mergeCell ref="C82:G82"/>
    <mergeCell ref="C90:G90"/>
    <mergeCell ref="C91:G91"/>
    <mergeCell ref="C92:G92"/>
    <mergeCell ref="C93:G93"/>
    <mergeCell ref="K90:L90"/>
    <mergeCell ref="K91:L91"/>
    <mergeCell ref="K92:L92"/>
    <mergeCell ref="K93:L93"/>
    <mergeCell ref="K87:L87"/>
    <mergeCell ref="F119:J119"/>
    <mergeCell ref="C96:G96"/>
    <mergeCell ref="K105:L105"/>
    <mergeCell ref="K97:L97"/>
    <mergeCell ref="C103:D103"/>
    <mergeCell ref="K96:L96"/>
    <mergeCell ref="B80:F80"/>
    <mergeCell ref="C89:G89"/>
    <mergeCell ref="K108:L108"/>
    <mergeCell ref="C102:D102"/>
    <mergeCell ref="K83:L83"/>
    <mergeCell ref="C105:D105"/>
    <mergeCell ref="K104:L104"/>
    <mergeCell ref="C98:N98"/>
    <mergeCell ref="C99:N99"/>
    <mergeCell ref="K103:L103"/>
    <mergeCell ref="K102:L102"/>
    <mergeCell ref="C97:G97"/>
    <mergeCell ref="B100:N100"/>
    <mergeCell ref="H101:I101"/>
    <mergeCell ref="C85:G85"/>
    <mergeCell ref="C86:G86"/>
    <mergeCell ref="C87:G87"/>
    <mergeCell ref="C88:G88"/>
    <mergeCell ref="E105:G105"/>
    <mergeCell ref="E108:G108"/>
    <mergeCell ref="B116:L116"/>
    <mergeCell ref="B117:L117"/>
    <mergeCell ref="E106:G106"/>
    <mergeCell ref="E107:G107"/>
    <mergeCell ref="K106:L106"/>
    <mergeCell ref="K107:L107"/>
    <mergeCell ref="C106:D106"/>
    <mergeCell ref="C107:D107"/>
    <mergeCell ref="A125:C125"/>
    <mergeCell ref="D125:H125"/>
    <mergeCell ref="I125:J125"/>
    <mergeCell ref="K125:N125"/>
    <mergeCell ref="J121:N121"/>
    <mergeCell ref="F121:I121"/>
    <mergeCell ref="A121:E121"/>
    <mergeCell ref="B120:F120"/>
    <mergeCell ref="G120:J120"/>
    <mergeCell ref="K120:N120"/>
    <mergeCell ref="K84:L84"/>
    <mergeCell ref="A122:N122"/>
    <mergeCell ref="A123:B123"/>
    <mergeCell ref="C123:H123"/>
    <mergeCell ref="I123:N124"/>
    <mergeCell ref="A124:B124"/>
    <mergeCell ref="C124:H124"/>
    <mergeCell ref="B109:N109"/>
    <mergeCell ref="B110:L110"/>
    <mergeCell ref="B111:L111"/>
    <mergeCell ref="B112:L112"/>
    <mergeCell ref="B113:L113"/>
    <mergeCell ref="B114:L114"/>
    <mergeCell ref="B115:L115"/>
    <mergeCell ref="B101:G101"/>
    <mergeCell ref="C84:G84"/>
    <mergeCell ref="C108:D108"/>
    <mergeCell ref="E102:G102"/>
    <mergeCell ref="E103:G103"/>
    <mergeCell ref="E104:G104"/>
    <mergeCell ref="C95:G95"/>
    <mergeCell ref="J101:L101"/>
    <mergeCell ref="C104:D104"/>
    <mergeCell ref="B118:L118"/>
  </mergeCells>
  <conditionalFormatting sqref="B118:L118">
    <cfRule type="iconSet" priority="1">
      <iconSet>
        <cfvo type="percent" val="0"/>
        <cfvo type="formula" val="&quot;n110&quot;"/>
        <cfvo type="formula" val="&quot;n109&quot;"/>
      </iconSet>
    </cfRule>
    <cfRule type="iconSet" priority="2">
      <iconSet>
        <cfvo type="percent" val="0"/>
        <cfvo type="formula" val="&quot;n110&quot;"/>
        <cfvo type="formula" val="&quot;n109&quot;"/>
      </iconSet>
    </cfRule>
  </conditionalFormatting>
  <pageMargins left="0.74" right="0.2" top="0.21" bottom="0.25" header="0.24" footer="0.3"/>
  <pageSetup paperSize="9" scale="99" orientation="portrait" horizontalDpi="120" verticalDpi="14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HOW TO USE</vt:lpstr>
      <vt:lpstr>Master</vt:lpstr>
      <vt:lpstr>Bills</vt:lpstr>
      <vt:lpstr>Extra deduc</vt:lpstr>
      <vt:lpstr>GA55 Summry</vt:lpstr>
      <vt:lpstr>COMPUTATION</vt:lpstr>
      <vt:lpstr>Form No. 16</vt:lpstr>
      <vt:lpstr>'GA55 Summry'!Print_Area</vt:lpstr>
      <vt:lpstr>Master!Print_Area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2017-12-20T14:12:37Z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1wB7Hy-MbCPcTYcvRgaobW8UVMZShhPXKOON1rDU6_Uw</vt:lpwstr>
  </property>
  <property fmtid="{D5CDD505-2E9C-101B-9397-08002B2CF9AE}" pid="4" name="Google.Documents.RevisionId">
    <vt:lpwstr>14744808532751259142</vt:lpwstr>
  </property>
  <property fmtid="{D5CDD505-2E9C-101B-9397-08002B2CF9AE}" pid="5" name="Google.Documents.PreviousRevisionId">
    <vt:lpwstr>15913184929773948758</vt:lpwstr>
  </property>
  <property fmtid="{D5CDD505-2E9C-101B-9397-08002B2CF9AE}" pid="6" name="Google.Documents.PluginVersion">
    <vt:lpwstr>2.0.2662.553</vt:lpwstr>
  </property>
  <property fmtid="{D5CDD505-2E9C-101B-9397-08002B2CF9AE}" pid="7" name="Google.Documents.MergeIncapabilityFlags">
    <vt:i4>0</vt:i4>
  </property>
</Properties>
</file>